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7.xml" ContentType="application/vnd.openxmlformats-officedocument.drawing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8.xml" ContentType="application/vnd.openxmlformats-officedocument.drawing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omments1.xml" ContentType="application/vnd.openxmlformats-officedocument.spreadsheetml.comments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comments2.xml" ContentType="application/vnd.openxmlformats-officedocument.spreadsheetml.comments+xml"/>
  <Override PartName="/xl/tables/table94.xml" ContentType="application/vnd.openxmlformats-officedocument.spreadsheetml.table+xml"/>
  <Override PartName="/xl/comments3.xml" ContentType="application/vnd.openxmlformats-officedocument.spreadsheetml.comments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comments4.xml" ContentType="application/vnd.openxmlformats-officedocument.spreadsheetml.comments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4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/Users/knappv/Documents/2-Projects/dm4011/"/>
    </mc:Choice>
  </mc:AlternateContent>
  <xr:revisionPtr revIDLastSave="0" documentId="8_{9F095548-BB79-034A-AC80-4354C8E6BD30}" xr6:coauthVersionLast="36" xr6:coauthVersionMax="36" xr10:uidLastSave="{00000000-0000-0000-0000-000000000000}"/>
  <bookViews>
    <workbookView xWindow="6920" yWindow="4180" windowWidth="21380" windowHeight="18120" tabRatio="780" xr2:uid="{00000000-000D-0000-FFFF-FFFF00000000}"/>
  </bookViews>
  <sheets>
    <sheet name="TitlePage" sheetId="36" r:id="rId1"/>
    <sheet name="How to Use" sheetId="9" r:id="rId2"/>
    <sheet name="Your Notes" sheetId="32" r:id="rId3"/>
    <sheet name="County Budget Trends" sheetId="26" r:id="rId4"/>
    <sheet name="County Base Trends" sheetId="29" r:id="rId5"/>
    <sheet name="County Real per Capita" sheetId="34" r:id="rId6"/>
    <sheet name="County-to-County Budget Trends " sheetId="31" r:id="rId7"/>
    <sheet name="County-to-County Base Trends" sheetId="30" r:id="rId8"/>
    <sheet name="County-to-County Real per Capit" sheetId="35" r:id="rId9"/>
    <sheet name="Data Sources" sheetId="39" r:id="rId10"/>
    <sheet name="CountyBudgetNotes" sheetId="38" r:id="rId11"/>
    <sheet name="Property Base" sheetId="15" r:id="rId12"/>
    <sheet name="Sales Base" sheetId="27" r:id="rId13"/>
    <sheet name="3-AGF Receipts &amp; Balances" sheetId="22" r:id="rId14"/>
    <sheet name="4GF Expenditures" sheetId="28" r:id="rId15"/>
    <sheet name="Special Sales Tax" sheetId="24" r:id="rId16"/>
    <sheet name="3-B Road Fund" sheetId="23" r:id="rId17"/>
    <sheet name="Population &amp; Income" sheetId="10" r:id="rId18"/>
    <sheet name="Price Indices" sheetId="33" r:id="rId19"/>
  </sheets>
  <definedNames>
    <definedName name="CountyDisbursementsbyFunctionAssociateCircuit">'4GF Expenditures'!$IG$17:$IX$106</definedName>
    <definedName name="CountyDisbursementsbyFunctionBuildingsandGrounds">'4GF Expenditures'!$CS$17:$DJ$106</definedName>
    <definedName name="CountyDisbursementsbyFunctionCircuitClerk">'4GF Expenditures'!$HI$17:$HZ$106</definedName>
    <definedName name="CountyDisbursementsbyFunctionCollector">'4GF Expenditures'!$FM$17:$GD$106</definedName>
    <definedName name="CountyDisbursementsbyFunctionCoroner">'4GF Expenditures'!$PQ$17:$QH$106</definedName>
    <definedName name="CountyDisbursementsbyFunctionCountyClerk">'4GF Expenditures'!$AW$17:$BN$106</definedName>
    <definedName name="CountyDisbursementsbyFunctionCountyCommission">'4GF Expenditures'!$Y$17:$AP$106</definedName>
    <definedName name="CountyDisbursementsbyFunctionCourtAdministration">'4GF Expenditures'!$JE$17:$JV$106</definedName>
    <definedName name="CountyDisbursementsbyFunctionElections">'4GF Expenditures'!$BU$17:$CL$106</definedName>
    <definedName name="CountyDisbursementsbyFunctionFringeBenefits">'4GF Expenditures'!$DQ$17:$EH$106</definedName>
    <definedName name="CountyDisbursementsbyFunctionHealthandWelfare">'4GF Expenditures'!$QO$17:$RF$106</definedName>
    <definedName name="CountyDisbursementsbyFunctionJail">'4GF Expenditures'!$MW$17:$NN$106</definedName>
    <definedName name="CountyDisbursementsbyFunctionJuvenileOfficer">'4GF Expenditures'!$OS$17:$PJ$106</definedName>
    <definedName name="CountyDisbursementsbyFunctionOperatingTransfers">'4GF Expenditures'!$RM$17:$SD$106</definedName>
    <definedName name="CountyDisbursementsbyFunctionOther">'4GF Expenditures'!$LA$17:$LR$106</definedName>
    <definedName name="CountyDisbursementsbyFunctionProsecutingAttorney">'4GF Expenditures'!$NU$17:$OL$106</definedName>
    <definedName name="CountyDisbursementsbyFunctionPublicAdministrator">'4GF Expenditures'!$KC$17:$KT$106</definedName>
    <definedName name="CountyDisbursementsbyFunctionRecorder">'4GF Expenditures'!$GK$17:$HB$106</definedName>
    <definedName name="CountyDisbursementsbyFunctionSheriff">'4GF Expenditures'!$LY$17:$MP$106</definedName>
    <definedName name="CountyDisbursementsbyFunctionTreasurer">'4GF Expenditures'!$EO$17:$FF$106</definedName>
    <definedName name="GeneralRevenueFundCashBalances">'3-AGF Receipts &amp; Balances'!$FM$16:$GD$105</definedName>
    <definedName name="GeneralRevenueFundReceiptsChargesforServices">'3-AGF Receipts &amp; Balances'!$CS$16:$DJ$105</definedName>
    <definedName name="GeneralRevenueFundReceiptsInterest">'3-AGF Receipts &amp; Balances'!$DQ$16:$EH$105</definedName>
    <definedName name="GeneralRevenueFundReceiptsIntergovernmental">'3-AGF Receipts &amp; Balances'!$BU$16:$CL$105</definedName>
    <definedName name="GeneralRevenueFundReceiptsOther">'3-AGF Receipts &amp; Balances'!$EO$16:$FF$105</definedName>
    <definedName name="GeneralRevenueFundReceiptsPropertyTaxes">'3-AGF Receipts &amp; Balances'!$Y$16:$AP$104</definedName>
    <definedName name="GeneralRevenueFundReceiptsSalesTaxes">'3-AGF Receipts &amp; Balances'!$AW$16:$BN$105</definedName>
    <definedName name="GeneralRevenueFundReceiptsTotalReceipts">'3-AGF Receipts &amp; Balances'!$A$16:$R$106</definedName>
    <definedName name="GeneralRevenueFundTotalExpenditures">'4GF Expenditures'!$A$17:$R$106</definedName>
    <definedName name="List">'Population &amp; Income'!$A$9:$A$99</definedName>
    <definedName name="OLE_LINK10" localSheetId="1">'How to Use'!$A$25</definedName>
    <definedName name="OLE_LINK11" localSheetId="1">'How to Use'!$A$96</definedName>
    <definedName name="OLE_LINK9" localSheetId="1">'How to Use'!$B$67</definedName>
    <definedName name="SpecialRoadandBridgeFundsInterest">'3-B Road Fund'!$CS$17:$DJ$106</definedName>
    <definedName name="SpecialRoadandBridgeFundsIntergovernmental">'3-B Road Fund'!$BU$17:$CL$106</definedName>
    <definedName name="SpecialRoadandBridgeFundsOtherRevenues">'3-B Road Fund'!$DQ$17:$EH$106</definedName>
    <definedName name="SpecialRoadandBridgeFundsPropertyTaxes">'3-B Road Fund'!$Y$17:$AP$106</definedName>
    <definedName name="SpecialRoadandBridgeFundsSalesTaxes">'3-B Road Fund'!$AW$17:$BN$106</definedName>
    <definedName name="SpecialRoadandBridgeFundsTotalReceipts">'3-B Road Fund'!$A$17:$R$106</definedName>
    <definedName name="SpecialRoadandBridgeFundTotalExpenditures">'3-B Road Fund'!$EO$17:$FF$106</definedName>
    <definedName name="SpecialSalesTaxReceipts">'Special Sales Tax'!$A$13:$R$102</definedName>
  </definedNames>
  <calcPr calcId="181029" concurrentCalc="0"/>
</workbook>
</file>

<file path=xl/calcChain.xml><?xml version="1.0" encoding="utf-8"?>
<calcChain xmlns="http://schemas.openxmlformats.org/spreadsheetml/2006/main">
  <c r="AA115" i="22" l="1"/>
  <c r="AB115" i="22"/>
  <c r="AC115" i="22"/>
  <c r="AD115" i="22"/>
  <c r="AE115" i="22"/>
  <c r="AF115" i="22"/>
  <c r="AG115" i="22"/>
  <c r="AH115" i="22"/>
  <c r="AI115" i="22"/>
  <c r="AJ115" i="22"/>
  <c r="AK115" i="22"/>
  <c r="AL115" i="22"/>
  <c r="AM115" i="22"/>
  <c r="AN115" i="22"/>
  <c r="AO115" i="22"/>
  <c r="AP115" i="22"/>
  <c r="AQ115" i="22"/>
  <c r="AR115" i="22"/>
  <c r="AS115" i="22"/>
  <c r="AT115" i="22"/>
  <c r="AU115" i="22"/>
  <c r="AA116" i="22"/>
  <c r="AB116" i="22"/>
  <c r="AC116" i="22"/>
  <c r="AD116" i="22"/>
  <c r="AE116" i="22"/>
  <c r="AF116" i="22"/>
  <c r="AG116" i="22"/>
  <c r="AH116" i="22"/>
  <c r="AI116" i="22"/>
  <c r="AJ116" i="22"/>
  <c r="AK116" i="22"/>
  <c r="AL116" i="22"/>
  <c r="AM116" i="22"/>
  <c r="AN116" i="22"/>
  <c r="AO116" i="22"/>
  <c r="AP116" i="22"/>
  <c r="AQ116" i="22"/>
  <c r="AR116" i="22"/>
  <c r="AS116" i="22"/>
  <c r="AT116" i="22"/>
  <c r="AU116" i="22"/>
  <c r="AA117" i="22"/>
  <c r="AB117" i="22"/>
  <c r="AC117" i="22"/>
  <c r="AD117" i="22"/>
  <c r="AE117" i="22"/>
  <c r="AF117" i="22"/>
  <c r="AG117" i="22"/>
  <c r="AH117" i="22"/>
  <c r="AI117" i="22"/>
  <c r="AJ117" i="22"/>
  <c r="AK117" i="22"/>
  <c r="AL117" i="22"/>
  <c r="AM117" i="22"/>
  <c r="AN117" i="22"/>
  <c r="AO117" i="22"/>
  <c r="AP117" i="22"/>
  <c r="AQ117" i="22"/>
  <c r="AR117" i="22"/>
  <c r="AS117" i="22"/>
  <c r="AT117" i="22"/>
  <c r="AU117" i="22"/>
  <c r="AY202" i="22"/>
  <c r="AZ202" i="22"/>
  <c r="BA202" i="22"/>
  <c r="BB202" i="22"/>
  <c r="BC202" i="22"/>
  <c r="BD202" i="22"/>
  <c r="BE202" i="22"/>
  <c r="BF202" i="22"/>
  <c r="BG202" i="22"/>
  <c r="BH202" i="22"/>
  <c r="BI202" i="22"/>
  <c r="BJ202" i="22"/>
  <c r="BK202" i="22"/>
  <c r="BL202" i="22"/>
  <c r="BM202" i="22"/>
  <c r="BN202" i="22"/>
  <c r="BO202" i="22"/>
  <c r="BP202" i="22"/>
  <c r="BQ202" i="22"/>
  <c r="BR202" i="22"/>
  <c r="BS202" i="22"/>
  <c r="CQ203" i="22"/>
  <c r="CP203" i="22"/>
  <c r="CO203" i="22"/>
  <c r="CN203" i="22"/>
  <c r="CQ202" i="22"/>
  <c r="CP202" i="22"/>
  <c r="CO202" i="22"/>
  <c r="CN202" i="22"/>
  <c r="CQ200" i="22"/>
  <c r="CP200" i="22"/>
  <c r="CO200" i="22"/>
  <c r="CN200" i="22"/>
  <c r="CQ199" i="22"/>
  <c r="CP199" i="22"/>
  <c r="CO199" i="22"/>
  <c r="CN199" i="22"/>
  <c r="CQ198" i="22"/>
  <c r="CP198" i="22"/>
  <c r="CO198" i="22"/>
  <c r="CN198" i="22"/>
  <c r="CQ197" i="22"/>
  <c r="CP197" i="22"/>
  <c r="CO197" i="22"/>
  <c r="CN197" i="22"/>
  <c r="CQ196" i="22"/>
  <c r="CP196" i="22"/>
  <c r="CO196" i="22"/>
  <c r="CN196" i="22"/>
  <c r="CQ195" i="22"/>
  <c r="CP195" i="22"/>
  <c r="CO195" i="22"/>
  <c r="CN195" i="22"/>
  <c r="CQ194" i="22"/>
  <c r="CP194" i="22"/>
  <c r="CO194" i="22"/>
  <c r="CN194" i="22"/>
  <c r="CQ193" i="22"/>
  <c r="CP193" i="22"/>
  <c r="CO193" i="22"/>
  <c r="CN193" i="22"/>
  <c r="CQ192" i="22"/>
  <c r="CP192" i="22"/>
  <c r="CO192" i="22"/>
  <c r="CN192" i="22"/>
  <c r="CQ191" i="22"/>
  <c r="CP191" i="22"/>
  <c r="CO191" i="22"/>
  <c r="CN191" i="22"/>
  <c r="CQ190" i="22"/>
  <c r="CP190" i="22"/>
  <c r="CO190" i="22"/>
  <c r="CN190" i="22"/>
  <c r="CQ189" i="22"/>
  <c r="CP189" i="22"/>
  <c r="CO189" i="22"/>
  <c r="CN189" i="22"/>
  <c r="CQ188" i="22"/>
  <c r="CP188" i="22"/>
  <c r="CO188" i="22"/>
  <c r="CN188" i="22"/>
  <c r="CQ187" i="22"/>
  <c r="CP187" i="22"/>
  <c r="CO187" i="22"/>
  <c r="CN187" i="22"/>
  <c r="CQ186" i="22"/>
  <c r="CP186" i="22"/>
  <c r="CO186" i="22"/>
  <c r="CN186" i="22"/>
  <c r="CQ185" i="22"/>
  <c r="CP185" i="22"/>
  <c r="CO185" i="22"/>
  <c r="CN185" i="22"/>
  <c r="CQ182" i="22"/>
  <c r="CP182" i="22"/>
  <c r="CO182" i="22"/>
  <c r="CN182" i="22"/>
  <c r="CQ181" i="22"/>
  <c r="CP181" i="22"/>
  <c r="CO181" i="22"/>
  <c r="CN181" i="22"/>
  <c r="CQ180" i="22"/>
  <c r="CP180" i="22"/>
  <c r="CO180" i="22"/>
  <c r="CN180" i="22"/>
  <c r="CQ179" i="22"/>
  <c r="CP179" i="22"/>
  <c r="CO179" i="22"/>
  <c r="CN179" i="22"/>
  <c r="CQ177" i="22"/>
  <c r="CP177" i="22"/>
  <c r="CO177" i="22"/>
  <c r="CN177" i="22"/>
  <c r="CQ176" i="22"/>
  <c r="CP176" i="22"/>
  <c r="CO176" i="22"/>
  <c r="CN176" i="22"/>
  <c r="CQ175" i="22"/>
  <c r="CP175" i="22"/>
  <c r="CO175" i="22"/>
  <c r="CN175" i="22"/>
  <c r="CQ174" i="22"/>
  <c r="CP174" i="22"/>
  <c r="CO174" i="22"/>
  <c r="CN174" i="22"/>
  <c r="CQ173" i="22"/>
  <c r="CP173" i="22"/>
  <c r="CO173" i="22"/>
  <c r="CN173" i="22"/>
  <c r="CQ172" i="22"/>
  <c r="CP172" i="22"/>
  <c r="CO172" i="22"/>
  <c r="CN172" i="22"/>
  <c r="CQ171" i="22"/>
  <c r="CP171" i="22"/>
  <c r="CO171" i="22"/>
  <c r="CN171" i="22"/>
  <c r="CQ170" i="22"/>
  <c r="CP170" i="22"/>
  <c r="CO170" i="22"/>
  <c r="CN170" i="22"/>
  <c r="CQ169" i="22"/>
  <c r="CP169" i="22"/>
  <c r="CO169" i="22"/>
  <c r="CN169" i="22"/>
  <c r="CQ168" i="22"/>
  <c r="CP168" i="22"/>
  <c r="CO168" i="22"/>
  <c r="CN168" i="22"/>
  <c r="CQ167" i="22"/>
  <c r="CP167" i="22"/>
  <c r="CO167" i="22"/>
  <c r="CN167" i="22"/>
  <c r="CQ166" i="22"/>
  <c r="CP166" i="22"/>
  <c r="CO166" i="22"/>
  <c r="CN166" i="22"/>
  <c r="CQ165" i="22"/>
  <c r="CP165" i="22"/>
  <c r="CO165" i="22"/>
  <c r="CN165" i="22"/>
  <c r="CQ164" i="22"/>
  <c r="CP164" i="22"/>
  <c r="CO164" i="22"/>
  <c r="CN164" i="22"/>
  <c r="CQ162" i="22"/>
  <c r="CP162" i="22"/>
  <c r="CO162" i="22"/>
  <c r="CN162" i="22"/>
  <c r="CQ161" i="22"/>
  <c r="CP161" i="22"/>
  <c r="CO161" i="22"/>
  <c r="CN161" i="22"/>
  <c r="CQ159" i="22"/>
  <c r="CP159" i="22"/>
  <c r="CO159" i="22"/>
  <c r="CN159" i="22"/>
  <c r="CQ158" i="22"/>
  <c r="CP158" i="22"/>
  <c r="CO158" i="22"/>
  <c r="CN158" i="22"/>
  <c r="CQ156" i="22"/>
  <c r="CP156" i="22"/>
  <c r="CO156" i="22"/>
  <c r="CN156" i="22"/>
  <c r="CQ155" i="22"/>
  <c r="CP155" i="22"/>
  <c r="CO155" i="22"/>
  <c r="CN155" i="22"/>
  <c r="CQ154" i="22"/>
  <c r="CP154" i="22"/>
  <c r="CO154" i="22"/>
  <c r="CN154" i="22"/>
  <c r="CQ153" i="22"/>
  <c r="CP153" i="22"/>
  <c r="CO153" i="22"/>
  <c r="CN153" i="22"/>
  <c r="CQ152" i="22"/>
  <c r="CP152" i="22"/>
  <c r="CO152" i="22"/>
  <c r="CN152" i="22"/>
  <c r="CQ151" i="22"/>
  <c r="CP151" i="22"/>
  <c r="CO151" i="22"/>
  <c r="CN151" i="22"/>
  <c r="CQ150" i="22"/>
  <c r="CP150" i="22"/>
  <c r="CO150" i="22"/>
  <c r="CN150" i="22"/>
  <c r="CQ149" i="22"/>
  <c r="CP149" i="22"/>
  <c r="CO149" i="22"/>
  <c r="CN149" i="22"/>
  <c r="CQ148" i="22"/>
  <c r="CP148" i="22"/>
  <c r="CO148" i="22"/>
  <c r="CN148" i="22"/>
  <c r="CQ147" i="22"/>
  <c r="CP147" i="22"/>
  <c r="CO147" i="22"/>
  <c r="CN147" i="22"/>
  <c r="CQ146" i="22"/>
  <c r="CP146" i="22"/>
  <c r="CO146" i="22"/>
  <c r="CN146" i="22"/>
  <c r="CQ145" i="22"/>
  <c r="CP145" i="22"/>
  <c r="CO145" i="22"/>
  <c r="CN145" i="22"/>
  <c r="CQ144" i="22"/>
  <c r="CP144" i="22"/>
  <c r="CO144" i="22"/>
  <c r="CN144" i="22"/>
  <c r="CQ143" i="22"/>
  <c r="CP143" i="22"/>
  <c r="CO143" i="22"/>
  <c r="CN143" i="22"/>
  <c r="CQ142" i="22"/>
  <c r="CP142" i="22"/>
  <c r="CO142" i="22"/>
  <c r="CN142" i="22"/>
  <c r="CQ140" i="22"/>
  <c r="CP140" i="22"/>
  <c r="CO140" i="22"/>
  <c r="CN140" i="22"/>
  <c r="CQ139" i="22"/>
  <c r="CP139" i="22"/>
  <c r="CO139" i="22"/>
  <c r="CN139" i="22"/>
  <c r="CQ138" i="22"/>
  <c r="CP138" i="22"/>
  <c r="CO138" i="22"/>
  <c r="CN138" i="22"/>
  <c r="CQ137" i="22"/>
  <c r="CP137" i="22"/>
  <c r="CO137" i="22"/>
  <c r="CN137" i="22"/>
  <c r="CQ136" i="22"/>
  <c r="CP136" i="22"/>
  <c r="CO136" i="22"/>
  <c r="CN136" i="22"/>
  <c r="CQ135" i="22"/>
  <c r="CP135" i="22"/>
  <c r="CO135" i="22"/>
  <c r="CN135" i="22"/>
  <c r="CQ134" i="22"/>
  <c r="CP134" i="22"/>
  <c r="CO134" i="22"/>
  <c r="CN134" i="22"/>
  <c r="CQ132" i="22"/>
  <c r="CP132" i="22"/>
  <c r="CO132" i="22"/>
  <c r="CN132" i="22"/>
  <c r="CQ131" i="22"/>
  <c r="CP131" i="22"/>
  <c r="CO131" i="22"/>
  <c r="CN131" i="22"/>
  <c r="CQ130" i="22"/>
  <c r="CP130" i="22"/>
  <c r="CO130" i="22"/>
  <c r="CN130" i="22"/>
  <c r="CQ129" i="22"/>
  <c r="CP129" i="22"/>
  <c r="CO129" i="22"/>
  <c r="CN129" i="22"/>
  <c r="CQ128" i="22"/>
  <c r="CP128" i="22"/>
  <c r="CO128" i="22"/>
  <c r="CN128" i="22"/>
  <c r="CQ127" i="22"/>
  <c r="CP127" i="22"/>
  <c r="CO127" i="22"/>
  <c r="CN127" i="22"/>
  <c r="CQ126" i="22"/>
  <c r="CP126" i="22"/>
  <c r="CO126" i="22"/>
  <c r="CN126" i="22"/>
  <c r="CQ125" i="22"/>
  <c r="CP125" i="22"/>
  <c r="CO125" i="22"/>
  <c r="CN125" i="22"/>
  <c r="CQ124" i="22"/>
  <c r="CP124" i="22"/>
  <c r="CO124" i="22"/>
  <c r="CN124" i="22"/>
  <c r="CQ123" i="22"/>
  <c r="CP123" i="22"/>
  <c r="CO123" i="22"/>
  <c r="CN123" i="22"/>
  <c r="CQ122" i="22"/>
  <c r="CP122" i="22"/>
  <c r="CO122" i="22"/>
  <c r="CN122" i="22"/>
  <c r="CQ120" i="22"/>
  <c r="CP120" i="22"/>
  <c r="CO120" i="22"/>
  <c r="CN120" i="22"/>
  <c r="CQ119" i="22"/>
  <c r="CP119" i="22"/>
  <c r="CO119" i="22"/>
  <c r="CN119" i="22"/>
  <c r="CQ118" i="22"/>
  <c r="CP118" i="22"/>
  <c r="CO118" i="22"/>
  <c r="CN118" i="22"/>
  <c r="CQ117" i="22"/>
  <c r="CP117" i="22"/>
  <c r="CO117" i="22"/>
  <c r="CN117" i="22"/>
  <c r="CQ116" i="22"/>
  <c r="CP116" i="22"/>
  <c r="CO116" i="22"/>
  <c r="CN116" i="22"/>
  <c r="CQ115" i="22"/>
  <c r="CP115" i="22"/>
  <c r="CO115" i="22"/>
  <c r="CN115" i="22"/>
  <c r="AU203" i="22"/>
  <c r="AT203" i="22"/>
  <c r="AS203" i="22"/>
  <c r="AR203" i="22"/>
  <c r="AU202" i="22"/>
  <c r="AT202" i="22"/>
  <c r="AS202" i="22"/>
  <c r="AR202" i="22"/>
  <c r="AU201" i="22"/>
  <c r="AT201" i="22"/>
  <c r="AS201" i="22"/>
  <c r="AR201" i="22"/>
  <c r="AU200" i="22"/>
  <c r="AT200" i="22"/>
  <c r="AS200" i="22"/>
  <c r="AR200" i="22"/>
  <c r="AU199" i="22"/>
  <c r="AT199" i="22"/>
  <c r="AS199" i="22"/>
  <c r="AR199" i="22"/>
  <c r="AU198" i="22"/>
  <c r="AT198" i="22"/>
  <c r="AS198" i="22"/>
  <c r="AR198" i="22"/>
  <c r="AU197" i="22"/>
  <c r="AT197" i="22"/>
  <c r="AS197" i="22"/>
  <c r="AR197" i="22"/>
  <c r="AU196" i="22"/>
  <c r="AT196" i="22"/>
  <c r="AS196" i="22"/>
  <c r="AR196" i="22"/>
  <c r="AU195" i="22"/>
  <c r="AT195" i="22"/>
  <c r="AS195" i="22"/>
  <c r="AR195" i="22"/>
  <c r="AU194" i="22"/>
  <c r="AT194" i="22"/>
  <c r="AS194" i="22"/>
  <c r="AR194" i="22"/>
  <c r="AU193" i="22"/>
  <c r="AT193" i="22"/>
  <c r="AS193" i="22"/>
  <c r="AR193" i="22"/>
  <c r="AU192" i="22"/>
  <c r="AT192" i="22"/>
  <c r="AS192" i="22"/>
  <c r="AR192" i="22"/>
  <c r="AU191" i="22"/>
  <c r="AT191" i="22"/>
  <c r="AS191" i="22"/>
  <c r="AR191" i="22"/>
  <c r="AU190" i="22"/>
  <c r="AT190" i="22"/>
  <c r="AS190" i="22"/>
  <c r="AR190" i="22"/>
  <c r="AU189" i="22"/>
  <c r="AT189" i="22"/>
  <c r="AS189" i="22"/>
  <c r="AR189" i="22"/>
  <c r="AU188" i="22"/>
  <c r="AT188" i="22"/>
  <c r="AS188" i="22"/>
  <c r="AR188" i="22"/>
  <c r="AU187" i="22"/>
  <c r="AT187" i="22"/>
  <c r="AS187" i="22"/>
  <c r="AR187" i="22"/>
  <c r="AU186" i="22"/>
  <c r="AT186" i="22"/>
  <c r="AS186" i="22"/>
  <c r="AR186" i="22"/>
  <c r="AU185" i="22"/>
  <c r="AT185" i="22"/>
  <c r="AS185" i="22"/>
  <c r="AR185" i="22"/>
  <c r="AU184" i="22"/>
  <c r="AT184" i="22"/>
  <c r="AS184" i="22"/>
  <c r="AR184" i="22"/>
  <c r="AU183" i="22"/>
  <c r="AT183" i="22"/>
  <c r="AS183" i="22"/>
  <c r="AR183" i="22"/>
  <c r="AU182" i="22"/>
  <c r="AT182" i="22"/>
  <c r="AS182" i="22"/>
  <c r="AR182" i="22"/>
  <c r="AU181" i="22"/>
  <c r="AT181" i="22"/>
  <c r="AS181" i="22"/>
  <c r="AR181" i="22"/>
  <c r="AU180" i="22"/>
  <c r="AT180" i="22"/>
  <c r="AS180" i="22"/>
  <c r="AR180" i="22"/>
  <c r="AU179" i="22"/>
  <c r="AT179" i="22"/>
  <c r="AS179" i="22"/>
  <c r="AR179" i="22"/>
  <c r="AU178" i="22"/>
  <c r="AT178" i="22"/>
  <c r="AS178" i="22"/>
  <c r="AR178" i="22"/>
  <c r="AU177" i="22"/>
  <c r="AT177" i="22"/>
  <c r="AS177" i="22"/>
  <c r="AR177" i="22"/>
  <c r="AU176" i="22"/>
  <c r="AT176" i="22"/>
  <c r="AS176" i="22"/>
  <c r="AR176" i="22"/>
  <c r="AU175" i="22"/>
  <c r="AT175" i="22"/>
  <c r="AS175" i="22"/>
  <c r="AR175" i="22"/>
  <c r="AU174" i="22"/>
  <c r="AT174" i="22"/>
  <c r="AS174" i="22"/>
  <c r="AR174" i="22"/>
  <c r="AU173" i="22"/>
  <c r="AT173" i="22"/>
  <c r="AS173" i="22"/>
  <c r="AR173" i="22"/>
  <c r="AU172" i="22"/>
  <c r="AT172" i="22"/>
  <c r="AS172" i="22"/>
  <c r="AR172" i="22"/>
  <c r="AU171" i="22"/>
  <c r="AT171" i="22"/>
  <c r="AS171" i="22"/>
  <c r="AR171" i="22"/>
  <c r="AU170" i="22"/>
  <c r="AT170" i="22"/>
  <c r="AS170" i="22"/>
  <c r="AR170" i="22"/>
  <c r="AU169" i="22"/>
  <c r="AT169" i="22"/>
  <c r="AS169" i="22"/>
  <c r="AR169" i="22"/>
  <c r="AU168" i="22"/>
  <c r="AT168" i="22"/>
  <c r="AS168" i="22"/>
  <c r="AR168" i="22"/>
  <c r="AU167" i="22"/>
  <c r="AT167" i="22"/>
  <c r="AS167" i="22"/>
  <c r="AR167" i="22"/>
  <c r="AU166" i="22"/>
  <c r="AT166" i="22"/>
  <c r="AS166" i="22"/>
  <c r="AR166" i="22"/>
  <c r="AU165" i="22"/>
  <c r="AT165" i="22"/>
  <c r="AS165" i="22"/>
  <c r="AR165" i="22"/>
  <c r="AU164" i="22"/>
  <c r="AT164" i="22"/>
  <c r="AS164" i="22"/>
  <c r="AR164" i="22"/>
  <c r="AU163" i="22"/>
  <c r="AT163" i="22"/>
  <c r="AS163" i="22"/>
  <c r="AR163" i="22"/>
  <c r="AU162" i="22"/>
  <c r="AT162" i="22"/>
  <c r="AS162" i="22"/>
  <c r="AR162" i="22"/>
  <c r="AU161" i="22"/>
  <c r="AT161" i="22"/>
  <c r="AS161" i="22"/>
  <c r="AR161" i="22"/>
  <c r="AU160" i="22"/>
  <c r="AT160" i="22"/>
  <c r="AS160" i="22"/>
  <c r="AR160" i="22"/>
  <c r="AU159" i="22"/>
  <c r="AT159" i="22"/>
  <c r="AS159" i="22"/>
  <c r="AR159" i="22"/>
  <c r="AU158" i="22"/>
  <c r="AT158" i="22"/>
  <c r="AS158" i="22"/>
  <c r="AR158" i="22"/>
  <c r="AU157" i="22"/>
  <c r="AT157" i="22"/>
  <c r="AS157" i="22"/>
  <c r="AR157" i="22"/>
  <c r="AU156" i="22"/>
  <c r="AT156" i="22"/>
  <c r="AS156" i="22"/>
  <c r="AR156" i="22"/>
  <c r="AU155" i="22"/>
  <c r="AT155" i="22"/>
  <c r="AS155" i="22"/>
  <c r="AR155" i="22"/>
  <c r="AU154" i="22"/>
  <c r="AT154" i="22"/>
  <c r="AS154" i="22"/>
  <c r="AR154" i="22"/>
  <c r="AU153" i="22"/>
  <c r="AT153" i="22"/>
  <c r="AS153" i="22"/>
  <c r="AR153" i="22"/>
  <c r="AU152" i="22"/>
  <c r="AT152" i="22"/>
  <c r="AS152" i="22"/>
  <c r="AR152" i="22"/>
  <c r="AU151" i="22"/>
  <c r="AT151" i="22"/>
  <c r="AS151" i="22"/>
  <c r="AR151" i="22"/>
  <c r="AU150" i="22"/>
  <c r="AT150" i="22"/>
  <c r="AS150" i="22"/>
  <c r="AR150" i="22"/>
  <c r="AU149" i="22"/>
  <c r="AT149" i="22"/>
  <c r="AS149" i="22"/>
  <c r="AR149" i="22"/>
  <c r="AU148" i="22"/>
  <c r="AT148" i="22"/>
  <c r="AS148" i="22"/>
  <c r="AR148" i="22"/>
  <c r="AU147" i="22"/>
  <c r="AT147" i="22"/>
  <c r="AS147" i="22"/>
  <c r="AR147" i="22"/>
  <c r="AU146" i="22"/>
  <c r="AT146" i="22"/>
  <c r="AS146" i="22"/>
  <c r="AR146" i="22"/>
  <c r="AU145" i="22"/>
  <c r="AT145" i="22"/>
  <c r="AS145" i="22"/>
  <c r="AR145" i="22"/>
  <c r="AU144" i="22"/>
  <c r="AT144" i="22"/>
  <c r="AS144" i="22"/>
  <c r="AR144" i="22"/>
  <c r="AU143" i="22"/>
  <c r="AT143" i="22"/>
  <c r="AS143" i="22"/>
  <c r="AR143" i="22"/>
  <c r="AU142" i="22"/>
  <c r="AT142" i="22"/>
  <c r="AS142" i="22"/>
  <c r="AR142" i="22"/>
  <c r="AU141" i="22"/>
  <c r="AT141" i="22"/>
  <c r="AS141" i="22"/>
  <c r="AR141" i="22"/>
  <c r="AU140" i="22"/>
  <c r="AT140" i="22"/>
  <c r="AS140" i="22"/>
  <c r="AR140" i="22"/>
  <c r="AU139" i="22"/>
  <c r="AT139" i="22"/>
  <c r="AS139" i="22"/>
  <c r="AR139" i="22"/>
  <c r="AU138" i="22"/>
  <c r="AT138" i="22"/>
  <c r="AS138" i="22"/>
  <c r="AR138" i="22"/>
  <c r="AU137" i="22"/>
  <c r="AT137" i="22"/>
  <c r="AS137" i="22"/>
  <c r="AR137" i="22"/>
  <c r="AU136" i="22"/>
  <c r="AT136" i="22"/>
  <c r="AS136" i="22"/>
  <c r="AR136" i="22"/>
  <c r="AU135" i="22"/>
  <c r="AT135" i="22"/>
  <c r="AS135" i="22"/>
  <c r="AR135" i="22"/>
  <c r="AU134" i="22"/>
  <c r="AT134" i="22"/>
  <c r="AS134" i="22"/>
  <c r="AR134" i="22"/>
  <c r="AU133" i="22"/>
  <c r="AT133" i="22"/>
  <c r="AS133" i="22"/>
  <c r="AR133" i="22"/>
  <c r="AU132" i="22"/>
  <c r="AT132" i="22"/>
  <c r="AS132" i="22"/>
  <c r="AR132" i="22"/>
  <c r="AU131" i="22"/>
  <c r="AT131" i="22"/>
  <c r="AS131" i="22"/>
  <c r="AR131" i="22"/>
  <c r="AU130" i="22"/>
  <c r="AT130" i="22"/>
  <c r="AS130" i="22"/>
  <c r="AR130" i="22"/>
  <c r="AU129" i="22"/>
  <c r="AT129" i="22"/>
  <c r="AS129" i="22"/>
  <c r="AR129" i="22"/>
  <c r="AU128" i="22"/>
  <c r="AT128" i="22"/>
  <c r="AS128" i="22"/>
  <c r="AR128" i="22"/>
  <c r="AU127" i="22"/>
  <c r="AT127" i="22"/>
  <c r="AS127" i="22"/>
  <c r="AR127" i="22"/>
  <c r="AU126" i="22"/>
  <c r="AT126" i="22"/>
  <c r="AS126" i="22"/>
  <c r="AR126" i="22"/>
  <c r="AU125" i="22"/>
  <c r="AT125" i="22"/>
  <c r="AS125" i="22"/>
  <c r="AR125" i="22"/>
  <c r="AU124" i="22"/>
  <c r="AT124" i="22"/>
  <c r="AS124" i="22"/>
  <c r="AR124" i="22"/>
  <c r="AU123" i="22"/>
  <c r="AT123" i="22"/>
  <c r="AS123" i="22"/>
  <c r="AR123" i="22"/>
  <c r="AU122" i="22"/>
  <c r="AT122" i="22"/>
  <c r="AS122" i="22"/>
  <c r="AR122" i="22"/>
  <c r="AU121" i="22"/>
  <c r="AT121" i="22"/>
  <c r="AS121" i="22"/>
  <c r="AR121" i="22"/>
  <c r="AU120" i="22"/>
  <c r="AT120" i="22"/>
  <c r="AS120" i="22"/>
  <c r="AR120" i="22"/>
  <c r="AU119" i="22"/>
  <c r="AT119" i="22"/>
  <c r="AS119" i="22"/>
  <c r="AR119" i="22"/>
  <c r="AU118" i="22"/>
  <c r="AT118" i="22"/>
  <c r="AS118" i="22"/>
  <c r="AR118" i="22"/>
  <c r="W203" i="22"/>
  <c r="V203" i="22"/>
  <c r="U203" i="22"/>
  <c r="T203" i="22"/>
  <c r="W202" i="22"/>
  <c r="V202" i="22"/>
  <c r="U202" i="22"/>
  <c r="T202" i="22"/>
  <c r="W201" i="22"/>
  <c r="V201" i="22"/>
  <c r="U201" i="22"/>
  <c r="T201" i="22"/>
  <c r="W200" i="22"/>
  <c r="V200" i="22"/>
  <c r="U200" i="22"/>
  <c r="T200" i="22"/>
  <c r="W199" i="22"/>
  <c r="V199" i="22"/>
  <c r="U199" i="22"/>
  <c r="T199" i="22"/>
  <c r="W198" i="22"/>
  <c r="V198" i="22"/>
  <c r="U198" i="22"/>
  <c r="T198" i="22"/>
  <c r="W197" i="22"/>
  <c r="V197" i="22"/>
  <c r="U197" i="22"/>
  <c r="T197" i="22"/>
  <c r="W196" i="22"/>
  <c r="V196" i="22"/>
  <c r="U196" i="22"/>
  <c r="T196" i="22"/>
  <c r="W195" i="22"/>
  <c r="V195" i="22"/>
  <c r="U195" i="22"/>
  <c r="T195" i="22"/>
  <c r="W194" i="22"/>
  <c r="V194" i="22"/>
  <c r="U194" i="22"/>
  <c r="T194" i="22"/>
  <c r="W193" i="22"/>
  <c r="V193" i="22"/>
  <c r="U193" i="22"/>
  <c r="T193" i="22"/>
  <c r="W192" i="22"/>
  <c r="V192" i="22"/>
  <c r="U192" i="22"/>
  <c r="T192" i="22"/>
  <c r="W191" i="22"/>
  <c r="V191" i="22"/>
  <c r="U191" i="22"/>
  <c r="T191" i="22"/>
  <c r="W190" i="22"/>
  <c r="V190" i="22"/>
  <c r="U190" i="22"/>
  <c r="T190" i="22"/>
  <c r="W189" i="22"/>
  <c r="V189" i="22"/>
  <c r="U189" i="22"/>
  <c r="T189" i="22"/>
  <c r="W188" i="22"/>
  <c r="V188" i="22"/>
  <c r="U188" i="22"/>
  <c r="T188" i="22"/>
  <c r="W187" i="22"/>
  <c r="V187" i="22"/>
  <c r="U187" i="22"/>
  <c r="T187" i="22"/>
  <c r="W186" i="22"/>
  <c r="V186" i="22"/>
  <c r="U186" i="22"/>
  <c r="T186" i="22"/>
  <c r="W185" i="22"/>
  <c r="V185" i="22"/>
  <c r="U185" i="22"/>
  <c r="T185" i="22"/>
  <c r="W184" i="22"/>
  <c r="V184" i="22"/>
  <c r="U184" i="22"/>
  <c r="T184" i="22"/>
  <c r="W183" i="22"/>
  <c r="V183" i="22"/>
  <c r="U183" i="22"/>
  <c r="T183" i="22"/>
  <c r="W182" i="22"/>
  <c r="V182" i="22"/>
  <c r="U182" i="22"/>
  <c r="T182" i="22"/>
  <c r="W181" i="22"/>
  <c r="V181" i="22"/>
  <c r="U181" i="22"/>
  <c r="T181" i="22"/>
  <c r="W180" i="22"/>
  <c r="V180" i="22"/>
  <c r="U180" i="22"/>
  <c r="T180" i="22"/>
  <c r="W179" i="22"/>
  <c r="V179" i="22"/>
  <c r="U179" i="22"/>
  <c r="T179" i="22"/>
  <c r="W178" i="22"/>
  <c r="V178" i="22"/>
  <c r="U178" i="22"/>
  <c r="T178" i="22"/>
  <c r="W177" i="22"/>
  <c r="V177" i="22"/>
  <c r="U177" i="22"/>
  <c r="T177" i="22"/>
  <c r="W176" i="22"/>
  <c r="V176" i="22"/>
  <c r="U176" i="22"/>
  <c r="T176" i="22"/>
  <c r="W175" i="22"/>
  <c r="V175" i="22"/>
  <c r="U175" i="22"/>
  <c r="T175" i="22"/>
  <c r="W174" i="22"/>
  <c r="V174" i="22"/>
  <c r="U174" i="22"/>
  <c r="T174" i="22"/>
  <c r="W173" i="22"/>
  <c r="V173" i="22"/>
  <c r="U173" i="22"/>
  <c r="T173" i="22"/>
  <c r="W172" i="22"/>
  <c r="V172" i="22"/>
  <c r="U172" i="22"/>
  <c r="T172" i="22"/>
  <c r="W171" i="22"/>
  <c r="V171" i="22"/>
  <c r="U171" i="22"/>
  <c r="T171" i="22"/>
  <c r="W170" i="22"/>
  <c r="V170" i="22"/>
  <c r="U170" i="22"/>
  <c r="T170" i="22"/>
  <c r="W169" i="22"/>
  <c r="V169" i="22"/>
  <c r="U169" i="22"/>
  <c r="T169" i="22"/>
  <c r="W168" i="22"/>
  <c r="V168" i="22"/>
  <c r="U168" i="22"/>
  <c r="T168" i="22"/>
  <c r="W167" i="22"/>
  <c r="V167" i="22"/>
  <c r="U167" i="22"/>
  <c r="T167" i="22"/>
  <c r="W166" i="22"/>
  <c r="V166" i="22"/>
  <c r="U166" i="22"/>
  <c r="T166" i="22"/>
  <c r="W165" i="22"/>
  <c r="V165" i="22"/>
  <c r="U165" i="22"/>
  <c r="T165" i="22"/>
  <c r="W164" i="22"/>
  <c r="V164" i="22"/>
  <c r="U164" i="22"/>
  <c r="T164" i="22"/>
  <c r="W163" i="22"/>
  <c r="V163" i="22"/>
  <c r="U163" i="22"/>
  <c r="T163" i="22"/>
  <c r="W162" i="22"/>
  <c r="V162" i="22"/>
  <c r="U162" i="22"/>
  <c r="T162" i="22"/>
  <c r="W161" i="22"/>
  <c r="V161" i="22"/>
  <c r="U161" i="22"/>
  <c r="T161" i="22"/>
  <c r="W160" i="22"/>
  <c r="V160" i="22"/>
  <c r="U160" i="22"/>
  <c r="T160" i="22"/>
  <c r="W159" i="22"/>
  <c r="V159" i="22"/>
  <c r="U159" i="22"/>
  <c r="T159" i="22"/>
  <c r="W158" i="22"/>
  <c r="V158" i="22"/>
  <c r="U158" i="22"/>
  <c r="T158" i="22"/>
  <c r="W157" i="22"/>
  <c r="V157" i="22"/>
  <c r="U157" i="22"/>
  <c r="T157" i="22"/>
  <c r="W156" i="22"/>
  <c r="V156" i="22"/>
  <c r="U156" i="22"/>
  <c r="T156" i="22"/>
  <c r="W155" i="22"/>
  <c r="V155" i="22"/>
  <c r="U155" i="22"/>
  <c r="T155" i="22"/>
  <c r="W154" i="22"/>
  <c r="V154" i="22"/>
  <c r="U154" i="22"/>
  <c r="T154" i="22"/>
  <c r="W153" i="22"/>
  <c r="V153" i="22"/>
  <c r="U153" i="22"/>
  <c r="T153" i="22"/>
  <c r="W152" i="22"/>
  <c r="V152" i="22"/>
  <c r="U152" i="22"/>
  <c r="T152" i="22"/>
  <c r="W151" i="22"/>
  <c r="V151" i="22"/>
  <c r="U151" i="22"/>
  <c r="T151" i="22"/>
  <c r="W150" i="22"/>
  <c r="V150" i="22"/>
  <c r="U150" i="22"/>
  <c r="T150" i="22"/>
  <c r="W149" i="22"/>
  <c r="V149" i="22"/>
  <c r="U149" i="22"/>
  <c r="T149" i="22"/>
  <c r="W148" i="22"/>
  <c r="V148" i="22"/>
  <c r="U148" i="22"/>
  <c r="T148" i="22"/>
  <c r="W147" i="22"/>
  <c r="V147" i="22"/>
  <c r="U147" i="22"/>
  <c r="T147" i="22"/>
  <c r="W146" i="22"/>
  <c r="V146" i="22"/>
  <c r="U146" i="22"/>
  <c r="T146" i="22"/>
  <c r="W145" i="22"/>
  <c r="V145" i="22"/>
  <c r="U145" i="22"/>
  <c r="T145" i="22"/>
  <c r="W144" i="22"/>
  <c r="V144" i="22"/>
  <c r="U144" i="22"/>
  <c r="T144" i="22"/>
  <c r="W143" i="22"/>
  <c r="V143" i="22"/>
  <c r="U143" i="22"/>
  <c r="T143" i="22"/>
  <c r="W142" i="22"/>
  <c r="V142" i="22"/>
  <c r="U142" i="22"/>
  <c r="T142" i="22"/>
  <c r="W141" i="22"/>
  <c r="V141" i="22"/>
  <c r="U141" i="22"/>
  <c r="T141" i="22"/>
  <c r="W140" i="22"/>
  <c r="V140" i="22"/>
  <c r="U140" i="22"/>
  <c r="T140" i="22"/>
  <c r="W139" i="22"/>
  <c r="V139" i="22"/>
  <c r="U139" i="22"/>
  <c r="T139" i="22"/>
  <c r="W138" i="22"/>
  <c r="V138" i="22"/>
  <c r="U138" i="22"/>
  <c r="T138" i="22"/>
  <c r="W137" i="22"/>
  <c r="V137" i="22"/>
  <c r="U137" i="22"/>
  <c r="T137" i="22"/>
  <c r="W136" i="22"/>
  <c r="V136" i="22"/>
  <c r="U136" i="22"/>
  <c r="T136" i="22"/>
  <c r="W135" i="22"/>
  <c r="V135" i="22"/>
  <c r="U135" i="22"/>
  <c r="T135" i="22"/>
  <c r="W134" i="22"/>
  <c r="V134" i="22"/>
  <c r="U134" i="22"/>
  <c r="T134" i="22"/>
  <c r="W133" i="22"/>
  <c r="V133" i="22"/>
  <c r="U133" i="22"/>
  <c r="T133" i="22"/>
  <c r="W132" i="22"/>
  <c r="V132" i="22"/>
  <c r="U132" i="22"/>
  <c r="T132" i="22"/>
  <c r="W131" i="22"/>
  <c r="V131" i="22"/>
  <c r="U131" i="22"/>
  <c r="T131" i="22"/>
  <c r="W130" i="22"/>
  <c r="V130" i="22"/>
  <c r="U130" i="22"/>
  <c r="T130" i="22"/>
  <c r="W129" i="22"/>
  <c r="V129" i="22"/>
  <c r="U129" i="22"/>
  <c r="T129" i="22"/>
  <c r="W128" i="22"/>
  <c r="V128" i="22"/>
  <c r="U128" i="22"/>
  <c r="T128" i="22"/>
  <c r="W127" i="22"/>
  <c r="V127" i="22"/>
  <c r="U127" i="22"/>
  <c r="T127" i="22"/>
  <c r="W126" i="22"/>
  <c r="V126" i="22"/>
  <c r="U126" i="22"/>
  <c r="T126" i="22"/>
  <c r="W125" i="22"/>
  <c r="V125" i="22"/>
  <c r="U125" i="22"/>
  <c r="T125" i="22"/>
  <c r="W124" i="22"/>
  <c r="V124" i="22"/>
  <c r="U124" i="22"/>
  <c r="T124" i="22"/>
  <c r="W123" i="22"/>
  <c r="V123" i="22"/>
  <c r="U123" i="22"/>
  <c r="T123" i="22"/>
  <c r="W122" i="22"/>
  <c r="V122" i="22"/>
  <c r="U122" i="22"/>
  <c r="T122" i="22"/>
  <c r="W121" i="22"/>
  <c r="V121" i="22"/>
  <c r="U121" i="22"/>
  <c r="T121" i="22"/>
  <c r="W120" i="22"/>
  <c r="V120" i="22"/>
  <c r="U120" i="22"/>
  <c r="T120" i="22"/>
  <c r="W119" i="22"/>
  <c r="V119" i="22"/>
  <c r="U119" i="22"/>
  <c r="T119" i="22"/>
  <c r="W118" i="22"/>
  <c r="V118" i="22"/>
  <c r="U118" i="22"/>
  <c r="T118" i="22"/>
  <c r="W117" i="22"/>
  <c r="V117" i="22"/>
  <c r="U117" i="22"/>
  <c r="T117" i="22"/>
  <c r="W116" i="22"/>
  <c r="V116" i="22"/>
  <c r="U116" i="22"/>
  <c r="T116" i="22"/>
  <c r="W115" i="22"/>
  <c r="V115" i="22"/>
  <c r="U115" i="22"/>
  <c r="T115" i="22"/>
  <c r="BS203" i="22"/>
  <c r="BR203" i="22"/>
  <c r="BQ203" i="22"/>
  <c r="BP203" i="22"/>
  <c r="BS201" i="22"/>
  <c r="BR201" i="22"/>
  <c r="BQ201" i="22"/>
  <c r="BP201" i="22"/>
  <c r="BS200" i="22"/>
  <c r="BR200" i="22"/>
  <c r="BQ200" i="22"/>
  <c r="BP200" i="22"/>
  <c r="BS199" i="22"/>
  <c r="BR199" i="22"/>
  <c r="BQ199" i="22"/>
  <c r="BP199" i="22"/>
  <c r="BS198" i="22"/>
  <c r="BR198" i="22"/>
  <c r="BQ198" i="22"/>
  <c r="BP198" i="22"/>
  <c r="BS197" i="22"/>
  <c r="BR197" i="22"/>
  <c r="BQ197" i="22"/>
  <c r="BP197" i="22"/>
  <c r="BS196" i="22"/>
  <c r="BR196" i="22"/>
  <c r="BQ196" i="22"/>
  <c r="BP196" i="22"/>
  <c r="BS195" i="22"/>
  <c r="BR195" i="22"/>
  <c r="BQ195" i="22"/>
  <c r="BP195" i="22"/>
  <c r="BS194" i="22"/>
  <c r="BR194" i="22"/>
  <c r="BQ194" i="22"/>
  <c r="BP194" i="22"/>
  <c r="BS193" i="22"/>
  <c r="BR193" i="22"/>
  <c r="BQ193" i="22"/>
  <c r="BP193" i="22"/>
  <c r="BS192" i="22"/>
  <c r="BR192" i="22"/>
  <c r="BQ192" i="22"/>
  <c r="BP192" i="22"/>
  <c r="BS191" i="22"/>
  <c r="BR191" i="22"/>
  <c r="BQ191" i="22"/>
  <c r="BP191" i="22"/>
  <c r="BS190" i="22"/>
  <c r="BR190" i="22"/>
  <c r="BQ190" i="22"/>
  <c r="BP190" i="22"/>
  <c r="BS189" i="22"/>
  <c r="BR189" i="22"/>
  <c r="BQ189" i="22"/>
  <c r="BP189" i="22"/>
  <c r="BS188" i="22"/>
  <c r="BR188" i="22"/>
  <c r="BQ188" i="22"/>
  <c r="BP188" i="22"/>
  <c r="BS187" i="22"/>
  <c r="BR187" i="22"/>
  <c r="BQ187" i="22"/>
  <c r="BP187" i="22"/>
  <c r="BS186" i="22"/>
  <c r="BR186" i="22"/>
  <c r="BQ186" i="22"/>
  <c r="BP186" i="22"/>
  <c r="BS183" i="22"/>
  <c r="BR183" i="22"/>
  <c r="BQ183" i="22"/>
  <c r="BP183" i="22"/>
  <c r="BS182" i="22"/>
  <c r="BR182" i="22"/>
  <c r="BQ182" i="22"/>
  <c r="BP182" i="22"/>
  <c r="BS181" i="22"/>
  <c r="BR181" i="22"/>
  <c r="BQ181" i="22"/>
  <c r="BP181" i="22"/>
  <c r="BS180" i="22"/>
  <c r="BR180" i="22"/>
  <c r="BQ180" i="22"/>
  <c r="BP180" i="22"/>
  <c r="BS179" i="22"/>
  <c r="BR179" i="22"/>
  <c r="BQ179" i="22"/>
  <c r="BP179" i="22"/>
  <c r="BS177" i="22"/>
  <c r="BR177" i="22"/>
  <c r="BQ177" i="22"/>
  <c r="BP177" i="22"/>
  <c r="BS176" i="22"/>
  <c r="BR176" i="22"/>
  <c r="BQ176" i="22"/>
  <c r="BP176" i="22"/>
  <c r="BS175" i="22"/>
  <c r="BR175" i="22"/>
  <c r="BQ175" i="22"/>
  <c r="BP175" i="22"/>
  <c r="BS174" i="22"/>
  <c r="BR174" i="22"/>
  <c r="BQ174" i="22"/>
  <c r="BP174" i="22"/>
  <c r="BS173" i="22"/>
  <c r="BR173" i="22"/>
  <c r="BQ173" i="22"/>
  <c r="BP173" i="22"/>
  <c r="BS172" i="22"/>
  <c r="BR172" i="22"/>
  <c r="BQ172" i="22"/>
  <c r="BP172" i="22"/>
  <c r="BS171" i="22"/>
  <c r="BR171" i="22"/>
  <c r="BQ171" i="22"/>
  <c r="BP171" i="22"/>
  <c r="BS170" i="22"/>
  <c r="BR170" i="22"/>
  <c r="BQ170" i="22"/>
  <c r="BP170" i="22"/>
  <c r="BS169" i="22"/>
  <c r="BR169" i="22"/>
  <c r="BQ169" i="22"/>
  <c r="BP169" i="22"/>
  <c r="BS168" i="22"/>
  <c r="BR168" i="22"/>
  <c r="BQ168" i="22"/>
  <c r="BP168" i="22"/>
  <c r="BS167" i="22"/>
  <c r="BR167" i="22"/>
  <c r="BQ167" i="22"/>
  <c r="BP167" i="22"/>
  <c r="BS166" i="22"/>
  <c r="BR166" i="22"/>
  <c r="BQ166" i="22"/>
  <c r="BP166" i="22"/>
  <c r="BS165" i="22"/>
  <c r="BR165" i="22"/>
  <c r="BQ165" i="22"/>
  <c r="BP165" i="22"/>
  <c r="BS164" i="22"/>
  <c r="BR164" i="22"/>
  <c r="BQ164" i="22"/>
  <c r="BP164" i="22"/>
  <c r="BS163" i="22"/>
  <c r="BR163" i="22"/>
  <c r="BQ163" i="22"/>
  <c r="BP163" i="22"/>
  <c r="BS162" i="22"/>
  <c r="BR162" i="22"/>
  <c r="BQ162" i="22"/>
  <c r="BP162" i="22"/>
  <c r="BS161" i="22"/>
  <c r="BR161" i="22"/>
  <c r="BQ161" i="22"/>
  <c r="BP161" i="22"/>
  <c r="BS160" i="22"/>
  <c r="BR160" i="22"/>
  <c r="BQ160" i="22"/>
  <c r="BP160" i="22"/>
  <c r="BS159" i="22"/>
  <c r="BR159" i="22"/>
  <c r="BQ159" i="22"/>
  <c r="BP159" i="22"/>
  <c r="BS158" i="22"/>
  <c r="BR158" i="22"/>
  <c r="BQ158" i="22"/>
  <c r="BP158" i="22"/>
  <c r="BS157" i="22"/>
  <c r="BR157" i="22"/>
  <c r="BQ157" i="22"/>
  <c r="BP157" i="22"/>
  <c r="BS156" i="22"/>
  <c r="BR156" i="22"/>
  <c r="BQ156" i="22"/>
  <c r="BP156" i="22"/>
  <c r="BS155" i="22"/>
  <c r="BR155" i="22"/>
  <c r="BQ155" i="22"/>
  <c r="BP155" i="22"/>
  <c r="BS154" i="22"/>
  <c r="BR154" i="22"/>
  <c r="BQ154" i="22"/>
  <c r="BP154" i="22"/>
  <c r="BS153" i="22"/>
  <c r="BR153" i="22"/>
  <c r="BQ153" i="22"/>
  <c r="BP153" i="22"/>
  <c r="BS152" i="22"/>
  <c r="BR152" i="22"/>
  <c r="BQ152" i="22"/>
  <c r="BP152" i="22"/>
  <c r="BS151" i="22"/>
  <c r="BR151" i="22"/>
  <c r="BQ151" i="22"/>
  <c r="BP151" i="22"/>
  <c r="BS150" i="22"/>
  <c r="BR150" i="22"/>
  <c r="BQ150" i="22"/>
  <c r="BP150" i="22"/>
  <c r="BS149" i="22"/>
  <c r="BR149" i="22"/>
  <c r="BQ149" i="22"/>
  <c r="BP149" i="22"/>
  <c r="BS148" i="22"/>
  <c r="BR148" i="22"/>
  <c r="BQ148" i="22"/>
  <c r="BP148" i="22"/>
  <c r="BS147" i="22"/>
  <c r="BR147" i="22"/>
  <c r="BQ147" i="22"/>
  <c r="BP147" i="22"/>
  <c r="BS146" i="22"/>
  <c r="BR146" i="22"/>
  <c r="BQ146" i="22"/>
  <c r="BP146" i="22"/>
  <c r="BS145" i="22"/>
  <c r="BR145" i="22"/>
  <c r="BQ145" i="22"/>
  <c r="BP145" i="22"/>
  <c r="BS144" i="22"/>
  <c r="BR144" i="22"/>
  <c r="BQ144" i="22"/>
  <c r="BP144" i="22"/>
  <c r="BS143" i="22"/>
  <c r="BR143" i="22"/>
  <c r="BQ143" i="22"/>
  <c r="BP143" i="22"/>
  <c r="BS142" i="22"/>
  <c r="BR142" i="22"/>
  <c r="BQ142" i="22"/>
  <c r="BP142" i="22"/>
  <c r="BS141" i="22"/>
  <c r="BR141" i="22"/>
  <c r="BQ141" i="22"/>
  <c r="BP141" i="22"/>
  <c r="BS139" i="22"/>
  <c r="BR139" i="22"/>
  <c r="BQ139" i="22"/>
  <c r="BP139" i="22"/>
  <c r="BS138" i="22"/>
  <c r="BR138" i="22"/>
  <c r="BQ138" i="22"/>
  <c r="BP138" i="22"/>
  <c r="BS137" i="22"/>
  <c r="BR137" i="22"/>
  <c r="BQ137" i="22"/>
  <c r="BP137" i="22"/>
  <c r="BS136" i="22"/>
  <c r="BR136" i="22"/>
  <c r="BQ136" i="22"/>
  <c r="BP136" i="22"/>
  <c r="BS135" i="22"/>
  <c r="BR135" i="22"/>
  <c r="BQ135" i="22"/>
  <c r="BP135" i="22"/>
  <c r="BS134" i="22"/>
  <c r="BR134" i="22"/>
  <c r="BQ134" i="22"/>
  <c r="BP134" i="22"/>
  <c r="BS133" i="22"/>
  <c r="BR133" i="22"/>
  <c r="BQ133" i="22"/>
  <c r="BP133" i="22"/>
  <c r="BS132" i="22"/>
  <c r="BR132" i="22"/>
  <c r="BQ132" i="22"/>
  <c r="BP132" i="22"/>
  <c r="BS131" i="22"/>
  <c r="BR131" i="22"/>
  <c r="BQ131" i="22"/>
  <c r="BP131" i="22"/>
  <c r="BS130" i="22"/>
  <c r="BR130" i="22"/>
  <c r="BQ130" i="22"/>
  <c r="BP130" i="22"/>
  <c r="BS129" i="22"/>
  <c r="BR129" i="22"/>
  <c r="BQ129" i="22"/>
  <c r="BP129" i="22"/>
  <c r="BS128" i="22"/>
  <c r="BR128" i="22"/>
  <c r="BQ128" i="22"/>
  <c r="BP128" i="22"/>
  <c r="BS127" i="22"/>
  <c r="BR127" i="22"/>
  <c r="BQ127" i="22"/>
  <c r="BP127" i="22"/>
  <c r="BS126" i="22"/>
  <c r="BR126" i="22"/>
  <c r="BQ126" i="22"/>
  <c r="BP126" i="22"/>
  <c r="BS125" i="22"/>
  <c r="BR125" i="22"/>
  <c r="BQ125" i="22"/>
  <c r="BP125" i="22"/>
  <c r="BS124" i="22"/>
  <c r="BR124" i="22"/>
  <c r="BQ124" i="22"/>
  <c r="BP124" i="22"/>
  <c r="BS123" i="22"/>
  <c r="BR123" i="22"/>
  <c r="BQ123" i="22"/>
  <c r="BP123" i="22"/>
  <c r="BS122" i="22"/>
  <c r="BR122" i="22"/>
  <c r="BQ122" i="22"/>
  <c r="BP122" i="22"/>
  <c r="BS120" i="22"/>
  <c r="BR120" i="22"/>
  <c r="BQ120" i="22"/>
  <c r="BP120" i="22"/>
  <c r="BS119" i="22"/>
  <c r="BR119" i="22"/>
  <c r="BQ119" i="22"/>
  <c r="BP119" i="22"/>
  <c r="BS118" i="22"/>
  <c r="BR118" i="22"/>
  <c r="BQ118" i="22"/>
  <c r="BP118" i="22"/>
  <c r="BS117" i="22"/>
  <c r="BR117" i="22"/>
  <c r="BQ117" i="22"/>
  <c r="BP117" i="22"/>
  <c r="BS116" i="22"/>
  <c r="BR116" i="22"/>
  <c r="BQ116" i="22"/>
  <c r="BP116" i="22"/>
  <c r="BS115" i="22"/>
  <c r="BR115" i="22"/>
  <c r="BQ115" i="22"/>
  <c r="BP115" i="22"/>
  <c r="C115" i="22"/>
  <c r="BQ9" i="10"/>
  <c r="BQ10" i="10"/>
  <c r="BQ11" i="10"/>
  <c r="BQ12" i="10"/>
  <c r="BQ13" i="10"/>
  <c r="BQ14" i="10"/>
  <c r="BQ15" i="10"/>
  <c r="BQ16" i="10"/>
  <c r="BQ17" i="10"/>
  <c r="BQ18" i="10"/>
  <c r="BQ19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34" i="10"/>
  <c r="BQ35" i="10"/>
  <c r="BQ36" i="10"/>
  <c r="BQ37" i="10"/>
  <c r="BQ38" i="10"/>
  <c r="BQ39" i="10"/>
  <c r="BQ40" i="10"/>
  <c r="BQ41" i="10"/>
  <c r="BQ42" i="10"/>
  <c r="BQ43" i="10"/>
  <c r="BQ44" i="10"/>
  <c r="BQ45" i="10"/>
  <c r="BQ46" i="10"/>
  <c r="BQ47" i="10"/>
  <c r="BQ48" i="10"/>
  <c r="BQ49" i="10"/>
  <c r="BQ50" i="10"/>
  <c r="BQ51" i="10"/>
  <c r="BQ52" i="10"/>
  <c r="BQ53" i="10"/>
  <c r="BQ54" i="10"/>
  <c r="BQ55" i="10"/>
  <c r="BQ56" i="10"/>
  <c r="BQ57" i="10"/>
  <c r="BQ58" i="10"/>
  <c r="BQ59" i="10"/>
  <c r="BQ60" i="10"/>
  <c r="BQ61" i="10"/>
  <c r="BQ62" i="10"/>
  <c r="BQ63" i="10"/>
  <c r="BQ64" i="10"/>
  <c r="BQ65" i="10"/>
  <c r="BQ66" i="10"/>
  <c r="BQ67" i="10"/>
  <c r="BQ68" i="10"/>
  <c r="BQ69" i="10"/>
  <c r="BQ70" i="10"/>
  <c r="BQ71" i="10"/>
  <c r="BQ72" i="10"/>
  <c r="BQ73" i="10"/>
  <c r="BQ74" i="10"/>
  <c r="BQ75" i="10"/>
  <c r="BQ76" i="10"/>
  <c r="BQ77" i="10"/>
  <c r="BQ78" i="10"/>
  <c r="BQ79" i="10"/>
  <c r="BQ80" i="10"/>
  <c r="BQ81" i="10"/>
  <c r="BQ82" i="10"/>
  <c r="BQ83" i="10"/>
  <c r="BQ84" i="10"/>
  <c r="BQ85" i="10"/>
  <c r="BQ86" i="10"/>
  <c r="BQ87" i="10"/>
  <c r="BQ88" i="10"/>
  <c r="BQ89" i="10"/>
  <c r="BQ90" i="10"/>
  <c r="BQ91" i="10"/>
  <c r="BQ92" i="10"/>
  <c r="BQ93" i="10"/>
  <c r="BQ94" i="10"/>
  <c r="BQ95" i="10"/>
  <c r="BQ96" i="10"/>
  <c r="BQ97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HV105" i="22"/>
  <c r="HV104" i="22"/>
  <c r="IE103" i="22"/>
  <c r="ID103" i="22"/>
  <c r="IC103" i="22"/>
  <c r="IB103" i="22"/>
  <c r="IA103" i="22"/>
  <c r="HY103" i="22"/>
  <c r="HX103" i="22"/>
  <c r="HW103" i="22"/>
  <c r="HV103" i="22"/>
  <c r="HV102" i="22"/>
  <c r="HV101" i="22"/>
  <c r="IE100" i="22"/>
  <c r="ID100" i="22"/>
  <c r="IC100" i="22"/>
  <c r="IB100" i="22"/>
  <c r="IA100" i="22"/>
  <c r="HZ100" i="22"/>
  <c r="HY100" i="22"/>
  <c r="HX100" i="22"/>
  <c r="HW100" i="22"/>
  <c r="HV100" i="22"/>
  <c r="IE99" i="22"/>
  <c r="HW99" i="22"/>
  <c r="HV99" i="22"/>
  <c r="HV98" i="22"/>
  <c r="IB97" i="22"/>
  <c r="HV97" i="22"/>
  <c r="HV96" i="22"/>
  <c r="HV95" i="22"/>
  <c r="HX94" i="22"/>
  <c r="HV94" i="22"/>
  <c r="IE93" i="22"/>
  <c r="HV93" i="22"/>
  <c r="HV92" i="22"/>
  <c r="HV91" i="22"/>
  <c r="HV90" i="22"/>
  <c r="IE89" i="22"/>
  <c r="ID89" i="22"/>
  <c r="HW89" i="22"/>
  <c r="HV89" i="22"/>
  <c r="HV88" i="22"/>
  <c r="HV87" i="22"/>
  <c r="IE86" i="22"/>
  <c r="ID86" i="22"/>
  <c r="IC86" i="22"/>
  <c r="IB86" i="22"/>
  <c r="IA86" i="22"/>
  <c r="HV86" i="22"/>
  <c r="IE85" i="22"/>
  <c r="ID85" i="22"/>
  <c r="IC85" i="22"/>
  <c r="IA85" i="22"/>
  <c r="HZ85" i="22"/>
  <c r="HY85" i="22"/>
  <c r="HX85" i="22"/>
  <c r="HW85" i="22"/>
  <c r="HV85" i="22"/>
  <c r="IE84" i="22"/>
  <c r="IC84" i="22"/>
  <c r="IA84" i="22"/>
  <c r="HV84" i="22"/>
  <c r="IC83" i="22"/>
  <c r="HV83" i="22"/>
  <c r="HV82" i="22"/>
  <c r="HV81" i="22"/>
  <c r="HV80" i="22"/>
  <c r="IE79" i="22"/>
  <c r="ID79" i="22"/>
  <c r="IC79" i="22"/>
  <c r="HV79" i="22"/>
  <c r="HV78" i="22"/>
  <c r="HV77" i="22"/>
  <c r="IE76" i="22"/>
  <c r="IC76" i="22"/>
  <c r="IA76" i="22"/>
  <c r="HV76" i="22"/>
  <c r="HV75" i="22"/>
  <c r="IC74" i="22"/>
  <c r="HV74" i="22"/>
  <c r="HV73" i="22"/>
  <c r="HV72" i="22"/>
  <c r="IC71" i="22"/>
  <c r="IA71" i="22"/>
  <c r="HY71" i="22"/>
  <c r="HW71" i="22"/>
  <c r="HV71" i="22"/>
  <c r="IC70" i="22"/>
  <c r="HV70" i="22"/>
  <c r="IA69" i="22"/>
  <c r="HV69" i="22"/>
  <c r="HZ68" i="22"/>
  <c r="HV68" i="22"/>
  <c r="HV67" i="22"/>
  <c r="HV66" i="22"/>
  <c r="IE65" i="22"/>
  <c r="ID65" i="22"/>
  <c r="IC65" i="22"/>
  <c r="IB65" i="22"/>
  <c r="IA65" i="22"/>
  <c r="HZ65" i="22"/>
  <c r="HY65" i="22"/>
  <c r="HX65" i="22"/>
  <c r="HW65" i="22"/>
  <c r="HV65" i="22"/>
  <c r="HV64" i="22"/>
  <c r="HV63" i="22"/>
  <c r="IE62" i="22"/>
  <c r="ID62" i="22"/>
  <c r="IC62" i="22"/>
  <c r="IB62" i="22"/>
  <c r="IA62" i="22"/>
  <c r="HZ62" i="22"/>
  <c r="HV62" i="22"/>
  <c r="IE61" i="22"/>
  <c r="ID61" i="22"/>
  <c r="IC61" i="22"/>
  <c r="HV61" i="22"/>
  <c r="ID60" i="22"/>
  <c r="IC60" i="22"/>
  <c r="IA60" i="22"/>
  <c r="HW60" i="22"/>
  <c r="HV60" i="22"/>
  <c r="IE59" i="22"/>
  <c r="ID59" i="22"/>
  <c r="IC59" i="22"/>
  <c r="IB59" i="22"/>
  <c r="IA59" i="22"/>
  <c r="HV59" i="22"/>
  <c r="IE58" i="22"/>
  <c r="ID58" i="22"/>
  <c r="HV58" i="22"/>
  <c r="HV57" i="22"/>
  <c r="HV56" i="22"/>
  <c r="HV55" i="22"/>
  <c r="HV54" i="22"/>
  <c r="HV53" i="22"/>
  <c r="HV52" i="22"/>
  <c r="HV51" i="22"/>
  <c r="IA50" i="22"/>
  <c r="HV50" i="22"/>
  <c r="HV49" i="22"/>
  <c r="HV48" i="22"/>
  <c r="HV47" i="22"/>
  <c r="HV46" i="22"/>
  <c r="IE45" i="22"/>
  <c r="IA45" i="22"/>
  <c r="HV45" i="22"/>
  <c r="HV44" i="22"/>
  <c r="IE43" i="22"/>
  <c r="ID43" i="22"/>
  <c r="IC43" i="22"/>
  <c r="IB43" i="22"/>
  <c r="IA43" i="22"/>
  <c r="HZ43" i="22"/>
  <c r="HY43" i="22"/>
  <c r="HX43" i="22"/>
  <c r="HW43" i="22"/>
  <c r="HV43" i="22"/>
  <c r="IC42" i="22"/>
  <c r="HV42" i="22"/>
  <c r="HV41" i="22"/>
  <c r="HV40" i="22"/>
  <c r="HV39" i="22"/>
  <c r="IE38" i="22"/>
  <c r="IC38" i="22"/>
  <c r="HV38" i="22"/>
  <c r="IC37" i="22"/>
  <c r="HV37" i="22"/>
  <c r="HV36" i="22"/>
  <c r="IE35" i="22"/>
  <c r="ID35" i="22"/>
  <c r="IC35" i="22"/>
  <c r="IB35" i="22"/>
  <c r="IA35" i="22"/>
  <c r="HZ35" i="22"/>
  <c r="HV35" i="22"/>
  <c r="HV34" i="22"/>
  <c r="HV33" i="22"/>
  <c r="HV32" i="22"/>
  <c r="HV31" i="22"/>
  <c r="IE30" i="22"/>
  <c r="ID30" i="22"/>
  <c r="HY30" i="22"/>
  <c r="HV30" i="22"/>
  <c r="HY29" i="22"/>
  <c r="HV29" i="22"/>
  <c r="HV28" i="22"/>
  <c r="HV27" i="22"/>
  <c r="IE26" i="22"/>
  <c r="HV26" i="22"/>
  <c r="IC25" i="22"/>
  <c r="HV25" i="22"/>
  <c r="HV24" i="22"/>
  <c r="IE23" i="22"/>
  <c r="ID23" i="22"/>
  <c r="IC23" i="22"/>
  <c r="IB23" i="22"/>
  <c r="IA23" i="22"/>
  <c r="HZ23" i="22"/>
  <c r="HY23" i="22"/>
  <c r="HX23" i="22"/>
  <c r="HW23" i="22"/>
  <c r="HV23" i="22"/>
  <c r="HV22" i="22"/>
  <c r="IC21" i="22"/>
  <c r="HV21" i="22"/>
  <c r="HV20" i="22"/>
  <c r="HV19" i="22"/>
  <c r="IF23" i="22"/>
  <c r="IF25" i="22"/>
  <c r="IF30" i="22"/>
  <c r="IF35" i="22"/>
  <c r="IF39" i="22"/>
  <c r="IF43" i="22"/>
  <c r="IF45" i="22"/>
  <c r="IF54" i="22"/>
  <c r="IF59" i="22"/>
  <c r="IF60" i="22"/>
  <c r="IF61" i="22"/>
  <c r="IF62" i="22"/>
  <c r="IF65" i="22"/>
  <c r="IF68" i="22"/>
  <c r="IF72" i="22"/>
  <c r="IF75" i="22"/>
  <c r="IF76" i="22"/>
  <c r="IF79" i="22"/>
  <c r="IF83" i="22"/>
  <c r="IF84" i="22"/>
  <c r="IF85" i="22"/>
  <c r="IF86" i="22"/>
  <c r="IF89" i="22"/>
  <c r="IF95" i="22"/>
  <c r="IF98" i="22"/>
  <c r="IF99" i="22"/>
  <c r="IF100" i="22"/>
  <c r="IF103" i="22"/>
  <c r="IF104" i="22"/>
  <c r="IG23" i="22"/>
  <c r="IG25" i="22"/>
  <c r="IG30" i="22"/>
  <c r="IG35" i="22"/>
  <c r="IG39" i="22"/>
  <c r="IG43" i="22"/>
  <c r="IG45" i="22"/>
  <c r="IG54" i="22"/>
  <c r="IG59" i="22"/>
  <c r="IG60" i="22"/>
  <c r="IG61" i="22"/>
  <c r="IG62" i="22"/>
  <c r="IG65" i="22"/>
  <c r="IG68" i="22"/>
  <c r="IG72" i="22"/>
  <c r="IG75" i="22"/>
  <c r="IG76" i="22"/>
  <c r="IG79" i="22"/>
  <c r="IG83" i="22"/>
  <c r="IG84" i="22"/>
  <c r="IG85" i="22"/>
  <c r="IG86" i="22"/>
  <c r="IG89" i="22"/>
  <c r="IG95" i="22"/>
  <c r="IG98" i="22"/>
  <c r="IG99" i="22"/>
  <c r="IG100" i="22"/>
  <c r="IG103" i="22"/>
  <c r="IG104" i="22"/>
  <c r="IH23" i="22"/>
  <c r="IH25" i="22"/>
  <c r="IH30" i="22"/>
  <c r="IH35" i="22"/>
  <c r="IH39" i="22"/>
  <c r="IH43" i="22"/>
  <c r="IH45" i="22"/>
  <c r="IH54" i="22"/>
  <c r="IH59" i="22"/>
  <c r="IH60" i="22"/>
  <c r="IH61" i="22"/>
  <c r="IH62" i="22"/>
  <c r="IH65" i="22"/>
  <c r="IH68" i="22"/>
  <c r="IH72" i="22"/>
  <c r="IH75" i="22"/>
  <c r="IH76" i="22"/>
  <c r="IH79" i="22"/>
  <c r="IH83" i="22"/>
  <c r="IH84" i="22"/>
  <c r="IH85" i="22"/>
  <c r="IH86" i="22"/>
  <c r="IH89" i="22"/>
  <c r="IH95" i="22"/>
  <c r="IH98" i="22"/>
  <c r="IH99" i="22"/>
  <c r="IH100" i="22"/>
  <c r="IH103" i="22"/>
  <c r="IH104" i="22"/>
  <c r="GU105" i="22"/>
  <c r="GT105" i="22"/>
  <c r="GS105" i="22"/>
  <c r="GR105" i="22"/>
  <c r="GQ105" i="22"/>
  <c r="GP105" i="22"/>
  <c r="GO105" i="22"/>
  <c r="GN105" i="22"/>
  <c r="GM105" i="22"/>
  <c r="HG104" i="22"/>
  <c r="HF104" i="22"/>
  <c r="HE104" i="22"/>
  <c r="GU104" i="22"/>
  <c r="GT104" i="22"/>
  <c r="GS104" i="22"/>
  <c r="GR104" i="22"/>
  <c r="GQ104" i="22"/>
  <c r="GP104" i="22"/>
  <c r="GO104" i="22"/>
  <c r="GN104" i="22"/>
  <c r="GM104" i="22"/>
  <c r="HG103" i="22"/>
  <c r="HF103" i="22"/>
  <c r="HE103" i="22"/>
  <c r="HD103" i="22"/>
  <c r="HC103" i="22"/>
  <c r="HB103" i="22"/>
  <c r="HA103" i="22"/>
  <c r="GZ103" i="22"/>
  <c r="GX103" i="22"/>
  <c r="GW103" i="22"/>
  <c r="GV103" i="22"/>
  <c r="GU103" i="22"/>
  <c r="GT103" i="22"/>
  <c r="GS103" i="22"/>
  <c r="GR103" i="22"/>
  <c r="GQ103" i="22"/>
  <c r="GP103" i="22"/>
  <c r="GO103" i="22"/>
  <c r="GN103" i="22"/>
  <c r="GM103" i="22"/>
  <c r="GU102" i="22"/>
  <c r="GT102" i="22"/>
  <c r="GS102" i="22"/>
  <c r="GR102" i="22"/>
  <c r="GQ102" i="22"/>
  <c r="GP102" i="22"/>
  <c r="GO102" i="22"/>
  <c r="GN102" i="22"/>
  <c r="GM102" i="22"/>
  <c r="GU101" i="22"/>
  <c r="GT101" i="22"/>
  <c r="GS101" i="22"/>
  <c r="GR101" i="22"/>
  <c r="GQ101" i="22"/>
  <c r="GP101" i="22"/>
  <c r="GO101" i="22"/>
  <c r="GN101" i="22"/>
  <c r="GM101" i="22"/>
  <c r="HG100" i="22"/>
  <c r="HF100" i="22"/>
  <c r="HE100" i="22"/>
  <c r="HD100" i="22"/>
  <c r="HC100" i="22"/>
  <c r="HB100" i="22"/>
  <c r="HA100" i="22"/>
  <c r="GZ100" i="22"/>
  <c r="GY100" i="22"/>
  <c r="GX100" i="22"/>
  <c r="GW100" i="22"/>
  <c r="GV100" i="22"/>
  <c r="GU100" i="22"/>
  <c r="GT100" i="22"/>
  <c r="GS100" i="22"/>
  <c r="GR100" i="22"/>
  <c r="GQ100" i="22"/>
  <c r="GP100" i="22"/>
  <c r="GO100" i="22"/>
  <c r="GN100" i="22"/>
  <c r="GM100" i="22"/>
  <c r="HG99" i="22"/>
  <c r="HF99" i="22"/>
  <c r="HE99" i="22"/>
  <c r="HD99" i="22"/>
  <c r="GV99" i="22"/>
  <c r="GU99" i="22"/>
  <c r="GT99" i="22"/>
  <c r="GS99" i="22"/>
  <c r="GR99" i="22"/>
  <c r="GQ99" i="22"/>
  <c r="GP99" i="22"/>
  <c r="GO99" i="22"/>
  <c r="GN99" i="22"/>
  <c r="GM99" i="22"/>
  <c r="HG98" i="22"/>
  <c r="HF98" i="22"/>
  <c r="HE98" i="22"/>
  <c r="GU98" i="22"/>
  <c r="GT98" i="22"/>
  <c r="GS98" i="22"/>
  <c r="GR98" i="22"/>
  <c r="GQ98" i="22"/>
  <c r="GP98" i="22"/>
  <c r="GO98" i="22"/>
  <c r="GN98" i="22"/>
  <c r="GM98" i="22"/>
  <c r="HA97" i="22"/>
  <c r="GU97" i="22"/>
  <c r="GT97" i="22"/>
  <c r="GS97" i="22"/>
  <c r="GR97" i="22"/>
  <c r="GQ97" i="22"/>
  <c r="GP97" i="22"/>
  <c r="GO97" i="22"/>
  <c r="GN97" i="22"/>
  <c r="GM97" i="22"/>
  <c r="GU96" i="22"/>
  <c r="GT96" i="22"/>
  <c r="GS96" i="22"/>
  <c r="GR96" i="22"/>
  <c r="GQ96" i="22"/>
  <c r="GP96" i="22"/>
  <c r="GO96" i="22"/>
  <c r="GN96" i="22"/>
  <c r="GM96" i="22"/>
  <c r="HG95" i="22"/>
  <c r="HF95" i="22"/>
  <c r="HE95" i="22"/>
  <c r="GU95" i="22"/>
  <c r="GT95" i="22"/>
  <c r="GS95" i="22"/>
  <c r="GR95" i="22"/>
  <c r="GQ95" i="22"/>
  <c r="GP95" i="22"/>
  <c r="GO95" i="22"/>
  <c r="GN95" i="22"/>
  <c r="GM95" i="22"/>
  <c r="GW94" i="22"/>
  <c r="GU94" i="22"/>
  <c r="GT94" i="22"/>
  <c r="GS94" i="22"/>
  <c r="GR94" i="22"/>
  <c r="GQ94" i="22"/>
  <c r="GP94" i="22"/>
  <c r="GO94" i="22"/>
  <c r="GN94" i="22"/>
  <c r="GM94" i="22"/>
  <c r="HD93" i="22"/>
  <c r="GU93" i="22"/>
  <c r="GT93" i="22"/>
  <c r="GS93" i="22"/>
  <c r="GR93" i="22"/>
  <c r="GQ93" i="22"/>
  <c r="GP93" i="22"/>
  <c r="GO93" i="22"/>
  <c r="GN93" i="22"/>
  <c r="GM93" i="22"/>
  <c r="GU92" i="22"/>
  <c r="GT92" i="22"/>
  <c r="GS92" i="22"/>
  <c r="GR92" i="22"/>
  <c r="GQ92" i="22"/>
  <c r="GP92" i="22"/>
  <c r="GO92" i="22"/>
  <c r="GN92" i="22"/>
  <c r="GM92" i="22"/>
  <c r="GU91" i="22"/>
  <c r="GT91" i="22"/>
  <c r="GS91" i="22"/>
  <c r="GR91" i="22"/>
  <c r="GQ91" i="22"/>
  <c r="GP91" i="22"/>
  <c r="GO91" i="22"/>
  <c r="GN91" i="22"/>
  <c r="GM91" i="22"/>
  <c r="GU90" i="22"/>
  <c r="GT90" i="22"/>
  <c r="GS90" i="22"/>
  <c r="GR90" i="22"/>
  <c r="GQ90" i="22"/>
  <c r="GP90" i="22"/>
  <c r="GO90" i="22"/>
  <c r="GN90" i="22"/>
  <c r="GM90" i="22"/>
  <c r="HG89" i="22"/>
  <c r="HF89" i="22"/>
  <c r="HE89" i="22"/>
  <c r="HD89" i="22"/>
  <c r="HC89" i="22"/>
  <c r="GV89" i="22"/>
  <c r="GU89" i="22"/>
  <c r="GT89" i="22"/>
  <c r="GS89" i="22"/>
  <c r="GR89" i="22"/>
  <c r="GQ89" i="22"/>
  <c r="GP89" i="22"/>
  <c r="GO89" i="22"/>
  <c r="GN89" i="22"/>
  <c r="GM89" i="22"/>
  <c r="GU88" i="22"/>
  <c r="GT88" i="22"/>
  <c r="GS88" i="22"/>
  <c r="GR88" i="22"/>
  <c r="GQ88" i="22"/>
  <c r="GP88" i="22"/>
  <c r="GO88" i="22"/>
  <c r="GN88" i="22"/>
  <c r="GM88" i="22"/>
  <c r="GU87" i="22"/>
  <c r="GT87" i="22"/>
  <c r="GS87" i="22"/>
  <c r="GR87" i="22"/>
  <c r="GQ87" i="22"/>
  <c r="GP87" i="22"/>
  <c r="GO87" i="22"/>
  <c r="GN87" i="22"/>
  <c r="GM87" i="22"/>
  <c r="HG86" i="22"/>
  <c r="HF86" i="22"/>
  <c r="HE86" i="22"/>
  <c r="HD86" i="22"/>
  <c r="HC86" i="22"/>
  <c r="HB86" i="22"/>
  <c r="HA86" i="22"/>
  <c r="GZ86" i="22"/>
  <c r="GU86" i="22"/>
  <c r="GT86" i="22"/>
  <c r="GS86" i="22"/>
  <c r="GR86" i="22"/>
  <c r="GQ86" i="22"/>
  <c r="GP86" i="22"/>
  <c r="GO86" i="22"/>
  <c r="GN86" i="22"/>
  <c r="GM86" i="22"/>
  <c r="HG85" i="22"/>
  <c r="HF85" i="22"/>
  <c r="HE85" i="22"/>
  <c r="HD85" i="22"/>
  <c r="HC85" i="22"/>
  <c r="HB85" i="22"/>
  <c r="GZ85" i="22"/>
  <c r="GY85" i="22"/>
  <c r="GX85" i="22"/>
  <c r="GW85" i="22"/>
  <c r="GV85" i="22"/>
  <c r="GU85" i="22"/>
  <c r="GT85" i="22"/>
  <c r="GS85" i="22"/>
  <c r="GR85" i="22"/>
  <c r="GQ85" i="22"/>
  <c r="GP85" i="22"/>
  <c r="GO85" i="22"/>
  <c r="GN85" i="22"/>
  <c r="GM85" i="22"/>
  <c r="HG84" i="22"/>
  <c r="HF84" i="22"/>
  <c r="HE84" i="22"/>
  <c r="HD84" i="22"/>
  <c r="HB84" i="22"/>
  <c r="GZ84" i="22"/>
  <c r="GU84" i="22"/>
  <c r="GT84" i="22"/>
  <c r="GS84" i="22"/>
  <c r="GR84" i="22"/>
  <c r="GQ84" i="22"/>
  <c r="GP84" i="22"/>
  <c r="GO84" i="22"/>
  <c r="GN84" i="22"/>
  <c r="GM84" i="22"/>
  <c r="HG83" i="22"/>
  <c r="HF83" i="22"/>
  <c r="HE83" i="22"/>
  <c r="HB83" i="22"/>
  <c r="GU83" i="22"/>
  <c r="GT83" i="22"/>
  <c r="GS83" i="22"/>
  <c r="GR83" i="22"/>
  <c r="GQ83" i="22"/>
  <c r="GP83" i="22"/>
  <c r="GO83" i="22"/>
  <c r="GN83" i="22"/>
  <c r="GM83" i="22"/>
  <c r="GU82" i="22"/>
  <c r="GT82" i="22"/>
  <c r="GS82" i="22"/>
  <c r="GR82" i="22"/>
  <c r="GQ82" i="22"/>
  <c r="GP82" i="22"/>
  <c r="GO82" i="22"/>
  <c r="GN82" i="22"/>
  <c r="GM82" i="22"/>
  <c r="GU81" i="22"/>
  <c r="GT81" i="22"/>
  <c r="GS81" i="22"/>
  <c r="GR81" i="22"/>
  <c r="GQ81" i="22"/>
  <c r="GP81" i="22"/>
  <c r="GO81" i="22"/>
  <c r="GN81" i="22"/>
  <c r="GM81" i="22"/>
  <c r="GU80" i="22"/>
  <c r="GT80" i="22"/>
  <c r="GS80" i="22"/>
  <c r="GR80" i="22"/>
  <c r="GQ80" i="22"/>
  <c r="GP80" i="22"/>
  <c r="GO80" i="22"/>
  <c r="GN80" i="22"/>
  <c r="GM80" i="22"/>
  <c r="HG79" i="22"/>
  <c r="HF79" i="22"/>
  <c r="HE79" i="22"/>
  <c r="HD79" i="22"/>
  <c r="HC79" i="22"/>
  <c r="HB79" i="22"/>
  <c r="GU79" i="22"/>
  <c r="GT79" i="22"/>
  <c r="GS79" i="22"/>
  <c r="GR79" i="22"/>
  <c r="GQ79" i="22"/>
  <c r="GP79" i="22"/>
  <c r="GO79" i="22"/>
  <c r="GN79" i="22"/>
  <c r="GM79" i="22"/>
  <c r="GU78" i="22"/>
  <c r="GT78" i="22"/>
  <c r="GS78" i="22"/>
  <c r="GR78" i="22"/>
  <c r="GQ78" i="22"/>
  <c r="GP78" i="22"/>
  <c r="GO78" i="22"/>
  <c r="GN78" i="22"/>
  <c r="GM78" i="22"/>
  <c r="GU77" i="22"/>
  <c r="GT77" i="22"/>
  <c r="GS77" i="22"/>
  <c r="GR77" i="22"/>
  <c r="GQ77" i="22"/>
  <c r="GP77" i="22"/>
  <c r="GO77" i="22"/>
  <c r="GN77" i="22"/>
  <c r="GM77" i="22"/>
  <c r="HG76" i="22"/>
  <c r="HF76" i="22"/>
  <c r="HE76" i="22"/>
  <c r="HD76" i="22"/>
  <c r="HB76" i="22"/>
  <c r="GZ76" i="22"/>
  <c r="GU76" i="22"/>
  <c r="GT76" i="22"/>
  <c r="GS76" i="22"/>
  <c r="GR76" i="22"/>
  <c r="GQ76" i="22"/>
  <c r="GP76" i="22"/>
  <c r="GO76" i="22"/>
  <c r="GN76" i="22"/>
  <c r="GM76" i="22"/>
  <c r="HG75" i="22"/>
  <c r="HF75" i="22"/>
  <c r="HE75" i="22"/>
  <c r="HB75" i="22"/>
  <c r="GU75" i="22"/>
  <c r="GT75" i="22"/>
  <c r="GS75" i="22"/>
  <c r="GR75" i="22"/>
  <c r="GQ75" i="22"/>
  <c r="GP75" i="22"/>
  <c r="GO75" i="22"/>
  <c r="GN75" i="22"/>
  <c r="GM75" i="22"/>
  <c r="HB74" i="22"/>
  <c r="GU74" i="22"/>
  <c r="GT74" i="22"/>
  <c r="GS74" i="22"/>
  <c r="GR74" i="22"/>
  <c r="GQ74" i="22"/>
  <c r="GP74" i="22"/>
  <c r="GO74" i="22"/>
  <c r="GN74" i="22"/>
  <c r="GM74" i="22"/>
  <c r="GU73" i="22"/>
  <c r="GT73" i="22"/>
  <c r="GS73" i="22"/>
  <c r="GR73" i="22"/>
  <c r="GQ73" i="22"/>
  <c r="GP73" i="22"/>
  <c r="GO73" i="22"/>
  <c r="GN73" i="22"/>
  <c r="GM73" i="22"/>
  <c r="HG72" i="22"/>
  <c r="HF72" i="22"/>
  <c r="HE72" i="22"/>
  <c r="GU72" i="22"/>
  <c r="GT72" i="22"/>
  <c r="GS72" i="22"/>
  <c r="GR72" i="22"/>
  <c r="GQ72" i="22"/>
  <c r="GP72" i="22"/>
  <c r="GO72" i="22"/>
  <c r="GN72" i="22"/>
  <c r="GM72" i="22"/>
  <c r="HB71" i="22"/>
  <c r="GZ71" i="22"/>
  <c r="GX71" i="22"/>
  <c r="GV71" i="22"/>
  <c r="GU71" i="22"/>
  <c r="GT71" i="22"/>
  <c r="GS71" i="22"/>
  <c r="GR71" i="22"/>
  <c r="GQ71" i="22"/>
  <c r="GP71" i="22"/>
  <c r="GO71" i="22"/>
  <c r="GN71" i="22"/>
  <c r="GM71" i="22"/>
  <c r="HB70" i="22"/>
  <c r="GU70" i="22"/>
  <c r="GT70" i="22"/>
  <c r="GS70" i="22"/>
  <c r="GR70" i="22"/>
  <c r="GQ70" i="22"/>
  <c r="GP70" i="22"/>
  <c r="GO70" i="22"/>
  <c r="GN70" i="22"/>
  <c r="GM70" i="22"/>
  <c r="GZ69" i="22"/>
  <c r="GU69" i="22"/>
  <c r="GT69" i="22"/>
  <c r="GS69" i="22"/>
  <c r="GR69" i="22"/>
  <c r="GQ69" i="22"/>
  <c r="GP69" i="22"/>
  <c r="GO69" i="22"/>
  <c r="GN69" i="22"/>
  <c r="GM69" i="22"/>
  <c r="HG68" i="22"/>
  <c r="HF68" i="22"/>
  <c r="HE68" i="22"/>
  <c r="GY68" i="22"/>
  <c r="GU68" i="22"/>
  <c r="GT68" i="22"/>
  <c r="GS68" i="22"/>
  <c r="GR68" i="22"/>
  <c r="GQ68" i="22"/>
  <c r="GP68" i="22"/>
  <c r="GO68" i="22"/>
  <c r="GN68" i="22"/>
  <c r="GM68" i="22"/>
  <c r="GU67" i="22"/>
  <c r="GT67" i="22"/>
  <c r="GS67" i="22"/>
  <c r="GR67" i="22"/>
  <c r="GQ67" i="22"/>
  <c r="GP67" i="22"/>
  <c r="GO67" i="22"/>
  <c r="GN67" i="22"/>
  <c r="GM67" i="22"/>
  <c r="GU66" i="22"/>
  <c r="GT66" i="22"/>
  <c r="GS66" i="22"/>
  <c r="GR66" i="22"/>
  <c r="GQ66" i="22"/>
  <c r="GP66" i="22"/>
  <c r="GO66" i="22"/>
  <c r="GN66" i="22"/>
  <c r="GM66" i="22"/>
  <c r="HG65" i="22"/>
  <c r="HF65" i="22"/>
  <c r="HE65" i="22"/>
  <c r="HD65" i="22"/>
  <c r="HC65" i="22"/>
  <c r="HB65" i="22"/>
  <c r="HA65" i="22"/>
  <c r="GZ65" i="22"/>
  <c r="GY65" i="22"/>
  <c r="GX65" i="22"/>
  <c r="GW65" i="22"/>
  <c r="GV65" i="22"/>
  <c r="GU65" i="22"/>
  <c r="GT65" i="22"/>
  <c r="GS65" i="22"/>
  <c r="GR65" i="22"/>
  <c r="GQ65" i="22"/>
  <c r="GP65" i="22"/>
  <c r="GO65" i="22"/>
  <c r="GN65" i="22"/>
  <c r="GM65" i="22"/>
  <c r="GU64" i="22"/>
  <c r="GT64" i="22"/>
  <c r="GS64" i="22"/>
  <c r="GR64" i="22"/>
  <c r="GQ64" i="22"/>
  <c r="GP64" i="22"/>
  <c r="GO64" i="22"/>
  <c r="GN64" i="22"/>
  <c r="GM64" i="22"/>
  <c r="GU63" i="22"/>
  <c r="GT63" i="22"/>
  <c r="GS63" i="22"/>
  <c r="GR63" i="22"/>
  <c r="GQ63" i="22"/>
  <c r="GP63" i="22"/>
  <c r="GO63" i="22"/>
  <c r="GN63" i="22"/>
  <c r="GM63" i="22"/>
  <c r="HG62" i="22"/>
  <c r="HF62" i="22"/>
  <c r="HE62" i="22"/>
  <c r="HD62" i="22"/>
  <c r="HC62" i="22"/>
  <c r="HB62" i="22"/>
  <c r="HA62" i="22"/>
  <c r="GZ62" i="22"/>
  <c r="GY62" i="22"/>
  <c r="GU62" i="22"/>
  <c r="GT62" i="22"/>
  <c r="GS62" i="22"/>
  <c r="GR62" i="22"/>
  <c r="GQ62" i="22"/>
  <c r="GP62" i="22"/>
  <c r="GO62" i="22"/>
  <c r="GN62" i="22"/>
  <c r="GM62" i="22"/>
  <c r="HG61" i="22"/>
  <c r="HF61" i="22"/>
  <c r="HE61" i="22"/>
  <c r="HD61" i="22"/>
  <c r="HC61" i="22"/>
  <c r="HB61" i="22"/>
  <c r="GU61" i="22"/>
  <c r="GT61" i="22"/>
  <c r="GS61" i="22"/>
  <c r="GR61" i="22"/>
  <c r="GQ61" i="22"/>
  <c r="GP61" i="22"/>
  <c r="GO61" i="22"/>
  <c r="GN61" i="22"/>
  <c r="GM61" i="22"/>
  <c r="HG60" i="22"/>
  <c r="HF60" i="22"/>
  <c r="HE60" i="22"/>
  <c r="HC60" i="22"/>
  <c r="HB60" i="22"/>
  <c r="GZ60" i="22"/>
  <c r="GV60" i="22"/>
  <c r="GU60" i="22"/>
  <c r="GT60" i="22"/>
  <c r="GS60" i="22"/>
  <c r="GR60" i="22"/>
  <c r="GQ60" i="22"/>
  <c r="GP60" i="22"/>
  <c r="GO60" i="22"/>
  <c r="GN60" i="22"/>
  <c r="GM60" i="22"/>
  <c r="HG59" i="22"/>
  <c r="HF59" i="22"/>
  <c r="HE59" i="22"/>
  <c r="HD59" i="22"/>
  <c r="HC59" i="22"/>
  <c r="HB59" i="22"/>
  <c r="HA59" i="22"/>
  <c r="GZ59" i="22"/>
  <c r="GU59" i="22"/>
  <c r="GT59" i="22"/>
  <c r="GS59" i="22"/>
  <c r="GR59" i="22"/>
  <c r="GQ59" i="22"/>
  <c r="GP59" i="22"/>
  <c r="GO59" i="22"/>
  <c r="GN59" i="22"/>
  <c r="GM59" i="22"/>
  <c r="HD58" i="22"/>
  <c r="HC58" i="22"/>
  <c r="GU58" i="22"/>
  <c r="GT58" i="22"/>
  <c r="GS58" i="22"/>
  <c r="GR58" i="22"/>
  <c r="GQ58" i="22"/>
  <c r="GP58" i="22"/>
  <c r="GO58" i="22"/>
  <c r="GN58" i="22"/>
  <c r="GM58" i="22"/>
  <c r="GU57" i="22"/>
  <c r="GT57" i="22"/>
  <c r="GS57" i="22"/>
  <c r="GR57" i="22"/>
  <c r="GQ57" i="22"/>
  <c r="GP57" i="22"/>
  <c r="GO57" i="22"/>
  <c r="GN57" i="22"/>
  <c r="GM57" i="22"/>
  <c r="GU56" i="22"/>
  <c r="GT56" i="22"/>
  <c r="GS56" i="22"/>
  <c r="GR56" i="22"/>
  <c r="GQ56" i="22"/>
  <c r="GP56" i="22"/>
  <c r="GO56" i="22"/>
  <c r="GN56" i="22"/>
  <c r="GM56" i="22"/>
  <c r="GU55" i="22"/>
  <c r="GT55" i="22"/>
  <c r="GS55" i="22"/>
  <c r="GR55" i="22"/>
  <c r="GQ55" i="22"/>
  <c r="GP55" i="22"/>
  <c r="GO55" i="22"/>
  <c r="GN55" i="22"/>
  <c r="GM55" i="22"/>
  <c r="HG54" i="22"/>
  <c r="HF54" i="22"/>
  <c r="HE54" i="22"/>
  <c r="GU54" i="22"/>
  <c r="GT54" i="22"/>
  <c r="GS54" i="22"/>
  <c r="GR54" i="22"/>
  <c r="GQ54" i="22"/>
  <c r="GP54" i="22"/>
  <c r="GO54" i="22"/>
  <c r="GN54" i="22"/>
  <c r="GM54" i="22"/>
  <c r="GU53" i="22"/>
  <c r="GT53" i="22"/>
  <c r="GS53" i="22"/>
  <c r="GR53" i="22"/>
  <c r="GQ53" i="22"/>
  <c r="GP53" i="22"/>
  <c r="GO53" i="22"/>
  <c r="GN53" i="22"/>
  <c r="GM53" i="22"/>
  <c r="GU52" i="22"/>
  <c r="GT52" i="22"/>
  <c r="GS52" i="22"/>
  <c r="GR52" i="22"/>
  <c r="GQ52" i="22"/>
  <c r="GP52" i="22"/>
  <c r="GO52" i="22"/>
  <c r="GN52" i="22"/>
  <c r="GM52" i="22"/>
  <c r="GU51" i="22"/>
  <c r="GT51" i="22"/>
  <c r="GS51" i="22"/>
  <c r="GR51" i="22"/>
  <c r="GQ51" i="22"/>
  <c r="GP51" i="22"/>
  <c r="GO51" i="22"/>
  <c r="GN51" i="22"/>
  <c r="GM51" i="22"/>
  <c r="GZ50" i="22"/>
  <c r="GU50" i="22"/>
  <c r="GT50" i="22"/>
  <c r="GS50" i="22"/>
  <c r="GR50" i="22"/>
  <c r="GQ50" i="22"/>
  <c r="GP50" i="22"/>
  <c r="GO50" i="22"/>
  <c r="GN50" i="22"/>
  <c r="GM50" i="22"/>
  <c r="GU49" i="22"/>
  <c r="GT49" i="22"/>
  <c r="GS49" i="22"/>
  <c r="GR49" i="22"/>
  <c r="GQ49" i="22"/>
  <c r="GP49" i="22"/>
  <c r="GO49" i="22"/>
  <c r="GN49" i="22"/>
  <c r="GM49" i="22"/>
  <c r="GU48" i="22"/>
  <c r="GT48" i="22"/>
  <c r="GS48" i="22"/>
  <c r="GR48" i="22"/>
  <c r="GQ48" i="22"/>
  <c r="GP48" i="22"/>
  <c r="GO48" i="22"/>
  <c r="GN48" i="22"/>
  <c r="GM48" i="22"/>
  <c r="GU47" i="22"/>
  <c r="GT47" i="22"/>
  <c r="GS47" i="22"/>
  <c r="GR47" i="22"/>
  <c r="GQ47" i="22"/>
  <c r="GP47" i="22"/>
  <c r="GO47" i="22"/>
  <c r="GN47" i="22"/>
  <c r="GM47" i="22"/>
  <c r="GU46" i="22"/>
  <c r="GT46" i="22"/>
  <c r="GS46" i="22"/>
  <c r="GR46" i="22"/>
  <c r="GQ46" i="22"/>
  <c r="GP46" i="22"/>
  <c r="GO46" i="22"/>
  <c r="GN46" i="22"/>
  <c r="GM46" i="22"/>
  <c r="HG45" i="22"/>
  <c r="HF45" i="22"/>
  <c r="HE45" i="22"/>
  <c r="HD45" i="22"/>
  <c r="GZ45" i="22"/>
  <c r="GU45" i="22"/>
  <c r="GT45" i="22"/>
  <c r="GS45" i="22"/>
  <c r="GR45" i="22"/>
  <c r="GQ45" i="22"/>
  <c r="GP45" i="22"/>
  <c r="GO45" i="22"/>
  <c r="GN45" i="22"/>
  <c r="GM45" i="22"/>
  <c r="GU44" i="22"/>
  <c r="GT44" i="22"/>
  <c r="GS44" i="22"/>
  <c r="GR44" i="22"/>
  <c r="GQ44" i="22"/>
  <c r="GP44" i="22"/>
  <c r="GO44" i="22"/>
  <c r="GN44" i="22"/>
  <c r="GM44" i="22"/>
  <c r="HG43" i="22"/>
  <c r="HF43" i="22"/>
  <c r="HE43" i="22"/>
  <c r="HD43" i="22"/>
  <c r="HC43" i="22"/>
  <c r="HB43" i="22"/>
  <c r="HA43" i="22"/>
  <c r="GZ43" i="22"/>
  <c r="GY43" i="22"/>
  <c r="GX43" i="22"/>
  <c r="GW43" i="22"/>
  <c r="GV43" i="22"/>
  <c r="GU43" i="22"/>
  <c r="GT43" i="22"/>
  <c r="GS43" i="22"/>
  <c r="GR43" i="22"/>
  <c r="GQ43" i="22"/>
  <c r="GP43" i="22"/>
  <c r="GO43" i="22"/>
  <c r="GN43" i="22"/>
  <c r="GM43" i="22"/>
  <c r="HB42" i="22"/>
  <c r="GU42" i="22"/>
  <c r="GT42" i="22"/>
  <c r="GS42" i="22"/>
  <c r="GR42" i="22"/>
  <c r="GQ42" i="22"/>
  <c r="GP42" i="22"/>
  <c r="GO42" i="22"/>
  <c r="GN42" i="22"/>
  <c r="GM42" i="22"/>
  <c r="GU41" i="22"/>
  <c r="GT41" i="22"/>
  <c r="GS41" i="22"/>
  <c r="GR41" i="22"/>
  <c r="GQ41" i="22"/>
  <c r="GP41" i="22"/>
  <c r="GO41" i="22"/>
  <c r="GN41" i="22"/>
  <c r="GM41" i="22"/>
  <c r="GU40" i="22"/>
  <c r="GT40" i="22"/>
  <c r="GS40" i="22"/>
  <c r="GR40" i="22"/>
  <c r="GQ40" i="22"/>
  <c r="GP40" i="22"/>
  <c r="GO40" i="22"/>
  <c r="GN40" i="22"/>
  <c r="GM40" i="22"/>
  <c r="HG39" i="22"/>
  <c r="HF39" i="22"/>
  <c r="HE39" i="22"/>
  <c r="GU39" i="22"/>
  <c r="GT39" i="22"/>
  <c r="GS39" i="22"/>
  <c r="GR39" i="22"/>
  <c r="GQ39" i="22"/>
  <c r="GP39" i="22"/>
  <c r="GO39" i="22"/>
  <c r="GN39" i="22"/>
  <c r="GM39" i="22"/>
  <c r="HD38" i="22"/>
  <c r="HB38" i="22"/>
  <c r="GU38" i="22"/>
  <c r="GT38" i="22"/>
  <c r="GS38" i="22"/>
  <c r="GR38" i="22"/>
  <c r="GQ38" i="22"/>
  <c r="GP38" i="22"/>
  <c r="GO38" i="22"/>
  <c r="GN38" i="22"/>
  <c r="GM38" i="22"/>
  <c r="HB37" i="22"/>
  <c r="GU37" i="22"/>
  <c r="GT37" i="22"/>
  <c r="GS37" i="22"/>
  <c r="GR37" i="22"/>
  <c r="GQ37" i="22"/>
  <c r="GP37" i="22"/>
  <c r="GO37" i="22"/>
  <c r="GN37" i="22"/>
  <c r="GM37" i="22"/>
  <c r="GU36" i="22"/>
  <c r="GT36" i="22"/>
  <c r="GS36" i="22"/>
  <c r="GR36" i="22"/>
  <c r="GQ36" i="22"/>
  <c r="GP36" i="22"/>
  <c r="GO36" i="22"/>
  <c r="GN36" i="22"/>
  <c r="GM36" i="22"/>
  <c r="HG35" i="22"/>
  <c r="HF35" i="22"/>
  <c r="HE35" i="22"/>
  <c r="HD35" i="22"/>
  <c r="HC35" i="22"/>
  <c r="HB35" i="22"/>
  <c r="HA35" i="22"/>
  <c r="GZ35" i="22"/>
  <c r="GY35" i="22"/>
  <c r="GU35" i="22"/>
  <c r="GT35" i="22"/>
  <c r="GS35" i="22"/>
  <c r="GR35" i="22"/>
  <c r="GQ35" i="22"/>
  <c r="GP35" i="22"/>
  <c r="GO35" i="22"/>
  <c r="GN35" i="22"/>
  <c r="GM35" i="22"/>
  <c r="GU34" i="22"/>
  <c r="GT34" i="22"/>
  <c r="GS34" i="22"/>
  <c r="GR34" i="22"/>
  <c r="GQ34" i="22"/>
  <c r="GP34" i="22"/>
  <c r="GO34" i="22"/>
  <c r="GN34" i="22"/>
  <c r="GM34" i="22"/>
  <c r="GU33" i="22"/>
  <c r="GT33" i="22"/>
  <c r="GS33" i="22"/>
  <c r="GR33" i="22"/>
  <c r="GQ33" i="22"/>
  <c r="GP33" i="22"/>
  <c r="GO33" i="22"/>
  <c r="GN33" i="22"/>
  <c r="GM33" i="22"/>
  <c r="GU32" i="22"/>
  <c r="GT32" i="22"/>
  <c r="GS32" i="22"/>
  <c r="GR32" i="22"/>
  <c r="GQ32" i="22"/>
  <c r="GP32" i="22"/>
  <c r="GO32" i="22"/>
  <c r="GN32" i="22"/>
  <c r="GM32" i="22"/>
  <c r="GU31" i="22"/>
  <c r="GT31" i="22"/>
  <c r="GS31" i="22"/>
  <c r="GR31" i="22"/>
  <c r="GQ31" i="22"/>
  <c r="GP31" i="22"/>
  <c r="GO31" i="22"/>
  <c r="GN31" i="22"/>
  <c r="GM31" i="22"/>
  <c r="HG30" i="22"/>
  <c r="HF30" i="22"/>
  <c r="HE30" i="22"/>
  <c r="HD30" i="22"/>
  <c r="HC30" i="22"/>
  <c r="GX30" i="22"/>
  <c r="GU30" i="22"/>
  <c r="GT30" i="22"/>
  <c r="GS30" i="22"/>
  <c r="GR30" i="22"/>
  <c r="GQ30" i="22"/>
  <c r="GP30" i="22"/>
  <c r="GO30" i="22"/>
  <c r="GN30" i="22"/>
  <c r="GM30" i="22"/>
  <c r="GX29" i="22"/>
  <c r="GU29" i="22"/>
  <c r="GT29" i="22"/>
  <c r="GS29" i="22"/>
  <c r="GR29" i="22"/>
  <c r="GQ29" i="22"/>
  <c r="GP29" i="22"/>
  <c r="GO29" i="22"/>
  <c r="GN29" i="22"/>
  <c r="GM29" i="22"/>
  <c r="GU28" i="22"/>
  <c r="GT28" i="22"/>
  <c r="GS28" i="22"/>
  <c r="GR28" i="22"/>
  <c r="GQ28" i="22"/>
  <c r="GP28" i="22"/>
  <c r="GO28" i="22"/>
  <c r="GN28" i="22"/>
  <c r="GM28" i="22"/>
  <c r="GU27" i="22"/>
  <c r="GT27" i="22"/>
  <c r="GS27" i="22"/>
  <c r="GR27" i="22"/>
  <c r="GQ27" i="22"/>
  <c r="GP27" i="22"/>
  <c r="GO27" i="22"/>
  <c r="GN27" i="22"/>
  <c r="GM27" i="22"/>
  <c r="HD26" i="22"/>
  <c r="GU26" i="22"/>
  <c r="GT26" i="22"/>
  <c r="GS26" i="22"/>
  <c r="GR26" i="22"/>
  <c r="GQ26" i="22"/>
  <c r="GP26" i="22"/>
  <c r="GO26" i="22"/>
  <c r="GN26" i="22"/>
  <c r="GM26" i="22"/>
  <c r="HG25" i="22"/>
  <c r="HF25" i="22"/>
  <c r="HE25" i="22"/>
  <c r="HB25" i="22"/>
  <c r="GU25" i="22"/>
  <c r="GT25" i="22"/>
  <c r="GS25" i="22"/>
  <c r="GR25" i="22"/>
  <c r="GQ25" i="22"/>
  <c r="GP25" i="22"/>
  <c r="GO25" i="22"/>
  <c r="GN25" i="22"/>
  <c r="GM25" i="22"/>
  <c r="HD24" i="22"/>
  <c r="GU24" i="22"/>
  <c r="GT24" i="22"/>
  <c r="GS24" i="22"/>
  <c r="GR24" i="22"/>
  <c r="GQ24" i="22"/>
  <c r="GP24" i="22"/>
  <c r="GO24" i="22"/>
  <c r="GN24" i="22"/>
  <c r="GM24" i="22"/>
  <c r="HG23" i="22"/>
  <c r="HF23" i="22"/>
  <c r="HE23" i="22"/>
  <c r="HD23" i="22"/>
  <c r="HC23" i="22"/>
  <c r="HB23" i="22"/>
  <c r="HA23" i="22"/>
  <c r="GZ23" i="22"/>
  <c r="GY23" i="22"/>
  <c r="GX23" i="22"/>
  <c r="GW23" i="22"/>
  <c r="GV23" i="22"/>
  <c r="GU23" i="22"/>
  <c r="GT23" i="22"/>
  <c r="GS23" i="22"/>
  <c r="GR23" i="22"/>
  <c r="GQ23" i="22"/>
  <c r="GP23" i="22"/>
  <c r="GO23" i="22"/>
  <c r="GN23" i="22"/>
  <c r="GM23" i="22"/>
  <c r="GU22" i="22"/>
  <c r="GT22" i="22"/>
  <c r="GS22" i="22"/>
  <c r="GR22" i="22"/>
  <c r="GQ22" i="22"/>
  <c r="GP22" i="22"/>
  <c r="GO22" i="22"/>
  <c r="GN22" i="22"/>
  <c r="GM22" i="22"/>
  <c r="HB21" i="22"/>
  <c r="GU21" i="22"/>
  <c r="GT21" i="22"/>
  <c r="GS21" i="22"/>
  <c r="GR21" i="22"/>
  <c r="GQ21" i="22"/>
  <c r="GP21" i="22"/>
  <c r="GO21" i="22"/>
  <c r="GN21" i="22"/>
  <c r="GM21" i="22"/>
  <c r="GU20" i="22"/>
  <c r="GT20" i="22"/>
  <c r="GS20" i="22"/>
  <c r="GR20" i="22"/>
  <c r="GQ20" i="22"/>
  <c r="GP20" i="22"/>
  <c r="GO20" i="22"/>
  <c r="GN20" i="22"/>
  <c r="GM20" i="22"/>
  <c r="GU19" i="22"/>
  <c r="GT19" i="22"/>
  <c r="GS19" i="22"/>
  <c r="GR19" i="22"/>
  <c r="GQ19" i="22"/>
  <c r="GP19" i="22"/>
  <c r="GO19" i="22"/>
  <c r="GN19" i="22"/>
  <c r="GM19" i="22"/>
  <c r="GU18" i="22"/>
  <c r="GT18" i="22"/>
  <c r="GS18" i="22"/>
  <c r="GR18" i="22"/>
  <c r="GQ18" i="22"/>
  <c r="GP18" i="22"/>
  <c r="GO18" i="22"/>
  <c r="GN18" i="22"/>
  <c r="GM18" i="22"/>
  <c r="HB17" i="22"/>
  <c r="GU17" i="22"/>
  <c r="GT17" i="22"/>
  <c r="GS17" i="22"/>
  <c r="GR17" i="22"/>
  <c r="GQ17" i="22"/>
  <c r="GP17" i="22"/>
  <c r="GO17" i="22"/>
  <c r="GN17" i="22"/>
  <c r="GM17" i="22"/>
  <c r="GL105" i="22"/>
  <c r="GL104" i="22"/>
  <c r="GL103" i="22"/>
  <c r="GL102" i="22"/>
  <c r="GL101" i="22"/>
  <c r="GL100" i="22"/>
  <c r="GL99" i="22"/>
  <c r="GL98" i="22"/>
  <c r="GL97" i="22"/>
  <c r="GL96" i="22"/>
  <c r="GL95" i="22"/>
  <c r="GL94" i="22"/>
  <c r="GL93" i="22"/>
  <c r="GL92" i="22"/>
  <c r="GL91" i="22"/>
  <c r="GL90" i="22"/>
  <c r="GL89" i="22"/>
  <c r="GL88" i="22"/>
  <c r="GL87" i="22"/>
  <c r="GL86" i="22"/>
  <c r="GL85" i="22"/>
  <c r="GL84" i="22"/>
  <c r="GL83" i="22"/>
  <c r="GL82" i="22"/>
  <c r="GL81" i="22"/>
  <c r="GL80" i="22"/>
  <c r="GL79" i="22"/>
  <c r="GL78" i="22"/>
  <c r="GL77" i="22"/>
  <c r="GL76" i="22"/>
  <c r="GL75" i="22"/>
  <c r="GL74" i="22"/>
  <c r="GL73" i="22"/>
  <c r="GL72" i="22"/>
  <c r="GL71" i="22"/>
  <c r="GL70" i="22"/>
  <c r="GL69" i="22"/>
  <c r="GL68" i="22"/>
  <c r="GL67" i="22"/>
  <c r="GL66" i="22"/>
  <c r="GL65" i="22"/>
  <c r="GL64" i="22"/>
  <c r="GL63" i="22"/>
  <c r="GL62" i="22"/>
  <c r="GL61" i="22"/>
  <c r="GL60" i="22"/>
  <c r="GL59" i="22"/>
  <c r="GL58" i="22"/>
  <c r="GL57" i="22"/>
  <c r="GL56" i="22"/>
  <c r="GL55" i="22"/>
  <c r="GL54" i="22"/>
  <c r="GL53" i="22"/>
  <c r="GL52" i="22"/>
  <c r="GL51" i="22"/>
  <c r="GL50" i="22"/>
  <c r="GL49" i="22"/>
  <c r="GL48" i="22"/>
  <c r="GL47" i="22"/>
  <c r="GL46" i="22"/>
  <c r="GL45" i="22"/>
  <c r="GL44" i="22"/>
  <c r="GL43" i="22"/>
  <c r="GL42" i="22"/>
  <c r="GL41" i="22"/>
  <c r="GL40" i="22"/>
  <c r="GL39" i="22"/>
  <c r="GL38" i="22"/>
  <c r="GL37" i="22"/>
  <c r="GL36" i="22"/>
  <c r="GL35" i="22"/>
  <c r="GL34" i="22"/>
  <c r="GL33" i="22"/>
  <c r="GL32" i="22"/>
  <c r="GL31" i="22"/>
  <c r="GL30" i="22"/>
  <c r="GL29" i="22"/>
  <c r="GL28" i="22"/>
  <c r="GL27" i="22"/>
  <c r="GL26" i="22"/>
  <c r="GL25" i="22"/>
  <c r="GL24" i="22"/>
  <c r="GL23" i="22"/>
  <c r="GL22" i="22"/>
  <c r="GL21" i="22"/>
  <c r="GL20" i="22"/>
  <c r="GL19" i="22"/>
  <c r="GL18" i="22"/>
  <c r="GL17" i="22"/>
  <c r="HD17" i="22"/>
  <c r="IE24" i="22"/>
  <c r="IE17" i="22"/>
  <c r="AU10" i="27"/>
  <c r="AU11" i="27"/>
  <c r="AU12" i="27"/>
  <c r="AU13" i="27"/>
  <c r="AU14" i="27"/>
  <c r="AU15" i="27"/>
  <c r="AU16" i="27"/>
  <c r="AU17" i="27"/>
  <c r="AU18" i="27"/>
  <c r="AU19" i="27"/>
  <c r="AU20" i="27"/>
  <c r="AU21" i="27"/>
  <c r="AU22" i="27"/>
  <c r="AU23" i="27"/>
  <c r="AU24" i="27"/>
  <c r="AU25" i="27"/>
  <c r="AU26" i="27"/>
  <c r="AU27" i="27"/>
  <c r="AU28" i="27"/>
  <c r="AU29" i="27"/>
  <c r="AU30" i="27"/>
  <c r="AU31" i="27"/>
  <c r="AU32" i="27"/>
  <c r="AU33" i="27"/>
  <c r="AU34" i="27"/>
  <c r="AU35" i="27"/>
  <c r="AU36" i="27"/>
  <c r="AU37" i="27"/>
  <c r="AU38" i="27"/>
  <c r="AU39" i="27"/>
  <c r="AU40" i="27"/>
  <c r="AU41" i="27"/>
  <c r="AU42" i="27"/>
  <c r="AU43" i="27"/>
  <c r="AU44" i="27"/>
  <c r="AU45" i="27"/>
  <c r="AU46" i="27"/>
  <c r="AU47" i="27"/>
  <c r="AU48" i="27"/>
  <c r="AU49" i="27"/>
  <c r="AU50" i="27"/>
  <c r="AU51" i="27"/>
  <c r="AU52" i="27"/>
  <c r="AU53" i="27"/>
  <c r="AU54" i="27"/>
  <c r="AU55" i="27"/>
  <c r="AU56" i="27"/>
  <c r="AU57" i="27"/>
  <c r="AU58" i="27"/>
  <c r="AU59" i="27"/>
  <c r="AU60" i="27"/>
  <c r="AU61" i="27"/>
  <c r="AU62" i="27"/>
  <c r="AU63" i="27"/>
  <c r="AU64" i="27"/>
  <c r="AU65" i="27"/>
  <c r="AU66" i="27"/>
  <c r="AU67" i="27"/>
  <c r="AU68" i="27"/>
  <c r="AU69" i="27"/>
  <c r="AU70" i="27"/>
  <c r="AU71" i="27"/>
  <c r="AU72" i="27"/>
  <c r="AU73" i="27"/>
  <c r="AU74" i="27"/>
  <c r="AU75" i="27"/>
  <c r="AU76" i="27"/>
  <c r="AU77" i="27"/>
  <c r="AU78" i="27"/>
  <c r="AU79" i="27"/>
  <c r="AU80" i="27"/>
  <c r="AU81" i="27"/>
  <c r="AU82" i="27"/>
  <c r="AU83" i="27"/>
  <c r="AU84" i="27"/>
  <c r="AU85" i="27"/>
  <c r="AU86" i="27"/>
  <c r="AU87" i="27"/>
  <c r="AU88" i="27"/>
  <c r="AU89" i="27"/>
  <c r="AU90" i="27"/>
  <c r="AU91" i="27"/>
  <c r="AU92" i="27"/>
  <c r="AU93" i="27"/>
  <c r="AU94" i="27"/>
  <c r="AU95" i="27"/>
  <c r="AU96" i="27"/>
  <c r="AU97" i="27"/>
  <c r="AU98" i="27"/>
  <c r="AU10" i="15"/>
  <c r="AU11" i="15"/>
  <c r="AU12" i="15"/>
  <c r="AU13" i="15"/>
  <c r="AU14" i="15"/>
  <c r="AU15" i="15"/>
  <c r="AU16" i="15"/>
  <c r="AU17" i="15"/>
  <c r="AU18" i="15"/>
  <c r="AU19" i="15"/>
  <c r="AU20" i="15"/>
  <c r="AU21" i="15"/>
  <c r="AU22" i="15"/>
  <c r="AU23" i="15"/>
  <c r="AU24" i="15"/>
  <c r="AU25" i="15"/>
  <c r="AU26" i="15"/>
  <c r="AU27" i="15"/>
  <c r="AU28" i="15"/>
  <c r="AU29" i="15"/>
  <c r="AU30" i="15"/>
  <c r="AU31" i="15"/>
  <c r="AU32" i="15"/>
  <c r="AU33" i="15"/>
  <c r="AU34" i="15"/>
  <c r="AU35" i="15"/>
  <c r="AU36" i="15"/>
  <c r="AU37" i="15"/>
  <c r="AU38" i="15"/>
  <c r="AU39" i="15"/>
  <c r="AU40" i="15"/>
  <c r="AU41" i="15"/>
  <c r="AU42" i="15"/>
  <c r="AU43" i="15"/>
  <c r="AU44" i="15"/>
  <c r="AU45" i="15"/>
  <c r="AU46" i="15"/>
  <c r="AU47" i="15"/>
  <c r="AU48" i="15"/>
  <c r="AU49" i="15"/>
  <c r="AU50" i="15"/>
  <c r="AU51" i="15"/>
  <c r="AU52" i="15"/>
  <c r="AU53" i="15"/>
  <c r="AU54" i="15"/>
  <c r="AU55" i="15"/>
  <c r="AU56" i="15"/>
  <c r="AU57" i="15"/>
  <c r="AU58" i="15"/>
  <c r="AU59" i="15"/>
  <c r="AU60" i="15"/>
  <c r="AU61" i="15"/>
  <c r="AU62" i="15"/>
  <c r="AU63" i="15"/>
  <c r="AU64" i="15"/>
  <c r="AU65" i="15"/>
  <c r="AU66" i="15"/>
  <c r="AU67" i="15"/>
  <c r="AU68" i="15"/>
  <c r="AU69" i="15"/>
  <c r="AU70" i="15"/>
  <c r="AU71" i="15"/>
  <c r="AU72" i="15"/>
  <c r="AU73" i="15"/>
  <c r="AU74" i="15"/>
  <c r="AU75" i="15"/>
  <c r="AU76" i="15"/>
  <c r="AU77" i="15"/>
  <c r="AU78" i="15"/>
  <c r="AU79" i="15"/>
  <c r="AU80" i="15"/>
  <c r="AU81" i="15"/>
  <c r="AU82" i="15"/>
  <c r="AU83" i="15"/>
  <c r="AU84" i="15"/>
  <c r="AU85" i="15"/>
  <c r="AU86" i="15"/>
  <c r="AU87" i="15"/>
  <c r="AU88" i="15"/>
  <c r="AU89" i="15"/>
  <c r="AU90" i="15"/>
  <c r="AU91" i="15"/>
  <c r="AU92" i="15"/>
  <c r="AU93" i="15"/>
  <c r="AU94" i="15"/>
  <c r="AU95" i="15"/>
  <c r="AU96" i="15"/>
  <c r="AU97" i="15"/>
  <c r="AU98" i="15"/>
  <c r="B17" i="31"/>
  <c r="B16" i="31"/>
  <c r="B15" i="31"/>
  <c r="B14" i="31"/>
  <c r="B13" i="31"/>
  <c r="B12" i="31"/>
  <c r="HF97" i="22"/>
  <c r="HF92" i="22"/>
  <c r="HF87" i="22"/>
  <c r="HF78" i="22"/>
  <c r="HF71" i="22"/>
  <c r="HF66" i="22"/>
  <c r="HF57" i="22"/>
  <c r="HF52" i="22"/>
  <c r="HF48" i="22"/>
  <c r="HF42" i="22"/>
  <c r="HF37" i="22"/>
  <c r="HF32" i="22"/>
  <c r="HF27" i="22"/>
  <c r="HF21" i="22"/>
  <c r="HF17" i="22"/>
  <c r="IG97" i="22"/>
  <c r="IG92" i="22"/>
  <c r="IG87" i="22"/>
  <c r="IG78" i="22"/>
  <c r="IG71" i="22"/>
  <c r="IG66" i="22"/>
  <c r="IG57" i="22"/>
  <c r="IG52" i="22"/>
  <c r="IG48" i="22"/>
  <c r="IG42" i="22"/>
  <c r="IG37" i="22"/>
  <c r="IG32" i="22"/>
  <c r="IG27" i="22"/>
  <c r="IG21" i="22"/>
  <c r="IG17" i="22"/>
  <c r="HE105" i="22"/>
  <c r="HE96" i="22"/>
  <c r="HE91" i="22"/>
  <c r="HE82" i="22"/>
  <c r="HE77" i="22"/>
  <c r="HE70" i="22"/>
  <c r="HE64" i="22"/>
  <c r="HE56" i="22"/>
  <c r="HE51" i="22"/>
  <c r="HE47" i="22"/>
  <c r="HE41" i="22"/>
  <c r="HE36" i="22"/>
  <c r="HE31" i="22"/>
  <c r="HE26" i="22"/>
  <c r="HE20" i="22"/>
  <c r="U67" i="31"/>
  <c r="IF105" i="22"/>
  <c r="IF96" i="22"/>
  <c r="IF91" i="22"/>
  <c r="IF82" i="22"/>
  <c r="IF77" i="22"/>
  <c r="IF70" i="22"/>
  <c r="IF64" i="22"/>
  <c r="IF56" i="22"/>
  <c r="IF51" i="22"/>
  <c r="IF47" i="22"/>
  <c r="IF41" i="22"/>
  <c r="IF36" i="22"/>
  <c r="IF31" i="22"/>
  <c r="IF26" i="22"/>
  <c r="IF20" i="22"/>
  <c r="HD105" i="22"/>
  <c r="HD104" i="22"/>
  <c r="HD102" i="22"/>
  <c r="HD101" i="22"/>
  <c r="HD98" i="22"/>
  <c r="HD97" i="22"/>
  <c r="HD96" i="22"/>
  <c r="HD95" i="22"/>
  <c r="HD94" i="22"/>
  <c r="HD92" i="22"/>
  <c r="HD91" i="22"/>
  <c r="HD90" i="22"/>
  <c r="HD88" i="22"/>
  <c r="HD87" i="22"/>
  <c r="HD83" i="22"/>
  <c r="HD82" i="22"/>
  <c r="HD81" i="22"/>
  <c r="HD80" i="22"/>
  <c r="HD78" i="22"/>
  <c r="HD77" i="22"/>
  <c r="HD75" i="22"/>
  <c r="HD74" i="22"/>
  <c r="HD73" i="22"/>
  <c r="HD72" i="22"/>
  <c r="HD71" i="22"/>
  <c r="HD70" i="22"/>
  <c r="HD69" i="22"/>
  <c r="HD68" i="22"/>
  <c r="HD67" i="22"/>
  <c r="HD66" i="22"/>
  <c r="HD64" i="22"/>
  <c r="HD63" i="22"/>
  <c r="HD60" i="22"/>
  <c r="HD57" i="22"/>
  <c r="HD56" i="22"/>
  <c r="HD55" i="22"/>
  <c r="HD54" i="22"/>
  <c r="HD53" i="22"/>
  <c r="HD52" i="22"/>
  <c r="HD51" i="22"/>
  <c r="HD50" i="22"/>
  <c r="HD49" i="22"/>
  <c r="HD48" i="22"/>
  <c r="HD47" i="22"/>
  <c r="HD46" i="22"/>
  <c r="HD44" i="22"/>
  <c r="HD42" i="22"/>
  <c r="HD41" i="22"/>
  <c r="HD40" i="22"/>
  <c r="HD39" i="22"/>
  <c r="HD37" i="22"/>
  <c r="HD36" i="22"/>
  <c r="HD34" i="22"/>
  <c r="HD33" i="22"/>
  <c r="HD32" i="22"/>
  <c r="HD31" i="22"/>
  <c r="HD29" i="22"/>
  <c r="HD28" i="22"/>
  <c r="HD27" i="22"/>
  <c r="HD25" i="22"/>
  <c r="HD22" i="22"/>
  <c r="HD21" i="22"/>
  <c r="HD20" i="22"/>
  <c r="HD19" i="22"/>
  <c r="HD18" i="22"/>
  <c r="T76" i="31"/>
  <c r="T44" i="26"/>
  <c r="IE105" i="22"/>
  <c r="IE104" i="22"/>
  <c r="IE102" i="22"/>
  <c r="IE101" i="22"/>
  <c r="IE98" i="22"/>
  <c r="IE97" i="22"/>
  <c r="IE96" i="22"/>
  <c r="IE95" i="22"/>
  <c r="IE94" i="22"/>
  <c r="IE92" i="22"/>
  <c r="IE91" i="22"/>
  <c r="IE90" i="22"/>
  <c r="IE88" i="22"/>
  <c r="IE87" i="22"/>
  <c r="IE83" i="22"/>
  <c r="IE82" i="22"/>
  <c r="IE81" i="22"/>
  <c r="IE80" i="22"/>
  <c r="IE78" i="22"/>
  <c r="IE77" i="22"/>
  <c r="IE75" i="22"/>
  <c r="IE74" i="22"/>
  <c r="IE73" i="22"/>
  <c r="IE72" i="22"/>
  <c r="IE71" i="22"/>
  <c r="IE70" i="22"/>
  <c r="IE69" i="22"/>
  <c r="IE68" i="22"/>
  <c r="IE67" i="22"/>
  <c r="IE66" i="22"/>
  <c r="IE64" i="22"/>
  <c r="IE63" i="22"/>
  <c r="IE60" i="22"/>
  <c r="IE57" i="22"/>
  <c r="IE56" i="22"/>
  <c r="IE55" i="22"/>
  <c r="IE54" i="22"/>
  <c r="IE53" i="22"/>
  <c r="IE52" i="22"/>
  <c r="IE51" i="22"/>
  <c r="IE50" i="22"/>
  <c r="IE49" i="22"/>
  <c r="IE48" i="22"/>
  <c r="IE47" i="22"/>
  <c r="IE46" i="22"/>
  <c r="IE44" i="22"/>
  <c r="IE42" i="22"/>
  <c r="IE41" i="22"/>
  <c r="IE40" i="22"/>
  <c r="IE39" i="22"/>
  <c r="IE37" i="22"/>
  <c r="IE36" i="22"/>
  <c r="IE34" i="22"/>
  <c r="IE33" i="22"/>
  <c r="IE32" i="22"/>
  <c r="IE31" i="22"/>
  <c r="IE29" i="22"/>
  <c r="IE28" i="22"/>
  <c r="IE27" i="22"/>
  <c r="IE25" i="22"/>
  <c r="IE22" i="22"/>
  <c r="IE21" i="22"/>
  <c r="IE20" i="22"/>
  <c r="IE19" i="22"/>
  <c r="HC96" i="22"/>
  <c r="HC75" i="22"/>
  <c r="HC72" i="22"/>
  <c r="HC31" i="22"/>
  <c r="HC105" i="22"/>
  <c r="HC104" i="22"/>
  <c r="HC99" i="22"/>
  <c r="HC98" i="22"/>
  <c r="HC95" i="22"/>
  <c r="HC94" i="22"/>
  <c r="HC93" i="22"/>
  <c r="HC92" i="22"/>
  <c r="HC91" i="22"/>
  <c r="HC90" i="22"/>
  <c r="HC88" i="22"/>
  <c r="HC87" i="22"/>
  <c r="HC84" i="22"/>
  <c r="HC83" i="22"/>
  <c r="HC82" i="22"/>
  <c r="HC81" i="22"/>
  <c r="HC80" i="22"/>
  <c r="HC78" i="22"/>
  <c r="HC77" i="22"/>
  <c r="HC76" i="22"/>
  <c r="HC74" i="22"/>
  <c r="HC73" i="22"/>
  <c r="HC71" i="22"/>
  <c r="HC70" i="22"/>
  <c r="HC68" i="22"/>
  <c r="HC67" i="22"/>
  <c r="HC66" i="22"/>
  <c r="HC63" i="22"/>
  <c r="HC57" i="22"/>
  <c r="HC56" i="22"/>
  <c r="HC54" i="22"/>
  <c r="HC53" i="22"/>
  <c r="HC52" i="22"/>
  <c r="HC50" i="22"/>
  <c r="HC49" i="22"/>
  <c r="HC48" i="22"/>
  <c r="HC46" i="22"/>
  <c r="HC45" i="22"/>
  <c r="HC44" i="22"/>
  <c r="HC41" i="22"/>
  <c r="HC40" i="22"/>
  <c r="HC39" i="22"/>
  <c r="HC37" i="22"/>
  <c r="HC36" i="22"/>
  <c r="HC34" i="22"/>
  <c r="HC32" i="22"/>
  <c r="HC29" i="22"/>
  <c r="HC26" i="22"/>
  <c r="HC25" i="22"/>
  <c r="HC21" i="22"/>
  <c r="HC20" i="22"/>
  <c r="HC17" i="22"/>
  <c r="S67" i="31"/>
  <c r="S75" i="31"/>
  <c r="BO191" i="22"/>
  <c r="CM140" i="22"/>
  <c r="CM136" i="22"/>
  <c r="BO131" i="22"/>
  <c r="BO126" i="22"/>
  <c r="BO122" i="22"/>
  <c r="S192" i="22"/>
  <c r="S176" i="22"/>
  <c r="S164" i="22"/>
  <c r="S154" i="22"/>
  <c r="S142" i="22"/>
  <c r="S132" i="22"/>
  <c r="S127" i="22"/>
  <c r="AQ123" i="22"/>
  <c r="S118" i="22"/>
  <c r="ID105" i="22"/>
  <c r="ID104" i="22"/>
  <c r="ID102" i="22"/>
  <c r="ID101" i="22"/>
  <c r="ID99" i="22"/>
  <c r="ID98" i="22"/>
  <c r="ID97" i="22"/>
  <c r="ID96" i="22"/>
  <c r="ID95" i="22"/>
  <c r="ID94" i="22"/>
  <c r="ID93" i="22"/>
  <c r="ID92" i="22"/>
  <c r="ID91" i="22"/>
  <c r="ID90" i="22"/>
  <c r="ID88" i="22"/>
  <c r="ID87" i="22"/>
  <c r="ID84" i="22"/>
  <c r="ID83" i="22"/>
  <c r="ID82" i="22"/>
  <c r="ID81" i="22"/>
  <c r="ID80" i="22"/>
  <c r="ID78" i="22"/>
  <c r="ID77" i="22"/>
  <c r="ID76" i="22"/>
  <c r="ID75" i="22"/>
  <c r="ID74" i="22"/>
  <c r="ID73" i="22"/>
  <c r="ID72" i="22"/>
  <c r="ID71" i="22"/>
  <c r="ID70" i="22"/>
  <c r="ID69" i="22"/>
  <c r="ID68" i="22"/>
  <c r="ID67" i="22"/>
  <c r="ID66" i="22"/>
  <c r="ID64" i="22"/>
  <c r="ID63" i="22"/>
  <c r="ID57" i="22"/>
  <c r="ID56" i="22"/>
  <c r="ID55" i="22"/>
  <c r="ID54" i="22"/>
  <c r="ID53" i="22"/>
  <c r="ID52" i="22"/>
  <c r="ID51" i="22"/>
  <c r="ID50" i="22"/>
  <c r="ID49" i="22"/>
  <c r="ID48" i="22"/>
  <c r="ID47" i="22"/>
  <c r="ID46" i="22"/>
  <c r="ID45" i="22"/>
  <c r="ID44" i="22"/>
  <c r="ID42" i="22"/>
  <c r="ID41" i="22"/>
  <c r="ID40" i="22"/>
  <c r="ID39" i="22"/>
  <c r="ID38" i="22"/>
  <c r="ID37" i="22"/>
  <c r="ID36" i="22"/>
  <c r="ID34" i="22"/>
  <c r="ID33" i="22"/>
  <c r="ID32" i="22"/>
  <c r="ID31" i="22"/>
  <c r="ID29" i="22"/>
  <c r="ID28" i="22"/>
  <c r="ID27" i="22"/>
  <c r="ID26" i="22"/>
  <c r="ID25" i="22"/>
  <c r="ID24" i="22"/>
  <c r="ID22" i="22"/>
  <c r="ID21" i="22"/>
  <c r="ID20" i="22"/>
  <c r="ID19" i="22"/>
  <c r="HB105" i="22"/>
  <c r="HB104" i="22"/>
  <c r="HB102" i="22"/>
  <c r="HB101" i="22"/>
  <c r="HB99" i="22"/>
  <c r="HB98" i="22"/>
  <c r="HB97" i="22"/>
  <c r="HB96" i="22"/>
  <c r="HB95" i="22"/>
  <c r="HB94" i="22"/>
  <c r="HB93" i="22"/>
  <c r="HB92" i="22"/>
  <c r="HB91" i="22"/>
  <c r="HB90" i="22"/>
  <c r="HB89" i="22"/>
  <c r="HB88" i="22"/>
  <c r="HB87" i="22"/>
  <c r="HB82" i="22"/>
  <c r="HB81" i="22"/>
  <c r="HB80" i="22"/>
  <c r="HB78" i="22"/>
  <c r="HB77" i="22"/>
  <c r="HB73" i="22"/>
  <c r="HB72" i="22"/>
  <c r="HB69" i="22"/>
  <c r="HB68" i="22"/>
  <c r="HB67" i="22"/>
  <c r="HB66" i="22"/>
  <c r="HB64" i="22"/>
  <c r="HB63" i="22"/>
  <c r="HB58" i="22"/>
  <c r="HB57" i="22"/>
  <c r="HB56" i="22"/>
  <c r="HB54" i="22"/>
  <c r="HB53" i="22"/>
  <c r="HB52" i="22"/>
  <c r="HB51" i="22"/>
  <c r="HB50" i="22"/>
  <c r="HB49" i="22"/>
  <c r="HB48" i="22"/>
  <c r="HB47" i="22"/>
  <c r="HB46" i="22"/>
  <c r="HB45" i="22"/>
  <c r="HB44" i="22"/>
  <c r="HB41" i="22"/>
  <c r="HB40" i="22"/>
  <c r="HB39" i="22"/>
  <c r="HB36" i="22"/>
  <c r="HB34" i="22"/>
  <c r="HB33" i="22"/>
  <c r="HB32" i="22"/>
  <c r="HB31" i="22"/>
  <c r="HB30" i="22"/>
  <c r="HB29" i="22"/>
  <c r="HB28" i="22"/>
  <c r="HB27" i="22"/>
  <c r="HB26" i="22"/>
  <c r="HB24" i="22"/>
  <c r="HB22" i="22"/>
  <c r="HB20" i="22"/>
  <c r="HB19" i="22"/>
  <c r="HB18" i="22"/>
  <c r="R47" i="26"/>
  <c r="R46" i="26"/>
  <c r="R45" i="26"/>
  <c r="R44" i="26"/>
  <c r="BN173" i="22"/>
  <c r="BN153" i="22"/>
  <c r="BN149" i="22"/>
  <c r="BN145" i="22"/>
  <c r="R179" i="22"/>
  <c r="AQ161" i="22"/>
  <c r="R145" i="22"/>
  <c r="R132" i="22"/>
  <c r="R117" i="22"/>
  <c r="IC105" i="22"/>
  <c r="IC104" i="22"/>
  <c r="IC102" i="22"/>
  <c r="IC101" i="22"/>
  <c r="IC99" i="22"/>
  <c r="IC98" i="22"/>
  <c r="IC97" i="22"/>
  <c r="IC96" i="22"/>
  <c r="IC95" i="22"/>
  <c r="IC94" i="22"/>
  <c r="IC93" i="22"/>
  <c r="IC92" i="22"/>
  <c r="IC91" i="22"/>
  <c r="IC90" i="22"/>
  <c r="IC89" i="22"/>
  <c r="IC88" i="22"/>
  <c r="IC87" i="22"/>
  <c r="IC82" i="22"/>
  <c r="IC81" i="22"/>
  <c r="IC80" i="22"/>
  <c r="IC78" i="22"/>
  <c r="IC77" i="22"/>
  <c r="IC75" i="22"/>
  <c r="IC73" i="22"/>
  <c r="IC72" i="22"/>
  <c r="IC69" i="22"/>
  <c r="IC68" i="22"/>
  <c r="IC67" i="22"/>
  <c r="IC66" i="22"/>
  <c r="IC64" i="22"/>
  <c r="IC63" i="22"/>
  <c r="IC58" i="22"/>
  <c r="IC57" i="22"/>
  <c r="IC56" i="22"/>
  <c r="IC54" i="22"/>
  <c r="IC53" i="22"/>
  <c r="IC52" i="22"/>
  <c r="IC51" i="22"/>
  <c r="IC50" i="22"/>
  <c r="IC49" i="22"/>
  <c r="IC48" i="22"/>
  <c r="IC47" i="22"/>
  <c r="IC46" i="22"/>
  <c r="IC45" i="22"/>
  <c r="IC44" i="22"/>
  <c r="IC41" i="22"/>
  <c r="IC40" i="22"/>
  <c r="IC39" i="22"/>
  <c r="IC36" i="22"/>
  <c r="IC34" i="22"/>
  <c r="IC33" i="22"/>
  <c r="IC32" i="22"/>
  <c r="IC31" i="22"/>
  <c r="IC30" i="22"/>
  <c r="IC29" i="22"/>
  <c r="IC28" i="22"/>
  <c r="IC27" i="22"/>
  <c r="IC26" i="22"/>
  <c r="IC24" i="22"/>
  <c r="IC22" i="22"/>
  <c r="IC20" i="22"/>
  <c r="IC19" i="22"/>
  <c r="HA31" i="22"/>
  <c r="HA29" i="22"/>
  <c r="HA25" i="22"/>
  <c r="HA105" i="22"/>
  <c r="HA104" i="22"/>
  <c r="HA102" i="22"/>
  <c r="HA101" i="22"/>
  <c r="HA99" i="22"/>
  <c r="HA98" i="22"/>
  <c r="HA96" i="22"/>
  <c r="HA95" i="22"/>
  <c r="HA94" i="22"/>
  <c r="HA93" i="22"/>
  <c r="HA92" i="22"/>
  <c r="HA91" i="22"/>
  <c r="HA90" i="22"/>
  <c r="HA89" i="22"/>
  <c r="HA88" i="22"/>
  <c r="HA87" i="22"/>
  <c r="HA85" i="22"/>
  <c r="HA84" i="22"/>
  <c r="HA83" i="22"/>
  <c r="HA82" i="22"/>
  <c r="HA81" i="22"/>
  <c r="HA80" i="22"/>
  <c r="HA79" i="22"/>
  <c r="HA78" i="22"/>
  <c r="HA77" i="22"/>
  <c r="HA76" i="22"/>
  <c r="HA75" i="22"/>
  <c r="HA74" i="22"/>
  <c r="HA73" i="22"/>
  <c r="HA72" i="22"/>
  <c r="HA71" i="22"/>
  <c r="HA70" i="22"/>
  <c r="HA69" i="22"/>
  <c r="HA68" i="22"/>
  <c r="HA67" i="22"/>
  <c r="HA66" i="22"/>
  <c r="HA64" i="22"/>
  <c r="HA63" i="22"/>
  <c r="HA61" i="22"/>
  <c r="HA60" i="22"/>
  <c r="HA58" i="22"/>
  <c r="HA57" i="22"/>
  <c r="HA56" i="22"/>
  <c r="HA55" i="22"/>
  <c r="HA54" i="22"/>
  <c r="HA53" i="22"/>
  <c r="HA52" i="22"/>
  <c r="HA51" i="22"/>
  <c r="HA50" i="22"/>
  <c r="HA49" i="22"/>
  <c r="HA48" i="22"/>
  <c r="HA47" i="22"/>
  <c r="HA46" i="22"/>
  <c r="HA45" i="22"/>
  <c r="HA44" i="22"/>
  <c r="HA42" i="22"/>
  <c r="HA41" i="22"/>
  <c r="HA40" i="22"/>
  <c r="HA39" i="22"/>
  <c r="HA38" i="22"/>
  <c r="HA37" i="22"/>
  <c r="HA36" i="22"/>
  <c r="HA34" i="22"/>
  <c r="HA33" i="22"/>
  <c r="HA32" i="22"/>
  <c r="HA30" i="22"/>
  <c r="HA28" i="22"/>
  <c r="HA27" i="22"/>
  <c r="HA26" i="22"/>
  <c r="HA24" i="22"/>
  <c r="HA22" i="22"/>
  <c r="HA21" i="22"/>
  <c r="HA20" i="22"/>
  <c r="HA19" i="22"/>
  <c r="HA18" i="22"/>
  <c r="Q47" i="26"/>
  <c r="Q46" i="26"/>
  <c r="Q45" i="26"/>
  <c r="Q44" i="26"/>
  <c r="BM198" i="22"/>
  <c r="CL185" i="22"/>
  <c r="CL180" i="22"/>
  <c r="CL172" i="22"/>
  <c r="CL177" i="22"/>
  <c r="R28" i="29"/>
  <c r="CL168" i="22"/>
  <c r="BM158" i="22"/>
  <c r="CL149" i="22"/>
  <c r="CL140" i="22"/>
  <c r="CL136" i="22"/>
  <c r="CL131" i="22"/>
  <c r="CL127" i="22"/>
  <c r="BM123" i="22"/>
  <c r="Q35" i="30"/>
  <c r="BM118" i="22"/>
  <c r="AP197" i="22"/>
  <c r="Q191" i="22"/>
  <c r="AO183" i="22"/>
  <c r="AO182" i="22"/>
  <c r="Q179" i="22"/>
  <c r="Q175" i="22"/>
  <c r="AP171" i="22"/>
  <c r="AO167" i="22"/>
  <c r="Q156" i="22"/>
  <c r="AP152" i="22"/>
  <c r="Q147" i="22"/>
  <c r="Q143" i="22"/>
  <c r="AP138" i="22"/>
  <c r="AP135" i="22"/>
  <c r="Q117" i="22"/>
  <c r="IB105" i="22"/>
  <c r="IB104" i="22"/>
  <c r="IB102" i="22"/>
  <c r="IB101" i="22"/>
  <c r="IB99" i="22"/>
  <c r="IB98" i="22"/>
  <c r="IB96" i="22"/>
  <c r="IB95" i="22"/>
  <c r="IB94" i="22"/>
  <c r="IB93" i="22"/>
  <c r="IB92" i="22"/>
  <c r="IB91" i="22"/>
  <c r="IB90" i="22"/>
  <c r="IB89" i="22"/>
  <c r="IB88" i="22"/>
  <c r="IB87" i="22"/>
  <c r="IB85" i="22"/>
  <c r="IB84" i="22"/>
  <c r="IB83" i="22"/>
  <c r="IB82" i="22"/>
  <c r="IB81" i="22"/>
  <c r="IB80" i="22"/>
  <c r="IB79" i="22"/>
  <c r="IB78" i="22"/>
  <c r="IB77" i="22"/>
  <c r="IB76" i="22"/>
  <c r="IB75" i="22"/>
  <c r="IB74" i="22"/>
  <c r="IB73" i="22"/>
  <c r="IB72" i="22"/>
  <c r="IB71" i="22"/>
  <c r="IB70" i="22"/>
  <c r="IB69" i="22"/>
  <c r="IB68" i="22"/>
  <c r="IB67" i="22"/>
  <c r="IB66" i="22"/>
  <c r="IB64" i="22"/>
  <c r="IB63" i="22"/>
  <c r="IB61" i="22"/>
  <c r="IB60" i="22"/>
  <c r="IB58" i="22"/>
  <c r="IB57" i="22"/>
  <c r="IB56" i="22"/>
  <c r="IB55" i="22"/>
  <c r="IB54" i="22"/>
  <c r="IB53" i="22"/>
  <c r="IB52" i="22"/>
  <c r="IB51" i="22"/>
  <c r="IB50" i="22"/>
  <c r="IB49" i="22"/>
  <c r="IB48" i="22"/>
  <c r="IB47" i="22"/>
  <c r="IB46" i="22"/>
  <c r="IB45" i="22"/>
  <c r="IB44" i="22"/>
  <c r="IB42" i="22"/>
  <c r="IB41" i="22"/>
  <c r="IB40" i="22"/>
  <c r="IB39" i="22"/>
  <c r="IB38" i="22"/>
  <c r="IB37" i="22"/>
  <c r="IB36" i="22"/>
  <c r="IB34" i="22"/>
  <c r="IB33" i="22"/>
  <c r="IB32" i="22"/>
  <c r="IB31" i="22"/>
  <c r="IB30" i="22"/>
  <c r="IB29" i="22"/>
  <c r="IB28" i="22"/>
  <c r="IB27" i="22"/>
  <c r="IB26" i="22"/>
  <c r="IB25" i="22"/>
  <c r="IB24" i="22"/>
  <c r="IB22" i="22"/>
  <c r="IB21" i="22"/>
  <c r="IB20" i="22"/>
  <c r="IB19" i="22"/>
  <c r="GZ105" i="22"/>
  <c r="GZ104" i="22"/>
  <c r="GZ102" i="22"/>
  <c r="GZ101" i="22"/>
  <c r="GZ99" i="22"/>
  <c r="GZ98" i="22"/>
  <c r="GZ97" i="22"/>
  <c r="GZ96" i="22"/>
  <c r="GZ95" i="22"/>
  <c r="GZ94" i="22"/>
  <c r="GZ93" i="22"/>
  <c r="GZ92" i="22"/>
  <c r="GZ91" i="22"/>
  <c r="GZ90" i="22"/>
  <c r="GZ89" i="22"/>
  <c r="GZ88" i="22"/>
  <c r="GZ87" i="22"/>
  <c r="GZ83" i="22"/>
  <c r="GZ82" i="22"/>
  <c r="GZ81" i="22"/>
  <c r="GZ80" i="22"/>
  <c r="GZ79" i="22"/>
  <c r="GZ78" i="22"/>
  <c r="GZ77" i="22"/>
  <c r="GZ75" i="22"/>
  <c r="GZ74" i="22"/>
  <c r="GZ73" i="22"/>
  <c r="GZ72" i="22"/>
  <c r="GZ70" i="22"/>
  <c r="GZ68" i="22"/>
  <c r="GZ67" i="22"/>
  <c r="GZ66" i="22"/>
  <c r="GZ64" i="22"/>
  <c r="GZ63" i="22"/>
  <c r="GZ61" i="22"/>
  <c r="GZ58" i="22"/>
  <c r="GZ57" i="22"/>
  <c r="GZ56" i="22"/>
  <c r="GZ55" i="22"/>
  <c r="GZ54" i="22"/>
  <c r="GZ53" i="22"/>
  <c r="GZ52" i="22"/>
  <c r="GZ51" i="22"/>
  <c r="GZ49" i="22"/>
  <c r="GZ48" i="22"/>
  <c r="GZ47" i="22"/>
  <c r="GZ46" i="22"/>
  <c r="GZ44" i="22"/>
  <c r="GZ42" i="22"/>
  <c r="GZ41" i="22"/>
  <c r="GZ40" i="22"/>
  <c r="GZ39" i="22"/>
  <c r="GZ38" i="22"/>
  <c r="GZ37" i="22"/>
  <c r="GZ36" i="22"/>
  <c r="GZ34" i="22"/>
  <c r="GZ33" i="22"/>
  <c r="GZ32" i="22"/>
  <c r="GZ31" i="22"/>
  <c r="GZ30" i="22"/>
  <c r="GZ29" i="22"/>
  <c r="GZ28" i="22"/>
  <c r="GZ27" i="22"/>
  <c r="GZ26" i="22"/>
  <c r="GZ25" i="22"/>
  <c r="GZ24" i="22"/>
  <c r="GZ22" i="22"/>
  <c r="GZ21" i="22"/>
  <c r="GZ20" i="22"/>
  <c r="GZ19" i="22"/>
  <c r="GZ18" i="22"/>
  <c r="GZ17" i="22"/>
  <c r="P47" i="26"/>
  <c r="P78" i="31"/>
  <c r="P46" i="26"/>
  <c r="P77" i="31"/>
  <c r="P68" i="31"/>
  <c r="P45" i="26"/>
  <c r="P76" i="31"/>
  <c r="P44" i="26"/>
  <c r="P75" i="31"/>
  <c r="P66" i="31"/>
  <c r="CK200" i="22"/>
  <c r="BL195" i="22"/>
  <c r="BL191" i="22"/>
  <c r="BL187" i="22"/>
  <c r="BL180" i="22"/>
  <c r="CK165" i="22"/>
  <c r="CK159" i="22"/>
  <c r="BL149" i="22"/>
  <c r="CK138" i="22"/>
  <c r="CK134" i="22"/>
  <c r="CK129" i="22"/>
  <c r="BL125" i="22"/>
  <c r="BL120" i="22"/>
  <c r="P37" i="30"/>
  <c r="P74" i="31"/>
  <c r="P65" i="31"/>
  <c r="AO200" i="22"/>
  <c r="AO180" i="22"/>
  <c r="AO164" i="22"/>
  <c r="AO142" i="22"/>
  <c r="P137" i="22"/>
  <c r="AO132" i="22"/>
  <c r="P128" i="22"/>
  <c r="AO124" i="22"/>
  <c r="P119" i="22"/>
  <c r="IA105" i="22"/>
  <c r="IA104" i="22"/>
  <c r="IA102" i="22"/>
  <c r="IA101" i="22"/>
  <c r="IA99" i="22"/>
  <c r="IA98" i="22"/>
  <c r="IA97" i="22"/>
  <c r="IA96" i="22"/>
  <c r="IA95" i="22"/>
  <c r="IA94" i="22"/>
  <c r="IA93" i="22"/>
  <c r="IA92" i="22"/>
  <c r="IA91" i="22"/>
  <c r="IA90" i="22"/>
  <c r="IA89" i="22"/>
  <c r="IA88" i="22"/>
  <c r="IA87" i="22"/>
  <c r="IA83" i="22"/>
  <c r="IA82" i="22"/>
  <c r="IA81" i="22"/>
  <c r="IA80" i="22"/>
  <c r="IA79" i="22"/>
  <c r="IA78" i="22"/>
  <c r="IA77" i="22"/>
  <c r="IA75" i="22"/>
  <c r="IA74" i="22"/>
  <c r="IA73" i="22"/>
  <c r="IA72" i="22"/>
  <c r="IA70" i="22"/>
  <c r="IA68" i="22"/>
  <c r="IA67" i="22"/>
  <c r="IA66" i="22"/>
  <c r="IA64" i="22"/>
  <c r="IA63" i="22"/>
  <c r="IA61" i="22"/>
  <c r="IA58" i="22"/>
  <c r="IA57" i="22"/>
  <c r="IA56" i="22"/>
  <c r="IA54" i="22"/>
  <c r="IA53" i="22"/>
  <c r="IA52" i="22"/>
  <c r="IA51" i="22"/>
  <c r="IA49" i="22"/>
  <c r="IA48" i="22"/>
  <c r="IA47" i="22"/>
  <c r="IA46" i="22"/>
  <c r="IA44" i="22"/>
  <c r="IA42" i="22"/>
  <c r="IA41" i="22"/>
  <c r="IA40" i="22"/>
  <c r="IA39" i="22"/>
  <c r="IA38" i="22"/>
  <c r="IA37" i="22"/>
  <c r="IA36" i="22"/>
  <c r="IA34" i="22"/>
  <c r="IA33" i="22"/>
  <c r="IA32" i="22"/>
  <c r="IA31" i="22"/>
  <c r="IA30" i="22"/>
  <c r="IA29" i="22"/>
  <c r="IA28" i="22"/>
  <c r="IA27" i="22"/>
  <c r="IA26" i="22"/>
  <c r="IA25" i="22"/>
  <c r="IA24" i="22"/>
  <c r="IA22" i="22"/>
  <c r="IA21" i="22"/>
  <c r="IA20" i="22"/>
  <c r="IA19" i="22"/>
  <c r="IA18" i="22"/>
  <c r="GY105" i="22"/>
  <c r="GY104" i="22"/>
  <c r="GY103" i="22"/>
  <c r="GY102" i="22"/>
  <c r="GY101" i="22"/>
  <c r="GY99" i="22"/>
  <c r="GY98" i="22"/>
  <c r="GY97" i="22"/>
  <c r="GY96" i="22"/>
  <c r="GY95" i="22"/>
  <c r="GY94" i="22"/>
  <c r="GY93" i="22"/>
  <c r="GY92" i="22"/>
  <c r="GY91" i="22"/>
  <c r="GY90" i="22"/>
  <c r="GY89" i="22"/>
  <c r="GY88" i="22"/>
  <c r="GY87" i="22"/>
  <c r="GY86" i="22"/>
  <c r="GY84" i="22"/>
  <c r="GY83" i="22"/>
  <c r="GY82" i="22"/>
  <c r="GY81" i="22"/>
  <c r="GY80" i="22"/>
  <c r="GY79" i="22"/>
  <c r="GY78" i="22"/>
  <c r="GY77" i="22"/>
  <c r="GY76" i="22"/>
  <c r="GY75" i="22"/>
  <c r="GY74" i="22"/>
  <c r="GY73" i="22"/>
  <c r="GY72" i="22"/>
  <c r="GY71" i="22"/>
  <c r="GY70" i="22"/>
  <c r="GY69" i="22"/>
  <c r="GY67" i="22"/>
  <c r="GY66" i="22"/>
  <c r="GY64" i="22"/>
  <c r="GY63" i="22"/>
  <c r="GY61" i="22"/>
  <c r="GY60" i="22"/>
  <c r="GY59" i="22"/>
  <c r="GY58" i="22"/>
  <c r="GY57" i="22"/>
  <c r="GY56" i="22"/>
  <c r="GY55" i="22"/>
  <c r="GY54" i="22"/>
  <c r="GY53" i="22"/>
  <c r="GY52" i="22"/>
  <c r="GY51" i="22"/>
  <c r="GY50" i="22"/>
  <c r="GY49" i="22"/>
  <c r="GY48" i="22"/>
  <c r="GY47" i="22"/>
  <c r="GY46" i="22"/>
  <c r="GY45" i="22"/>
  <c r="GY44" i="22"/>
  <c r="GY42" i="22"/>
  <c r="GY41" i="22"/>
  <c r="GY40" i="22"/>
  <c r="GY39" i="22"/>
  <c r="GY38" i="22"/>
  <c r="GY37" i="22"/>
  <c r="GY36" i="22"/>
  <c r="GY34" i="22"/>
  <c r="GY33" i="22"/>
  <c r="GY32" i="22"/>
  <c r="GY31" i="22"/>
  <c r="GY30" i="22"/>
  <c r="GY29" i="22"/>
  <c r="GY28" i="22"/>
  <c r="GY27" i="22"/>
  <c r="GY26" i="22"/>
  <c r="GY25" i="22"/>
  <c r="GY24" i="22"/>
  <c r="GY22" i="22"/>
  <c r="GY21" i="22"/>
  <c r="GY20" i="22"/>
  <c r="GY19" i="22"/>
  <c r="GY18" i="22"/>
  <c r="GY17" i="22"/>
  <c r="O47" i="26"/>
  <c r="O68" i="31"/>
  <c r="O76" i="31"/>
  <c r="O67" i="31"/>
  <c r="BK180" i="22"/>
  <c r="CI176" i="22"/>
  <c r="BK172" i="22"/>
  <c r="BK177" i="22"/>
  <c r="O39" i="29"/>
  <c r="CI162" i="22"/>
  <c r="CI157" i="22"/>
  <c r="BK127" i="22"/>
  <c r="AM203" i="22"/>
  <c r="O197" i="22"/>
  <c r="O181" i="22"/>
  <c r="O180" i="22"/>
  <c r="O172" i="22"/>
  <c r="O177" i="22"/>
  <c r="O33" i="29"/>
  <c r="AN169" i="22"/>
  <c r="AN162" i="22"/>
  <c r="AN154" i="22"/>
  <c r="AN146" i="22"/>
  <c r="AM137" i="22"/>
  <c r="O131" i="22"/>
  <c r="O118" i="22"/>
  <c r="HZ105" i="22"/>
  <c r="HZ104" i="22"/>
  <c r="HZ103" i="22"/>
  <c r="HZ102" i="22"/>
  <c r="HZ101" i="22"/>
  <c r="HZ99" i="22"/>
  <c r="HZ98" i="22"/>
  <c r="HZ97" i="22"/>
  <c r="HZ96" i="22"/>
  <c r="HZ95" i="22"/>
  <c r="HZ94" i="22"/>
  <c r="HZ93" i="22"/>
  <c r="HZ92" i="22"/>
  <c r="HZ91" i="22"/>
  <c r="HZ90" i="22"/>
  <c r="HZ89" i="22"/>
  <c r="HZ88" i="22"/>
  <c r="HZ87" i="22"/>
  <c r="HZ86" i="22"/>
  <c r="HZ84" i="22"/>
  <c r="HZ83" i="22"/>
  <c r="HZ82" i="22"/>
  <c r="HZ81" i="22"/>
  <c r="HZ80" i="22"/>
  <c r="HZ79" i="22"/>
  <c r="HZ78" i="22"/>
  <c r="HZ77" i="22"/>
  <c r="HZ76" i="22"/>
  <c r="HZ75" i="22"/>
  <c r="HZ74" i="22"/>
  <c r="HZ73" i="22"/>
  <c r="HZ72" i="22"/>
  <c r="HZ71" i="22"/>
  <c r="HZ70" i="22"/>
  <c r="HZ69" i="22"/>
  <c r="HZ67" i="22"/>
  <c r="HZ66" i="22"/>
  <c r="HZ64" i="22"/>
  <c r="HZ63" i="22"/>
  <c r="HZ61" i="22"/>
  <c r="HZ60" i="22"/>
  <c r="HZ59" i="22"/>
  <c r="HZ58" i="22"/>
  <c r="HZ57" i="22"/>
  <c r="HZ56" i="22"/>
  <c r="HZ55" i="22"/>
  <c r="HZ54" i="22"/>
  <c r="HZ53" i="22"/>
  <c r="HZ52" i="22"/>
  <c r="HZ51" i="22"/>
  <c r="HZ50" i="22"/>
  <c r="HZ49" i="22"/>
  <c r="HZ48" i="22"/>
  <c r="HZ47" i="22"/>
  <c r="HZ46" i="22"/>
  <c r="HZ45" i="22"/>
  <c r="HZ44" i="22"/>
  <c r="HZ42" i="22"/>
  <c r="HZ41" i="22"/>
  <c r="HZ40" i="22"/>
  <c r="HZ39" i="22"/>
  <c r="HZ38" i="22"/>
  <c r="HZ37" i="22"/>
  <c r="HZ36" i="22"/>
  <c r="HZ34" i="22"/>
  <c r="HZ33" i="22"/>
  <c r="HZ32" i="22"/>
  <c r="HZ31" i="22"/>
  <c r="HZ30" i="22"/>
  <c r="HZ29" i="22"/>
  <c r="HZ28" i="22"/>
  <c r="HZ27" i="22"/>
  <c r="HZ26" i="22"/>
  <c r="HZ25" i="22"/>
  <c r="HZ24" i="22"/>
  <c r="HZ22" i="22"/>
  <c r="HZ21" i="22"/>
  <c r="HZ20" i="22"/>
  <c r="HZ19" i="22"/>
  <c r="O54" i="31"/>
  <c r="GX105" i="22"/>
  <c r="GX104" i="22"/>
  <c r="GX102" i="22"/>
  <c r="GX101" i="22"/>
  <c r="GX99" i="22"/>
  <c r="GX98" i="22"/>
  <c r="GX97" i="22"/>
  <c r="GX96" i="22"/>
  <c r="GX95" i="22"/>
  <c r="GX94" i="22"/>
  <c r="GX93" i="22"/>
  <c r="GX92" i="22"/>
  <c r="GX91" i="22"/>
  <c r="GX90" i="22"/>
  <c r="GX89" i="22"/>
  <c r="GX88" i="22"/>
  <c r="GX87" i="22"/>
  <c r="GX86" i="22"/>
  <c r="GX84" i="22"/>
  <c r="GX83" i="22"/>
  <c r="GX82" i="22"/>
  <c r="GX81" i="22"/>
  <c r="GX80" i="22"/>
  <c r="GX79" i="22"/>
  <c r="GX78" i="22"/>
  <c r="GX77" i="22"/>
  <c r="GX76" i="22"/>
  <c r="GX75" i="22"/>
  <c r="GX74" i="22"/>
  <c r="GX73" i="22"/>
  <c r="GX72" i="22"/>
  <c r="GX70" i="22"/>
  <c r="GX69" i="22"/>
  <c r="GX68" i="22"/>
  <c r="GX67" i="22"/>
  <c r="GX66" i="22"/>
  <c r="GX64" i="22"/>
  <c r="GX63" i="22"/>
  <c r="GX62" i="22"/>
  <c r="GX61" i="22"/>
  <c r="GX60" i="22"/>
  <c r="GX59" i="22"/>
  <c r="GX58" i="22"/>
  <c r="GX57" i="22"/>
  <c r="GX56" i="22"/>
  <c r="GX55" i="22"/>
  <c r="GX54" i="22"/>
  <c r="GX53" i="22"/>
  <c r="GX52" i="22"/>
  <c r="GX51" i="22"/>
  <c r="GX50" i="22"/>
  <c r="GX49" i="22"/>
  <c r="GX48" i="22"/>
  <c r="GX47" i="22"/>
  <c r="GX46" i="22"/>
  <c r="GX45" i="22"/>
  <c r="GX44" i="22"/>
  <c r="GX42" i="22"/>
  <c r="GX41" i="22"/>
  <c r="GX40" i="22"/>
  <c r="GX39" i="22"/>
  <c r="GX38" i="22"/>
  <c r="GX37" i="22"/>
  <c r="GX36" i="22"/>
  <c r="GX35" i="22"/>
  <c r="GX34" i="22"/>
  <c r="GX33" i="22"/>
  <c r="GX32" i="22"/>
  <c r="GX31" i="22"/>
  <c r="GX28" i="22"/>
  <c r="GX27" i="22"/>
  <c r="GX26" i="22"/>
  <c r="GX25" i="22"/>
  <c r="GX24" i="22"/>
  <c r="GX22" i="22"/>
  <c r="GX21" i="22"/>
  <c r="GX20" i="22"/>
  <c r="GX19" i="22"/>
  <c r="GX18" i="22"/>
  <c r="N78" i="31"/>
  <c r="N69" i="31"/>
  <c r="N77" i="31"/>
  <c r="N76" i="31"/>
  <c r="N67" i="31"/>
  <c r="N75" i="31"/>
  <c r="BJ200" i="22"/>
  <c r="BJ182" i="22"/>
  <c r="CH165" i="22"/>
  <c r="BJ160" i="22"/>
  <c r="BJ156" i="22"/>
  <c r="CH152" i="22"/>
  <c r="CH144" i="22"/>
  <c r="CI120" i="22"/>
  <c r="CI116" i="22"/>
  <c r="N194" i="22"/>
  <c r="AL191" i="22"/>
  <c r="AL182" i="22"/>
  <c r="N181" i="22"/>
  <c r="AL174" i="22"/>
  <c r="N156" i="22"/>
  <c r="AM155" i="22"/>
  <c r="N139" i="22"/>
  <c r="N138" i="22"/>
  <c r="AM134" i="22"/>
  <c r="N131" i="22"/>
  <c r="AL120" i="22"/>
  <c r="HY105" i="22"/>
  <c r="HY104" i="22"/>
  <c r="HY102" i="22"/>
  <c r="HY101" i="22"/>
  <c r="HY99" i="22"/>
  <c r="HY98" i="22"/>
  <c r="HY97" i="22"/>
  <c r="HY96" i="22"/>
  <c r="HY95" i="22"/>
  <c r="HY94" i="22"/>
  <c r="HY93" i="22"/>
  <c r="HY92" i="22"/>
  <c r="HY91" i="22"/>
  <c r="HY90" i="22"/>
  <c r="HY89" i="22"/>
  <c r="HY88" i="22"/>
  <c r="HY87" i="22"/>
  <c r="HY86" i="22"/>
  <c r="HY84" i="22"/>
  <c r="HY83" i="22"/>
  <c r="HY82" i="22"/>
  <c r="HY81" i="22"/>
  <c r="HY80" i="22"/>
  <c r="HY79" i="22"/>
  <c r="HY78" i="22"/>
  <c r="HY77" i="22"/>
  <c r="HY76" i="22"/>
  <c r="HY75" i="22"/>
  <c r="HY74" i="22"/>
  <c r="HY73" i="22"/>
  <c r="HY72" i="22"/>
  <c r="HY70" i="22"/>
  <c r="HY69" i="22"/>
  <c r="HY68" i="22"/>
  <c r="HY67" i="22"/>
  <c r="HY66" i="22"/>
  <c r="HY64" i="22"/>
  <c r="HY63" i="22"/>
  <c r="HY62" i="22"/>
  <c r="HY61" i="22"/>
  <c r="HY60" i="22"/>
  <c r="HY59" i="22"/>
  <c r="HY58" i="22"/>
  <c r="HY57" i="22"/>
  <c r="HY56" i="22"/>
  <c r="HY55" i="22"/>
  <c r="HY54" i="22"/>
  <c r="HY53" i="22"/>
  <c r="HY52" i="22"/>
  <c r="HY51" i="22"/>
  <c r="HY50" i="22"/>
  <c r="HY49" i="22"/>
  <c r="HY48" i="22"/>
  <c r="HY47" i="22"/>
  <c r="HY46" i="22"/>
  <c r="HY45" i="22"/>
  <c r="HY44" i="22"/>
  <c r="HY42" i="22"/>
  <c r="HY41" i="22"/>
  <c r="HY40" i="22"/>
  <c r="HY39" i="22"/>
  <c r="HY38" i="22"/>
  <c r="HY37" i="22"/>
  <c r="HY36" i="22"/>
  <c r="HY35" i="22"/>
  <c r="HY34" i="22"/>
  <c r="HY33" i="22"/>
  <c r="HY32" i="22"/>
  <c r="HY31" i="22"/>
  <c r="HY28" i="22"/>
  <c r="HY27" i="22"/>
  <c r="HY26" i="22"/>
  <c r="HY25" i="22"/>
  <c r="HY24" i="22"/>
  <c r="HY22" i="22"/>
  <c r="HY21" i="22"/>
  <c r="HY20" i="22"/>
  <c r="HY19" i="22"/>
  <c r="N54" i="31"/>
  <c r="GW105" i="22"/>
  <c r="GW104" i="22"/>
  <c r="GW102" i="22"/>
  <c r="GW101" i="22"/>
  <c r="GW99" i="22"/>
  <c r="GW98" i="22"/>
  <c r="GW97" i="22"/>
  <c r="GW96" i="22"/>
  <c r="GW95" i="22"/>
  <c r="GW93" i="22"/>
  <c r="GW92" i="22"/>
  <c r="GW91" i="22"/>
  <c r="GW90" i="22"/>
  <c r="GW89" i="22"/>
  <c r="GW88" i="22"/>
  <c r="GW87" i="22"/>
  <c r="GW86" i="22"/>
  <c r="GW84" i="22"/>
  <c r="GW83" i="22"/>
  <c r="GW82" i="22"/>
  <c r="GW81" i="22"/>
  <c r="GW80" i="22"/>
  <c r="GW79" i="22"/>
  <c r="GW78" i="22"/>
  <c r="GW77" i="22"/>
  <c r="GW76" i="22"/>
  <c r="GW75" i="22"/>
  <c r="GW74" i="22"/>
  <c r="GW73" i="22"/>
  <c r="GW72" i="22"/>
  <c r="GW71" i="22"/>
  <c r="GW70" i="22"/>
  <c r="GW69" i="22"/>
  <c r="GW68" i="22"/>
  <c r="GW67" i="22"/>
  <c r="GW66" i="22"/>
  <c r="GW64" i="22"/>
  <c r="GW63" i="22"/>
  <c r="GW62" i="22"/>
  <c r="GW61" i="22"/>
  <c r="GW60" i="22"/>
  <c r="GW59" i="22"/>
  <c r="GW58" i="22"/>
  <c r="GW57" i="22"/>
  <c r="GW56" i="22"/>
  <c r="GW55" i="22"/>
  <c r="GW54" i="22"/>
  <c r="GW53" i="22"/>
  <c r="GW52" i="22"/>
  <c r="GW51" i="22"/>
  <c r="GW50" i="22"/>
  <c r="GW49" i="22"/>
  <c r="GW48" i="22"/>
  <c r="GW47" i="22"/>
  <c r="GW46" i="22"/>
  <c r="GW45" i="22"/>
  <c r="GW44" i="22"/>
  <c r="GW42" i="22"/>
  <c r="GW41" i="22"/>
  <c r="GW40" i="22"/>
  <c r="GW39" i="22"/>
  <c r="GW38" i="22"/>
  <c r="GW37" i="22"/>
  <c r="GW36" i="22"/>
  <c r="GW35" i="22"/>
  <c r="GW34" i="22"/>
  <c r="GW33" i="22"/>
  <c r="GW32" i="22"/>
  <c r="GW31" i="22"/>
  <c r="GW30" i="22"/>
  <c r="GW29" i="22"/>
  <c r="GW28" i="22"/>
  <c r="GW27" i="22"/>
  <c r="GW26" i="22"/>
  <c r="GW25" i="22"/>
  <c r="GW24" i="22"/>
  <c r="GW22" i="22"/>
  <c r="GW21" i="22"/>
  <c r="GW20" i="22"/>
  <c r="GW19" i="22"/>
  <c r="GW18" i="22"/>
  <c r="GW17" i="22"/>
  <c r="M78" i="31"/>
  <c r="M69" i="31"/>
  <c r="M76" i="31"/>
  <c r="M67" i="31"/>
  <c r="CH202" i="22"/>
  <c r="BI197" i="22"/>
  <c r="CH196" i="22"/>
  <c r="BI193" i="22"/>
  <c r="CG187" i="22"/>
  <c r="CH184" i="22"/>
  <c r="BI179" i="22"/>
  <c r="BI174" i="22"/>
  <c r="BI167" i="22"/>
  <c r="CH166" i="22"/>
  <c r="CH157" i="22"/>
  <c r="M43" i="26"/>
  <c r="CH145" i="22"/>
  <c r="CH140" i="22"/>
  <c r="CH136" i="22"/>
  <c r="BI128" i="22"/>
  <c r="BI124" i="22"/>
  <c r="M65" i="31"/>
  <c r="AL194" i="22"/>
  <c r="AL180" i="22"/>
  <c r="M177" i="22"/>
  <c r="AL176" i="22"/>
  <c r="AL172" i="22"/>
  <c r="AL177" i="22"/>
  <c r="N22" i="29"/>
  <c r="M169" i="22"/>
  <c r="M168" i="22"/>
  <c r="M165" i="22"/>
  <c r="AL164" i="22"/>
  <c r="M159" i="22"/>
  <c r="AL155" i="22"/>
  <c r="M151" i="22"/>
  <c r="M147" i="22"/>
  <c r="M143" i="22"/>
  <c r="AL138" i="22"/>
  <c r="AL134" i="22"/>
  <c r="M130" i="22"/>
  <c r="AL126" i="22"/>
  <c r="AL122" i="22"/>
  <c r="HX105" i="22"/>
  <c r="HX104" i="22"/>
  <c r="HX102" i="22"/>
  <c r="HX101" i="22"/>
  <c r="HX99" i="22"/>
  <c r="HX98" i="22"/>
  <c r="HX97" i="22"/>
  <c r="HX96" i="22"/>
  <c r="HX95" i="22"/>
  <c r="HX93" i="22"/>
  <c r="HX92" i="22"/>
  <c r="HX91" i="22"/>
  <c r="HX90" i="22"/>
  <c r="HX89" i="22"/>
  <c r="HX88" i="22"/>
  <c r="HX87" i="22"/>
  <c r="HX86" i="22"/>
  <c r="HX84" i="22"/>
  <c r="HX83" i="22"/>
  <c r="HX82" i="22"/>
  <c r="HX81" i="22"/>
  <c r="HX80" i="22"/>
  <c r="HX79" i="22"/>
  <c r="HX78" i="22"/>
  <c r="HX77" i="22"/>
  <c r="HX76" i="22"/>
  <c r="HX75" i="22"/>
  <c r="HX74" i="22"/>
  <c r="HX73" i="22"/>
  <c r="HX72" i="22"/>
  <c r="HX71" i="22"/>
  <c r="HX70" i="22"/>
  <c r="HX69" i="22"/>
  <c r="HX68" i="22"/>
  <c r="HX67" i="22"/>
  <c r="HX66" i="22"/>
  <c r="HX64" i="22"/>
  <c r="HX63" i="22"/>
  <c r="HX62" i="22"/>
  <c r="HX61" i="22"/>
  <c r="HX60" i="22"/>
  <c r="HX59" i="22"/>
  <c r="HX58" i="22"/>
  <c r="HX57" i="22"/>
  <c r="HX56" i="22"/>
  <c r="HX54" i="22"/>
  <c r="HX53" i="22"/>
  <c r="HX52" i="22"/>
  <c r="HX51" i="22"/>
  <c r="HX50" i="22"/>
  <c r="HX49" i="22"/>
  <c r="HX48" i="22"/>
  <c r="HX47" i="22"/>
  <c r="HX46" i="22"/>
  <c r="HX45" i="22"/>
  <c r="HX44" i="22"/>
  <c r="HX42" i="22"/>
  <c r="HX41" i="22"/>
  <c r="HX40" i="22"/>
  <c r="HX39" i="22"/>
  <c r="HX38" i="22"/>
  <c r="HX37" i="22"/>
  <c r="HX36" i="22"/>
  <c r="HX35" i="22"/>
  <c r="HX34" i="22"/>
  <c r="HX33" i="22"/>
  <c r="HX32" i="22"/>
  <c r="HX31" i="22"/>
  <c r="HX30" i="22"/>
  <c r="HX29" i="22"/>
  <c r="HX28" i="22"/>
  <c r="HX27" i="22"/>
  <c r="HX26" i="22"/>
  <c r="HX25" i="22"/>
  <c r="HX24" i="22"/>
  <c r="HX22" i="22"/>
  <c r="HX21" i="22"/>
  <c r="HX20" i="22"/>
  <c r="HX19" i="22"/>
  <c r="M52" i="31"/>
  <c r="GV105" i="22"/>
  <c r="GV104" i="22"/>
  <c r="GV102" i="22"/>
  <c r="GV101" i="22"/>
  <c r="GV98" i="22"/>
  <c r="GV97" i="22"/>
  <c r="GV96" i="22"/>
  <c r="GV95" i="22"/>
  <c r="GV94" i="22"/>
  <c r="GV93" i="22"/>
  <c r="GV92" i="22"/>
  <c r="GV91" i="22"/>
  <c r="GV90" i="22"/>
  <c r="GV88" i="22"/>
  <c r="GV87" i="22"/>
  <c r="GV86" i="22"/>
  <c r="GV84" i="22"/>
  <c r="GV83" i="22"/>
  <c r="GV82" i="22"/>
  <c r="GV81" i="22"/>
  <c r="GV80" i="22"/>
  <c r="GV79" i="22"/>
  <c r="GV78" i="22"/>
  <c r="GV77" i="22"/>
  <c r="GV76" i="22"/>
  <c r="GV75" i="22"/>
  <c r="GV74" i="22"/>
  <c r="GV73" i="22"/>
  <c r="GV72" i="22"/>
  <c r="GV70" i="22"/>
  <c r="GV69" i="22"/>
  <c r="GV68" i="22"/>
  <c r="GV67" i="22"/>
  <c r="GV66" i="22"/>
  <c r="GV64" i="22"/>
  <c r="GV63" i="22"/>
  <c r="GV62" i="22"/>
  <c r="GV61" i="22"/>
  <c r="GV59" i="22"/>
  <c r="GV58" i="22"/>
  <c r="GV57" i="22"/>
  <c r="GV56" i="22"/>
  <c r="GV55" i="22"/>
  <c r="GV54" i="22"/>
  <c r="GV53" i="22"/>
  <c r="GV52" i="22"/>
  <c r="GV51" i="22"/>
  <c r="GV50" i="22"/>
  <c r="GV49" i="22"/>
  <c r="GV48" i="22"/>
  <c r="GV47" i="22"/>
  <c r="GV46" i="22"/>
  <c r="GV45" i="22"/>
  <c r="GV44" i="22"/>
  <c r="GV42" i="22"/>
  <c r="GV41" i="22"/>
  <c r="GV40" i="22"/>
  <c r="GV39" i="22"/>
  <c r="GV38" i="22"/>
  <c r="GV37" i="22"/>
  <c r="GV36" i="22"/>
  <c r="GV35" i="22"/>
  <c r="GV34" i="22"/>
  <c r="GV33" i="22"/>
  <c r="GV32" i="22"/>
  <c r="GV31" i="22"/>
  <c r="GV30" i="22"/>
  <c r="GV29" i="22"/>
  <c r="GV28" i="22"/>
  <c r="GV27" i="22"/>
  <c r="GV26" i="22"/>
  <c r="GV25" i="22"/>
  <c r="GV24" i="22"/>
  <c r="GV22" i="22"/>
  <c r="GV21" i="22"/>
  <c r="GV20" i="22"/>
  <c r="GV19" i="22"/>
  <c r="GV18" i="22"/>
  <c r="GV17" i="22"/>
  <c r="L77" i="31"/>
  <c r="L45" i="26"/>
  <c r="L76" i="31"/>
  <c r="L67" i="31"/>
  <c r="L44" i="26"/>
  <c r="CF203" i="22"/>
  <c r="BH196" i="22"/>
  <c r="CG192" i="22"/>
  <c r="CF189" i="22"/>
  <c r="BH188" i="22"/>
  <c r="CF184" i="22"/>
  <c r="CF182" i="22"/>
  <c r="CF174" i="22"/>
  <c r="CF170" i="22"/>
  <c r="BH166" i="22"/>
  <c r="CG165" i="22"/>
  <c r="CG160" i="22"/>
  <c r="CG155" i="22"/>
  <c r="BH151" i="22"/>
  <c r="BH147" i="22"/>
  <c r="CG143" i="22"/>
  <c r="CG138" i="22"/>
  <c r="CG134" i="22"/>
  <c r="CG130" i="22"/>
  <c r="CG126" i="22"/>
  <c r="CG123" i="22"/>
  <c r="CG122" i="22"/>
  <c r="CG118" i="22"/>
  <c r="CG117" i="22"/>
  <c r="AJ203" i="22"/>
  <c r="AK196" i="22"/>
  <c r="L195" i="22"/>
  <c r="AJ191" i="22"/>
  <c r="AJ186" i="22"/>
  <c r="L178" i="22"/>
  <c r="AJ173" i="22"/>
  <c r="AJ170" i="22"/>
  <c r="L168" i="22"/>
  <c r="AJ164" i="22"/>
  <c r="L159" i="22"/>
  <c r="AK154" i="22"/>
  <c r="AK150" i="22"/>
  <c r="L147" i="22"/>
  <c r="L142" i="22"/>
  <c r="L133" i="22"/>
  <c r="L130" i="22"/>
  <c r="L125" i="22"/>
  <c r="AK120" i="22"/>
  <c r="HW105" i="22"/>
  <c r="HW104" i="22"/>
  <c r="HW102" i="22"/>
  <c r="HW101" i="22"/>
  <c r="HW98" i="22"/>
  <c r="HW97" i="22"/>
  <c r="HW96" i="22"/>
  <c r="HW95" i="22"/>
  <c r="HW94" i="22"/>
  <c r="HW93" i="22"/>
  <c r="HW92" i="22"/>
  <c r="HW91" i="22"/>
  <c r="HW90" i="22"/>
  <c r="HW88" i="22"/>
  <c r="HW87" i="22"/>
  <c r="HW86" i="22"/>
  <c r="HW84" i="22"/>
  <c r="HW83" i="22"/>
  <c r="HW82" i="22"/>
  <c r="HW81" i="22"/>
  <c r="HW80" i="22"/>
  <c r="HW79" i="22"/>
  <c r="HW78" i="22"/>
  <c r="HW77" i="22"/>
  <c r="HW76" i="22"/>
  <c r="HW75" i="22"/>
  <c r="HW74" i="22"/>
  <c r="HW73" i="22"/>
  <c r="HW72" i="22"/>
  <c r="HW70" i="22"/>
  <c r="HW69" i="22"/>
  <c r="HW68" i="22"/>
  <c r="HW67" i="22"/>
  <c r="HW66" i="22"/>
  <c r="HW64" i="22"/>
  <c r="HW63" i="22"/>
  <c r="HW62" i="22"/>
  <c r="HW59" i="22"/>
  <c r="HW58" i="22"/>
  <c r="HW57" i="22"/>
  <c r="HW56" i="22"/>
  <c r="HW54" i="22"/>
  <c r="HW53" i="22"/>
  <c r="HW52" i="22"/>
  <c r="HW51" i="22"/>
  <c r="HW50" i="22"/>
  <c r="HW49" i="22"/>
  <c r="HW48" i="22"/>
  <c r="HW47" i="22"/>
  <c r="HW46" i="22"/>
  <c r="HW45" i="22"/>
  <c r="HW44" i="22"/>
  <c r="HW42" i="22"/>
  <c r="HW41" i="22"/>
  <c r="HW40" i="22"/>
  <c r="HW39" i="22"/>
  <c r="HW38" i="22"/>
  <c r="HW37" i="22"/>
  <c r="HW36" i="22"/>
  <c r="HW35" i="22"/>
  <c r="HW34" i="22"/>
  <c r="HW33" i="22"/>
  <c r="HW32" i="22"/>
  <c r="HW31" i="22"/>
  <c r="HW30" i="22"/>
  <c r="HW29" i="22"/>
  <c r="HW28" i="22"/>
  <c r="HW27" i="22"/>
  <c r="HW26" i="22"/>
  <c r="HW25" i="22"/>
  <c r="HW24" i="22"/>
  <c r="HW22" i="22"/>
  <c r="HW21" i="22"/>
  <c r="HW20" i="22"/>
  <c r="HW19" i="22"/>
  <c r="L54" i="31"/>
  <c r="L52" i="31"/>
  <c r="K47" i="26"/>
  <c r="K46" i="26"/>
  <c r="K45" i="26"/>
  <c r="K44" i="26"/>
  <c r="CE179" i="22"/>
  <c r="CE176" i="22"/>
  <c r="CE175" i="22"/>
  <c r="BG172" i="22"/>
  <c r="BG177" i="22"/>
  <c r="K39" i="29"/>
  <c r="BG171" i="22"/>
  <c r="BG167" i="22"/>
  <c r="BG166" i="22"/>
  <c r="BG161" i="22"/>
  <c r="CE157" i="22"/>
  <c r="CF153" i="22"/>
  <c r="CF149" i="22"/>
  <c r="CE145" i="22"/>
  <c r="CF140" i="22"/>
  <c r="CE137" i="22"/>
  <c r="CE135" i="22"/>
  <c r="CE131" i="22"/>
  <c r="CE127" i="22"/>
  <c r="CF124" i="22"/>
  <c r="BG123" i="22"/>
  <c r="K35" i="30"/>
  <c r="CE118" i="22"/>
  <c r="K179" i="22"/>
  <c r="AI176" i="22"/>
  <c r="AI175" i="22"/>
  <c r="AI167" i="22"/>
  <c r="AI161" i="22"/>
  <c r="AI158" i="22"/>
  <c r="K157" i="22"/>
  <c r="AI153" i="22"/>
  <c r="K146" i="22"/>
  <c r="AI145" i="22"/>
  <c r="K142" i="22"/>
  <c r="AJ140" i="22"/>
  <c r="K137" i="22"/>
  <c r="K135" i="22"/>
  <c r="AI127" i="22"/>
  <c r="K119" i="22"/>
  <c r="AI118" i="22"/>
  <c r="K33" i="26"/>
  <c r="A10" i="31"/>
  <c r="A19" i="31"/>
  <c r="A28" i="31"/>
  <c r="A39" i="31"/>
  <c r="A20" i="26"/>
  <c r="A10" i="26"/>
  <c r="GL160" i="28"/>
  <c r="A9" i="33"/>
  <c r="B79" i="35"/>
  <c r="CT160" i="28"/>
  <c r="BV160" i="28"/>
  <c r="B77" i="35"/>
  <c r="FN160" i="28"/>
  <c r="DR160" i="28"/>
  <c r="B75" i="35"/>
  <c r="AX160" i="28"/>
  <c r="EP160" i="28"/>
  <c r="B73" i="35"/>
  <c r="Z160" i="28"/>
  <c r="GL116" i="28"/>
  <c r="B68" i="35"/>
  <c r="CT116" i="28"/>
  <c r="BV116" i="28"/>
  <c r="B66" i="35"/>
  <c r="FN116" i="28"/>
  <c r="DR116" i="28"/>
  <c r="B64" i="35"/>
  <c r="AX116" i="28"/>
  <c r="EP116" i="28"/>
  <c r="B62" i="35"/>
  <c r="Z116" i="28"/>
  <c r="B57" i="35"/>
  <c r="B56" i="35"/>
  <c r="B53" i="35"/>
  <c r="B52" i="35"/>
  <c r="B46" i="35"/>
  <c r="B45" i="35"/>
  <c r="B39" i="35"/>
  <c r="B38" i="35"/>
  <c r="B32" i="35"/>
  <c r="B31" i="35"/>
  <c r="B25" i="35"/>
  <c r="B24" i="35"/>
  <c r="AZ53" i="10"/>
  <c r="A18" i="33"/>
  <c r="BX53" i="10"/>
  <c r="B18" i="35"/>
  <c r="AZ9" i="10"/>
  <c r="B13" i="35"/>
  <c r="B12" i="35"/>
  <c r="Z11" i="27"/>
  <c r="Z15" i="27"/>
  <c r="B22" i="30"/>
  <c r="Z11" i="15"/>
  <c r="Z15" i="15"/>
  <c r="B21" i="30"/>
  <c r="Z12" i="27"/>
  <c r="Z18" i="27"/>
  <c r="B20" i="30"/>
  <c r="Z12" i="15"/>
  <c r="Z18" i="15"/>
  <c r="B19" i="30"/>
  <c r="B15" i="30"/>
  <c r="B14" i="30"/>
  <c r="B13" i="30"/>
  <c r="B12" i="30"/>
  <c r="GL117" i="28"/>
  <c r="B100" i="31"/>
  <c r="CT117" i="28"/>
  <c r="B99" i="31"/>
  <c r="BV117" i="28"/>
  <c r="B98" i="31"/>
  <c r="FN117" i="28"/>
  <c r="B97" i="31"/>
  <c r="DR117" i="28"/>
  <c r="B96" i="31"/>
  <c r="AX117" i="28"/>
  <c r="B95" i="31"/>
  <c r="EP117" i="28"/>
  <c r="B94" i="31"/>
  <c r="Z117" i="28"/>
  <c r="B93" i="31"/>
  <c r="B89" i="31"/>
  <c r="B88" i="31"/>
  <c r="B86" i="31"/>
  <c r="B85" i="31"/>
  <c r="B84" i="31"/>
  <c r="B82" i="31"/>
  <c r="B78" i="31"/>
  <c r="B77" i="31"/>
  <c r="B76" i="31"/>
  <c r="B75" i="31"/>
  <c r="B74" i="31"/>
  <c r="B73" i="31"/>
  <c r="B69" i="31"/>
  <c r="B68" i="31"/>
  <c r="B67" i="31"/>
  <c r="B66" i="31"/>
  <c r="B65" i="31"/>
  <c r="B64" i="31"/>
  <c r="B60" i="31"/>
  <c r="B59" i="31"/>
  <c r="B55" i="31"/>
  <c r="B54" i="31"/>
  <c r="B53" i="31"/>
  <c r="B52" i="31"/>
  <c r="Z67" i="27"/>
  <c r="Z72" i="27"/>
  <c r="B18" i="29"/>
  <c r="Z67" i="15"/>
  <c r="Z72" i="15"/>
  <c r="B17" i="29"/>
  <c r="B13" i="29"/>
  <c r="B12" i="29"/>
  <c r="GL127" i="28"/>
  <c r="CT127" i="28"/>
  <c r="BV127" i="28"/>
  <c r="FN127" i="28"/>
  <c r="DR127" i="28"/>
  <c r="AX127" i="28"/>
  <c r="Z127" i="28"/>
  <c r="EP127" i="28"/>
  <c r="B47" i="26"/>
  <c r="B46" i="26"/>
  <c r="B45" i="26"/>
  <c r="B44" i="26"/>
  <c r="B43" i="26"/>
  <c r="B42" i="26"/>
  <c r="B38" i="26"/>
  <c r="B34" i="26"/>
  <c r="B33" i="26"/>
  <c r="B12" i="34"/>
  <c r="B50" i="34"/>
  <c r="B17" i="34"/>
  <c r="CQ10" i="27"/>
  <c r="CQ11" i="27"/>
  <c r="CQ12" i="27"/>
  <c r="CQ13" i="27"/>
  <c r="CQ14" i="27"/>
  <c r="CQ15" i="27"/>
  <c r="CQ16" i="27"/>
  <c r="CQ17" i="27"/>
  <c r="CQ18" i="27"/>
  <c r="CQ19" i="27"/>
  <c r="CQ20" i="27"/>
  <c r="CQ21" i="27"/>
  <c r="CQ22" i="27"/>
  <c r="CQ23" i="27"/>
  <c r="CQ24" i="27"/>
  <c r="CQ25" i="27"/>
  <c r="CQ26" i="27"/>
  <c r="CQ27" i="27"/>
  <c r="CQ28" i="27"/>
  <c r="CQ29" i="27"/>
  <c r="CQ30" i="27"/>
  <c r="CQ31" i="27"/>
  <c r="CQ32" i="27"/>
  <c r="CQ33" i="27"/>
  <c r="CQ34" i="27"/>
  <c r="CQ35" i="27"/>
  <c r="CQ36" i="27"/>
  <c r="CQ37" i="27"/>
  <c r="CQ38" i="27"/>
  <c r="CQ39" i="27"/>
  <c r="CQ40" i="27"/>
  <c r="CQ41" i="27"/>
  <c r="CQ42" i="27"/>
  <c r="CQ43" i="27"/>
  <c r="CQ44" i="27"/>
  <c r="CQ45" i="27"/>
  <c r="CQ46" i="27"/>
  <c r="CQ47" i="27"/>
  <c r="CQ48" i="27"/>
  <c r="CQ49" i="27"/>
  <c r="CQ50" i="27"/>
  <c r="CQ51" i="27"/>
  <c r="CQ52" i="27"/>
  <c r="CQ53" i="27"/>
  <c r="CQ54" i="27"/>
  <c r="CQ55" i="27"/>
  <c r="CQ56" i="27"/>
  <c r="CQ57" i="27"/>
  <c r="CQ58" i="27"/>
  <c r="CQ59" i="27"/>
  <c r="CQ60" i="27"/>
  <c r="CQ61" i="27"/>
  <c r="CQ62" i="27"/>
  <c r="CQ63" i="27"/>
  <c r="CQ64" i="27"/>
  <c r="CQ65" i="27"/>
  <c r="CQ66" i="27"/>
  <c r="CQ67" i="27"/>
  <c r="CQ68" i="27"/>
  <c r="CQ69" i="27"/>
  <c r="CQ70" i="27"/>
  <c r="CQ71" i="27"/>
  <c r="CQ72" i="27"/>
  <c r="CQ73" i="27"/>
  <c r="CQ74" i="27"/>
  <c r="CQ75" i="27"/>
  <c r="CQ76" i="27"/>
  <c r="CQ77" i="27"/>
  <c r="CQ78" i="27"/>
  <c r="CQ79" i="27"/>
  <c r="CQ80" i="27"/>
  <c r="CQ81" i="27"/>
  <c r="CQ82" i="27"/>
  <c r="CQ83" i="27"/>
  <c r="CQ84" i="27"/>
  <c r="CQ85" i="27"/>
  <c r="CQ86" i="27"/>
  <c r="CQ87" i="27"/>
  <c r="CQ88" i="27"/>
  <c r="CQ89" i="27"/>
  <c r="CQ90" i="27"/>
  <c r="CQ91" i="27"/>
  <c r="CQ92" i="27"/>
  <c r="CQ93" i="27"/>
  <c r="CQ94" i="27"/>
  <c r="CQ95" i="27"/>
  <c r="CQ96" i="27"/>
  <c r="CQ97" i="27"/>
  <c r="CQ98" i="27"/>
  <c r="BS10" i="27"/>
  <c r="BS11" i="27"/>
  <c r="BS12" i="27"/>
  <c r="BS13" i="27"/>
  <c r="BS14" i="27"/>
  <c r="BS15" i="27"/>
  <c r="BS16" i="27"/>
  <c r="BS17" i="27"/>
  <c r="BS18" i="27"/>
  <c r="BS19" i="27"/>
  <c r="BS20" i="27"/>
  <c r="BS21" i="27"/>
  <c r="BS22" i="27"/>
  <c r="BS23" i="27"/>
  <c r="BS24" i="27"/>
  <c r="BS25" i="27"/>
  <c r="BS26" i="27"/>
  <c r="BS27" i="27"/>
  <c r="BS28" i="27"/>
  <c r="BS29" i="27"/>
  <c r="BS30" i="27"/>
  <c r="BS31" i="27"/>
  <c r="BS32" i="27"/>
  <c r="BS33" i="27"/>
  <c r="BS34" i="27"/>
  <c r="BS35" i="27"/>
  <c r="BS36" i="27"/>
  <c r="BS37" i="27"/>
  <c r="BS38" i="27"/>
  <c r="BS39" i="27"/>
  <c r="BS40" i="27"/>
  <c r="BS41" i="27"/>
  <c r="BS42" i="27"/>
  <c r="BS43" i="27"/>
  <c r="BS44" i="27"/>
  <c r="BS45" i="27"/>
  <c r="BS46" i="27"/>
  <c r="BS47" i="27"/>
  <c r="BS48" i="27"/>
  <c r="BS49" i="27"/>
  <c r="BS50" i="27"/>
  <c r="BS51" i="27"/>
  <c r="BS52" i="27"/>
  <c r="BS53" i="27"/>
  <c r="BS54" i="27"/>
  <c r="BS55" i="27"/>
  <c r="BS56" i="27"/>
  <c r="BS57" i="27"/>
  <c r="BS58" i="27"/>
  <c r="BS59" i="27"/>
  <c r="BS60" i="27"/>
  <c r="BS61" i="27"/>
  <c r="BS62" i="27"/>
  <c r="BS63" i="27"/>
  <c r="BS64" i="27"/>
  <c r="BS65" i="27"/>
  <c r="BS66" i="27"/>
  <c r="BS67" i="27"/>
  <c r="BS68" i="27"/>
  <c r="BS69" i="27"/>
  <c r="BS70" i="27"/>
  <c r="BS71" i="27"/>
  <c r="BS72" i="27"/>
  <c r="BS73" i="27"/>
  <c r="BS74" i="27"/>
  <c r="BS75" i="27"/>
  <c r="BS76" i="27"/>
  <c r="BS77" i="27"/>
  <c r="BS78" i="27"/>
  <c r="BS79" i="27"/>
  <c r="BS80" i="27"/>
  <c r="BS81" i="27"/>
  <c r="BS82" i="27"/>
  <c r="BS83" i="27"/>
  <c r="BS84" i="27"/>
  <c r="BS85" i="27"/>
  <c r="BS86" i="27"/>
  <c r="BS87" i="27"/>
  <c r="BS88" i="27"/>
  <c r="BS89" i="27"/>
  <c r="BS90" i="27"/>
  <c r="BS91" i="27"/>
  <c r="BS92" i="27"/>
  <c r="BS93" i="27"/>
  <c r="BS94" i="27"/>
  <c r="BS95" i="27"/>
  <c r="BS96" i="27"/>
  <c r="BS97" i="27"/>
  <c r="BS98" i="27"/>
  <c r="HG160" i="28"/>
  <c r="V9" i="33"/>
  <c r="W79" i="35"/>
  <c r="DO160" i="28"/>
  <c r="W78" i="35"/>
  <c r="HF160" i="28"/>
  <c r="U9" i="33"/>
  <c r="V79" i="35"/>
  <c r="HE160" i="28"/>
  <c r="T9" i="33"/>
  <c r="U79" i="35"/>
  <c r="HD160" i="28"/>
  <c r="S9" i="33"/>
  <c r="T79" i="35"/>
  <c r="DN160" i="28"/>
  <c r="V78" i="35"/>
  <c r="DM160" i="28"/>
  <c r="U78" i="35"/>
  <c r="DL160" i="28"/>
  <c r="T78" i="35"/>
  <c r="CQ160" i="28"/>
  <c r="W77" i="35"/>
  <c r="CP160" i="28"/>
  <c r="V77" i="35"/>
  <c r="CO160" i="28"/>
  <c r="U77" i="35"/>
  <c r="CN160" i="28"/>
  <c r="T77" i="35"/>
  <c r="GI160" i="28"/>
  <c r="W76" i="35"/>
  <c r="GH160" i="28"/>
  <c r="V76" i="35"/>
  <c r="GG160" i="28"/>
  <c r="U76" i="35"/>
  <c r="GF160" i="28"/>
  <c r="T76" i="35"/>
  <c r="EM160" i="28"/>
  <c r="W75" i="35"/>
  <c r="EL160" i="28"/>
  <c r="V75" i="35"/>
  <c r="EK160" i="28"/>
  <c r="U75" i="35"/>
  <c r="EJ160" i="28"/>
  <c r="T75" i="35"/>
  <c r="BS160" i="28"/>
  <c r="W74" i="35"/>
  <c r="BR160" i="28"/>
  <c r="BQ160" i="28"/>
  <c r="U74" i="35"/>
  <c r="BP160" i="28"/>
  <c r="T74" i="35"/>
  <c r="FK160" i="28"/>
  <c r="W73" i="35"/>
  <c r="FJ160" i="28"/>
  <c r="FI160" i="28"/>
  <c r="U73" i="35"/>
  <c r="FH160" i="28"/>
  <c r="T73" i="35"/>
  <c r="AU160" i="28"/>
  <c r="W72" i="35"/>
  <c r="AT160" i="28"/>
  <c r="V72" i="35"/>
  <c r="AS160" i="28"/>
  <c r="U72" i="35"/>
  <c r="AR160" i="28"/>
  <c r="T72" i="35"/>
  <c r="HG116" i="28"/>
  <c r="W68" i="35"/>
  <c r="HF116" i="28"/>
  <c r="V68" i="35"/>
  <c r="HE116" i="28"/>
  <c r="U68" i="35"/>
  <c r="HD116" i="28"/>
  <c r="T68" i="35"/>
  <c r="DO116" i="28"/>
  <c r="W67" i="35"/>
  <c r="DN116" i="28"/>
  <c r="V67" i="35"/>
  <c r="DM116" i="28"/>
  <c r="U67" i="35"/>
  <c r="DL116" i="28"/>
  <c r="T67" i="35"/>
  <c r="CQ116" i="28"/>
  <c r="W66" i="35"/>
  <c r="CP116" i="28"/>
  <c r="V66" i="35"/>
  <c r="CO116" i="28"/>
  <c r="U66" i="35"/>
  <c r="CN116" i="28"/>
  <c r="T66" i="35"/>
  <c r="GI116" i="28"/>
  <c r="W65" i="35"/>
  <c r="GH116" i="28"/>
  <c r="V65" i="35"/>
  <c r="GG116" i="28"/>
  <c r="U65" i="35"/>
  <c r="GF116" i="28"/>
  <c r="T65" i="35"/>
  <c r="EM116" i="28"/>
  <c r="W64" i="35"/>
  <c r="EL116" i="28"/>
  <c r="V64" i="35"/>
  <c r="EK116" i="28"/>
  <c r="U64" i="35"/>
  <c r="EJ116" i="28"/>
  <c r="T64" i="35"/>
  <c r="BS116" i="28"/>
  <c r="W63" i="35"/>
  <c r="BR116" i="28"/>
  <c r="V63" i="35"/>
  <c r="BQ116" i="28"/>
  <c r="U63" i="35"/>
  <c r="BP116" i="28"/>
  <c r="T63" i="35"/>
  <c r="FK116" i="28"/>
  <c r="W62" i="35"/>
  <c r="FJ116" i="28"/>
  <c r="V62" i="35"/>
  <c r="FI116" i="28"/>
  <c r="U62" i="35"/>
  <c r="FH116" i="28"/>
  <c r="T62" i="35"/>
  <c r="AU116" i="28"/>
  <c r="W61" i="35"/>
  <c r="AT116" i="28"/>
  <c r="V61" i="35"/>
  <c r="AS116" i="28"/>
  <c r="U61" i="35"/>
  <c r="AR116" i="28"/>
  <c r="T61" i="35"/>
  <c r="W25" i="35"/>
  <c r="V25" i="35"/>
  <c r="U25" i="35"/>
  <c r="T25" i="35"/>
  <c r="W24" i="35"/>
  <c r="V24" i="35"/>
  <c r="U24" i="35"/>
  <c r="T24" i="35"/>
  <c r="W23" i="35"/>
  <c r="V23" i="35"/>
  <c r="U23" i="35"/>
  <c r="T23" i="35"/>
  <c r="W22" i="35"/>
  <c r="T22" i="35"/>
  <c r="HG117" i="28"/>
  <c r="W100" i="31"/>
  <c r="HF117" i="28"/>
  <c r="V100" i="31"/>
  <c r="HE117" i="28"/>
  <c r="U100" i="31"/>
  <c r="HD117" i="28"/>
  <c r="T100" i="31"/>
  <c r="DO117" i="28"/>
  <c r="W99" i="31"/>
  <c r="DN117" i="28"/>
  <c r="V99" i="31"/>
  <c r="DM117" i="28"/>
  <c r="U99" i="31"/>
  <c r="DL117" i="28"/>
  <c r="T99" i="31"/>
  <c r="CQ117" i="28"/>
  <c r="W98" i="31"/>
  <c r="CP117" i="28"/>
  <c r="V98" i="31"/>
  <c r="CO117" i="28"/>
  <c r="U98" i="31"/>
  <c r="CN117" i="28"/>
  <c r="T98" i="31"/>
  <c r="GI117" i="28"/>
  <c r="W97" i="31"/>
  <c r="GH117" i="28"/>
  <c r="V97" i="31"/>
  <c r="GG117" i="28"/>
  <c r="U97" i="31"/>
  <c r="GF117" i="28"/>
  <c r="T97" i="31"/>
  <c r="EM117" i="28"/>
  <c r="W96" i="31"/>
  <c r="EL117" i="28"/>
  <c r="V96" i="31"/>
  <c r="EK117" i="28"/>
  <c r="U96" i="31"/>
  <c r="EJ117" i="28"/>
  <c r="T96" i="31"/>
  <c r="BS117" i="28"/>
  <c r="W95" i="31"/>
  <c r="BR117" i="28"/>
  <c r="V95" i="31"/>
  <c r="BQ117" i="28"/>
  <c r="U95" i="31"/>
  <c r="BP117" i="28"/>
  <c r="T95" i="31"/>
  <c r="FK117" i="28"/>
  <c r="W94" i="31"/>
  <c r="FJ117" i="28"/>
  <c r="V94" i="31"/>
  <c r="FI117" i="28"/>
  <c r="U94" i="31"/>
  <c r="FH117" i="28"/>
  <c r="T94" i="31"/>
  <c r="AU117" i="28"/>
  <c r="W93" i="31"/>
  <c r="AT117" i="28"/>
  <c r="V93" i="31"/>
  <c r="AS117" i="28"/>
  <c r="U93" i="31"/>
  <c r="AR117" i="28"/>
  <c r="T93" i="31"/>
  <c r="W89" i="31"/>
  <c r="V89" i="31"/>
  <c r="U89" i="31"/>
  <c r="T89" i="31"/>
  <c r="W88" i="31"/>
  <c r="V88" i="31"/>
  <c r="U88" i="31"/>
  <c r="W87" i="31"/>
  <c r="V87" i="31"/>
  <c r="U87" i="31"/>
  <c r="W86" i="31"/>
  <c r="V86" i="31"/>
  <c r="U86" i="31"/>
  <c r="T86" i="31"/>
  <c r="W85" i="31"/>
  <c r="V85" i="31"/>
  <c r="U85" i="31"/>
  <c r="U84" i="31"/>
  <c r="W83" i="31"/>
  <c r="V83" i="31"/>
  <c r="U83" i="31"/>
  <c r="T83" i="31"/>
  <c r="W82" i="31"/>
  <c r="U82" i="31"/>
  <c r="W55" i="31"/>
  <c r="V55" i="31"/>
  <c r="U55" i="31"/>
  <c r="T55" i="31"/>
  <c r="W54" i="31"/>
  <c r="V54" i="31"/>
  <c r="U54" i="31"/>
  <c r="W53" i="31"/>
  <c r="V53" i="31"/>
  <c r="U53" i="31"/>
  <c r="T53" i="31"/>
  <c r="T52" i="31"/>
  <c r="W12" i="34"/>
  <c r="W49" i="34"/>
  <c r="HG123" i="28"/>
  <c r="V12" i="34"/>
  <c r="V51" i="34"/>
  <c r="HF123" i="28"/>
  <c r="U12" i="34"/>
  <c r="U49" i="34"/>
  <c r="HE123" i="28"/>
  <c r="T12" i="34"/>
  <c r="T52" i="34"/>
  <c r="DO123" i="28"/>
  <c r="W51" i="34"/>
  <c r="DN123" i="28"/>
  <c r="DM123" i="28"/>
  <c r="CQ123" i="28"/>
  <c r="CP123" i="28"/>
  <c r="CO123" i="28"/>
  <c r="GI123" i="28"/>
  <c r="GH123" i="28"/>
  <c r="GG123" i="28"/>
  <c r="EM123" i="28"/>
  <c r="EL123" i="28"/>
  <c r="EK123" i="28"/>
  <c r="BS123" i="28"/>
  <c r="BR123" i="28"/>
  <c r="BQ123" i="28"/>
  <c r="FK123" i="28"/>
  <c r="FJ123" i="28"/>
  <c r="FI123" i="28"/>
  <c r="T46" i="34"/>
  <c r="AU123" i="28"/>
  <c r="AT123" i="28"/>
  <c r="AS123" i="28"/>
  <c r="C33" i="26"/>
  <c r="HG204" i="28"/>
  <c r="HF204" i="28"/>
  <c r="HE204" i="28"/>
  <c r="HD204" i="28"/>
  <c r="HG203" i="28"/>
  <c r="HF203" i="28"/>
  <c r="HE203" i="28"/>
  <c r="HD203" i="28"/>
  <c r="HG202" i="28"/>
  <c r="HF202" i="28"/>
  <c r="HE202" i="28"/>
  <c r="HD202" i="28"/>
  <c r="HG201" i="28"/>
  <c r="HF201" i="28"/>
  <c r="HE201" i="28"/>
  <c r="HD201" i="28"/>
  <c r="HG200" i="28"/>
  <c r="HF200" i="28"/>
  <c r="HE200" i="28"/>
  <c r="HD200" i="28"/>
  <c r="HG199" i="28"/>
  <c r="HF199" i="28"/>
  <c r="HE199" i="28"/>
  <c r="HD199" i="28"/>
  <c r="HG198" i="28"/>
  <c r="HF198" i="28"/>
  <c r="HE198" i="28"/>
  <c r="HD198" i="28"/>
  <c r="HG197" i="28"/>
  <c r="HF197" i="28"/>
  <c r="HE197" i="28"/>
  <c r="HD197" i="28"/>
  <c r="HG196" i="28"/>
  <c r="HF196" i="28"/>
  <c r="HE196" i="28"/>
  <c r="HD196" i="28"/>
  <c r="HG195" i="28"/>
  <c r="HF195" i="28"/>
  <c r="HE195" i="28"/>
  <c r="HD195" i="28"/>
  <c r="HG194" i="28"/>
  <c r="HF194" i="28"/>
  <c r="HE194" i="28"/>
  <c r="HD194" i="28"/>
  <c r="HG193" i="28"/>
  <c r="HF193" i="28"/>
  <c r="HE193" i="28"/>
  <c r="HD193" i="28"/>
  <c r="HG192" i="28"/>
  <c r="HF192" i="28"/>
  <c r="HE192" i="28"/>
  <c r="HD192" i="28"/>
  <c r="HG191" i="28"/>
  <c r="HF191" i="28"/>
  <c r="HE191" i="28"/>
  <c r="HD191" i="28"/>
  <c r="HG190" i="28"/>
  <c r="HF190" i="28"/>
  <c r="HE190" i="28"/>
  <c r="HD190" i="28"/>
  <c r="HG189" i="28"/>
  <c r="HF189" i="28"/>
  <c r="HE189" i="28"/>
  <c r="HD189" i="28"/>
  <c r="HG188" i="28"/>
  <c r="HF188" i="28"/>
  <c r="HE188" i="28"/>
  <c r="HD188" i="28"/>
  <c r="HG187" i="28"/>
  <c r="HF187" i="28"/>
  <c r="HE187" i="28"/>
  <c r="HD187" i="28"/>
  <c r="HG186" i="28"/>
  <c r="HF186" i="28"/>
  <c r="HE186" i="28"/>
  <c r="HD186" i="28"/>
  <c r="HG185" i="28"/>
  <c r="HF185" i="28"/>
  <c r="HE185" i="28"/>
  <c r="HD185" i="28"/>
  <c r="HG184" i="28"/>
  <c r="HF184" i="28"/>
  <c r="HE184" i="28"/>
  <c r="HD184" i="28"/>
  <c r="HG183" i="28"/>
  <c r="HF183" i="28"/>
  <c r="HE183" i="28"/>
  <c r="HD183" i="28"/>
  <c r="HG182" i="28"/>
  <c r="HF182" i="28"/>
  <c r="HE182" i="28"/>
  <c r="HD182" i="28"/>
  <c r="HG181" i="28"/>
  <c r="HF181" i="28"/>
  <c r="HE181" i="28"/>
  <c r="HD181" i="28"/>
  <c r="HG180" i="28"/>
  <c r="HF180" i="28"/>
  <c r="HE180" i="28"/>
  <c r="HD180" i="28"/>
  <c r="HG179" i="28"/>
  <c r="HF179" i="28"/>
  <c r="HE179" i="28"/>
  <c r="HD179" i="28"/>
  <c r="HG178" i="28"/>
  <c r="HF178" i="28"/>
  <c r="HE178" i="28"/>
  <c r="HD178" i="28"/>
  <c r="HG177" i="28"/>
  <c r="HF177" i="28"/>
  <c r="HE177" i="28"/>
  <c r="HD177" i="28"/>
  <c r="HG176" i="28"/>
  <c r="HF176" i="28"/>
  <c r="HE176" i="28"/>
  <c r="HD176" i="28"/>
  <c r="HG175" i="28"/>
  <c r="HF175" i="28"/>
  <c r="HE175" i="28"/>
  <c r="HD175" i="28"/>
  <c r="HG174" i="28"/>
  <c r="HF174" i="28"/>
  <c r="HE174" i="28"/>
  <c r="HD174" i="28"/>
  <c r="HG173" i="28"/>
  <c r="HF173" i="28"/>
  <c r="HE173" i="28"/>
  <c r="HD173" i="28"/>
  <c r="HG172" i="28"/>
  <c r="HF172" i="28"/>
  <c r="HE172" i="28"/>
  <c r="HD172" i="28"/>
  <c r="HG171" i="28"/>
  <c r="HF171" i="28"/>
  <c r="HE171" i="28"/>
  <c r="HD171" i="28"/>
  <c r="HG170" i="28"/>
  <c r="HF170" i="28"/>
  <c r="HE170" i="28"/>
  <c r="HD170" i="28"/>
  <c r="HG169" i="28"/>
  <c r="HF169" i="28"/>
  <c r="HE169" i="28"/>
  <c r="HD169" i="28"/>
  <c r="HG168" i="28"/>
  <c r="HF168" i="28"/>
  <c r="HE168" i="28"/>
  <c r="HD168" i="28"/>
  <c r="HG167" i="28"/>
  <c r="HF167" i="28"/>
  <c r="HE167" i="28"/>
  <c r="HD167" i="28"/>
  <c r="HG166" i="28"/>
  <c r="HF166" i="28"/>
  <c r="HE166" i="28"/>
  <c r="HD166" i="28"/>
  <c r="HG165" i="28"/>
  <c r="HF165" i="28"/>
  <c r="HE165" i="28"/>
  <c r="HD165" i="28"/>
  <c r="HG164" i="28"/>
  <c r="HF164" i="28"/>
  <c r="HE164" i="28"/>
  <c r="HD164" i="28"/>
  <c r="HG163" i="28"/>
  <c r="HF163" i="28"/>
  <c r="HE163" i="28"/>
  <c r="HD163" i="28"/>
  <c r="HG162" i="28"/>
  <c r="HF162" i="28"/>
  <c r="HE162" i="28"/>
  <c r="HD162" i="28"/>
  <c r="HG161" i="28"/>
  <c r="HF161" i="28"/>
  <c r="HE161" i="28"/>
  <c r="HD161" i="28"/>
  <c r="HG159" i="28"/>
  <c r="HF159" i="28"/>
  <c r="HE159" i="28"/>
  <c r="HD159" i="28"/>
  <c r="HG158" i="28"/>
  <c r="HF158" i="28"/>
  <c r="HE158" i="28"/>
  <c r="HD158" i="28"/>
  <c r="HG157" i="28"/>
  <c r="HF157" i="28"/>
  <c r="HE157" i="28"/>
  <c r="HD157" i="28"/>
  <c r="HG156" i="28"/>
  <c r="HF156" i="28"/>
  <c r="HE156" i="28"/>
  <c r="HD156" i="28"/>
  <c r="HG155" i="28"/>
  <c r="HF155" i="28"/>
  <c r="HE155" i="28"/>
  <c r="HD155" i="28"/>
  <c r="HG154" i="28"/>
  <c r="HF154" i="28"/>
  <c r="HE154" i="28"/>
  <c r="HD154" i="28"/>
  <c r="HG153" i="28"/>
  <c r="HF153" i="28"/>
  <c r="HE153" i="28"/>
  <c r="HD153" i="28"/>
  <c r="HG152" i="28"/>
  <c r="HF152" i="28"/>
  <c r="HE152" i="28"/>
  <c r="HD152" i="28"/>
  <c r="HG151" i="28"/>
  <c r="HF151" i="28"/>
  <c r="HE151" i="28"/>
  <c r="HD151" i="28"/>
  <c r="HG150" i="28"/>
  <c r="HF150" i="28"/>
  <c r="HE150" i="28"/>
  <c r="HD150" i="28"/>
  <c r="HG149" i="28"/>
  <c r="HF149" i="28"/>
  <c r="HE149" i="28"/>
  <c r="HD149" i="28"/>
  <c r="HG148" i="28"/>
  <c r="HF148" i="28"/>
  <c r="HE148" i="28"/>
  <c r="HD148" i="28"/>
  <c r="HG147" i="28"/>
  <c r="HF147" i="28"/>
  <c r="HE147" i="28"/>
  <c r="HD147" i="28"/>
  <c r="HG146" i="28"/>
  <c r="HF146" i="28"/>
  <c r="HE146" i="28"/>
  <c r="HD146" i="28"/>
  <c r="HG145" i="28"/>
  <c r="HF145" i="28"/>
  <c r="HE145" i="28"/>
  <c r="HD145" i="28"/>
  <c r="HG144" i="28"/>
  <c r="HF144" i="28"/>
  <c r="HE144" i="28"/>
  <c r="HD144" i="28"/>
  <c r="HG143" i="28"/>
  <c r="HF143" i="28"/>
  <c r="HE143" i="28"/>
  <c r="HD143" i="28"/>
  <c r="HG142" i="28"/>
  <c r="HF142" i="28"/>
  <c r="HE142" i="28"/>
  <c r="HD142" i="28"/>
  <c r="HG141" i="28"/>
  <c r="HF141" i="28"/>
  <c r="HE141" i="28"/>
  <c r="HD141" i="28"/>
  <c r="HG140" i="28"/>
  <c r="HF140" i="28"/>
  <c r="HE140" i="28"/>
  <c r="HD140" i="28"/>
  <c r="HG139" i="28"/>
  <c r="HF139" i="28"/>
  <c r="HE139" i="28"/>
  <c r="HD139" i="28"/>
  <c r="HG138" i="28"/>
  <c r="HF138" i="28"/>
  <c r="HE138" i="28"/>
  <c r="HD138" i="28"/>
  <c r="HG137" i="28"/>
  <c r="HF137" i="28"/>
  <c r="HE137" i="28"/>
  <c r="HD137" i="28"/>
  <c r="HG136" i="28"/>
  <c r="HF136" i="28"/>
  <c r="HE136" i="28"/>
  <c r="HD136" i="28"/>
  <c r="T58" i="26"/>
  <c r="HG135" i="28"/>
  <c r="HF135" i="28"/>
  <c r="HE135" i="28"/>
  <c r="HD135" i="28"/>
  <c r="HG134" i="28"/>
  <c r="HF134" i="28"/>
  <c r="HE134" i="28"/>
  <c r="HD134" i="28"/>
  <c r="HG133" i="28"/>
  <c r="HF133" i="28"/>
  <c r="HE133" i="28"/>
  <c r="HD133" i="28"/>
  <c r="HG132" i="28"/>
  <c r="HF132" i="28"/>
  <c r="HE132" i="28"/>
  <c r="HD132" i="28"/>
  <c r="HG131" i="28"/>
  <c r="HF131" i="28"/>
  <c r="HE131" i="28"/>
  <c r="HD131" i="28"/>
  <c r="HG130" i="28"/>
  <c r="HF130" i="28"/>
  <c r="HE130" i="28"/>
  <c r="HD130" i="28"/>
  <c r="HG129" i="28"/>
  <c r="HF129" i="28"/>
  <c r="HE129" i="28"/>
  <c r="HD129" i="28"/>
  <c r="HG128" i="28"/>
  <c r="HF128" i="28"/>
  <c r="HE128" i="28"/>
  <c r="HD128" i="28"/>
  <c r="HG127" i="28"/>
  <c r="HF127" i="28"/>
  <c r="HE127" i="28"/>
  <c r="HD127" i="28"/>
  <c r="HG126" i="28"/>
  <c r="HF126" i="28"/>
  <c r="HE126" i="28"/>
  <c r="HD126" i="28"/>
  <c r="HG125" i="28"/>
  <c r="HF125" i="28"/>
  <c r="HE125" i="28"/>
  <c r="HD125" i="28"/>
  <c r="HG124" i="28"/>
  <c r="HF124" i="28"/>
  <c r="HE124" i="28"/>
  <c r="HD124" i="28"/>
  <c r="HD123" i="28"/>
  <c r="HG122" i="28"/>
  <c r="HF122" i="28"/>
  <c r="HE122" i="28"/>
  <c r="HD122" i="28"/>
  <c r="HG121" i="28"/>
  <c r="HF121" i="28"/>
  <c r="HE121" i="28"/>
  <c r="HD121" i="28"/>
  <c r="HG120" i="28"/>
  <c r="HF120" i="28"/>
  <c r="HE120" i="28"/>
  <c r="HD120" i="28"/>
  <c r="HG119" i="28"/>
  <c r="HF119" i="28"/>
  <c r="HE119" i="28"/>
  <c r="HD119" i="28"/>
  <c r="HG118" i="28"/>
  <c r="HF118" i="28"/>
  <c r="HE118" i="28"/>
  <c r="HD118" i="28"/>
  <c r="GI118" i="28"/>
  <c r="GI119" i="28"/>
  <c r="GI120" i="28"/>
  <c r="GI121" i="28"/>
  <c r="GI122" i="28"/>
  <c r="GI124" i="28"/>
  <c r="GI125" i="28"/>
  <c r="GI126" i="28"/>
  <c r="GI127" i="28"/>
  <c r="GI128" i="28"/>
  <c r="GI129" i="28"/>
  <c r="GI130" i="28"/>
  <c r="GI131" i="28"/>
  <c r="GI132" i="28"/>
  <c r="GI133" i="28"/>
  <c r="GI134" i="28"/>
  <c r="GI135" i="28"/>
  <c r="GI136" i="28"/>
  <c r="GI137" i="28"/>
  <c r="GI138" i="28"/>
  <c r="GI139" i="28"/>
  <c r="GI140" i="28"/>
  <c r="GI141" i="28"/>
  <c r="GI142" i="28"/>
  <c r="GI143" i="28"/>
  <c r="GI144" i="28"/>
  <c r="GI145" i="28"/>
  <c r="GI146" i="28"/>
  <c r="GI147" i="28"/>
  <c r="GI148" i="28"/>
  <c r="GI149" i="28"/>
  <c r="GI150" i="28"/>
  <c r="GI151" i="28"/>
  <c r="GI152" i="28"/>
  <c r="GI153" i="28"/>
  <c r="GI154" i="28"/>
  <c r="GI155" i="28"/>
  <c r="GI156" i="28"/>
  <c r="GI157" i="28"/>
  <c r="GI158" i="28"/>
  <c r="GI159" i="28"/>
  <c r="GI161" i="28"/>
  <c r="GI162" i="28"/>
  <c r="GI163" i="28"/>
  <c r="GI164" i="28"/>
  <c r="GI165" i="28"/>
  <c r="GI166" i="28"/>
  <c r="GI167" i="28"/>
  <c r="GI168" i="28"/>
  <c r="GI169" i="28"/>
  <c r="GI170" i="28"/>
  <c r="GI171" i="28"/>
  <c r="GI172" i="28"/>
  <c r="GI173" i="28"/>
  <c r="GI174" i="28"/>
  <c r="GI175" i="28"/>
  <c r="GI176" i="28"/>
  <c r="GI177" i="28"/>
  <c r="GI178" i="28"/>
  <c r="GI179" i="28"/>
  <c r="GI180" i="28"/>
  <c r="GI181" i="28"/>
  <c r="GI182" i="28"/>
  <c r="GI183" i="28"/>
  <c r="GI184" i="28"/>
  <c r="GI185" i="28"/>
  <c r="GI186" i="28"/>
  <c r="GI187" i="28"/>
  <c r="GI188" i="28"/>
  <c r="GI189" i="28"/>
  <c r="GI190" i="28"/>
  <c r="GI191" i="28"/>
  <c r="GI192" i="28"/>
  <c r="GI193" i="28"/>
  <c r="GI194" i="28"/>
  <c r="GI195" i="28"/>
  <c r="GI196" i="28"/>
  <c r="GI197" i="28"/>
  <c r="GI198" i="28"/>
  <c r="GI199" i="28"/>
  <c r="GI200" i="28"/>
  <c r="GI201" i="28"/>
  <c r="GI202" i="28"/>
  <c r="GI203" i="28"/>
  <c r="GI204" i="28"/>
  <c r="GI205" i="28"/>
  <c r="GI206" i="28"/>
  <c r="GH118" i="28"/>
  <c r="GH119" i="28"/>
  <c r="GH120" i="28"/>
  <c r="GH121" i="28"/>
  <c r="GH122" i="28"/>
  <c r="GH124" i="28"/>
  <c r="GH125" i="28"/>
  <c r="GH126" i="28"/>
  <c r="GH127" i="28"/>
  <c r="GH128" i="28"/>
  <c r="GH129" i="28"/>
  <c r="GH130" i="28"/>
  <c r="GH131" i="28"/>
  <c r="GH132" i="28"/>
  <c r="GH133" i="28"/>
  <c r="GH134" i="28"/>
  <c r="GH135" i="28"/>
  <c r="GH136" i="28"/>
  <c r="GH137" i="28"/>
  <c r="GH138" i="28"/>
  <c r="GH139" i="28"/>
  <c r="GH140" i="28"/>
  <c r="GH141" i="28"/>
  <c r="GH142" i="28"/>
  <c r="GH143" i="28"/>
  <c r="GH144" i="28"/>
  <c r="GH145" i="28"/>
  <c r="GH146" i="28"/>
  <c r="GH147" i="28"/>
  <c r="GH148" i="28"/>
  <c r="GH149" i="28"/>
  <c r="GH150" i="28"/>
  <c r="GH151" i="28"/>
  <c r="GH152" i="28"/>
  <c r="GH153" i="28"/>
  <c r="GH154" i="28"/>
  <c r="GH155" i="28"/>
  <c r="GH156" i="28"/>
  <c r="GH157" i="28"/>
  <c r="GH158" i="28"/>
  <c r="GH159" i="28"/>
  <c r="GH161" i="28"/>
  <c r="GH162" i="28"/>
  <c r="GH163" i="28"/>
  <c r="GH164" i="28"/>
  <c r="GH165" i="28"/>
  <c r="GH166" i="28"/>
  <c r="GH167" i="28"/>
  <c r="GH168" i="28"/>
  <c r="GH169" i="28"/>
  <c r="GH170" i="28"/>
  <c r="GH171" i="28"/>
  <c r="GH172" i="28"/>
  <c r="GH173" i="28"/>
  <c r="GH174" i="28"/>
  <c r="GH175" i="28"/>
  <c r="GH176" i="28"/>
  <c r="GH177" i="28"/>
  <c r="GH178" i="28"/>
  <c r="GH179" i="28"/>
  <c r="GH180" i="28"/>
  <c r="GH181" i="28"/>
  <c r="GH182" i="28"/>
  <c r="GH183" i="28"/>
  <c r="GH184" i="28"/>
  <c r="GH185" i="28"/>
  <c r="GH186" i="28"/>
  <c r="GH187" i="28"/>
  <c r="GH188" i="28"/>
  <c r="GH189" i="28"/>
  <c r="GH190" i="28"/>
  <c r="GH191" i="28"/>
  <c r="GH192" i="28"/>
  <c r="GH193" i="28"/>
  <c r="GH194" i="28"/>
  <c r="GH195" i="28"/>
  <c r="GH196" i="28"/>
  <c r="GH197" i="28"/>
  <c r="GH198" i="28"/>
  <c r="GH199" i="28"/>
  <c r="GH200" i="28"/>
  <c r="GH201" i="28"/>
  <c r="GH202" i="28"/>
  <c r="GH203" i="28"/>
  <c r="GH204" i="28"/>
  <c r="GH205" i="28"/>
  <c r="V55" i="26"/>
  <c r="GH206" i="28"/>
  <c r="GG118" i="28"/>
  <c r="GG119" i="28"/>
  <c r="GG120" i="28"/>
  <c r="GG121" i="28"/>
  <c r="GG122" i="28"/>
  <c r="GG124" i="28"/>
  <c r="GG125" i="28"/>
  <c r="GG126" i="28"/>
  <c r="GG127" i="28"/>
  <c r="GG128" i="28"/>
  <c r="GG129" i="28"/>
  <c r="GG130" i="28"/>
  <c r="GG131" i="28"/>
  <c r="GG132" i="28"/>
  <c r="GG133" i="28"/>
  <c r="GG134" i="28"/>
  <c r="GG135" i="28"/>
  <c r="GG136" i="28"/>
  <c r="GG137" i="28"/>
  <c r="GG138" i="28"/>
  <c r="GG139" i="28"/>
  <c r="GG140" i="28"/>
  <c r="GG141" i="28"/>
  <c r="GG142" i="28"/>
  <c r="GG143" i="28"/>
  <c r="GG144" i="28"/>
  <c r="GG145" i="28"/>
  <c r="GG146" i="28"/>
  <c r="GG147" i="28"/>
  <c r="GG148" i="28"/>
  <c r="GG149" i="28"/>
  <c r="GG150" i="28"/>
  <c r="GG151" i="28"/>
  <c r="GG152" i="28"/>
  <c r="GG153" i="28"/>
  <c r="GG154" i="28"/>
  <c r="GG155" i="28"/>
  <c r="GG156" i="28"/>
  <c r="GG157" i="28"/>
  <c r="GG158" i="28"/>
  <c r="GG159" i="28"/>
  <c r="GG161" i="28"/>
  <c r="GG162" i="28"/>
  <c r="GG163" i="28"/>
  <c r="GG164" i="28"/>
  <c r="GG165" i="28"/>
  <c r="GG166" i="28"/>
  <c r="GG167" i="28"/>
  <c r="GG168" i="28"/>
  <c r="GG169" i="28"/>
  <c r="GG170" i="28"/>
  <c r="GG171" i="28"/>
  <c r="GG172" i="28"/>
  <c r="GG173" i="28"/>
  <c r="GG174" i="28"/>
  <c r="GG175" i="28"/>
  <c r="GG176" i="28"/>
  <c r="GG177" i="28"/>
  <c r="GG178" i="28"/>
  <c r="GG179" i="28"/>
  <c r="GG180" i="28"/>
  <c r="GG181" i="28"/>
  <c r="GG182" i="28"/>
  <c r="GG183" i="28"/>
  <c r="GG184" i="28"/>
  <c r="GG185" i="28"/>
  <c r="GG186" i="28"/>
  <c r="GG187" i="28"/>
  <c r="GG188" i="28"/>
  <c r="GG189" i="28"/>
  <c r="GG190" i="28"/>
  <c r="GG191" i="28"/>
  <c r="GG192" i="28"/>
  <c r="GG193" i="28"/>
  <c r="GG194" i="28"/>
  <c r="GG195" i="28"/>
  <c r="GG196" i="28"/>
  <c r="GG197" i="28"/>
  <c r="GG198" i="28"/>
  <c r="GG199" i="28"/>
  <c r="GG200" i="28"/>
  <c r="GG201" i="28"/>
  <c r="GG202" i="28"/>
  <c r="GG203" i="28"/>
  <c r="GG204" i="28"/>
  <c r="GG205" i="28"/>
  <c r="GG206" i="28"/>
  <c r="GF119" i="28"/>
  <c r="GF120" i="28"/>
  <c r="GF121" i="28"/>
  <c r="GF124" i="28"/>
  <c r="GF126" i="28"/>
  <c r="GF127" i="28"/>
  <c r="GF128" i="28"/>
  <c r="GF130" i="28"/>
  <c r="GF131" i="28"/>
  <c r="GF132" i="28"/>
  <c r="GF133" i="28"/>
  <c r="GF135" i="28"/>
  <c r="GF136" i="28"/>
  <c r="GF138" i="28"/>
  <c r="GF139" i="28"/>
  <c r="GF140" i="28"/>
  <c r="GF141" i="28"/>
  <c r="GF143" i="28"/>
  <c r="GF145" i="28"/>
  <c r="GF146" i="28"/>
  <c r="GF147" i="28"/>
  <c r="GF148" i="28"/>
  <c r="GF149" i="28"/>
  <c r="GF150" i="28"/>
  <c r="GF151" i="28"/>
  <c r="GF152" i="28"/>
  <c r="GF153" i="28"/>
  <c r="GF154" i="28"/>
  <c r="GF155" i="28"/>
  <c r="GF156" i="28"/>
  <c r="GF159" i="28"/>
  <c r="GF161" i="28"/>
  <c r="GF162" i="28"/>
  <c r="GF163" i="28"/>
  <c r="GF165" i="28"/>
  <c r="GF166" i="28"/>
  <c r="GF167" i="28"/>
  <c r="GF168" i="28"/>
  <c r="GF169" i="28"/>
  <c r="GF170" i="28"/>
  <c r="GF171" i="28"/>
  <c r="GF172" i="28"/>
  <c r="GF173" i="28"/>
  <c r="GF174" i="28"/>
  <c r="GF176" i="28"/>
  <c r="GF179" i="28"/>
  <c r="GF180" i="28"/>
  <c r="GF181" i="28"/>
  <c r="GF182" i="28"/>
  <c r="GF186" i="28"/>
  <c r="GF187" i="28"/>
  <c r="GF189" i="28"/>
  <c r="GF190" i="28"/>
  <c r="GF191" i="28"/>
  <c r="GF193" i="28"/>
  <c r="GF194" i="28"/>
  <c r="GF195" i="28"/>
  <c r="GF196" i="28"/>
  <c r="GF197" i="28"/>
  <c r="GF199" i="28"/>
  <c r="GF200" i="28"/>
  <c r="GF201" i="28"/>
  <c r="GF203" i="28"/>
  <c r="GF204" i="28"/>
  <c r="GF118" i="28"/>
  <c r="GF122" i="28"/>
  <c r="GF123" i="28"/>
  <c r="GF125" i="28"/>
  <c r="GF129" i="28"/>
  <c r="GF134" i="28"/>
  <c r="GF137" i="28"/>
  <c r="GF142" i="28"/>
  <c r="GF144" i="28"/>
  <c r="GF157" i="28"/>
  <c r="GF158" i="28"/>
  <c r="GF164" i="28"/>
  <c r="GF175" i="28"/>
  <c r="GF177" i="28"/>
  <c r="GF178" i="28"/>
  <c r="GF183" i="28"/>
  <c r="GF184" i="28"/>
  <c r="GF185" i="28"/>
  <c r="GF188" i="28"/>
  <c r="GF192" i="28"/>
  <c r="GF198" i="28"/>
  <c r="GF202" i="28"/>
  <c r="FJ199" i="28"/>
  <c r="FJ118" i="28"/>
  <c r="FJ119" i="28"/>
  <c r="FJ120" i="28"/>
  <c r="FJ121" i="28"/>
  <c r="FJ125" i="28"/>
  <c r="FJ126" i="28"/>
  <c r="FJ127" i="28"/>
  <c r="FJ128" i="28"/>
  <c r="FJ130" i="28"/>
  <c r="FJ131" i="28"/>
  <c r="FJ132" i="28"/>
  <c r="FJ133" i="28"/>
  <c r="FJ135" i="28"/>
  <c r="FJ136" i="28"/>
  <c r="FJ137" i="28"/>
  <c r="FJ139" i="28"/>
  <c r="FJ140" i="28"/>
  <c r="FJ141" i="28"/>
  <c r="FJ143" i="28"/>
  <c r="FJ145" i="28"/>
  <c r="FJ146" i="28"/>
  <c r="FJ147" i="28"/>
  <c r="FJ148" i="28"/>
  <c r="FJ149" i="28"/>
  <c r="FJ150" i="28"/>
  <c r="FJ151" i="28"/>
  <c r="FJ152" i="28"/>
  <c r="FJ154" i="28"/>
  <c r="FJ155" i="28"/>
  <c r="FJ156" i="28"/>
  <c r="FJ157" i="28"/>
  <c r="FJ161" i="28"/>
  <c r="FJ162" i="28"/>
  <c r="FJ163" i="28"/>
  <c r="FJ165" i="28"/>
  <c r="FJ166" i="28"/>
  <c r="FJ168" i="28"/>
  <c r="FJ169" i="28"/>
  <c r="FJ170" i="28"/>
  <c r="FJ172" i="28"/>
  <c r="FJ173" i="28"/>
  <c r="FJ176" i="28"/>
  <c r="FJ177" i="28"/>
  <c r="FJ179" i="28"/>
  <c r="FJ180" i="28"/>
  <c r="FJ181" i="28"/>
  <c r="FJ186" i="28"/>
  <c r="FJ187" i="28"/>
  <c r="FJ189" i="28"/>
  <c r="FJ190" i="28"/>
  <c r="FJ191" i="28"/>
  <c r="FJ192" i="28"/>
  <c r="FJ193" i="28"/>
  <c r="FJ195" i="28"/>
  <c r="FJ196" i="28"/>
  <c r="FJ200" i="28"/>
  <c r="FJ201" i="28"/>
  <c r="FJ204" i="28"/>
  <c r="FJ122" i="28"/>
  <c r="FJ124" i="28"/>
  <c r="FJ129" i="28"/>
  <c r="FJ134" i="28"/>
  <c r="FJ138" i="28"/>
  <c r="FJ142" i="28"/>
  <c r="FJ144" i="28"/>
  <c r="FJ153" i="28"/>
  <c r="FJ158" i="28"/>
  <c r="FJ159" i="28"/>
  <c r="FJ164" i="28"/>
  <c r="FJ167" i="28"/>
  <c r="FJ171" i="28"/>
  <c r="FJ174" i="28"/>
  <c r="FJ175" i="28"/>
  <c r="FJ178" i="28"/>
  <c r="FJ182" i="28"/>
  <c r="FJ183" i="28"/>
  <c r="FJ184" i="28"/>
  <c r="FJ185" i="28"/>
  <c r="FJ188" i="28"/>
  <c r="FJ194" i="28"/>
  <c r="FJ197" i="28"/>
  <c r="FJ198" i="28"/>
  <c r="FJ202" i="28"/>
  <c r="FJ203" i="28"/>
  <c r="FI118" i="28"/>
  <c r="FI119" i="28"/>
  <c r="FI120" i="28"/>
  <c r="FI121" i="28"/>
  <c r="FI122" i="28"/>
  <c r="FI124" i="28"/>
  <c r="FI125" i="28"/>
  <c r="FI126" i="28"/>
  <c r="FI127" i="28"/>
  <c r="FI128" i="28"/>
  <c r="FI129" i="28"/>
  <c r="FI130" i="28"/>
  <c r="FI131" i="28"/>
  <c r="FI132" i="28"/>
  <c r="FI133" i="28"/>
  <c r="FI134" i="28"/>
  <c r="FI135" i="28"/>
  <c r="FI136" i="28"/>
  <c r="FI137" i="28"/>
  <c r="FI138" i="28"/>
  <c r="FI139" i="28"/>
  <c r="FI140" i="28"/>
  <c r="FI141" i="28"/>
  <c r="FI142" i="28"/>
  <c r="FI143" i="28"/>
  <c r="FI144" i="28"/>
  <c r="FI145" i="28"/>
  <c r="FI146" i="28"/>
  <c r="FI147" i="28"/>
  <c r="FI148" i="28"/>
  <c r="FI149" i="28"/>
  <c r="FI150" i="28"/>
  <c r="FI151" i="28"/>
  <c r="FI152" i="28"/>
  <c r="FI153" i="28"/>
  <c r="FI154" i="28"/>
  <c r="FI155" i="28"/>
  <c r="FI156" i="28"/>
  <c r="FI157" i="28"/>
  <c r="FI158" i="28"/>
  <c r="FI159" i="28"/>
  <c r="FI161" i="28"/>
  <c r="FI162" i="28"/>
  <c r="FI163" i="28"/>
  <c r="FI164" i="28"/>
  <c r="FI165" i="28"/>
  <c r="FI166" i="28"/>
  <c r="FI167" i="28"/>
  <c r="FI168" i="28"/>
  <c r="FI169" i="28"/>
  <c r="FI170" i="28"/>
  <c r="FI171" i="28"/>
  <c r="FI172" i="28"/>
  <c r="FI173" i="28"/>
  <c r="FI174" i="28"/>
  <c r="FI175" i="28"/>
  <c r="FI176" i="28"/>
  <c r="FI177" i="28"/>
  <c r="FI178" i="28"/>
  <c r="FI179" i="28"/>
  <c r="FI180" i="28"/>
  <c r="FI181" i="28"/>
  <c r="FI182" i="28"/>
  <c r="FI183" i="28"/>
  <c r="FI184" i="28"/>
  <c r="FI185" i="28"/>
  <c r="FI186" i="28"/>
  <c r="FI187" i="28"/>
  <c r="FI188" i="28"/>
  <c r="FI189" i="28"/>
  <c r="FI190" i="28"/>
  <c r="FI191" i="28"/>
  <c r="FI192" i="28"/>
  <c r="FI193" i="28"/>
  <c r="FI194" i="28"/>
  <c r="FI195" i="28"/>
  <c r="FI196" i="28"/>
  <c r="FI197" i="28"/>
  <c r="FI198" i="28"/>
  <c r="FI199" i="28"/>
  <c r="FI200" i="28"/>
  <c r="FI201" i="28"/>
  <c r="FI202" i="28"/>
  <c r="FI203" i="28"/>
  <c r="FI204" i="28"/>
  <c r="FJ206" i="28"/>
  <c r="FJ205" i="28"/>
  <c r="FH119" i="28"/>
  <c r="FH120" i="28"/>
  <c r="FH121" i="28"/>
  <c r="FH124" i="28"/>
  <c r="FH126" i="28"/>
  <c r="FH127" i="28"/>
  <c r="FH128" i="28"/>
  <c r="FH130" i="28"/>
  <c r="FH131" i="28"/>
  <c r="FH132" i="28"/>
  <c r="FH133" i="28"/>
  <c r="FH135" i="28"/>
  <c r="FH136" i="28"/>
  <c r="FH138" i="28"/>
  <c r="FH139" i="28"/>
  <c r="FH140" i="28"/>
  <c r="FH141" i="28"/>
  <c r="FH143" i="28"/>
  <c r="FH145" i="28"/>
  <c r="FH146" i="28"/>
  <c r="FH147" i="28"/>
  <c r="FH148" i="28"/>
  <c r="FH149" i="28"/>
  <c r="FH150" i="28"/>
  <c r="FH151" i="28"/>
  <c r="FH152" i="28"/>
  <c r="FH153" i="28"/>
  <c r="FH154" i="28"/>
  <c r="FH155" i="28"/>
  <c r="FH156" i="28"/>
  <c r="FH159" i="28"/>
  <c r="FH161" i="28"/>
  <c r="FH162" i="28"/>
  <c r="FH163" i="28"/>
  <c r="FH165" i="28"/>
  <c r="FH166" i="28"/>
  <c r="FH167" i="28"/>
  <c r="FH168" i="28"/>
  <c r="FH169" i="28"/>
  <c r="FH170" i="28"/>
  <c r="FH171" i="28"/>
  <c r="FH172" i="28"/>
  <c r="FH173" i="28"/>
  <c r="FH174" i="28"/>
  <c r="FH176" i="28"/>
  <c r="FH179" i="28"/>
  <c r="FH180" i="28"/>
  <c r="FH181" i="28"/>
  <c r="FH182" i="28"/>
  <c r="FH186" i="28"/>
  <c r="FH187" i="28"/>
  <c r="FH189" i="28"/>
  <c r="FH190" i="28"/>
  <c r="FH191" i="28"/>
  <c r="FH193" i="28"/>
  <c r="FH194" i="28"/>
  <c r="FH195" i="28"/>
  <c r="FH196" i="28"/>
  <c r="FH197" i="28"/>
  <c r="FH199" i="28"/>
  <c r="FH200" i="28"/>
  <c r="FH201" i="28"/>
  <c r="FH203" i="28"/>
  <c r="FH204" i="28"/>
  <c r="FH118" i="28"/>
  <c r="FH122" i="28"/>
  <c r="FH123" i="28"/>
  <c r="FH125" i="28"/>
  <c r="FH129" i="28"/>
  <c r="FH134" i="28"/>
  <c r="FH137" i="28"/>
  <c r="FH142" i="28"/>
  <c r="FH144" i="28"/>
  <c r="FH157" i="28"/>
  <c r="FH158" i="28"/>
  <c r="FH164" i="28"/>
  <c r="FH175" i="28"/>
  <c r="FH177" i="28"/>
  <c r="FH178" i="28"/>
  <c r="FH183" i="28"/>
  <c r="FH184" i="28"/>
  <c r="FH185" i="28"/>
  <c r="FH188" i="28"/>
  <c r="FH192" i="28"/>
  <c r="FH198" i="28"/>
  <c r="FH202" i="28"/>
  <c r="FG116" i="28"/>
  <c r="FG117" i="28"/>
  <c r="FG118" i="28"/>
  <c r="FG119" i="28"/>
  <c r="FG120" i="28"/>
  <c r="FG121" i="28"/>
  <c r="FG122" i="28"/>
  <c r="FG123" i="28"/>
  <c r="FG124" i="28"/>
  <c r="FG125" i="28"/>
  <c r="FG126" i="28"/>
  <c r="FG127" i="28"/>
  <c r="FG128" i="28"/>
  <c r="FG129" i="28"/>
  <c r="FG130" i="28"/>
  <c r="FG131" i="28"/>
  <c r="FG132" i="28"/>
  <c r="FG133" i="28"/>
  <c r="FG134" i="28"/>
  <c r="FG135" i="28"/>
  <c r="FG136" i="28"/>
  <c r="FG137" i="28"/>
  <c r="FG138" i="28"/>
  <c r="FG139" i="28"/>
  <c r="FG140" i="28"/>
  <c r="FG141" i="28"/>
  <c r="FG142" i="28"/>
  <c r="FG143" i="28"/>
  <c r="FG144" i="28"/>
  <c r="FG145" i="28"/>
  <c r="FG146" i="28"/>
  <c r="FG147" i="28"/>
  <c r="FG148" i="28"/>
  <c r="FG149" i="28"/>
  <c r="FG150" i="28"/>
  <c r="FG151" i="28"/>
  <c r="FG152" i="28"/>
  <c r="FG153" i="28"/>
  <c r="FG154" i="28"/>
  <c r="FG155" i="28"/>
  <c r="FG156" i="28"/>
  <c r="FG157" i="28"/>
  <c r="FG158" i="28"/>
  <c r="FG159" i="28"/>
  <c r="FG160" i="28"/>
  <c r="FG161" i="28"/>
  <c r="FG162" i="28"/>
  <c r="FG163" i="28"/>
  <c r="FG164" i="28"/>
  <c r="FG165" i="28"/>
  <c r="FG166" i="28"/>
  <c r="FG167" i="28"/>
  <c r="FG168" i="28"/>
  <c r="FG169" i="28"/>
  <c r="FG170" i="28"/>
  <c r="FG171" i="28"/>
  <c r="FG172" i="28"/>
  <c r="FG173" i="28"/>
  <c r="FG174" i="28"/>
  <c r="FG175" i="28"/>
  <c r="FG176" i="28"/>
  <c r="FG177" i="28"/>
  <c r="FG178" i="28"/>
  <c r="FG179" i="28"/>
  <c r="FG180" i="28"/>
  <c r="FG181" i="28"/>
  <c r="FG182" i="28"/>
  <c r="FG183" i="28"/>
  <c r="FG184" i="28"/>
  <c r="FG185" i="28"/>
  <c r="FG186" i="28"/>
  <c r="FG187" i="28"/>
  <c r="FG188" i="28"/>
  <c r="FG189" i="28"/>
  <c r="FG190" i="28"/>
  <c r="FG191" i="28"/>
  <c r="FG192" i="28"/>
  <c r="FG193" i="28"/>
  <c r="FG194" i="28"/>
  <c r="FG195" i="28"/>
  <c r="FG196" i="28"/>
  <c r="FG197" i="28"/>
  <c r="FG198" i="28"/>
  <c r="FG199" i="28"/>
  <c r="FG200" i="28"/>
  <c r="FG201" i="28"/>
  <c r="FG202" i="28"/>
  <c r="FG203" i="28"/>
  <c r="FG204" i="28"/>
  <c r="FH205" i="28"/>
  <c r="FK205" i="28"/>
  <c r="FK204" i="28"/>
  <c r="FK203" i="28"/>
  <c r="FK202" i="28"/>
  <c r="FK201" i="28"/>
  <c r="FK200" i="28"/>
  <c r="FK199" i="28"/>
  <c r="FK198" i="28"/>
  <c r="FK197" i="28"/>
  <c r="FK196" i="28"/>
  <c r="FK195" i="28"/>
  <c r="FK194" i="28"/>
  <c r="FK193" i="28"/>
  <c r="FK192" i="28"/>
  <c r="FK191" i="28"/>
  <c r="FK190" i="28"/>
  <c r="FK189" i="28"/>
  <c r="FK188" i="28"/>
  <c r="FK187" i="28"/>
  <c r="FK186" i="28"/>
  <c r="FK185" i="28"/>
  <c r="FK184" i="28"/>
  <c r="FK183" i="28"/>
  <c r="FK182" i="28"/>
  <c r="FK181" i="28"/>
  <c r="FK180" i="28"/>
  <c r="FK179" i="28"/>
  <c r="FK178" i="28"/>
  <c r="FK177" i="28"/>
  <c r="FK176" i="28"/>
  <c r="FK175" i="28"/>
  <c r="FK174" i="28"/>
  <c r="FK173" i="28"/>
  <c r="FK172" i="28"/>
  <c r="FK171" i="28"/>
  <c r="FK170" i="28"/>
  <c r="FK169" i="28"/>
  <c r="FK168" i="28"/>
  <c r="FK167" i="28"/>
  <c r="FK166" i="28"/>
  <c r="FK165" i="28"/>
  <c r="FK164" i="28"/>
  <c r="FK163" i="28"/>
  <c r="FK162" i="28"/>
  <c r="FK161" i="28"/>
  <c r="FK159" i="28"/>
  <c r="FK158" i="28"/>
  <c r="FK157" i="28"/>
  <c r="FK156" i="28"/>
  <c r="FK155" i="28"/>
  <c r="FK154" i="28"/>
  <c r="FK153" i="28"/>
  <c r="FK152" i="28"/>
  <c r="FK151" i="28"/>
  <c r="FK150" i="28"/>
  <c r="FK149" i="28"/>
  <c r="FK148" i="28"/>
  <c r="FK147" i="28"/>
  <c r="FK146" i="28"/>
  <c r="FK145" i="28"/>
  <c r="FK144" i="28"/>
  <c r="FK143" i="28"/>
  <c r="FK142" i="28"/>
  <c r="FK141" i="28"/>
  <c r="FK140" i="28"/>
  <c r="FK139" i="28"/>
  <c r="FK138" i="28"/>
  <c r="FK137" i="28"/>
  <c r="FK136" i="28"/>
  <c r="FK135" i="28"/>
  <c r="FK134" i="28"/>
  <c r="FK133" i="28"/>
  <c r="FK132" i="28"/>
  <c r="FK131" i="28"/>
  <c r="FK130" i="28"/>
  <c r="FK129" i="28"/>
  <c r="FK128" i="28"/>
  <c r="FK127" i="28"/>
  <c r="FK126" i="28"/>
  <c r="FK125" i="28"/>
  <c r="FK124" i="28"/>
  <c r="FK122" i="28"/>
  <c r="FK121" i="28"/>
  <c r="FK120" i="28"/>
  <c r="FK119" i="28"/>
  <c r="FK118" i="28"/>
  <c r="DO118" i="28"/>
  <c r="DO119" i="28"/>
  <c r="DO120" i="28"/>
  <c r="DO121" i="28"/>
  <c r="DO122" i="28"/>
  <c r="DO124" i="28"/>
  <c r="DO125" i="28"/>
  <c r="DO126" i="28"/>
  <c r="DO127" i="28"/>
  <c r="DO128" i="28"/>
  <c r="DO129" i="28"/>
  <c r="DO130" i="28"/>
  <c r="DO131" i="28"/>
  <c r="DO132" i="28"/>
  <c r="DO133" i="28"/>
  <c r="DO134" i="28"/>
  <c r="DO135" i="28"/>
  <c r="DO136" i="28"/>
  <c r="DO137" i="28"/>
  <c r="DO138" i="28"/>
  <c r="DO139" i="28"/>
  <c r="DO140" i="28"/>
  <c r="DO141" i="28"/>
  <c r="DO142" i="28"/>
  <c r="DO143" i="28"/>
  <c r="DO144" i="28"/>
  <c r="DO145" i="28"/>
  <c r="DO146" i="28"/>
  <c r="DO147" i="28"/>
  <c r="DO148" i="28"/>
  <c r="DO149" i="28"/>
  <c r="DO150" i="28"/>
  <c r="DO151" i="28"/>
  <c r="DO152" i="28"/>
  <c r="DO153" i="28"/>
  <c r="DO154" i="28"/>
  <c r="DO155" i="28"/>
  <c r="DO156" i="28"/>
  <c r="DO157" i="28"/>
  <c r="DO158" i="28"/>
  <c r="DO159" i="28"/>
  <c r="DO161" i="28"/>
  <c r="DO162" i="28"/>
  <c r="DO163" i="28"/>
  <c r="DO164" i="28"/>
  <c r="DO165" i="28"/>
  <c r="DO166" i="28"/>
  <c r="DO167" i="28"/>
  <c r="DO168" i="28"/>
  <c r="DO169" i="28"/>
  <c r="DO170" i="28"/>
  <c r="DO171" i="28"/>
  <c r="DO172" i="28"/>
  <c r="DO173" i="28"/>
  <c r="DO174" i="28"/>
  <c r="DO175" i="28"/>
  <c r="DO176" i="28"/>
  <c r="DO177" i="28"/>
  <c r="DO178" i="28"/>
  <c r="DO179" i="28"/>
  <c r="DO180" i="28"/>
  <c r="DO181" i="28"/>
  <c r="DO182" i="28"/>
  <c r="DO183" i="28"/>
  <c r="DO184" i="28"/>
  <c r="DO185" i="28"/>
  <c r="DO186" i="28"/>
  <c r="DO187" i="28"/>
  <c r="DO188" i="28"/>
  <c r="DO189" i="28"/>
  <c r="DO190" i="28"/>
  <c r="DO191" i="28"/>
  <c r="DO192" i="28"/>
  <c r="DO193" i="28"/>
  <c r="DO194" i="28"/>
  <c r="DO195" i="28"/>
  <c r="DO196" i="28"/>
  <c r="DO197" i="28"/>
  <c r="DO198" i="28"/>
  <c r="DO199" i="28"/>
  <c r="DO200" i="28"/>
  <c r="DO201" i="28"/>
  <c r="DO202" i="28"/>
  <c r="DO203" i="28"/>
  <c r="DO204" i="28"/>
  <c r="DO206" i="28"/>
  <c r="DN118" i="28"/>
  <c r="DN119" i="28"/>
  <c r="DN120" i="28"/>
  <c r="DN121" i="28"/>
  <c r="DN122" i="28"/>
  <c r="DN124" i="28"/>
  <c r="DN125" i="28"/>
  <c r="DN126" i="28"/>
  <c r="DN127" i="28"/>
  <c r="DN128" i="28"/>
  <c r="DN129" i="28"/>
  <c r="DN130" i="28"/>
  <c r="DN131" i="28"/>
  <c r="DN132" i="28"/>
  <c r="DN133" i="28"/>
  <c r="DN134" i="28"/>
  <c r="DN135" i="28"/>
  <c r="DN136" i="28"/>
  <c r="DN137" i="28"/>
  <c r="DN138" i="28"/>
  <c r="DN139" i="28"/>
  <c r="DN140" i="28"/>
  <c r="DN141" i="28"/>
  <c r="DN142" i="28"/>
  <c r="DN143" i="28"/>
  <c r="DN144" i="28"/>
  <c r="DN145" i="28"/>
  <c r="DN146" i="28"/>
  <c r="DN147" i="28"/>
  <c r="DN148" i="28"/>
  <c r="DN149" i="28"/>
  <c r="DN150" i="28"/>
  <c r="DN151" i="28"/>
  <c r="DN152" i="28"/>
  <c r="DN153" i="28"/>
  <c r="DN154" i="28"/>
  <c r="DN155" i="28"/>
  <c r="DN156" i="28"/>
  <c r="DN157" i="28"/>
  <c r="DN158" i="28"/>
  <c r="DN159" i="28"/>
  <c r="DN161" i="28"/>
  <c r="DN162" i="28"/>
  <c r="DN163" i="28"/>
  <c r="DN164" i="28"/>
  <c r="DN165" i="28"/>
  <c r="DN166" i="28"/>
  <c r="DN167" i="28"/>
  <c r="DN168" i="28"/>
  <c r="DN169" i="28"/>
  <c r="DN170" i="28"/>
  <c r="DN171" i="28"/>
  <c r="DN172" i="28"/>
  <c r="DN173" i="28"/>
  <c r="DN174" i="28"/>
  <c r="DN175" i="28"/>
  <c r="DN176" i="28"/>
  <c r="DN177" i="28"/>
  <c r="DN178" i="28"/>
  <c r="DN179" i="28"/>
  <c r="DN180" i="28"/>
  <c r="DN181" i="28"/>
  <c r="DN182" i="28"/>
  <c r="DN183" i="28"/>
  <c r="DN184" i="28"/>
  <c r="DN185" i="28"/>
  <c r="DN186" i="28"/>
  <c r="DN187" i="28"/>
  <c r="DN188" i="28"/>
  <c r="DN189" i="28"/>
  <c r="DN190" i="28"/>
  <c r="DN191" i="28"/>
  <c r="DN192" i="28"/>
  <c r="DN193" i="28"/>
  <c r="DN194" i="28"/>
  <c r="DN195" i="28"/>
  <c r="DN196" i="28"/>
  <c r="DN197" i="28"/>
  <c r="DN198" i="28"/>
  <c r="DN199" i="28"/>
  <c r="DN200" i="28"/>
  <c r="DN201" i="28"/>
  <c r="DN202" i="28"/>
  <c r="DN203" i="28"/>
  <c r="DN204" i="28"/>
  <c r="DN205" i="28"/>
  <c r="DM118" i="28"/>
  <c r="DM119" i="28"/>
  <c r="DM120" i="28"/>
  <c r="DM121" i="28"/>
  <c r="DM122" i="28"/>
  <c r="DM124" i="28"/>
  <c r="DM125" i="28"/>
  <c r="DM126" i="28"/>
  <c r="DM127" i="28"/>
  <c r="DM128" i="28"/>
  <c r="DM129" i="28"/>
  <c r="DM130" i="28"/>
  <c r="DM131" i="28"/>
  <c r="DM132" i="28"/>
  <c r="DM133" i="28"/>
  <c r="DM134" i="28"/>
  <c r="DM135" i="28"/>
  <c r="DM136" i="28"/>
  <c r="DM137" i="28"/>
  <c r="DM138" i="28"/>
  <c r="DM139" i="28"/>
  <c r="DM140" i="28"/>
  <c r="DM141" i="28"/>
  <c r="DM142" i="28"/>
  <c r="DM143" i="28"/>
  <c r="DM144" i="28"/>
  <c r="DM145" i="28"/>
  <c r="DM146" i="28"/>
  <c r="DM147" i="28"/>
  <c r="DM148" i="28"/>
  <c r="DM149" i="28"/>
  <c r="DM150" i="28"/>
  <c r="DM151" i="28"/>
  <c r="DM152" i="28"/>
  <c r="DM153" i="28"/>
  <c r="DM154" i="28"/>
  <c r="DM155" i="28"/>
  <c r="DM156" i="28"/>
  <c r="DM157" i="28"/>
  <c r="DM158" i="28"/>
  <c r="DM159" i="28"/>
  <c r="DM161" i="28"/>
  <c r="DM162" i="28"/>
  <c r="DM163" i="28"/>
  <c r="DM164" i="28"/>
  <c r="DM165" i="28"/>
  <c r="DM166" i="28"/>
  <c r="DM167" i="28"/>
  <c r="DM168" i="28"/>
  <c r="DM169" i="28"/>
  <c r="DM170" i="28"/>
  <c r="DM171" i="28"/>
  <c r="DM172" i="28"/>
  <c r="DM173" i="28"/>
  <c r="DM174" i="28"/>
  <c r="DM175" i="28"/>
  <c r="DM176" i="28"/>
  <c r="DM177" i="28"/>
  <c r="DM178" i="28"/>
  <c r="DM179" i="28"/>
  <c r="DM180" i="28"/>
  <c r="DM181" i="28"/>
  <c r="DM182" i="28"/>
  <c r="DM183" i="28"/>
  <c r="DM184" i="28"/>
  <c r="DM185" i="28"/>
  <c r="DM186" i="28"/>
  <c r="DM187" i="28"/>
  <c r="DM188" i="28"/>
  <c r="DM189" i="28"/>
  <c r="DM190" i="28"/>
  <c r="DM191" i="28"/>
  <c r="DM192" i="28"/>
  <c r="DM193" i="28"/>
  <c r="DM194" i="28"/>
  <c r="DM195" i="28"/>
  <c r="DM196" i="28"/>
  <c r="DM197" i="28"/>
  <c r="DM198" i="28"/>
  <c r="DM199" i="28"/>
  <c r="DM200" i="28"/>
  <c r="DM201" i="28"/>
  <c r="DM202" i="28"/>
  <c r="DM203" i="28"/>
  <c r="DM204" i="28"/>
  <c r="DM206" i="28"/>
  <c r="DL118" i="28"/>
  <c r="DL119" i="28"/>
  <c r="DL120" i="28"/>
  <c r="DL121" i="28"/>
  <c r="DL122" i="28"/>
  <c r="DL123" i="28"/>
  <c r="DL124" i="28"/>
  <c r="DL125" i="28"/>
  <c r="DL126" i="28"/>
  <c r="DL127" i="28"/>
  <c r="DL128" i="28"/>
  <c r="DL129" i="28"/>
  <c r="DL130" i="28"/>
  <c r="DL131" i="28"/>
  <c r="DL132" i="28"/>
  <c r="DL133" i="28"/>
  <c r="DL134" i="28"/>
  <c r="DL135" i="28"/>
  <c r="DL136" i="28"/>
  <c r="DL140" i="28"/>
  <c r="T57" i="26"/>
  <c r="DL137" i="28"/>
  <c r="DL138" i="28"/>
  <c r="DL139" i="28"/>
  <c r="DL141" i="28"/>
  <c r="DL142" i="28"/>
  <c r="DL143" i="28"/>
  <c r="DL144" i="28"/>
  <c r="DL145" i="28"/>
  <c r="DL146" i="28"/>
  <c r="DL147" i="28"/>
  <c r="DL148" i="28"/>
  <c r="DL149" i="28"/>
  <c r="DL150" i="28"/>
  <c r="DL151" i="28"/>
  <c r="DL152" i="28"/>
  <c r="DL153" i="28"/>
  <c r="DL154" i="28"/>
  <c r="DL155" i="28"/>
  <c r="DL156" i="28"/>
  <c r="DL157" i="28"/>
  <c r="DL158" i="28"/>
  <c r="DL159" i="28"/>
  <c r="DL161" i="28"/>
  <c r="DL162" i="28"/>
  <c r="DL163" i="28"/>
  <c r="DL164" i="28"/>
  <c r="DL165" i="28"/>
  <c r="DL166" i="28"/>
  <c r="DL167" i="28"/>
  <c r="DL168" i="28"/>
  <c r="DL169" i="28"/>
  <c r="DL170" i="28"/>
  <c r="DL171" i="28"/>
  <c r="DL172" i="28"/>
  <c r="DL173" i="28"/>
  <c r="DL174" i="28"/>
  <c r="DL175" i="28"/>
  <c r="DL176" i="28"/>
  <c r="DL177" i="28"/>
  <c r="DL178" i="28"/>
  <c r="DL179" i="28"/>
  <c r="DL180" i="28"/>
  <c r="DL181" i="28"/>
  <c r="DL182" i="28"/>
  <c r="DL183" i="28"/>
  <c r="DL184" i="28"/>
  <c r="DL185" i="28"/>
  <c r="DL186" i="28"/>
  <c r="DL187" i="28"/>
  <c r="DL188" i="28"/>
  <c r="DL189" i="28"/>
  <c r="DL190" i="28"/>
  <c r="DL191" i="28"/>
  <c r="DL192" i="28"/>
  <c r="DL193" i="28"/>
  <c r="DL194" i="28"/>
  <c r="DL195" i="28"/>
  <c r="DL196" i="28"/>
  <c r="DL197" i="28"/>
  <c r="DL198" i="28"/>
  <c r="DL199" i="28"/>
  <c r="DL200" i="28"/>
  <c r="DL201" i="28"/>
  <c r="DL202" i="28"/>
  <c r="DL203" i="28"/>
  <c r="DL204" i="28"/>
  <c r="DO205" i="28"/>
  <c r="CQ118" i="28"/>
  <c r="CQ119" i="28"/>
  <c r="CQ120" i="28"/>
  <c r="CQ121" i="28"/>
  <c r="CQ122" i="28"/>
  <c r="CQ124" i="28"/>
  <c r="CQ125" i="28"/>
  <c r="CQ126" i="28"/>
  <c r="CQ127" i="28"/>
  <c r="CQ128" i="28"/>
  <c r="CQ129" i="28"/>
  <c r="CQ130" i="28"/>
  <c r="CQ131" i="28"/>
  <c r="CQ132" i="28"/>
  <c r="CQ133" i="28"/>
  <c r="CQ134" i="28"/>
  <c r="CQ135" i="28"/>
  <c r="CQ136" i="28"/>
  <c r="CQ137" i="28"/>
  <c r="CQ138" i="28"/>
  <c r="CQ139" i="28"/>
  <c r="CQ140" i="28"/>
  <c r="CQ141" i="28"/>
  <c r="CQ142" i="28"/>
  <c r="CQ143" i="28"/>
  <c r="CQ144" i="28"/>
  <c r="CQ145" i="28"/>
  <c r="CQ146" i="28"/>
  <c r="CQ147" i="28"/>
  <c r="CQ148" i="28"/>
  <c r="CQ149" i="28"/>
  <c r="CQ150" i="28"/>
  <c r="CQ151" i="28"/>
  <c r="CQ152" i="28"/>
  <c r="CQ153" i="28"/>
  <c r="CQ154" i="28"/>
  <c r="CQ155" i="28"/>
  <c r="CQ156" i="28"/>
  <c r="CQ157" i="28"/>
  <c r="CQ158" i="28"/>
  <c r="CQ159" i="28"/>
  <c r="CQ161" i="28"/>
  <c r="CQ162" i="28"/>
  <c r="CQ163" i="28"/>
  <c r="CQ164" i="28"/>
  <c r="CQ165" i="28"/>
  <c r="CQ166" i="28"/>
  <c r="CQ167" i="28"/>
  <c r="CQ168" i="28"/>
  <c r="CQ169" i="28"/>
  <c r="CQ170" i="28"/>
  <c r="CQ171" i="28"/>
  <c r="CQ172" i="28"/>
  <c r="CQ173" i="28"/>
  <c r="CQ174" i="28"/>
  <c r="CQ175" i="28"/>
  <c r="CQ176" i="28"/>
  <c r="CQ177" i="28"/>
  <c r="CQ178" i="28"/>
  <c r="CQ179" i="28"/>
  <c r="CQ180" i="28"/>
  <c r="CQ181" i="28"/>
  <c r="CQ182" i="28"/>
  <c r="CQ183" i="28"/>
  <c r="CQ184" i="28"/>
  <c r="CQ185" i="28"/>
  <c r="CQ186" i="28"/>
  <c r="CQ187" i="28"/>
  <c r="CQ188" i="28"/>
  <c r="CQ189" i="28"/>
  <c r="CQ190" i="28"/>
  <c r="CQ191" i="28"/>
  <c r="CQ192" i="28"/>
  <c r="CQ193" i="28"/>
  <c r="CQ194" i="28"/>
  <c r="CQ195" i="28"/>
  <c r="CQ196" i="28"/>
  <c r="CQ197" i="28"/>
  <c r="CQ198" i="28"/>
  <c r="CQ199" i="28"/>
  <c r="CQ200" i="28"/>
  <c r="CQ201" i="28"/>
  <c r="CQ202" i="28"/>
  <c r="CQ203" i="28"/>
  <c r="CQ204" i="28"/>
  <c r="CQ206" i="28"/>
  <c r="CP118" i="28"/>
  <c r="CP119" i="28"/>
  <c r="CP120" i="28"/>
  <c r="CP121" i="28"/>
  <c r="CP122" i="28"/>
  <c r="CP124" i="28"/>
  <c r="CP125" i="28"/>
  <c r="CP126" i="28"/>
  <c r="CP127" i="28"/>
  <c r="CP128" i="28"/>
  <c r="CP129" i="28"/>
  <c r="CP130" i="28"/>
  <c r="CP131" i="28"/>
  <c r="CP132" i="28"/>
  <c r="CP133" i="28"/>
  <c r="CP134" i="28"/>
  <c r="CP135" i="28"/>
  <c r="CP136" i="28"/>
  <c r="CP137" i="28"/>
  <c r="CP138" i="28"/>
  <c r="CP139" i="28"/>
  <c r="CP140" i="28"/>
  <c r="CP141" i="28"/>
  <c r="CP142" i="28"/>
  <c r="CP143" i="28"/>
  <c r="CP144" i="28"/>
  <c r="CP145" i="28"/>
  <c r="CP146" i="28"/>
  <c r="CP147" i="28"/>
  <c r="CP148" i="28"/>
  <c r="CP149" i="28"/>
  <c r="CP150" i="28"/>
  <c r="CP151" i="28"/>
  <c r="CP152" i="28"/>
  <c r="CP153" i="28"/>
  <c r="CP154" i="28"/>
  <c r="CP155" i="28"/>
  <c r="CP156" i="28"/>
  <c r="CP157" i="28"/>
  <c r="CP158" i="28"/>
  <c r="CP159" i="28"/>
  <c r="CP161" i="28"/>
  <c r="CP162" i="28"/>
  <c r="CP163" i="28"/>
  <c r="CP164" i="28"/>
  <c r="CP165" i="28"/>
  <c r="CP166" i="28"/>
  <c r="CP167" i="28"/>
  <c r="CP168" i="28"/>
  <c r="CP169" i="28"/>
  <c r="CP170" i="28"/>
  <c r="CP171" i="28"/>
  <c r="CP172" i="28"/>
  <c r="CP173" i="28"/>
  <c r="CP174" i="28"/>
  <c r="CP175" i="28"/>
  <c r="CP176" i="28"/>
  <c r="CP177" i="28"/>
  <c r="CP178" i="28"/>
  <c r="CP179" i="28"/>
  <c r="CP180" i="28"/>
  <c r="CP181" i="28"/>
  <c r="CP182" i="28"/>
  <c r="CP183" i="28"/>
  <c r="CP184" i="28"/>
  <c r="CP185" i="28"/>
  <c r="CP186" i="28"/>
  <c r="CP187" i="28"/>
  <c r="CP188" i="28"/>
  <c r="CP189" i="28"/>
  <c r="CP190" i="28"/>
  <c r="CP191" i="28"/>
  <c r="CP192" i="28"/>
  <c r="CP193" i="28"/>
  <c r="CP194" i="28"/>
  <c r="CP195" i="28"/>
  <c r="CP196" i="28"/>
  <c r="CP197" i="28"/>
  <c r="CP198" i="28"/>
  <c r="CP199" i="28"/>
  <c r="CP200" i="28"/>
  <c r="CP201" i="28"/>
  <c r="CP202" i="28"/>
  <c r="CP203" i="28"/>
  <c r="CP204" i="28"/>
  <c r="CO118" i="28"/>
  <c r="CO119" i="28"/>
  <c r="CO120" i="28"/>
  <c r="CO121" i="28"/>
  <c r="CO122" i="28"/>
  <c r="CO124" i="28"/>
  <c r="CO125" i="28"/>
  <c r="CO126" i="28"/>
  <c r="CO127" i="28"/>
  <c r="CO128" i="28"/>
  <c r="CO129" i="28"/>
  <c r="CO130" i="28"/>
  <c r="CO131" i="28"/>
  <c r="CO132" i="28"/>
  <c r="CO133" i="28"/>
  <c r="CO134" i="28"/>
  <c r="CO135" i="28"/>
  <c r="CO136" i="28"/>
  <c r="CO137" i="28"/>
  <c r="CO138" i="28"/>
  <c r="CO139" i="28"/>
  <c r="CO140" i="28"/>
  <c r="CO141" i="28"/>
  <c r="CO142" i="28"/>
  <c r="CO143" i="28"/>
  <c r="CO144" i="28"/>
  <c r="CO145" i="28"/>
  <c r="CO146" i="28"/>
  <c r="CO147" i="28"/>
  <c r="CO148" i="28"/>
  <c r="CO149" i="28"/>
  <c r="CO150" i="28"/>
  <c r="CO151" i="28"/>
  <c r="CO152" i="28"/>
  <c r="CO153" i="28"/>
  <c r="CO154" i="28"/>
  <c r="CO155" i="28"/>
  <c r="CO156" i="28"/>
  <c r="CO157" i="28"/>
  <c r="CO158" i="28"/>
  <c r="CO159" i="28"/>
  <c r="CO161" i="28"/>
  <c r="CO162" i="28"/>
  <c r="CO163" i="28"/>
  <c r="CO164" i="28"/>
  <c r="CO165" i="28"/>
  <c r="CO166" i="28"/>
  <c r="CO167" i="28"/>
  <c r="CO168" i="28"/>
  <c r="CO169" i="28"/>
  <c r="CO170" i="28"/>
  <c r="CO171" i="28"/>
  <c r="CO172" i="28"/>
  <c r="CO173" i="28"/>
  <c r="CO174" i="28"/>
  <c r="CO175" i="28"/>
  <c r="CO176" i="28"/>
  <c r="CO177" i="28"/>
  <c r="CO178" i="28"/>
  <c r="CO179" i="28"/>
  <c r="CO180" i="28"/>
  <c r="CO181" i="28"/>
  <c r="CO182" i="28"/>
  <c r="CO183" i="28"/>
  <c r="CO184" i="28"/>
  <c r="CO185" i="28"/>
  <c r="CO186" i="28"/>
  <c r="CO187" i="28"/>
  <c r="CO188" i="28"/>
  <c r="CO189" i="28"/>
  <c r="CO190" i="28"/>
  <c r="CO191" i="28"/>
  <c r="CO192" i="28"/>
  <c r="CO193" i="28"/>
  <c r="CO194" i="28"/>
  <c r="CO195" i="28"/>
  <c r="CO196" i="28"/>
  <c r="CO197" i="28"/>
  <c r="CO198" i="28"/>
  <c r="CO199" i="28"/>
  <c r="CO200" i="28"/>
  <c r="CO201" i="28"/>
  <c r="CO202" i="28"/>
  <c r="CO203" i="28"/>
  <c r="CO204" i="28"/>
  <c r="CO205" i="28"/>
  <c r="U56" i="26"/>
  <c r="CO206" i="28"/>
  <c r="CN118" i="28"/>
  <c r="CN119" i="28"/>
  <c r="CN120" i="28"/>
  <c r="CN121" i="28"/>
  <c r="CN122" i="28"/>
  <c r="CN123" i="28"/>
  <c r="CN124" i="28"/>
  <c r="CN125" i="28"/>
  <c r="CN126" i="28"/>
  <c r="CN127" i="28"/>
  <c r="CN128" i="28"/>
  <c r="CN129" i="28"/>
  <c r="CN130" i="28"/>
  <c r="CN131" i="28"/>
  <c r="CN132" i="28"/>
  <c r="CN133" i="28"/>
  <c r="CN134" i="28"/>
  <c r="CN135" i="28"/>
  <c r="CN136" i="28"/>
  <c r="CN140" i="28"/>
  <c r="T56" i="26"/>
  <c r="CN137" i="28"/>
  <c r="CN138" i="28"/>
  <c r="CN139" i="28"/>
  <c r="CN141" i="28"/>
  <c r="CN142" i="28"/>
  <c r="CN143" i="28"/>
  <c r="CN144" i="28"/>
  <c r="CN145" i="28"/>
  <c r="CN146" i="28"/>
  <c r="CN147" i="28"/>
  <c r="CN148" i="28"/>
  <c r="CN149" i="28"/>
  <c r="CN150" i="28"/>
  <c r="CN151" i="28"/>
  <c r="CN152" i="28"/>
  <c r="CN153" i="28"/>
  <c r="CN154" i="28"/>
  <c r="CN155" i="28"/>
  <c r="CN156" i="28"/>
  <c r="CN157" i="28"/>
  <c r="CN158" i="28"/>
  <c r="CN159" i="28"/>
  <c r="CN161" i="28"/>
  <c r="CN162" i="28"/>
  <c r="CN163" i="28"/>
  <c r="CN164" i="28"/>
  <c r="CN165" i="28"/>
  <c r="CN166" i="28"/>
  <c r="CN167" i="28"/>
  <c r="CN168" i="28"/>
  <c r="CN169" i="28"/>
  <c r="CN170" i="28"/>
  <c r="CN171" i="28"/>
  <c r="CN172" i="28"/>
  <c r="CN173" i="28"/>
  <c r="CN174" i="28"/>
  <c r="CN175" i="28"/>
  <c r="CN176" i="28"/>
  <c r="CN177" i="28"/>
  <c r="CN178" i="28"/>
  <c r="CN179" i="28"/>
  <c r="CN180" i="28"/>
  <c r="CN181" i="28"/>
  <c r="CN182" i="28"/>
  <c r="CN183" i="28"/>
  <c r="CN184" i="28"/>
  <c r="CN185" i="28"/>
  <c r="CN186" i="28"/>
  <c r="CN187" i="28"/>
  <c r="CN188" i="28"/>
  <c r="CN189" i="28"/>
  <c r="CN190" i="28"/>
  <c r="CN191" i="28"/>
  <c r="CN192" i="28"/>
  <c r="CN193" i="28"/>
  <c r="CN194" i="28"/>
  <c r="CN195" i="28"/>
  <c r="CN196" i="28"/>
  <c r="CN197" i="28"/>
  <c r="CN198" i="28"/>
  <c r="CN199" i="28"/>
  <c r="CN200" i="28"/>
  <c r="CN201" i="28"/>
  <c r="CN202" i="28"/>
  <c r="CN203" i="28"/>
  <c r="CN204" i="28"/>
  <c r="CP205" i="28"/>
  <c r="BS118" i="28"/>
  <c r="BS119" i="28"/>
  <c r="BS120" i="28"/>
  <c r="BS121" i="28"/>
  <c r="BS122" i="28"/>
  <c r="BS124" i="28"/>
  <c r="BS125" i="28"/>
  <c r="BS126" i="28"/>
  <c r="BS127" i="28"/>
  <c r="BS128" i="28"/>
  <c r="BS129" i="28"/>
  <c r="BS130" i="28"/>
  <c r="BS131" i="28"/>
  <c r="BS132" i="28"/>
  <c r="BS133" i="28"/>
  <c r="BS134" i="28"/>
  <c r="BS135" i="28"/>
  <c r="BS136" i="28"/>
  <c r="BS137" i="28"/>
  <c r="BS138" i="28"/>
  <c r="BS139" i="28"/>
  <c r="BS140" i="28"/>
  <c r="BS141" i="28"/>
  <c r="BS142" i="28"/>
  <c r="BS143" i="28"/>
  <c r="BS144" i="28"/>
  <c r="BS145" i="28"/>
  <c r="BS146" i="28"/>
  <c r="BS147" i="28"/>
  <c r="BS148" i="28"/>
  <c r="BS149" i="28"/>
  <c r="BS150" i="28"/>
  <c r="BS151" i="28"/>
  <c r="BS152" i="28"/>
  <c r="BS153" i="28"/>
  <c r="BS154" i="28"/>
  <c r="BS155" i="28"/>
  <c r="BS156" i="28"/>
  <c r="BS157" i="28"/>
  <c r="BS158" i="28"/>
  <c r="BS159" i="28"/>
  <c r="BS161" i="28"/>
  <c r="BS162" i="28"/>
  <c r="BS163" i="28"/>
  <c r="BS164" i="28"/>
  <c r="BS165" i="28"/>
  <c r="BS166" i="28"/>
  <c r="BS167" i="28"/>
  <c r="BS168" i="28"/>
  <c r="BS169" i="28"/>
  <c r="BS170" i="28"/>
  <c r="BS171" i="28"/>
  <c r="BS172" i="28"/>
  <c r="BS173" i="28"/>
  <c r="BS174" i="28"/>
  <c r="BS175" i="28"/>
  <c r="BS176" i="28"/>
  <c r="BS177" i="28"/>
  <c r="BS178" i="28"/>
  <c r="BS179" i="28"/>
  <c r="BS180" i="28"/>
  <c r="BS181" i="28"/>
  <c r="BS182" i="28"/>
  <c r="BS183" i="28"/>
  <c r="BS184" i="28"/>
  <c r="BS185" i="28"/>
  <c r="BS186" i="28"/>
  <c r="BS187" i="28"/>
  <c r="BS188" i="28"/>
  <c r="BS189" i="28"/>
  <c r="BS190" i="28"/>
  <c r="BS191" i="28"/>
  <c r="BS192" i="28"/>
  <c r="BS193" i="28"/>
  <c r="BS194" i="28"/>
  <c r="BS195" i="28"/>
  <c r="BS196" i="28"/>
  <c r="BS197" i="28"/>
  <c r="BS198" i="28"/>
  <c r="BS199" i="28"/>
  <c r="BS200" i="28"/>
  <c r="BS201" i="28"/>
  <c r="BS202" i="28"/>
  <c r="BS203" i="28"/>
  <c r="BS204" i="28"/>
  <c r="BR118" i="28"/>
  <c r="BR119" i="28"/>
  <c r="BR120" i="28"/>
  <c r="BR121" i="28"/>
  <c r="BR122" i="28"/>
  <c r="BR124" i="28"/>
  <c r="BR125" i="28"/>
  <c r="BR126" i="28"/>
  <c r="BR127" i="28"/>
  <c r="BR128" i="28"/>
  <c r="BR129" i="28"/>
  <c r="BR130" i="28"/>
  <c r="BR131" i="28"/>
  <c r="BR132" i="28"/>
  <c r="BR133" i="28"/>
  <c r="BR134" i="28"/>
  <c r="BR135" i="28"/>
  <c r="BR136" i="28"/>
  <c r="BR137" i="28"/>
  <c r="BR138" i="28"/>
  <c r="BR139" i="28"/>
  <c r="BR140" i="28"/>
  <c r="BR141" i="28"/>
  <c r="BR142" i="28"/>
  <c r="BR143" i="28"/>
  <c r="BR144" i="28"/>
  <c r="BR145" i="28"/>
  <c r="BR146" i="28"/>
  <c r="BR147" i="28"/>
  <c r="BR148" i="28"/>
  <c r="BR149" i="28"/>
  <c r="BR150" i="28"/>
  <c r="BR151" i="28"/>
  <c r="BR152" i="28"/>
  <c r="BR153" i="28"/>
  <c r="BR154" i="28"/>
  <c r="BR155" i="28"/>
  <c r="BR156" i="28"/>
  <c r="BR157" i="28"/>
  <c r="BR158" i="28"/>
  <c r="BR159" i="28"/>
  <c r="BR161" i="28"/>
  <c r="BR162" i="28"/>
  <c r="BR163" i="28"/>
  <c r="BR164" i="28"/>
  <c r="BR165" i="28"/>
  <c r="BR166" i="28"/>
  <c r="BR167" i="28"/>
  <c r="BR168" i="28"/>
  <c r="BR169" i="28"/>
  <c r="BR170" i="28"/>
  <c r="BR171" i="28"/>
  <c r="BR172" i="28"/>
  <c r="BR173" i="28"/>
  <c r="BR174" i="28"/>
  <c r="BR175" i="28"/>
  <c r="BR176" i="28"/>
  <c r="BR177" i="28"/>
  <c r="BR178" i="28"/>
  <c r="BR179" i="28"/>
  <c r="BR180" i="28"/>
  <c r="BR181" i="28"/>
  <c r="BR182" i="28"/>
  <c r="BR183" i="28"/>
  <c r="BR184" i="28"/>
  <c r="BR185" i="28"/>
  <c r="BR186" i="28"/>
  <c r="BR187" i="28"/>
  <c r="BR188" i="28"/>
  <c r="BR189" i="28"/>
  <c r="BR190" i="28"/>
  <c r="BR191" i="28"/>
  <c r="BR192" i="28"/>
  <c r="BR193" i="28"/>
  <c r="BR194" i="28"/>
  <c r="BR195" i="28"/>
  <c r="BR196" i="28"/>
  <c r="BR197" i="28"/>
  <c r="BR198" i="28"/>
  <c r="BR199" i="28"/>
  <c r="BR200" i="28"/>
  <c r="BR201" i="28"/>
  <c r="BR202" i="28"/>
  <c r="BR203" i="28"/>
  <c r="BR204" i="28"/>
  <c r="BR206" i="28"/>
  <c r="BQ118" i="28"/>
  <c r="BQ119" i="28"/>
  <c r="BQ120" i="28"/>
  <c r="BQ121" i="28"/>
  <c r="BQ122" i="28"/>
  <c r="BQ124" i="28"/>
  <c r="BQ125" i="28"/>
  <c r="BQ126" i="28"/>
  <c r="BQ127" i="28"/>
  <c r="BQ128" i="28"/>
  <c r="BQ129" i="28"/>
  <c r="BQ130" i="28"/>
  <c r="BQ131" i="28"/>
  <c r="BQ132" i="28"/>
  <c r="BQ133" i="28"/>
  <c r="BQ134" i="28"/>
  <c r="BQ135" i="28"/>
  <c r="BQ136" i="28"/>
  <c r="BQ137" i="28"/>
  <c r="BQ138" i="28"/>
  <c r="BQ139" i="28"/>
  <c r="BQ140" i="28"/>
  <c r="BQ141" i="28"/>
  <c r="BQ142" i="28"/>
  <c r="BQ143" i="28"/>
  <c r="BQ144" i="28"/>
  <c r="BQ145" i="28"/>
  <c r="BQ146" i="28"/>
  <c r="BQ147" i="28"/>
  <c r="BQ148" i="28"/>
  <c r="BQ149" i="28"/>
  <c r="BQ150" i="28"/>
  <c r="BQ151" i="28"/>
  <c r="BQ152" i="28"/>
  <c r="BQ153" i="28"/>
  <c r="BQ154" i="28"/>
  <c r="BQ155" i="28"/>
  <c r="BQ156" i="28"/>
  <c r="BQ157" i="28"/>
  <c r="BQ158" i="28"/>
  <c r="BQ159" i="28"/>
  <c r="BQ161" i="28"/>
  <c r="BQ162" i="28"/>
  <c r="BQ163" i="28"/>
  <c r="BQ164" i="28"/>
  <c r="BQ165" i="28"/>
  <c r="BQ166" i="28"/>
  <c r="BQ167" i="28"/>
  <c r="BQ168" i="28"/>
  <c r="BQ169" i="28"/>
  <c r="BQ170" i="28"/>
  <c r="BQ171" i="28"/>
  <c r="BQ172" i="28"/>
  <c r="BQ173" i="28"/>
  <c r="BQ174" i="28"/>
  <c r="BQ175" i="28"/>
  <c r="BQ176" i="28"/>
  <c r="BQ177" i="28"/>
  <c r="BQ178" i="28"/>
  <c r="BQ179" i="28"/>
  <c r="BQ180" i="28"/>
  <c r="BQ181" i="28"/>
  <c r="BQ182" i="28"/>
  <c r="BQ183" i="28"/>
  <c r="BQ184" i="28"/>
  <c r="BQ185" i="28"/>
  <c r="BQ186" i="28"/>
  <c r="BQ187" i="28"/>
  <c r="BQ188" i="28"/>
  <c r="BQ189" i="28"/>
  <c r="BQ190" i="28"/>
  <c r="BQ191" i="28"/>
  <c r="BQ192" i="28"/>
  <c r="BQ193" i="28"/>
  <c r="BQ194" i="28"/>
  <c r="BQ195" i="28"/>
  <c r="BQ196" i="28"/>
  <c r="BQ197" i="28"/>
  <c r="BQ198" i="28"/>
  <c r="BQ199" i="28"/>
  <c r="BQ200" i="28"/>
  <c r="BQ201" i="28"/>
  <c r="BQ202" i="28"/>
  <c r="BQ203" i="28"/>
  <c r="BQ204" i="28"/>
  <c r="BP118" i="28"/>
  <c r="BP119" i="28"/>
  <c r="BP120" i="28"/>
  <c r="BP121" i="28"/>
  <c r="BP122" i="28"/>
  <c r="BP123" i="28"/>
  <c r="BP124" i="28"/>
  <c r="BP125" i="28"/>
  <c r="BP126" i="28"/>
  <c r="BP127" i="28"/>
  <c r="BP128" i="28"/>
  <c r="BP129" i="28"/>
  <c r="BP130" i="28"/>
  <c r="BP131" i="28"/>
  <c r="BP132" i="28"/>
  <c r="BP133" i="28"/>
  <c r="BP134" i="28"/>
  <c r="BP135" i="28"/>
  <c r="BP136" i="28"/>
  <c r="BP137" i="28"/>
  <c r="BP138" i="28"/>
  <c r="BP139" i="28"/>
  <c r="BP140" i="28"/>
  <c r="BP141" i="28"/>
  <c r="BP142" i="28"/>
  <c r="BP143" i="28"/>
  <c r="BP144" i="28"/>
  <c r="BP145" i="28"/>
  <c r="BP146" i="28"/>
  <c r="BP147" i="28"/>
  <c r="BP148" i="28"/>
  <c r="BP149" i="28"/>
  <c r="BP150" i="28"/>
  <c r="BP151" i="28"/>
  <c r="BP152" i="28"/>
  <c r="BP153" i="28"/>
  <c r="BP154" i="28"/>
  <c r="BP155" i="28"/>
  <c r="BP156" i="28"/>
  <c r="BP157" i="28"/>
  <c r="BP158" i="28"/>
  <c r="BP159" i="28"/>
  <c r="BP161" i="28"/>
  <c r="BP162" i="28"/>
  <c r="BP163" i="28"/>
  <c r="BP164" i="28"/>
  <c r="BP165" i="28"/>
  <c r="BP166" i="28"/>
  <c r="BP167" i="28"/>
  <c r="BP168" i="28"/>
  <c r="BP169" i="28"/>
  <c r="BP170" i="28"/>
  <c r="BP171" i="28"/>
  <c r="BP172" i="28"/>
  <c r="BP173" i="28"/>
  <c r="BP174" i="28"/>
  <c r="BP175" i="28"/>
  <c r="BP176" i="28"/>
  <c r="BP177" i="28"/>
  <c r="BP178" i="28"/>
  <c r="BP179" i="28"/>
  <c r="BP180" i="28"/>
  <c r="BP181" i="28"/>
  <c r="BP182" i="28"/>
  <c r="BP183" i="28"/>
  <c r="BP184" i="28"/>
  <c r="BP185" i="28"/>
  <c r="BP186" i="28"/>
  <c r="BP187" i="28"/>
  <c r="BP188" i="28"/>
  <c r="BP189" i="28"/>
  <c r="BP190" i="28"/>
  <c r="BP191" i="28"/>
  <c r="BP192" i="28"/>
  <c r="BP193" i="28"/>
  <c r="BP194" i="28"/>
  <c r="BP195" i="28"/>
  <c r="BP196" i="28"/>
  <c r="BP197" i="28"/>
  <c r="BP198" i="28"/>
  <c r="BP199" i="28"/>
  <c r="BP200" i="28"/>
  <c r="BP201" i="28"/>
  <c r="BP202" i="28"/>
  <c r="BP203" i="28"/>
  <c r="BP204" i="28"/>
  <c r="BQ205" i="28"/>
  <c r="EM118" i="28"/>
  <c r="EM119" i="28"/>
  <c r="EM120" i="28"/>
  <c r="EM121" i="28"/>
  <c r="EM122" i="28"/>
  <c r="EM124" i="28"/>
  <c r="EM125" i="28"/>
  <c r="EM126" i="28"/>
  <c r="EM127" i="28"/>
  <c r="EM128" i="28"/>
  <c r="EM129" i="28"/>
  <c r="EM130" i="28"/>
  <c r="EM131" i="28"/>
  <c r="EM132" i="28"/>
  <c r="EM133" i="28"/>
  <c r="EM134" i="28"/>
  <c r="EM135" i="28"/>
  <c r="EM136" i="28"/>
  <c r="EM137" i="28"/>
  <c r="EM138" i="28"/>
  <c r="EM139" i="28"/>
  <c r="EM140" i="28"/>
  <c r="EM141" i="28"/>
  <c r="EM142" i="28"/>
  <c r="EM143" i="28"/>
  <c r="EM144" i="28"/>
  <c r="EM145" i="28"/>
  <c r="EM146" i="28"/>
  <c r="EM147" i="28"/>
  <c r="EM148" i="28"/>
  <c r="EM149" i="28"/>
  <c r="EM150" i="28"/>
  <c r="EM151" i="28"/>
  <c r="EM152" i="28"/>
  <c r="EM153" i="28"/>
  <c r="EM154" i="28"/>
  <c r="EM155" i="28"/>
  <c r="EM156" i="28"/>
  <c r="EM157" i="28"/>
  <c r="EM158" i="28"/>
  <c r="EM159" i="28"/>
  <c r="EM161" i="28"/>
  <c r="EM162" i="28"/>
  <c r="EM163" i="28"/>
  <c r="EM164" i="28"/>
  <c r="EM165" i="28"/>
  <c r="EM166" i="28"/>
  <c r="EM167" i="28"/>
  <c r="EM168" i="28"/>
  <c r="EM169" i="28"/>
  <c r="EM170" i="28"/>
  <c r="EM171" i="28"/>
  <c r="EM172" i="28"/>
  <c r="EM173" i="28"/>
  <c r="EM174" i="28"/>
  <c r="EM175" i="28"/>
  <c r="EM176" i="28"/>
  <c r="EM177" i="28"/>
  <c r="EM178" i="28"/>
  <c r="EM179" i="28"/>
  <c r="EM180" i="28"/>
  <c r="EM181" i="28"/>
  <c r="EM182" i="28"/>
  <c r="EM183" i="28"/>
  <c r="EM184" i="28"/>
  <c r="EM185" i="28"/>
  <c r="EM186" i="28"/>
  <c r="EM187" i="28"/>
  <c r="EM188" i="28"/>
  <c r="EM189" i="28"/>
  <c r="EM190" i="28"/>
  <c r="EM191" i="28"/>
  <c r="EM192" i="28"/>
  <c r="EM193" i="28"/>
  <c r="EM194" i="28"/>
  <c r="EM195" i="28"/>
  <c r="EM196" i="28"/>
  <c r="EM197" i="28"/>
  <c r="EM198" i="28"/>
  <c r="EM199" i="28"/>
  <c r="EM200" i="28"/>
  <c r="EM201" i="28"/>
  <c r="EM202" i="28"/>
  <c r="EM203" i="28"/>
  <c r="EM204" i="28"/>
  <c r="EL118" i="28"/>
  <c r="EL119" i="28"/>
  <c r="EL120" i="28"/>
  <c r="EL121" i="28"/>
  <c r="EL122" i="28"/>
  <c r="EL124" i="28"/>
  <c r="EL125" i="28"/>
  <c r="EL126" i="28"/>
  <c r="EL127" i="28"/>
  <c r="EL128" i="28"/>
  <c r="EL129" i="28"/>
  <c r="EL130" i="28"/>
  <c r="EL131" i="28"/>
  <c r="EL132" i="28"/>
  <c r="EL133" i="28"/>
  <c r="EL134" i="28"/>
  <c r="EL135" i="28"/>
  <c r="EL136" i="28"/>
  <c r="EL137" i="28"/>
  <c r="EL138" i="28"/>
  <c r="EL139" i="28"/>
  <c r="EL140" i="28"/>
  <c r="EL141" i="28"/>
  <c r="EL142" i="28"/>
  <c r="EL143" i="28"/>
  <c r="EL144" i="28"/>
  <c r="EL145" i="28"/>
  <c r="EL146" i="28"/>
  <c r="EL147" i="28"/>
  <c r="EL148" i="28"/>
  <c r="EL149" i="28"/>
  <c r="EL150" i="28"/>
  <c r="EL151" i="28"/>
  <c r="EL152" i="28"/>
  <c r="EL153" i="28"/>
  <c r="EL154" i="28"/>
  <c r="EL155" i="28"/>
  <c r="EL156" i="28"/>
  <c r="EL157" i="28"/>
  <c r="EL158" i="28"/>
  <c r="EL159" i="28"/>
  <c r="EL161" i="28"/>
  <c r="EL162" i="28"/>
  <c r="EL163" i="28"/>
  <c r="EL164" i="28"/>
  <c r="EL165" i="28"/>
  <c r="EL166" i="28"/>
  <c r="EL167" i="28"/>
  <c r="EL168" i="28"/>
  <c r="EL169" i="28"/>
  <c r="EL170" i="28"/>
  <c r="EL171" i="28"/>
  <c r="EL172" i="28"/>
  <c r="EL173" i="28"/>
  <c r="EL174" i="28"/>
  <c r="EL175" i="28"/>
  <c r="EL176" i="28"/>
  <c r="EL177" i="28"/>
  <c r="EL178" i="28"/>
  <c r="EL179" i="28"/>
  <c r="EL180" i="28"/>
  <c r="EL181" i="28"/>
  <c r="EL182" i="28"/>
  <c r="EL183" i="28"/>
  <c r="EL184" i="28"/>
  <c r="EL185" i="28"/>
  <c r="EL186" i="28"/>
  <c r="EL187" i="28"/>
  <c r="EL188" i="28"/>
  <c r="EL189" i="28"/>
  <c r="EL190" i="28"/>
  <c r="EL191" i="28"/>
  <c r="EL192" i="28"/>
  <c r="EL193" i="28"/>
  <c r="EL194" i="28"/>
  <c r="EL195" i="28"/>
  <c r="EL196" i="28"/>
  <c r="EL197" i="28"/>
  <c r="EL198" i="28"/>
  <c r="EL199" i="28"/>
  <c r="EL200" i="28"/>
  <c r="EL201" i="28"/>
  <c r="EL202" i="28"/>
  <c r="EL203" i="28"/>
  <c r="EL204" i="28"/>
  <c r="EL205" i="28"/>
  <c r="V54" i="26"/>
  <c r="EL206" i="28"/>
  <c r="EK118" i="28"/>
  <c r="EK119" i="28"/>
  <c r="EK120" i="28"/>
  <c r="EK121" i="28"/>
  <c r="EK122" i="28"/>
  <c r="EK124" i="28"/>
  <c r="EK125" i="28"/>
  <c r="EK126" i="28"/>
  <c r="EK127" i="28"/>
  <c r="EK128" i="28"/>
  <c r="EK129" i="28"/>
  <c r="EK130" i="28"/>
  <c r="EK131" i="28"/>
  <c r="EK132" i="28"/>
  <c r="EK133" i="28"/>
  <c r="EK134" i="28"/>
  <c r="EK135" i="28"/>
  <c r="EK136" i="28"/>
  <c r="EK137" i="28"/>
  <c r="EK138" i="28"/>
  <c r="EK139" i="28"/>
  <c r="EK140" i="28"/>
  <c r="EK141" i="28"/>
  <c r="EK142" i="28"/>
  <c r="EK143" i="28"/>
  <c r="EK144" i="28"/>
  <c r="EK145" i="28"/>
  <c r="EK146" i="28"/>
  <c r="EK147" i="28"/>
  <c r="EK148" i="28"/>
  <c r="EK149" i="28"/>
  <c r="EK150" i="28"/>
  <c r="EK151" i="28"/>
  <c r="EK152" i="28"/>
  <c r="EK153" i="28"/>
  <c r="EK154" i="28"/>
  <c r="EK155" i="28"/>
  <c r="EK156" i="28"/>
  <c r="EK157" i="28"/>
  <c r="EK158" i="28"/>
  <c r="EK159" i="28"/>
  <c r="EK161" i="28"/>
  <c r="EK162" i="28"/>
  <c r="EK163" i="28"/>
  <c r="EK164" i="28"/>
  <c r="EK165" i="28"/>
  <c r="EK166" i="28"/>
  <c r="EK167" i="28"/>
  <c r="EK168" i="28"/>
  <c r="EK169" i="28"/>
  <c r="EK170" i="28"/>
  <c r="EK171" i="28"/>
  <c r="EK172" i="28"/>
  <c r="EK173" i="28"/>
  <c r="EK174" i="28"/>
  <c r="EK175" i="28"/>
  <c r="EK176" i="28"/>
  <c r="EK177" i="28"/>
  <c r="EK178" i="28"/>
  <c r="EK179" i="28"/>
  <c r="EK180" i="28"/>
  <c r="EK181" i="28"/>
  <c r="EK182" i="28"/>
  <c r="EK183" i="28"/>
  <c r="EK184" i="28"/>
  <c r="EK185" i="28"/>
  <c r="EK186" i="28"/>
  <c r="EK187" i="28"/>
  <c r="EK188" i="28"/>
  <c r="EK189" i="28"/>
  <c r="EK190" i="28"/>
  <c r="EK191" i="28"/>
  <c r="EK192" i="28"/>
  <c r="EK193" i="28"/>
  <c r="EK194" i="28"/>
  <c r="EK195" i="28"/>
  <c r="EK196" i="28"/>
  <c r="EK197" i="28"/>
  <c r="EK198" i="28"/>
  <c r="EK199" i="28"/>
  <c r="EK200" i="28"/>
  <c r="EK201" i="28"/>
  <c r="EK202" i="28"/>
  <c r="EK203" i="28"/>
  <c r="EK204" i="28"/>
  <c r="EJ118" i="28"/>
  <c r="EJ119" i="28"/>
  <c r="EJ120" i="28"/>
  <c r="EJ121" i="28"/>
  <c r="EJ122" i="28"/>
  <c r="EJ123" i="28"/>
  <c r="EJ124" i="28"/>
  <c r="EJ125" i="28"/>
  <c r="EJ126" i="28"/>
  <c r="EJ127" i="28"/>
  <c r="EJ128" i="28"/>
  <c r="EJ129" i="28"/>
  <c r="EJ130" i="28"/>
  <c r="EJ131" i="28"/>
  <c r="EJ132" i="28"/>
  <c r="EJ133" i="28"/>
  <c r="EJ134" i="28"/>
  <c r="EJ135" i="28"/>
  <c r="EJ136" i="28"/>
  <c r="EJ137" i="28"/>
  <c r="EJ138" i="28"/>
  <c r="EJ139" i="28"/>
  <c r="EJ140" i="28"/>
  <c r="EJ141" i="28"/>
  <c r="EJ142" i="28"/>
  <c r="EJ143" i="28"/>
  <c r="EJ144" i="28"/>
  <c r="EJ145" i="28"/>
  <c r="EJ146" i="28"/>
  <c r="EJ147" i="28"/>
  <c r="EJ148" i="28"/>
  <c r="EJ149" i="28"/>
  <c r="EJ150" i="28"/>
  <c r="EJ151" i="28"/>
  <c r="EJ152" i="28"/>
  <c r="EJ153" i="28"/>
  <c r="EJ154" i="28"/>
  <c r="EJ155" i="28"/>
  <c r="EJ156" i="28"/>
  <c r="EJ157" i="28"/>
  <c r="EJ158" i="28"/>
  <c r="EJ159" i="28"/>
  <c r="EJ161" i="28"/>
  <c r="EJ162" i="28"/>
  <c r="EJ163" i="28"/>
  <c r="EJ164" i="28"/>
  <c r="EJ165" i="28"/>
  <c r="EJ166" i="28"/>
  <c r="EJ167" i="28"/>
  <c r="EJ168" i="28"/>
  <c r="EJ169" i="28"/>
  <c r="EJ170" i="28"/>
  <c r="EJ171" i="28"/>
  <c r="EJ172" i="28"/>
  <c r="EJ173" i="28"/>
  <c r="EJ174" i="28"/>
  <c r="EJ175" i="28"/>
  <c r="EJ176" i="28"/>
  <c r="EJ177" i="28"/>
  <c r="EJ178" i="28"/>
  <c r="EJ179" i="28"/>
  <c r="EJ180" i="28"/>
  <c r="EJ181" i="28"/>
  <c r="EJ182" i="28"/>
  <c r="EJ183" i="28"/>
  <c r="EJ184" i="28"/>
  <c r="EJ185" i="28"/>
  <c r="EJ186" i="28"/>
  <c r="EJ187" i="28"/>
  <c r="EJ188" i="28"/>
  <c r="EJ189" i="28"/>
  <c r="EJ190" i="28"/>
  <c r="EJ191" i="28"/>
  <c r="EJ192" i="28"/>
  <c r="EJ193" i="28"/>
  <c r="EJ194" i="28"/>
  <c r="EJ195" i="28"/>
  <c r="EJ196" i="28"/>
  <c r="EJ197" i="28"/>
  <c r="EJ198" i="28"/>
  <c r="EJ199" i="28"/>
  <c r="EJ200" i="28"/>
  <c r="EJ201" i="28"/>
  <c r="EJ202" i="28"/>
  <c r="EJ203" i="28"/>
  <c r="EJ204" i="28"/>
  <c r="AT199" i="28"/>
  <c r="AU118" i="28"/>
  <c r="AU119" i="28"/>
  <c r="AU120" i="28"/>
  <c r="AU121" i="28"/>
  <c r="AU122" i="28"/>
  <c r="AU124" i="28"/>
  <c r="AU125" i="28"/>
  <c r="AU126" i="28"/>
  <c r="AU127" i="28"/>
  <c r="AU128" i="28"/>
  <c r="AU129" i="28"/>
  <c r="AU130" i="28"/>
  <c r="AU131" i="28"/>
  <c r="AU132" i="28"/>
  <c r="AU133" i="28"/>
  <c r="AU134" i="28"/>
  <c r="AU135" i="28"/>
  <c r="AU136" i="28"/>
  <c r="AU137" i="28"/>
  <c r="AU138" i="28"/>
  <c r="AU139" i="28"/>
  <c r="AU140" i="28"/>
  <c r="AU141" i="28"/>
  <c r="AU142" i="28"/>
  <c r="AU143" i="28"/>
  <c r="AU144" i="28"/>
  <c r="AU145" i="28"/>
  <c r="AU146" i="28"/>
  <c r="AU147" i="28"/>
  <c r="AU148" i="28"/>
  <c r="AU149" i="28"/>
  <c r="AU150" i="28"/>
  <c r="AU151" i="28"/>
  <c r="AU152" i="28"/>
  <c r="AU153" i="28"/>
  <c r="AU154" i="28"/>
  <c r="AU155" i="28"/>
  <c r="AU156" i="28"/>
  <c r="AU157" i="28"/>
  <c r="AU158" i="28"/>
  <c r="AU159" i="28"/>
  <c r="AU161" i="28"/>
  <c r="AU162" i="28"/>
  <c r="AU163" i="28"/>
  <c r="AU164" i="28"/>
  <c r="AU165" i="28"/>
  <c r="AU166" i="28"/>
  <c r="AU167" i="28"/>
  <c r="AU168" i="28"/>
  <c r="AU169" i="28"/>
  <c r="AU170" i="28"/>
  <c r="AU171" i="28"/>
  <c r="AU172" i="28"/>
  <c r="AU173" i="28"/>
  <c r="AU174" i="28"/>
  <c r="AU175" i="28"/>
  <c r="AU176" i="28"/>
  <c r="AU177" i="28"/>
  <c r="AU178" i="28"/>
  <c r="AU179" i="28"/>
  <c r="AU180" i="28"/>
  <c r="AU181" i="28"/>
  <c r="AU182" i="28"/>
  <c r="AU183" i="28"/>
  <c r="AU184" i="28"/>
  <c r="AU185" i="28"/>
  <c r="AU186" i="28"/>
  <c r="AU187" i="28"/>
  <c r="AU188" i="28"/>
  <c r="AU189" i="28"/>
  <c r="AU190" i="28"/>
  <c r="AU191" i="28"/>
  <c r="AU192" i="28"/>
  <c r="AU193" i="28"/>
  <c r="AU194" i="28"/>
  <c r="AU195" i="28"/>
  <c r="AU196" i="28"/>
  <c r="AU197" i="28"/>
  <c r="AU198" i="28"/>
  <c r="AU199" i="28"/>
  <c r="AU200" i="28"/>
  <c r="AU201" i="28"/>
  <c r="AU202" i="28"/>
  <c r="AU203" i="28"/>
  <c r="AU204" i="28"/>
  <c r="AU206" i="28"/>
  <c r="AT118" i="28"/>
  <c r="AT119" i="28"/>
  <c r="AT120" i="28"/>
  <c r="AT121" i="28"/>
  <c r="AT122" i="28"/>
  <c r="AT124" i="28"/>
  <c r="AT125" i="28"/>
  <c r="AT126" i="28"/>
  <c r="AT127" i="28"/>
  <c r="AT128" i="28"/>
  <c r="AT129" i="28"/>
  <c r="AT130" i="28"/>
  <c r="AT131" i="28"/>
  <c r="AT132" i="28"/>
  <c r="AT133" i="28"/>
  <c r="AT134" i="28"/>
  <c r="AT135" i="28"/>
  <c r="AT136" i="28"/>
  <c r="AT137" i="28"/>
  <c r="AT138" i="28"/>
  <c r="AT139" i="28"/>
  <c r="AT140" i="28"/>
  <c r="AT141" i="28"/>
  <c r="AT142" i="28"/>
  <c r="AT143" i="28"/>
  <c r="AT144" i="28"/>
  <c r="AT145" i="28"/>
  <c r="AT146" i="28"/>
  <c r="AT147" i="28"/>
  <c r="AT148" i="28"/>
  <c r="AT149" i="28"/>
  <c r="AT150" i="28"/>
  <c r="AT151" i="28"/>
  <c r="AT152" i="28"/>
  <c r="AT153" i="28"/>
  <c r="AT154" i="28"/>
  <c r="AT155" i="28"/>
  <c r="AT156" i="28"/>
  <c r="AT157" i="28"/>
  <c r="AT158" i="28"/>
  <c r="AT159" i="28"/>
  <c r="AT161" i="28"/>
  <c r="AT162" i="28"/>
  <c r="AT163" i="28"/>
  <c r="AT164" i="28"/>
  <c r="AT165" i="28"/>
  <c r="AT166" i="28"/>
  <c r="AT167" i="28"/>
  <c r="AT168" i="28"/>
  <c r="AT169" i="28"/>
  <c r="AT170" i="28"/>
  <c r="AT171" i="28"/>
  <c r="AT172" i="28"/>
  <c r="AT173" i="28"/>
  <c r="AT174" i="28"/>
  <c r="AT175" i="28"/>
  <c r="AT176" i="28"/>
  <c r="AT177" i="28"/>
  <c r="AT178" i="28"/>
  <c r="AT179" i="28"/>
  <c r="AT180" i="28"/>
  <c r="AT181" i="28"/>
  <c r="AT182" i="28"/>
  <c r="AT183" i="28"/>
  <c r="AT184" i="28"/>
  <c r="AT185" i="28"/>
  <c r="AT186" i="28"/>
  <c r="AT187" i="28"/>
  <c r="AT188" i="28"/>
  <c r="AT189" i="28"/>
  <c r="AT190" i="28"/>
  <c r="AT191" i="28"/>
  <c r="AT192" i="28"/>
  <c r="AT193" i="28"/>
  <c r="AT194" i="28"/>
  <c r="AT195" i="28"/>
  <c r="AT196" i="28"/>
  <c r="AT197" i="28"/>
  <c r="AT198" i="28"/>
  <c r="AT200" i="28"/>
  <c r="AT201" i="28"/>
  <c r="AT202" i="28"/>
  <c r="AT203" i="28"/>
  <c r="AT204" i="28"/>
  <c r="AS118" i="28"/>
  <c r="AS119" i="28"/>
  <c r="AS120" i="28"/>
  <c r="AS121" i="28"/>
  <c r="AS122" i="28"/>
  <c r="AS124" i="28"/>
  <c r="AS125" i="28"/>
  <c r="AS126" i="28"/>
  <c r="AS127" i="28"/>
  <c r="AS128" i="28"/>
  <c r="AS129" i="28"/>
  <c r="AS130" i="28"/>
  <c r="AS131" i="28"/>
  <c r="AS132" i="28"/>
  <c r="AS133" i="28"/>
  <c r="AS134" i="28"/>
  <c r="AS135" i="28"/>
  <c r="AS136" i="28"/>
  <c r="AS137" i="28"/>
  <c r="AS138" i="28"/>
  <c r="AS139" i="28"/>
  <c r="AS140" i="28"/>
  <c r="AS141" i="28"/>
  <c r="AS142" i="28"/>
  <c r="AS143" i="28"/>
  <c r="AS144" i="28"/>
  <c r="AS145" i="28"/>
  <c r="AS146" i="28"/>
  <c r="AS147" i="28"/>
  <c r="AS148" i="28"/>
  <c r="AS149" i="28"/>
  <c r="AS150" i="28"/>
  <c r="AS151" i="28"/>
  <c r="AS152" i="28"/>
  <c r="AS153" i="28"/>
  <c r="AS154" i="28"/>
  <c r="AS155" i="28"/>
  <c r="AS156" i="28"/>
  <c r="AS157" i="28"/>
  <c r="AS158" i="28"/>
  <c r="AS159" i="28"/>
  <c r="AS161" i="28"/>
  <c r="AS162" i="28"/>
  <c r="AS163" i="28"/>
  <c r="AS164" i="28"/>
  <c r="AS165" i="28"/>
  <c r="AS166" i="28"/>
  <c r="AS167" i="28"/>
  <c r="AS168" i="28"/>
  <c r="AS169" i="28"/>
  <c r="AS170" i="28"/>
  <c r="AS171" i="28"/>
  <c r="AS172" i="28"/>
  <c r="AS173" i="28"/>
  <c r="AS174" i="28"/>
  <c r="AS175" i="28"/>
  <c r="AS176" i="28"/>
  <c r="AS177" i="28"/>
  <c r="AS178" i="28"/>
  <c r="AS179" i="28"/>
  <c r="AS180" i="28"/>
  <c r="AS181" i="28"/>
  <c r="AS182" i="28"/>
  <c r="AS183" i="28"/>
  <c r="AS184" i="28"/>
  <c r="AS185" i="28"/>
  <c r="AS186" i="28"/>
  <c r="AS187" i="28"/>
  <c r="AS188" i="28"/>
  <c r="AS189" i="28"/>
  <c r="AS190" i="28"/>
  <c r="AS191" i="28"/>
  <c r="AS192" i="28"/>
  <c r="AS193" i="28"/>
  <c r="AS194" i="28"/>
  <c r="AS195" i="28"/>
  <c r="AS196" i="28"/>
  <c r="AS197" i="28"/>
  <c r="AS198" i="28"/>
  <c r="AS199" i="28"/>
  <c r="AS200" i="28"/>
  <c r="AS201" i="28"/>
  <c r="AS202" i="28"/>
  <c r="AS203" i="28"/>
  <c r="AS204" i="28"/>
  <c r="AS206" i="28"/>
  <c r="AR118" i="28"/>
  <c r="AR119" i="28"/>
  <c r="AR120" i="28"/>
  <c r="AR121" i="28"/>
  <c r="AR122" i="28"/>
  <c r="AR123" i="28"/>
  <c r="AR124" i="28"/>
  <c r="AR125" i="28"/>
  <c r="AR126" i="28"/>
  <c r="AR127" i="28"/>
  <c r="AR128" i="28"/>
  <c r="AR129" i="28"/>
  <c r="AR130" i="28"/>
  <c r="AR131" i="28"/>
  <c r="AR132" i="28"/>
  <c r="AR133" i="28"/>
  <c r="AR134" i="28"/>
  <c r="AR135" i="28"/>
  <c r="AR136" i="28"/>
  <c r="AR140" i="28"/>
  <c r="T51" i="26"/>
  <c r="AR137" i="28"/>
  <c r="AR138" i="28"/>
  <c r="AR139" i="28"/>
  <c r="AR141" i="28"/>
  <c r="AR142" i="28"/>
  <c r="AR143" i="28"/>
  <c r="AR144" i="28"/>
  <c r="AR145" i="28"/>
  <c r="AR146" i="28"/>
  <c r="AR147" i="28"/>
  <c r="AR148" i="28"/>
  <c r="AR149" i="28"/>
  <c r="AR150" i="28"/>
  <c r="AR151" i="28"/>
  <c r="AR152" i="28"/>
  <c r="AR153" i="28"/>
  <c r="AR154" i="28"/>
  <c r="AR155" i="28"/>
  <c r="AR156" i="28"/>
  <c r="AR157" i="28"/>
  <c r="AR158" i="28"/>
  <c r="AR159" i="28"/>
  <c r="AR161" i="28"/>
  <c r="AR162" i="28"/>
  <c r="AR163" i="28"/>
  <c r="AR164" i="28"/>
  <c r="AR165" i="28"/>
  <c r="AR166" i="28"/>
  <c r="AR167" i="28"/>
  <c r="AR168" i="28"/>
  <c r="AR169" i="28"/>
  <c r="AR170" i="28"/>
  <c r="AR171" i="28"/>
  <c r="AR172" i="28"/>
  <c r="AR173" i="28"/>
  <c r="AR174" i="28"/>
  <c r="AR175" i="28"/>
  <c r="AR176" i="28"/>
  <c r="AR177" i="28"/>
  <c r="AR178" i="28"/>
  <c r="AR179" i="28"/>
  <c r="AR180" i="28"/>
  <c r="AR181" i="28"/>
  <c r="AR182" i="28"/>
  <c r="AR183" i="28"/>
  <c r="AR184" i="28"/>
  <c r="AR185" i="28"/>
  <c r="AR186" i="28"/>
  <c r="AR187" i="28"/>
  <c r="AR188" i="28"/>
  <c r="AR189" i="28"/>
  <c r="AR190" i="28"/>
  <c r="AR191" i="28"/>
  <c r="AR192" i="28"/>
  <c r="AR193" i="28"/>
  <c r="AR194" i="28"/>
  <c r="AR195" i="28"/>
  <c r="AR196" i="28"/>
  <c r="AR197" i="28"/>
  <c r="AR198" i="28"/>
  <c r="AR199" i="28"/>
  <c r="AR200" i="28"/>
  <c r="AR201" i="28"/>
  <c r="AR202" i="28"/>
  <c r="AR203" i="28"/>
  <c r="AR204" i="28"/>
  <c r="AU205" i="28"/>
  <c r="HC116" i="28"/>
  <c r="W58" i="26"/>
  <c r="V58" i="26"/>
  <c r="U58" i="26"/>
  <c r="W57" i="26"/>
  <c r="V57" i="26"/>
  <c r="U57" i="26"/>
  <c r="W56" i="26"/>
  <c r="V56" i="26"/>
  <c r="GE116" i="28"/>
  <c r="GE117" i="28"/>
  <c r="GE118" i="28"/>
  <c r="GE119" i="28"/>
  <c r="GE120" i="28"/>
  <c r="GE121" i="28"/>
  <c r="GE122" i="28"/>
  <c r="GE123" i="28"/>
  <c r="GE124" i="28"/>
  <c r="GE125" i="28"/>
  <c r="GE126" i="28"/>
  <c r="GE127" i="28"/>
  <c r="GE128" i="28"/>
  <c r="GE129" i="28"/>
  <c r="GE130" i="28"/>
  <c r="GE131" i="28"/>
  <c r="GE132" i="28"/>
  <c r="GE133" i="28"/>
  <c r="GE134" i="28"/>
  <c r="GE135" i="28"/>
  <c r="GE136" i="28"/>
  <c r="GE137" i="28"/>
  <c r="GE138" i="28"/>
  <c r="GE139" i="28"/>
  <c r="GE140" i="28"/>
  <c r="GE141" i="28"/>
  <c r="GE142" i="28"/>
  <c r="GE143" i="28"/>
  <c r="GE144" i="28"/>
  <c r="GE145" i="28"/>
  <c r="GE146" i="28"/>
  <c r="GE147" i="28"/>
  <c r="GE148" i="28"/>
  <c r="GE149" i="28"/>
  <c r="GE150" i="28"/>
  <c r="GE151" i="28"/>
  <c r="GE152" i="28"/>
  <c r="GE153" i="28"/>
  <c r="GE154" i="28"/>
  <c r="GE155" i="28"/>
  <c r="GE156" i="28"/>
  <c r="GE157" i="28"/>
  <c r="GE158" i="28"/>
  <c r="GE159" i="28"/>
  <c r="GE160" i="28"/>
  <c r="GE161" i="28"/>
  <c r="GE162" i="28"/>
  <c r="GE163" i="28"/>
  <c r="GE164" i="28"/>
  <c r="GE165" i="28"/>
  <c r="GE166" i="28"/>
  <c r="GE167" i="28"/>
  <c r="GE168" i="28"/>
  <c r="GE169" i="28"/>
  <c r="GE170" i="28"/>
  <c r="GE171" i="28"/>
  <c r="GE172" i="28"/>
  <c r="GE173" i="28"/>
  <c r="GE174" i="28"/>
  <c r="GE175" i="28"/>
  <c r="GE176" i="28"/>
  <c r="GE177" i="28"/>
  <c r="GE178" i="28"/>
  <c r="GE179" i="28"/>
  <c r="GE180" i="28"/>
  <c r="GE181" i="28"/>
  <c r="GE182" i="28"/>
  <c r="GE183" i="28"/>
  <c r="GE184" i="28"/>
  <c r="GE185" i="28"/>
  <c r="GE186" i="28"/>
  <c r="GE187" i="28"/>
  <c r="GE188" i="28"/>
  <c r="GE189" i="28"/>
  <c r="GE190" i="28"/>
  <c r="GE191" i="28"/>
  <c r="GE192" i="28"/>
  <c r="GE193" i="28"/>
  <c r="GE194" i="28"/>
  <c r="GE195" i="28"/>
  <c r="GE196" i="28"/>
  <c r="GE197" i="28"/>
  <c r="GE198" i="28"/>
  <c r="GE199" i="28"/>
  <c r="GE200" i="28"/>
  <c r="GE201" i="28"/>
  <c r="GE202" i="28"/>
  <c r="GE203" i="28"/>
  <c r="GE204" i="28"/>
  <c r="GE205" i="28"/>
  <c r="W55" i="26"/>
  <c r="U55" i="26"/>
  <c r="T55" i="26"/>
  <c r="W54" i="26"/>
  <c r="U54" i="26"/>
  <c r="W53" i="26"/>
  <c r="V53" i="26"/>
  <c r="U53" i="26"/>
  <c r="T53" i="26"/>
  <c r="W52" i="26"/>
  <c r="V52" i="26"/>
  <c r="U52" i="26"/>
  <c r="W51" i="26"/>
  <c r="V51" i="26"/>
  <c r="U51" i="26"/>
  <c r="W34" i="26"/>
  <c r="V34" i="26"/>
  <c r="U34" i="26"/>
  <c r="T34" i="26"/>
  <c r="W33" i="26"/>
  <c r="V33" i="26"/>
  <c r="U33" i="26"/>
  <c r="T33" i="26"/>
  <c r="S33" i="26"/>
  <c r="GM116" i="28"/>
  <c r="GM117" i="28"/>
  <c r="GM118" i="28"/>
  <c r="GM119" i="28"/>
  <c r="GM120" i="28"/>
  <c r="GM121" i="28"/>
  <c r="GM122" i="28"/>
  <c r="GM123" i="28"/>
  <c r="GM124" i="28"/>
  <c r="GM125" i="28"/>
  <c r="GM126" i="28"/>
  <c r="GM127" i="28"/>
  <c r="GM128" i="28"/>
  <c r="GM129" i="28"/>
  <c r="GM130" i="28"/>
  <c r="GM131" i="28"/>
  <c r="GM132" i="28"/>
  <c r="GM133" i="28"/>
  <c r="GM134" i="28"/>
  <c r="GM135" i="28"/>
  <c r="GM136" i="28"/>
  <c r="GM137" i="28"/>
  <c r="GM138" i="28"/>
  <c r="GM139" i="28"/>
  <c r="GM140" i="28"/>
  <c r="GM141" i="28"/>
  <c r="GM142" i="28"/>
  <c r="GM143" i="28"/>
  <c r="GM144" i="28"/>
  <c r="GM145" i="28"/>
  <c r="GM146" i="28"/>
  <c r="GM147" i="28"/>
  <c r="GM148" i="28"/>
  <c r="GM149" i="28"/>
  <c r="GM150" i="28"/>
  <c r="GM151" i="28"/>
  <c r="GM152" i="28"/>
  <c r="GM153" i="28"/>
  <c r="GM154" i="28"/>
  <c r="GM155" i="28"/>
  <c r="GM156" i="28"/>
  <c r="GM157" i="28"/>
  <c r="GM158" i="28"/>
  <c r="GM159" i="28"/>
  <c r="GM160" i="28"/>
  <c r="GM161" i="28"/>
  <c r="GM162" i="28"/>
  <c r="GM163" i="28"/>
  <c r="GM164" i="28"/>
  <c r="GM165" i="28"/>
  <c r="GM166" i="28"/>
  <c r="GM167" i="28"/>
  <c r="GM168" i="28"/>
  <c r="GM169" i="28"/>
  <c r="GM170" i="28"/>
  <c r="GM171" i="28"/>
  <c r="GM172" i="28"/>
  <c r="GM173" i="28"/>
  <c r="GM174" i="28"/>
  <c r="GM175" i="28"/>
  <c r="GM176" i="28"/>
  <c r="GM177" i="28"/>
  <c r="GM178" i="28"/>
  <c r="GM179" i="28"/>
  <c r="GM180" i="28"/>
  <c r="GM181" i="28"/>
  <c r="GM182" i="28"/>
  <c r="GM183" i="28"/>
  <c r="GM184" i="28"/>
  <c r="GM185" i="28"/>
  <c r="GM186" i="28"/>
  <c r="GM187" i="28"/>
  <c r="GM188" i="28"/>
  <c r="GM189" i="28"/>
  <c r="GM190" i="28"/>
  <c r="GM191" i="28"/>
  <c r="GM192" i="28"/>
  <c r="GM193" i="28"/>
  <c r="GM194" i="28"/>
  <c r="GM195" i="28"/>
  <c r="GM196" i="28"/>
  <c r="GM197" i="28"/>
  <c r="GM198" i="28"/>
  <c r="GM199" i="28"/>
  <c r="GM200" i="28"/>
  <c r="GM201" i="28"/>
  <c r="GM202" i="28"/>
  <c r="GM203" i="28"/>
  <c r="GM204" i="28"/>
  <c r="GM206" i="28"/>
  <c r="GL118" i="28"/>
  <c r="GL119" i="28"/>
  <c r="GL120" i="28"/>
  <c r="GL121" i="28"/>
  <c r="GL122" i="28"/>
  <c r="GL123" i="28"/>
  <c r="GL124" i="28"/>
  <c r="GL125" i="28"/>
  <c r="GL126" i="28"/>
  <c r="GL128" i="28"/>
  <c r="GL129" i="28"/>
  <c r="GL130" i="28"/>
  <c r="GL131" i="28"/>
  <c r="GL132" i="28"/>
  <c r="GL133" i="28"/>
  <c r="GL134" i="28"/>
  <c r="GL135" i="28"/>
  <c r="GL136" i="28"/>
  <c r="GL137" i="28"/>
  <c r="GL138" i="28"/>
  <c r="GL139" i="28"/>
  <c r="GL140" i="28"/>
  <c r="GL141" i="28"/>
  <c r="GL142" i="28"/>
  <c r="GL143" i="28"/>
  <c r="GL144" i="28"/>
  <c r="GL145" i="28"/>
  <c r="GL146" i="28"/>
  <c r="GL147" i="28"/>
  <c r="GL148" i="28"/>
  <c r="GL149" i="28"/>
  <c r="GL150" i="28"/>
  <c r="GL151" i="28"/>
  <c r="GL152" i="28"/>
  <c r="GL153" i="28"/>
  <c r="GL154" i="28"/>
  <c r="GL155" i="28"/>
  <c r="GL156" i="28"/>
  <c r="GL157" i="28"/>
  <c r="GL158" i="28"/>
  <c r="GL159" i="28"/>
  <c r="GL161" i="28"/>
  <c r="GL162" i="28"/>
  <c r="GL163" i="28"/>
  <c r="GL164" i="28"/>
  <c r="GL165" i="28"/>
  <c r="GL166" i="28"/>
  <c r="GL167" i="28"/>
  <c r="GL168" i="28"/>
  <c r="GL169" i="28"/>
  <c r="GL170" i="28"/>
  <c r="GL171" i="28"/>
  <c r="GL172" i="28"/>
  <c r="GL173" i="28"/>
  <c r="GL174" i="28"/>
  <c r="GL175" i="28"/>
  <c r="GL176" i="28"/>
  <c r="GL177" i="28"/>
  <c r="GL178" i="28"/>
  <c r="GL179" i="28"/>
  <c r="GL180" i="28"/>
  <c r="GL181" i="28"/>
  <c r="GL182" i="28"/>
  <c r="GL183" i="28"/>
  <c r="GL184" i="28"/>
  <c r="GL185" i="28"/>
  <c r="GL186" i="28"/>
  <c r="GL187" i="28"/>
  <c r="GL188" i="28"/>
  <c r="GL189" i="28"/>
  <c r="GL190" i="28"/>
  <c r="GL191" i="28"/>
  <c r="GL192" i="28"/>
  <c r="GL193" i="28"/>
  <c r="GL194" i="28"/>
  <c r="GL195" i="28"/>
  <c r="GL196" i="28"/>
  <c r="GL197" i="28"/>
  <c r="GL198" i="28"/>
  <c r="GL199" i="28"/>
  <c r="GL200" i="28"/>
  <c r="GL201" i="28"/>
  <c r="GL202" i="28"/>
  <c r="GL203" i="28"/>
  <c r="GL204" i="28"/>
  <c r="GL206" i="28"/>
  <c r="B58" i="26"/>
  <c r="GL205" i="28"/>
  <c r="HC117" i="28"/>
  <c r="HC118" i="28"/>
  <c r="HC119" i="28"/>
  <c r="HC120" i="28"/>
  <c r="HC121" i="28"/>
  <c r="HC122" i="28"/>
  <c r="HC123" i="28"/>
  <c r="HC124" i="28"/>
  <c r="HC125" i="28"/>
  <c r="HC126" i="28"/>
  <c r="HC127" i="28"/>
  <c r="HC128" i="28"/>
  <c r="HC129" i="28"/>
  <c r="HC130" i="28"/>
  <c r="HC131" i="28"/>
  <c r="HC132" i="28"/>
  <c r="HC133" i="28"/>
  <c r="HC134" i="28"/>
  <c r="HC135" i="28"/>
  <c r="HC136" i="28"/>
  <c r="HC137" i="28"/>
  <c r="HC138" i="28"/>
  <c r="HC139" i="28"/>
  <c r="HC140" i="28"/>
  <c r="HC141" i="28"/>
  <c r="HC142" i="28"/>
  <c r="HC143" i="28"/>
  <c r="HC144" i="28"/>
  <c r="HC145" i="28"/>
  <c r="HC146" i="28"/>
  <c r="HC147" i="28"/>
  <c r="HC148" i="28"/>
  <c r="HC149" i="28"/>
  <c r="HC150" i="28"/>
  <c r="HC151" i="28"/>
  <c r="HC152" i="28"/>
  <c r="HC153" i="28"/>
  <c r="HC154" i="28"/>
  <c r="HC155" i="28"/>
  <c r="HC156" i="28"/>
  <c r="HC157" i="28"/>
  <c r="HC158" i="28"/>
  <c r="HC159" i="28"/>
  <c r="HC160" i="28"/>
  <c r="HC161" i="28"/>
  <c r="HC162" i="28"/>
  <c r="HC163" i="28"/>
  <c r="HC164" i="28"/>
  <c r="HC165" i="28"/>
  <c r="HC166" i="28"/>
  <c r="HC167" i="28"/>
  <c r="HC168" i="28"/>
  <c r="HC169" i="28"/>
  <c r="HC170" i="28"/>
  <c r="HC171" i="28"/>
  <c r="HC172" i="28"/>
  <c r="HC173" i="28"/>
  <c r="HC174" i="28"/>
  <c r="HC175" i="28"/>
  <c r="HC176" i="28"/>
  <c r="HC177" i="28"/>
  <c r="HC178" i="28"/>
  <c r="HC179" i="28"/>
  <c r="HC180" i="28"/>
  <c r="HC181" i="28"/>
  <c r="HC182" i="28"/>
  <c r="HC183" i="28"/>
  <c r="HC184" i="28"/>
  <c r="HC185" i="28"/>
  <c r="HC186" i="28"/>
  <c r="HC187" i="28"/>
  <c r="HC188" i="28"/>
  <c r="HC189" i="28"/>
  <c r="HC190" i="28"/>
  <c r="HC191" i="28"/>
  <c r="HC192" i="28"/>
  <c r="HC193" i="28"/>
  <c r="HC194" i="28"/>
  <c r="HC195" i="28"/>
  <c r="HC196" i="28"/>
  <c r="HC197" i="28"/>
  <c r="HC198" i="28"/>
  <c r="HC199" i="28"/>
  <c r="HC200" i="28"/>
  <c r="HC201" i="28"/>
  <c r="HC202" i="28"/>
  <c r="HC203" i="28"/>
  <c r="HC204" i="28"/>
  <c r="HC206" i="28"/>
  <c r="HB116" i="28"/>
  <c r="HB117" i="28"/>
  <c r="HB118" i="28"/>
  <c r="HB119" i="28"/>
  <c r="HB120" i="28"/>
  <c r="HB121" i="28"/>
  <c r="HB122" i="28"/>
  <c r="HB123" i="28"/>
  <c r="HB124" i="28"/>
  <c r="HB125" i="28"/>
  <c r="HB126" i="28"/>
  <c r="HB127" i="28"/>
  <c r="HB128" i="28"/>
  <c r="HB129" i="28"/>
  <c r="HB130" i="28"/>
  <c r="HB131" i="28"/>
  <c r="HB132" i="28"/>
  <c r="HB133" i="28"/>
  <c r="HB134" i="28"/>
  <c r="HB135" i="28"/>
  <c r="HB136" i="28"/>
  <c r="HB137" i="28"/>
  <c r="HB138" i="28"/>
  <c r="HB139" i="28"/>
  <c r="HB140" i="28"/>
  <c r="HB141" i="28"/>
  <c r="HB142" i="28"/>
  <c r="HB143" i="28"/>
  <c r="HB144" i="28"/>
  <c r="HB145" i="28"/>
  <c r="HB146" i="28"/>
  <c r="HB147" i="28"/>
  <c r="HB148" i="28"/>
  <c r="HB149" i="28"/>
  <c r="HB150" i="28"/>
  <c r="HB151" i="28"/>
  <c r="HB152" i="28"/>
  <c r="HB153" i="28"/>
  <c r="HB154" i="28"/>
  <c r="HB155" i="28"/>
  <c r="HB156" i="28"/>
  <c r="HB157" i="28"/>
  <c r="HB158" i="28"/>
  <c r="HB159" i="28"/>
  <c r="HB160" i="28"/>
  <c r="HB161" i="28"/>
  <c r="HB162" i="28"/>
  <c r="HB163" i="28"/>
  <c r="HB164" i="28"/>
  <c r="HB165" i="28"/>
  <c r="HB166" i="28"/>
  <c r="HB167" i="28"/>
  <c r="HB168" i="28"/>
  <c r="HB169" i="28"/>
  <c r="HB170" i="28"/>
  <c r="HB171" i="28"/>
  <c r="HB172" i="28"/>
  <c r="HB173" i="28"/>
  <c r="HB174" i="28"/>
  <c r="HB175" i="28"/>
  <c r="HB176" i="28"/>
  <c r="HB177" i="28"/>
  <c r="HB178" i="28"/>
  <c r="HB179" i="28"/>
  <c r="HB180" i="28"/>
  <c r="HB181" i="28"/>
  <c r="HB182" i="28"/>
  <c r="HB183" i="28"/>
  <c r="HB184" i="28"/>
  <c r="HB185" i="28"/>
  <c r="HB186" i="28"/>
  <c r="HB187" i="28"/>
  <c r="HB188" i="28"/>
  <c r="HB189" i="28"/>
  <c r="HB190" i="28"/>
  <c r="HB191" i="28"/>
  <c r="HB192" i="28"/>
  <c r="HB193" i="28"/>
  <c r="HB194" i="28"/>
  <c r="HB195" i="28"/>
  <c r="HB196" i="28"/>
  <c r="HB197" i="28"/>
  <c r="HB198" i="28"/>
  <c r="HB199" i="28"/>
  <c r="HB200" i="28"/>
  <c r="HB201" i="28"/>
  <c r="HB202" i="28"/>
  <c r="HB203" i="28"/>
  <c r="HB204" i="28"/>
  <c r="HA116" i="28"/>
  <c r="HA117" i="28"/>
  <c r="HA118" i="28"/>
  <c r="HA119" i="28"/>
  <c r="HA120" i="28"/>
  <c r="HA121" i="28"/>
  <c r="HA122" i="28"/>
  <c r="HA123" i="28"/>
  <c r="HA124" i="28"/>
  <c r="HA125" i="28"/>
  <c r="HA126" i="28"/>
  <c r="HA127" i="28"/>
  <c r="HA128" i="28"/>
  <c r="HA129" i="28"/>
  <c r="HA130" i="28"/>
  <c r="HA131" i="28"/>
  <c r="HA132" i="28"/>
  <c r="HA133" i="28"/>
  <c r="HA134" i="28"/>
  <c r="HA135" i="28"/>
  <c r="HA136" i="28"/>
  <c r="HA137" i="28"/>
  <c r="HA138" i="28"/>
  <c r="HA139" i="28"/>
  <c r="HA140" i="28"/>
  <c r="HA141" i="28"/>
  <c r="HA142" i="28"/>
  <c r="HA143" i="28"/>
  <c r="HA144" i="28"/>
  <c r="HA145" i="28"/>
  <c r="HA146" i="28"/>
  <c r="HA147" i="28"/>
  <c r="HA148" i="28"/>
  <c r="HA149" i="28"/>
  <c r="HA150" i="28"/>
  <c r="HA151" i="28"/>
  <c r="HA152" i="28"/>
  <c r="HA153" i="28"/>
  <c r="HA154" i="28"/>
  <c r="HA155" i="28"/>
  <c r="HA156" i="28"/>
  <c r="HA157" i="28"/>
  <c r="HA158" i="28"/>
  <c r="HA159" i="28"/>
  <c r="HA160" i="28"/>
  <c r="HA161" i="28"/>
  <c r="HA162" i="28"/>
  <c r="HA163" i="28"/>
  <c r="HA164" i="28"/>
  <c r="HA165" i="28"/>
  <c r="HA166" i="28"/>
  <c r="HA167" i="28"/>
  <c r="HA168" i="28"/>
  <c r="HA169" i="28"/>
  <c r="HA170" i="28"/>
  <c r="HA171" i="28"/>
  <c r="HA172" i="28"/>
  <c r="HA173" i="28"/>
  <c r="HA174" i="28"/>
  <c r="HA175" i="28"/>
  <c r="HA176" i="28"/>
  <c r="HA177" i="28"/>
  <c r="HA178" i="28"/>
  <c r="HA179" i="28"/>
  <c r="HA180" i="28"/>
  <c r="HA181" i="28"/>
  <c r="HA182" i="28"/>
  <c r="HA183" i="28"/>
  <c r="HA184" i="28"/>
  <c r="HA185" i="28"/>
  <c r="HA186" i="28"/>
  <c r="HA187" i="28"/>
  <c r="HA188" i="28"/>
  <c r="HA189" i="28"/>
  <c r="HA190" i="28"/>
  <c r="HA191" i="28"/>
  <c r="HA192" i="28"/>
  <c r="HA193" i="28"/>
  <c r="HA194" i="28"/>
  <c r="HA195" i="28"/>
  <c r="HA196" i="28"/>
  <c r="HA197" i="28"/>
  <c r="HA198" i="28"/>
  <c r="HA199" i="28"/>
  <c r="HA200" i="28"/>
  <c r="HA201" i="28"/>
  <c r="HA202" i="28"/>
  <c r="HA203" i="28"/>
  <c r="HA204" i="28"/>
  <c r="HA206" i="28"/>
  <c r="GZ116" i="28"/>
  <c r="GZ117" i="28"/>
  <c r="GZ118" i="28"/>
  <c r="GZ119" i="28"/>
  <c r="GZ120" i="28"/>
  <c r="GZ121" i="28"/>
  <c r="GZ122" i="28"/>
  <c r="GZ123" i="28"/>
  <c r="GZ124" i="28"/>
  <c r="GZ125" i="28"/>
  <c r="GZ126" i="28"/>
  <c r="GZ127" i="28"/>
  <c r="GZ128" i="28"/>
  <c r="GZ129" i="28"/>
  <c r="GZ130" i="28"/>
  <c r="GZ131" i="28"/>
  <c r="GZ132" i="28"/>
  <c r="GZ133" i="28"/>
  <c r="GZ134" i="28"/>
  <c r="GZ135" i="28"/>
  <c r="GZ136" i="28"/>
  <c r="GZ137" i="28"/>
  <c r="GZ138" i="28"/>
  <c r="GZ139" i="28"/>
  <c r="GZ140" i="28"/>
  <c r="GZ141" i="28"/>
  <c r="GZ142" i="28"/>
  <c r="GZ143" i="28"/>
  <c r="GZ144" i="28"/>
  <c r="GZ145" i="28"/>
  <c r="GZ146" i="28"/>
  <c r="GZ147" i="28"/>
  <c r="GZ148" i="28"/>
  <c r="GZ149" i="28"/>
  <c r="GZ150" i="28"/>
  <c r="GZ151" i="28"/>
  <c r="GZ152" i="28"/>
  <c r="GZ153" i="28"/>
  <c r="GZ154" i="28"/>
  <c r="GZ155" i="28"/>
  <c r="GZ156" i="28"/>
  <c r="GZ157" i="28"/>
  <c r="GZ158" i="28"/>
  <c r="GZ159" i="28"/>
  <c r="GZ160" i="28"/>
  <c r="GZ161" i="28"/>
  <c r="GZ162" i="28"/>
  <c r="GZ163" i="28"/>
  <c r="GZ164" i="28"/>
  <c r="GZ165" i="28"/>
  <c r="GZ166" i="28"/>
  <c r="GZ167" i="28"/>
  <c r="GZ168" i="28"/>
  <c r="GZ169" i="28"/>
  <c r="GZ170" i="28"/>
  <c r="GZ171" i="28"/>
  <c r="GZ172" i="28"/>
  <c r="GZ173" i="28"/>
  <c r="GZ174" i="28"/>
  <c r="GZ175" i="28"/>
  <c r="GZ176" i="28"/>
  <c r="GZ177" i="28"/>
  <c r="GZ178" i="28"/>
  <c r="GZ179" i="28"/>
  <c r="GZ180" i="28"/>
  <c r="GZ181" i="28"/>
  <c r="GZ182" i="28"/>
  <c r="GZ183" i="28"/>
  <c r="GZ184" i="28"/>
  <c r="GZ185" i="28"/>
  <c r="GZ186" i="28"/>
  <c r="GZ187" i="28"/>
  <c r="GZ188" i="28"/>
  <c r="GZ189" i="28"/>
  <c r="GZ190" i="28"/>
  <c r="GZ191" i="28"/>
  <c r="GZ192" i="28"/>
  <c r="GZ193" i="28"/>
  <c r="GZ194" i="28"/>
  <c r="GZ195" i="28"/>
  <c r="GZ196" i="28"/>
  <c r="GZ197" i="28"/>
  <c r="GZ198" i="28"/>
  <c r="GZ199" i="28"/>
  <c r="GZ200" i="28"/>
  <c r="GZ201" i="28"/>
  <c r="GZ202" i="28"/>
  <c r="GZ203" i="28"/>
  <c r="GZ204" i="28"/>
  <c r="GZ205" i="28"/>
  <c r="GY116" i="28"/>
  <c r="GY117" i="28"/>
  <c r="GY118" i="28"/>
  <c r="GY119" i="28"/>
  <c r="GY120" i="28"/>
  <c r="GY121" i="28"/>
  <c r="GY122" i="28"/>
  <c r="GY123" i="28"/>
  <c r="GY124" i="28"/>
  <c r="GY125" i="28"/>
  <c r="GY126" i="28"/>
  <c r="GY127" i="28"/>
  <c r="GY128" i="28"/>
  <c r="GY129" i="28"/>
  <c r="GY130" i="28"/>
  <c r="GY131" i="28"/>
  <c r="GY132" i="28"/>
  <c r="GY133" i="28"/>
  <c r="GY134" i="28"/>
  <c r="GY135" i="28"/>
  <c r="GY136" i="28"/>
  <c r="GY137" i="28"/>
  <c r="GY138" i="28"/>
  <c r="GY139" i="28"/>
  <c r="GY140" i="28"/>
  <c r="GY141" i="28"/>
  <c r="GY142" i="28"/>
  <c r="GY143" i="28"/>
  <c r="GY144" i="28"/>
  <c r="GY145" i="28"/>
  <c r="GY146" i="28"/>
  <c r="GY147" i="28"/>
  <c r="GY148" i="28"/>
  <c r="GY149" i="28"/>
  <c r="GY150" i="28"/>
  <c r="GY151" i="28"/>
  <c r="GY152" i="28"/>
  <c r="GY153" i="28"/>
  <c r="GY154" i="28"/>
  <c r="GY155" i="28"/>
  <c r="GY156" i="28"/>
  <c r="GY157" i="28"/>
  <c r="GY158" i="28"/>
  <c r="GY159" i="28"/>
  <c r="GY160" i="28"/>
  <c r="GY161" i="28"/>
  <c r="GY162" i="28"/>
  <c r="GY163" i="28"/>
  <c r="GY164" i="28"/>
  <c r="GY165" i="28"/>
  <c r="GY166" i="28"/>
  <c r="GY167" i="28"/>
  <c r="GY168" i="28"/>
  <c r="GY169" i="28"/>
  <c r="GY170" i="28"/>
  <c r="GY171" i="28"/>
  <c r="GY172" i="28"/>
  <c r="GY173" i="28"/>
  <c r="GY174" i="28"/>
  <c r="GY175" i="28"/>
  <c r="GY176" i="28"/>
  <c r="GY177" i="28"/>
  <c r="GY178" i="28"/>
  <c r="GY179" i="28"/>
  <c r="GY180" i="28"/>
  <c r="GY181" i="28"/>
  <c r="GY182" i="28"/>
  <c r="GY183" i="28"/>
  <c r="GY184" i="28"/>
  <c r="GY185" i="28"/>
  <c r="GY186" i="28"/>
  <c r="GY187" i="28"/>
  <c r="GY188" i="28"/>
  <c r="GY189" i="28"/>
  <c r="GY190" i="28"/>
  <c r="GY191" i="28"/>
  <c r="GY192" i="28"/>
  <c r="GY193" i="28"/>
  <c r="GY194" i="28"/>
  <c r="GY195" i="28"/>
  <c r="GY196" i="28"/>
  <c r="GY197" i="28"/>
  <c r="GY198" i="28"/>
  <c r="GY199" i="28"/>
  <c r="GY200" i="28"/>
  <c r="GY201" i="28"/>
  <c r="GY202" i="28"/>
  <c r="GY203" i="28"/>
  <c r="GY204" i="28"/>
  <c r="GY206" i="28"/>
  <c r="GX116" i="28"/>
  <c r="GX117" i="28"/>
  <c r="GX118" i="28"/>
  <c r="GX119" i="28"/>
  <c r="GX120" i="28"/>
  <c r="GX121" i="28"/>
  <c r="GX122" i="28"/>
  <c r="GX123" i="28"/>
  <c r="GX124" i="28"/>
  <c r="GX125" i="28"/>
  <c r="GX126" i="28"/>
  <c r="GX127" i="28"/>
  <c r="GX128" i="28"/>
  <c r="GX129" i="28"/>
  <c r="GX130" i="28"/>
  <c r="GX131" i="28"/>
  <c r="GX132" i="28"/>
  <c r="GX133" i="28"/>
  <c r="GX134" i="28"/>
  <c r="GX135" i="28"/>
  <c r="GX136" i="28"/>
  <c r="GX137" i="28"/>
  <c r="GX138" i="28"/>
  <c r="GX139" i="28"/>
  <c r="GX140" i="28"/>
  <c r="GX141" i="28"/>
  <c r="GX142" i="28"/>
  <c r="GX143" i="28"/>
  <c r="GX144" i="28"/>
  <c r="GX145" i="28"/>
  <c r="GX146" i="28"/>
  <c r="GX147" i="28"/>
  <c r="GX148" i="28"/>
  <c r="GX149" i="28"/>
  <c r="GX150" i="28"/>
  <c r="GX151" i="28"/>
  <c r="GX152" i="28"/>
  <c r="GX153" i="28"/>
  <c r="GX154" i="28"/>
  <c r="GX155" i="28"/>
  <c r="GX156" i="28"/>
  <c r="GX157" i="28"/>
  <c r="GX158" i="28"/>
  <c r="GX159" i="28"/>
  <c r="GX160" i="28"/>
  <c r="GX161" i="28"/>
  <c r="GX162" i="28"/>
  <c r="GX163" i="28"/>
  <c r="GX164" i="28"/>
  <c r="GX165" i="28"/>
  <c r="GX166" i="28"/>
  <c r="GX167" i="28"/>
  <c r="GX168" i="28"/>
  <c r="GX169" i="28"/>
  <c r="GX170" i="28"/>
  <c r="GX171" i="28"/>
  <c r="GX172" i="28"/>
  <c r="GX173" i="28"/>
  <c r="GX174" i="28"/>
  <c r="GX175" i="28"/>
  <c r="GX176" i="28"/>
  <c r="GX177" i="28"/>
  <c r="GX178" i="28"/>
  <c r="GX179" i="28"/>
  <c r="GX180" i="28"/>
  <c r="GX181" i="28"/>
  <c r="GX182" i="28"/>
  <c r="GX183" i="28"/>
  <c r="GX184" i="28"/>
  <c r="GX185" i="28"/>
  <c r="GX186" i="28"/>
  <c r="GX187" i="28"/>
  <c r="GX188" i="28"/>
  <c r="GX189" i="28"/>
  <c r="GX190" i="28"/>
  <c r="GX191" i="28"/>
  <c r="GX192" i="28"/>
  <c r="GX193" i="28"/>
  <c r="GX194" i="28"/>
  <c r="GX195" i="28"/>
  <c r="GX196" i="28"/>
  <c r="GX197" i="28"/>
  <c r="GX198" i="28"/>
  <c r="GX199" i="28"/>
  <c r="GX200" i="28"/>
  <c r="GX201" i="28"/>
  <c r="GX202" i="28"/>
  <c r="GX203" i="28"/>
  <c r="GX204" i="28"/>
  <c r="GX206" i="28"/>
  <c r="GW116" i="28"/>
  <c r="GW117" i="28"/>
  <c r="GW118" i="28"/>
  <c r="GW119" i="28"/>
  <c r="GW120" i="28"/>
  <c r="GW121" i="28"/>
  <c r="GW122" i="28"/>
  <c r="GW123" i="28"/>
  <c r="GW124" i="28"/>
  <c r="GW125" i="28"/>
  <c r="GW126" i="28"/>
  <c r="GW127" i="28"/>
  <c r="GW128" i="28"/>
  <c r="GW129" i="28"/>
  <c r="GW130" i="28"/>
  <c r="GW131" i="28"/>
  <c r="GW132" i="28"/>
  <c r="GW133" i="28"/>
  <c r="GW134" i="28"/>
  <c r="GW135" i="28"/>
  <c r="GW136" i="28"/>
  <c r="GW137" i="28"/>
  <c r="GW138" i="28"/>
  <c r="GW139" i="28"/>
  <c r="GW140" i="28"/>
  <c r="GW141" i="28"/>
  <c r="GW142" i="28"/>
  <c r="GW143" i="28"/>
  <c r="GW144" i="28"/>
  <c r="GW145" i="28"/>
  <c r="GW146" i="28"/>
  <c r="GW147" i="28"/>
  <c r="GW148" i="28"/>
  <c r="GW149" i="28"/>
  <c r="GW150" i="28"/>
  <c r="GW151" i="28"/>
  <c r="GW152" i="28"/>
  <c r="GW153" i="28"/>
  <c r="GW154" i="28"/>
  <c r="GW155" i="28"/>
  <c r="GW156" i="28"/>
  <c r="GW157" i="28"/>
  <c r="GW158" i="28"/>
  <c r="GW159" i="28"/>
  <c r="GW160" i="28"/>
  <c r="GW161" i="28"/>
  <c r="GW162" i="28"/>
  <c r="GW163" i="28"/>
  <c r="GW164" i="28"/>
  <c r="GW165" i="28"/>
  <c r="GW166" i="28"/>
  <c r="GW167" i="28"/>
  <c r="GW168" i="28"/>
  <c r="GW169" i="28"/>
  <c r="GW170" i="28"/>
  <c r="GW171" i="28"/>
  <c r="GW172" i="28"/>
  <c r="GW173" i="28"/>
  <c r="GW174" i="28"/>
  <c r="GW175" i="28"/>
  <c r="GW176" i="28"/>
  <c r="GW177" i="28"/>
  <c r="GW178" i="28"/>
  <c r="GW179" i="28"/>
  <c r="GW180" i="28"/>
  <c r="GW181" i="28"/>
  <c r="GW182" i="28"/>
  <c r="GW183" i="28"/>
  <c r="GW184" i="28"/>
  <c r="GW185" i="28"/>
  <c r="GW186" i="28"/>
  <c r="GW187" i="28"/>
  <c r="GW188" i="28"/>
  <c r="GW189" i="28"/>
  <c r="GW190" i="28"/>
  <c r="GW191" i="28"/>
  <c r="GW192" i="28"/>
  <c r="GW193" i="28"/>
  <c r="GW194" i="28"/>
  <c r="GW195" i="28"/>
  <c r="GW196" i="28"/>
  <c r="GW197" i="28"/>
  <c r="GW198" i="28"/>
  <c r="GW199" i="28"/>
  <c r="GW200" i="28"/>
  <c r="GW201" i="28"/>
  <c r="GW202" i="28"/>
  <c r="GW203" i="28"/>
  <c r="GW204" i="28"/>
  <c r="GW206" i="28"/>
  <c r="GV116" i="28"/>
  <c r="GV117" i="28"/>
  <c r="GV118" i="28"/>
  <c r="GV119" i="28"/>
  <c r="GV120" i="28"/>
  <c r="GV121" i="28"/>
  <c r="GV122" i="28"/>
  <c r="GV123" i="28"/>
  <c r="GV124" i="28"/>
  <c r="GV125" i="28"/>
  <c r="GV126" i="28"/>
  <c r="GV127" i="28"/>
  <c r="GV128" i="28"/>
  <c r="GV129" i="28"/>
  <c r="GV130" i="28"/>
  <c r="GV131" i="28"/>
  <c r="GV132" i="28"/>
  <c r="GV133" i="28"/>
  <c r="GV134" i="28"/>
  <c r="GV135" i="28"/>
  <c r="GV136" i="28"/>
  <c r="GV137" i="28"/>
  <c r="GV138" i="28"/>
  <c r="GV139" i="28"/>
  <c r="GV140" i="28"/>
  <c r="GV141" i="28"/>
  <c r="GV142" i="28"/>
  <c r="GV143" i="28"/>
  <c r="GV144" i="28"/>
  <c r="GV145" i="28"/>
  <c r="GV146" i="28"/>
  <c r="GV147" i="28"/>
  <c r="GV148" i="28"/>
  <c r="GV149" i="28"/>
  <c r="GV150" i="28"/>
  <c r="GV151" i="28"/>
  <c r="GV152" i="28"/>
  <c r="GV153" i="28"/>
  <c r="GV154" i="28"/>
  <c r="GV155" i="28"/>
  <c r="GV156" i="28"/>
  <c r="GV157" i="28"/>
  <c r="GV158" i="28"/>
  <c r="GV159" i="28"/>
  <c r="GV160" i="28"/>
  <c r="GV161" i="28"/>
  <c r="GV162" i="28"/>
  <c r="GV163" i="28"/>
  <c r="GV164" i="28"/>
  <c r="GV165" i="28"/>
  <c r="GV166" i="28"/>
  <c r="GV167" i="28"/>
  <c r="GV168" i="28"/>
  <c r="GV169" i="28"/>
  <c r="GV170" i="28"/>
  <c r="GV171" i="28"/>
  <c r="GV172" i="28"/>
  <c r="GV173" i="28"/>
  <c r="GV174" i="28"/>
  <c r="GV175" i="28"/>
  <c r="GV176" i="28"/>
  <c r="GV177" i="28"/>
  <c r="GV178" i="28"/>
  <c r="GV179" i="28"/>
  <c r="GV180" i="28"/>
  <c r="GV181" i="28"/>
  <c r="GV182" i="28"/>
  <c r="GV183" i="28"/>
  <c r="GV184" i="28"/>
  <c r="GV185" i="28"/>
  <c r="GV186" i="28"/>
  <c r="GV187" i="28"/>
  <c r="GV188" i="28"/>
  <c r="GV189" i="28"/>
  <c r="GV190" i="28"/>
  <c r="GV191" i="28"/>
  <c r="GV192" i="28"/>
  <c r="GV193" i="28"/>
  <c r="GV194" i="28"/>
  <c r="GV195" i="28"/>
  <c r="GV196" i="28"/>
  <c r="GV197" i="28"/>
  <c r="GV198" i="28"/>
  <c r="GV199" i="28"/>
  <c r="GV200" i="28"/>
  <c r="GV201" i="28"/>
  <c r="GV202" i="28"/>
  <c r="GV203" i="28"/>
  <c r="GV204" i="28"/>
  <c r="GV205" i="28"/>
  <c r="GU116" i="28"/>
  <c r="K89" i="31"/>
  <c r="GU117" i="28"/>
  <c r="GU118" i="28"/>
  <c r="GU119" i="28"/>
  <c r="GU120" i="28"/>
  <c r="GU121" i="28"/>
  <c r="GU122" i="28"/>
  <c r="GU123" i="28"/>
  <c r="GU124" i="28"/>
  <c r="GU125" i="28"/>
  <c r="GU126" i="28"/>
  <c r="GU127" i="28"/>
  <c r="GU128" i="28"/>
  <c r="GU129" i="28"/>
  <c r="GU130" i="28"/>
  <c r="GU131" i="28"/>
  <c r="GU132" i="28"/>
  <c r="GU133" i="28"/>
  <c r="GU134" i="28"/>
  <c r="GU135" i="28"/>
  <c r="GU136" i="28"/>
  <c r="GU137" i="28"/>
  <c r="GU138" i="28"/>
  <c r="GU139" i="28"/>
  <c r="GU140" i="28"/>
  <c r="GU141" i="28"/>
  <c r="GU142" i="28"/>
  <c r="GU143" i="28"/>
  <c r="GU144" i="28"/>
  <c r="GU145" i="28"/>
  <c r="GU146" i="28"/>
  <c r="GU147" i="28"/>
  <c r="GU148" i="28"/>
  <c r="GU149" i="28"/>
  <c r="GU150" i="28"/>
  <c r="GU151" i="28"/>
  <c r="GU152" i="28"/>
  <c r="GU153" i="28"/>
  <c r="GU154" i="28"/>
  <c r="GU155" i="28"/>
  <c r="GU156" i="28"/>
  <c r="GU157" i="28"/>
  <c r="GU158" i="28"/>
  <c r="GU159" i="28"/>
  <c r="GU160" i="28"/>
  <c r="GU161" i="28"/>
  <c r="GU162" i="28"/>
  <c r="GU163" i="28"/>
  <c r="GU164" i="28"/>
  <c r="GU165" i="28"/>
  <c r="GU166" i="28"/>
  <c r="GU167" i="28"/>
  <c r="GU168" i="28"/>
  <c r="GU169" i="28"/>
  <c r="GU170" i="28"/>
  <c r="GU171" i="28"/>
  <c r="GU172" i="28"/>
  <c r="GU173" i="28"/>
  <c r="GU174" i="28"/>
  <c r="GU175" i="28"/>
  <c r="GU176" i="28"/>
  <c r="GU177" i="28"/>
  <c r="GU178" i="28"/>
  <c r="GU179" i="28"/>
  <c r="GU180" i="28"/>
  <c r="GU181" i="28"/>
  <c r="GU182" i="28"/>
  <c r="GU183" i="28"/>
  <c r="GU184" i="28"/>
  <c r="GU185" i="28"/>
  <c r="GU186" i="28"/>
  <c r="GU187" i="28"/>
  <c r="GU188" i="28"/>
  <c r="GU189" i="28"/>
  <c r="GU190" i="28"/>
  <c r="GU191" i="28"/>
  <c r="GU192" i="28"/>
  <c r="GU193" i="28"/>
  <c r="GU194" i="28"/>
  <c r="GU195" i="28"/>
  <c r="GU196" i="28"/>
  <c r="GU197" i="28"/>
  <c r="GU198" i="28"/>
  <c r="GU199" i="28"/>
  <c r="GU200" i="28"/>
  <c r="GU201" i="28"/>
  <c r="GU202" i="28"/>
  <c r="GU203" i="28"/>
  <c r="GU204" i="28"/>
  <c r="GT116" i="28"/>
  <c r="GT117" i="28"/>
  <c r="GT118" i="28"/>
  <c r="GT119" i="28"/>
  <c r="GT120" i="28"/>
  <c r="GT121" i="28"/>
  <c r="GT122" i="28"/>
  <c r="GT123" i="28"/>
  <c r="GT124" i="28"/>
  <c r="GT125" i="28"/>
  <c r="GT126" i="28"/>
  <c r="GT127" i="28"/>
  <c r="GT128" i="28"/>
  <c r="GT129" i="28"/>
  <c r="GT130" i="28"/>
  <c r="GT131" i="28"/>
  <c r="GT132" i="28"/>
  <c r="GT133" i="28"/>
  <c r="GT134" i="28"/>
  <c r="GT135" i="28"/>
  <c r="GT136" i="28"/>
  <c r="GT137" i="28"/>
  <c r="GT138" i="28"/>
  <c r="GT139" i="28"/>
  <c r="GT140" i="28"/>
  <c r="GT141" i="28"/>
  <c r="GT142" i="28"/>
  <c r="GT143" i="28"/>
  <c r="GT144" i="28"/>
  <c r="GT145" i="28"/>
  <c r="GT146" i="28"/>
  <c r="GT147" i="28"/>
  <c r="GT148" i="28"/>
  <c r="GT149" i="28"/>
  <c r="GT150" i="28"/>
  <c r="GT151" i="28"/>
  <c r="GT152" i="28"/>
  <c r="GT153" i="28"/>
  <c r="GT154" i="28"/>
  <c r="GT155" i="28"/>
  <c r="GT156" i="28"/>
  <c r="GT157" i="28"/>
  <c r="GT158" i="28"/>
  <c r="GT159" i="28"/>
  <c r="GT160" i="28"/>
  <c r="GT161" i="28"/>
  <c r="GT162" i="28"/>
  <c r="GT163" i="28"/>
  <c r="GT164" i="28"/>
  <c r="GT165" i="28"/>
  <c r="GT166" i="28"/>
  <c r="GT167" i="28"/>
  <c r="GT168" i="28"/>
  <c r="GT169" i="28"/>
  <c r="GT170" i="28"/>
  <c r="GT171" i="28"/>
  <c r="GT172" i="28"/>
  <c r="GT173" i="28"/>
  <c r="GT174" i="28"/>
  <c r="GT175" i="28"/>
  <c r="GT176" i="28"/>
  <c r="GT177" i="28"/>
  <c r="GT178" i="28"/>
  <c r="GT179" i="28"/>
  <c r="GT180" i="28"/>
  <c r="GT181" i="28"/>
  <c r="GT182" i="28"/>
  <c r="GT183" i="28"/>
  <c r="GT184" i="28"/>
  <c r="GT185" i="28"/>
  <c r="GT186" i="28"/>
  <c r="GT187" i="28"/>
  <c r="GT188" i="28"/>
  <c r="GT189" i="28"/>
  <c r="GT190" i="28"/>
  <c r="GT191" i="28"/>
  <c r="GT192" i="28"/>
  <c r="GT193" i="28"/>
  <c r="GT194" i="28"/>
  <c r="GT195" i="28"/>
  <c r="GT196" i="28"/>
  <c r="GT197" i="28"/>
  <c r="GT198" i="28"/>
  <c r="GT199" i="28"/>
  <c r="GT200" i="28"/>
  <c r="GT201" i="28"/>
  <c r="GT202" i="28"/>
  <c r="GT203" i="28"/>
  <c r="GT204" i="28"/>
  <c r="GT206" i="28"/>
  <c r="GS116" i="28"/>
  <c r="GS117" i="28"/>
  <c r="GS118" i="28"/>
  <c r="GS119" i="28"/>
  <c r="GS120" i="28"/>
  <c r="GS121" i="28"/>
  <c r="GS122" i="28"/>
  <c r="GS123" i="28"/>
  <c r="GS124" i="28"/>
  <c r="GS125" i="28"/>
  <c r="GS126" i="28"/>
  <c r="GS127" i="28"/>
  <c r="GS128" i="28"/>
  <c r="GS129" i="28"/>
  <c r="GS130" i="28"/>
  <c r="GS131" i="28"/>
  <c r="GS132" i="28"/>
  <c r="GS133" i="28"/>
  <c r="GS134" i="28"/>
  <c r="GS135" i="28"/>
  <c r="GS136" i="28"/>
  <c r="GS137" i="28"/>
  <c r="GS138" i="28"/>
  <c r="GS139" i="28"/>
  <c r="GS140" i="28"/>
  <c r="GS141" i="28"/>
  <c r="GS142" i="28"/>
  <c r="GS143" i="28"/>
  <c r="GS144" i="28"/>
  <c r="GS145" i="28"/>
  <c r="GS146" i="28"/>
  <c r="GS147" i="28"/>
  <c r="GS148" i="28"/>
  <c r="GS149" i="28"/>
  <c r="GS150" i="28"/>
  <c r="GS151" i="28"/>
  <c r="GS152" i="28"/>
  <c r="GS153" i="28"/>
  <c r="GS154" i="28"/>
  <c r="GS155" i="28"/>
  <c r="GS156" i="28"/>
  <c r="GS157" i="28"/>
  <c r="GS158" i="28"/>
  <c r="GS159" i="28"/>
  <c r="GS160" i="28"/>
  <c r="GS161" i="28"/>
  <c r="GS162" i="28"/>
  <c r="GS163" i="28"/>
  <c r="GS164" i="28"/>
  <c r="GS165" i="28"/>
  <c r="GS166" i="28"/>
  <c r="GS167" i="28"/>
  <c r="GS168" i="28"/>
  <c r="GS169" i="28"/>
  <c r="GS170" i="28"/>
  <c r="GS171" i="28"/>
  <c r="GS172" i="28"/>
  <c r="GS173" i="28"/>
  <c r="GS174" i="28"/>
  <c r="GS175" i="28"/>
  <c r="GS176" i="28"/>
  <c r="GS177" i="28"/>
  <c r="GS178" i="28"/>
  <c r="GS179" i="28"/>
  <c r="GS180" i="28"/>
  <c r="GS181" i="28"/>
  <c r="GS182" i="28"/>
  <c r="GS183" i="28"/>
  <c r="GS184" i="28"/>
  <c r="GS185" i="28"/>
  <c r="GS186" i="28"/>
  <c r="GS187" i="28"/>
  <c r="GS188" i="28"/>
  <c r="GS189" i="28"/>
  <c r="GS190" i="28"/>
  <c r="GS191" i="28"/>
  <c r="GS192" i="28"/>
  <c r="GS193" i="28"/>
  <c r="GS194" i="28"/>
  <c r="GS195" i="28"/>
  <c r="GS196" i="28"/>
  <c r="GS197" i="28"/>
  <c r="GS198" i="28"/>
  <c r="GS199" i="28"/>
  <c r="GS200" i="28"/>
  <c r="GS201" i="28"/>
  <c r="GS202" i="28"/>
  <c r="GS203" i="28"/>
  <c r="GS204" i="28"/>
  <c r="GS205" i="28"/>
  <c r="GS206" i="28"/>
  <c r="GR116" i="28"/>
  <c r="GR117" i="28"/>
  <c r="GR118" i="28"/>
  <c r="GR119" i="28"/>
  <c r="GR120" i="28"/>
  <c r="GR121" i="28"/>
  <c r="GR122" i="28"/>
  <c r="GR123" i="28"/>
  <c r="GR124" i="28"/>
  <c r="GR125" i="28"/>
  <c r="GR126" i="28"/>
  <c r="GR127" i="28"/>
  <c r="GR128" i="28"/>
  <c r="GR129" i="28"/>
  <c r="GR130" i="28"/>
  <c r="GR131" i="28"/>
  <c r="GR132" i="28"/>
  <c r="GR133" i="28"/>
  <c r="GR134" i="28"/>
  <c r="GR135" i="28"/>
  <c r="GR136" i="28"/>
  <c r="GR137" i="28"/>
  <c r="GR138" i="28"/>
  <c r="GR139" i="28"/>
  <c r="GR140" i="28"/>
  <c r="GR141" i="28"/>
  <c r="GR142" i="28"/>
  <c r="GR143" i="28"/>
  <c r="GR144" i="28"/>
  <c r="GR145" i="28"/>
  <c r="GR146" i="28"/>
  <c r="GR147" i="28"/>
  <c r="GR148" i="28"/>
  <c r="GR149" i="28"/>
  <c r="GR150" i="28"/>
  <c r="GR151" i="28"/>
  <c r="GR152" i="28"/>
  <c r="GR153" i="28"/>
  <c r="GR154" i="28"/>
  <c r="GR155" i="28"/>
  <c r="GR156" i="28"/>
  <c r="GR157" i="28"/>
  <c r="GR158" i="28"/>
  <c r="GR159" i="28"/>
  <c r="GR160" i="28"/>
  <c r="GR161" i="28"/>
  <c r="GR162" i="28"/>
  <c r="GR163" i="28"/>
  <c r="GR164" i="28"/>
  <c r="GR165" i="28"/>
  <c r="GR166" i="28"/>
  <c r="GR167" i="28"/>
  <c r="GR168" i="28"/>
  <c r="GR169" i="28"/>
  <c r="GR170" i="28"/>
  <c r="GR171" i="28"/>
  <c r="GR172" i="28"/>
  <c r="GR173" i="28"/>
  <c r="GR174" i="28"/>
  <c r="GR175" i="28"/>
  <c r="GR176" i="28"/>
  <c r="GR177" i="28"/>
  <c r="GR178" i="28"/>
  <c r="GR179" i="28"/>
  <c r="GR180" i="28"/>
  <c r="GR181" i="28"/>
  <c r="GR182" i="28"/>
  <c r="GR183" i="28"/>
  <c r="GR184" i="28"/>
  <c r="GR185" i="28"/>
  <c r="GR186" i="28"/>
  <c r="GR187" i="28"/>
  <c r="GR188" i="28"/>
  <c r="GR189" i="28"/>
  <c r="GR190" i="28"/>
  <c r="GR191" i="28"/>
  <c r="GR192" i="28"/>
  <c r="GR193" i="28"/>
  <c r="GR194" i="28"/>
  <c r="GR195" i="28"/>
  <c r="GR196" i="28"/>
  <c r="GR197" i="28"/>
  <c r="GR198" i="28"/>
  <c r="GR199" i="28"/>
  <c r="GR200" i="28"/>
  <c r="GR201" i="28"/>
  <c r="GR202" i="28"/>
  <c r="GR203" i="28"/>
  <c r="GR204" i="28"/>
  <c r="GR206" i="28"/>
  <c r="GQ116" i="28"/>
  <c r="GQ117" i="28"/>
  <c r="GQ118" i="28"/>
  <c r="GQ119" i="28"/>
  <c r="GQ120" i="28"/>
  <c r="GQ121" i="28"/>
  <c r="GQ122" i="28"/>
  <c r="GQ123" i="28"/>
  <c r="GQ124" i="28"/>
  <c r="GQ125" i="28"/>
  <c r="GQ126" i="28"/>
  <c r="GQ127" i="28"/>
  <c r="GQ128" i="28"/>
  <c r="GQ129" i="28"/>
  <c r="GQ130" i="28"/>
  <c r="GQ131" i="28"/>
  <c r="GQ132" i="28"/>
  <c r="GQ133" i="28"/>
  <c r="GQ134" i="28"/>
  <c r="GQ135" i="28"/>
  <c r="GQ136" i="28"/>
  <c r="GQ137" i="28"/>
  <c r="GQ138" i="28"/>
  <c r="GQ139" i="28"/>
  <c r="GQ140" i="28"/>
  <c r="GQ141" i="28"/>
  <c r="GQ142" i="28"/>
  <c r="GQ143" i="28"/>
  <c r="GQ144" i="28"/>
  <c r="GQ145" i="28"/>
  <c r="GQ146" i="28"/>
  <c r="GQ147" i="28"/>
  <c r="GQ148" i="28"/>
  <c r="GQ149" i="28"/>
  <c r="GQ150" i="28"/>
  <c r="GQ151" i="28"/>
  <c r="GQ152" i="28"/>
  <c r="GQ153" i="28"/>
  <c r="GQ154" i="28"/>
  <c r="GQ155" i="28"/>
  <c r="GQ156" i="28"/>
  <c r="GQ157" i="28"/>
  <c r="GQ158" i="28"/>
  <c r="GQ159" i="28"/>
  <c r="GQ160" i="28"/>
  <c r="GQ161" i="28"/>
  <c r="GQ162" i="28"/>
  <c r="GQ163" i="28"/>
  <c r="GQ164" i="28"/>
  <c r="GQ165" i="28"/>
  <c r="GQ166" i="28"/>
  <c r="GQ167" i="28"/>
  <c r="GQ168" i="28"/>
  <c r="GQ169" i="28"/>
  <c r="GQ170" i="28"/>
  <c r="GQ171" i="28"/>
  <c r="GQ172" i="28"/>
  <c r="GQ173" i="28"/>
  <c r="GQ174" i="28"/>
  <c r="GQ175" i="28"/>
  <c r="GQ176" i="28"/>
  <c r="GQ177" i="28"/>
  <c r="GQ178" i="28"/>
  <c r="GQ179" i="28"/>
  <c r="GQ180" i="28"/>
  <c r="GQ181" i="28"/>
  <c r="GQ182" i="28"/>
  <c r="GQ183" i="28"/>
  <c r="GQ184" i="28"/>
  <c r="GQ185" i="28"/>
  <c r="GQ186" i="28"/>
  <c r="GQ187" i="28"/>
  <c r="GQ188" i="28"/>
  <c r="GQ189" i="28"/>
  <c r="GQ190" i="28"/>
  <c r="GQ191" i="28"/>
  <c r="GQ192" i="28"/>
  <c r="GQ193" i="28"/>
  <c r="GQ194" i="28"/>
  <c r="GQ195" i="28"/>
  <c r="GQ196" i="28"/>
  <c r="GQ197" i="28"/>
  <c r="GQ198" i="28"/>
  <c r="GQ199" i="28"/>
  <c r="GQ200" i="28"/>
  <c r="GQ201" i="28"/>
  <c r="GQ202" i="28"/>
  <c r="GQ203" i="28"/>
  <c r="GQ204" i="28"/>
  <c r="GQ205" i="28"/>
  <c r="GQ206" i="28"/>
  <c r="GP116" i="28"/>
  <c r="GP117" i="28"/>
  <c r="GP118" i="28"/>
  <c r="GP119" i="28"/>
  <c r="GP120" i="28"/>
  <c r="GP121" i="28"/>
  <c r="GP122" i="28"/>
  <c r="GP123" i="28"/>
  <c r="GP124" i="28"/>
  <c r="GP125" i="28"/>
  <c r="GP126" i="28"/>
  <c r="GP127" i="28"/>
  <c r="GP128" i="28"/>
  <c r="GP129" i="28"/>
  <c r="GP130" i="28"/>
  <c r="GP131" i="28"/>
  <c r="GP132" i="28"/>
  <c r="GP133" i="28"/>
  <c r="GP134" i="28"/>
  <c r="GP135" i="28"/>
  <c r="GP136" i="28"/>
  <c r="GP137" i="28"/>
  <c r="GP138" i="28"/>
  <c r="GP139" i="28"/>
  <c r="GP140" i="28"/>
  <c r="GP141" i="28"/>
  <c r="GP142" i="28"/>
  <c r="GP143" i="28"/>
  <c r="GP144" i="28"/>
  <c r="GP145" i="28"/>
  <c r="GP146" i="28"/>
  <c r="GP147" i="28"/>
  <c r="GP148" i="28"/>
  <c r="GP149" i="28"/>
  <c r="GP150" i="28"/>
  <c r="GP151" i="28"/>
  <c r="GP152" i="28"/>
  <c r="GP153" i="28"/>
  <c r="GP154" i="28"/>
  <c r="GP155" i="28"/>
  <c r="GP156" i="28"/>
  <c r="GP157" i="28"/>
  <c r="GP158" i="28"/>
  <c r="GP159" i="28"/>
  <c r="GP160" i="28"/>
  <c r="GP161" i="28"/>
  <c r="GP162" i="28"/>
  <c r="GP163" i="28"/>
  <c r="GP164" i="28"/>
  <c r="GP165" i="28"/>
  <c r="GP166" i="28"/>
  <c r="GP167" i="28"/>
  <c r="GP168" i="28"/>
  <c r="GP169" i="28"/>
  <c r="GP170" i="28"/>
  <c r="GP171" i="28"/>
  <c r="GP172" i="28"/>
  <c r="GP173" i="28"/>
  <c r="GP174" i="28"/>
  <c r="GP175" i="28"/>
  <c r="GP176" i="28"/>
  <c r="GP177" i="28"/>
  <c r="GP178" i="28"/>
  <c r="GP179" i="28"/>
  <c r="GP180" i="28"/>
  <c r="GP181" i="28"/>
  <c r="GP182" i="28"/>
  <c r="GP183" i="28"/>
  <c r="GP184" i="28"/>
  <c r="GP185" i="28"/>
  <c r="GP186" i="28"/>
  <c r="GP187" i="28"/>
  <c r="GP188" i="28"/>
  <c r="GP189" i="28"/>
  <c r="GP190" i="28"/>
  <c r="GP191" i="28"/>
  <c r="GP192" i="28"/>
  <c r="GP193" i="28"/>
  <c r="GP194" i="28"/>
  <c r="GP195" i="28"/>
  <c r="GP196" i="28"/>
  <c r="GP197" i="28"/>
  <c r="GP198" i="28"/>
  <c r="GP199" i="28"/>
  <c r="GP200" i="28"/>
  <c r="GP201" i="28"/>
  <c r="GP202" i="28"/>
  <c r="GP203" i="28"/>
  <c r="GP204" i="28"/>
  <c r="GP206" i="28"/>
  <c r="GP205" i="28"/>
  <c r="GO116" i="28"/>
  <c r="GO117" i="28"/>
  <c r="GO118" i="28"/>
  <c r="GO119" i="28"/>
  <c r="GO120" i="28"/>
  <c r="GO121" i="28"/>
  <c r="GO122" i="28"/>
  <c r="GO123" i="28"/>
  <c r="GO124" i="28"/>
  <c r="GO125" i="28"/>
  <c r="GO126" i="28"/>
  <c r="GO127" i="28"/>
  <c r="GO128" i="28"/>
  <c r="GO129" i="28"/>
  <c r="GO130" i="28"/>
  <c r="GO131" i="28"/>
  <c r="GO132" i="28"/>
  <c r="GO133" i="28"/>
  <c r="GO134" i="28"/>
  <c r="GO135" i="28"/>
  <c r="GO136" i="28"/>
  <c r="GO137" i="28"/>
  <c r="GO138" i="28"/>
  <c r="GO139" i="28"/>
  <c r="GO140" i="28"/>
  <c r="GO141" i="28"/>
  <c r="GO142" i="28"/>
  <c r="GO143" i="28"/>
  <c r="GO144" i="28"/>
  <c r="GO145" i="28"/>
  <c r="GO146" i="28"/>
  <c r="GO147" i="28"/>
  <c r="GO148" i="28"/>
  <c r="GO149" i="28"/>
  <c r="GO150" i="28"/>
  <c r="GO151" i="28"/>
  <c r="GO152" i="28"/>
  <c r="GO153" i="28"/>
  <c r="GO154" i="28"/>
  <c r="GO155" i="28"/>
  <c r="GO156" i="28"/>
  <c r="GO157" i="28"/>
  <c r="GO158" i="28"/>
  <c r="GO159" i="28"/>
  <c r="GO160" i="28"/>
  <c r="GO161" i="28"/>
  <c r="GO162" i="28"/>
  <c r="GO163" i="28"/>
  <c r="GO164" i="28"/>
  <c r="GO165" i="28"/>
  <c r="GO166" i="28"/>
  <c r="GO167" i="28"/>
  <c r="GO168" i="28"/>
  <c r="GO169" i="28"/>
  <c r="GO170" i="28"/>
  <c r="GO171" i="28"/>
  <c r="GO172" i="28"/>
  <c r="GO173" i="28"/>
  <c r="GO174" i="28"/>
  <c r="GO175" i="28"/>
  <c r="GO176" i="28"/>
  <c r="GO177" i="28"/>
  <c r="GO178" i="28"/>
  <c r="GO179" i="28"/>
  <c r="GO180" i="28"/>
  <c r="GO181" i="28"/>
  <c r="GO182" i="28"/>
  <c r="GO183" i="28"/>
  <c r="GO184" i="28"/>
  <c r="GO185" i="28"/>
  <c r="GO186" i="28"/>
  <c r="GO187" i="28"/>
  <c r="GO188" i="28"/>
  <c r="GO189" i="28"/>
  <c r="GO190" i="28"/>
  <c r="GO191" i="28"/>
  <c r="GO192" i="28"/>
  <c r="GO193" i="28"/>
  <c r="GO194" i="28"/>
  <c r="GO195" i="28"/>
  <c r="GO196" i="28"/>
  <c r="GO197" i="28"/>
  <c r="GO198" i="28"/>
  <c r="GO199" i="28"/>
  <c r="GO200" i="28"/>
  <c r="GO201" i="28"/>
  <c r="GO202" i="28"/>
  <c r="GO203" i="28"/>
  <c r="GO204" i="28"/>
  <c r="GO205" i="28"/>
  <c r="GO206" i="28"/>
  <c r="GN116" i="28"/>
  <c r="GN117" i="28"/>
  <c r="GN118" i="28"/>
  <c r="GN119" i="28"/>
  <c r="GN120" i="28"/>
  <c r="GN121" i="28"/>
  <c r="GN122" i="28"/>
  <c r="GN123" i="28"/>
  <c r="GN124" i="28"/>
  <c r="GN125" i="28"/>
  <c r="GN126" i="28"/>
  <c r="GN127" i="28"/>
  <c r="GN128" i="28"/>
  <c r="GN129" i="28"/>
  <c r="GN130" i="28"/>
  <c r="GN131" i="28"/>
  <c r="GN132" i="28"/>
  <c r="GN133" i="28"/>
  <c r="GN134" i="28"/>
  <c r="GN135" i="28"/>
  <c r="GN136" i="28"/>
  <c r="GN137" i="28"/>
  <c r="GN138" i="28"/>
  <c r="GN139" i="28"/>
  <c r="GN140" i="28"/>
  <c r="GN141" i="28"/>
  <c r="GN142" i="28"/>
  <c r="GN143" i="28"/>
  <c r="GN144" i="28"/>
  <c r="GN145" i="28"/>
  <c r="GN146" i="28"/>
  <c r="GN147" i="28"/>
  <c r="GN148" i="28"/>
  <c r="GN149" i="28"/>
  <c r="GN150" i="28"/>
  <c r="GN151" i="28"/>
  <c r="GN152" i="28"/>
  <c r="GN153" i="28"/>
  <c r="GN154" i="28"/>
  <c r="GN155" i="28"/>
  <c r="GN156" i="28"/>
  <c r="GN157" i="28"/>
  <c r="GN158" i="28"/>
  <c r="GN159" i="28"/>
  <c r="GN160" i="28"/>
  <c r="GN161" i="28"/>
  <c r="GN162" i="28"/>
  <c r="GN163" i="28"/>
  <c r="GN164" i="28"/>
  <c r="GN165" i="28"/>
  <c r="GN166" i="28"/>
  <c r="GN167" i="28"/>
  <c r="GN168" i="28"/>
  <c r="GN169" i="28"/>
  <c r="GN170" i="28"/>
  <c r="GN171" i="28"/>
  <c r="GN172" i="28"/>
  <c r="GN173" i="28"/>
  <c r="GN174" i="28"/>
  <c r="GN175" i="28"/>
  <c r="GN176" i="28"/>
  <c r="GN177" i="28"/>
  <c r="GN178" i="28"/>
  <c r="GN179" i="28"/>
  <c r="GN180" i="28"/>
  <c r="GN181" i="28"/>
  <c r="GN182" i="28"/>
  <c r="GN183" i="28"/>
  <c r="GN184" i="28"/>
  <c r="GN185" i="28"/>
  <c r="GN186" i="28"/>
  <c r="GN187" i="28"/>
  <c r="GN188" i="28"/>
  <c r="GN189" i="28"/>
  <c r="GN190" i="28"/>
  <c r="GN191" i="28"/>
  <c r="GN192" i="28"/>
  <c r="GN193" i="28"/>
  <c r="GN194" i="28"/>
  <c r="GN195" i="28"/>
  <c r="GN196" i="28"/>
  <c r="GN197" i="28"/>
  <c r="GN198" i="28"/>
  <c r="GN199" i="28"/>
  <c r="GN200" i="28"/>
  <c r="GN201" i="28"/>
  <c r="GN202" i="28"/>
  <c r="GN203" i="28"/>
  <c r="GN204" i="28"/>
  <c r="GN206" i="28"/>
  <c r="HA205" i="28"/>
  <c r="GW205" i="28"/>
  <c r="GR205" i="28"/>
  <c r="GN205" i="28"/>
  <c r="FO116" i="28"/>
  <c r="FO117" i="28"/>
  <c r="FO118" i="28"/>
  <c r="FO119" i="28"/>
  <c r="FO120" i="28"/>
  <c r="FO121" i="28"/>
  <c r="FO122" i="28"/>
  <c r="FO123" i="28"/>
  <c r="FO124" i="28"/>
  <c r="FO125" i="28"/>
  <c r="FO126" i="28"/>
  <c r="FO127" i="28"/>
  <c r="FO128" i="28"/>
  <c r="FO129" i="28"/>
  <c r="FO130" i="28"/>
  <c r="FO131" i="28"/>
  <c r="FO132" i="28"/>
  <c r="FO133" i="28"/>
  <c r="FO134" i="28"/>
  <c r="FO135" i="28"/>
  <c r="FO136" i="28"/>
  <c r="FO137" i="28"/>
  <c r="FO138" i="28"/>
  <c r="FO139" i="28"/>
  <c r="FO140" i="28"/>
  <c r="FO141" i="28"/>
  <c r="FO142" i="28"/>
  <c r="FO143" i="28"/>
  <c r="FO144" i="28"/>
  <c r="FO145" i="28"/>
  <c r="FO146" i="28"/>
  <c r="FO147" i="28"/>
  <c r="FO148" i="28"/>
  <c r="FO149" i="28"/>
  <c r="FO150" i="28"/>
  <c r="FO151" i="28"/>
  <c r="FO152" i="28"/>
  <c r="FO153" i="28"/>
  <c r="FO154" i="28"/>
  <c r="FO155" i="28"/>
  <c r="FO156" i="28"/>
  <c r="FO157" i="28"/>
  <c r="FO158" i="28"/>
  <c r="FO159" i="28"/>
  <c r="FO160" i="28"/>
  <c r="FO161" i="28"/>
  <c r="FO162" i="28"/>
  <c r="FO163" i="28"/>
  <c r="FO164" i="28"/>
  <c r="FO165" i="28"/>
  <c r="FO166" i="28"/>
  <c r="FO167" i="28"/>
  <c r="FO168" i="28"/>
  <c r="FO169" i="28"/>
  <c r="FO170" i="28"/>
  <c r="FO171" i="28"/>
  <c r="FO172" i="28"/>
  <c r="FO173" i="28"/>
  <c r="FO174" i="28"/>
  <c r="FO175" i="28"/>
  <c r="FO176" i="28"/>
  <c r="FO177" i="28"/>
  <c r="FO178" i="28"/>
  <c r="FO179" i="28"/>
  <c r="FO180" i="28"/>
  <c r="FO181" i="28"/>
  <c r="FO182" i="28"/>
  <c r="FO183" i="28"/>
  <c r="FO184" i="28"/>
  <c r="FO185" i="28"/>
  <c r="FO186" i="28"/>
  <c r="FO187" i="28"/>
  <c r="FO188" i="28"/>
  <c r="FO189" i="28"/>
  <c r="FO190" i="28"/>
  <c r="FO191" i="28"/>
  <c r="FO192" i="28"/>
  <c r="FO193" i="28"/>
  <c r="FO194" i="28"/>
  <c r="FO195" i="28"/>
  <c r="FO196" i="28"/>
  <c r="FO197" i="28"/>
  <c r="FO198" i="28"/>
  <c r="FO199" i="28"/>
  <c r="FO200" i="28"/>
  <c r="FO201" i="28"/>
  <c r="FO202" i="28"/>
  <c r="FO203" i="28"/>
  <c r="FO204" i="28"/>
  <c r="FO206" i="28"/>
  <c r="FO205" i="28"/>
  <c r="FN118" i="28"/>
  <c r="FN119" i="28"/>
  <c r="FN120" i="28"/>
  <c r="FN121" i="28"/>
  <c r="FN122" i="28"/>
  <c r="FN123" i="28"/>
  <c r="FN124" i="28"/>
  <c r="FN125" i="28"/>
  <c r="FN126" i="28"/>
  <c r="FN128" i="28"/>
  <c r="FN129" i="28"/>
  <c r="FN130" i="28"/>
  <c r="FN131" i="28"/>
  <c r="FN132" i="28"/>
  <c r="FN133" i="28"/>
  <c r="FN134" i="28"/>
  <c r="FN135" i="28"/>
  <c r="FN136" i="28"/>
  <c r="FN137" i="28"/>
  <c r="FN138" i="28"/>
  <c r="FN139" i="28"/>
  <c r="FN140" i="28"/>
  <c r="FN141" i="28"/>
  <c r="FN142" i="28"/>
  <c r="FN143" i="28"/>
  <c r="FN144" i="28"/>
  <c r="FN145" i="28"/>
  <c r="FN146" i="28"/>
  <c r="FN147" i="28"/>
  <c r="FN148" i="28"/>
  <c r="FN149" i="28"/>
  <c r="FN150" i="28"/>
  <c r="FN151" i="28"/>
  <c r="FN152" i="28"/>
  <c r="FN153" i="28"/>
  <c r="FN154" i="28"/>
  <c r="FN155" i="28"/>
  <c r="FN156" i="28"/>
  <c r="FN157" i="28"/>
  <c r="FN158" i="28"/>
  <c r="FN159" i="28"/>
  <c r="FN161" i="28"/>
  <c r="FN162" i="28"/>
  <c r="FN163" i="28"/>
  <c r="FN164" i="28"/>
  <c r="FN165" i="28"/>
  <c r="FN166" i="28"/>
  <c r="FN167" i="28"/>
  <c r="FN168" i="28"/>
  <c r="FN169" i="28"/>
  <c r="FN170" i="28"/>
  <c r="FN171" i="28"/>
  <c r="FN172" i="28"/>
  <c r="FN173" i="28"/>
  <c r="FN174" i="28"/>
  <c r="FN175" i="28"/>
  <c r="FN176" i="28"/>
  <c r="FN177" i="28"/>
  <c r="FN178" i="28"/>
  <c r="FN179" i="28"/>
  <c r="FN180" i="28"/>
  <c r="FN181" i="28"/>
  <c r="FN182" i="28"/>
  <c r="FN183" i="28"/>
  <c r="FN184" i="28"/>
  <c r="FN185" i="28"/>
  <c r="FN186" i="28"/>
  <c r="FN187" i="28"/>
  <c r="FN188" i="28"/>
  <c r="FN189" i="28"/>
  <c r="FN190" i="28"/>
  <c r="FN191" i="28"/>
  <c r="FN192" i="28"/>
  <c r="FN193" i="28"/>
  <c r="FN194" i="28"/>
  <c r="FN195" i="28"/>
  <c r="FN196" i="28"/>
  <c r="FN197" i="28"/>
  <c r="FN198" i="28"/>
  <c r="FN199" i="28"/>
  <c r="FN200" i="28"/>
  <c r="FN201" i="28"/>
  <c r="FN202" i="28"/>
  <c r="FN203" i="28"/>
  <c r="FN204" i="28"/>
  <c r="FN205" i="28"/>
  <c r="B55" i="26"/>
  <c r="FN206" i="28"/>
  <c r="GD116" i="28"/>
  <c r="R86" i="31"/>
  <c r="GD117" i="28"/>
  <c r="R97" i="31"/>
  <c r="GD118" i="28"/>
  <c r="GD119" i="28"/>
  <c r="GD120" i="28"/>
  <c r="GD121" i="28"/>
  <c r="GD122" i="28"/>
  <c r="GD123" i="28"/>
  <c r="GD124" i="28"/>
  <c r="GD125" i="28"/>
  <c r="GD126" i="28"/>
  <c r="GD127" i="28"/>
  <c r="GD128" i="28"/>
  <c r="GD129" i="28"/>
  <c r="GD130" i="28"/>
  <c r="GD131" i="28"/>
  <c r="GD132" i="28"/>
  <c r="GD133" i="28"/>
  <c r="GD134" i="28"/>
  <c r="GD135" i="28"/>
  <c r="GD136" i="28"/>
  <c r="GD137" i="28"/>
  <c r="GD138" i="28"/>
  <c r="GD139" i="28"/>
  <c r="GD140" i="28"/>
  <c r="GD141" i="28"/>
  <c r="GD142" i="28"/>
  <c r="GD143" i="28"/>
  <c r="GD144" i="28"/>
  <c r="GD145" i="28"/>
  <c r="GD146" i="28"/>
  <c r="GD147" i="28"/>
  <c r="GD148" i="28"/>
  <c r="GD149" i="28"/>
  <c r="GD150" i="28"/>
  <c r="GD151" i="28"/>
  <c r="GD152" i="28"/>
  <c r="GD153" i="28"/>
  <c r="GD154" i="28"/>
  <c r="GD155" i="28"/>
  <c r="GD156" i="28"/>
  <c r="GD157" i="28"/>
  <c r="GD158" i="28"/>
  <c r="GD159" i="28"/>
  <c r="GD160" i="28"/>
  <c r="GD161" i="28"/>
  <c r="GD162" i="28"/>
  <c r="GD163" i="28"/>
  <c r="GD164" i="28"/>
  <c r="GD165" i="28"/>
  <c r="GD166" i="28"/>
  <c r="GD167" i="28"/>
  <c r="GD168" i="28"/>
  <c r="GD169" i="28"/>
  <c r="GD170" i="28"/>
  <c r="GD171" i="28"/>
  <c r="GD172" i="28"/>
  <c r="GD173" i="28"/>
  <c r="GD174" i="28"/>
  <c r="GD175" i="28"/>
  <c r="GD176" i="28"/>
  <c r="GD177" i="28"/>
  <c r="GD178" i="28"/>
  <c r="GD179" i="28"/>
  <c r="GD180" i="28"/>
  <c r="GD181" i="28"/>
  <c r="GD182" i="28"/>
  <c r="GD183" i="28"/>
  <c r="GD184" i="28"/>
  <c r="GD185" i="28"/>
  <c r="GD186" i="28"/>
  <c r="GD187" i="28"/>
  <c r="GD188" i="28"/>
  <c r="GD189" i="28"/>
  <c r="GD190" i="28"/>
  <c r="GD191" i="28"/>
  <c r="GD192" i="28"/>
  <c r="GD193" i="28"/>
  <c r="GD194" i="28"/>
  <c r="GD195" i="28"/>
  <c r="GD196" i="28"/>
  <c r="GD197" i="28"/>
  <c r="GD198" i="28"/>
  <c r="GD199" i="28"/>
  <c r="GD200" i="28"/>
  <c r="GD201" i="28"/>
  <c r="GD202" i="28"/>
  <c r="GD203" i="28"/>
  <c r="GD204" i="28"/>
  <c r="GC116" i="28"/>
  <c r="GC117" i="28"/>
  <c r="GC118" i="28"/>
  <c r="GC119" i="28"/>
  <c r="GC120" i="28"/>
  <c r="GC121" i="28"/>
  <c r="GC122" i="28"/>
  <c r="GC123" i="28"/>
  <c r="GC124" i="28"/>
  <c r="GC125" i="28"/>
  <c r="GC126" i="28"/>
  <c r="GC127" i="28"/>
  <c r="GC128" i="28"/>
  <c r="GC129" i="28"/>
  <c r="GC130" i="28"/>
  <c r="GC131" i="28"/>
  <c r="GC132" i="28"/>
  <c r="GC133" i="28"/>
  <c r="GC134" i="28"/>
  <c r="GC135" i="28"/>
  <c r="GC136" i="28"/>
  <c r="GC137" i="28"/>
  <c r="GC138" i="28"/>
  <c r="GC139" i="28"/>
  <c r="GC140" i="28"/>
  <c r="GC141" i="28"/>
  <c r="GC142" i="28"/>
  <c r="GC143" i="28"/>
  <c r="GC144" i="28"/>
  <c r="GC145" i="28"/>
  <c r="GC146" i="28"/>
  <c r="GC147" i="28"/>
  <c r="GC148" i="28"/>
  <c r="GC149" i="28"/>
  <c r="GC150" i="28"/>
  <c r="GC151" i="28"/>
  <c r="GC152" i="28"/>
  <c r="GC153" i="28"/>
  <c r="GC154" i="28"/>
  <c r="GC155" i="28"/>
  <c r="GC156" i="28"/>
  <c r="GC157" i="28"/>
  <c r="GC158" i="28"/>
  <c r="GC159" i="28"/>
  <c r="GC160" i="28"/>
  <c r="GC161" i="28"/>
  <c r="GC162" i="28"/>
  <c r="GC163" i="28"/>
  <c r="GC164" i="28"/>
  <c r="GC165" i="28"/>
  <c r="GC166" i="28"/>
  <c r="GC167" i="28"/>
  <c r="GC168" i="28"/>
  <c r="GC169" i="28"/>
  <c r="GC170" i="28"/>
  <c r="GC171" i="28"/>
  <c r="GC172" i="28"/>
  <c r="GC173" i="28"/>
  <c r="GC174" i="28"/>
  <c r="GC175" i="28"/>
  <c r="GC176" i="28"/>
  <c r="GC177" i="28"/>
  <c r="GC178" i="28"/>
  <c r="GC179" i="28"/>
  <c r="GC180" i="28"/>
  <c r="GC181" i="28"/>
  <c r="GC182" i="28"/>
  <c r="GC183" i="28"/>
  <c r="GC184" i="28"/>
  <c r="GC185" i="28"/>
  <c r="GC186" i="28"/>
  <c r="GC187" i="28"/>
  <c r="GC188" i="28"/>
  <c r="GC189" i="28"/>
  <c r="GC190" i="28"/>
  <c r="GC191" i="28"/>
  <c r="GC192" i="28"/>
  <c r="GC193" i="28"/>
  <c r="GC194" i="28"/>
  <c r="GC195" i="28"/>
  <c r="GC196" i="28"/>
  <c r="GC197" i="28"/>
  <c r="GC198" i="28"/>
  <c r="GC199" i="28"/>
  <c r="GC200" i="28"/>
  <c r="GC201" i="28"/>
  <c r="GC202" i="28"/>
  <c r="GC203" i="28"/>
  <c r="GC204" i="28"/>
  <c r="GC206" i="28"/>
  <c r="GB116" i="28"/>
  <c r="GB117" i="28"/>
  <c r="GB118" i="28"/>
  <c r="GB119" i="28"/>
  <c r="GB120" i="28"/>
  <c r="GB121" i="28"/>
  <c r="GB122" i="28"/>
  <c r="GB123" i="28"/>
  <c r="GB124" i="28"/>
  <c r="GB125" i="28"/>
  <c r="GB126" i="28"/>
  <c r="GB127" i="28"/>
  <c r="GB128" i="28"/>
  <c r="GB129" i="28"/>
  <c r="GB130" i="28"/>
  <c r="GB131" i="28"/>
  <c r="GB132" i="28"/>
  <c r="GB133" i="28"/>
  <c r="GB134" i="28"/>
  <c r="GB135" i="28"/>
  <c r="GB136" i="28"/>
  <c r="GB137" i="28"/>
  <c r="GB138" i="28"/>
  <c r="GB139" i="28"/>
  <c r="GB140" i="28"/>
  <c r="GB141" i="28"/>
  <c r="GB142" i="28"/>
  <c r="GB143" i="28"/>
  <c r="GB144" i="28"/>
  <c r="GB145" i="28"/>
  <c r="GB146" i="28"/>
  <c r="GB147" i="28"/>
  <c r="GB148" i="28"/>
  <c r="GB149" i="28"/>
  <c r="GB150" i="28"/>
  <c r="GB151" i="28"/>
  <c r="GB152" i="28"/>
  <c r="GB153" i="28"/>
  <c r="GB154" i="28"/>
  <c r="GB155" i="28"/>
  <c r="GB156" i="28"/>
  <c r="GB157" i="28"/>
  <c r="GB158" i="28"/>
  <c r="GB159" i="28"/>
  <c r="GB160" i="28"/>
  <c r="GB161" i="28"/>
  <c r="GB162" i="28"/>
  <c r="GB163" i="28"/>
  <c r="GB164" i="28"/>
  <c r="GB165" i="28"/>
  <c r="GB166" i="28"/>
  <c r="GB167" i="28"/>
  <c r="GB168" i="28"/>
  <c r="GB169" i="28"/>
  <c r="GB170" i="28"/>
  <c r="GB171" i="28"/>
  <c r="GB172" i="28"/>
  <c r="GB173" i="28"/>
  <c r="GB174" i="28"/>
  <c r="GB175" i="28"/>
  <c r="GB176" i="28"/>
  <c r="GB177" i="28"/>
  <c r="GB178" i="28"/>
  <c r="GB179" i="28"/>
  <c r="GB180" i="28"/>
  <c r="GB181" i="28"/>
  <c r="GB182" i="28"/>
  <c r="GB183" i="28"/>
  <c r="GB184" i="28"/>
  <c r="GB185" i="28"/>
  <c r="GB186" i="28"/>
  <c r="GB187" i="28"/>
  <c r="GB188" i="28"/>
  <c r="GB189" i="28"/>
  <c r="GB190" i="28"/>
  <c r="GB191" i="28"/>
  <c r="GB192" i="28"/>
  <c r="GB193" i="28"/>
  <c r="GB194" i="28"/>
  <c r="GB195" i="28"/>
  <c r="GB196" i="28"/>
  <c r="GB197" i="28"/>
  <c r="GB198" i="28"/>
  <c r="GB199" i="28"/>
  <c r="GB200" i="28"/>
  <c r="GB201" i="28"/>
  <c r="GB202" i="28"/>
  <c r="GB203" i="28"/>
  <c r="GB204" i="28"/>
  <c r="GB206" i="28"/>
  <c r="GA116" i="28"/>
  <c r="GA117" i="28"/>
  <c r="GA118" i="28"/>
  <c r="GA119" i="28"/>
  <c r="GA120" i="28"/>
  <c r="GA121" i="28"/>
  <c r="GA122" i="28"/>
  <c r="GA123" i="28"/>
  <c r="GA124" i="28"/>
  <c r="GA125" i="28"/>
  <c r="GA126" i="28"/>
  <c r="GA127" i="28"/>
  <c r="GA128" i="28"/>
  <c r="GA129" i="28"/>
  <c r="GA130" i="28"/>
  <c r="GA131" i="28"/>
  <c r="GA132" i="28"/>
  <c r="GA133" i="28"/>
  <c r="GA134" i="28"/>
  <c r="GA135" i="28"/>
  <c r="GA136" i="28"/>
  <c r="GA137" i="28"/>
  <c r="GA138" i="28"/>
  <c r="GA139" i="28"/>
  <c r="GA140" i="28"/>
  <c r="GA141" i="28"/>
  <c r="GA142" i="28"/>
  <c r="GA143" i="28"/>
  <c r="GA144" i="28"/>
  <c r="GA145" i="28"/>
  <c r="GA146" i="28"/>
  <c r="GA147" i="28"/>
  <c r="GA148" i="28"/>
  <c r="GA149" i="28"/>
  <c r="GA150" i="28"/>
  <c r="GA151" i="28"/>
  <c r="GA152" i="28"/>
  <c r="GA153" i="28"/>
  <c r="GA154" i="28"/>
  <c r="GA155" i="28"/>
  <c r="GA156" i="28"/>
  <c r="GA157" i="28"/>
  <c r="GA158" i="28"/>
  <c r="GA159" i="28"/>
  <c r="GA160" i="28"/>
  <c r="GA161" i="28"/>
  <c r="GA162" i="28"/>
  <c r="GA163" i="28"/>
  <c r="GA164" i="28"/>
  <c r="GA165" i="28"/>
  <c r="GA166" i="28"/>
  <c r="GA167" i="28"/>
  <c r="GA168" i="28"/>
  <c r="GA169" i="28"/>
  <c r="GA170" i="28"/>
  <c r="GA171" i="28"/>
  <c r="GA172" i="28"/>
  <c r="GA173" i="28"/>
  <c r="GA174" i="28"/>
  <c r="GA175" i="28"/>
  <c r="GA176" i="28"/>
  <c r="GA177" i="28"/>
  <c r="GA178" i="28"/>
  <c r="GA179" i="28"/>
  <c r="GA180" i="28"/>
  <c r="GA181" i="28"/>
  <c r="GA182" i="28"/>
  <c r="GA183" i="28"/>
  <c r="GA184" i="28"/>
  <c r="GA185" i="28"/>
  <c r="GA186" i="28"/>
  <c r="GA187" i="28"/>
  <c r="GA188" i="28"/>
  <c r="GA189" i="28"/>
  <c r="GA190" i="28"/>
  <c r="GA191" i="28"/>
  <c r="GA192" i="28"/>
  <c r="GA193" i="28"/>
  <c r="GA194" i="28"/>
  <c r="GA195" i="28"/>
  <c r="GA196" i="28"/>
  <c r="GA197" i="28"/>
  <c r="GA198" i="28"/>
  <c r="GA199" i="28"/>
  <c r="GA200" i="28"/>
  <c r="GA201" i="28"/>
  <c r="GA202" i="28"/>
  <c r="GA203" i="28"/>
  <c r="GA204" i="28"/>
  <c r="GA205" i="28"/>
  <c r="FZ116" i="28"/>
  <c r="FZ117" i="28"/>
  <c r="FZ118" i="28"/>
  <c r="FZ119" i="28"/>
  <c r="FZ120" i="28"/>
  <c r="FZ121" i="28"/>
  <c r="FZ122" i="28"/>
  <c r="FZ123" i="28"/>
  <c r="FZ124" i="28"/>
  <c r="FZ125" i="28"/>
  <c r="FZ126" i="28"/>
  <c r="FZ127" i="28"/>
  <c r="FZ128" i="28"/>
  <c r="FZ129" i="28"/>
  <c r="FZ130" i="28"/>
  <c r="FZ131" i="28"/>
  <c r="FZ132" i="28"/>
  <c r="FZ133" i="28"/>
  <c r="FZ134" i="28"/>
  <c r="FZ135" i="28"/>
  <c r="FZ136" i="28"/>
  <c r="FZ137" i="28"/>
  <c r="FZ138" i="28"/>
  <c r="FZ139" i="28"/>
  <c r="FZ140" i="28"/>
  <c r="FZ141" i="28"/>
  <c r="FZ142" i="28"/>
  <c r="FZ143" i="28"/>
  <c r="FZ144" i="28"/>
  <c r="FZ145" i="28"/>
  <c r="FZ146" i="28"/>
  <c r="FZ147" i="28"/>
  <c r="FZ148" i="28"/>
  <c r="FZ149" i="28"/>
  <c r="FZ150" i="28"/>
  <c r="FZ151" i="28"/>
  <c r="FZ152" i="28"/>
  <c r="FZ153" i="28"/>
  <c r="FZ154" i="28"/>
  <c r="FZ155" i="28"/>
  <c r="FZ156" i="28"/>
  <c r="FZ157" i="28"/>
  <c r="FZ158" i="28"/>
  <c r="FZ159" i="28"/>
  <c r="FZ160" i="28"/>
  <c r="FZ161" i="28"/>
  <c r="FZ162" i="28"/>
  <c r="FZ163" i="28"/>
  <c r="FZ164" i="28"/>
  <c r="FZ165" i="28"/>
  <c r="FZ166" i="28"/>
  <c r="FZ167" i="28"/>
  <c r="FZ168" i="28"/>
  <c r="FZ169" i="28"/>
  <c r="FZ170" i="28"/>
  <c r="FZ171" i="28"/>
  <c r="FZ172" i="28"/>
  <c r="FZ173" i="28"/>
  <c r="FZ174" i="28"/>
  <c r="FZ175" i="28"/>
  <c r="FZ176" i="28"/>
  <c r="FZ177" i="28"/>
  <c r="FZ178" i="28"/>
  <c r="FZ179" i="28"/>
  <c r="FZ180" i="28"/>
  <c r="FZ181" i="28"/>
  <c r="FZ182" i="28"/>
  <c r="FZ183" i="28"/>
  <c r="FZ184" i="28"/>
  <c r="FZ185" i="28"/>
  <c r="FZ186" i="28"/>
  <c r="FZ187" i="28"/>
  <c r="FZ188" i="28"/>
  <c r="FZ189" i="28"/>
  <c r="FZ190" i="28"/>
  <c r="FZ191" i="28"/>
  <c r="FZ192" i="28"/>
  <c r="FZ193" i="28"/>
  <c r="FZ194" i="28"/>
  <c r="FZ195" i="28"/>
  <c r="FZ196" i="28"/>
  <c r="FZ197" i="28"/>
  <c r="FZ198" i="28"/>
  <c r="FZ199" i="28"/>
  <c r="FZ200" i="28"/>
  <c r="FZ201" i="28"/>
  <c r="FZ202" i="28"/>
  <c r="FZ203" i="28"/>
  <c r="FZ204" i="28"/>
  <c r="FZ205" i="28"/>
  <c r="FZ206" i="28"/>
  <c r="FY116" i="28"/>
  <c r="FY117" i="28"/>
  <c r="FY118" i="28"/>
  <c r="FY119" i="28"/>
  <c r="FY120" i="28"/>
  <c r="FY121" i="28"/>
  <c r="FY122" i="28"/>
  <c r="FY123" i="28"/>
  <c r="FY124" i="28"/>
  <c r="FY125" i="28"/>
  <c r="FY126" i="28"/>
  <c r="FY127" i="28"/>
  <c r="FY128" i="28"/>
  <c r="FY129" i="28"/>
  <c r="FY130" i="28"/>
  <c r="FY131" i="28"/>
  <c r="FY132" i="28"/>
  <c r="FY133" i="28"/>
  <c r="FY134" i="28"/>
  <c r="FY135" i="28"/>
  <c r="FY136" i="28"/>
  <c r="FY137" i="28"/>
  <c r="FY138" i="28"/>
  <c r="FY139" i="28"/>
  <c r="FY140" i="28"/>
  <c r="FY141" i="28"/>
  <c r="FY142" i="28"/>
  <c r="FY143" i="28"/>
  <c r="FY144" i="28"/>
  <c r="FY145" i="28"/>
  <c r="FY146" i="28"/>
  <c r="FY147" i="28"/>
  <c r="FY148" i="28"/>
  <c r="FY149" i="28"/>
  <c r="FY150" i="28"/>
  <c r="FY151" i="28"/>
  <c r="FY152" i="28"/>
  <c r="FY153" i="28"/>
  <c r="FY154" i="28"/>
  <c r="FY155" i="28"/>
  <c r="FY156" i="28"/>
  <c r="FY157" i="28"/>
  <c r="FY158" i="28"/>
  <c r="FY159" i="28"/>
  <c r="FY160" i="28"/>
  <c r="FY161" i="28"/>
  <c r="FY162" i="28"/>
  <c r="FY163" i="28"/>
  <c r="FY164" i="28"/>
  <c r="FY165" i="28"/>
  <c r="FY166" i="28"/>
  <c r="FY167" i="28"/>
  <c r="FY168" i="28"/>
  <c r="FY169" i="28"/>
  <c r="FY170" i="28"/>
  <c r="FY171" i="28"/>
  <c r="FY172" i="28"/>
  <c r="FY173" i="28"/>
  <c r="FY174" i="28"/>
  <c r="FY175" i="28"/>
  <c r="FY176" i="28"/>
  <c r="FY177" i="28"/>
  <c r="FY178" i="28"/>
  <c r="FY179" i="28"/>
  <c r="FY180" i="28"/>
  <c r="FY181" i="28"/>
  <c r="FY182" i="28"/>
  <c r="FY183" i="28"/>
  <c r="FY184" i="28"/>
  <c r="FY185" i="28"/>
  <c r="FY186" i="28"/>
  <c r="FY187" i="28"/>
  <c r="FY188" i="28"/>
  <c r="FY189" i="28"/>
  <c r="FY190" i="28"/>
  <c r="FY191" i="28"/>
  <c r="FY192" i="28"/>
  <c r="FY193" i="28"/>
  <c r="FY194" i="28"/>
  <c r="FY195" i="28"/>
  <c r="FY196" i="28"/>
  <c r="FY197" i="28"/>
  <c r="FY198" i="28"/>
  <c r="FY199" i="28"/>
  <c r="FY200" i="28"/>
  <c r="FY201" i="28"/>
  <c r="FY202" i="28"/>
  <c r="FY203" i="28"/>
  <c r="FY204" i="28"/>
  <c r="FY206" i="28"/>
  <c r="FX116" i="28"/>
  <c r="FX117" i="28"/>
  <c r="FX118" i="28"/>
  <c r="FX119" i="28"/>
  <c r="FX120" i="28"/>
  <c r="FX121" i="28"/>
  <c r="FX122" i="28"/>
  <c r="FX123" i="28"/>
  <c r="FX124" i="28"/>
  <c r="FX125" i="28"/>
  <c r="FX126" i="28"/>
  <c r="FX127" i="28"/>
  <c r="FX128" i="28"/>
  <c r="FX129" i="28"/>
  <c r="FX130" i="28"/>
  <c r="FX131" i="28"/>
  <c r="FX132" i="28"/>
  <c r="FX133" i="28"/>
  <c r="FX134" i="28"/>
  <c r="FX135" i="28"/>
  <c r="FX136" i="28"/>
  <c r="FX137" i="28"/>
  <c r="FX138" i="28"/>
  <c r="FX139" i="28"/>
  <c r="FX140" i="28"/>
  <c r="FX141" i="28"/>
  <c r="FX142" i="28"/>
  <c r="FX143" i="28"/>
  <c r="FX144" i="28"/>
  <c r="FX145" i="28"/>
  <c r="FX146" i="28"/>
  <c r="FX147" i="28"/>
  <c r="FX148" i="28"/>
  <c r="FX149" i="28"/>
  <c r="FX150" i="28"/>
  <c r="FX151" i="28"/>
  <c r="FX152" i="28"/>
  <c r="FX153" i="28"/>
  <c r="FX154" i="28"/>
  <c r="FX155" i="28"/>
  <c r="FX156" i="28"/>
  <c r="FX157" i="28"/>
  <c r="FX158" i="28"/>
  <c r="FX159" i="28"/>
  <c r="FX160" i="28"/>
  <c r="FX161" i="28"/>
  <c r="FX162" i="28"/>
  <c r="FX163" i="28"/>
  <c r="FX164" i="28"/>
  <c r="FX165" i="28"/>
  <c r="FX166" i="28"/>
  <c r="FX167" i="28"/>
  <c r="FX168" i="28"/>
  <c r="FX169" i="28"/>
  <c r="FX170" i="28"/>
  <c r="FX171" i="28"/>
  <c r="FX172" i="28"/>
  <c r="FX173" i="28"/>
  <c r="FX174" i="28"/>
  <c r="FX175" i="28"/>
  <c r="FX176" i="28"/>
  <c r="FX177" i="28"/>
  <c r="FX178" i="28"/>
  <c r="FX179" i="28"/>
  <c r="FX180" i="28"/>
  <c r="FX181" i="28"/>
  <c r="FX182" i="28"/>
  <c r="FX183" i="28"/>
  <c r="FX184" i="28"/>
  <c r="FX185" i="28"/>
  <c r="FX186" i="28"/>
  <c r="FX187" i="28"/>
  <c r="FX188" i="28"/>
  <c r="FX189" i="28"/>
  <c r="FX190" i="28"/>
  <c r="FX191" i="28"/>
  <c r="FX192" i="28"/>
  <c r="FX193" i="28"/>
  <c r="FX194" i="28"/>
  <c r="FX195" i="28"/>
  <c r="FX196" i="28"/>
  <c r="FX197" i="28"/>
  <c r="FX198" i="28"/>
  <c r="FX199" i="28"/>
  <c r="FX200" i="28"/>
  <c r="FX201" i="28"/>
  <c r="FX202" i="28"/>
  <c r="FX203" i="28"/>
  <c r="FX204" i="28"/>
  <c r="FX206" i="28"/>
  <c r="FW116" i="28"/>
  <c r="FW117" i="28"/>
  <c r="K97" i="31"/>
  <c r="FW118" i="28"/>
  <c r="FW119" i="28"/>
  <c r="FW120" i="28"/>
  <c r="FW121" i="28"/>
  <c r="FW122" i="28"/>
  <c r="FW123" i="28"/>
  <c r="FW124" i="28"/>
  <c r="FW125" i="28"/>
  <c r="FW126" i="28"/>
  <c r="FW127" i="28"/>
  <c r="FW128" i="28"/>
  <c r="FW129" i="28"/>
  <c r="FW130" i="28"/>
  <c r="FW131" i="28"/>
  <c r="FW132" i="28"/>
  <c r="FW133" i="28"/>
  <c r="FW134" i="28"/>
  <c r="FW135" i="28"/>
  <c r="FW136" i="28"/>
  <c r="FW137" i="28"/>
  <c r="FW138" i="28"/>
  <c r="FW139" i="28"/>
  <c r="FW140" i="28"/>
  <c r="FW141" i="28"/>
  <c r="FW142" i="28"/>
  <c r="FW143" i="28"/>
  <c r="FW144" i="28"/>
  <c r="FW145" i="28"/>
  <c r="FW146" i="28"/>
  <c r="FW147" i="28"/>
  <c r="FW148" i="28"/>
  <c r="FW149" i="28"/>
  <c r="FW150" i="28"/>
  <c r="FW151" i="28"/>
  <c r="FW152" i="28"/>
  <c r="FW153" i="28"/>
  <c r="FW154" i="28"/>
  <c r="FW155" i="28"/>
  <c r="FW156" i="28"/>
  <c r="FW157" i="28"/>
  <c r="FW158" i="28"/>
  <c r="FW159" i="28"/>
  <c r="FW160" i="28"/>
  <c r="FW161" i="28"/>
  <c r="FW162" i="28"/>
  <c r="FW163" i="28"/>
  <c r="FW164" i="28"/>
  <c r="FW165" i="28"/>
  <c r="FW166" i="28"/>
  <c r="FW167" i="28"/>
  <c r="FW168" i="28"/>
  <c r="FW169" i="28"/>
  <c r="FW170" i="28"/>
  <c r="FW171" i="28"/>
  <c r="FW172" i="28"/>
  <c r="FW173" i="28"/>
  <c r="FW174" i="28"/>
  <c r="FW175" i="28"/>
  <c r="FW176" i="28"/>
  <c r="FW177" i="28"/>
  <c r="FW178" i="28"/>
  <c r="FW179" i="28"/>
  <c r="FW180" i="28"/>
  <c r="FW181" i="28"/>
  <c r="FW182" i="28"/>
  <c r="FW183" i="28"/>
  <c r="FW184" i="28"/>
  <c r="FW185" i="28"/>
  <c r="FW186" i="28"/>
  <c r="FW187" i="28"/>
  <c r="FW188" i="28"/>
  <c r="FW189" i="28"/>
  <c r="FW190" i="28"/>
  <c r="FW191" i="28"/>
  <c r="FW192" i="28"/>
  <c r="FW193" i="28"/>
  <c r="FW194" i="28"/>
  <c r="FW195" i="28"/>
  <c r="FW196" i="28"/>
  <c r="FW197" i="28"/>
  <c r="FW198" i="28"/>
  <c r="FW199" i="28"/>
  <c r="FW200" i="28"/>
  <c r="FW201" i="28"/>
  <c r="FW202" i="28"/>
  <c r="FW203" i="28"/>
  <c r="FW204" i="28"/>
  <c r="FV116" i="28"/>
  <c r="FV117" i="28"/>
  <c r="FV118" i="28"/>
  <c r="FV119" i="28"/>
  <c r="FV120" i="28"/>
  <c r="FV121" i="28"/>
  <c r="FV122" i="28"/>
  <c r="FV123" i="28"/>
  <c r="FV124" i="28"/>
  <c r="FV125" i="28"/>
  <c r="FV126" i="28"/>
  <c r="FV127" i="28"/>
  <c r="FV128" i="28"/>
  <c r="FV129" i="28"/>
  <c r="FV130" i="28"/>
  <c r="FV131" i="28"/>
  <c r="FV132" i="28"/>
  <c r="FV133" i="28"/>
  <c r="FV134" i="28"/>
  <c r="FV135" i="28"/>
  <c r="FV136" i="28"/>
  <c r="FV137" i="28"/>
  <c r="FV138" i="28"/>
  <c r="FV139" i="28"/>
  <c r="FV140" i="28"/>
  <c r="FV141" i="28"/>
  <c r="FV142" i="28"/>
  <c r="FV143" i="28"/>
  <c r="FV144" i="28"/>
  <c r="FV145" i="28"/>
  <c r="FV146" i="28"/>
  <c r="FV147" i="28"/>
  <c r="FV148" i="28"/>
  <c r="FV149" i="28"/>
  <c r="FV150" i="28"/>
  <c r="FV151" i="28"/>
  <c r="FV152" i="28"/>
  <c r="FV153" i="28"/>
  <c r="FV154" i="28"/>
  <c r="FV155" i="28"/>
  <c r="FV156" i="28"/>
  <c r="FV157" i="28"/>
  <c r="FV158" i="28"/>
  <c r="FV159" i="28"/>
  <c r="FV160" i="28"/>
  <c r="FV161" i="28"/>
  <c r="FV162" i="28"/>
  <c r="FV163" i="28"/>
  <c r="FV164" i="28"/>
  <c r="FV165" i="28"/>
  <c r="FV166" i="28"/>
  <c r="FV167" i="28"/>
  <c r="FV168" i="28"/>
  <c r="FV169" i="28"/>
  <c r="FV170" i="28"/>
  <c r="FV171" i="28"/>
  <c r="FV172" i="28"/>
  <c r="FV173" i="28"/>
  <c r="FV174" i="28"/>
  <c r="FV175" i="28"/>
  <c r="FV176" i="28"/>
  <c r="FV177" i="28"/>
  <c r="FV178" i="28"/>
  <c r="FV179" i="28"/>
  <c r="FV180" i="28"/>
  <c r="FV181" i="28"/>
  <c r="FV182" i="28"/>
  <c r="FV183" i="28"/>
  <c r="FV184" i="28"/>
  <c r="FV185" i="28"/>
  <c r="FV186" i="28"/>
  <c r="FV187" i="28"/>
  <c r="FV188" i="28"/>
  <c r="FV189" i="28"/>
  <c r="FV190" i="28"/>
  <c r="FV191" i="28"/>
  <c r="FV192" i="28"/>
  <c r="FV193" i="28"/>
  <c r="FV194" i="28"/>
  <c r="FV195" i="28"/>
  <c r="FV196" i="28"/>
  <c r="FV197" i="28"/>
  <c r="FV198" i="28"/>
  <c r="FV199" i="28"/>
  <c r="FV200" i="28"/>
  <c r="FV201" i="28"/>
  <c r="FV202" i="28"/>
  <c r="FV203" i="28"/>
  <c r="FV204" i="28"/>
  <c r="FV205" i="28"/>
  <c r="FV206" i="28"/>
  <c r="FU116" i="28"/>
  <c r="FU117" i="28"/>
  <c r="FU118" i="28"/>
  <c r="FU119" i="28"/>
  <c r="FU120" i="28"/>
  <c r="FU121" i="28"/>
  <c r="FU122" i="28"/>
  <c r="FU123" i="28"/>
  <c r="FU124" i="28"/>
  <c r="FU125" i="28"/>
  <c r="FU126" i="28"/>
  <c r="FU127" i="28"/>
  <c r="FU128" i="28"/>
  <c r="FU129" i="28"/>
  <c r="FU130" i="28"/>
  <c r="FU131" i="28"/>
  <c r="FU132" i="28"/>
  <c r="FU133" i="28"/>
  <c r="FU134" i="28"/>
  <c r="FU135" i="28"/>
  <c r="FU136" i="28"/>
  <c r="FU137" i="28"/>
  <c r="FU138" i="28"/>
  <c r="FU139" i="28"/>
  <c r="FU140" i="28"/>
  <c r="FU141" i="28"/>
  <c r="FU142" i="28"/>
  <c r="FU143" i="28"/>
  <c r="FU144" i="28"/>
  <c r="FU145" i="28"/>
  <c r="FU146" i="28"/>
  <c r="FU147" i="28"/>
  <c r="FU148" i="28"/>
  <c r="FU149" i="28"/>
  <c r="FU150" i="28"/>
  <c r="FU151" i="28"/>
  <c r="FU152" i="28"/>
  <c r="FU153" i="28"/>
  <c r="FU154" i="28"/>
  <c r="FU155" i="28"/>
  <c r="FU156" i="28"/>
  <c r="FU157" i="28"/>
  <c r="FU158" i="28"/>
  <c r="FU159" i="28"/>
  <c r="FU160" i="28"/>
  <c r="FU161" i="28"/>
  <c r="FU162" i="28"/>
  <c r="FU163" i="28"/>
  <c r="FU164" i="28"/>
  <c r="FU165" i="28"/>
  <c r="FU166" i="28"/>
  <c r="FU167" i="28"/>
  <c r="FU168" i="28"/>
  <c r="FU169" i="28"/>
  <c r="FU170" i="28"/>
  <c r="FU171" i="28"/>
  <c r="FU172" i="28"/>
  <c r="FU173" i="28"/>
  <c r="FU174" i="28"/>
  <c r="FU175" i="28"/>
  <c r="FU176" i="28"/>
  <c r="FU177" i="28"/>
  <c r="FU178" i="28"/>
  <c r="FU179" i="28"/>
  <c r="FU180" i="28"/>
  <c r="FU181" i="28"/>
  <c r="FU182" i="28"/>
  <c r="FU183" i="28"/>
  <c r="FU184" i="28"/>
  <c r="FU185" i="28"/>
  <c r="FU186" i="28"/>
  <c r="FU187" i="28"/>
  <c r="FU188" i="28"/>
  <c r="FU189" i="28"/>
  <c r="FU190" i="28"/>
  <c r="FU191" i="28"/>
  <c r="FU192" i="28"/>
  <c r="FU193" i="28"/>
  <c r="FU194" i="28"/>
  <c r="FU195" i="28"/>
  <c r="FU196" i="28"/>
  <c r="FU197" i="28"/>
  <c r="FU198" i="28"/>
  <c r="FU199" i="28"/>
  <c r="FU200" i="28"/>
  <c r="FU201" i="28"/>
  <c r="FU202" i="28"/>
  <c r="FU203" i="28"/>
  <c r="FU204" i="28"/>
  <c r="FU206" i="28"/>
  <c r="FT116" i="28"/>
  <c r="FT117" i="28"/>
  <c r="FT118" i="28"/>
  <c r="FT119" i="28"/>
  <c r="FT120" i="28"/>
  <c r="FT121" i="28"/>
  <c r="FT122" i="28"/>
  <c r="FT123" i="28"/>
  <c r="FT124" i="28"/>
  <c r="FT125" i="28"/>
  <c r="FT126" i="28"/>
  <c r="FT127" i="28"/>
  <c r="FT128" i="28"/>
  <c r="FT129" i="28"/>
  <c r="FT130" i="28"/>
  <c r="FT131" i="28"/>
  <c r="FT132" i="28"/>
  <c r="FT133" i="28"/>
  <c r="FT134" i="28"/>
  <c r="FT135" i="28"/>
  <c r="FT136" i="28"/>
  <c r="FT137" i="28"/>
  <c r="FT138" i="28"/>
  <c r="FT139" i="28"/>
  <c r="FT140" i="28"/>
  <c r="FT141" i="28"/>
  <c r="FT142" i="28"/>
  <c r="FT143" i="28"/>
  <c r="FT144" i="28"/>
  <c r="FT145" i="28"/>
  <c r="FT146" i="28"/>
  <c r="FT147" i="28"/>
  <c r="FT148" i="28"/>
  <c r="FT149" i="28"/>
  <c r="FT150" i="28"/>
  <c r="FT151" i="28"/>
  <c r="FT152" i="28"/>
  <c r="FT153" i="28"/>
  <c r="FT154" i="28"/>
  <c r="FT155" i="28"/>
  <c r="FT156" i="28"/>
  <c r="FT157" i="28"/>
  <c r="FT158" i="28"/>
  <c r="FT159" i="28"/>
  <c r="FT160" i="28"/>
  <c r="FT161" i="28"/>
  <c r="FT162" i="28"/>
  <c r="FT163" i="28"/>
  <c r="FT164" i="28"/>
  <c r="FT165" i="28"/>
  <c r="FT166" i="28"/>
  <c r="FT167" i="28"/>
  <c r="FT168" i="28"/>
  <c r="FT169" i="28"/>
  <c r="FT170" i="28"/>
  <c r="FT171" i="28"/>
  <c r="FT172" i="28"/>
  <c r="FT173" i="28"/>
  <c r="FT174" i="28"/>
  <c r="FT175" i="28"/>
  <c r="FT176" i="28"/>
  <c r="FT177" i="28"/>
  <c r="FT178" i="28"/>
  <c r="FT179" i="28"/>
  <c r="FT180" i="28"/>
  <c r="FT181" i="28"/>
  <c r="FT182" i="28"/>
  <c r="FT183" i="28"/>
  <c r="FT184" i="28"/>
  <c r="FT185" i="28"/>
  <c r="FT186" i="28"/>
  <c r="FT187" i="28"/>
  <c r="FT188" i="28"/>
  <c r="FT189" i="28"/>
  <c r="FT190" i="28"/>
  <c r="FT191" i="28"/>
  <c r="FT192" i="28"/>
  <c r="FT193" i="28"/>
  <c r="FT194" i="28"/>
  <c r="FT195" i="28"/>
  <c r="FT196" i="28"/>
  <c r="FT197" i="28"/>
  <c r="FT198" i="28"/>
  <c r="FT199" i="28"/>
  <c r="FT200" i="28"/>
  <c r="FT201" i="28"/>
  <c r="FT202" i="28"/>
  <c r="FT203" i="28"/>
  <c r="FT204" i="28"/>
  <c r="FT205" i="28"/>
  <c r="FT206" i="28"/>
  <c r="FS116" i="28"/>
  <c r="FS117" i="28"/>
  <c r="FS118" i="28"/>
  <c r="FS119" i="28"/>
  <c r="FS120" i="28"/>
  <c r="FS121" i="28"/>
  <c r="FS122" i="28"/>
  <c r="FS123" i="28"/>
  <c r="FS124" i="28"/>
  <c r="FS125" i="28"/>
  <c r="FS126" i="28"/>
  <c r="FS127" i="28"/>
  <c r="FS128" i="28"/>
  <c r="FS129" i="28"/>
  <c r="FS130" i="28"/>
  <c r="FS131" i="28"/>
  <c r="FS132" i="28"/>
  <c r="FS133" i="28"/>
  <c r="FS134" i="28"/>
  <c r="FS135" i="28"/>
  <c r="FS136" i="28"/>
  <c r="FS137" i="28"/>
  <c r="FS138" i="28"/>
  <c r="FS139" i="28"/>
  <c r="FS140" i="28"/>
  <c r="FS141" i="28"/>
  <c r="FS142" i="28"/>
  <c r="FS143" i="28"/>
  <c r="FS144" i="28"/>
  <c r="FS145" i="28"/>
  <c r="FS146" i="28"/>
  <c r="FS147" i="28"/>
  <c r="FS148" i="28"/>
  <c r="FS149" i="28"/>
  <c r="FS150" i="28"/>
  <c r="FS151" i="28"/>
  <c r="FS152" i="28"/>
  <c r="FS153" i="28"/>
  <c r="FS154" i="28"/>
  <c r="FS155" i="28"/>
  <c r="FS156" i="28"/>
  <c r="FS157" i="28"/>
  <c r="FS158" i="28"/>
  <c r="FS159" i="28"/>
  <c r="FS160" i="28"/>
  <c r="FS161" i="28"/>
  <c r="FS162" i="28"/>
  <c r="FS163" i="28"/>
  <c r="FS164" i="28"/>
  <c r="FS165" i="28"/>
  <c r="FS166" i="28"/>
  <c r="FS167" i="28"/>
  <c r="FS168" i="28"/>
  <c r="FS169" i="28"/>
  <c r="FS170" i="28"/>
  <c r="FS171" i="28"/>
  <c r="FS172" i="28"/>
  <c r="FS173" i="28"/>
  <c r="FS174" i="28"/>
  <c r="FS175" i="28"/>
  <c r="FS176" i="28"/>
  <c r="FS177" i="28"/>
  <c r="FS178" i="28"/>
  <c r="FS179" i="28"/>
  <c r="FS180" i="28"/>
  <c r="FS181" i="28"/>
  <c r="FS182" i="28"/>
  <c r="FS183" i="28"/>
  <c r="FS184" i="28"/>
  <c r="FS185" i="28"/>
  <c r="FS186" i="28"/>
  <c r="FS187" i="28"/>
  <c r="FS188" i="28"/>
  <c r="FS189" i="28"/>
  <c r="FS190" i="28"/>
  <c r="FS191" i="28"/>
  <c r="FS192" i="28"/>
  <c r="FS193" i="28"/>
  <c r="FS194" i="28"/>
  <c r="FS195" i="28"/>
  <c r="FS196" i="28"/>
  <c r="FS197" i="28"/>
  <c r="FS198" i="28"/>
  <c r="FS199" i="28"/>
  <c r="FS200" i="28"/>
  <c r="FS201" i="28"/>
  <c r="FS202" i="28"/>
  <c r="FS203" i="28"/>
  <c r="FS204" i="28"/>
  <c r="FS206" i="28"/>
  <c r="FR116" i="28"/>
  <c r="FR117" i="28"/>
  <c r="FR118" i="28"/>
  <c r="FR119" i="28"/>
  <c r="FR120" i="28"/>
  <c r="FR121" i="28"/>
  <c r="FR122" i="28"/>
  <c r="FR123" i="28"/>
  <c r="FR124" i="28"/>
  <c r="FR125" i="28"/>
  <c r="FR126" i="28"/>
  <c r="FR127" i="28"/>
  <c r="FR128" i="28"/>
  <c r="FR129" i="28"/>
  <c r="FR130" i="28"/>
  <c r="FR131" i="28"/>
  <c r="FR132" i="28"/>
  <c r="FR133" i="28"/>
  <c r="FR134" i="28"/>
  <c r="FR135" i="28"/>
  <c r="FR136" i="28"/>
  <c r="FR137" i="28"/>
  <c r="FR138" i="28"/>
  <c r="FR139" i="28"/>
  <c r="FR140" i="28"/>
  <c r="FR141" i="28"/>
  <c r="FR142" i="28"/>
  <c r="FR143" i="28"/>
  <c r="FR144" i="28"/>
  <c r="FR145" i="28"/>
  <c r="FR146" i="28"/>
  <c r="FR147" i="28"/>
  <c r="FR148" i="28"/>
  <c r="FR149" i="28"/>
  <c r="FR150" i="28"/>
  <c r="FR151" i="28"/>
  <c r="FR152" i="28"/>
  <c r="FR153" i="28"/>
  <c r="FR154" i="28"/>
  <c r="FR155" i="28"/>
  <c r="FR156" i="28"/>
  <c r="FR157" i="28"/>
  <c r="FR158" i="28"/>
  <c r="FR159" i="28"/>
  <c r="FR160" i="28"/>
  <c r="FR161" i="28"/>
  <c r="FR162" i="28"/>
  <c r="FR163" i="28"/>
  <c r="FR164" i="28"/>
  <c r="FR165" i="28"/>
  <c r="FR166" i="28"/>
  <c r="FR167" i="28"/>
  <c r="FR168" i="28"/>
  <c r="FR169" i="28"/>
  <c r="FR170" i="28"/>
  <c r="FR171" i="28"/>
  <c r="FR172" i="28"/>
  <c r="FR173" i="28"/>
  <c r="FR174" i="28"/>
  <c r="FR175" i="28"/>
  <c r="FR176" i="28"/>
  <c r="FR177" i="28"/>
  <c r="FR178" i="28"/>
  <c r="FR179" i="28"/>
  <c r="FR180" i="28"/>
  <c r="FR181" i="28"/>
  <c r="FR182" i="28"/>
  <c r="FR183" i="28"/>
  <c r="FR184" i="28"/>
  <c r="FR185" i="28"/>
  <c r="FR186" i="28"/>
  <c r="FR187" i="28"/>
  <c r="FR188" i="28"/>
  <c r="FR189" i="28"/>
  <c r="FR190" i="28"/>
  <c r="FR191" i="28"/>
  <c r="FR192" i="28"/>
  <c r="FR193" i="28"/>
  <c r="FR194" i="28"/>
  <c r="FR195" i="28"/>
  <c r="FR196" i="28"/>
  <c r="FR197" i="28"/>
  <c r="FR198" i="28"/>
  <c r="FR199" i="28"/>
  <c r="FR200" i="28"/>
  <c r="FR201" i="28"/>
  <c r="FR202" i="28"/>
  <c r="FR203" i="28"/>
  <c r="FR204" i="28"/>
  <c r="FR205" i="28"/>
  <c r="FR206" i="28"/>
  <c r="FQ116" i="28"/>
  <c r="FQ117" i="28"/>
  <c r="FQ118" i="28"/>
  <c r="FQ119" i="28"/>
  <c r="FQ120" i="28"/>
  <c r="FQ121" i="28"/>
  <c r="FQ122" i="28"/>
  <c r="FQ123" i="28"/>
  <c r="FQ124" i="28"/>
  <c r="FQ125" i="28"/>
  <c r="FQ126" i="28"/>
  <c r="FQ127" i="28"/>
  <c r="FQ128" i="28"/>
  <c r="FQ129" i="28"/>
  <c r="FQ130" i="28"/>
  <c r="FQ131" i="28"/>
  <c r="FQ132" i="28"/>
  <c r="FQ133" i="28"/>
  <c r="FQ134" i="28"/>
  <c r="FQ135" i="28"/>
  <c r="FQ136" i="28"/>
  <c r="FQ137" i="28"/>
  <c r="FQ138" i="28"/>
  <c r="FQ139" i="28"/>
  <c r="FQ140" i="28"/>
  <c r="FQ141" i="28"/>
  <c r="FQ142" i="28"/>
  <c r="FQ143" i="28"/>
  <c r="FQ144" i="28"/>
  <c r="FQ145" i="28"/>
  <c r="FQ146" i="28"/>
  <c r="FQ147" i="28"/>
  <c r="FQ148" i="28"/>
  <c r="FQ149" i="28"/>
  <c r="FQ150" i="28"/>
  <c r="FQ151" i="28"/>
  <c r="FQ152" i="28"/>
  <c r="FQ153" i="28"/>
  <c r="FQ154" i="28"/>
  <c r="FQ155" i="28"/>
  <c r="FQ156" i="28"/>
  <c r="FQ157" i="28"/>
  <c r="FQ158" i="28"/>
  <c r="FQ159" i="28"/>
  <c r="FQ160" i="28"/>
  <c r="FQ161" i="28"/>
  <c r="FQ162" i="28"/>
  <c r="FQ163" i="28"/>
  <c r="FQ164" i="28"/>
  <c r="FQ165" i="28"/>
  <c r="FQ166" i="28"/>
  <c r="FQ167" i="28"/>
  <c r="FQ168" i="28"/>
  <c r="FQ169" i="28"/>
  <c r="FQ170" i="28"/>
  <c r="FQ171" i="28"/>
  <c r="FQ172" i="28"/>
  <c r="FQ173" i="28"/>
  <c r="FQ174" i="28"/>
  <c r="FQ175" i="28"/>
  <c r="FQ176" i="28"/>
  <c r="FQ177" i="28"/>
  <c r="FQ178" i="28"/>
  <c r="FQ179" i="28"/>
  <c r="FQ180" i="28"/>
  <c r="FQ181" i="28"/>
  <c r="FQ182" i="28"/>
  <c r="FQ183" i="28"/>
  <c r="FQ184" i="28"/>
  <c r="FQ185" i="28"/>
  <c r="FQ186" i="28"/>
  <c r="FQ187" i="28"/>
  <c r="FQ188" i="28"/>
  <c r="FQ189" i="28"/>
  <c r="FQ190" i="28"/>
  <c r="FQ191" i="28"/>
  <c r="FQ192" i="28"/>
  <c r="FQ193" i="28"/>
  <c r="FQ194" i="28"/>
  <c r="FQ195" i="28"/>
  <c r="FQ196" i="28"/>
  <c r="FQ197" i="28"/>
  <c r="FQ198" i="28"/>
  <c r="FQ199" i="28"/>
  <c r="FQ200" i="28"/>
  <c r="FQ201" i="28"/>
  <c r="FQ202" i="28"/>
  <c r="FQ203" i="28"/>
  <c r="FQ204" i="28"/>
  <c r="FQ206" i="28"/>
  <c r="FP116" i="28"/>
  <c r="FP117" i="28"/>
  <c r="FP118" i="28"/>
  <c r="FP119" i="28"/>
  <c r="FP120" i="28"/>
  <c r="FP121" i="28"/>
  <c r="FP122" i="28"/>
  <c r="FP123" i="28"/>
  <c r="FP124" i="28"/>
  <c r="FP125" i="28"/>
  <c r="FP126" i="28"/>
  <c r="FP127" i="28"/>
  <c r="FP128" i="28"/>
  <c r="FP129" i="28"/>
  <c r="FP130" i="28"/>
  <c r="FP131" i="28"/>
  <c r="FP132" i="28"/>
  <c r="FP133" i="28"/>
  <c r="FP134" i="28"/>
  <c r="FP135" i="28"/>
  <c r="FP136" i="28"/>
  <c r="FP137" i="28"/>
  <c r="FP138" i="28"/>
  <c r="FP139" i="28"/>
  <c r="FP140" i="28"/>
  <c r="FP141" i="28"/>
  <c r="FP142" i="28"/>
  <c r="FP143" i="28"/>
  <c r="FP144" i="28"/>
  <c r="FP145" i="28"/>
  <c r="FP146" i="28"/>
  <c r="FP147" i="28"/>
  <c r="FP148" i="28"/>
  <c r="FP149" i="28"/>
  <c r="FP150" i="28"/>
  <c r="FP151" i="28"/>
  <c r="FP152" i="28"/>
  <c r="FP153" i="28"/>
  <c r="FP154" i="28"/>
  <c r="FP155" i="28"/>
  <c r="FP156" i="28"/>
  <c r="FP157" i="28"/>
  <c r="FP158" i="28"/>
  <c r="FP159" i="28"/>
  <c r="FP160" i="28"/>
  <c r="FP161" i="28"/>
  <c r="FP162" i="28"/>
  <c r="FP163" i="28"/>
  <c r="FP164" i="28"/>
  <c r="FP165" i="28"/>
  <c r="FP166" i="28"/>
  <c r="FP167" i="28"/>
  <c r="FP168" i="28"/>
  <c r="FP169" i="28"/>
  <c r="FP170" i="28"/>
  <c r="FP171" i="28"/>
  <c r="FP172" i="28"/>
  <c r="FP173" i="28"/>
  <c r="FP174" i="28"/>
  <c r="FP175" i="28"/>
  <c r="FP176" i="28"/>
  <c r="FP177" i="28"/>
  <c r="FP178" i="28"/>
  <c r="FP179" i="28"/>
  <c r="FP180" i="28"/>
  <c r="FP181" i="28"/>
  <c r="FP182" i="28"/>
  <c r="FP183" i="28"/>
  <c r="FP184" i="28"/>
  <c r="FP185" i="28"/>
  <c r="FP186" i="28"/>
  <c r="FP187" i="28"/>
  <c r="FP188" i="28"/>
  <c r="FP189" i="28"/>
  <c r="FP190" i="28"/>
  <c r="FP191" i="28"/>
  <c r="FP192" i="28"/>
  <c r="FP193" i="28"/>
  <c r="FP194" i="28"/>
  <c r="FP195" i="28"/>
  <c r="FP196" i="28"/>
  <c r="FP197" i="28"/>
  <c r="FP198" i="28"/>
  <c r="FP199" i="28"/>
  <c r="FP200" i="28"/>
  <c r="FP201" i="28"/>
  <c r="FP202" i="28"/>
  <c r="FP203" i="28"/>
  <c r="FP204" i="28"/>
  <c r="FP205" i="28"/>
  <c r="FP206" i="28"/>
  <c r="GB205" i="28"/>
  <c r="FX205" i="28"/>
  <c r="FS205" i="28"/>
  <c r="EQ116" i="28"/>
  <c r="EQ117" i="28"/>
  <c r="EQ118" i="28"/>
  <c r="EQ119" i="28"/>
  <c r="EQ120" i="28"/>
  <c r="EQ121" i="28"/>
  <c r="EQ122" i="28"/>
  <c r="EQ123" i="28"/>
  <c r="EQ124" i="28"/>
  <c r="EQ125" i="28"/>
  <c r="EQ126" i="28"/>
  <c r="EQ127" i="28"/>
  <c r="EQ128" i="28"/>
  <c r="EQ129" i="28"/>
  <c r="EQ130" i="28"/>
  <c r="EQ131" i="28"/>
  <c r="EQ132" i="28"/>
  <c r="EQ133" i="28"/>
  <c r="EQ134" i="28"/>
  <c r="EQ135" i="28"/>
  <c r="EQ136" i="28"/>
  <c r="EQ137" i="28"/>
  <c r="EQ138" i="28"/>
  <c r="EQ139" i="28"/>
  <c r="EQ140" i="28"/>
  <c r="EQ141" i="28"/>
  <c r="EQ142" i="28"/>
  <c r="EQ143" i="28"/>
  <c r="EQ144" i="28"/>
  <c r="EQ145" i="28"/>
  <c r="EQ146" i="28"/>
  <c r="EQ147" i="28"/>
  <c r="EQ148" i="28"/>
  <c r="EQ149" i="28"/>
  <c r="EQ150" i="28"/>
  <c r="EQ151" i="28"/>
  <c r="EQ152" i="28"/>
  <c r="EQ153" i="28"/>
  <c r="EQ154" i="28"/>
  <c r="EQ155" i="28"/>
  <c r="EQ156" i="28"/>
  <c r="EQ157" i="28"/>
  <c r="EQ158" i="28"/>
  <c r="EQ159" i="28"/>
  <c r="EQ160" i="28"/>
  <c r="EQ161" i="28"/>
  <c r="EQ162" i="28"/>
  <c r="EQ163" i="28"/>
  <c r="EQ164" i="28"/>
  <c r="EQ165" i="28"/>
  <c r="EQ166" i="28"/>
  <c r="EQ167" i="28"/>
  <c r="EQ168" i="28"/>
  <c r="EQ169" i="28"/>
  <c r="EQ170" i="28"/>
  <c r="EQ171" i="28"/>
  <c r="EQ172" i="28"/>
  <c r="EQ173" i="28"/>
  <c r="EQ174" i="28"/>
  <c r="EQ175" i="28"/>
  <c r="EQ176" i="28"/>
  <c r="EQ177" i="28"/>
  <c r="EQ178" i="28"/>
  <c r="EQ179" i="28"/>
  <c r="EQ180" i="28"/>
  <c r="EQ181" i="28"/>
  <c r="EQ182" i="28"/>
  <c r="EQ183" i="28"/>
  <c r="EQ184" i="28"/>
  <c r="EQ185" i="28"/>
  <c r="EQ186" i="28"/>
  <c r="EQ187" i="28"/>
  <c r="EQ188" i="28"/>
  <c r="EQ189" i="28"/>
  <c r="EQ190" i="28"/>
  <c r="EQ191" i="28"/>
  <c r="EQ192" i="28"/>
  <c r="EQ193" i="28"/>
  <c r="EQ194" i="28"/>
  <c r="EQ195" i="28"/>
  <c r="EQ196" i="28"/>
  <c r="EQ197" i="28"/>
  <c r="EQ198" i="28"/>
  <c r="EQ199" i="28"/>
  <c r="EQ200" i="28"/>
  <c r="EQ201" i="28"/>
  <c r="EQ202" i="28"/>
  <c r="EQ203" i="28"/>
  <c r="EQ204" i="28"/>
  <c r="ER206" i="28"/>
  <c r="EP118" i="28"/>
  <c r="EP119" i="28"/>
  <c r="EP120" i="28"/>
  <c r="EP121" i="28"/>
  <c r="EP122" i="28"/>
  <c r="EP123" i="28"/>
  <c r="EP124" i="28"/>
  <c r="EP125" i="28"/>
  <c r="EP126" i="28"/>
  <c r="EP128" i="28"/>
  <c r="EP129" i="28"/>
  <c r="EP130" i="28"/>
  <c r="EP131" i="28"/>
  <c r="EP132" i="28"/>
  <c r="EP133" i="28"/>
  <c r="EP134" i="28"/>
  <c r="EP135" i="28"/>
  <c r="EP136" i="28"/>
  <c r="EP137" i="28"/>
  <c r="EP138" i="28"/>
  <c r="EP139" i="28"/>
  <c r="EP140" i="28"/>
  <c r="EP141" i="28"/>
  <c r="EP142" i="28"/>
  <c r="EP143" i="28"/>
  <c r="EP144" i="28"/>
  <c r="EP145" i="28"/>
  <c r="EP146" i="28"/>
  <c r="EP147" i="28"/>
  <c r="EP148" i="28"/>
  <c r="EP149" i="28"/>
  <c r="EP150" i="28"/>
  <c r="EP151" i="28"/>
  <c r="EP152" i="28"/>
  <c r="EP153" i="28"/>
  <c r="EP154" i="28"/>
  <c r="EP155" i="28"/>
  <c r="EP156" i="28"/>
  <c r="EP157" i="28"/>
  <c r="EP158" i="28"/>
  <c r="EP159" i="28"/>
  <c r="EP161" i="28"/>
  <c r="EP162" i="28"/>
  <c r="EP163" i="28"/>
  <c r="EP164" i="28"/>
  <c r="EP165" i="28"/>
  <c r="EP166" i="28"/>
  <c r="EP167" i="28"/>
  <c r="EP168" i="28"/>
  <c r="EP169" i="28"/>
  <c r="EP170" i="28"/>
  <c r="EP171" i="28"/>
  <c r="EP172" i="28"/>
  <c r="EP173" i="28"/>
  <c r="EP174" i="28"/>
  <c r="EP175" i="28"/>
  <c r="EP176" i="28"/>
  <c r="EP177" i="28"/>
  <c r="EP178" i="28"/>
  <c r="EP179" i="28"/>
  <c r="EP180" i="28"/>
  <c r="EP181" i="28"/>
  <c r="EP182" i="28"/>
  <c r="EP183" i="28"/>
  <c r="EP184" i="28"/>
  <c r="EP185" i="28"/>
  <c r="EP186" i="28"/>
  <c r="EP187" i="28"/>
  <c r="EP188" i="28"/>
  <c r="EP189" i="28"/>
  <c r="EP190" i="28"/>
  <c r="EP191" i="28"/>
  <c r="EP192" i="28"/>
  <c r="EP193" i="28"/>
  <c r="EP194" i="28"/>
  <c r="EP195" i="28"/>
  <c r="EP196" i="28"/>
  <c r="EP197" i="28"/>
  <c r="EP198" i="28"/>
  <c r="EP199" i="28"/>
  <c r="EP200" i="28"/>
  <c r="EP201" i="28"/>
  <c r="EP202" i="28"/>
  <c r="EP203" i="28"/>
  <c r="EP204" i="28"/>
  <c r="EQ206" i="28"/>
  <c r="B52" i="26"/>
  <c r="EQ205" i="28"/>
  <c r="FF116" i="28"/>
  <c r="FF117" i="28"/>
  <c r="R94" i="31"/>
  <c r="FF118" i="28"/>
  <c r="FF119" i="28"/>
  <c r="FF120" i="28"/>
  <c r="FF121" i="28"/>
  <c r="FF122" i="28"/>
  <c r="FF123" i="28"/>
  <c r="FF124" i="28"/>
  <c r="FF125" i="28"/>
  <c r="FF126" i="28"/>
  <c r="FF127" i="28"/>
  <c r="FF128" i="28"/>
  <c r="FF129" i="28"/>
  <c r="FF130" i="28"/>
  <c r="FF131" i="28"/>
  <c r="FF132" i="28"/>
  <c r="FF133" i="28"/>
  <c r="FF134" i="28"/>
  <c r="FF135" i="28"/>
  <c r="FF136" i="28"/>
  <c r="FF137" i="28"/>
  <c r="FF138" i="28"/>
  <c r="FF139" i="28"/>
  <c r="FF140" i="28"/>
  <c r="FF141" i="28"/>
  <c r="FF142" i="28"/>
  <c r="FF143" i="28"/>
  <c r="FF144" i="28"/>
  <c r="FF145" i="28"/>
  <c r="FF146" i="28"/>
  <c r="FF147" i="28"/>
  <c r="FF148" i="28"/>
  <c r="FF149" i="28"/>
  <c r="FF150" i="28"/>
  <c r="FF151" i="28"/>
  <c r="FF152" i="28"/>
  <c r="FF153" i="28"/>
  <c r="FF154" i="28"/>
  <c r="FF155" i="28"/>
  <c r="FF156" i="28"/>
  <c r="FF157" i="28"/>
  <c r="FF158" i="28"/>
  <c r="FF159" i="28"/>
  <c r="FF160" i="28"/>
  <c r="FF161" i="28"/>
  <c r="FF162" i="28"/>
  <c r="FF163" i="28"/>
  <c r="FF164" i="28"/>
  <c r="FF165" i="28"/>
  <c r="FF166" i="28"/>
  <c r="FF167" i="28"/>
  <c r="FF168" i="28"/>
  <c r="FF169" i="28"/>
  <c r="FF170" i="28"/>
  <c r="FF171" i="28"/>
  <c r="FF172" i="28"/>
  <c r="FF173" i="28"/>
  <c r="FF174" i="28"/>
  <c r="FF175" i="28"/>
  <c r="FF176" i="28"/>
  <c r="FF177" i="28"/>
  <c r="FF178" i="28"/>
  <c r="FF179" i="28"/>
  <c r="FF180" i="28"/>
  <c r="FF181" i="28"/>
  <c r="FF182" i="28"/>
  <c r="FF183" i="28"/>
  <c r="FF184" i="28"/>
  <c r="FF185" i="28"/>
  <c r="FF186" i="28"/>
  <c r="FF187" i="28"/>
  <c r="FF188" i="28"/>
  <c r="FF189" i="28"/>
  <c r="FF190" i="28"/>
  <c r="FF191" i="28"/>
  <c r="FF192" i="28"/>
  <c r="FF193" i="28"/>
  <c r="FF194" i="28"/>
  <c r="FF195" i="28"/>
  <c r="FF196" i="28"/>
  <c r="FF197" i="28"/>
  <c r="FF198" i="28"/>
  <c r="FF199" i="28"/>
  <c r="FF200" i="28"/>
  <c r="FF201" i="28"/>
  <c r="FF202" i="28"/>
  <c r="FF203" i="28"/>
  <c r="FF204" i="28"/>
  <c r="FE116" i="28"/>
  <c r="FE117" i="28"/>
  <c r="FE118" i="28"/>
  <c r="FE119" i="28"/>
  <c r="FE120" i="28"/>
  <c r="FE121" i="28"/>
  <c r="FE122" i="28"/>
  <c r="FE123" i="28"/>
  <c r="FE124" i="28"/>
  <c r="FE125" i="28"/>
  <c r="FE126" i="28"/>
  <c r="FE127" i="28"/>
  <c r="FE128" i="28"/>
  <c r="FE129" i="28"/>
  <c r="FE130" i="28"/>
  <c r="FE131" i="28"/>
  <c r="FE132" i="28"/>
  <c r="FE133" i="28"/>
  <c r="FE134" i="28"/>
  <c r="FE135" i="28"/>
  <c r="FE136" i="28"/>
  <c r="FE137" i="28"/>
  <c r="FE138" i="28"/>
  <c r="FE139" i="28"/>
  <c r="FE140" i="28"/>
  <c r="FE141" i="28"/>
  <c r="FE142" i="28"/>
  <c r="FE143" i="28"/>
  <c r="FE144" i="28"/>
  <c r="FE145" i="28"/>
  <c r="FE146" i="28"/>
  <c r="FE147" i="28"/>
  <c r="FE148" i="28"/>
  <c r="FE149" i="28"/>
  <c r="FE150" i="28"/>
  <c r="FE151" i="28"/>
  <c r="FE152" i="28"/>
  <c r="FE153" i="28"/>
  <c r="FE154" i="28"/>
  <c r="FE155" i="28"/>
  <c r="FE156" i="28"/>
  <c r="FE157" i="28"/>
  <c r="FE158" i="28"/>
  <c r="FE159" i="28"/>
  <c r="FE160" i="28"/>
  <c r="FE161" i="28"/>
  <c r="FE162" i="28"/>
  <c r="FE163" i="28"/>
  <c r="FE164" i="28"/>
  <c r="FE165" i="28"/>
  <c r="FE166" i="28"/>
  <c r="FE167" i="28"/>
  <c r="FE168" i="28"/>
  <c r="FE169" i="28"/>
  <c r="FE170" i="28"/>
  <c r="FE171" i="28"/>
  <c r="FE172" i="28"/>
  <c r="FE173" i="28"/>
  <c r="FE174" i="28"/>
  <c r="FE175" i="28"/>
  <c r="FE176" i="28"/>
  <c r="FE177" i="28"/>
  <c r="FE178" i="28"/>
  <c r="FE179" i="28"/>
  <c r="FE180" i="28"/>
  <c r="FE181" i="28"/>
  <c r="FE182" i="28"/>
  <c r="FE183" i="28"/>
  <c r="FE184" i="28"/>
  <c r="FE185" i="28"/>
  <c r="FE186" i="28"/>
  <c r="FE187" i="28"/>
  <c r="FE188" i="28"/>
  <c r="FE189" i="28"/>
  <c r="FE190" i="28"/>
  <c r="FE191" i="28"/>
  <c r="FE192" i="28"/>
  <c r="FE193" i="28"/>
  <c r="FE194" i="28"/>
  <c r="FE195" i="28"/>
  <c r="FE196" i="28"/>
  <c r="FE197" i="28"/>
  <c r="FE198" i="28"/>
  <c r="FE199" i="28"/>
  <c r="FE200" i="28"/>
  <c r="FE201" i="28"/>
  <c r="FE202" i="28"/>
  <c r="FE203" i="28"/>
  <c r="FE204" i="28"/>
  <c r="FF205" i="28"/>
  <c r="FF206" i="28"/>
  <c r="FD116" i="28"/>
  <c r="FD117" i="28"/>
  <c r="FD118" i="28"/>
  <c r="FD119" i="28"/>
  <c r="FD120" i="28"/>
  <c r="FD121" i="28"/>
  <c r="FD122" i="28"/>
  <c r="FD123" i="28"/>
  <c r="FD124" i="28"/>
  <c r="FD125" i="28"/>
  <c r="FD126" i="28"/>
  <c r="FD127" i="28"/>
  <c r="FD128" i="28"/>
  <c r="FD129" i="28"/>
  <c r="FD130" i="28"/>
  <c r="FD131" i="28"/>
  <c r="FD132" i="28"/>
  <c r="FD133" i="28"/>
  <c r="FD134" i="28"/>
  <c r="FD135" i="28"/>
  <c r="FD136" i="28"/>
  <c r="FD137" i="28"/>
  <c r="FD138" i="28"/>
  <c r="FD139" i="28"/>
  <c r="FD140" i="28"/>
  <c r="FD141" i="28"/>
  <c r="FD142" i="28"/>
  <c r="FD143" i="28"/>
  <c r="FD144" i="28"/>
  <c r="FD145" i="28"/>
  <c r="FD146" i="28"/>
  <c r="FD147" i="28"/>
  <c r="FD148" i="28"/>
  <c r="FD149" i="28"/>
  <c r="FD150" i="28"/>
  <c r="FD151" i="28"/>
  <c r="FD152" i="28"/>
  <c r="FD153" i="28"/>
  <c r="FD154" i="28"/>
  <c r="FD155" i="28"/>
  <c r="FD156" i="28"/>
  <c r="FD157" i="28"/>
  <c r="FD158" i="28"/>
  <c r="FD159" i="28"/>
  <c r="FD160" i="28"/>
  <c r="FD161" i="28"/>
  <c r="FD162" i="28"/>
  <c r="FD163" i="28"/>
  <c r="FD164" i="28"/>
  <c r="FD165" i="28"/>
  <c r="FD166" i="28"/>
  <c r="FD167" i="28"/>
  <c r="FD168" i="28"/>
  <c r="FD169" i="28"/>
  <c r="FD170" i="28"/>
  <c r="FD171" i="28"/>
  <c r="FD172" i="28"/>
  <c r="FD173" i="28"/>
  <c r="FD174" i="28"/>
  <c r="FD175" i="28"/>
  <c r="FD176" i="28"/>
  <c r="FD177" i="28"/>
  <c r="FD178" i="28"/>
  <c r="FD179" i="28"/>
  <c r="FD180" i="28"/>
  <c r="FD181" i="28"/>
  <c r="FD182" i="28"/>
  <c r="FD183" i="28"/>
  <c r="FD184" i="28"/>
  <c r="FD185" i="28"/>
  <c r="FD186" i="28"/>
  <c r="FD187" i="28"/>
  <c r="FD188" i="28"/>
  <c r="FD189" i="28"/>
  <c r="FD190" i="28"/>
  <c r="FD191" i="28"/>
  <c r="FD192" i="28"/>
  <c r="FD193" i="28"/>
  <c r="FD194" i="28"/>
  <c r="FD195" i="28"/>
  <c r="FD196" i="28"/>
  <c r="FD197" i="28"/>
  <c r="FD198" i="28"/>
  <c r="FD199" i="28"/>
  <c r="FD200" i="28"/>
  <c r="FD201" i="28"/>
  <c r="FD202" i="28"/>
  <c r="FD203" i="28"/>
  <c r="FD204" i="28"/>
  <c r="FE206" i="28"/>
  <c r="FC116" i="28"/>
  <c r="FC117" i="28"/>
  <c r="FC118" i="28"/>
  <c r="FC119" i="28"/>
  <c r="FC120" i="28"/>
  <c r="FC121" i="28"/>
  <c r="FC122" i="28"/>
  <c r="FC123" i="28"/>
  <c r="FC124" i="28"/>
  <c r="FC125" i="28"/>
  <c r="FC126" i="28"/>
  <c r="FC127" i="28"/>
  <c r="FC128" i="28"/>
  <c r="FC129" i="28"/>
  <c r="FC130" i="28"/>
  <c r="FC131" i="28"/>
  <c r="FC132" i="28"/>
  <c r="FC133" i="28"/>
  <c r="FC134" i="28"/>
  <c r="FC135" i="28"/>
  <c r="FC136" i="28"/>
  <c r="FC137" i="28"/>
  <c r="FC138" i="28"/>
  <c r="FC139" i="28"/>
  <c r="FC140" i="28"/>
  <c r="FC141" i="28"/>
  <c r="FC142" i="28"/>
  <c r="FC143" i="28"/>
  <c r="FC144" i="28"/>
  <c r="FC145" i="28"/>
  <c r="FC146" i="28"/>
  <c r="FC147" i="28"/>
  <c r="FC148" i="28"/>
  <c r="FC149" i="28"/>
  <c r="FC150" i="28"/>
  <c r="FC151" i="28"/>
  <c r="FC152" i="28"/>
  <c r="FC153" i="28"/>
  <c r="FC154" i="28"/>
  <c r="FC155" i="28"/>
  <c r="FC156" i="28"/>
  <c r="FC157" i="28"/>
  <c r="FC158" i="28"/>
  <c r="FC159" i="28"/>
  <c r="FC160" i="28"/>
  <c r="FC161" i="28"/>
  <c r="FC162" i="28"/>
  <c r="FC163" i="28"/>
  <c r="FC164" i="28"/>
  <c r="FC165" i="28"/>
  <c r="FC166" i="28"/>
  <c r="FC167" i="28"/>
  <c r="FC168" i="28"/>
  <c r="FC169" i="28"/>
  <c r="FC170" i="28"/>
  <c r="FC171" i="28"/>
  <c r="FC172" i="28"/>
  <c r="FC173" i="28"/>
  <c r="FC174" i="28"/>
  <c r="FC175" i="28"/>
  <c r="FC176" i="28"/>
  <c r="FC177" i="28"/>
  <c r="FC178" i="28"/>
  <c r="FC179" i="28"/>
  <c r="FC180" i="28"/>
  <c r="FC181" i="28"/>
  <c r="FC182" i="28"/>
  <c r="FC183" i="28"/>
  <c r="FC184" i="28"/>
  <c r="FC185" i="28"/>
  <c r="FC186" i="28"/>
  <c r="FC187" i="28"/>
  <c r="FC188" i="28"/>
  <c r="FC189" i="28"/>
  <c r="FC190" i="28"/>
  <c r="FC191" i="28"/>
  <c r="FC192" i="28"/>
  <c r="FC193" i="28"/>
  <c r="FC194" i="28"/>
  <c r="FC195" i="28"/>
  <c r="FC196" i="28"/>
  <c r="FC197" i="28"/>
  <c r="FC198" i="28"/>
  <c r="FC199" i="28"/>
  <c r="FC200" i="28"/>
  <c r="FC201" i="28"/>
  <c r="FC202" i="28"/>
  <c r="FC203" i="28"/>
  <c r="FC204" i="28"/>
  <c r="FD206" i="28"/>
  <c r="FB116" i="28"/>
  <c r="FB117" i="28"/>
  <c r="FB118" i="28"/>
  <c r="FB119" i="28"/>
  <c r="FB120" i="28"/>
  <c r="FB121" i="28"/>
  <c r="FB122" i="28"/>
  <c r="FB123" i="28"/>
  <c r="FB124" i="28"/>
  <c r="FB125" i="28"/>
  <c r="FB126" i="28"/>
  <c r="FB127" i="28"/>
  <c r="FB128" i="28"/>
  <c r="FB129" i="28"/>
  <c r="FB130" i="28"/>
  <c r="FB131" i="28"/>
  <c r="FB132" i="28"/>
  <c r="FB133" i="28"/>
  <c r="FB134" i="28"/>
  <c r="FB135" i="28"/>
  <c r="FB136" i="28"/>
  <c r="FB137" i="28"/>
  <c r="FB138" i="28"/>
  <c r="FB139" i="28"/>
  <c r="FB140" i="28"/>
  <c r="FB141" i="28"/>
  <c r="FB142" i="28"/>
  <c r="FB143" i="28"/>
  <c r="FB144" i="28"/>
  <c r="FB145" i="28"/>
  <c r="FB146" i="28"/>
  <c r="FB147" i="28"/>
  <c r="FB148" i="28"/>
  <c r="FB149" i="28"/>
  <c r="FB150" i="28"/>
  <c r="FB151" i="28"/>
  <c r="FB152" i="28"/>
  <c r="FB153" i="28"/>
  <c r="FB154" i="28"/>
  <c r="FB155" i="28"/>
  <c r="FB156" i="28"/>
  <c r="FB157" i="28"/>
  <c r="FB158" i="28"/>
  <c r="FB159" i="28"/>
  <c r="FB160" i="28"/>
  <c r="FB161" i="28"/>
  <c r="FB162" i="28"/>
  <c r="FB163" i="28"/>
  <c r="FB164" i="28"/>
  <c r="FB165" i="28"/>
  <c r="FB166" i="28"/>
  <c r="FB167" i="28"/>
  <c r="FB168" i="28"/>
  <c r="FB169" i="28"/>
  <c r="FB170" i="28"/>
  <c r="FB171" i="28"/>
  <c r="FB172" i="28"/>
  <c r="FB173" i="28"/>
  <c r="FB174" i="28"/>
  <c r="FB175" i="28"/>
  <c r="FB176" i="28"/>
  <c r="FB177" i="28"/>
  <c r="FB178" i="28"/>
  <c r="FB179" i="28"/>
  <c r="FB180" i="28"/>
  <c r="FB181" i="28"/>
  <c r="FB182" i="28"/>
  <c r="FB183" i="28"/>
  <c r="FB184" i="28"/>
  <c r="FB185" i="28"/>
  <c r="FB186" i="28"/>
  <c r="FB187" i="28"/>
  <c r="FB188" i="28"/>
  <c r="FB189" i="28"/>
  <c r="FB190" i="28"/>
  <c r="FB191" i="28"/>
  <c r="FB192" i="28"/>
  <c r="FB193" i="28"/>
  <c r="FB194" i="28"/>
  <c r="FB195" i="28"/>
  <c r="FB196" i="28"/>
  <c r="FB197" i="28"/>
  <c r="FB198" i="28"/>
  <c r="FB199" i="28"/>
  <c r="FB200" i="28"/>
  <c r="FB201" i="28"/>
  <c r="FB202" i="28"/>
  <c r="FB203" i="28"/>
  <c r="FB204" i="28"/>
  <c r="FC205" i="28"/>
  <c r="FA116" i="28"/>
  <c r="FA117" i="28"/>
  <c r="FA118" i="28"/>
  <c r="FA119" i="28"/>
  <c r="FA120" i="28"/>
  <c r="FA121" i="28"/>
  <c r="FA122" i="28"/>
  <c r="FA123" i="28"/>
  <c r="FA124" i="28"/>
  <c r="FA125" i="28"/>
  <c r="FA126" i="28"/>
  <c r="FA127" i="28"/>
  <c r="FA128" i="28"/>
  <c r="FA129" i="28"/>
  <c r="FA130" i="28"/>
  <c r="FA131" i="28"/>
  <c r="FA132" i="28"/>
  <c r="FA133" i="28"/>
  <c r="FA134" i="28"/>
  <c r="FA135" i="28"/>
  <c r="FA136" i="28"/>
  <c r="FA137" i="28"/>
  <c r="FA138" i="28"/>
  <c r="FA139" i="28"/>
  <c r="FA140" i="28"/>
  <c r="FA141" i="28"/>
  <c r="FA142" i="28"/>
  <c r="FA143" i="28"/>
  <c r="FA144" i="28"/>
  <c r="FA145" i="28"/>
  <c r="FA146" i="28"/>
  <c r="FA147" i="28"/>
  <c r="FA148" i="28"/>
  <c r="FA149" i="28"/>
  <c r="FA150" i="28"/>
  <c r="FA151" i="28"/>
  <c r="FA152" i="28"/>
  <c r="FA153" i="28"/>
  <c r="FA154" i="28"/>
  <c r="FA155" i="28"/>
  <c r="FA156" i="28"/>
  <c r="FA157" i="28"/>
  <c r="FA158" i="28"/>
  <c r="FA159" i="28"/>
  <c r="FA160" i="28"/>
  <c r="FA161" i="28"/>
  <c r="FA162" i="28"/>
  <c r="FA163" i="28"/>
  <c r="FA164" i="28"/>
  <c r="FA165" i="28"/>
  <c r="FA166" i="28"/>
  <c r="FA167" i="28"/>
  <c r="FA168" i="28"/>
  <c r="FA169" i="28"/>
  <c r="FA170" i="28"/>
  <c r="FA171" i="28"/>
  <c r="FA172" i="28"/>
  <c r="FA173" i="28"/>
  <c r="FA174" i="28"/>
  <c r="FA175" i="28"/>
  <c r="FA176" i="28"/>
  <c r="FA177" i="28"/>
  <c r="FA178" i="28"/>
  <c r="FA179" i="28"/>
  <c r="FA180" i="28"/>
  <c r="FA181" i="28"/>
  <c r="FA182" i="28"/>
  <c r="FA183" i="28"/>
  <c r="FA184" i="28"/>
  <c r="FA185" i="28"/>
  <c r="FA186" i="28"/>
  <c r="FA187" i="28"/>
  <c r="FA188" i="28"/>
  <c r="FA189" i="28"/>
  <c r="FA190" i="28"/>
  <c r="FA191" i="28"/>
  <c r="FA192" i="28"/>
  <c r="FA193" i="28"/>
  <c r="FA194" i="28"/>
  <c r="FA195" i="28"/>
  <c r="FA196" i="28"/>
  <c r="FA197" i="28"/>
  <c r="FA198" i="28"/>
  <c r="FA199" i="28"/>
  <c r="FA200" i="28"/>
  <c r="FA201" i="28"/>
  <c r="FA202" i="28"/>
  <c r="FA203" i="28"/>
  <c r="FA204" i="28"/>
  <c r="FB205" i="28"/>
  <c r="FB206" i="28"/>
  <c r="EZ116" i="28"/>
  <c r="EZ117" i="28"/>
  <c r="EZ118" i="28"/>
  <c r="EZ119" i="28"/>
  <c r="EZ120" i="28"/>
  <c r="EZ121" i="28"/>
  <c r="EZ122" i="28"/>
  <c r="EZ123" i="28"/>
  <c r="EZ124" i="28"/>
  <c r="EZ125" i="28"/>
  <c r="EZ126" i="28"/>
  <c r="EZ127" i="28"/>
  <c r="EZ128" i="28"/>
  <c r="EZ129" i="28"/>
  <c r="EZ130" i="28"/>
  <c r="EZ131" i="28"/>
  <c r="EZ132" i="28"/>
  <c r="EZ133" i="28"/>
  <c r="EZ134" i="28"/>
  <c r="EZ135" i="28"/>
  <c r="EZ136" i="28"/>
  <c r="EZ137" i="28"/>
  <c r="EZ138" i="28"/>
  <c r="EZ139" i="28"/>
  <c r="EZ140" i="28"/>
  <c r="EZ141" i="28"/>
  <c r="EZ142" i="28"/>
  <c r="EZ143" i="28"/>
  <c r="EZ144" i="28"/>
  <c r="EZ145" i="28"/>
  <c r="EZ146" i="28"/>
  <c r="EZ147" i="28"/>
  <c r="EZ148" i="28"/>
  <c r="EZ149" i="28"/>
  <c r="EZ150" i="28"/>
  <c r="EZ151" i="28"/>
  <c r="EZ152" i="28"/>
  <c r="EZ153" i="28"/>
  <c r="EZ154" i="28"/>
  <c r="EZ155" i="28"/>
  <c r="EZ156" i="28"/>
  <c r="EZ157" i="28"/>
  <c r="EZ158" i="28"/>
  <c r="EZ159" i="28"/>
  <c r="EZ160" i="28"/>
  <c r="EZ161" i="28"/>
  <c r="EZ162" i="28"/>
  <c r="EZ163" i="28"/>
  <c r="EZ164" i="28"/>
  <c r="EZ165" i="28"/>
  <c r="EZ166" i="28"/>
  <c r="EZ167" i="28"/>
  <c r="EZ168" i="28"/>
  <c r="EZ169" i="28"/>
  <c r="EZ170" i="28"/>
  <c r="EZ171" i="28"/>
  <c r="EZ172" i="28"/>
  <c r="EZ173" i="28"/>
  <c r="EZ174" i="28"/>
  <c r="EZ175" i="28"/>
  <c r="EZ176" i="28"/>
  <c r="EZ177" i="28"/>
  <c r="EZ178" i="28"/>
  <c r="EZ179" i="28"/>
  <c r="EZ180" i="28"/>
  <c r="EZ181" i="28"/>
  <c r="EZ182" i="28"/>
  <c r="EZ183" i="28"/>
  <c r="EZ184" i="28"/>
  <c r="EZ185" i="28"/>
  <c r="EZ186" i="28"/>
  <c r="EZ187" i="28"/>
  <c r="EZ188" i="28"/>
  <c r="EZ189" i="28"/>
  <c r="EZ190" i="28"/>
  <c r="EZ191" i="28"/>
  <c r="EZ192" i="28"/>
  <c r="EZ193" i="28"/>
  <c r="EZ194" i="28"/>
  <c r="EZ195" i="28"/>
  <c r="EZ196" i="28"/>
  <c r="EZ197" i="28"/>
  <c r="EZ198" i="28"/>
  <c r="EZ199" i="28"/>
  <c r="EZ200" i="28"/>
  <c r="EZ201" i="28"/>
  <c r="EZ202" i="28"/>
  <c r="EZ203" i="28"/>
  <c r="EZ204" i="28"/>
  <c r="FA206" i="28"/>
  <c r="EY116" i="28"/>
  <c r="EY117" i="28"/>
  <c r="K94" i="31"/>
  <c r="EY118" i="28"/>
  <c r="EY119" i="28"/>
  <c r="EY120" i="28"/>
  <c r="EY121" i="28"/>
  <c r="EY122" i="28"/>
  <c r="EY123" i="28"/>
  <c r="EY124" i="28"/>
  <c r="EY125" i="28"/>
  <c r="EY126" i="28"/>
  <c r="EY127" i="28"/>
  <c r="EY128" i="28"/>
  <c r="EY129" i="28"/>
  <c r="EY130" i="28"/>
  <c r="EY131" i="28"/>
  <c r="EY132" i="28"/>
  <c r="EY133" i="28"/>
  <c r="EY134" i="28"/>
  <c r="EY135" i="28"/>
  <c r="EY136" i="28"/>
  <c r="EY137" i="28"/>
  <c r="EY138" i="28"/>
  <c r="EY139" i="28"/>
  <c r="EY140" i="28"/>
  <c r="EY141" i="28"/>
  <c r="EY142" i="28"/>
  <c r="EY143" i="28"/>
  <c r="EY144" i="28"/>
  <c r="EY145" i="28"/>
  <c r="EY146" i="28"/>
  <c r="EY147" i="28"/>
  <c r="EY148" i="28"/>
  <c r="EY149" i="28"/>
  <c r="EY150" i="28"/>
  <c r="EY151" i="28"/>
  <c r="EY152" i="28"/>
  <c r="EY153" i="28"/>
  <c r="EY154" i="28"/>
  <c r="EY155" i="28"/>
  <c r="EY156" i="28"/>
  <c r="EY157" i="28"/>
  <c r="EY158" i="28"/>
  <c r="EY159" i="28"/>
  <c r="EY160" i="28"/>
  <c r="EY161" i="28"/>
  <c r="EY162" i="28"/>
  <c r="EY163" i="28"/>
  <c r="EY164" i="28"/>
  <c r="EY165" i="28"/>
  <c r="EY166" i="28"/>
  <c r="EY167" i="28"/>
  <c r="EY168" i="28"/>
  <c r="EY169" i="28"/>
  <c r="EY170" i="28"/>
  <c r="EY171" i="28"/>
  <c r="EY172" i="28"/>
  <c r="EY173" i="28"/>
  <c r="EY174" i="28"/>
  <c r="EY175" i="28"/>
  <c r="EY176" i="28"/>
  <c r="EY177" i="28"/>
  <c r="EY178" i="28"/>
  <c r="EY179" i="28"/>
  <c r="EY180" i="28"/>
  <c r="EY181" i="28"/>
  <c r="EY182" i="28"/>
  <c r="EY183" i="28"/>
  <c r="EY184" i="28"/>
  <c r="EY185" i="28"/>
  <c r="EY186" i="28"/>
  <c r="EY187" i="28"/>
  <c r="EY188" i="28"/>
  <c r="EY189" i="28"/>
  <c r="EY190" i="28"/>
  <c r="EY191" i="28"/>
  <c r="EY192" i="28"/>
  <c r="EY193" i="28"/>
  <c r="EY194" i="28"/>
  <c r="EY195" i="28"/>
  <c r="EY196" i="28"/>
  <c r="EY197" i="28"/>
  <c r="EY198" i="28"/>
  <c r="EY199" i="28"/>
  <c r="EY200" i="28"/>
  <c r="EY201" i="28"/>
  <c r="EY202" i="28"/>
  <c r="EY203" i="28"/>
  <c r="EY204" i="28"/>
  <c r="EX116" i="28"/>
  <c r="EX117" i="28"/>
  <c r="EX118" i="28"/>
  <c r="EX119" i="28"/>
  <c r="EX120" i="28"/>
  <c r="EX121" i="28"/>
  <c r="EX122" i="28"/>
  <c r="EX123" i="28"/>
  <c r="EX124" i="28"/>
  <c r="EX125" i="28"/>
  <c r="EX126" i="28"/>
  <c r="EX127" i="28"/>
  <c r="EX128" i="28"/>
  <c r="EX129" i="28"/>
  <c r="EX130" i="28"/>
  <c r="EX131" i="28"/>
  <c r="EX132" i="28"/>
  <c r="EX133" i="28"/>
  <c r="EX134" i="28"/>
  <c r="EX135" i="28"/>
  <c r="EX136" i="28"/>
  <c r="EX137" i="28"/>
  <c r="EX138" i="28"/>
  <c r="EX139" i="28"/>
  <c r="EX140" i="28"/>
  <c r="EX141" i="28"/>
  <c r="EX142" i="28"/>
  <c r="EX143" i="28"/>
  <c r="EX144" i="28"/>
  <c r="EX145" i="28"/>
  <c r="EX146" i="28"/>
  <c r="EX147" i="28"/>
  <c r="EX148" i="28"/>
  <c r="EX149" i="28"/>
  <c r="EX150" i="28"/>
  <c r="EX151" i="28"/>
  <c r="EX152" i="28"/>
  <c r="EX153" i="28"/>
  <c r="EX154" i="28"/>
  <c r="EX155" i="28"/>
  <c r="EX156" i="28"/>
  <c r="EX157" i="28"/>
  <c r="EX158" i="28"/>
  <c r="EX159" i="28"/>
  <c r="EX160" i="28"/>
  <c r="EX161" i="28"/>
  <c r="EX162" i="28"/>
  <c r="EX163" i="28"/>
  <c r="EX164" i="28"/>
  <c r="EX165" i="28"/>
  <c r="EX166" i="28"/>
  <c r="EX167" i="28"/>
  <c r="EX168" i="28"/>
  <c r="EX169" i="28"/>
  <c r="EX170" i="28"/>
  <c r="EX171" i="28"/>
  <c r="EX172" i="28"/>
  <c r="EX173" i="28"/>
  <c r="EX174" i="28"/>
  <c r="EX175" i="28"/>
  <c r="EX176" i="28"/>
  <c r="EX177" i="28"/>
  <c r="EX178" i="28"/>
  <c r="EX179" i="28"/>
  <c r="EX180" i="28"/>
  <c r="EX181" i="28"/>
  <c r="EX182" i="28"/>
  <c r="EX183" i="28"/>
  <c r="EX184" i="28"/>
  <c r="EX185" i="28"/>
  <c r="EX186" i="28"/>
  <c r="EX187" i="28"/>
  <c r="EX188" i="28"/>
  <c r="EX189" i="28"/>
  <c r="EX190" i="28"/>
  <c r="EX191" i="28"/>
  <c r="EX192" i="28"/>
  <c r="EX193" i="28"/>
  <c r="EX194" i="28"/>
  <c r="EX195" i="28"/>
  <c r="EX196" i="28"/>
  <c r="EX197" i="28"/>
  <c r="EX198" i="28"/>
  <c r="EX199" i="28"/>
  <c r="EX200" i="28"/>
  <c r="EX201" i="28"/>
  <c r="EX202" i="28"/>
  <c r="EX203" i="28"/>
  <c r="EX204" i="28"/>
  <c r="EY206" i="28"/>
  <c r="EW116" i="28"/>
  <c r="EW117" i="28"/>
  <c r="EW118" i="28"/>
  <c r="EW119" i="28"/>
  <c r="EW120" i="28"/>
  <c r="EW121" i="28"/>
  <c r="EW122" i="28"/>
  <c r="EW123" i="28"/>
  <c r="EW124" i="28"/>
  <c r="EW125" i="28"/>
  <c r="EW126" i="28"/>
  <c r="EW127" i="28"/>
  <c r="EW128" i="28"/>
  <c r="EW129" i="28"/>
  <c r="EW130" i="28"/>
  <c r="EW131" i="28"/>
  <c r="EW132" i="28"/>
  <c r="EW133" i="28"/>
  <c r="EW134" i="28"/>
  <c r="EW135" i="28"/>
  <c r="EW136" i="28"/>
  <c r="EW137" i="28"/>
  <c r="EW138" i="28"/>
  <c r="EW139" i="28"/>
  <c r="EW140" i="28"/>
  <c r="EW141" i="28"/>
  <c r="EW142" i="28"/>
  <c r="EW143" i="28"/>
  <c r="EW144" i="28"/>
  <c r="EW145" i="28"/>
  <c r="EW146" i="28"/>
  <c r="EW147" i="28"/>
  <c r="EW148" i="28"/>
  <c r="EW149" i="28"/>
  <c r="EW150" i="28"/>
  <c r="EW151" i="28"/>
  <c r="EW152" i="28"/>
  <c r="EW153" i="28"/>
  <c r="EW154" i="28"/>
  <c r="EW155" i="28"/>
  <c r="EW156" i="28"/>
  <c r="EW157" i="28"/>
  <c r="EW158" i="28"/>
  <c r="EW159" i="28"/>
  <c r="EW160" i="28"/>
  <c r="EW161" i="28"/>
  <c r="EW162" i="28"/>
  <c r="EW163" i="28"/>
  <c r="EW164" i="28"/>
  <c r="EW165" i="28"/>
  <c r="EW166" i="28"/>
  <c r="EW167" i="28"/>
  <c r="EW168" i="28"/>
  <c r="EW169" i="28"/>
  <c r="EW170" i="28"/>
  <c r="EW171" i="28"/>
  <c r="EW172" i="28"/>
  <c r="EW173" i="28"/>
  <c r="EW174" i="28"/>
  <c r="EW175" i="28"/>
  <c r="EW176" i="28"/>
  <c r="EW177" i="28"/>
  <c r="EW178" i="28"/>
  <c r="EW179" i="28"/>
  <c r="EW180" i="28"/>
  <c r="EW181" i="28"/>
  <c r="EW182" i="28"/>
  <c r="EW183" i="28"/>
  <c r="EW184" i="28"/>
  <c r="EW185" i="28"/>
  <c r="EW186" i="28"/>
  <c r="EW187" i="28"/>
  <c r="EW188" i="28"/>
  <c r="EW189" i="28"/>
  <c r="EW190" i="28"/>
  <c r="EW191" i="28"/>
  <c r="EW192" i="28"/>
  <c r="EW193" i="28"/>
  <c r="EW194" i="28"/>
  <c r="EW195" i="28"/>
  <c r="EW196" i="28"/>
  <c r="EW197" i="28"/>
  <c r="EW198" i="28"/>
  <c r="EW199" i="28"/>
  <c r="EW200" i="28"/>
  <c r="EW201" i="28"/>
  <c r="EW202" i="28"/>
  <c r="EW203" i="28"/>
  <c r="EW204" i="28"/>
  <c r="EX205" i="28"/>
  <c r="EV116" i="28"/>
  <c r="EV117" i="28"/>
  <c r="EV118" i="28"/>
  <c r="EV119" i="28"/>
  <c r="EV120" i="28"/>
  <c r="EV121" i="28"/>
  <c r="EV122" i="28"/>
  <c r="EV123" i="28"/>
  <c r="EV124" i="28"/>
  <c r="EV125" i="28"/>
  <c r="EV126" i="28"/>
  <c r="EV127" i="28"/>
  <c r="EV128" i="28"/>
  <c r="EV129" i="28"/>
  <c r="EV130" i="28"/>
  <c r="EV131" i="28"/>
  <c r="EV132" i="28"/>
  <c r="EV133" i="28"/>
  <c r="EV134" i="28"/>
  <c r="EV135" i="28"/>
  <c r="EV136" i="28"/>
  <c r="EV137" i="28"/>
  <c r="EV138" i="28"/>
  <c r="EV139" i="28"/>
  <c r="EV140" i="28"/>
  <c r="EV141" i="28"/>
  <c r="EV142" i="28"/>
  <c r="EV143" i="28"/>
  <c r="EV144" i="28"/>
  <c r="EV145" i="28"/>
  <c r="EV146" i="28"/>
  <c r="EV147" i="28"/>
  <c r="EV148" i="28"/>
  <c r="EV149" i="28"/>
  <c r="EV150" i="28"/>
  <c r="EV151" i="28"/>
  <c r="EV152" i="28"/>
  <c r="EV153" i="28"/>
  <c r="EV154" i="28"/>
  <c r="EV155" i="28"/>
  <c r="EV156" i="28"/>
  <c r="EV157" i="28"/>
  <c r="EV158" i="28"/>
  <c r="EV159" i="28"/>
  <c r="EV160" i="28"/>
  <c r="EV161" i="28"/>
  <c r="EV162" i="28"/>
  <c r="EV163" i="28"/>
  <c r="EV164" i="28"/>
  <c r="EV165" i="28"/>
  <c r="EV166" i="28"/>
  <c r="EV167" i="28"/>
  <c r="EV168" i="28"/>
  <c r="EV169" i="28"/>
  <c r="EV170" i="28"/>
  <c r="EV171" i="28"/>
  <c r="EV172" i="28"/>
  <c r="EV173" i="28"/>
  <c r="EV174" i="28"/>
  <c r="EV175" i="28"/>
  <c r="EV176" i="28"/>
  <c r="EV177" i="28"/>
  <c r="EV178" i="28"/>
  <c r="EV179" i="28"/>
  <c r="EV180" i="28"/>
  <c r="EV181" i="28"/>
  <c r="EV182" i="28"/>
  <c r="EV183" i="28"/>
  <c r="EV184" i="28"/>
  <c r="EV185" i="28"/>
  <c r="EV186" i="28"/>
  <c r="EV187" i="28"/>
  <c r="EV188" i="28"/>
  <c r="EV189" i="28"/>
  <c r="EV190" i="28"/>
  <c r="EV191" i="28"/>
  <c r="EV192" i="28"/>
  <c r="EV193" i="28"/>
  <c r="EV194" i="28"/>
  <c r="EV195" i="28"/>
  <c r="EV196" i="28"/>
  <c r="EV197" i="28"/>
  <c r="EV198" i="28"/>
  <c r="EV199" i="28"/>
  <c r="EV200" i="28"/>
  <c r="EV201" i="28"/>
  <c r="EV202" i="28"/>
  <c r="EV203" i="28"/>
  <c r="EV204" i="28"/>
  <c r="EW206" i="28"/>
  <c r="EU116" i="28"/>
  <c r="EU117" i="28"/>
  <c r="EU118" i="28"/>
  <c r="EU119" i="28"/>
  <c r="EU120" i="28"/>
  <c r="EU121" i="28"/>
  <c r="EU122" i="28"/>
  <c r="EU123" i="28"/>
  <c r="EU124" i="28"/>
  <c r="EU125" i="28"/>
  <c r="EU126" i="28"/>
  <c r="EU127" i="28"/>
  <c r="EU128" i="28"/>
  <c r="EU129" i="28"/>
  <c r="EU130" i="28"/>
  <c r="EU131" i="28"/>
  <c r="EU132" i="28"/>
  <c r="EU133" i="28"/>
  <c r="EU134" i="28"/>
  <c r="EU135" i="28"/>
  <c r="EU136" i="28"/>
  <c r="EU137" i="28"/>
  <c r="EU138" i="28"/>
  <c r="EU139" i="28"/>
  <c r="EU140" i="28"/>
  <c r="EU141" i="28"/>
  <c r="EU142" i="28"/>
  <c r="EU143" i="28"/>
  <c r="EU144" i="28"/>
  <c r="EU145" i="28"/>
  <c r="EU146" i="28"/>
  <c r="EU147" i="28"/>
  <c r="EU148" i="28"/>
  <c r="EU149" i="28"/>
  <c r="EU150" i="28"/>
  <c r="EU151" i="28"/>
  <c r="EU152" i="28"/>
  <c r="EU153" i="28"/>
  <c r="EU154" i="28"/>
  <c r="EU155" i="28"/>
  <c r="EU156" i="28"/>
  <c r="EU157" i="28"/>
  <c r="EU158" i="28"/>
  <c r="EU159" i="28"/>
  <c r="EU160" i="28"/>
  <c r="EU161" i="28"/>
  <c r="EU162" i="28"/>
  <c r="EU163" i="28"/>
  <c r="EU164" i="28"/>
  <c r="EU165" i="28"/>
  <c r="EU166" i="28"/>
  <c r="EU167" i="28"/>
  <c r="EU168" i="28"/>
  <c r="EU169" i="28"/>
  <c r="EU170" i="28"/>
  <c r="EU171" i="28"/>
  <c r="EU172" i="28"/>
  <c r="EU173" i="28"/>
  <c r="EU174" i="28"/>
  <c r="EU175" i="28"/>
  <c r="EU176" i="28"/>
  <c r="EU177" i="28"/>
  <c r="EU178" i="28"/>
  <c r="EU179" i="28"/>
  <c r="EU180" i="28"/>
  <c r="EU181" i="28"/>
  <c r="EU182" i="28"/>
  <c r="EU183" i="28"/>
  <c r="EU184" i="28"/>
  <c r="EU185" i="28"/>
  <c r="EU186" i="28"/>
  <c r="EU187" i="28"/>
  <c r="EU188" i="28"/>
  <c r="EU189" i="28"/>
  <c r="EU190" i="28"/>
  <c r="EU191" i="28"/>
  <c r="EU192" i="28"/>
  <c r="EU193" i="28"/>
  <c r="EU194" i="28"/>
  <c r="EU195" i="28"/>
  <c r="EU196" i="28"/>
  <c r="EU197" i="28"/>
  <c r="EU198" i="28"/>
  <c r="EU199" i="28"/>
  <c r="EU200" i="28"/>
  <c r="EU201" i="28"/>
  <c r="EU202" i="28"/>
  <c r="EU203" i="28"/>
  <c r="EU204" i="28"/>
  <c r="EV206" i="28"/>
  <c r="ET116" i="28"/>
  <c r="ET117" i="28"/>
  <c r="ET118" i="28"/>
  <c r="ET119" i="28"/>
  <c r="ET120" i="28"/>
  <c r="ET121" i="28"/>
  <c r="ET122" i="28"/>
  <c r="ET123" i="28"/>
  <c r="ET124" i="28"/>
  <c r="ET125" i="28"/>
  <c r="ET126" i="28"/>
  <c r="ET127" i="28"/>
  <c r="ET128" i="28"/>
  <c r="ET129" i="28"/>
  <c r="ET130" i="28"/>
  <c r="ET131" i="28"/>
  <c r="ET132" i="28"/>
  <c r="ET133" i="28"/>
  <c r="ET134" i="28"/>
  <c r="ET135" i="28"/>
  <c r="ET136" i="28"/>
  <c r="ET137" i="28"/>
  <c r="ET138" i="28"/>
  <c r="ET139" i="28"/>
  <c r="ET140" i="28"/>
  <c r="ET141" i="28"/>
  <c r="ET142" i="28"/>
  <c r="ET143" i="28"/>
  <c r="ET144" i="28"/>
  <c r="ET145" i="28"/>
  <c r="ET146" i="28"/>
  <c r="ET147" i="28"/>
  <c r="ET148" i="28"/>
  <c r="ET149" i="28"/>
  <c r="ET150" i="28"/>
  <c r="ET151" i="28"/>
  <c r="ET152" i="28"/>
  <c r="ET153" i="28"/>
  <c r="ET154" i="28"/>
  <c r="ET155" i="28"/>
  <c r="ET156" i="28"/>
  <c r="ET157" i="28"/>
  <c r="ET158" i="28"/>
  <c r="ET159" i="28"/>
  <c r="ET160" i="28"/>
  <c r="ET161" i="28"/>
  <c r="ET162" i="28"/>
  <c r="ET163" i="28"/>
  <c r="ET164" i="28"/>
  <c r="ET165" i="28"/>
  <c r="ET166" i="28"/>
  <c r="ET167" i="28"/>
  <c r="ET168" i="28"/>
  <c r="ET169" i="28"/>
  <c r="ET170" i="28"/>
  <c r="ET171" i="28"/>
  <c r="ET172" i="28"/>
  <c r="ET173" i="28"/>
  <c r="ET174" i="28"/>
  <c r="ET175" i="28"/>
  <c r="ET176" i="28"/>
  <c r="ET177" i="28"/>
  <c r="ET178" i="28"/>
  <c r="ET179" i="28"/>
  <c r="ET180" i="28"/>
  <c r="ET181" i="28"/>
  <c r="ET182" i="28"/>
  <c r="ET183" i="28"/>
  <c r="ET184" i="28"/>
  <c r="ET185" i="28"/>
  <c r="ET186" i="28"/>
  <c r="ET187" i="28"/>
  <c r="ET188" i="28"/>
  <c r="ET189" i="28"/>
  <c r="ET190" i="28"/>
  <c r="ET191" i="28"/>
  <c r="ET192" i="28"/>
  <c r="ET193" i="28"/>
  <c r="ET194" i="28"/>
  <c r="ET195" i="28"/>
  <c r="ET196" i="28"/>
  <c r="ET197" i="28"/>
  <c r="ET198" i="28"/>
  <c r="ET199" i="28"/>
  <c r="ET200" i="28"/>
  <c r="ET201" i="28"/>
  <c r="ET202" i="28"/>
  <c r="ET203" i="28"/>
  <c r="ET204" i="28"/>
  <c r="EU206" i="28"/>
  <c r="ES116" i="28"/>
  <c r="ES117" i="28"/>
  <c r="ES118" i="28"/>
  <c r="ES119" i="28"/>
  <c r="ES120" i="28"/>
  <c r="ES121" i="28"/>
  <c r="ES122" i="28"/>
  <c r="ES123" i="28"/>
  <c r="ES124" i="28"/>
  <c r="ES125" i="28"/>
  <c r="ES126" i="28"/>
  <c r="ES127" i="28"/>
  <c r="ES128" i="28"/>
  <c r="ES129" i="28"/>
  <c r="ES130" i="28"/>
  <c r="ES131" i="28"/>
  <c r="ES132" i="28"/>
  <c r="ES133" i="28"/>
  <c r="ES134" i="28"/>
  <c r="ES135" i="28"/>
  <c r="ES136" i="28"/>
  <c r="ES137" i="28"/>
  <c r="ES138" i="28"/>
  <c r="ES139" i="28"/>
  <c r="ES140" i="28"/>
  <c r="ES141" i="28"/>
  <c r="ES142" i="28"/>
  <c r="ES143" i="28"/>
  <c r="ES144" i="28"/>
  <c r="ES145" i="28"/>
  <c r="ES146" i="28"/>
  <c r="ES147" i="28"/>
  <c r="ES148" i="28"/>
  <c r="ES149" i="28"/>
  <c r="ES150" i="28"/>
  <c r="ES151" i="28"/>
  <c r="ES152" i="28"/>
  <c r="ES153" i="28"/>
  <c r="ES154" i="28"/>
  <c r="ES155" i="28"/>
  <c r="ES156" i="28"/>
  <c r="ES157" i="28"/>
  <c r="ES158" i="28"/>
  <c r="ES159" i="28"/>
  <c r="ES160" i="28"/>
  <c r="ES161" i="28"/>
  <c r="ES162" i="28"/>
  <c r="ES163" i="28"/>
  <c r="ES164" i="28"/>
  <c r="ES165" i="28"/>
  <c r="ES166" i="28"/>
  <c r="ES167" i="28"/>
  <c r="ES168" i="28"/>
  <c r="ES169" i="28"/>
  <c r="ES170" i="28"/>
  <c r="ES171" i="28"/>
  <c r="ES172" i="28"/>
  <c r="ES173" i="28"/>
  <c r="ES174" i="28"/>
  <c r="ES175" i="28"/>
  <c r="ES176" i="28"/>
  <c r="ES177" i="28"/>
  <c r="ES178" i="28"/>
  <c r="ES179" i="28"/>
  <c r="ES180" i="28"/>
  <c r="ES181" i="28"/>
  <c r="ES182" i="28"/>
  <c r="ES183" i="28"/>
  <c r="ES184" i="28"/>
  <c r="ES185" i="28"/>
  <c r="ES186" i="28"/>
  <c r="ES187" i="28"/>
  <c r="ES188" i="28"/>
  <c r="ES189" i="28"/>
  <c r="ES190" i="28"/>
  <c r="ES191" i="28"/>
  <c r="ES192" i="28"/>
  <c r="ES193" i="28"/>
  <c r="ES194" i="28"/>
  <c r="ES195" i="28"/>
  <c r="ES196" i="28"/>
  <c r="ES197" i="28"/>
  <c r="ES198" i="28"/>
  <c r="ES199" i="28"/>
  <c r="ES200" i="28"/>
  <c r="ES201" i="28"/>
  <c r="ES202" i="28"/>
  <c r="ES203" i="28"/>
  <c r="ES204" i="28"/>
  <c r="ET205" i="28"/>
  <c r="ER116" i="28"/>
  <c r="ER117" i="28"/>
  <c r="ER118" i="28"/>
  <c r="ER119" i="28"/>
  <c r="ER120" i="28"/>
  <c r="ER121" i="28"/>
  <c r="ER122" i="28"/>
  <c r="ER123" i="28"/>
  <c r="ER124" i="28"/>
  <c r="ER125" i="28"/>
  <c r="ER126" i="28"/>
  <c r="ER127" i="28"/>
  <c r="ER128" i="28"/>
  <c r="ER129" i="28"/>
  <c r="ER130" i="28"/>
  <c r="ER131" i="28"/>
  <c r="ER132" i="28"/>
  <c r="ER133" i="28"/>
  <c r="ER134" i="28"/>
  <c r="ER135" i="28"/>
  <c r="ER136" i="28"/>
  <c r="ER137" i="28"/>
  <c r="ER138" i="28"/>
  <c r="ER139" i="28"/>
  <c r="ER140" i="28"/>
  <c r="ER141" i="28"/>
  <c r="ER142" i="28"/>
  <c r="ER143" i="28"/>
  <c r="ER144" i="28"/>
  <c r="ER145" i="28"/>
  <c r="ER146" i="28"/>
  <c r="ER147" i="28"/>
  <c r="ER148" i="28"/>
  <c r="ER149" i="28"/>
  <c r="ER150" i="28"/>
  <c r="ER151" i="28"/>
  <c r="ER152" i="28"/>
  <c r="ER153" i="28"/>
  <c r="ER154" i="28"/>
  <c r="ER155" i="28"/>
  <c r="ER156" i="28"/>
  <c r="ER157" i="28"/>
  <c r="ER158" i="28"/>
  <c r="ER159" i="28"/>
  <c r="ER160" i="28"/>
  <c r="ER161" i="28"/>
  <c r="ER162" i="28"/>
  <c r="ER163" i="28"/>
  <c r="ER164" i="28"/>
  <c r="ER165" i="28"/>
  <c r="ER166" i="28"/>
  <c r="ER167" i="28"/>
  <c r="ER168" i="28"/>
  <c r="ER169" i="28"/>
  <c r="ER170" i="28"/>
  <c r="ER171" i="28"/>
  <c r="ER172" i="28"/>
  <c r="ER173" i="28"/>
  <c r="ER174" i="28"/>
  <c r="ER175" i="28"/>
  <c r="ER176" i="28"/>
  <c r="ER177" i="28"/>
  <c r="ER178" i="28"/>
  <c r="ER179" i="28"/>
  <c r="ER180" i="28"/>
  <c r="ER181" i="28"/>
  <c r="ER182" i="28"/>
  <c r="ER183" i="28"/>
  <c r="ER184" i="28"/>
  <c r="ER185" i="28"/>
  <c r="ER186" i="28"/>
  <c r="ER187" i="28"/>
  <c r="ER188" i="28"/>
  <c r="ER189" i="28"/>
  <c r="ER190" i="28"/>
  <c r="ER191" i="28"/>
  <c r="ER192" i="28"/>
  <c r="ER193" i="28"/>
  <c r="ER194" i="28"/>
  <c r="ER195" i="28"/>
  <c r="ER196" i="28"/>
  <c r="ER197" i="28"/>
  <c r="ER198" i="28"/>
  <c r="ER199" i="28"/>
  <c r="ER200" i="28"/>
  <c r="ER201" i="28"/>
  <c r="ER202" i="28"/>
  <c r="ER203" i="28"/>
  <c r="ER204" i="28"/>
  <c r="ES206" i="28"/>
  <c r="FD205" i="28"/>
  <c r="EY205" i="28"/>
  <c r="EU205" i="28"/>
  <c r="CJ161" i="28"/>
  <c r="CU116" i="28"/>
  <c r="CU117" i="28"/>
  <c r="CU118" i="28"/>
  <c r="CU119" i="28"/>
  <c r="CU120" i="28"/>
  <c r="CU121" i="28"/>
  <c r="CU122" i="28"/>
  <c r="CU123" i="28"/>
  <c r="CU124" i="28"/>
  <c r="CU125" i="28"/>
  <c r="CU126" i="28"/>
  <c r="CU127" i="28"/>
  <c r="CU128" i="28"/>
  <c r="CU129" i="28"/>
  <c r="CU130" i="28"/>
  <c r="CU131" i="28"/>
  <c r="CU132" i="28"/>
  <c r="CU133" i="28"/>
  <c r="CU134" i="28"/>
  <c r="CU135" i="28"/>
  <c r="CU136" i="28"/>
  <c r="CU137" i="28"/>
  <c r="CU138" i="28"/>
  <c r="CU139" i="28"/>
  <c r="CU140" i="28"/>
  <c r="CU141" i="28"/>
  <c r="CU142" i="28"/>
  <c r="CU143" i="28"/>
  <c r="CU144" i="28"/>
  <c r="CU145" i="28"/>
  <c r="CU146" i="28"/>
  <c r="CU147" i="28"/>
  <c r="CU148" i="28"/>
  <c r="CU149" i="28"/>
  <c r="CU150" i="28"/>
  <c r="CU151" i="28"/>
  <c r="CU152" i="28"/>
  <c r="CU153" i="28"/>
  <c r="CU154" i="28"/>
  <c r="CU155" i="28"/>
  <c r="CU156" i="28"/>
  <c r="CU157" i="28"/>
  <c r="CU158" i="28"/>
  <c r="CU159" i="28"/>
  <c r="CU160" i="28"/>
  <c r="CU161" i="28"/>
  <c r="CU162" i="28"/>
  <c r="CU163" i="28"/>
  <c r="CU164" i="28"/>
  <c r="CU165" i="28"/>
  <c r="CU166" i="28"/>
  <c r="CU167" i="28"/>
  <c r="CU168" i="28"/>
  <c r="CU169" i="28"/>
  <c r="CU170" i="28"/>
  <c r="CU171" i="28"/>
  <c r="CU172" i="28"/>
  <c r="CU173" i="28"/>
  <c r="CU174" i="28"/>
  <c r="CU175" i="28"/>
  <c r="CU176" i="28"/>
  <c r="CU177" i="28"/>
  <c r="CU178" i="28"/>
  <c r="CU179" i="28"/>
  <c r="CU180" i="28"/>
  <c r="CU181" i="28"/>
  <c r="CU182" i="28"/>
  <c r="CU183" i="28"/>
  <c r="CU184" i="28"/>
  <c r="CU185" i="28"/>
  <c r="CU186" i="28"/>
  <c r="CU187" i="28"/>
  <c r="CU188" i="28"/>
  <c r="CU189" i="28"/>
  <c r="CU190" i="28"/>
  <c r="CU191" i="28"/>
  <c r="CU192" i="28"/>
  <c r="CU193" i="28"/>
  <c r="CU194" i="28"/>
  <c r="CU195" i="28"/>
  <c r="CU196" i="28"/>
  <c r="CU197" i="28"/>
  <c r="CU198" i="28"/>
  <c r="CU199" i="28"/>
  <c r="CU200" i="28"/>
  <c r="CU201" i="28"/>
  <c r="CU202" i="28"/>
  <c r="CU203" i="28"/>
  <c r="CU204" i="28"/>
  <c r="CU206" i="28"/>
  <c r="CT118" i="28"/>
  <c r="CT119" i="28"/>
  <c r="CT120" i="28"/>
  <c r="CT121" i="28"/>
  <c r="CT122" i="28"/>
  <c r="CT123" i="28"/>
  <c r="CT124" i="28"/>
  <c r="CT125" i="28"/>
  <c r="CT126" i="28"/>
  <c r="CT128" i="28"/>
  <c r="CT129" i="28"/>
  <c r="CT130" i="28"/>
  <c r="CT131" i="28"/>
  <c r="CT132" i="28"/>
  <c r="CT133" i="28"/>
  <c r="CT134" i="28"/>
  <c r="CT135" i="28"/>
  <c r="CT136" i="28"/>
  <c r="CT137" i="28"/>
  <c r="CT138" i="28"/>
  <c r="CT139" i="28"/>
  <c r="CT140" i="28"/>
  <c r="CT141" i="28"/>
  <c r="CT142" i="28"/>
  <c r="CT143" i="28"/>
  <c r="CT144" i="28"/>
  <c r="CT145" i="28"/>
  <c r="CT146" i="28"/>
  <c r="CT147" i="28"/>
  <c r="CT148" i="28"/>
  <c r="CT149" i="28"/>
  <c r="CT150" i="28"/>
  <c r="CT151" i="28"/>
  <c r="CT152" i="28"/>
  <c r="CT153" i="28"/>
  <c r="CT154" i="28"/>
  <c r="CT155" i="28"/>
  <c r="CT156" i="28"/>
  <c r="CT157" i="28"/>
  <c r="CT158" i="28"/>
  <c r="CT159" i="28"/>
  <c r="CT161" i="28"/>
  <c r="CT162" i="28"/>
  <c r="CT163" i="28"/>
  <c r="CT164" i="28"/>
  <c r="CT165" i="28"/>
  <c r="CT166" i="28"/>
  <c r="CT167" i="28"/>
  <c r="CT168" i="28"/>
  <c r="CT169" i="28"/>
  <c r="CT170" i="28"/>
  <c r="CT171" i="28"/>
  <c r="CT172" i="28"/>
  <c r="CT173" i="28"/>
  <c r="CT174" i="28"/>
  <c r="CT175" i="28"/>
  <c r="CT176" i="28"/>
  <c r="CT177" i="28"/>
  <c r="CT178" i="28"/>
  <c r="CT179" i="28"/>
  <c r="CT180" i="28"/>
  <c r="CT181" i="28"/>
  <c r="CT182" i="28"/>
  <c r="CT183" i="28"/>
  <c r="CT184" i="28"/>
  <c r="CT185" i="28"/>
  <c r="CT186" i="28"/>
  <c r="CT187" i="28"/>
  <c r="CT188" i="28"/>
  <c r="CT189" i="28"/>
  <c r="CT190" i="28"/>
  <c r="CT191" i="28"/>
  <c r="CT192" i="28"/>
  <c r="CT193" i="28"/>
  <c r="CT194" i="28"/>
  <c r="CT195" i="28"/>
  <c r="CT196" i="28"/>
  <c r="CT197" i="28"/>
  <c r="CT198" i="28"/>
  <c r="CT199" i="28"/>
  <c r="CT200" i="28"/>
  <c r="CT201" i="28"/>
  <c r="CT202" i="28"/>
  <c r="CT203" i="28"/>
  <c r="CT204" i="28"/>
  <c r="CT206" i="28"/>
  <c r="B57" i="26"/>
  <c r="CT205" i="28"/>
  <c r="DK116" i="28"/>
  <c r="DK117" i="28"/>
  <c r="DK118" i="28"/>
  <c r="DK119" i="28"/>
  <c r="DK120" i="28"/>
  <c r="DK121" i="28"/>
  <c r="DK122" i="28"/>
  <c r="DK123" i="28"/>
  <c r="DK124" i="28"/>
  <c r="DK125" i="28"/>
  <c r="DK126" i="28"/>
  <c r="DK127" i="28"/>
  <c r="DK128" i="28"/>
  <c r="DK129" i="28"/>
  <c r="DK130" i="28"/>
  <c r="DK131" i="28"/>
  <c r="DK132" i="28"/>
  <c r="DK133" i="28"/>
  <c r="DK134" i="28"/>
  <c r="DK135" i="28"/>
  <c r="DK136" i="28"/>
  <c r="DK137" i="28"/>
  <c r="DK138" i="28"/>
  <c r="DK139" i="28"/>
  <c r="DK140" i="28"/>
  <c r="DK141" i="28"/>
  <c r="DK142" i="28"/>
  <c r="DK143" i="28"/>
  <c r="DK144" i="28"/>
  <c r="DK145" i="28"/>
  <c r="DK146" i="28"/>
  <c r="DK147" i="28"/>
  <c r="DK148" i="28"/>
  <c r="DK149" i="28"/>
  <c r="DK150" i="28"/>
  <c r="DK151" i="28"/>
  <c r="DK152" i="28"/>
  <c r="DK153" i="28"/>
  <c r="DK154" i="28"/>
  <c r="DK155" i="28"/>
  <c r="DK156" i="28"/>
  <c r="DK157" i="28"/>
  <c r="DK158" i="28"/>
  <c r="DK159" i="28"/>
  <c r="DK160" i="28"/>
  <c r="DK161" i="28"/>
  <c r="DK162" i="28"/>
  <c r="DK163" i="28"/>
  <c r="DK164" i="28"/>
  <c r="DK165" i="28"/>
  <c r="DK166" i="28"/>
  <c r="DK167" i="28"/>
  <c r="DK168" i="28"/>
  <c r="DK169" i="28"/>
  <c r="DK170" i="28"/>
  <c r="DK171" i="28"/>
  <c r="DK172" i="28"/>
  <c r="DK173" i="28"/>
  <c r="DK174" i="28"/>
  <c r="DK175" i="28"/>
  <c r="DK176" i="28"/>
  <c r="DK177" i="28"/>
  <c r="DK178" i="28"/>
  <c r="DK179" i="28"/>
  <c r="DK180" i="28"/>
  <c r="DK181" i="28"/>
  <c r="DK182" i="28"/>
  <c r="DK183" i="28"/>
  <c r="DK184" i="28"/>
  <c r="DK185" i="28"/>
  <c r="DK186" i="28"/>
  <c r="DK187" i="28"/>
  <c r="DK188" i="28"/>
  <c r="DK189" i="28"/>
  <c r="DK190" i="28"/>
  <c r="DK191" i="28"/>
  <c r="DK192" i="28"/>
  <c r="DK193" i="28"/>
  <c r="DK194" i="28"/>
  <c r="DK195" i="28"/>
  <c r="DK196" i="28"/>
  <c r="DK197" i="28"/>
  <c r="DK198" i="28"/>
  <c r="DK199" i="28"/>
  <c r="DK200" i="28"/>
  <c r="DK201" i="28"/>
  <c r="DK202" i="28"/>
  <c r="DK203" i="28"/>
  <c r="DK204" i="28"/>
  <c r="DK206" i="28"/>
  <c r="DJ116" i="28"/>
  <c r="DJ117" i="28"/>
  <c r="DJ118" i="28"/>
  <c r="DJ119" i="28"/>
  <c r="DJ120" i="28"/>
  <c r="DJ121" i="28"/>
  <c r="DJ122" i="28"/>
  <c r="DJ123" i="28"/>
  <c r="DJ124" i="28"/>
  <c r="DJ125" i="28"/>
  <c r="DJ126" i="28"/>
  <c r="DJ127" i="28"/>
  <c r="DJ128" i="28"/>
  <c r="DJ129" i="28"/>
  <c r="DJ130" i="28"/>
  <c r="DJ131" i="28"/>
  <c r="DJ132" i="28"/>
  <c r="DJ133" i="28"/>
  <c r="DJ134" i="28"/>
  <c r="DJ135" i="28"/>
  <c r="DJ136" i="28"/>
  <c r="DJ137" i="28"/>
  <c r="DJ138" i="28"/>
  <c r="DJ139" i="28"/>
  <c r="DJ140" i="28"/>
  <c r="DJ141" i="28"/>
  <c r="DJ142" i="28"/>
  <c r="DJ143" i="28"/>
  <c r="DJ144" i="28"/>
  <c r="DJ145" i="28"/>
  <c r="DJ146" i="28"/>
  <c r="DJ147" i="28"/>
  <c r="DJ148" i="28"/>
  <c r="DJ149" i="28"/>
  <c r="DJ150" i="28"/>
  <c r="DJ151" i="28"/>
  <c r="DJ152" i="28"/>
  <c r="DJ153" i="28"/>
  <c r="DJ154" i="28"/>
  <c r="DJ155" i="28"/>
  <c r="DJ156" i="28"/>
  <c r="DJ157" i="28"/>
  <c r="DJ158" i="28"/>
  <c r="DJ159" i="28"/>
  <c r="DJ160" i="28"/>
  <c r="DJ161" i="28"/>
  <c r="DJ162" i="28"/>
  <c r="DJ163" i="28"/>
  <c r="DJ164" i="28"/>
  <c r="DJ165" i="28"/>
  <c r="DJ166" i="28"/>
  <c r="DJ167" i="28"/>
  <c r="DJ168" i="28"/>
  <c r="DJ169" i="28"/>
  <c r="DJ170" i="28"/>
  <c r="DJ171" i="28"/>
  <c r="DJ172" i="28"/>
  <c r="DJ173" i="28"/>
  <c r="DJ174" i="28"/>
  <c r="DJ175" i="28"/>
  <c r="DJ176" i="28"/>
  <c r="DJ177" i="28"/>
  <c r="DJ178" i="28"/>
  <c r="DJ179" i="28"/>
  <c r="DJ180" i="28"/>
  <c r="DJ181" i="28"/>
  <c r="DJ182" i="28"/>
  <c r="DJ183" i="28"/>
  <c r="DJ184" i="28"/>
  <c r="DJ185" i="28"/>
  <c r="DJ186" i="28"/>
  <c r="DJ187" i="28"/>
  <c r="DJ188" i="28"/>
  <c r="DJ189" i="28"/>
  <c r="DJ190" i="28"/>
  <c r="DJ191" i="28"/>
  <c r="DJ192" i="28"/>
  <c r="DJ193" i="28"/>
  <c r="DJ194" i="28"/>
  <c r="DJ195" i="28"/>
  <c r="DJ196" i="28"/>
  <c r="DJ197" i="28"/>
  <c r="DJ198" i="28"/>
  <c r="DJ199" i="28"/>
  <c r="DJ200" i="28"/>
  <c r="DJ201" i="28"/>
  <c r="DJ202" i="28"/>
  <c r="DJ203" i="28"/>
  <c r="DJ204" i="28"/>
  <c r="DI116" i="28"/>
  <c r="DI117" i="28"/>
  <c r="DI118" i="28"/>
  <c r="DI119" i="28"/>
  <c r="DI120" i="28"/>
  <c r="DI121" i="28"/>
  <c r="DI122" i="28"/>
  <c r="DI123" i="28"/>
  <c r="DI124" i="28"/>
  <c r="DI125" i="28"/>
  <c r="DI126" i="28"/>
  <c r="DI127" i="28"/>
  <c r="DI128" i="28"/>
  <c r="DI129" i="28"/>
  <c r="DI130" i="28"/>
  <c r="DI131" i="28"/>
  <c r="DI132" i="28"/>
  <c r="DI133" i="28"/>
  <c r="DI134" i="28"/>
  <c r="DI135" i="28"/>
  <c r="DI136" i="28"/>
  <c r="DI137" i="28"/>
  <c r="DI138" i="28"/>
  <c r="DI139" i="28"/>
  <c r="DI140" i="28"/>
  <c r="DI141" i="28"/>
  <c r="DI142" i="28"/>
  <c r="DI143" i="28"/>
  <c r="DI144" i="28"/>
  <c r="DI145" i="28"/>
  <c r="DI146" i="28"/>
  <c r="DI147" i="28"/>
  <c r="DI148" i="28"/>
  <c r="DI149" i="28"/>
  <c r="DI150" i="28"/>
  <c r="DI151" i="28"/>
  <c r="DI152" i="28"/>
  <c r="DI153" i="28"/>
  <c r="DI154" i="28"/>
  <c r="DI155" i="28"/>
  <c r="DI156" i="28"/>
  <c r="DI157" i="28"/>
  <c r="DI158" i="28"/>
  <c r="DI159" i="28"/>
  <c r="DI160" i="28"/>
  <c r="DI161" i="28"/>
  <c r="DI162" i="28"/>
  <c r="DI163" i="28"/>
  <c r="DI164" i="28"/>
  <c r="DI165" i="28"/>
  <c r="DI166" i="28"/>
  <c r="DI167" i="28"/>
  <c r="DI168" i="28"/>
  <c r="DI169" i="28"/>
  <c r="DI170" i="28"/>
  <c r="DI171" i="28"/>
  <c r="DI172" i="28"/>
  <c r="DI173" i="28"/>
  <c r="DI174" i="28"/>
  <c r="DI175" i="28"/>
  <c r="DI176" i="28"/>
  <c r="DI177" i="28"/>
  <c r="DI178" i="28"/>
  <c r="DI179" i="28"/>
  <c r="DI180" i="28"/>
  <c r="DI181" i="28"/>
  <c r="DI182" i="28"/>
  <c r="DI183" i="28"/>
  <c r="DI184" i="28"/>
  <c r="DI185" i="28"/>
  <c r="DI186" i="28"/>
  <c r="DI187" i="28"/>
  <c r="DI188" i="28"/>
  <c r="DI189" i="28"/>
  <c r="DI190" i="28"/>
  <c r="DI191" i="28"/>
  <c r="DI192" i="28"/>
  <c r="DI193" i="28"/>
  <c r="DI194" i="28"/>
  <c r="DI195" i="28"/>
  <c r="DI196" i="28"/>
  <c r="DI197" i="28"/>
  <c r="DI198" i="28"/>
  <c r="DI199" i="28"/>
  <c r="DI200" i="28"/>
  <c r="DI201" i="28"/>
  <c r="DI202" i="28"/>
  <c r="DI203" i="28"/>
  <c r="DI204" i="28"/>
  <c r="DI205" i="28"/>
  <c r="DH116" i="28"/>
  <c r="DH117" i="28"/>
  <c r="DH118" i="28"/>
  <c r="DH119" i="28"/>
  <c r="DH120" i="28"/>
  <c r="DH121" i="28"/>
  <c r="DH122" i="28"/>
  <c r="DH123" i="28"/>
  <c r="DH124" i="28"/>
  <c r="DH125" i="28"/>
  <c r="DH126" i="28"/>
  <c r="DH127" i="28"/>
  <c r="DH128" i="28"/>
  <c r="DH129" i="28"/>
  <c r="DH130" i="28"/>
  <c r="DH131" i="28"/>
  <c r="DH132" i="28"/>
  <c r="DH133" i="28"/>
  <c r="DH134" i="28"/>
  <c r="DH135" i="28"/>
  <c r="DH136" i="28"/>
  <c r="DH137" i="28"/>
  <c r="DH138" i="28"/>
  <c r="DH139" i="28"/>
  <c r="DH140" i="28"/>
  <c r="DH141" i="28"/>
  <c r="DH142" i="28"/>
  <c r="DH143" i="28"/>
  <c r="DH144" i="28"/>
  <c r="DH145" i="28"/>
  <c r="DH146" i="28"/>
  <c r="DH147" i="28"/>
  <c r="DH148" i="28"/>
  <c r="DH149" i="28"/>
  <c r="DH150" i="28"/>
  <c r="DH151" i="28"/>
  <c r="DH152" i="28"/>
  <c r="DH153" i="28"/>
  <c r="DH154" i="28"/>
  <c r="DH155" i="28"/>
  <c r="DH156" i="28"/>
  <c r="DH157" i="28"/>
  <c r="DH158" i="28"/>
  <c r="DH159" i="28"/>
  <c r="DH160" i="28"/>
  <c r="DH161" i="28"/>
  <c r="DH162" i="28"/>
  <c r="DH163" i="28"/>
  <c r="DH164" i="28"/>
  <c r="DH165" i="28"/>
  <c r="DH166" i="28"/>
  <c r="DH167" i="28"/>
  <c r="DH168" i="28"/>
  <c r="DH169" i="28"/>
  <c r="DH170" i="28"/>
  <c r="DH171" i="28"/>
  <c r="DH172" i="28"/>
  <c r="DH173" i="28"/>
  <c r="DH174" i="28"/>
  <c r="DH175" i="28"/>
  <c r="DH176" i="28"/>
  <c r="DH177" i="28"/>
  <c r="DH178" i="28"/>
  <c r="DH179" i="28"/>
  <c r="DH180" i="28"/>
  <c r="DH181" i="28"/>
  <c r="DH182" i="28"/>
  <c r="DH183" i="28"/>
  <c r="DH184" i="28"/>
  <c r="DH185" i="28"/>
  <c r="DH186" i="28"/>
  <c r="DH187" i="28"/>
  <c r="DH188" i="28"/>
  <c r="DH189" i="28"/>
  <c r="DH190" i="28"/>
  <c r="DH191" i="28"/>
  <c r="DH192" i="28"/>
  <c r="DH193" i="28"/>
  <c r="DH194" i="28"/>
  <c r="DH195" i="28"/>
  <c r="DH196" i="28"/>
  <c r="DH197" i="28"/>
  <c r="DH198" i="28"/>
  <c r="DH199" i="28"/>
  <c r="DH200" i="28"/>
  <c r="DH201" i="28"/>
  <c r="DH202" i="28"/>
  <c r="DH203" i="28"/>
  <c r="DH204" i="28"/>
  <c r="DH205" i="28"/>
  <c r="DH206" i="28"/>
  <c r="DG116" i="28"/>
  <c r="DG117" i="28"/>
  <c r="DG118" i="28"/>
  <c r="DG119" i="28"/>
  <c r="DG120" i="28"/>
  <c r="DG121" i="28"/>
  <c r="DG122" i="28"/>
  <c r="DG123" i="28"/>
  <c r="DG124" i="28"/>
  <c r="DG125" i="28"/>
  <c r="DG126" i="28"/>
  <c r="DG127" i="28"/>
  <c r="DG128" i="28"/>
  <c r="DG129" i="28"/>
  <c r="DG130" i="28"/>
  <c r="DG131" i="28"/>
  <c r="DG132" i="28"/>
  <c r="DG133" i="28"/>
  <c r="DG134" i="28"/>
  <c r="DG135" i="28"/>
  <c r="DG136" i="28"/>
  <c r="DG137" i="28"/>
  <c r="DG138" i="28"/>
  <c r="DG139" i="28"/>
  <c r="DG140" i="28"/>
  <c r="DG141" i="28"/>
  <c r="DG142" i="28"/>
  <c r="DG143" i="28"/>
  <c r="DG144" i="28"/>
  <c r="DG145" i="28"/>
  <c r="DG146" i="28"/>
  <c r="DG147" i="28"/>
  <c r="DG148" i="28"/>
  <c r="DG149" i="28"/>
  <c r="DG150" i="28"/>
  <c r="DG151" i="28"/>
  <c r="DG152" i="28"/>
  <c r="DG153" i="28"/>
  <c r="DG154" i="28"/>
  <c r="DG155" i="28"/>
  <c r="DG156" i="28"/>
  <c r="DG157" i="28"/>
  <c r="DG158" i="28"/>
  <c r="DG159" i="28"/>
  <c r="DG160" i="28"/>
  <c r="DG161" i="28"/>
  <c r="DG162" i="28"/>
  <c r="DG163" i="28"/>
  <c r="DG164" i="28"/>
  <c r="DG165" i="28"/>
  <c r="DG166" i="28"/>
  <c r="DG167" i="28"/>
  <c r="DG168" i="28"/>
  <c r="DG169" i="28"/>
  <c r="DG170" i="28"/>
  <c r="DG171" i="28"/>
  <c r="DG172" i="28"/>
  <c r="DG173" i="28"/>
  <c r="DG174" i="28"/>
  <c r="DG175" i="28"/>
  <c r="DG176" i="28"/>
  <c r="DG177" i="28"/>
  <c r="DG178" i="28"/>
  <c r="DG179" i="28"/>
  <c r="DG180" i="28"/>
  <c r="DG181" i="28"/>
  <c r="DG182" i="28"/>
  <c r="DG183" i="28"/>
  <c r="DG184" i="28"/>
  <c r="DG185" i="28"/>
  <c r="DG186" i="28"/>
  <c r="DG187" i="28"/>
  <c r="DG188" i="28"/>
  <c r="DG189" i="28"/>
  <c r="DG190" i="28"/>
  <c r="DG191" i="28"/>
  <c r="DG192" i="28"/>
  <c r="DG193" i="28"/>
  <c r="DG194" i="28"/>
  <c r="DG195" i="28"/>
  <c r="DG196" i="28"/>
  <c r="DG197" i="28"/>
  <c r="DG198" i="28"/>
  <c r="DG199" i="28"/>
  <c r="DG200" i="28"/>
  <c r="DG201" i="28"/>
  <c r="DG202" i="28"/>
  <c r="DG203" i="28"/>
  <c r="DG204" i="28"/>
  <c r="DG206" i="28"/>
  <c r="DF116" i="28"/>
  <c r="DF117" i="28"/>
  <c r="DF118" i="28"/>
  <c r="DF119" i="28"/>
  <c r="DF120" i="28"/>
  <c r="DF121" i="28"/>
  <c r="DF122" i="28"/>
  <c r="DF123" i="28"/>
  <c r="DF124" i="28"/>
  <c r="DF125" i="28"/>
  <c r="DF126" i="28"/>
  <c r="DF127" i="28"/>
  <c r="DF128" i="28"/>
  <c r="DF129" i="28"/>
  <c r="DF130" i="28"/>
  <c r="DF131" i="28"/>
  <c r="DF132" i="28"/>
  <c r="DF133" i="28"/>
  <c r="DF134" i="28"/>
  <c r="DF135" i="28"/>
  <c r="DF136" i="28"/>
  <c r="DF137" i="28"/>
  <c r="DF138" i="28"/>
  <c r="DF139" i="28"/>
  <c r="DF140" i="28"/>
  <c r="DF141" i="28"/>
  <c r="DF142" i="28"/>
  <c r="DF143" i="28"/>
  <c r="DF144" i="28"/>
  <c r="DF145" i="28"/>
  <c r="DF146" i="28"/>
  <c r="DF147" i="28"/>
  <c r="DF148" i="28"/>
  <c r="DF149" i="28"/>
  <c r="DF150" i="28"/>
  <c r="DF151" i="28"/>
  <c r="DF152" i="28"/>
  <c r="DF153" i="28"/>
  <c r="DF154" i="28"/>
  <c r="DF155" i="28"/>
  <c r="DF156" i="28"/>
  <c r="DF157" i="28"/>
  <c r="DF158" i="28"/>
  <c r="DF159" i="28"/>
  <c r="DF160" i="28"/>
  <c r="DF161" i="28"/>
  <c r="DF162" i="28"/>
  <c r="DF163" i="28"/>
  <c r="DF164" i="28"/>
  <c r="DF165" i="28"/>
  <c r="DF166" i="28"/>
  <c r="DF167" i="28"/>
  <c r="DF168" i="28"/>
  <c r="DF169" i="28"/>
  <c r="DF170" i="28"/>
  <c r="DF171" i="28"/>
  <c r="DF172" i="28"/>
  <c r="DF173" i="28"/>
  <c r="DF174" i="28"/>
  <c r="DF175" i="28"/>
  <c r="DF176" i="28"/>
  <c r="DF177" i="28"/>
  <c r="DF178" i="28"/>
  <c r="DF179" i="28"/>
  <c r="DF180" i="28"/>
  <c r="DF181" i="28"/>
  <c r="DF182" i="28"/>
  <c r="DF183" i="28"/>
  <c r="DF184" i="28"/>
  <c r="DF185" i="28"/>
  <c r="DF186" i="28"/>
  <c r="DF187" i="28"/>
  <c r="DF188" i="28"/>
  <c r="DF189" i="28"/>
  <c r="DF190" i="28"/>
  <c r="DF191" i="28"/>
  <c r="DF192" i="28"/>
  <c r="DF193" i="28"/>
  <c r="DF194" i="28"/>
  <c r="DF195" i="28"/>
  <c r="DF196" i="28"/>
  <c r="DF197" i="28"/>
  <c r="DF198" i="28"/>
  <c r="DF199" i="28"/>
  <c r="DF200" i="28"/>
  <c r="DF201" i="28"/>
  <c r="DF202" i="28"/>
  <c r="DF203" i="28"/>
  <c r="DF204" i="28"/>
  <c r="DF206" i="28"/>
  <c r="DE116" i="28"/>
  <c r="DE117" i="28"/>
  <c r="DE118" i="28"/>
  <c r="DE119" i="28"/>
  <c r="DE120" i="28"/>
  <c r="DE121" i="28"/>
  <c r="DE122" i="28"/>
  <c r="DE123" i="28"/>
  <c r="DE124" i="28"/>
  <c r="DE125" i="28"/>
  <c r="DE126" i="28"/>
  <c r="DE127" i="28"/>
  <c r="DE128" i="28"/>
  <c r="DE129" i="28"/>
  <c r="DE130" i="28"/>
  <c r="DE131" i="28"/>
  <c r="DE132" i="28"/>
  <c r="DE133" i="28"/>
  <c r="DE134" i="28"/>
  <c r="DE135" i="28"/>
  <c r="DE136" i="28"/>
  <c r="DE137" i="28"/>
  <c r="DE138" i="28"/>
  <c r="DE139" i="28"/>
  <c r="DE140" i="28"/>
  <c r="DE141" i="28"/>
  <c r="DE142" i="28"/>
  <c r="DE143" i="28"/>
  <c r="DE144" i="28"/>
  <c r="DE145" i="28"/>
  <c r="DE146" i="28"/>
  <c r="DE147" i="28"/>
  <c r="DE148" i="28"/>
  <c r="DE149" i="28"/>
  <c r="DE150" i="28"/>
  <c r="DE151" i="28"/>
  <c r="DE152" i="28"/>
  <c r="DE153" i="28"/>
  <c r="DE154" i="28"/>
  <c r="DE155" i="28"/>
  <c r="DE156" i="28"/>
  <c r="DE157" i="28"/>
  <c r="DE158" i="28"/>
  <c r="DE159" i="28"/>
  <c r="DE160" i="28"/>
  <c r="DE161" i="28"/>
  <c r="DE162" i="28"/>
  <c r="DE163" i="28"/>
  <c r="DE164" i="28"/>
  <c r="DE165" i="28"/>
  <c r="DE166" i="28"/>
  <c r="DE167" i="28"/>
  <c r="DE168" i="28"/>
  <c r="DE169" i="28"/>
  <c r="DE170" i="28"/>
  <c r="DE171" i="28"/>
  <c r="DE172" i="28"/>
  <c r="DE173" i="28"/>
  <c r="DE174" i="28"/>
  <c r="DE175" i="28"/>
  <c r="DE176" i="28"/>
  <c r="DE177" i="28"/>
  <c r="DE178" i="28"/>
  <c r="DE179" i="28"/>
  <c r="DE180" i="28"/>
  <c r="DE181" i="28"/>
  <c r="DE182" i="28"/>
  <c r="DE183" i="28"/>
  <c r="DE184" i="28"/>
  <c r="DE185" i="28"/>
  <c r="DE186" i="28"/>
  <c r="DE187" i="28"/>
  <c r="DE188" i="28"/>
  <c r="DE189" i="28"/>
  <c r="DE190" i="28"/>
  <c r="DE191" i="28"/>
  <c r="DE192" i="28"/>
  <c r="DE193" i="28"/>
  <c r="DE194" i="28"/>
  <c r="DE195" i="28"/>
  <c r="DE196" i="28"/>
  <c r="DE197" i="28"/>
  <c r="DE198" i="28"/>
  <c r="DE199" i="28"/>
  <c r="DE200" i="28"/>
  <c r="DE201" i="28"/>
  <c r="DE202" i="28"/>
  <c r="DE203" i="28"/>
  <c r="DE204" i="28"/>
  <c r="DE205" i="28"/>
  <c r="DD116" i="28"/>
  <c r="DD117" i="28"/>
  <c r="DD118" i="28"/>
  <c r="DD119" i="28"/>
  <c r="DD120" i="28"/>
  <c r="DD121" i="28"/>
  <c r="DD122" i="28"/>
  <c r="DD123" i="28"/>
  <c r="DD124" i="28"/>
  <c r="DD125" i="28"/>
  <c r="DD126" i="28"/>
  <c r="DD127" i="28"/>
  <c r="DD128" i="28"/>
  <c r="DD129" i="28"/>
  <c r="DD130" i="28"/>
  <c r="DD131" i="28"/>
  <c r="DD132" i="28"/>
  <c r="DD133" i="28"/>
  <c r="DD134" i="28"/>
  <c r="DD135" i="28"/>
  <c r="DD136" i="28"/>
  <c r="DD137" i="28"/>
  <c r="DD138" i="28"/>
  <c r="DD139" i="28"/>
  <c r="DD140" i="28"/>
  <c r="DD141" i="28"/>
  <c r="DD142" i="28"/>
  <c r="DD143" i="28"/>
  <c r="DD144" i="28"/>
  <c r="DD145" i="28"/>
  <c r="DD146" i="28"/>
  <c r="DD147" i="28"/>
  <c r="DD148" i="28"/>
  <c r="DD149" i="28"/>
  <c r="DD150" i="28"/>
  <c r="DD151" i="28"/>
  <c r="DD152" i="28"/>
  <c r="DD153" i="28"/>
  <c r="DD154" i="28"/>
  <c r="DD155" i="28"/>
  <c r="DD156" i="28"/>
  <c r="DD157" i="28"/>
  <c r="DD158" i="28"/>
  <c r="DD159" i="28"/>
  <c r="DD160" i="28"/>
  <c r="DD161" i="28"/>
  <c r="DD162" i="28"/>
  <c r="DD163" i="28"/>
  <c r="DD164" i="28"/>
  <c r="DD165" i="28"/>
  <c r="DD166" i="28"/>
  <c r="DD167" i="28"/>
  <c r="DD168" i="28"/>
  <c r="DD169" i="28"/>
  <c r="DD170" i="28"/>
  <c r="DD171" i="28"/>
  <c r="DD172" i="28"/>
  <c r="DD173" i="28"/>
  <c r="DD174" i="28"/>
  <c r="DD175" i="28"/>
  <c r="DD176" i="28"/>
  <c r="DD177" i="28"/>
  <c r="DD178" i="28"/>
  <c r="DD179" i="28"/>
  <c r="DD180" i="28"/>
  <c r="DD181" i="28"/>
  <c r="DD182" i="28"/>
  <c r="DD183" i="28"/>
  <c r="DD184" i="28"/>
  <c r="DD185" i="28"/>
  <c r="DD186" i="28"/>
  <c r="DD187" i="28"/>
  <c r="DD188" i="28"/>
  <c r="DD189" i="28"/>
  <c r="DD190" i="28"/>
  <c r="DD191" i="28"/>
  <c r="DD192" i="28"/>
  <c r="DD193" i="28"/>
  <c r="DD194" i="28"/>
  <c r="DD195" i="28"/>
  <c r="DD196" i="28"/>
  <c r="DD197" i="28"/>
  <c r="DD198" i="28"/>
  <c r="DD199" i="28"/>
  <c r="DD200" i="28"/>
  <c r="DD201" i="28"/>
  <c r="DD202" i="28"/>
  <c r="DD203" i="28"/>
  <c r="DD204" i="28"/>
  <c r="DD205" i="28"/>
  <c r="DD206" i="28"/>
  <c r="DC116" i="28"/>
  <c r="DC117" i="28"/>
  <c r="DC118" i="28"/>
  <c r="DC119" i="28"/>
  <c r="DC120" i="28"/>
  <c r="DC121" i="28"/>
  <c r="DC122" i="28"/>
  <c r="DC123" i="28"/>
  <c r="DC124" i="28"/>
  <c r="DC125" i="28"/>
  <c r="DC126" i="28"/>
  <c r="DC127" i="28"/>
  <c r="DC128" i="28"/>
  <c r="DC129" i="28"/>
  <c r="DC130" i="28"/>
  <c r="DC131" i="28"/>
  <c r="DC132" i="28"/>
  <c r="DC133" i="28"/>
  <c r="DC134" i="28"/>
  <c r="DC135" i="28"/>
  <c r="DC136" i="28"/>
  <c r="DC137" i="28"/>
  <c r="DC138" i="28"/>
  <c r="DC139" i="28"/>
  <c r="DC140" i="28"/>
  <c r="DC141" i="28"/>
  <c r="DC142" i="28"/>
  <c r="DC143" i="28"/>
  <c r="DC144" i="28"/>
  <c r="DC145" i="28"/>
  <c r="DC146" i="28"/>
  <c r="DC147" i="28"/>
  <c r="DC148" i="28"/>
  <c r="DC149" i="28"/>
  <c r="DC150" i="28"/>
  <c r="DC151" i="28"/>
  <c r="DC152" i="28"/>
  <c r="DC153" i="28"/>
  <c r="DC154" i="28"/>
  <c r="DC155" i="28"/>
  <c r="DC156" i="28"/>
  <c r="DC157" i="28"/>
  <c r="DC158" i="28"/>
  <c r="DC159" i="28"/>
  <c r="DC160" i="28"/>
  <c r="DC161" i="28"/>
  <c r="DC162" i="28"/>
  <c r="DC163" i="28"/>
  <c r="DC164" i="28"/>
  <c r="DC165" i="28"/>
  <c r="DC166" i="28"/>
  <c r="DC167" i="28"/>
  <c r="DC168" i="28"/>
  <c r="DC169" i="28"/>
  <c r="DC170" i="28"/>
  <c r="DC171" i="28"/>
  <c r="DC172" i="28"/>
  <c r="DC173" i="28"/>
  <c r="DC174" i="28"/>
  <c r="DC175" i="28"/>
  <c r="DC176" i="28"/>
  <c r="DC177" i="28"/>
  <c r="DC178" i="28"/>
  <c r="DC179" i="28"/>
  <c r="DC180" i="28"/>
  <c r="DC181" i="28"/>
  <c r="DC182" i="28"/>
  <c r="DC183" i="28"/>
  <c r="DC184" i="28"/>
  <c r="DC185" i="28"/>
  <c r="DC186" i="28"/>
  <c r="DC187" i="28"/>
  <c r="DC188" i="28"/>
  <c r="DC189" i="28"/>
  <c r="DC190" i="28"/>
  <c r="DC191" i="28"/>
  <c r="DC192" i="28"/>
  <c r="DC193" i="28"/>
  <c r="DC194" i="28"/>
  <c r="DC195" i="28"/>
  <c r="DC196" i="28"/>
  <c r="DC197" i="28"/>
  <c r="DC198" i="28"/>
  <c r="DC199" i="28"/>
  <c r="DC200" i="28"/>
  <c r="DC201" i="28"/>
  <c r="DC202" i="28"/>
  <c r="DC203" i="28"/>
  <c r="DC204" i="28"/>
  <c r="DB116" i="28"/>
  <c r="DB117" i="28"/>
  <c r="DB118" i="28"/>
  <c r="DB119" i="28"/>
  <c r="DB120" i="28"/>
  <c r="DB121" i="28"/>
  <c r="DB122" i="28"/>
  <c r="DB123" i="28"/>
  <c r="DB124" i="28"/>
  <c r="DB125" i="28"/>
  <c r="DB126" i="28"/>
  <c r="DB127" i="28"/>
  <c r="DB128" i="28"/>
  <c r="DB129" i="28"/>
  <c r="DB130" i="28"/>
  <c r="DB131" i="28"/>
  <c r="DB132" i="28"/>
  <c r="DB133" i="28"/>
  <c r="DB134" i="28"/>
  <c r="DB135" i="28"/>
  <c r="DB136" i="28"/>
  <c r="DB137" i="28"/>
  <c r="DB138" i="28"/>
  <c r="DB139" i="28"/>
  <c r="DB140" i="28"/>
  <c r="DB141" i="28"/>
  <c r="DB142" i="28"/>
  <c r="DB143" i="28"/>
  <c r="DB144" i="28"/>
  <c r="DB145" i="28"/>
  <c r="DB146" i="28"/>
  <c r="DB147" i="28"/>
  <c r="DB148" i="28"/>
  <c r="DB149" i="28"/>
  <c r="DB150" i="28"/>
  <c r="DB151" i="28"/>
  <c r="DB152" i="28"/>
  <c r="DB153" i="28"/>
  <c r="DB154" i="28"/>
  <c r="DB155" i="28"/>
  <c r="DB156" i="28"/>
  <c r="DB157" i="28"/>
  <c r="DB158" i="28"/>
  <c r="DB159" i="28"/>
  <c r="DB160" i="28"/>
  <c r="DB161" i="28"/>
  <c r="DB162" i="28"/>
  <c r="DB163" i="28"/>
  <c r="DB164" i="28"/>
  <c r="DB165" i="28"/>
  <c r="DB166" i="28"/>
  <c r="DB167" i="28"/>
  <c r="DB168" i="28"/>
  <c r="DB169" i="28"/>
  <c r="DB170" i="28"/>
  <c r="DB171" i="28"/>
  <c r="DB172" i="28"/>
  <c r="DB173" i="28"/>
  <c r="DB174" i="28"/>
  <c r="DB175" i="28"/>
  <c r="DB176" i="28"/>
  <c r="DB177" i="28"/>
  <c r="DB178" i="28"/>
  <c r="DB179" i="28"/>
  <c r="DB180" i="28"/>
  <c r="DB181" i="28"/>
  <c r="DB182" i="28"/>
  <c r="DB183" i="28"/>
  <c r="DB184" i="28"/>
  <c r="DB185" i="28"/>
  <c r="DB186" i="28"/>
  <c r="DB187" i="28"/>
  <c r="DB188" i="28"/>
  <c r="DB189" i="28"/>
  <c r="DB190" i="28"/>
  <c r="DB191" i="28"/>
  <c r="DB192" i="28"/>
  <c r="DB193" i="28"/>
  <c r="DB194" i="28"/>
  <c r="DB195" i="28"/>
  <c r="DB196" i="28"/>
  <c r="DB197" i="28"/>
  <c r="DB198" i="28"/>
  <c r="DB199" i="28"/>
  <c r="DB200" i="28"/>
  <c r="DB201" i="28"/>
  <c r="DB202" i="28"/>
  <c r="DB203" i="28"/>
  <c r="DB204" i="28"/>
  <c r="DB206" i="28"/>
  <c r="DA116" i="28"/>
  <c r="DA117" i="28"/>
  <c r="DA118" i="28"/>
  <c r="DA119" i="28"/>
  <c r="DA120" i="28"/>
  <c r="DA121" i="28"/>
  <c r="DA122" i="28"/>
  <c r="DA123" i="28"/>
  <c r="DA124" i="28"/>
  <c r="DA125" i="28"/>
  <c r="DA126" i="28"/>
  <c r="DA127" i="28"/>
  <c r="DA128" i="28"/>
  <c r="DA129" i="28"/>
  <c r="DA130" i="28"/>
  <c r="DA131" i="28"/>
  <c r="DA132" i="28"/>
  <c r="DA133" i="28"/>
  <c r="DA134" i="28"/>
  <c r="DA135" i="28"/>
  <c r="DA136" i="28"/>
  <c r="DA137" i="28"/>
  <c r="DA138" i="28"/>
  <c r="DA139" i="28"/>
  <c r="DA140" i="28"/>
  <c r="DA141" i="28"/>
  <c r="DA142" i="28"/>
  <c r="DA143" i="28"/>
  <c r="DA144" i="28"/>
  <c r="DA145" i="28"/>
  <c r="DA146" i="28"/>
  <c r="DA147" i="28"/>
  <c r="DA148" i="28"/>
  <c r="DA149" i="28"/>
  <c r="DA150" i="28"/>
  <c r="DA151" i="28"/>
  <c r="DA152" i="28"/>
  <c r="DA153" i="28"/>
  <c r="DA154" i="28"/>
  <c r="DA155" i="28"/>
  <c r="DA156" i="28"/>
  <c r="DA157" i="28"/>
  <c r="DA158" i="28"/>
  <c r="DA159" i="28"/>
  <c r="DA160" i="28"/>
  <c r="DA161" i="28"/>
  <c r="DA162" i="28"/>
  <c r="DA163" i="28"/>
  <c r="DA164" i="28"/>
  <c r="DA165" i="28"/>
  <c r="DA166" i="28"/>
  <c r="DA167" i="28"/>
  <c r="DA168" i="28"/>
  <c r="DA169" i="28"/>
  <c r="DA170" i="28"/>
  <c r="DA171" i="28"/>
  <c r="DA172" i="28"/>
  <c r="DA173" i="28"/>
  <c r="DA174" i="28"/>
  <c r="DA175" i="28"/>
  <c r="DA176" i="28"/>
  <c r="DA177" i="28"/>
  <c r="DA178" i="28"/>
  <c r="DA179" i="28"/>
  <c r="DA180" i="28"/>
  <c r="DA181" i="28"/>
  <c r="DA182" i="28"/>
  <c r="DA183" i="28"/>
  <c r="DA184" i="28"/>
  <c r="DA185" i="28"/>
  <c r="DA186" i="28"/>
  <c r="DA187" i="28"/>
  <c r="DA188" i="28"/>
  <c r="DA189" i="28"/>
  <c r="DA190" i="28"/>
  <c r="DA191" i="28"/>
  <c r="DA192" i="28"/>
  <c r="DA193" i="28"/>
  <c r="DA194" i="28"/>
  <c r="DA195" i="28"/>
  <c r="DA196" i="28"/>
  <c r="DA197" i="28"/>
  <c r="DA198" i="28"/>
  <c r="DA199" i="28"/>
  <c r="DA200" i="28"/>
  <c r="DA201" i="28"/>
  <c r="DA202" i="28"/>
  <c r="DA203" i="28"/>
  <c r="DA204" i="28"/>
  <c r="DA206" i="28"/>
  <c r="CZ116" i="28"/>
  <c r="CZ117" i="28"/>
  <c r="CZ118" i="28"/>
  <c r="CZ119" i="28"/>
  <c r="CZ120" i="28"/>
  <c r="CZ121" i="28"/>
  <c r="CZ122" i="28"/>
  <c r="CZ123" i="28"/>
  <c r="CZ124" i="28"/>
  <c r="CZ125" i="28"/>
  <c r="CZ126" i="28"/>
  <c r="CZ127" i="28"/>
  <c r="CZ128" i="28"/>
  <c r="CZ129" i="28"/>
  <c r="CZ130" i="28"/>
  <c r="CZ131" i="28"/>
  <c r="CZ132" i="28"/>
  <c r="CZ133" i="28"/>
  <c r="CZ134" i="28"/>
  <c r="CZ135" i="28"/>
  <c r="CZ136" i="28"/>
  <c r="CZ137" i="28"/>
  <c r="CZ138" i="28"/>
  <c r="CZ139" i="28"/>
  <c r="CZ140" i="28"/>
  <c r="CZ141" i="28"/>
  <c r="CZ142" i="28"/>
  <c r="CZ143" i="28"/>
  <c r="CZ144" i="28"/>
  <c r="CZ145" i="28"/>
  <c r="CZ146" i="28"/>
  <c r="CZ147" i="28"/>
  <c r="CZ148" i="28"/>
  <c r="CZ149" i="28"/>
  <c r="CZ150" i="28"/>
  <c r="CZ151" i="28"/>
  <c r="CZ152" i="28"/>
  <c r="CZ153" i="28"/>
  <c r="CZ154" i="28"/>
  <c r="CZ155" i="28"/>
  <c r="CZ156" i="28"/>
  <c r="CZ157" i="28"/>
  <c r="CZ158" i="28"/>
  <c r="CZ159" i="28"/>
  <c r="CZ160" i="28"/>
  <c r="CZ161" i="28"/>
  <c r="CZ162" i="28"/>
  <c r="CZ163" i="28"/>
  <c r="CZ164" i="28"/>
  <c r="CZ165" i="28"/>
  <c r="CZ166" i="28"/>
  <c r="CZ167" i="28"/>
  <c r="CZ168" i="28"/>
  <c r="CZ169" i="28"/>
  <c r="CZ170" i="28"/>
  <c r="CZ171" i="28"/>
  <c r="CZ172" i="28"/>
  <c r="CZ173" i="28"/>
  <c r="CZ174" i="28"/>
  <c r="CZ175" i="28"/>
  <c r="CZ176" i="28"/>
  <c r="CZ177" i="28"/>
  <c r="CZ178" i="28"/>
  <c r="CZ179" i="28"/>
  <c r="CZ180" i="28"/>
  <c r="CZ181" i="28"/>
  <c r="CZ182" i="28"/>
  <c r="CZ183" i="28"/>
  <c r="CZ184" i="28"/>
  <c r="CZ185" i="28"/>
  <c r="CZ186" i="28"/>
  <c r="CZ187" i="28"/>
  <c r="CZ188" i="28"/>
  <c r="CZ189" i="28"/>
  <c r="CZ190" i="28"/>
  <c r="CZ191" i="28"/>
  <c r="CZ192" i="28"/>
  <c r="CZ193" i="28"/>
  <c r="CZ194" i="28"/>
  <c r="CZ195" i="28"/>
  <c r="CZ196" i="28"/>
  <c r="CZ197" i="28"/>
  <c r="CZ198" i="28"/>
  <c r="CZ199" i="28"/>
  <c r="CZ200" i="28"/>
  <c r="CZ201" i="28"/>
  <c r="CZ202" i="28"/>
  <c r="CZ203" i="28"/>
  <c r="CZ204" i="28"/>
  <c r="CZ205" i="28"/>
  <c r="CY116" i="28"/>
  <c r="CY117" i="28"/>
  <c r="CY118" i="28"/>
  <c r="CY119" i="28"/>
  <c r="CY120" i="28"/>
  <c r="CY121" i="28"/>
  <c r="CY122" i="28"/>
  <c r="CY123" i="28"/>
  <c r="CY124" i="28"/>
  <c r="CY125" i="28"/>
  <c r="CY126" i="28"/>
  <c r="CY127" i="28"/>
  <c r="CY128" i="28"/>
  <c r="CY129" i="28"/>
  <c r="CY130" i="28"/>
  <c r="CY131" i="28"/>
  <c r="CY132" i="28"/>
  <c r="CY133" i="28"/>
  <c r="CY134" i="28"/>
  <c r="CY135" i="28"/>
  <c r="CY136" i="28"/>
  <c r="CY137" i="28"/>
  <c r="CY138" i="28"/>
  <c r="CY139" i="28"/>
  <c r="CY140" i="28"/>
  <c r="CY141" i="28"/>
  <c r="CY142" i="28"/>
  <c r="CY143" i="28"/>
  <c r="CY144" i="28"/>
  <c r="CY145" i="28"/>
  <c r="CY146" i="28"/>
  <c r="CY147" i="28"/>
  <c r="CY148" i="28"/>
  <c r="CY149" i="28"/>
  <c r="CY150" i="28"/>
  <c r="CY151" i="28"/>
  <c r="CY152" i="28"/>
  <c r="CY153" i="28"/>
  <c r="CY154" i="28"/>
  <c r="CY155" i="28"/>
  <c r="CY156" i="28"/>
  <c r="CY157" i="28"/>
  <c r="CY158" i="28"/>
  <c r="CY159" i="28"/>
  <c r="CY160" i="28"/>
  <c r="CY161" i="28"/>
  <c r="CY162" i="28"/>
  <c r="CY163" i="28"/>
  <c r="CY164" i="28"/>
  <c r="CY165" i="28"/>
  <c r="CY166" i="28"/>
  <c r="CY167" i="28"/>
  <c r="CY168" i="28"/>
  <c r="CY169" i="28"/>
  <c r="CY170" i="28"/>
  <c r="CY171" i="28"/>
  <c r="CY172" i="28"/>
  <c r="CY173" i="28"/>
  <c r="CY174" i="28"/>
  <c r="CY175" i="28"/>
  <c r="CY176" i="28"/>
  <c r="CY177" i="28"/>
  <c r="CY178" i="28"/>
  <c r="CY179" i="28"/>
  <c r="CY180" i="28"/>
  <c r="CY181" i="28"/>
  <c r="CY182" i="28"/>
  <c r="CY183" i="28"/>
  <c r="CY184" i="28"/>
  <c r="CY185" i="28"/>
  <c r="CY186" i="28"/>
  <c r="CY187" i="28"/>
  <c r="CY188" i="28"/>
  <c r="CY189" i="28"/>
  <c r="CY190" i="28"/>
  <c r="CY191" i="28"/>
  <c r="CY192" i="28"/>
  <c r="CY193" i="28"/>
  <c r="CY194" i="28"/>
  <c r="CY195" i="28"/>
  <c r="CY196" i="28"/>
  <c r="CY197" i="28"/>
  <c r="CY198" i="28"/>
  <c r="CY199" i="28"/>
  <c r="CY200" i="28"/>
  <c r="CY201" i="28"/>
  <c r="CY202" i="28"/>
  <c r="CY203" i="28"/>
  <c r="CY204" i="28"/>
  <c r="CY206" i="28"/>
  <c r="CX116" i="28"/>
  <c r="CX117" i="28"/>
  <c r="CX118" i="28"/>
  <c r="CX119" i="28"/>
  <c r="CX120" i="28"/>
  <c r="CX121" i="28"/>
  <c r="CX122" i="28"/>
  <c r="CX123" i="28"/>
  <c r="CX124" i="28"/>
  <c r="CX125" i="28"/>
  <c r="CX126" i="28"/>
  <c r="CX127" i="28"/>
  <c r="CX128" i="28"/>
  <c r="CX129" i="28"/>
  <c r="CX130" i="28"/>
  <c r="CX131" i="28"/>
  <c r="CX132" i="28"/>
  <c r="CX133" i="28"/>
  <c r="CX134" i="28"/>
  <c r="CX135" i="28"/>
  <c r="CX136" i="28"/>
  <c r="CX137" i="28"/>
  <c r="CX138" i="28"/>
  <c r="CX139" i="28"/>
  <c r="CX140" i="28"/>
  <c r="CX141" i="28"/>
  <c r="CX142" i="28"/>
  <c r="CX143" i="28"/>
  <c r="CX144" i="28"/>
  <c r="CX145" i="28"/>
  <c r="CX146" i="28"/>
  <c r="CX147" i="28"/>
  <c r="CX148" i="28"/>
  <c r="CX149" i="28"/>
  <c r="CX150" i="28"/>
  <c r="CX151" i="28"/>
  <c r="CX152" i="28"/>
  <c r="CX153" i="28"/>
  <c r="CX154" i="28"/>
  <c r="CX155" i="28"/>
  <c r="CX156" i="28"/>
  <c r="CX157" i="28"/>
  <c r="CX158" i="28"/>
  <c r="CX159" i="28"/>
  <c r="CX160" i="28"/>
  <c r="CX161" i="28"/>
  <c r="CX162" i="28"/>
  <c r="CX163" i="28"/>
  <c r="CX164" i="28"/>
  <c r="CX165" i="28"/>
  <c r="CX166" i="28"/>
  <c r="CX167" i="28"/>
  <c r="CX168" i="28"/>
  <c r="CX169" i="28"/>
  <c r="CX170" i="28"/>
  <c r="CX171" i="28"/>
  <c r="CX172" i="28"/>
  <c r="CX173" i="28"/>
  <c r="CX174" i="28"/>
  <c r="CX175" i="28"/>
  <c r="CX176" i="28"/>
  <c r="CX177" i="28"/>
  <c r="CX178" i="28"/>
  <c r="CX179" i="28"/>
  <c r="CX180" i="28"/>
  <c r="CX181" i="28"/>
  <c r="CX182" i="28"/>
  <c r="CX183" i="28"/>
  <c r="CX184" i="28"/>
  <c r="CX185" i="28"/>
  <c r="CX186" i="28"/>
  <c r="CX187" i="28"/>
  <c r="CX188" i="28"/>
  <c r="CX189" i="28"/>
  <c r="CX190" i="28"/>
  <c r="CX191" i="28"/>
  <c r="CX192" i="28"/>
  <c r="CX193" i="28"/>
  <c r="CX194" i="28"/>
  <c r="CX195" i="28"/>
  <c r="CX196" i="28"/>
  <c r="CX197" i="28"/>
  <c r="CX198" i="28"/>
  <c r="CX199" i="28"/>
  <c r="CX200" i="28"/>
  <c r="CX201" i="28"/>
  <c r="CX202" i="28"/>
  <c r="CX203" i="28"/>
  <c r="CX204" i="28"/>
  <c r="CX206" i="28"/>
  <c r="CW116" i="28"/>
  <c r="CW117" i="28"/>
  <c r="CW118" i="28"/>
  <c r="CW119" i="28"/>
  <c r="CW120" i="28"/>
  <c r="CW121" i="28"/>
  <c r="CW122" i="28"/>
  <c r="CW123" i="28"/>
  <c r="CW124" i="28"/>
  <c r="CW125" i="28"/>
  <c r="CW126" i="28"/>
  <c r="CW127" i="28"/>
  <c r="CW128" i="28"/>
  <c r="CW129" i="28"/>
  <c r="CW130" i="28"/>
  <c r="CW131" i="28"/>
  <c r="CW132" i="28"/>
  <c r="CW133" i="28"/>
  <c r="CW134" i="28"/>
  <c r="CW135" i="28"/>
  <c r="CW136" i="28"/>
  <c r="CW137" i="28"/>
  <c r="CW138" i="28"/>
  <c r="CW139" i="28"/>
  <c r="CW140" i="28"/>
  <c r="CW141" i="28"/>
  <c r="CW142" i="28"/>
  <c r="CW143" i="28"/>
  <c r="CW144" i="28"/>
  <c r="CW145" i="28"/>
  <c r="CW146" i="28"/>
  <c r="CW147" i="28"/>
  <c r="CW148" i="28"/>
  <c r="CW149" i="28"/>
  <c r="CW150" i="28"/>
  <c r="CW151" i="28"/>
  <c r="CW152" i="28"/>
  <c r="CW153" i="28"/>
  <c r="CW154" i="28"/>
  <c r="CW155" i="28"/>
  <c r="CW156" i="28"/>
  <c r="CW157" i="28"/>
  <c r="CW158" i="28"/>
  <c r="CW159" i="28"/>
  <c r="CW160" i="28"/>
  <c r="CW161" i="28"/>
  <c r="CW162" i="28"/>
  <c r="CW163" i="28"/>
  <c r="CW164" i="28"/>
  <c r="CW165" i="28"/>
  <c r="CW166" i="28"/>
  <c r="CW167" i="28"/>
  <c r="CW168" i="28"/>
  <c r="CW169" i="28"/>
  <c r="CW170" i="28"/>
  <c r="CW171" i="28"/>
  <c r="CW172" i="28"/>
  <c r="CW173" i="28"/>
  <c r="CW174" i="28"/>
  <c r="CW175" i="28"/>
  <c r="CW176" i="28"/>
  <c r="CW177" i="28"/>
  <c r="CW178" i="28"/>
  <c r="CW179" i="28"/>
  <c r="CW180" i="28"/>
  <c r="CW181" i="28"/>
  <c r="CW182" i="28"/>
  <c r="CW183" i="28"/>
  <c r="CW184" i="28"/>
  <c r="CW185" i="28"/>
  <c r="CW186" i="28"/>
  <c r="CW187" i="28"/>
  <c r="CW188" i="28"/>
  <c r="CW189" i="28"/>
  <c r="CW190" i="28"/>
  <c r="CW191" i="28"/>
  <c r="CW192" i="28"/>
  <c r="CW193" i="28"/>
  <c r="CW194" i="28"/>
  <c r="CW195" i="28"/>
  <c r="CW196" i="28"/>
  <c r="CW197" i="28"/>
  <c r="CW198" i="28"/>
  <c r="CW199" i="28"/>
  <c r="CW200" i="28"/>
  <c r="CW201" i="28"/>
  <c r="CW202" i="28"/>
  <c r="CW203" i="28"/>
  <c r="CW204" i="28"/>
  <c r="CW206" i="28"/>
  <c r="CV116" i="28"/>
  <c r="CV117" i="28"/>
  <c r="CV118" i="28"/>
  <c r="CV119" i="28"/>
  <c r="CV120" i="28"/>
  <c r="CV121" i="28"/>
  <c r="CV122" i="28"/>
  <c r="CV123" i="28"/>
  <c r="CV124" i="28"/>
  <c r="CV125" i="28"/>
  <c r="CV126" i="28"/>
  <c r="CV127" i="28"/>
  <c r="CV128" i="28"/>
  <c r="CV129" i="28"/>
  <c r="CV130" i="28"/>
  <c r="CV131" i="28"/>
  <c r="CV132" i="28"/>
  <c r="CV133" i="28"/>
  <c r="CV134" i="28"/>
  <c r="CV135" i="28"/>
  <c r="CV136" i="28"/>
  <c r="CV137" i="28"/>
  <c r="CV138" i="28"/>
  <c r="CV139" i="28"/>
  <c r="CV140" i="28"/>
  <c r="CV141" i="28"/>
  <c r="CV142" i="28"/>
  <c r="CV143" i="28"/>
  <c r="CV144" i="28"/>
  <c r="CV145" i="28"/>
  <c r="CV146" i="28"/>
  <c r="CV147" i="28"/>
  <c r="CV148" i="28"/>
  <c r="CV149" i="28"/>
  <c r="CV150" i="28"/>
  <c r="CV151" i="28"/>
  <c r="CV152" i="28"/>
  <c r="CV153" i="28"/>
  <c r="CV154" i="28"/>
  <c r="CV155" i="28"/>
  <c r="CV156" i="28"/>
  <c r="CV157" i="28"/>
  <c r="CV158" i="28"/>
  <c r="CV159" i="28"/>
  <c r="CV160" i="28"/>
  <c r="CV161" i="28"/>
  <c r="CV162" i="28"/>
  <c r="CV163" i="28"/>
  <c r="CV164" i="28"/>
  <c r="CV165" i="28"/>
  <c r="CV166" i="28"/>
  <c r="CV167" i="28"/>
  <c r="CV168" i="28"/>
  <c r="CV169" i="28"/>
  <c r="CV170" i="28"/>
  <c r="CV171" i="28"/>
  <c r="CV172" i="28"/>
  <c r="CV173" i="28"/>
  <c r="CV174" i="28"/>
  <c r="CV175" i="28"/>
  <c r="CV176" i="28"/>
  <c r="CV177" i="28"/>
  <c r="CV178" i="28"/>
  <c r="CV179" i="28"/>
  <c r="CV180" i="28"/>
  <c r="CV181" i="28"/>
  <c r="CV182" i="28"/>
  <c r="CV183" i="28"/>
  <c r="CV184" i="28"/>
  <c r="CV185" i="28"/>
  <c r="CV186" i="28"/>
  <c r="CV187" i="28"/>
  <c r="CV188" i="28"/>
  <c r="CV189" i="28"/>
  <c r="CV190" i="28"/>
  <c r="CV191" i="28"/>
  <c r="CV192" i="28"/>
  <c r="CV193" i="28"/>
  <c r="CV194" i="28"/>
  <c r="CV195" i="28"/>
  <c r="CV196" i="28"/>
  <c r="CV197" i="28"/>
  <c r="CV198" i="28"/>
  <c r="CV199" i="28"/>
  <c r="CV200" i="28"/>
  <c r="CV201" i="28"/>
  <c r="CV202" i="28"/>
  <c r="CV203" i="28"/>
  <c r="CV204" i="28"/>
  <c r="CV205" i="28"/>
  <c r="CV206" i="28"/>
  <c r="DK205" i="28"/>
  <c r="DF205" i="28"/>
  <c r="DA205" i="28"/>
  <c r="CW205" i="28"/>
  <c r="BW116" i="28"/>
  <c r="BW117" i="28"/>
  <c r="BW118" i="28"/>
  <c r="BW119" i="28"/>
  <c r="BW120" i="28"/>
  <c r="BW121" i="28"/>
  <c r="BW122" i="28"/>
  <c r="BW123" i="28"/>
  <c r="BW124" i="28"/>
  <c r="BW125" i="28"/>
  <c r="BW126" i="28"/>
  <c r="BW127" i="28"/>
  <c r="BW128" i="28"/>
  <c r="BW129" i="28"/>
  <c r="BW130" i="28"/>
  <c r="BW131" i="28"/>
  <c r="BW132" i="28"/>
  <c r="BW133" i="28"/>
  <c r="BW134" i="28"/>
  <c r="BW135" i="28"/>
  <c r="BW136" i="28"/>
  <c r="BW137" i="28"/>
  <c r="BW138" i="28"/>
  <c r="BW139" i="28"/>
  <c r="BW140" i="28"/>
  <c r="BW141" i="28"/>
  <c r="BW142" i="28"/>
  <c r="BW143" i="28"/>
  <c r="BW144" i="28"/>
  <c r="BW145" i="28"/>
  <c r="BW146" i="28"/>
  <c r="BW147" i="28"/>
  <c r="BW148" i="28"/>
  <c r="BW149" i="28"/>
  <c r="BW150" i="28"/>
  <c r="BW151" i="28"/>
  <c r="BW152" i="28"/>
  <c r="BW153" i="28"/>
  <c r="BW154" i="28"/>
  <c r="BW155" i="28"/>
  <c r="BW156" i="28"/>
  <c r="BW157" i="28"/>
  <c r="BW158" i="28"/>
  <c r="BW159" i="28"/>
  <c r="BW160" i="28"/>
  <c r="BW161" i="28"/>
  <c r="BW162" i="28"/>
  <c r="BW163" i="28"/>
  <c r="BW164" i="28"/>
  <c r="BW165" i="28"/>
  <c r="BW166" i="28"/>
  <c r="BW167" i="28"/>
  <c r="BW168" i="28"/>
  <c r="BW169" i="28"/>
  <c r="BW170" i="28"/>
  <c r="BW171" i="28"/>
  <c r="BW172" i="28"/>
  <c r="BW173" i="28"/>
  <c r="BW174" i="28"/>
  <c r="BW175" i="28"/>
  <c r="BW176" i="28"/>
  <c r="BW177" i="28"/>
  <c r="BW178" i="28"/>
  <c r="BW179" i="28"/>
  <c r="BW180" i="28"/>
  <c r="BW181" i="28"/>
  <c r="BW182" i="28"/>
  <c r="BW183" i="28"/>
  <c r="BW184" i="28"/>
  <c r="BW185" i="28"/>
  <c r="BW186" i="28"/>
  <c r="BW187" i="28"/>
  <c r="BW188" i="28"/>
  <c r="BW189" i="28"/>
  <c r="BW190" i="28"/>
  <c r="BW191" i="28"/>
  <c r="BW192" i="28"/>
  <c r="BW193" i="28"/>
  <c r="BW194" i="28"/>
  <c r="BW195" i="28"/>
  <c r="BW196" i="28"/>
  <c r="BW197" i="28"/>
  <c r="BW198" i="28"/>
  <c r="BW199" i="28"/>
  <c r="BW200" i="28"/>
  <c r="BW201" i="28"/>
  <c r="BW202" i="28"/>
  <c r="BW203" i="28"/>
  <c r="BW204" i="28"/>
  <c r="BW206" i="28"/>
  <c r="BV118" i="28"/>
  <c r="BV119" i="28"/>
  <c r="BV120" i="28"/>
  <c r="BV121" i="28"/>
  <c r="BV122" i="28"/>
  <c r="BV123" i="28"/>
  <c r="BV124" i="28"/>
  <c r="BV125" i="28"/>
  <c r="BV126" i="28"/>
  <c r="BV128" i="28"/>
  <c r="BV129" i="28"/>
  <c r="BV130" i="28"/>
  <c r="BV131" i="28"/>
  <c r="BV132" i="28"/>
  <c r="BV133" i="28"/>
  <c r="BV134" i="28"/>
  <c r="BV135" i="28"/>
  <c r="BV136" i="28"/>
  <c r="BV137" i="28"/>
  <c r="BV138" i="28"/>
  <c r="BV139" i="28"/>
  <c r="BV140" i="28"/>
  <c r="BV141" i="28"/>
  <c r="BV142" i="28"/>
  <c r="BV143" i="28"/>
  <c r="BV144" i="28"/>
  <c r="BV145" i="28"/>
  <c r="BV146" i="28"/>
  <c r="BV147" i="28"/>
  <c r="BV148" i="28"/>
  <c r="BV149" i="28"/>
  <c r="BV150" i="28"/>
  <c r="BV151" i="28"/>
  <c r="BV152" i="28"/>
  <c r="BV153" i="28"/>
  <c r="BV154" i="28"/>
  <c r="BV155" i="28"/>
  <c r="BV156" i="28"/>
  <c r="BV157" i="28"/>
  <c r="BV158" i="28"/>
  <c r="BV159" i="28"/>
  <c r="BV161" i="28"/>
  <c r="BV162" i="28"/>
  <c r="BV163" i="28"/>
  <c r="BV164" i="28"/>
  <c r="BV165" i="28"/>
  <c r="BV166" i="28"/>
  <c r="BV167" i="28"/>
  <c r="BV168" i="28"/>
  <c r="BV169" i="28"/>
  <c r="BV170" i="28"/>
  <c r="BV171" i="28"/>
  <c r="BV172" i="28"/>
  <c r="BV173" i="28"/>
  <c r="BV174" i="28"/>
  <c r="BV175" i="28"/>
  <c r="BV176" i="28"/>
  <c r="BV177" i="28"/>
  <c r="BV178" i="28"/>
  <c r="BV179" i="28"/>
  <c r="BV180" i="28"/>
  <c r="BV181" i="28"/>
  <c r="BV182" i="28"/>
  <c r="BV183" i="28"/>
  <c r="BV184" i="28"/>
  <c r="BV185" i="28"/>
  <c r="BV186" i="28"/>
  <c r="BV187" i="28"/>
  <c r="BV188" i="28"/>
  <c r="BV189" i="28"/>
  <c r="BV190" i="28"/>
  <c r="BV191" i="28"/>
  <c r="BV192" i="28"/>
  <c r="BV193" i="28"/>
  <c r="BV194" i="28"/>
  <c r="BV195" i="28"/>
  <c r="BV196" i="28"/>
  <c r="BV197" i="28"/>
  <c r="BV198" i="28"/>
  <c r="BV199" i="28"/>
  <c r="BV200" i="28"/>
  <c r="BV201" i="28"/>
  <c r="BV202" i="28"/>
  <c r="BV203" i="28"/>
  <c r="BV204" i="28"/>
  <c r="BV206" i="28"/>
  <c r="B56" i="26"/>
  <c r="CM116" i="28"/>
  <c r="CM117" i="28"/>
  <c r="CM118" i="28"/>
  <c r="CM119" i="28"/>
  <c r="CM120" i="28"/>
  <c r="CM121" i="28"/>
  <c r="CM122" i="28"/>
  <c r="CM123" i="28"/>
  <c r="CM124" i="28"/>
  <c r="CM125" i="28"/>
  <c r="CM126" i="28"/>
  <c r="CM127" i="28"/>
  <c r="CM128" i="28"/>
  <c r="CM129" i="28"/>
  <c r="CM130" i="28"/>
  <c r="CM131" i="28"/>
  <c r="CM132" i="28"/>
  <c r="CM133" i="28"/>
  <c r="CM134" i="28"/>
  <c r="CM135" i="28"/>
  <c r="CM136" i="28"/>
  <c r="CM137" i="28"/>
  <c r="CM138" i="28"/>
  <c r="CM139" i="28"/>
  <c r="CM140" i="28"/>
  <c r="CM141" i="28"/>
  <c r="CM142" i="28"/>
  <c r="CM143" i="28"/>
  <c r="CM144" i="28"/>
  <c r="CM145" i="28"/>
  <c r="CM146" i="28"/>
  <c r="CM147" i="28"/>
  <c r="CM148" i="28"/>
  <c r="CM149" i="28"/>
  <c r="CM150" i="28"/>
  <c r="CM151" i="28"/>
  <c r="CM152" i="28"/>
  <c r="CM153" i="28"/>
  <c r="CM154" i="28"/>
  <c r="CM155" i="28"/>
  <c r="CM156" i="28"/>
  <c r="CM157" i="28"/>
  <c r="CM158" i="28"/>
  <c r="CM159" i="28"/>
  <c r="CM160" i="28"/>
  <c r="CM161" i="28"/>
  <c r="CM162" i="28"/>
  <c r="CM163" i="28"/>
  <c r="CM164" i="28"/>
  <c r="CM165" i="28"/>
  <c r="CM166" i="28"/>
  <c r="CM167" i="28"/>
  <c r="CM168" i="28"/>
  <c r="CM169" i="28"/>
  <c r="CM170" i="28"/>
  <c r="CM171" i="28"/>
  <c r="CM172" i="28"/>
  <c r="CM173" i="28"/>
  <c r="CM174" i="28"/>
  <c r="CM175" i="28"/>
  <c r="CM176" i="28"/>
  <c r="CM177" i="28"/>
  <c r="CM178" i="28"/>
  <c r="CM179" i="28"/>
  <c r="CM180" i="28"/>
  <c r="CM181" i="28"/>
  <c r="CM182" i="28"/>
  <c r="CM183" i="28"/>
  <c r="CM184" i="28"/>
  <c r="CM185" i="28"/>
  <c r="CM186" i="28"/>
  <c r="CM187" i="28"/>
  <c r="CM188" i="28"/>
  <c r="CM189" i="28"/>
  <c r="CM190" i="28"/>
  <c r="CM191" i="28"/>
  <c r="CM192" i="28"/>
  <c r="CM193" i="28"/>
  <c r="CM194" i="28"/>
  <c r="CM195" i="28"/>
  <c r="CM196" i="28"/>
  <c r="CM197" i="28"/>
  <c r="CM198" i="28"/>
  <c r="CM199" i="28"/>
  <c r="CM200" i="28"/>
  <c r="CM201" i="28"/>
  <c r="CM202" i="28"/>
  <c r="CM203" i="28"/>
  <c r="CM204" i="28"/>
  <c r="CM206" i="28"/>
  <c r="CL116" i="28"/>
  <c r="CL117" i="28"/>
  <c r="CL118" i="28"/>
  <c r="CL119" i="28"/>
  <c r="CL120" i="28"/>
  <c r="CL121" i="28"/>
  <c r="CL122" i="28"/>
  <c r="CL123" i="28"/>
  <c r="CL124" i="28"/>
  <c r="CL125" i="28"/>
  <c r="CL126" i="28"/>
  <c r="CL127" i="28"/>
  <c r="CL128" i="28"/>
  <c r="CL129" i="28"/>
  <c r="CL130" i="28"/>
  <c r="CL131" i="28"/>
  <c r="CL132" i="28"/>
  <c r="CL133" i="28"/>
  <c r="CL134" i="28"/>
  <c r="CL135" i="28"/>
  <c r="CL136" i="28"/>
  <c r="CL137" i="28"/>
  <c r="CL138" i="28"/>
  <c r="CL139" i="28"/>
  <c r="CL140" i="28"/>
  <c r="CL141" i="28"/>
  <c r="CL142" i="28"/>
  <c r="CL143" i="28"/>
  <c r="CL144" i="28"/>
  <c r="CL145" i="28"/>
  <c r="CL146" i="28"/>
  <c r="CL147" i="28"/>
  <c r="CL148" i="28"/>
  <c r="CL149" i="28"/>
  <c r="CL150" i="28"/>
  <c r="CL151" i="28"/>
  <c r="CL152" i="28"/>
  <c r="CL153" i="28"/>
  <c r="CL154" i="28"/>
  <c r="CL155" i="28"/>
  <c r="CL156" i="28"/>
  <c r="CL157" i="28"/>
  <c r="CL158" i="28"/>
  <c r="CL159" i="28"/>
  <c r="CL160" i="28"/>
  <c r="CL161" i="28"/>
  <c r="CL162" i="28"/>
  <c r="CL163" i="28"/>
  <c r="CL164" i="28"/>
  <c r="CL165" i="28"/>
  <c r="CL166" i="28"/>
  <c r="CL167" i="28"/>
  <c r="CL168" i="28"/>
  <c r="CL169" i="28"/>
  <c r="CL170" i="28"/>
  <c r="CL171" i="28"/>
  <c r="CL172" i="28"/>
  <c r="CL173" i="28"/>
  <c r="CL174" i="28"/>
  <c r="CL175" i="28"/>
  <c r="CL176" i="28"/>
  <c r="CL177" i="28"/>
  <c r="CL178" i="28"/>
  <c r="CL179" i="28"/>
  <c r="CL180" i="28"/>
  <c r="CL181" i="28"/>
  <c r="CL182" i="28"/>
  <c r="CL183" i="28"/>
  <c r="CL184" i="28"/>
  <c r="CL185" i="28"/>
  <c r="CL186" i="28"/>
  <c r="CL187" i="28"/>
  <c r="CL188" i="28"/>
  <c r="CL189" i="28"/>
  <c r="CL190" i="28"/>
  <c r="CL191" i="28"/>
  <c r="CL192" i="28"/>
  <c r="CL193" i="28"/>
  <c r="CL194" i="28"/>
  <c r="CL195" i="28"/>
  <c r="CL196" i="28"/>
  <c r="CL197" i="28"/>
  <c r="CL198" i="28"/>
  <c r="CL199" i="28"/>
  <c r="CL200" i="28"/>
  <c r="CL201" i="28"/>
  <c r="CL202" i="28"/>
  <c r="CL203" i="28"/>
  <c r="CL204" i="28"/>
  <c r="CK116" i="28"/>
  <c r="CK117" i="28"/>
  <c r="CK118" i="28"/>
  <c r="CK119" i="28"/>
  <c r="CK120" i="28"/>
  <c r="CK121" i="28"/>
  <c r="CK122" i="28"/>
  <c r="CK123" i="28"/>
  <c r="CK124" i="28"/>
  <c r="CK125" i="28"/>
  <c r="CK126" i="28"/>
  <c r="CK127" i="28"/>
  <c r="CK128" i="28"/>
  <c r="CK129" i="28"/>
  <c r="CK130" i="28"/>
  <c r="CK131" i="28"/>
  <c r="CK132" i="28"/>
  <c r="CK133" i="28"/>
  <c r="CK134" i="28"/>
  <c r="CK135" i="28"/>
  <c r="CK136" i="28"/>
  <c r="CK137" i="28"/>
  <c r="CK138" i="28"/>
  <c r="CK139" i="28"/>
  <c r="CK140" i="28"/>
  <c r="CK141" i="28"/>
  <c r="CK142" i="28"/>
  <c r="CK143" i="28"/>
  <c r="CK144" i="28"/>
  <c r="CK145" i="28"/>
  <c r="CK146" i="28"/>
  <c r="CK147" i="28"/>
  <c r="CK148" i="28"/>
  <c r="CK149" i="28"/>
  <c r="CK150" i="28"/>
  <c r="CK151" i="28"/>
  <c r="CK152" i="28"/>
  <c r="CK153" i="28"/>
  <c r="CK154" i="28"/>
  <c r="CK155" i="28"/>
  <c r="CK156" i="28"/>
  <c r="CK157" i="28"/>
  <c r="CK158" i="28"/>
  <c r="CK159" i="28"/>
  <c r="CK160" i="28"/>
  <c r="CK161" i="28"/>
  <c r="CK162" i="28"/>
  <c r="CK163" i="28"/>
  <c r="CK164" i="28"/>
  <c r="CK165" i="28"/>
  <c r="CK166" i="28"/>
  <c r="CK167" i="28"/>
  <c r="CK168" i="28"/>
  <c r="CK169" i="28"/>
  <c r="CK170" i="28"/>
  <c r="CK171" i="28"/>
  <c r="CK172" i="28"/>
  <c r="CK173" i="28"/>
  <c r="CK174" i="28"/>
  <c r="CK175" i="28"/>
  <c r="CK176" i="28"/>
  <c r="CK177" i="28"/>
  <c r="CK178" i="28"/>
  <c r="CK179" i="28"/>
  <c r="CK180" i="28"/>
  <c r="CK181" i="28"/>
  <c r="CK182" i="28"/>
  <c r="CK183" i="28"/>
  <c r="CK184" i="28"/>
  <c r="CK185" i="28"/>
  <c r="CK186" i="28"/>
  <c r="CK187" i="28"/>
  <c r="CK188" i="28"/>
  <c r="CK189" i="28"/>
  <c r="CK190" i="28"/>
  <c r="CK191" i="28"/>
  <c r="CK192" i="28"/>
  <c r="CK193" i="28"/>
  <c r="CK194" i="28"/>
  <c r="CK195" i="28"/>
  <c r="CK196" i="28"/>
  <c r="CK197" i="28"/>
  <c r="CK198" i="28"/>
  <c r="CK199" i="28"/>
  <c r="CK200" i="28"/>
  <c r="CK201" i="28"/>
  <c r="CK202" i="28"/>
  <c r="CK203" i="28"/>
  <c r="CK204" i="28"/>
  <c r="CK205" i="28"/>
  <c r="CK206" i="28"/>
  <c r="CJ116" i="28"/>
  <c r="CJ117" i="28"/>
  <c r="CJ118" i="28"/>
  <c r="CJ119" i="28"/>
  <c r="CJ120" i="28"/>
  <c r="CJ121" i="28"/>
  <c r="CJ122" i="28"/>
  <c r="CJ123" i="28"/>
  <c r="CJ124" i="28"/>
  <c r="CJ125" i="28"/>
  <c r="CJ126" i="28"/>
  <c r="CJ127" i="28"/>
  <c r="CJ128" i="28"/>
  <c r="CJ129" i="28"/>
  <c r="CJ130" i="28"/>
  <c r="CJ131" i="28"/>
  <c r="CJ132" i="28"/>
  <c r="CJ133" i="28"/>
  <c r="CJ134" i="28"/>
  <c r="CJ135" i="28"/>
  <c r="CJ136" i="28"/>
  <c r="CJ137" i="28"/>
  <c r="CJ138" i="28"/>
  <c r="CJ139" i="28"/>
  <c r="CJ140" i="28"/>
  <c r="CJ141" i="28"/>
  <c r="CJ142" i="28"/>
  <c r="CJ143" i="28"/>
  <c r="CJ144" i="28"/>
  <c r="CJ145" i="28"/>
  <c r="CJ146" i="28"/>
  <c r="CJ147" i="28"/>
  <c r="CJ148" i="28"/>
  <c r="CJ149" i="28"/>
  <c r="CJ150" i="28"/>
  <c r="CJ151" i="28"/>
  <c r="CJ152" i="28"/>
  <c r="CJ153" i="28"/>
  <c r="CJ154" i="28"/>
  <c r="CJ155" i="28"/>
  <c r="CJ156" i="28"/>
  <c r="CJ157" i="28"/>
  <c r="CJ158" i="28"/>
  <c r="CJ159" i="28"/>
  <c r="CJ160" i="28"/>
  <c r="CJ162" i="28"/>
  <c r="CJ163" i="28"/>
  <c r="CJ164" i="28"/>
  <c r="CJ165" i="28"/>
  <c r="CJ166" i="28"/>
  <c r="CJ167" i="28"/>
  <c r="CJ168" i="28"/>
  <c r="CJ169" i="28"/>
  <c r="CJ170" i="28"/>
  <c r="CJ171" i="28"/>
  <c r="CJ172" i="28"/>
  <c r="CJ173" i="28"/>
  <c r="CJ174" i="28"/>
  <c r="CJ175" i="28"/>
  <c r="CJ176" i="28"/>
  <c r="CJ177" i="28"/>
  <c r="CJ178" i="28"/>
  <c r="CJ179" i="28"/>
  <c r="CJ180" i="28"/>
  <c r="CJ181" i="28"/>
  <c r="CJ182" i="28"/>
  <c r="CJ183" i="28"/>
  <c r="CJ184" i="28"/>
  <c r="CJ185" i="28"/>
  <c r="CJ186" i="28"/>
  <c r="CJ187" i="28"/>
  <c r="CJ188" i="28"/>
  <c r="CJ189" i="28"/>
  <c r="CJ190" i="28"/>
  <c r="CJ191" i="28"/>
  <c r="CJ192" i="28"/>
  <c r="CJ193" i="28"/>
  <c r="CJ194" i="28"/>
  <c r="CJ195" i="28"/>
  <c r="CJ196" i="28"/>
  <c r="CJ197" i="28"/>
  <c r="CJ198" i="28"/>
  <c r="CJ199" i="28"/>
  <c r="CJ200" i="28"/>
  <c r="CJ201" i="28"/>
  <c r="CJ202" i="28"/>
  <c r="CJ203" i="28"/>
  <c r="CJ204" i="28"/>
  <c r="CJ206" i="28"/>
  <c r="CJ205" i="28"/>
  <c r="CI116" i="28"/>
  <c r="CI117" i="28"/>
  <c r="CI118" i="28"/>
  <c r="CI119" i="28"/>
  <c r="CI120" i="28"/>
  <c r="CI121" i="28"/>
  <c r="CI122" i="28"/>
  <c r="CI123" i="28"/>
  <c r="CI124" i="28"/>
  <c r="CI125" i="28"/>
  <c r="CI126" i="28"/>
  <c r="CI127" i="28"/>
  <c r="CI128" i="28"/>
  <c r="CI129" i="28"/>
  <c r="CI130" i="28"/>
  <c r="CI131" i="28"/>
  <c r="CI132" i="28"/>
  <c r="CI133" i="28"/>
  <c r="CI134" i="28"/>
  <c r="CI135" i="28"/>
  <c r="CI136" i="28"/>
  <c r="CI137" i="28"/>
  <c r="CI138" i="28"/>
  <c r="CI139" i="28"/>
  <c r="CI140" i="28"/>
  <c r="CI141" i="28"/>
  <c r="CI142" i="28"/>
  <c r="CI143" i="28"/>
  <c r="CI144" i="28"/>
  <c r="CI145" i="28"/>
  <c r="CI146" i="28"/>
  <c r="CI147" i="28"/>
  <c r="CI148" i="28"/>
  <c r="CI149" i="28"/>
  <c r="CI150" i="28"/>
  <c r="CI151" i="28"/>
  <c r="CI152" i="28"/>
  <c r="CI153" i="28"/>
  <c r="CI154" i="28"/>
  <c r="CI155" i="28"/>
  <c r="CI156" i="28"/>
  <c r="CI157" i="28"/>
  <c r="CI158" i="28"/>
  <c r="CI159" i="28"/>
  <c r="CI160" i="28"/>
  <c r="CI161" i="28"/>
  <c r="CI162" i="28"/>
  <c r="CI163" i="28"/>
  <c r="CI164" i="28"/>
  <c r="CI165" i="28"/>
  <c r="CI166" i="28"/>
  <c r="CI167" i="28"/>
  <c r="CI168" i="28"/>
  <c r="CI169" i="28"/>
  <c r="CI170" i="28"/>
  <c r="CI171" i="28"/>
  <c r="CI172" i="28"/>
  <c r="CI173" i="28"/>
  <c r="CI174" i="28"/>
  <c r="CI175" i="28"/>
  <c r="CI176" i="28"/>
  <c r="CI177" i="28"/>
  <c r="CI178" i="28"/>
  <c r="CI179" i="28"/>
  <c r="CI180" i="28"/>
  <c r="CI181" i="28"/>
  <c r="CI182" i="28"/>
  <c r="CI183" i="28"/>
  <c r="CI184" i="28"/>
  <c r="CI185" i="28"/>
  <c r="CI186" i="28"/>
  <c r="CI187" i="28"/>
  <c r="CI188" i="28"/>
  <c r="CI189" i="28"/>
  <c r="CI190" i="28"/>
  <c r="CI191" i="28"/>
  <c r="CI192" i="28"/>
  <c r="CI193" i="28"/>
  <c r="CI194" i="28"/>
  <c r="CI195" i="28"/>
  <c r="CI196" i="28"/>
  <c r="CI197" i="28"/>
  <c r="CI198" i="28"/>
  <c r="CI199" i="28"/>
  <c r="CI200" i="28"/>
  <c r="CI201" i="28"/>
  <c r="CI202" i="28"/>
  <c r="CI203" i="28"/>
  <c r="CI204" i="28"/>
  <c r="CI206" i="28"/>
  <c r="CH116" i="28"/>
  <c r="CH117" i="28"/>
  <c r="CH118" i="28"/>
  <c r="CH119" i="28"/>
  <c r="CH120" i="28"/>
  <c r="CH121" i="28"/>
  <c r="CH122" i="28"/>
  <c r="CH123" i="28"/>
  <c r="CH124" i="28"/>
  <c r="CH125" i="28"/>
  <c r="CH126" i="28"/>
  <c r="CH127" i="28"/>
  <c r="CH128" i="28"/>
  <c r="CH129" i="28"/>
  <c r="CH130" i="28"/>
  <c r="CH131" i="28"/>
  <c r="CH132" i="28"/>
  <c r="CH133" i="28"/>
  <c r="CH134" i="28"/>
  <c r="CH135" i="28"/>
  <c r="CH136" i="28"/>
  <c r="CH137" i="28"/>
  <c r="CH138" i="28"/>
  <c r="CH139" i="28"/>
  <c r="CH140" i="28"/>
  <c r="CH141" i="28"/>
  <c r="CH142" i="28"/>
  <c r="CH143" i="28"/>
  <c r="CH144" i="28"/>
  <c r="CH145" i="28"/>
  <c r="CH146" i="28"/>
  <c r="CH147" i="28"/>
  <c r="CH148" i="28"/>
  <c r="CH149" i="28"/>
  <c r="CH150" i="28"/>
  <c r="CH151" i="28"/>
  <c r="CH152" i="28"/>
  <c r="CH153" i="28"/>
  <c r="CH154" i="28"/>
  <c r="CH155" i="28"/>
  <c r="CH156" i="28"/>
  <c r="CH157" i="28"/>
  <c r="CH158" i="28"/>
  <c r="CH159" i="28"/>
  <c r="CH160" i="28"/>
  <c r="CH161" i="28"/>
  <c r="CH162" i="28"/>
  <c r="CH163" i="28"/>
  <c r="CH164" i="28"/>
  <c r="CH165" i="28"/>
  <c r="CH166" i="28"/>
  <c r="CH167" i="28"/>
  <c r="CH168" i="28"/>
  <c r="CH169" i="28"/>
  <c r="CH170" i="28"/>
  <c r="CH171" i="28"/>
  <c r="CH172" i="28"/>
  <c r="CH173" i="28"/>
  <c r="CH174" i="28"/>
  <c r="CH175" i="28"/>
  <c r="CH176" i="28"/>
  <c r="CH177" i="28"/>
  <c r="CH178" i="28"/>
  <c r="CH179" i="28"/>
  <c r="CH180" i="28"/>
  <c r="CH181" i="28"/>
  <c r="CH182" i="28"/>
  <c r="CH183" i="28"/>
  <c r="CH184" i="28"/>
  <c r="CH185" i="28"/>
  <c r="CH186" i="28"/>
  <c r="CH187" i="28"/>
  <c r="CH188" i="28"/>
  <c r="CH189" i="28"/>
  <c r="CH190" i="28"/>
  <c r="CH191" i="28"/>
  <c r="CH192" i="28"/>
  <c r="CH193" i="28"/>
  <c r="CH194" i="28"/>
  <c r="CH195" i="28"/>
  <c r="CH196" i="28"/>
  <c r="CH197" i="28"/>
  <c r="CH198" i="28"/>
  <c r="CH199" i="28"/>
  <c r="CH200" i="28"/>
  <c r="CH201" i="28"/>
  <c r="CH202" i="28"/>
  <c r="CH203" i="28"/>
  <c r="CH204" i="28"/>
  <c r="CH206" i="28"/>
  <c r="CG116" i="28"/>
  <c r="CG117" i="28"/>
  <c r="CG118" i="28"/>
  <c r="CG119" i="28"/>
  <c r="CG120" i="28"/>
  <c r="CG121" i="28"/>
  <c r="CG122" i="28"/>
  <c r="CG123" i="28"/>
  <c r="CG124" i="28"/>
  <c r="CG125" i="28"/>
  <c r="CG126" i="28"/>
  <c r="CG127" i="28"/>
  <c r="CG128" i="28"/>
  <c r="CG129" i="28"/>
  <c r="CG130" i="28"/>
  <c r="CG131" i="28"/>
  <c r="CG132" i="28"/>
  <c r="CG133" i="28"/>
  <c r="CG134" i="28"/>
  <c r="CG135" i="28"/>
  <c r="CG136" i="28"/>
  <c r="CG137" i="28"/>
  <c r="CG138" i="28"/>
  <c r="CG139" i="28"/>
  <c r="CG140" i="28"/>
  <c r="CG141" i="28"/>
  <c r="CG142" i="28"/>
  <c r="CG143" i="28"/>
  <c r="CG144" i="28"/>
  <c r="CG145" i="28"/>
  <c r="CG146" i="28"/>
  <c r="CG147" i="28"/>
  <c r="CG148" i="28"/>
  <c r="CG149" i="28"/>
  <c r="CG150" i="28"/>
  <c r="CG151" i="28"/>
  <c r="CG152" i="28"/>
  <c r="CG153" i="28"/>
  <c r="CG154" i="28"/>
  <c r="CG155" i="28"/>
  <c r="CG156" i="28"/>
  <c r="CG157" i="28"/>
  <c r="CG158" i="28"/>
  <c r="CG159" i="28"/>
  <c r="CG160" i="28"/>
  <c r="CG161" i="28"/>
  <c r="CG162" i="28"/>
  <c r="CG163" i="28"/>
  <c r="CG164" i="28"/>
  <c r="CG165" i="28"/>
  <c r="CG166" i="28"/>
  <c r="CG167" i="28"/>
  <c r="CG168" i="28"/>
  <c r="CG169" i="28"/>
  <c r="CG170" i="28"/>
  <c r="CG171" i="28"/>
  <c r="CG172" i="28"/>
  <c r="CG173" i="28"/>
  <c r="CG174" i="28"/>
  <c r="CG175" i="28"/>
  <c r="CG176" i="28"/>
  <c r="CG177" i="28"/>
  <c r="CG178" i="28"/>
  <c r="CG179" i="28"/>
  <c r="CG180" i="28"/>
  <c r="CG181" i="28"/>
  <c r="CG182" i="28"/>
  <c r="CG183" i="28"/>
  <c r="CG184" i="28"/>
  <c r="CG185" i="28"/>
  <c r="CG186" i="28"/>
  <c r="CG187" i="28"/>
  <c r="CG188" i="28"/>
  <c r="CG189" i="28"/>
  <c r="CG190" i="28"/>
  <c r="CG191" i="28"/>
  <c r="CG192" i="28"/>
  <c r="CG193" i="28"/>
  <c r="CG194" i="28"/>
  <c r="CG195" i="28"/>
  <c r="CG196" i="28"/>
  <c r="CG197" i="28"/>
  <c r="CG198" i="28"/>
  <c r="CG199" i="28"/>
  <c r="CG200" i="28"/>
  <c r="CG201" i="28"/>
  <c r="CG202" i="28"/>
  <c r="CG203" i="28"/>
  <c r="CG204" i="28"/>
  <c r="CG205" i="28"/>
  <c r="CF116" i="28"/>
  <c r="CF117" i="28"/>
  <c r="CF118" i="28"/>
  <c r="CF119" i="28"/>
  <c r="CF120" i="28"/>
  <c r="CF121" i="28"/>
  <c r="CF122" i="28"/>
  <c r="CF123" i="28"/>
  <c r="CF124" i="28"/>
  <c r="CF125" i="28"/>
  <c r="CF126" i="28"/>
  <c r="CF127" i="28"/>
  <c r="CF128" i="28"/>
  <c r="CF129" i="28"/>
  <c r="CF130" i="28"/>
  <c r="CF131" i="28"/>
  <c r="CF132" i="28"/>
  <c r="CF133" i="28"/>
  <c r="CF134" i="28"/>
  <c r="CF135" i="28"/>
  <c r="CF136" i="28"/>
  <c r="CF137" i="28"/>
  <c r="CF138" i="28"/>
  <c r="CF139" i="28"/>
  <c r="CF140" i="28"/>
  <c r="CF141" i="28"/>
  <c r="CF142" i="28"/>
  <c r="CF143" i="28"/>
  <c r="CF144" i="28"/>
  <c r="CF145" i="28"/>
  <c r="CF146" i="28"/>
  <c r="CF147" i="28"/>
  <c r="CF148" i="28"/>
  <c r="CF149" i="28"/>
  <c r="CF150" i="28"/>
  <c r="CF151" i="28"/>
  <c r="CF152" i="28"/>
  <c r="CF153" i="28"/>
  <c r="CF154" i="28"/>
  <c r="CF155" i="28"/>
  <c r="CF156" i="28"/>
  <c r="CF157" i="28"/>
  <c r="CF158" i="28"/>
  <c r="CF159" i="28"/>
  <c r="CF160" i="28"/>
  <c r="CF161" i="28"/>
  <c r="CF162" i="28"/>
  <c r="CF163" i="28"/>
  <c r="CF164" i="28"/>
  <c r="CF165" i="28"/>
  <c r="CF166" i="28"/>
  <c r="CF167" i="28"/>
  <c r="CF168" i="28"/>
  <c r="CF169" i="28"/>
  <c r="CF170" i="28"/>
  <c r="CF171" i="28"/>
  <c r="CF172" i="28"/>
  <c r="CF173" i="28"/>
  <c r="CF174" i="28"/>
  <c r="CF175" i="28"/>
  <c r="CF176" i="28"/>
  <c r="CF177" i="28"/>
  <c r="CF178" i="28"/>
  <c r="CF179" i="28"/>
  <c r="CF180" i="28"/>
  <c r="CF181" i="28"/>
  <c r="CF182" i="28"/>
  <c r="CF183" i="28"/>
  <c r="CF184" i="28"/>
  <c r="CF185" i="28"/>
  <c r="CF186" i="28"/>
  <c r="CF187" i="28"/>
  <c r="CF188" i="28"/>
  <c r="CF189" i="28"/>
  <c r="CF190" i="28"/>
  <c r="CF191" i="28"/>
  <c r="CF192" i="28"/>
  <c r="CF193" i="28"/>
  <c r="CF194" i="28"/>
  <c r="CF195" i="28"/>
  <c r="CF196" i="28"/>
  <c r="CF197" i="28"/>
  <c r="CF198" i="28"/>
  <c r="CF199" i="28"/>
  <c r="CF200" i="28"/>
  <c r="CF201" i="28"/>
  <c r="CF202" i="28"/>
  <c r="CF203" i="28"/>
  <c r="CF204" i="28"/>
  <c r="CF206" i="28"/>
  <c r="CE116" i="28"/>
  <c r="CE117" i="28"/>
  <c r="CE118" i="28"/>
  <c r="CE119" i="28"/>
  <c r="CE120" i="28"/>
  <c r="CE121" i="28"/>
  <c r="CE122" i="28"/>
  <c r="CE123" i="28"/>
  <c r="CE124" i="28"/>
  <c r="CE125" i="28"/>
  <c r="CE126" i="28"/>
  <c r="CE127" i="28"/>
  <c r="CE128" i="28"/>
  <c r="CE129" i="28"/>
  <c r="CE130" i="28"/>
  <c r="CE131" i="28"/>
  <c r="CE132" i="28"/>
  <c r="CE133" i="28"/>
  <c r="CE134" i="28"/>
  <c r="CE135" i="28"/>
  <c r="CE136" i="28"/>
  <c r="CE137" i="28"/>
  <c r="CE138" i="28"/>
  <c r="CE139" i="28"/>
  <c r="CE140" i="28"/>
  <c r="CE141" i="28"/>
  <c r="CE142" i="28"/>
  <c r="CE143" i="28"/>
  <c r="CE144" i="28"/>
  <c r="CE145" i="28"/>
  <c r="CE146" i="28"/>
  <c r="CE147" i="28"/>
  <c r="CE148" i="28"/>
  <c r="CE149" i="28"/>
  <c r="CE150" i="28"/>
  <c r="CE151" i="28"/>
  <c r="CE152" i="28"/>
  <c r="CE153" i="28"/>
  <c r="CE154" i="28"/>
  <c r="CE155" i="28"/>
  <c r="CE156" i="28"/>
  <c r="CE157" i="28"/>
  <c r="CE158" i="28"/>
  <c r="CE159" i="28"/>
  <c r="CE160" i="28"/>
  <c r="CE161" i="28"/>
  <c r="CE162" i="28"/>
  <c r="CE163" i="28"/>
  <c r="CE164" i="28"/>
  <c r="CE165" i="28"/>
  <c r="CE166" i="28"/>
  <c r="CE167" i="28"/>
  <c r="CE168" i="28"/>
  <c r="CE169" i="28"/>
  <c r="CE170" i="28"/>
  <c r="CE171" i="28"/>
  <c r="CE172" i="28"/>
  <c r="CE173" i="28"/>
  <c r="CE174" i="28"/>
  <c r="CE175" i="28"/>
  <c r="CE176" i="28"/>
  <c r="CE177" i="28"/>
  <c r="CE178" i="28"/>
  <c r="CE179" i="28"/>
  <c r="CE180" i="28"/>
  <c r="CE181" i="28"/>
  <c r="CE182" i="28"/>
  <c r="CE183" i="28"/>
  <c r="CE184" i="28"/>
  <c r="CE185" i="28"/>
  <c r="CE186" i="28"/>
  <c r="CE187" i="28"/>
  <c r="CE188" i="28"/>
  <c r="CE189" i="28"/>
  <c r="CE190" i="28"/>
  <c r="CE191" i="28"/>
  <c r="CE192" i="28"/>
  <c r="CE193" i="28"/>
  <c r="CE194" i="28"/>
  <c r="CE195" i="28"/>
  <c r="CE196" i="28"/>
  <c r="CE197" i="28"/>
  <c r="CE198" i="28"/>
  <c r="CE199" i="28"/>
  <c r="CE200" i="28"/>
  <c r="CE201" i="28"/>
  <c r="CE202" i="28"/>
  <c r="CE203" i="28"/>
  <c r="CE204" i="28"/>
  <c r="CD116" i="28"/>
  <c r="CD117" i="28"/>
  <c r="CD118" i="28"/>
  <c r="CD119" i="28"/>
  <c r="CD120" i="28"/>
  <c r="CD121" i="28"/>
  <c r="CD122" i="28"/>
  <c r="CD123" i="28"/>
  <c r="CD124" i="28"/>
  <c r="CD125" i="28"/>
  <c r="CD126" i="28"/>
  <c r="CD127" i="28"/>
  <c r="CD128" i="28"/>
  <c r="CD129" i="28"/>
  <c r="CD130" i="28"/>
  <c r="CD131" i="28"/>
  <c r="CD132" i="28"/>
  <c r="CD133" i="28"/>
  <c r="CD134" i="28"/>
  <c r="CD135" i="28"/>
  <c r="CD136" i="28"/>
  <c r="CD137" i="28"/>
  <c r="CD138" i="28"/>
  <c r="CD139" i="28"/>
  <c r="CD140" i="28"/>
  <c r="CD141" i="28"/>
  <c r="CD142" i="28"/>
  <c r="CD143" i="28"/>
  <c r="CD144" i="28"/>
  <c r="CD145" i="28"/>
  <c r="CD146" i="28"/>
  <c r="CD147" i="28"/>
  <c r="CD148" i="28"/>
  <c r="CD149" i="28"/>
  <c r="CD150" i="28"/>
  <c r="CD151" i="28"/>
  <c r="CD152" i="28"/>
  <c r="CD153" i="28"/>
  <c r="CD154" i="28"/>
  <c r="CD155" i="28"/>
  <c r="CD156" i="28"/>
  <c r="CD157" i="28"/>
  <c r="CD158" i="28"/>
  <c r="CD159" i="28"/>
  <c r="CD160" i="28"/>
  <c r="CD161" i="28"/>
  <c r="CD162" i="28"/>
  <c r="CD163" i="28"/>
  <c r="CD164" i="28"/>
  <c r="CD165" i="28"/>
  <c r="CD166" i="28"/>
  <c r="CD167" i="28"/>
  <c r="CD168" i="28"/>
  <c r="CD169" i="28"/>
  <c r="CD170" i="28"/>
  <c r="CD171" i="28"/>
  <c r="CD172" i="28"/>
  <c r="CD173" i="28"/>
  <c r="CD174" i="28"/>
  <c r="CD175" i="28"/>
  <c r="CD176" i="28"/>
  <c r="CD177" i="28"/>
  <c r="CD178" i="28"/>
  <c r="CD179" i="28"/>
  <c r="CD180" i="28"/>
  <c r="CD181" i="28"/>
  <c r="CD182" i="28"/>
  <c r="CD183" i="28"/>
  <c r="CD184" i="28"/>
  <c r="CD185" i="28"/>
  <c r="CD186" i="28"/>
  <c r="CD187" i="28"/>
  <c r="CD188" i="28"/>
  <c r="CD189" i="28"/>
  <c r="CD190" i="28"/>
  <c r="CD191" i="28"/>
  <c r="CD192" i="28"/>
  <c r="CD193" i="28"/>
  <c r="CD194" i="28"/>
  <c r="CD195" i="28"/>
  <c r="CD196" i="28"/>
  <c r="CD197" i="28"/>
  <c r="CD198" i="28"/>
  <c r="CD199" i="28"/>
  <c r="CD200" i="28"/>
  <c r="CD201" i="28"/>
  <c r="CD202" i="28"/>
  <c r="CD203" i="28"/>
  <c r="CD204" i="28"/>
  <c r="CD206" i="28"/>
  <c r="CC116" i="28"/>
  <c r="CC117" i="28"/>
  <c r="CC118" i="28"/>
  <c r="CC119" i="28"/>
  <c r="CC120" i="28"/>
  <c r="CC121" i="28"/>
  <c r="CC122" i="28"/>
  <c r="CC123" i="28"/>
  <c r="CC124" i="28"/>
  <c r="CC125" i="28"/>
  <c r="CC126" i="28"/>
  <c r="CC127" i="28"/>
  <c r="CC128" i="28"/>
  <c r="CC129" i="28"/>
  <c r="CC130" i="28"/>
  <c r="CC131" i="28"/>
  <c r="CC132" i="28"/>
  <c r="CC133" i="28"/>
  <c r="CC134" i="28"/>
  <c r="CC135" i="28"/>
  <c r="CC136" i="28"/>
  <c r="CC137" i="28"/>
  <c r="CC138" i="28"/>
  <c r="CC139" i="28"/>
  <c r="CC140" i="28"/>
  <c r="CC141" i="28"/>
  <c r="CC142" i="28"/>
  <c r="CC143" i="28"/>
  <c r="CC144" i="28"/>
  <c r="CC145" i="28"/>
  <c r="CC146" i="28"/>
  <c r="CC147" i="28"/>
  <c r="CC148" i="28"/>
  <c r="CC149" i="28"/>
  <c r="CC150" i="28"/>
  <c r="CC151" i="28"/>
  <c r="CC152" i="28"/>
  <c r="CC153" i="28"/>
  <c r="CC154" i="28"/>
  <c r="CC155" i="28"/>
  <c r="CC156" i="28"/>
  <c r="CC157" i="28"/>
  <c r="CC158" i="28"/>
  <c r="CC159" i="28"/>
  <c r="CC160" i="28"/>
  <c r="CC161" i="28"/>
  <c r="CC162" i="28"/>
  <c r="CC163" i="28"/>
  <c r="CC164" i="28"/>
  <c r="CC165" i="28"/>
  <c r="CC166" i="28"/>
  <c r="CC167" i="28"/>
  <c r="CC168" i="28"/>
  <c r="CC169" i="28"/>
  <c r="CC170" i="28"/>
  <c r="CC171" i="28"/>
  <c r="CC172" i="28"/>
  <c r="CC173" i="28"/>
  <c r="CC174" i="28"/>
  <c r="CC175" i="28"/>
  <c r="CC176" i="28"/>
  <c r="CC177" i="28"/>
  <c r="CC178" i="28"/>
  <c r="CC179" i="28"/>
  <c r="CC180" i="28"/>
  <c r="CC181" i="28"/>
  <c r="CC182" i="28"/>
  <c r="CC183" i="28"/>
  <c r="CC184" i="28"/>
  <c r="CC185" i="28"/>
  <c r="CC186" i="28"/>
  <c r="CC187" i="28"/>
  <c r="CC188" i="28"/>
  <c r="CC189" i="28"/>
  <c r="CC190" i="28"/>
  <c r="CC191" i="28"/>
  <c r="CC192" i="28"/>
  <c r="CC193" i="28"/>
  <c r="CC194" i="28"/>
  <c r="CC195" i="28"/>
  <c r="CC196" i="28"/>
  <c r="CC197" i="28"/>
  <c r="CC198" i="28"/>
  <c r="CC199" i="28"/>
  <c r="CC200" i="28"/>
  <c r="CC201" i="28"/>
  <c r="CC202" i="28"/>
  <c r="CC203" i="28"/>
  <c r="CC204" i="28"/>
  <c r="CC205" i="28"/>
  <c r="CB116" i="28"/>
  <c r="CB117" i="28"/>
  <c r="CB118" i="28"/>
  <c r="CB119" i="28"/>
  <c r="CB120" i="28"/>
  <c r="CB121" i="28"/>
  <c r="CB122" i="28"/>
  <c r="CB123" i="28"/>
  <c r="CB124" i="28"/>
  <c r="CB125" i="28"/>
  <c r="CB126" i="28"/>
  <c r="CB127" i="28"/>
  <c r="CB128" i="28"/>
  <c r="CB129" i="28"/>
  <c r="CB130" i="28"/>
  <c r="CB131" i="28"/>
  <c r="CB132" i="28"/>
  <c r="CB133" i="28"/>
  <c r="CB134" i="28"/>
  <c r="CB135" i="28"/>
  <c r="CB136" i="28"/>
  <c r="CB137" i="28"/>
  <c r="CB138" i="28"/>
  <c r="CB139" i="28"/>
  <c r="CB140" i="28"/>
  <c r="CB141" i="28"/>
  <c r="CB142" i="28"/>
  <c r="CB143" i="28"/>
  <c r="CB144" i="28"/>
  <c r="CB145" i="28"/>
  <c r="CB146" i="28"/>
  <c r="CB147" i="28"/>
  <c r="CB148" i="28"/>
  <c r="CB149" i="28"/>
  <c r="CB150" i="28"/>
  <c r="CB151" i="28"/>
  <c r="CB152" i="28"/>
  <c r="CB153" i="28"/>
  <c r="CB154" i="28"/>
  <c r="CB155" i="28"/>
  <c r="CB156" i="28"/>
  <c r="CB157" i="28"/>
  <c r="CB158" i="28"/>
  <c r="CB159" i="28"/>
  <c r="CB160" i="28"/>
  <c r="CB161" i="28"/>
  <c r="CB162" i="28"/>
  <c r="CB163" i="28"/>
  <c r="CB164" i="28"/>
  <c r="CB165" i="28"/>
  <c r="CB166" i="28"/>
  <c r="CB167" i="28"/>
  <c r="CB168" i="28"/>
  <c r="CB169" i="28"/>
  <c r="CB170" i="28"/>
  <c r="CB171" i="28"/>
  <c r="CB172" i="28"/>
  <c r="CB173" i="28"/>
  <c r="CB174" i="28"/>
  <c r="CB175" i="28"/>
  <c r="CB176" i="28"/>
  <c r="CB177" i="28"/>
  <c r="CB178" i="28"/>
  <c r="CB179" i="28"/>
  <c r="CB180" i="28"/>
  <c r="CB181" i="28"/>
  <c r="CB182" i="28"/>
  <c r="CB183" i="28"/>
  <c r="CB184" i="28"/>
  <c r="CB185" i="28"/>
  <c r="CB186" i="28"/>
  <c r="CB187" i="28"/>
  <c r="CB188" i="28"/>
  <c r="CB189" i="28"/>
  <c r="CB190" i="28"/>
  <c r="CB191" i="28"/>
  <c r="CB192" i="28"/>
  <c r="CB193" i="28"/>
  <c r="CB194" i="28"/>
  <c r="CB195" i="28"/>
  <c r="CB196" i="28"/>
  <c r="CB197" i="28"/>
  <c r="CB198" i="28"/>
  <c r="CB199" i="28"/>
  <c r="CB200" i="28"/>
  <c r="CB201" i="28"/>
  <c r="CB202" i="28"/>
  <c r="CB203" i="28"/>
  <c r="CB204" i="28"/>
  <c r="CB205" i="28"/>
  <c r="CB206" i="28"/>
  <c r="CA116" i="28"/>
  <c r="CA117" i="28"/>
  <c r="CA118" i="28"/>
  <c r="CA119" i="28"/>
  <c r="CA120" i="28"/>
  <c r="CA121" i="28"/>
  <c r="CA122" i="28"/>
  <c r="CA123" i="28"/>
  <c r="CA124" i="28"/>
  <c r="CA125" i="28"/>
  <c r="CA126" i="28"/>
  <c r="CA127" i="28"/>
  <c r="CA128" i="28"/>
  <c r="CA129" i="28"/>
  <c r="CA130" i="28"/>
  <c r="CA131" i="28"/>
  <c r="CA132" i="28"/>
  <c r="CA133" i="28"/>
  <c r="CA134" i="28"/>
  <c r="CA135" i="28"/>
  <c r="CA136" i="28"/>
  <c r="CA137" i="28"/>
  <c r="CA138" i="28"/>
  <c r="CA139" i="28"/>
  <c r="CA140" i="28"/>
  <c r="CA141" i="28"/>
  <c r="CA142" i="28"/>
  <c r="CA143" i="28"/>
  <c r="CA144" i="28"/>
  <c r="CA145" i="28"/>
  <c r="CA146" i="28"/>
  <c r="CA147" i="28"/>
  <c r="CA148" i="28"/>
  <c r="CA149" i="28"/>
  <c r="CA150" i="28"/>
  <c r="CA151" i="28"/>
  <c r="CA152" i="28"/>
  <c r="CA153" i="28"/>
  <c r="CA154" i="28"/>
  <c r="CA155" i="28"/>
  <c r="CA156" i="28"/>
  <c r="CA157" i="28"/>
  <c r="CA158" i="28"/>
  <c r="CA159" i="28"/>
  <c r="CA160" i="28"/>
  <c r="CA161" i="28"/>
  <c r="CA162" i="28"/>
  <c r="CA163" i="28"/>
  <c r="CA164" i="28"/>
  <c r="CA165" i="28"/>
  <c r="CA166" i="28"/>
  <c r="CA167" i="28"/>
  <c r="CA168" i="28"/>
  <c r="CA169" i="28"/>
  <c r="CA170" i="28"/>
  <c r="CA171" i="28"/>
  <c r="CA172" i="28"/>
  <c r="CA173" i="28"/>
  <c r="CA174" i="28"/>
  <c r="CA175" i="28"/>
  <c r="CA176" i="28"/>
  <c r="CA177" i="28"/>
  <c r="CA178" i="28"/>
  <c r="CA179" i="28"/>
  <c r="CA180" i="28"/>
  <c r="CA181" i="28"/>
  <c r="CA182" i="28"/>
  <c r="CA183" i="28"/>
  <c r="CA184" i="28"/>
  <c r="CA185" i="28"/>
  <c r="CA186" i="28"/>
  <c r="CA187" i="28"/>
  <c r="CA188" i="28"/>
  <c r="CA189" i="28"/>
  <c r="CA190" i="28"/>
  <c r="CA191" i="28"/>
  <c r="CA192" i="28"/>
  <c r="CA193" i="28"/>
  <c r="CA194" i="28"/>
  <c r="CA195" i="28"/>
  <c r="CA196" i="28"/>
  <c r="CA197" i="28"/>
  <c r="CA198" i="28"/>
  <c r="CA199" i="28"/>
  <c r="CA200" i="28"/>
  <c r="CA201" i="28"/>
  <c r="CA202" i="28"/>
  <c r="CA203" i="28"/>
  <c r="CA204" i="28"/>
  <c r="CA206" i="28"/>
  <c r="CA205" i="28"/>
  <c r="BZ116" i="28"/>
  <c r="BZ117" i="28"/>
  <c r="BZ118" i="28"/>
  <c r="BZ119" i="28"/>
  <c r="BZ120" i="28"/>
  <c r="BZ121" i="28"/>
  <c r="BZ122" i="28"/>
  <c r="BZ123" i="28"/>
  <c r="BZ124" i="28"/>
  <c r="BZ125" i="28"/>
  <c r="BZ126" i="28"/>
  <c r="BZ127" i="28"/>
  <c r="BZ128" i="28"/>
  <c r="BZ129" i="28"/>
  <c r="BZ130" i="28"/>
  <c r="BZ131" i="28"/>
  <c r="BZ132" i="28"/>
  <c r="BZ133" i="28"/>
  <c r="BZ134" i="28"/>
  <c r="BZ135" i="28"/>
  <c r="BZ136" i="28"/>
  <c r="BZ137" i="28"/>
  <c r="BZ138" i="28"/>
  <c r="BZ139" i="28"/>
  <c r="BZ140" i="28"/>
  <c r="BZ141" i="28"/>
  <c r="BZ142" i="28"/>
  <c r="BZ143" i="28"/>
  <c r="BZ144" i="28"/>
  <c r="BZ145" i="28"/>
  <c r="BZ146" i="28"/>
  <c r="BZ147" i="28"/>
  <c r="BZ148" i="28"/>
  <c r="BZ149" i="28"/>
  <c r="BZ150" i="28"/>
  <c r="BZ151" i="28"/>
  <c r="BZ152" i="28"/>
  <c r="BZ153" i="28"/>
  <c r="BZ154" i="28"/>
  <c r="BZ155" i="28"/>
  <c r="BZ156" i="28"/>
  <c r="BZ157" i="28"/>
  <c r="BZ158" i="28"/>
  <c r="BZ159" i="28"/>
  <c r="BZ160" i="28"/>
  <c r="BZ161" i="28"/>
  <c r="BZ162" i="28"/>
  <c r="BZ163" i="28"/>
  <c r="BZ164" i="28"/>
  <c r="BZ165" i="28"/>
  <c r="BZ166" i="28"/>
  <c r="BZ167" i="28"/>
  <c r="BZ168" i="28"/>
  <c r="BZ169" i="28"/>
  <c r="BZ170" i="28"/>
  <c r="BZ171" i="28"/>
  <c r="BZ172" i="28"/>
  <c r="BZ173" i="28"/>
  <c r="BZ174" i="28"/>
  <c r="BZ175" i="28"/>
  <c r="BZ176" i="28"/>
  <c r="BZ177" i="28"/>
  <c r="BZ178" i="28"/>
  <c r="BZ179" i="28"/>
  <c r="BZ180" i="28"/>
  <c r="BZ181" i="28"/>
  <c r="BZ182" i="28"/>
  <c r="BZ183" i="28"/>
  <c r="BZ184" i="28"/>
  <c r="BZ185" i="28"/>
  <c r="BZ186" i="28"/>
  <c r="BZ187" i="28"/>
  <c r="BZ188" i="28"/>
  <c r="BZ189" i="28"/>
  <c r="BZ190" i="28"/>
  <c r="BZ191" i="28"/>
  <c r="BZ192" i="28"/>
  <c r="BZ193" i="28"/>
  <c r="BZ194" i="28"/>
  <c r="BZ195" i="28"/>
  <c r="BZ196" i="28"/>
  <c r="BZ197" i="28"/>
  <c r="BZ198" i="28"/>
  <c r="BZ199" i="28"/>
  <c r="BZ200" i="28"/>
  <c r="BZ201" i="28"/>
  <c r="BZ202" i="28"/>
  <c r="BZ203" i="28"/>
  <c r="BZ204" i="28"/>
  <c r="BZ206" i="28"/>
  <c r="BY116" i="28"/>
  <c r="BY117" i="28"/>
  <c r="BY118" i="28"/>
  <c r="BY119" i="28"/>
  <c r="BY120" i="28"/>
  <c r="BY121" i="28"/>
  <c r="BY122" i="28"/>
  <c r="BY123" i="28"/>
  <c r="BY124" i="28"/>
  <c r="BY125" i="28"/>
  <c r="BY126" i="28"/>
  <c r="BY127" i="28"/>
  <c r="BY128" i="28"/>
  <c r="BY129" i="28"/>
  <c r="BY130" i="28"/>
  <c r="BY131" i="28"/>
  <c r="BY132" i="28"/>
  <c r="BY133" i="28"/>
  <c r="BY134" i="28"/>
  <c r="BY135" i="28"/>
  <c r="BY136" i="28"/>
  <c r="BY137" i="28"/>
  <c r="BY138" i="28"/>
  <c r="BY139" i="28"/>
  <c r="BY140" i="28"/>
  <c r="BY141" i="28"/>
  <c r="BY142" i="28"/>
  <c r="BY143" i="28"/>
  <c r="BY144" i="28"/>
  <c r="BY145" i="28"/>
  <c r="BY146" i="28"/>
  <c r="BY147" i="28"/>
  <c r="BY148" i="28"/>
  <c r="BY149" i="28"/>
  <c r="BY150" i="28"/>
  <c r="BY151" i="28"/>
  <c r="BY152" i="28"/>
  <c r="BY153" i="28"/>
  <c r="BY154" i="28"/>
  <c r="BY155" i="28"/>
  <c r="BY156" i="28"/>
  <c r="BY157" i="28"/>
  <c r="BY158" i="28"/>
  <c r="BY159" i="28"/>
  <c r="BY160" i="28"/>
  <c r="BY161" i="28"/>
  <c r="BY162" i="28"/>
  <c r="BY163" i="28"/>
  <c r="BY164" i="28"/>
  <c r="BY165" i="28"/>
  <c r="BY166" i="28"/>
  <c r="BY167" i="28"/>
  <c r="BY168" i="28"/>
  <c r="BY169" i="28"/>
  <c r="BY170" i="28"/>
  <c r="BY171" i="28"/>
  <c r="BY172" i="28"/>
  <c r="BY173" i="28"/>
  <c r="BY174" i="28"/>
  <c r="BY175" i="28"/>
  <c r="BY176" i="28"/>
  <c r="BY177" i="28"/>
  <c r="BY178" i="28"/>
  <c r="BY179" i="28"/>
  <c r="BY180" i="28"/>
  <c r="BY181" i="28"/>
  <c r="BY182" i="28"/>
  <c r="BY183" i="28"/>
  <c r="BY184" i="28"/>
  <c r="BY185" i="28"/>
  <c r="BY186" i="28"/>
  <c r="BY187" i="28"/>
  <c r="BY188" i="28"/>
  <c r="BY189" i="28"/>
  <c r="BY190" i="28"/>
  <c r="BY191" i="28"/>
  <c r="BY192" i="28"/>
  <c r="BY193" i="28"/>
  <c r="BY194" i="28"/>
  <c r="BY195" i="28"/>
  <c r="BY196" i="28"/>
  <c r="BY197" i="28"/>
  <c r="BY198" i="28"/>
  <c r="BY199" i="28"/>
  <c r="BY200" i="28"/>
  <c r="BY201" i="28"/>
  <c r="BY202" i="28"/>
  <c r="BY203" i="28"/>
  <c r="BY204" i="28"/>
  <c r="BY206" i="28"/>
  <c r="BY205" i="28"/>
  <c r="BX116" i="28"/>
  <c r="BX117" i="28"/>
  <c r="BX118" i="28"/>
  <c r="BX119" i="28"/>
  <c r="BX120" i="28"/>
  <c r="BX121" i="28"/>
  <c r="BX122" i="28"/>
  <c r="BX123" i="28"/>
  <c r="BX124" i="28"/>
  <c r="BX125" i="28"/>
  <c r="BX126" i="28"/>
  <c r="BX127" i="28"/>
  <c r="BX128" i="28"/>
  <c r="BX129" i="28"/>
  <c r="BX130" i="28"/>
  <c r="BX131" i="28"/>
  <c r="BX132" i="28"/>
  <c r="BX133" i="28"/>
  <c r="BX134" i="28"/>
  <c r="BX135" i="28"/>
  <c r="BX136" i="28"/>
  <c r="BX137" i="28"/>
  <c r="BX138" i="28"/>
  <c r="BX139" i="28"/>
  <c r="BX140" i="28"/>
  <c r="BX141" i="28"/>
  <c r="BX142" i="28"/>
  <c r="BX143" i="28"/>
  <c r="BX144" i="28"/>
  <c r="BX145" i="28"/>
  <c r="BX146" i="28"/>
  <c r="BX147" i="28"/>
  <c r="BX148" i="28"/>
  <c r="BX149" i="28"/>
  <c r="BX150" i="28"/>
  <c r="BX151" i="28"/>
  <c r="BX152" i="28"/>
  <c r="BX153" i="28"/>
  <c r="BX154" i="28"/>
  <c r="BX155" i="28"/>
  <c r="BX156" i="28"/>
  <c r="BX157" i="28"/>
  <c r="BX158" i="28"/>
  <c r="BX159" i="28"/>
  <c r="BX160" i="28"/>
  <c r="BX161" i="28"/>
  <c r="BX162" i="28"/>
  <c r="BX163" i="28"/>
  <c r="BX164" i="28"/>
  <c r="BX165" i="28"/>
  <c r="BX166" i="28"/>
  <c r="BX167" i="28"/>
  <c r="BX168" i="28"/>
  <c r="BX169" i="28"/>
  <c r="BX170" i="28"/>
  <c r="BX171" i="28"/>
  <c r="BX172" i="28"/>
  <c r="BX173" i="28"/>
  <c r="BX174" i="28"/>
  <c r="BX175" i="28"/>
  <c r="BX176" i="28"/>
  <c r="BX177" i="28"/>
  <c r="BX178" i="28"/>
  <c r="BX179" i="28"/>
  <c r="BX180" i="28"/>
  <c r="BX181" i="28"/>
  <c r="BX182" i="28"/>
  <c r="BX183" i="28"/>
  <c r="BX184" i="28"/>
  <c r="BX185" i="28"/>
  <c r="BX186" i="28"/>
  <c r="BX187" i="28"/>
  <c r="BX188" i="28"/>
  <c r="BX189" i="28"/>
  <c r="BX190" i="28"/>
  <c r="BX191" i="28"/>
  <c r="BX192" i="28"/>
  <c r="BX193" i="28"/>
  <c r="BX194" i="28"/>
  <c r="BX195" i="28"/>
  <c r="BX196" i="28"/>
  <c r="BX197" i="28"/>
  <c r="BX198" i="28"/>
  <c r="BX199" i="28"/>
  <c r="BX200" i="28"/>
  <c r="BX201" i="28"/>
  <c r="BX202" i="28"/>
  <c r="BX203" i="28"/>
  <c r="BX204" i="28"/>
  <c r="BX205" i="28"/>
  <c r="BX206" i="28"/>
  <c r="CI205" i="28"/>
  <c r="CD205" i="28"/>
  <c r="BZ205" i="28"/>
  <c r="AY116" i="28"/>
  <c r="AY117" i="28"/>
  <c r="AY118" i="28"/>
  <c r="AY119" i="28"/>
  <c r="AY120" i="28"/>
  <c r="AY121" i="28"/>
  <c r="AY122" i="28"/>
  <c r="AY123" i="28"/>
  <c r="AY124" i="28"/>
  <c r="AY125" i="28"/>
  <c r="AY126" i="28"/>
  <c r="AY127" i="28"/>
  <c r="AY128" i="28"/>
  <c r="AY129" i="28"/>
  <c r="AY130" i="28"/>
  <c r="AY131" i="28"/>
  <c r="AY132" i="28"/>
  <c r="AY133" i="28"/>
  <c r="AY134" i="28"/>
  <c r="AY135" i="28"/>
  <c r="AY136" i="28"/>
  <c r="AY137" i="28"/>
  <c r="AY138" i="28"/>
  <c r="AY139" i="28"/>
  <c r="AY140" i="28"/>
  <c r="AY141" i="28"/>
  <c r="AY142" i="28"/>
  <c r="AY143" i="28"/>
  <c r="AY144" i="28"/>
  <c r="AY145" i="28"/>
  <c r="AY146" i="28"/>
  <c r="AY147" i="28"/>
  <c r="AY148" i="28"/>
  <c r="AY149" i="28"/>
  <c r="AY150" i="28"/>
  <c r="AY151" i="28"/>
  <c r="AY152" i="28"/>
  <c r="AY153" i="28"/>
  <c r="AY154" i="28"/>
  <c r="AY155" i="28"/>
  <c r="AY156" i="28"/>
  <c r="AY157" i="28"/>
  <c r="AY158" i="28"/>
  <c r="AY159" i="28"/>
  <c r="AY160" i="28"/>
  <c r="AY161" i="28"/>
  <c r="AY162" i="28"/>
  <c r="AY163" i="28"/>
  <c r="AY164" i="28"/>
  <c r="AY165" i="28"/>
  <c r="AY166" i="28"/>
  <c r="AY167" i="28"/>
  <c r="AY168" i="28"/>
  <c r="AY169" i="28"/>
  <c r="AY170" i="28"/>
  <c r="AY171" i="28"/>
  <c r="AY172" i="28"/>
  <c r="AY173" i="28"/>
  <c r="AY174" i="28"/>
  <c r="AY175" i="28"/>
  <c r="AY176" i="28"/>
  <c r="AY177" i="28"/>
  <c r="AY178" i="28"/>
  <c r="AY179" i="28"/>
  <c r="AY180" i="28"/>
  <c r="AY181" i="28"/>
  <c r="AY182" i="28"/>
  <c r="AY183" i="28"/>
  <c r="AY184" i="28"/>
  <c r="AY185" i="28"/>
  <c r="AY186" i="28"/>
  <c r="AY187" i="28"/>
  <c r="AY188" i="28"/>
  <c r="AY189" i="28"/>
  <c r="AY190" i="28"/>
  <c r="AY191" i="28"/>
  <c r="AY192" i="28"/>
  <c r="AY193" i="28"/>
  <c r="AY194" i="28"/>
  <c r="AY195" i="28"/>
  <c r="AY196" i="28"/>
  <c r="AY197" i="28"/>
  <c r="AY198" i="28"/>
  <c r="AY199" i="28"/>
  <c r="AY200" i="28"/>
  <c r="AY201" i="28"/>
  <c r="AY202" i="28"/>
  <c r="AY203" i="28"/>
  <c r="AY204" i="28"/>
  <c r="AY206" i="28"/>
  <c r="AX118" i="28"/>
  <c r="AX119" i="28"/>
  <c r="AX120" i="28"/>
  <c r="AX121" i="28"/>
  <c r="AX122" i="28"/>
  <c r="AX123" i="28"/>
  <c r="AX124" i="28"/>
  <c r="AX125" i="28"/>
  <c r="AX126" i="28"/>
  <c r="AX128" i="28"/>
  <c r="AX129" i="28"/>
  <c r="AX130" i="28"/>
  <c r="AX131" i="28"/>
  <c r="AX132" i="28"/>
  <c r="AX133" i="28"/>
  <c r="AX134" i="28"/>
  <c r="AX135" i="28"/>
  <c r="AX136" i="28"/>
  <c r="AX137" i="28"/>
  <c r="AX138" i="28"/>
  <c r="AX139" i="28"/>
  <c r="AX140" i="28"/>
  <c r="AX141" i="28"/>
  <c r="AX142" i="28"/>
  <c r="AX143" i="28"/>
  <c r="AX144" i="28"/>
  <c r="AX145" i="28"/>
  <c r="AX146" i="28"/>
  <c r="AX147" i="28"/>
  <c r="AX148" i="28"/>
  <c r="AX149" i="28"/>
  <c r="AX150" i="28"/>
  <c r="AX151" i="28"/>
  <c r="AX152" i="28"/>
  <c r="AX153" i="28"/>
  <c r="AX154" i="28"/>
  <c r="AX155" i="28"/>
  <c r="AX156" i="28"/>
  <c r="AX157" i="28"/>
  <c r="AX158" i="28"/>
  <c r="AX159" i="28"/>
  <c r="AX161" i="28"/>
  <c r="AX162" i="28"/>
  <c r="AX163" i="28"/>
  <c r="AX164" i="28"/>
  <c r="AX165" i="28"/>
  <c r="AX166" i="28"/>
  <c r="AX167" i="28"/>
  <c r="AX168" i="28"/>
  <c r="AX169" i="28"/>
  <c r="AX170" i="28"/>
  <c r="AX171" i="28"/>
  <c r="AX172" i="28"/>
  <c r="AX173" i="28"/>
  <c r="AX174" i="28"/>
  <c r="AX175" i="28"/>
  <c r="AX176" i="28"/>
  <c r="AX177" i="28"/>
  <c r="AX178" i="28"/>
  <c r="AX179" i="28"/>
  <c r="AX180" i="28"/>
  <c r="AX181" i="28"/>
  <c r="AX182" i="28"/>
  <c r="AX183" i="28"/>
  <c r="AX184" i="28"/>
  <c r="AX185" i="28"/>
  <c r="AX186" i="28"/>
  <c r="AX187" i="28"/>
  <c r="AX188" i="28"/>
  <c r="AX189" i="28"/>
  <c r="AX190" i="28"/>
  <c r="AX191" i="28"/>
  <c r="AX192" i="28"/>
  <c r="AX193" i="28"/>
  <c r="AX194" i="28"/>
  <c r="AX195" i="28"/>
  <c r="AX196" i="28"/>
  <c r="AX197" i="28"/>
  <c r="AX198" i="28"/>
  <c r="AX199" i="28"/>
  <c r="AX200" i="28"/>
  <c r="AX201" i="28"/>
  <c r="AX202" i="28"/>
  <c r="AX203" i="28"/>
  <c r="AX204" i="28"/>
  <c r="AX206" i="28"/>
  <c r="B53" i="26"/>
  <c r="AY205" i="28"/>
  <c r="BO116" i="28"/>
  <c r="BO117" i="28"/>
  <c r="BO118" i="28"/>
  <c r="BO119" i="28"/>
  <c r="BO120" i="28"/>
  <c r="BO121" i="28"/>
  <c r="BO122" i="28"/>
  <c r="BO123" i="28"/>
  <c r="BO124" i="28"/>
  <c r="BO125" i="28"/>
  <c r="BO126" i="28"/>
  <c r="BO127" i="28"/>
  <c r="BO128" i="28"/>
  <c r="BO129" i="28"/>
  <c r="BO130" i="28"/>
  <c r="BO131" i="28"/>
  <c r="BO132" i="28"/>
  <c r="BO133" i="28"/>
  <c r="BO134" i="28"/>
  <c r="BO135" i="28"/>
  <c r="BO136" i="28"/>
  <c r="BO137" i="28"/>
  <c r="BO138" i="28"/>
  <c r="BO139" i="28"/>
  <c r="BO140" i="28"/>
  <c r="BO141" i="28"/>
  <c r="BO142" i="28"/>
  <c r="BO143" i="28"/>
  <c r="BO144" i="28"/>
  <c r="BO145" i="28"/>
  <c r="BO146" i="28"/>
  <c r="BO147" i="28"/>
  <c r="BO148" i="28"/>
  <c r="BO149" i="28"/>
  <c r="BO150" i="28"/>
  <c r="BO151" i="28"/>
  <c r="BO152" i="28"/>
  <c r="BO153" i="28"/>
  <c r="BO154" i="28"/>
  <c r="BO155" i="28"/>
  <c r="BO156" i="28"/>
  <c r="BO157" i="28"/>
  <c r="BO158" i="28"/>
  <c r="BO159" i="28"/>
  <c r="BO160" i="28"/>
  <c r="BO161" i="28"/>
  <c r="BO162" i="28"/>
  <c r="BO163" i="28"/>
  <c r="BO164" i="28"/>
  <c r="BO165" i="28"/>
  <c r="BO166" i="28"/>
  <c r="BO167" i="28"/>
  <c r="BO168" i="28"/>
  <c r="BO169" i="28"/>
  <c r="BO170" i="28"/>
  <c r="BO171" i="28"/>
  <c r="BO172" i="28"/>
  <c r="BO173" i="28"/>
  <c r="BO174" i="28"/>
  <c r="BO175" i="28"/>
  <c r="BO176" i="28"/>
  <c r="BO177" i="28"/>
  <c r="BO178" i="28"/>
  <c r="BO179" i="28"/>
  <c r="BO180" i="28"/>
  <c r="BO181" i="28"/>
  <c r="BO182" i="28"/>
  <c r="BO183" i="28"/>
  <c r="BO184" i="28"/>
  <c r="BO185" i="28"/>
  <c r="BO186" i="28"/>
  <c r="BO187" i="28"/>
  <c r="BO188" i="28"/>
  <c r="BO189" i="28"/>
  <c r="BO190" i="28"/>
  <c r="BO191" i="28"/>
  <c r="BO192" i="28"/>
  <c r="BO193" i="28"/>
  <c r="BO194" i="28"/>
  <c r="BO195" i="28"/>
  <c r="BO196" i="28"/>
  <c r="BO197" i="28"/>
  <c r="BO198" i="28"/>
  <c r="BO199" i="28"/>
  <c r="BO200" i="28"/>
  <c r="BO201" i="28"/>
  <c r="BO202" i="28"/>
  <c r="BO203" i="28"/>
  <c r="BO204" i="28"/>
  <c r="BO206" i="28"/>
  <c r="BN116" i="28"/>
  <c r="BN117" i="28"/>
  <c r="BN118" i="28"/>
  <c r="BN119" i="28"/>
  <c r="BN120" i="28"/>
  <c r="BN121" i="28"/>
  <c r="BN122" i="28"/>
  <c r="BN123" i="28"/>
  <c r="BN124" i="28"/>
  <c r="BN125" i="28"/>
  <c r="BN126" i="28"/>
  <c r="BN127" i="28"/>
  <c r="BN128" i="28"/>
  <c r="BN129" i="28"/>
  <c r="BN130" i="28"/>
  <c r="BN131" i="28"/>
  <c r="BN132" i="28"/>
  <c r="BN133" i="28"/>
  <c r="BN134" i="28"/>
  <c r="BN135" i="28"/>
  <c r="BN136" i="28"/>
  <c r="BN137" i="28"/>
  <c r="BN138" i="28"/>
  <c r="BN139" i="28"/>
  <c r="BN140" i="28"/>
  <c r="BN141" i="28"/>
  <c r="BN142" i="28"/>
  <c r="BN143" i="28"/>
  <c r="BN144" i="28"/>
  <c r="BN145" i="28"/>
  <c r="BN146" i="28"/>
  <c r="BN147" i="28"/>
  <c r="BN148" i="28"/>
  <c r="BN149" i="28"/>
  <c r="BN150" i="28"/>
  <c r="BN151" i="28"/>
  <c r="BN152" i="28"/>
  <c r="BN153" i="28"/>
  <c r="BN154" i="28"/>
  <c r="BN155" i="28"/>
  <c r="BN156" i="28"/>
  <c r="BN157" i="28"/>
  <c r="BN158" i="28"/>
  <c r="BN159" i="28"/>
  <c r="BN160" i="28"/>
  <c r="BN161" i="28"/>
  <c r="BN162" i="28"/>
  <c r="BN163" i="28"/>
  <c r="BN164" i="28"/>
  <c r="BN165" i="28"/>
  <c r="BN166" i="28"/>
  <c r="BN167" i="28"/>
  <c r="BN168" i="28"/>
  <c r="BN169" i="28"/>
  <c r="BN170" i="28"/>
  <c r="BN171" i="28"/>
  <c r="BN172" i="28"/>
  <c r="BN173" i="28"/>
  <c r="BN174" i="28"/>
  <c r="BN175" i="28"/>
  <c r="BN176" i="28"/>
  <c r="BN177" i="28"/>
  <c r="BN178" i="28"/>
  <c r="BN179" i="28"/>
  <c r="BN180" i="28"/>
  <c r="BN182" i="28"/>
  <c r="BN183" i="28"/>
  <c r="BN184" i="28"/>
  <c r="BN185" i="28"/>
  <c r="BN186" i="28"/>
  <c r="BN187" i="28"/>
  <c r="BN188" i="28"/>
  <c r="BN189" i="28"/>
  <c r="BN190" i="28"/>
  <c r="BN191" i="28"/>
  <c r="BN192" i="28"/>
  <c r="BN193" i="28"/>
  <c r="BN194" i="28"/>
  <c r="BN195" i="28"/>
  <c r="BN196" i="28"/>
  <c r="BN197" i="28"/>
  <c r="BN198" i="28"/>
  <c r="BN199" i="28"/>
  <c r="BN200" i="28"/>
  <c r="BN201" i="28"/>
  <c r="BN202" i="28"/>
  <c r="BN203" i="28"/>
  <c r="BN204" i="28"/>
  <c r="BM116" i="28"/>
  <c r="BM117" i="28"/>
  <c r="BM118" i="28"/>
  <c r="BM119" i="28"/>
  <c r="BM120" i="28"/>
  <c r="BM121" i="28"/>
  <c r="BM122" i="28"/>
  <c r="BM123" i="28"/>
  <c r="BM124" i="28"/>
  <c r="BM125" i="28"/>
  <c r="BM126" i="28"/>
  <c r="BM127" i="28"/>
  <c r="BM128" i="28"/>
  <c r="BM129" i="28"/>
  <c r="BM130" i="28"/>
  <c r="BM131" i="28"/>
  <c r="BM132" i="28"/>
  <c r="BM133" i="28"/>
  <c r="BM134" i="28"/>
  <c r="BM135" i="28"/>
  <c r="BM136" i="28"/>
  <c r="BM137" i="28"/>
  <c r="BM138" i="28"/>
  <c r="BM139" i="28"/>
  <c r="BM140" i="28"/>
  <c r="BM141" i="28"/>
  <c r="BM142" i="28"/>
  <c r="BM143" i="28"/>
  <c r="BM144" i="28"/>
  <c r="BM145" i="28"/>
  <c r="BM146" i="28"/>
  <c r="BM147" i="28"/>
  <c r="BM148" i="28"/>
  <c r="BM149" i="28"/>
  <c r="BM150" i="28"/>
  <c r="BM151" i="28"/>
  <c r="BM152" i="28"/>
  <c r="BM153" i="28"/>
  <c r="BM154" i="28"/>
  <c r="BM155" i="28"/>
  <c r="BM156" i="28"/>
  <c r="BM157" i="28"/>
  <c r="BM158" i="28"/>
  <c r="BM159" i="28"/>
  <c r="BM160" i="28"/>
  <c r="BM161" i="28"/>
  <c r="BM162" i="28"/>
  <c r="BM163" i="28"/>
  <c r="BM164" i="28"/>
  <c r="BM165" i="28"/>
  <c r="BM166" i="28"/>
  <c r="BM167" i="28"/>
  <c r="BM168" i="28"/>
  <c r="BM169" i="28"/>
  <c r="BM170" i="28"/>
  <c r="BM171" i="28"/>
  <c r="BM172" i="28"/>
  <c r="BM173" i="28"/>
  <c r="BM174" i="28"/>
  <c r="BM175" i="28"/>
  <c r="BM176" i="28"/>
  <c r="BM177" i="28"/>
  <c r="BM178" i="28"/>
  <c r="BM179" i="28"/>
  <c r="BM180" i="28"/>
  <c r="BM182" i="28"/>
  <c r="BM183" i="28"/>
  <c r="BM184" i="28"/>
  <c r="BM185" i="28"/>
  <c r="BM186" i="28"/>
  <c r="BM187" i="28"/>
  <c r="BM188" i="28"/>
  <c r="BM189" i="28"/>
  <c r="BM190" i="28"/>
  <c r="BM191" i="28"/>
  <c r="BM192" i="28"/>
  <c r="BM193" i="28"/>
  <c r="BM194" i="28"/>
  <c r="BM195" i="28"/>
  <c r="BM196" i="28"/>
  <c r="BM197" i="28"/>
  <c r="BM198" i="28"/>
  <c r="BM199" i="28"/>
  <c r="BM200" i="28"/>
  <c r="BM201" i="28"/>
  <c r="BM202" i="28"/>
  <c r="BM203" i="28"/>
  <c r="BM204" i="28"/>
  <c r="BM205" i="28"/>
  <c r="BL116" i="28"/>
  <c r="BL117" i="28"/>
  <c r="BL118" i="28"/>
  <c r="BL119" i="28"/>
  <c r="BL120" i="28"/>
  <c r="BL121" i="28"/>
  <c r="BL122" i="28"/>
  <c r="BL123" i="28"/>
  <c r="BL124" i="28"/>
  <c r="BL125" i="28"/>
  <c r="BL126" i="28"/>
  <c r="BL127" i="28"/>
  <c r="BL128" i="28"/>
  <c r="BL129" i="28"/>
  <c r="BL130" i="28"/>
  <c r="BL131" i="28"/>
  <c r="BL132" i="28"/>
  <c r="BL133" i="28"/>
  <c r="BL134" i="28"/>
  <c r="BL135" i="28"/>
  <c r="BL136" i="28"/>
  <c r="BL137" i="28"/>
  <c r="BL138" i="28"/>
  <c r="BL139" i="28"/>
  <c r="BL140" i="28"/>
  <c r="BL141" i="28"/>
  <c r="BL142" i="28"/>
  <c r="BL143" i="28"/>
  <c r="BL144" i="28"/>
  <c r="BL145" i="28"/>
  <c r="BL146" i="28"/>
  <c r="BL147" i="28"/>
  <c r="BL148" i="28"/>
  <c r="BL149" i="28"/>
  <c r="BL150" i="28"/>
  <c r="BL151" i="28"/>
  <c r="BL152" i="28"/>
  <c r="BL153" i="28"/>
  <c r="BL154" i="28"/>
  <c r="BL155" i="28"/>
  <c r="BL156" i="28"/>
  <c r="BL157" i="28"/>
  <c r="BL158" i="28"/>
  <c r="BL159" i="28"/>
  <c r="BL160" i="28"/>
  <c r="BL161" i="28"/>
  <c r="BL162" i="28"/>
  <c r="BL163" i="28"/>
  <c r="BL164" i="28"/>
  <c r="BL165" i="28"/>
  <c r="BL166" i="28"/>
  <c r="BL167" i="28"/>
  <c r="BL168" i="28"/>
  <c r="BL169" i="28"/>
  <c r="BL170" i="28"/>
  <c r="BL171" i="28"/>
  <c r="BL172" i="28"/>
  <c r="BL173" i="28"/>
  <c r="BL174" i="28"/>
  <c r="BL175" i="28"/>
  <c r="BL176" i="28"/>
  <c r="BL177" i="28"/>
  <c r="BL178" i="28"/>
  <c r="BL179" i="28"/>
  <c r="BL180" i="28"/>
  <c r="BL182" i="28"/>
  <c r="BL183" i="28"/>
  <c r="BL184" i="28"/>
  <c r="BL185" i="28"/>
  <c r="BL186" i="28"/>
  <c r="BL187" i="28"/>
  <c r="BL188" i="28"/>
  <c r="BL189" i="28"/>
  <c r="BL190" i="28"/>
  <c r="BL191" i="28"/>
  <c r="BL192" i="28"/>
  <c r="BL193" i="28"/>
  <c r="BL194" i="28"/>
  <c r="BL195" i="28"/>
  <c r="BL196" i="28"/>
  <c r="BL197" i="28"/>
  <c r="BL198" i="28"/>
  <c r="BL199" i="28"/>
  <c r="BL200" i="28"/>
  <c r="BL201" i="28"/>
  <c r="BL202" i="28"/>
  <c r="BL203" i="28"/>
  <c r="BL204" i="28"/>
  <c r="BL205" i="28"/>
  <c r="BL206" i="28"/>
  <c r="BK116" i="28"/>
  <c r="BK117" i="28"/>
  <c r="BK118" i="28"/>
  <c r="BK119" i="28"/>
  <c r="BK120" i="28"/>
  <c r="BK121" i="28"/>
  <c r="BK122" i="28"/>
  <c r="BK123" i="28"/>
  <c r="BK124" i="28"/>
  <c r="BK125" i="28"/>
  <c r="BK126" i="28"/>
  <c r="BK127" i="28"/>
  <c r="BK128" i="28"/>
  <c r="BK129" i="28"/>
  <c r="BK130" i="28"/>
  <c r="BK131" i="28"/>
  <c r="BK132" i="28"/>
  <c r="BK133" i="28"/>
  <c r="BK134" i="28"/>
  <c r="BK135" i="28"/>
  <c r="BK136" i="28"/>
  <c r="BK137" i="28"/>
  <c r="BK138" i="28"/>
  <c r="BK139" i="28"/>
  <c r="BK140" i="28"/>
  <c r="BK141" i="28"/>
  <c r="BK142" i="28"/>
  <c r="BK143" i="28"/>
  <c r="BK144" i="28"/>
  <c r="BK145" i="28"/>
  <c r="BK146" i="28"/>
  <c r="BK147" i="28"/>
  <c r="BK148" i="28"/>
  <c r="BK149" i="28"/>
  <c r="BK150" i="28"/>
  <c r="BK151" i="28"/>
  <c r="BK152" i="28"/>
  <c r="BK153" i="28"/>
  <c r="BK154" i="28"/>
  <c r="BK155" i="28"/>
  <c r="BK156" i="28"/>
  <c r="BK157" i="28"/>
  <c r="BK158" i="28"/>
  <c r="BK159" i="28"/>
  <c r="BK160" i="28"/>
  <c r="BK161" i="28"/>
  <c r="BK162" i="28"/>
  <c r="BK163" i="28"/>
  <c r="BK164" i="28"/>
  <c r="BK165" i="28"/>
  <c r="BK166" i="28"/>
  <c r="BK167" i="28"/>
  <c r="BK168" i="28"/>
  <c r="BK169" i="28"/>
  <c r="BK170" i="28"/>
  <c r="BK171" i="28"/>
  <c r="BK172" i="28"/>
  <c r="BK173" i="28"/>
  <c r="BK174" i="28"/>
  <c r="BK175" i="28"/>
  <c r="BK176" i="28"/>
  <c r="BK177" i="28"/>
  <c r="BK178" i="28"/>
  <c r="BK179" i="28"/>
  <c r="BK180" i="28"/>
  <c r="BK181" i="28"/>
  <c r="BK182" i="28"/>
  <c r="BK183" i="28"/>
  <c r="BK184" i="28"/>
  <c r="BK185" i="28"/>
  <c r="BK186" i="28"/>
  <c r="BK187" i="28"/>
  <c r="BK188" i="28"/>
  <c r="BK189" i="28"/>
  <c r="BK190" i="28"/>
  <c r="BK191" i="28"/>
  <c r="BK192" i="28"/>
  <c r="BK193" i="28"/>
  <c r="BK194" i="28"/>
  <c r="BK195" i="28"/>
  <c r="BK196" i="28"/>
  <c r="BK197" i="28"/>
  <c r="BK198" i="28"/>
  <c r="BK199" i="28"/>
  <c r="BK200" i="28"/>
  <c r="BK201" i="28"/>
  <c r="BK202" i="28"/>
  <c r="BK203" i="28"/>
  <c r="BK204" i="28"/>
  <c r="BJ116" i="28"/>
  <c r="BJ117" i="28"/>
  <c r="BJ118" i="28"/>
  <c r="BJ119" i="28"/>
  <c r="BJ120" i="28"/>
  <c r="BJ121" i="28"/>
  <c r="BJ122" i="28"/>
  <c r="BJ123" i="28"/>
  <c r="BJ124" i="28"/>
  <c r="BJ125" i="28"/>
  <c r="BJ126" i="28"/>
  <c r="BJ127" i="28"/>
  <c r="BJ128" i="28"/>
  <c r="BJ129" i="28"/>
  <c r="BJ130" i="28"/>
  <c r="BJ131" i="28"/>
  <c r="BJ132" i="28"/>
  <c r="BJ133" i="28"/>
  <c r="BJ134" i="28"/>
  <c r="BJ135" i="28"/>
  <c r="BJ136" i="28"/>
  <c r="BJ137" i="28"/>
  <c r="BJ138" i="28"/>
  <c r="BJ139" i="28"/>
  <c r="BJ140" i="28"/>
  <c r="BJ141" i="28"/>
  <c r="BJ142" i="28"/>
  <c r="BJ143" i="28"/>
  <c r="BJ144" i="28"/>
  <c r="BJ145" i="28"/>
  <c r="BJ146" i="28"/>
  <c r="BJ147" i="28"/>
  <c r="BJ148" i="28"/>
  <c r="BJ149" i="28"/>
  <c r="BJ150" i="28"/>
  <c r="BJ151" i="28"/>
  <c r="BJ152" i="28"/>
  <c r="BJ153" i="28"/>
  <c r="BJ154" i="28"/>
  <c r="BJ155" i="28"/>
  <c r="BJ156" i="28"/>
  <c r="BJ157" i="28"/>
  <c r="BJ158" i="28"/>
  <c r="BJ159" i="28"/>
  <c r="BJ160" i="28"/>
  <c r="BJ161" i="28"/>
  <c r="BJ162" i="28"/>
  <c r="BJ163" i="28"/>
  <c r="BJ164" i="28"/>
  <c r="BJ165" i="28"/>
  <c r="BJ166" i="28"/>
  <c r="BJ167" i="28"/>
  <c r="BJ168" i="28"/>
  <c r="BJ169" i="28"/>
  <c r="BJ170" i="28"/>
  <c r="BJ171" i="28"/>
  <c r="BJ172" i="28"/>
  <c r="BJ173" i="28"/>
  <c r="BJ174" i="28"/>
  <c r="BJ175" i="28"/>
  <c r="BJ176" i="28"/>
  <c r="BJ177" i="28"/>
  <c r="BJ178" i="28"/>
  <c r="BJ179" i="28"/>
  <c r="BJ180" i="28"/>
  <c r="BJ181" i="28"/>
  <c r="BJ182" i="28"/>
  <c r="BJ183" i="28"/>
  <c r="BJ184" i="28"/>
  <c r="BJ185" i="28"/>
  <c r="BJ186" i="28"/>
  <c r="BJ187" i="28"/>
  <c r="BJ188" i="28"/>
  <c r="BJ189" i="28"/>
  <c r="BJ190" i="28"/>
  <c r="BJ191" i="28"/>
  <c r="BJ192" i="28"/>
  <c r="BJ193" i="28"/>
  <c r="BJ194" i="28"/>
  <c r="BJ195" i="28"/>
  <c r="BJ196" i="28"/>
  <c r="BJ197" i="28"/>
  <c r="BJ198" i="28"/>
  <c r="BJ199" i="28"/>
  <c r="BJ200" i="28"/>
  <c r="BJ201" i="28"/>
  <c r="BJ202" i="28"/>
  <c r="BJ203" i="28"/>
  <c r="BJ204" i="28"/>
  <c r="BJ206" i="28"/>
  <c r="BI116" i="28"/>
  <c r="BI117" i="28"/>
  <c r="BI118" i="28"/>
  <c r="BI119" i="28"/>
  <c r="BI120" i="28"/>
  <c r="BI121" i="28"/>
  <c r="BI122" i="28"/>
  <c r="BI123" i="28"/>
  <c r="BI124" i="28"/>
  <c r="BI125" i="28"/>
  <c r="BI126" i="28"/>
  <c r="BI127" i="28"/>
  <c r="BI128" i="28"/>
  <c r="BI129" i="28"/>
  <c r="BI130" i="28"/>
  <c r="BI131" i="28"/>
  <c r="BI132" i="28"/>
  <c r="BI133" i="28"/>
  <c r="BI134" i="28"/>
  <c r="BI135" i="28"/>
  <c r="BI136" i="28"/>
  <c r="BI137" i="28"/>
  <c r="BI138" i="28"/>
  <c r="BI139" i="28"/>
  <c r="BI140" i="28"/>
  <c r="BI141" i="28"/>
  <c r="BI142" i="28"/>
  <c r="BI143" i="28"/>
  <c r="BI144" i="28"/>
  <c r="BI145" i="28"/>
  <c r="BI146" i="28"/>
  <c r="BI147" i="28"/>
  <c r="BI148" i="28"/>
  <c r="BI149" i="28"/>
  <c r="BI150" i="28"/>
  <c r="BI151" i="28"/>
  <c r="BI152" i="28"/>
  <c r="BI153" i="28"/>
  <c r="BI154" i="28"/>
  <c r="BI155" i="28"/>
  <c r="BI156" i="28"/>
  <c r="BI157" i="28"/>
  <c r="BI158" i="28"/>
  <c r="BI159" i="28"/>
  <c r="BI160" i="28"/>
  <c r="BI161" i="28"/>
  <c r="BI162" i="28"/>
  <c r="BI163" i="28"/>
  <c r="BI164" i="28"/>
  <c r="BI165" i="28"/>
  <c r="BI166" i="28"/>
  <c r="BI167" i="28"/>
  <c r="BI168" i="28"/>
  <c r="BI169" i="28"/>
  <c r="BI170" i="28"/>
  <c r="BI171" i="28"/>
  <c r="BI172" i="28"/>
  <c r="BI173" i="28"/>
  <c r="BI174" i="28"/>
  <c r="BI175" i="28"/>
  <c r="BI176" i="28"/>
  <c r="BI177" i="28"/>
  <c r="BI178" i="28"/>
  <c r="BI179" i="28"/>
  <c r="BI180" i="28"/>
  <c r="BI181" i="28"/>
  <c r="BI182" i="28"/>
  <c r="BI183" i="28"/>
  <c r="BI184" i="28"/>
  <c r="BI185" i="28"/>
  <c r="BI186" i="28"/>
  <c r="BI187" i="28"/>
  <c r="BI188" i="28"/>
  <c r="BI189" i="28"/>
  <c r="BI190" i="28"/>
  <c r="BI191" i="28"/>
  <c r="BI192" i="28"/>
  <c r="BI193" i="28"/>
  <c r="BI194" i="28"/>
  <c r="BI195" i="28"/>
  <c r="BI196" i="28"/>
  <c r="BI197" i="28"/>
  <c r="BI198" i="28"/>
  <c r="BI199" i="28"/>
  <c r="BI200" i="28"/>
  <c r="BI201" i="28"/>
  <c r="BI202" i="28"/>
  <c r="BI203" i="28"/>
  <c r="BI204" i="28"/>
  <c r="BH116" i="28"/>
  <c r="BH117" i="28"/>
  <c r="BH118" i="28"/>
  <c r="BH119" i="28"/>
  <c r="BH120" i="28"/>
  <c r="BH121" i="28"/>
  <c r="BH122" i="28"/>
  <c r="BH123" i="28"/>
  <c r="BH124" i="28"/>
  <c r="BH125" i="28"/>
  <c r="BH126" i="28"/>
  <c r="BH127" i="28"/>
  <c r="BH128" i="28"/>
  <c r="BH129" i="28"/>
  <c r="BH130" i="28"/>
  <c r="BH131" i="28"/>
  <c r="BH132" i="28"/>
  <c r="BH133" i="28"/>
  <c r="BH134" i="28"/>
  <c r="BH135" i="28"/>
  <c r="BH136" i="28"/>
  <c r="BH137" i="28"/>
  <c r="BH138" i="28"/>
  <c r="BH139" i="28"/>
  <c r="BH140" i="28"/>
  <c r="BH141" i="28"/>
  <c r="BH142" i="28"/>
  <c r="BH143" i="28"/>
  <c r="BH144" i="28"/>
  <c r="BH145" i="28"/>
  <c r="BH146" i="28"/>
  <c r="BH147" i="28"/>
  <c r="BH148" i="28"/>
  <c r="BH149" i="28"/>
  <c r="BH150" i="28"/>
  <c r="BH151" i="28"/>
  <c r="BH152" i="28"/>
  <c r="BH153" i="28"/>
  <c r="BH154" i="28"/>
  <c r="BH155" i="28"/>
  <c r="BH156" i="28"/>
  <c r="BH157" i="28"/>
  <c r="BH158" i="28"/>
  <c r="BH159" i="28"/>
  <c r="BH160" i="28"/>
  <c r="BH161" i="28"/>
  <c r="BH162" i="28"/>
  <c r="BH163" i="28"/>
  <c r="BH164" i="28"/>
  <c r="BH165" i="28"/>
  <c r="BH166" i="28"/>
  <c r="BH167" i="28"/>
  <c r="BH168" i="28"/>
  <c r="BH169" i="28"/>
  <c r="BH170" i="28"/>
  <c r="BH171" i="28"/>
  <c r="BH172" i="28"/>
  <c r="BH173" i="28"/>
  <c r="BH174" i="28"/>
  <c r="BH175" i="28"/>
  <c r="BH176" i="28"/>
  <c r="BH177" i="28"/>
  <c r="BH178" i="28"/>
  <c r="BH179" i="28"/>
  <c r="BH180" i="28"/>
  <c r="BH181" i="28"/>
  <c r="BH182" i="28"/>
  <c r="BH183" i="28"/>
  <c r="BH184" i="28"/>
  <c r="BH185" i="28"/>
  <c r="BH186" i="28"/>
  <c r="BH187" i="28"/>
  <c r="BH188" i="28"/>
  <c r="BH189" i="28"/>
  <c r="BH190" i="28"/>
  <c r="BH191" i="28"/>
  <c r="BH192" i="28"/>
  <c r="BH193" i="28"/>
  <c r="BH194" i="28"/>
  <c r="BH195" i="28"/>
  <c r="BH196" i="28"/>
  <c r="BH197" i="28"/>
  <c r="BH198" i="28"/>
  <c r="BH199" i="28"/>
  <c r="BH200" i="28"/>
  <c r="BH201" i="28"/>
  <c r="BH202" i="28"/>
  <c r="BH203" i="28"/>
  <c r="BH204" i="28"/>
  <c r="BH206" i="28"/>
  <c r="BG116" i="28"/>
  <c r="BG117" i="28"/>
  <c r="BG118" i="28"/>
  <c r="BG119" i="28"/>
  <c r="BG120" i="28"/>
  <c r="BG121" i="28"/>
  <c r="BG122" i="28"/>
  <c r="BG123" i="28"/>
  <c r="BG124" i="28"/>
  <c r="BG125" i="28"/>
  <c r="BG126" i="28"/>
  <c r="BG127" i="28"/>
  <c r="BG128" i="28"/>
  <c r="BG129" i="28"/>
  <c r="BG130" i="28"/>
  <c r="BG131" i="28"/>
  <c r="BG132" i="28"/>
  <c r="BG133" i="28"/>
  <c r="BG134" i="28"/>
  <c r="BG135" i="28"/>
  <c r="BG136" i="28"/>
  <c r="BG137" i="28"/>
  <c r="BG138" i="28"/>
  <c r="BG139" i="28"/>
  <c r="BG140" i="28"/>
  <c r="BG141" i="28"/>
  <c r="BG142" i="28"/>
  <c r="BG143" i="28"/>
  <c r="BG144" i="28"/>
  <c r="BG145" i="28"/>
  <c r="BG146" i="28"/>
  <c r="BG147" i="28"/>
  <c r="BG148" i="28"/>
  <c r="BG149" i="28"/>
  <c r="BG150" i="28"/>
  <c r="BG151" i="28"/>
  <c r="BG152" i="28"/>
  <c r="BG153" i="28"/>
  <c r="BG154" i="28"/>
  <c r="BG155" i="28"/>
  <c r="BG156" i="28"/>
  <c r="BG157" i="28"/>
  <c r="BG158" i="28"/>
  <c r="BG159" i="28"/>
  <c r="BG160" i="28"/>
  <c r="BG161" i="28"/>
  <c r="BG162" i="28"/>
  <c r="BG163" i="28"/>
  <c r="BG164" i="28"/>
  <c r="BG165" i="28"/>
  <c r="BG166" i="28"/>
  <c r="BG167" i="28"/>
  <c r="BG168" i="28"/>
  <c r="BG169" i="28"/>
  <c r="BG170" i="28"/>
  <c r="BG171" i="28"/>
  <c r="BG172" i="28"/>
  <c r="BG173" i="28"/>
  <c r="BG174" i="28"/>
  <c r="BG175" i="28"/>
  <c r="BG176" i="28"/>
  <c r="BG177" i="28"/>
  <c r="BG178" i="28"/>
  <c r="BG179" i="28"/>
  <c r="BG180" i="28"/>
  <c r="BG181" i="28"/>
  <c r="BG182" i="28"/>
  <c r="BG183" i="28"/>
  <c r="BG184" i="28"/>
  <c r="BG185" i="28"/>
  <c r="BG186" i="28"/>
  <c r="BG187" i="28"/>
  <c r="BG188" i="28"/>
  <c r="BG189" i="28"/>
  <c r="BG190" i="28"/>
  <c r="BG191" i="28"/>
  <c r="BG192" i="28"/>
  <c r="BG193" i="28"/>
  <c r="BG194" i="28"/>
  <c r="BG195" i="28"/>
  <c r="BG196" i="28"/>
  <c r="BG197" i="28"/>
  <c r="BG198" i="28"/>
  <c r="BG199" i="28"/>
  <c r="BG200" i="28"/>
  <c r="BG201" i="28"/>
  <c r="BG202" i="28"/>
  <c r="BG203" i="28"/>
  <c r="BG204" i="28"/>
  <c r="BF116" i="28"/>
  <c r="BF117" i="28"/>
  <c r="BF118" i="28"/>
  <c r="BF119" i="28"/>
  <c r="BF120" i="28"/>
  <c r="BF121" i="28"/>
  <c r="BF122" i="28"/>
  <c r="BF123" i="28"/>
  <c r="BF124" i="28"/>
  <c r="BF125" i="28"/>
  <c r="BF126" i="28"/>
  <c r="BF127" i="28"/>
  <c r="BF128" i="28"/>
  <c r="BF129" i="28"/>
  <c r="BF130" i="28"/>
  <c r="BF131" i="28"/>
  <c r="BF132" i="28"/>
  <c r="BF133" i="28"/>
  <c r="BF134" i="28"/>
  <c r="BF135" i="28"/>
  <c r="BF136" i="28"/>
  <c r="BF137" i="28"/>
  <c r="BF138" i="28"/>
  <c r="BF139" i="28"/>
  <c r="BF140" i="28"/>
  <c r="BF141" i="28"/>
  <c r="BF142" i="28"/>
  <c r="BF143" i="28"/>
  <c r="BF144" i="28"/>
  <c r="BF145" i="28"/>
  <c r="BF146" i="28"/>
  <c r="BF147" i="28"/>
  <c r="BF148" i="28"/>
  <c r="BF149" i="28"/>
  <c r="BF150" i="28"/>
  <c r="BF151" i="28"/>
  <c r="BF152" i="28"/>
  <c r="BF153" i="28"/>
  <c r="BF154" i="28"/>
  <c r="BF155" i="28"/>
  <c r="BF156" i="28"/>
  <c r="BF157" i="28"/>
  <c r="BF158" i="28"/>
  <c r="BF159" i="28"/>
  <c r="BF160" i="28"/>
  <c r="BF161" i="28"/>
  <c r="BF162" i="28"/>
  <c r="BF163" i="28"/>
  <c r="BF164" i="28"/>
  <c r="BF165" i="28"/>
  <c r="BF166" i="28"/>
  <c r="BF167" i="28"/>
  <c r="BF168" i="28"/>
  <c r="BF169" i="28"/>
  <c r="BF170" i="28"/>
  <c r="BF171" i="28"/>
  <c r="BF172" i="28"/>
  <c r="BF173" i="28"/>
  <c r="BF174" i="28"/>
  <c r="BF175" i="28"/>
  <c r="BF176" i="28"/>
  <c r="BF177" i="28"/>
  <c r="BF178" i="28"/>
  <c r="BF179" i="28"/>
  <c r="BF180" i="28"/>
  <c r="BF181" i="28"/>
  <c r="BF182" i="28"/>
  <c r="BF183" i="28"/>
  <c r="BF184" i="28"/>
  <c r="BF185" i="28"/>
  <c r="BF186" i="28"/>
  <c r="BF187" i="28"/>
  <c r="BF188" i="28"/>
  <c r="BF189" i="28"/>
  <c r="BF190" i="28"/>
  <c r="BF191" i="28"/>
  <c r="BF192" i="28"/>
  <c r="BF193" i="28"/>
  <c r="BF194" i="28"/>
  <c r="BF195" i="28"/>
  <c r="BF196" i="28"/>
  <c r="BF197" i="28"/>
  <c r="BF198" i="28"/>
  <c r="BF199" i="28"/>
  <c r="BF200" i="28"/>
  <c r="BF201" i="28"/>
  <c r="BF202" i="28"/>
  <c r="BF203" i="28"/>
  <c r="BF204" i="28"/>
  <c r="BE116" i="28"/>
  <c r="BE117" i="28"/>
  <c r="BE118" i="28"/>
  <c r="BE119" i="28"/>
  <c r="BE120" i="28"/>
  <c r="BE121" i="28"/>
  <c r="BE122" i="28"/>
  <c r="BE123" i="28"/>
  <c r="BE124" i="28"/>
  <c r="BE125" i="28"/>
  <c r="BE126" i="28"/>
  <c r="BE127" i="28"/>
  <c r="BE128" i="28"/>
  <c r="BE129" i="28"/>
  <c r="BE130" i="28"/>
  <c r="BE131" i="28"/>
  <c r="BE132" i="28"/>
  <c r="BE133" i="28"/>
  <c r="BE134" i="28"/>
  <c r="BE135" i="28"/>
  <c r="BE136" i="28"/>
  <c r="BE137" i="28"/>
  <c r="BE138" i="28"/>
  <c r="BE139" i="28"/>
  <c r="BE140" i="28"/>
  <c r="BE141" i="28"/>
  <c r="BE142" i="28"/>
  <c r="BE143" i="28"/>
  <c r="BE144" i="28"/>
  <c r="BE145" i="28"/>
  <c r="BE146" i="28"/>
  <c r="BE147" i="28"/>
  <c r="BE148" i="28"/>
  <c r="BE149" i="28"/>
  <c r="BE150" i="28"/>
  <c r="BE151" i="28"/>
  <c r="BE152" i="28"/>
  <c r="BE153" i="28"/>
  <c r="BE154" i="28"/>
  <c r="BE155" i="28"/>
  <c r="BE156" i="28"/>
  <c r="BE157" i="28"/>
  <c r="BE158" i="28"/>
  <c r="BE159" i="28"/>
  <c r="BE160" i="28"/>
  <c r="BE161" i="28"/>
  <c r="BE162" i="28"/>
  <c r="BE163" i="28"/>
  <c r="BE164" i="28"/>
  <c r="BE165" i="28"/>
  <c r="BE166" i="28"/>
  <c r="BE167" i="28"/>
  <c r="BE168" i="28"/>
  <c r="BE169" i="28"/>
  <c r="BE170" i="28"/>
  <c r="BE171" i="28"/>
  <c r="BE172" i="28"/>
  <c r="BE173" i="28"/>
  <c r="BE174" i="28"/>
  <c r="BE175" i="28"/>
  <c r="BE176" i="28"/>
  <c r="BE177" i="28"/>
  <c r="BE178" i="28"/>
  <c r="BE179" i="28"/>
  <c r="BE180" i="28"/>
  <c r="BE181" i="28"/>
  <c r="BE182" i="28"/>
  <c r="BE183" i="28"/>
  <c r="BE184" i="28"/>
  <c r="BE185" i="28"/>
  <c r="BE186" i="28"/>
  <c r="BE187" i="28"/>
  <c r="BE188" i="28"/>
  <c r="BE189" i="28"/>
  <c r="BE190" i="28"/>
  <c r="BE191" i="28"/>
  <c r="BE192" i="28"/>
  <c r="BE193" i="28"/>
  <c r="BE194" i="28"/>
  <c r="BE195" i="28"/>
  <c r="BE196" i="28"/>
  <c r="BE197" i="28"/>
  <c r="BE198" i="28"/>
  <c r="BE199" i="28"/>
  <c r="BE200" i="28"/>
  <c r="BE201" i="28"/>
  <c r="BE202" i="28"/>
  <c r="BE203" i="28"/>
  <c r="BE204" i="28"/>
  <c r="BD116" i="28"/>
  <c r="BD117" i="28"/>
  <c r="BD118" i="28"/>
  <c r="BD119" i="28"/>
  <c r="BD120" i="28"/>
  <c r="BD121" i="28"/>
  <c r="BD122" i="28"/>
  <c r="BD123" i="28"/>
  <c r="BD124" i="28"/>
  <c r="BD125" i="28"/>
  <c r="BD126" i="28"/>
  <c r="BD127" i="28"/>
  <c r="BD128" i="28"/>
  <c r="BD129" i="28"/>
  <c r="BD130" i="28"/>
  <c r="BD131" i="28"/>
  <c r="BD132" i="28"/>
  <c r="BD133" i="28"/>
  <c r="BD134" i="28"/>
  <c r="BD135" i="28"/>
  <c r="BD136" i="28"/>
  <c r="BD137" i="28"/>
  <c r="BD138" i="28"/>
  <c r="BD139" i="28"/>
  <c r="BD140" i="28"/>
  <c r="BD141" i="28"/>
  <c r="BD142" i="28"/>
  <c r="BD143" i="28"/>
  <c r="BD144" i="28"/>
  <c r="BD145" i="28"/>
  <c r="BD146" i="28"/>
  <c r="BD147" i="28"/>
  <c r="BD148" i="28"/>
  <c r="BD149" i="28"/>
  <c r="BD150" i="28"/>
  <c r="BD151" i="28"/>
  <c r="BD152" i="28"/>
  <c r="BD153" i="28"/>
  <c r="BD154" i="28"/>
  <c r="BD155" i="28"/>
  <c r="BD156" i="28"/>
  <c r="BD157" i="28"/>
  <c r="BD158" i="28"/>
  <c r="BD159" i="28"/>
  <c r="BD160" i="28"/>
  <c r="BD161" i="28"/>
  <c r="BD162" i="28"/>
  <c r="BD163" i="28"/>
  <c r="BD164" i="28"/>
  <c r="BD165" i="28"/>
  <c r="BD166" i="28"/>
  <c r="BD167" i="28"/>
  <c r="BD168" i="28"/>
  <c r="BD169" i="28"/>
  <c r="BD170" i="28"/>
  <c r="BD171" i="28"/>
  <c r="BD172" i="28"/>
  <c r="BD173" i="28"/>
  <c r="BD174" i="28"/>
  <c r="BD175" i="28"/>
  <c r="BD176" i="28"/>
  <c r="BD177" i="28"/>
  <c r="BD178" i="28"/>
  <c r="BD179" i="28"/>
  <c r="BD180" i="28"/>
  <c r="BD181" i="28"/>
  <c r="BD182" i="28"/>
  <c r="BD183" i="28"/>
  <c r="BD184" i="28"/>
  <c r="BD185" i="28"/>
  <c r="BD186" i="28"/>
  <c r="BD187" i="28"/>
  <c r="BD188" i="28"/>
  <c r="BD189" i="28"/>
  <c r="BD190" i="28"/>
  <c r="BD191" i="28"/>
  <c r="BD192" i="28"/>
  <c r="BD193" i="28"/>
  <c r="BD194" i="28"/>
  <c r="BD195" i="28"/>
  <c r="BD196" i="28"/>
  <c r="BD197" i="28"/>
  <c r="BD198" i="28"/>
  <c r="BD199" i="28"/>
  <c r="BD200" i="28"/>
  <c r="BD201" i="28"/>
  <c r="BD202" i="28"/>
  <c r="BD203" i="28"/>
  <c r="BD204" i="28"/>
  <c r="BC116" i="28"/>
  <c r="BC117" i="28"/>
  <c r="BC118" i="28"/>
  <c r="BC119" i="28"/>
  <c r="BC120" i="28"/>
  <c r="BC121" i="28"/>
  <c r="BC122" i="28"/>
  <c r="BC123" i="28"/>
  <c r="BC124" i="28"/>
  <c r="BC125" i="28"/>
  <c r="BC126" i="28"/>
  <c r="BC127" i="28"/>
  <c r="BC128" i="28"/>
  <c r="BC129" i="28"/>
  <c r="BC130" i="28"/>
  <c r="BC131" i="28"/>
  <c r="BC132" i="28"/>
  <c r="BC133" i="28"/>
  <c r="BC134" i="28"/>
  <c r="BC135" i="28"/>
  <c r="BC136" i="28"/>
  <c r="BC137" i="28"/>
  <c r="BC138" i="28"/>
  <c r="BC139" i="28"/>
  <c r="BC140" i="28"/>
  <c r="BC141" i="28"/>
  <c r="BC142" i="28"/>
  <c r="BC143" i="28"/>
  <c r="BC144" i="28"/>
  <c r="BC145" i="28"/>
  <c r="BC146" i="28"/>
  <c r="BC147" i="28"/>
  <c r="BC148" i="28"/>
  <c r="BC149" i="28"/>
  <c r="BC150" i="28"/>
  <c r="BC151" i="28"/>
  <c r="BC152" i="28"/>
  <c r="BC153" i="28"/>
  <c r="BC154" i="28"/>
  <c r="BC155" i="28"/>
  <c r="BC156" i="28"/>
  <c r="BC157" i="28"/>
  <c r="BC158" i="28"/>
  <c r="BC159" i="28"/>
  <c r="BC160" i="28"/>
  <c r="BC161" i="28"/>
  <c r="BC162" i="28"/>
  <c r="BC163" i="28"/>
  <c r="BC164" i="28"/>
  <c r="BC165" i="28"/>
  <c r="BC166" i="28"/>
  <c r="BC167" i="28"/>
  <c r="BC168" i="28"/>
  <c r="BC169" i="28"/>
  <c r="BC170" i="28"/>
  <c r="BC171" i="28"/>
  <c r="BC172" i="28"/>
  <c r="BC173" i="28"/>
  <c r="BC174" i="28"/>
  <c r="BC175" i="28"/>
  <c r="BC176" i="28"/>
  <c r="BC177" i="28"/>
  <c r="BC178" i="28"/>
  <c r="BC179" i="28"/>
  <c r="BC180" i="28"/>
  <c r="BC181" i="28"/>
  <c r="BC182" i="28"/>
  <c r="BC183" i="28"/>
  <c r="BC184" i="28"/>
  <c r="BC185" i="28"/>
  <c r="BC186" i="28"/>
  <c r="BC187" i="28"/>
  <c r="BC188" i="28"/>
  <c r="BC189" i="28"/>
  <c r="BC190" i="28"/>
  <c r="BC191" i="28"/>
  <c r="BC192" i="28"/>
  <c r="BC193" i="28"/>
  <c r="BC194" i="28"/>
  <c r="BC195" i="28"/>
  <c r="BC196" i="28"/>
  <c r="BC197" i="28"/>
  <c r="BC198" i="28"/>
  <c r="BC199" i="28"/>
  <c r="BC200" i="28"/>
  <c r="BC201" i="28"/>
  <c r="BC202" i="28"/>
  <c r="BC203" i="28"/>
  <c r="BC204" i="28"/>
  <c r="BB116" i="28"/>
  <c r="BB117" i="28"/>
  <c r="BB118" i="28"/>
  <c r="BB119" i="28"/>
  <c r="BB120" i="28"/>
  <c r="BB121" i="28"/>
  <c r="BB122" i="28"/>
  <c r="BB123" i="28"/>
  <c r="BB124" i="28"/>
  <c r="BB125" i="28"/>
  <c r="BB126" i="28"/>
  <c r="BB127" i="28"/>
  <c r="BB128" i="28"/>
  <c r="BB129" i="28"/>
  <c r="BB130" i="28"/>
  <c r="BB131" i="28"/>
  <c r="BB132" i="28"/>
  <c r="BB133" i="28"/>
  <c r="BB134" i="28"/>
  <c r="BB135" i="28"/>
  <c r="BB136" i="28"/>
  <c r="BB137" i="28"/>
  <c r="BB138" i="28"/>
  <c r="BB139" i="28"/>
  <c r="BB140" i="28"/>
  <c r="BB141" i="28"/>
  <c r="BB142" i="28"/>
  <c r="BB143" i="28"/>
  <c r="BB144" i="28"/>
  <c r="BB145" i="28"/>
  <c r="BB146" i="28"/>
  <c r="BB147" i="28"/>
  <c r="BB148" i="28"/>
  <c r="BB149" i="28"/>
  <c r="BB150" i="28"/>
  <c r="BB151" i="28"/>
  <c r="BB152" i="28"/>
  <c r="BB153" i="28"/>
  <c r="BB154" i="28"/>
  <c r="BB155" i="28"/>
  <c r="BB156" i="28"/>
  <c r="BB157" i="28"/>
  <c r="BB158" i="28"/>
  <c r="BB159" i="28"/>
  <c r="BB160" i="28"/>
  <c r="BB161" i="28"/>
  <c r="BB162" i="28"/>
  <c r="BB163" i="28"/>
  <c r="BB164" i="28"/>
  <c r="BB165" i="28"/>
  <c r="BB166" i="28"/>
  <c r="BB167" i="28"/>
  <c r="BB168" i="28"/>
  <c r="BB169" i="28"/>
  <c r="BB170" i="28"/>
  <c r="BB171" i="28"/>
  <c r="BB172" i="28"/>
  <c r="BB173" i="28"/>
  <c r="BB174" i="28"/>
  <c r="BB175" i="28"/>
  <c r="BB176" i="28"/>
  <c r="BB177" i="28"/>
  <c r="BB178" i="28"/>
  <c r="BB179" i="28"/>
  <c r="BB180" i="28"/>
  <c r="BB181" i="28"/>
  <c r="BB182" i="28"/>
  <c r="BB183" i="28"/>
  <c r="BB184" i="28"/>
  <c r="BB185" i="28"/>
  <c r="BB186" i="28"/>
  <c r="BB187" i="28"/>
  <c r="BB188" i="28"/>
  <c r="BB189" i="28"/>
  <c r="BB190" i="28"/>
  <c r="BB191" i="28"/>
  <c r="BB192" i="28"/>
  <c r="BB193" i="28"/>
  <c r="BB194" i="28"/>
  <c r="BB195" i="28"/>
  <c r="BB196" i="28"/>
  <c r="BB197" i="28"/>
  <c r="BB198" i="28"/>
  <c r="BB199" i="28"/>
  <c r="BB200" i="28"/>
  <c r="BB201" i="28"/>
  <c r="BB202" i="28"/>
  <c r="BB203" i="28"/>
  <c r="BB204" i="28"/>
  <c r="BA116" i="28"/>
  <c r="BA117" i="28"/>
  <c r="BA118" i="28"/>
  <c r="BA119" i="28"/>
  <c r="BA120" i="28"/>
  <c r="BA121" i="28"/>
  <c r="BA122" i="28"/>
  <c r="BA123" i="28"/>
  <c r="BA124" i="28"/>
  <c r="BA125" i="28"/>
  <c r="BA126" i="28"/>
  <c r="BA127" i="28"/>
  <c r="BA128" i="28"/>
  <c r="BA129" i="28"/>
  <c r="BA130" i="28"/>
  <c r="BA131" i="28"/>
  <c r="BA132" i="28"/>
  <c r="BA133" i="28"/>
  <c r="BA134" i="28"/>
  <c r="BA135" i="28"/>
  <c r="BA136" i="28"/>
  <c r="BA137" i="28"/>
  <c r="BA138" i="28"/>
  <c r="BA139" i="28"/>
  <c r="BA140" i="28"/>
  <c r="BA141" i="28"/>
  <c r="BA142" i="28"/>
  <c r="BA143" i="28"/>
  <c r="BA144" i="28"/>
  <c r="BA145" i="28"/>
  <c r="BA146" i="28"/>
  <c r="BA147" i="28"/>
  <c r="BA148" i="28"/>
  <c r="BA149" i="28"/>
  <c r="BA150" i="28"/>
  <c r="BA151" i="28"/>
  <c r="BA152" i="28"/>
  <c r="BA153" i="28"/>
  <c r="BA154" i="28"/>
  <c r="BA155" i="28"/>
  <c r="BA156" i="28"/>
  <c r="BA157" i="28"/>
  <c r="BA158" i="28"/>
  <c r="BA159" i="28"/>
  <c r="BA160" i="28"/>
  <c r="BA161" i="28"/>
  <c r="BA162" i="28"/>
  <c r="BA163" i="28"/>
  <c r="BA164" i="28"/>
  <c r="BA165" i="28"/>
  <c r="BA166" i="28"/>
  <c r="BA167" i="28"/>
  <c r="BA168" i="28"/>
  <c r="BA169" i="28"/>
  <c r="BA170" i="28"/>
  <c r="BA171" i="28"/>
  <c r="BA172" i="28"/>
  <c r="BA173" i="28"/>
  <c r="BA174" i="28"/>
  <c r="BA175" i="28"/>
  <c r="BA176" i="28"/>
  <c r="BA177" i="28"/>
  <c r="BA178" i="28"/>
  <c r="BA179" i="28"/>
  <c r="BA180" i="28"/>
  <c r="BA181" i="28"/>
  <c r="BA182" i="28"/>
  <c r="BA183" i="28"/>
  <c r="BA184" i="28"/>
  <c r="BA185" i="28"/>
  <c r="BA186" i="28"/>
  <c r="BA187" i="28"/>
  <c r="BA188" i="28"/>
  <c r="BA189" i="28"/>
  <c r="BA190" i="28"/>
  <c r="BA191" i="28"/>
  <c r="BA192" i="28"/>
  <c r="BA193" i="28"/>
  <c r="BA194" i="28"/>
  <c r="BA195" i="28"/>
  <c r="BA196" i="28"/>
  <c r="BA197" i="28"/>
  <c r="BA198" i="28"/>
  <c r="BA199" i="28"/>
  <c r="BA200" i="28"/>
  <c r="BA201" i="28"/>
  <c r="BA202" i="28"/>
  <c r="BA203" i="28"/>
  <c r="BA204" i="28"/>
  <c r="AZ116" i="28"/>
  <c r="AZ117" i="28"/>
  <c r="AZ118" i="28"/>
  <c r="AZ119" i="28"/>
  <c r="AZ120" i="28"/>
  <c r="AZ121" i="28"/>
  <c r="AZ122" i="28"/>
  <c r="AZ123" i="28"/>
  <c r="AZ124" i="28"/>
  <c r="AZ125" i="28"/>
  <c r="AZ126" i="28"/>
  <c r="AZ127" i="28"/>
  <c r="AZ128" i="28"/>
  <c r="AZ129" i="28"/>
  <c r="AZ130" i="28"/>
  <c r="AZ131" i="28"/>
  <c r="AZ132" i="28"/>
  <c r="AZ133" i="28"/>
  <c r="AZ134" i="28"/>
  <c r="AZ135" i="28"/>
  <c r="AZ136" i="28"/>
  <c r="AZ137" i="28"/>
  <c r="AZ138" i="28"/>
  <c r="AZ139" i="28"/>
  <c r="AZ140" i="28"/>
  <c r="AZ141" i="28"/>
  <c r="AZ142" i="28"/>
  <c r="AZ143" i="28"/>
  <c r="AZ144" i="28"/>
  <c r="AZ145" i="28"/>
  <c r="AZ146" i="28"/>
  <c r="AZ147" i="28"/>
  <c r="AZ148" i="28"/>
  <c r="AZ149" i="28"/>
  <c r="AZ150" i="28"/>
  <c r="AZ151" i="28"/>
  <c r="AZ152" i="28"/>
  <c r="AZ153" i="28"/>
  <c r="AZ154" i="28"/>
  <c r="AZ155" i="28"/>
  <c r="AZ156" i="28"/>
  <c r="AZ157" i="28"/>
  <c r="AZ158" i="28"/>
  <c r="AZ159" i="28"/>
  <c r="AZ160" i="28"/>
  <c r="AZ161" i="28"/>
  <c r="AZ162" i="28"/>
  <c r="AZ163" i="28"/>
  <c r="AZ164" i="28"/>
  <c r="AZ165" i="28"/>
  <c r="AZ166" i="28"/>
  <c r="AZ167" i="28"/>
  <c r="AZ168" i="28"/>
  <c r="AZ169" i="28"/>
  <c r="AZ170" i="28"/>
  <c r="AZ171" i="28"/>
  <c r="AZ172" i="28"/>
  <c r="AZ173" i="28"/>
  <c r="AZ174" i="28"/>
  <c r="AZ175" i="28"/>
  <c r="AZ176" i="28"/>
  <c r="AZ177" i="28"/>
  <c r="AZ178" i="28"/>
  <c r="AZ179" i="28"/>
  <c r="AZ180" i="28"/>
  <c r="AZ181" i="28"/>
  <c r="AZ182" i="28"/>
  <c r="AZ183" i="28"/>
  <c r="AZ184" i="28"/>
  <c r="AZ185" i="28"/>
  <c r="AZ186" i="28"/>
  <c r="AZ187" i="28"/>
  <c r="AZ188" i="28"/>
  <c r="AZ189" i="28"/>
  <c r="AZ190" i="28"/>
  <c r="AZ191" i="28"/>
  <c r="AZ192" i="28"/>
  <c r="AZ193" i="28"/>
  <c r="AZ194" i="28"/>
  <c r="AZ195" i="28"/>
  <c r="AZ196" i="28"/>
  <c r="AZ197" i="28"/>
  <c r="AZ198" i="28"/>
  <c r="AZ199" i="28"/>
  <c r="AZ200" i="28"/>
  <c r="AZ201" i="28"/>
  <c r="AZ202" i="28"/>
  <c r="AZ203" i="28"/>
  <c r="AZ204" i="28"/>
  <c r="BO205" i="28"/>
  <c r="BJ205" i="28"/>
  <c r="BE205" i="28"/>
  <c r="BA205" i="28"/>
  <c r="DS116" i="28"/>
  <c r="DS117" i="28"/>
  <c r="DS118" i="28"/>
  <c r="DS119" i="28"/>
  <c r="DS120" i="28"/>
  <c r="DS121" i="28"/>
  <c r="DS122" i="28"/>
  <c r="DS123" i="28"/>
  <c r="DS124" i="28"/>
  <c r="DS125" i="28"/>
  <c r="DS126" i="28"/>
  <c r="DS127" i="28"/>
  <c r="DS128" i="28"/>
  <c r="DS129" i="28"/>
  <c r="DS130" i="28"/>
  <c r="DS131" i="28"/>
  <c r="DS132" i="28"/>
  <c r="DS133" i="28"/>
  <c r="DS134" i="28"/>
  <c r="DS135" i="28"/>
  <c r="DS136" i="28"/>
  <c r="DS137" i="28"/>
  <c r="DS138" i="28"/>
  <c r="DS139" i="28"/>
  <c r="DS140" i="28"/>
  <c r="DS141" i="28"/>
  <c r="DS142" i="28"/>
  <c r="DS143" i="28"/>
  <c r="DS144" i="28"/>
  <c r="DS145" i="28"/>
  <c r="DS146" i="28"/>
  <c r="DS147" i="28"/>
  <c r="DS148" i="28"/>
  <c r="DS149" i="28"/>
  <c r="DS150" i="28"/>
  <c r="DS151" i="28"/>
  <c r="DS152" i="28"/>
  <c r="DS153" i="28"/>
  <c r="DS154" i="28"/>
  <c r="DS155" i="28"/>
  <c r="DS156" i="28"/>
  <c r="DS157" i="28"/>
  <c r="DS158" i="28"/>
  <c r="DS159" i="28"/>
  <c r="DS160" i="28"/>
  <c r="DS161" i="28"/>
  <c r="DS162" i="28"/>
  <c r="DS163" i="28"/>
  <c r="DS164" i="28"/>
  <c r="DS165" i="28"/>
  <c r="DS166" i="28"/>
  <c r="DS167" i="28"/>
  <c r="DS168" i="28"/>
  <c r="DS169" i="28"/>
  <c r="DS170" i="28"/>
  <c r="DS171" i="28"/>
  <c r="DS172" i="28"/>
  <c r="DS173" i="28"/>
  <c r="DS174" i="28"/>
  <c r="DS175" i="28"/>
  <c r="DS176" i="28"/>
  <c r="DS177" i="28"/>
  <c r="DS178" i="28"/>
  <c r="DS179" i="28"/>
  <c r="DS180" i="28"/>
  <c r="DS181" i="28"/>
  <c r="DS182" i="28"/>
  <c r="DS183" i="28"/>
  <c r="DS184" i="28"/>
  <c r="DS185" i="28"/>
  <c r="DS186" i="28"/>
  <c r="DS187" i="28"/>
  <c r="DS188" i="28"/>
  <c r="DS189" i="28"/>
  <c r="DS190" i="28"/>
  <c r="DS191" i="28"/>
  <c r="DS192" i="28"/>
  <c r="DS193" i="28"/>
  <c r="DS194" i="28"/>
  <c r="DS195" i="28"/>
  <c r="DS196" i="28"/>
  <c r="DS197" i="28"/>
  <c r="DS198" i="28"/>
  <c r="DS199" i="28"/>
  <c r="DS200" i="28"/>
  <c r="DS201" i="28"/>
  <c r="DS202" i="28"/>
  <c r="DS203" i="28"/>
  <c r="DS204" i="28"/>
  <c r="DR118" i="28"/>
  <c r="DR119" i="28"/>
  <c r="DR120" i="28"/>
  <c r="DR121" i="28"/>
  <c r="DR122" i="28"/>
  <c r="DR123" i="28"/>
  <c r="DR124" i="28"/>
  <c r="DR125" i="28"/>
  <c r="DR126" i="28"/>
  <c r="DR128" i="28"/>
  <c r="DR129" i="28"/>
  <c r="DR130" i="28"/>
  <c r="DR131" i="28"/>
  <c r="DR132" i="28"/>
  <c r="DR133" i="28"/>
  <c r="DR134" i="28"/>
  <c r="DR135" i="28"/>
  <c r="DR136" i="28"/>
  <c r="DR140" i="28"/>
  <c r="B54" i="26"/>
  <c r="DR137" i="28"/>
  <c r="DR138" i="28"/>
  <c r="DR139" i="28"/>
  <c r="DR141" i="28"/>
  <c r="DR142" i="28"/>
  <c r="DR143" i="28"/>
  <c r="DR144" i="28"/>
  <c r="DR145" i="28"/>
  <c r="DR146" i="28"/>
  <c r="DR147" i="28"/>
  <c r="DR148" i="28"/>
  <c r="DR149" i="28"/>
  <c r="DR150" i="28"/>
  <c r="DR151" i="28"/>
  <c r="DR152" i="28"/>
  <c r="DR153" i="28"/>
  <c r="DR154" i="28"/>
  <c r="DR155" i="28"/>
  <c r="DR156" i="28"/>
  <c r="DR157" i="28"/>
  <c r="DR158" i="28"/>
  <c r="DR159" i="28"/>
  <c r="DR161" i="28"/>
  <c r="DR162" i="28"/>
  <c r="DR163" i="28"/>
  <c r="DR164" i="28"/>
  <c r="DR165" i="28"/>
  <c r="DR166" i="28"/>
  <c r="DR167" i="28"/>
  <c r="DR168" i="28"/>
  <c r="DR169" i="28"/>
  <c r="DR170" i="28"/>
  <c r="DR171" i="28"/>
  <c r="DR172" i="28"/>
  <c r="DR173" i="28"/>
  <c r="DR174" i="28"/>
  <c r="DR175" i="28"/>
  <c r="DR176" i="28"/>
  <c r="DR177" i="28"/>
  <c r="DR178" i="28"/>
  <c r="DR179" i="28"/>
  <c r="DR180" i="28"/>
  <c r="DR181" i="28"/>
  <c r="DR182" i="28"/>
  <c r="DR183" i="28"/>
  <c r="DR184" i="28"/>
  <c r="DR185" i="28"/>
  <c r="DR186" i="28"/>
  <c r="DR187" i="28"/>
  <c r="DR188" i="28"/>
  <c r="DR189" i="28"/>
  <c r="DR190" i="28"/>
  <c r="DR191" i="28"/>
  <c r="DR192" i="28"/>
  <c r="DR193" i="28"/>
  <c r="DR194" i="28"/>
  <c r="DR195" i="28"/>
  <c r="DR196" i="28"/>
  <c r="DR197" i="28"/>
  <c r="DR198" i="28"/>
  <c r="DR199" i="28"/>
  <c r="DR200" i="28"/>
  <c r="DR201" i="28"/>
  <c r="DR202" i="28"/>
  <c r="DR203" i="28"/>
  <c r="DR204" i="28"/>
  <c r="EI116" i="28"/>
  <c r="EI117" i="28"/>
  <c r="EI118" i="28"/>
  <c r="EI119" i="28"/>
  <c r="EI120" i="28"/>
  <c r="EI121" i="28"/>
  <c r="EI122" i="28"/>
  <c r="EI123" i="28"/>
  <c r="EI124" i="28"/>
  <c r="EI125" i="28"/>
  <c r="EI126" i="28"/>
  <c r="EI127" i="28"/>
  <c r="EI128" i="28"/>
  <c r="EI129" i="28"/>
  <c r="EI130" i="28"/>
  <c r="EI131" i="28"/>
  <c r="EI132" i="28"/>
  <c r="EI133" i="28"/>
  <c r="EI134" i="28"/>
  <c r="EI135" i="28"/>
  <c r="EI136" i="28"/>
  <c r="EI137" i="28"/>
  <c r="EI138" i="28"/>
  <c r="EI139" i="28"/>
  <c r="EI140" i="28"/>
  <c r="EI141" i="28"/>
  <c r="EI142" i="28"/>
  <c r="EI143" i="28"/>
  <c r="EI144" i="28"/>
  <c r="EI145" i="28"/>
  <c r="EI146" i="28"/>
  <c r="EI147" i="28"/>
  <c r="EI148" i="28"/>
  <c r="EI149" i="28"/>
  <c r="EI150" i="28"/>
  <c r="EI151" i="28"/>
  <c r="EI152" i="28"/>
  <c r="EI153" i="28"/>
  <c r="EI154" i="28"/>
  <c r="EI155" i="28"/>
  <c r="EI156" i="28"/>
  <c r="EI157" i="28"/>
  <c r="EI158" i="28"/>
  <c r="EI159" i="28"/>
  <c r="EI160" i="28"/>
  <c r="EI161" i="28"/>
  <c r="EI162" i="28"/>
  <c r="EI163" i="28"/>
  <c r="EI164" i="28"/>
  <c r="EI165" i="28"/>
  <c r="EI166" i="28"/>
  <c r="EI167" i="28"/>
  <c r="EI168" i="28"/>
  <c r="EI169" i="28"/>
  <c r="EI170" i="28"/>
  <c r="EI171" i="28"/>
  <c r="EI172" i="28"/>
  <c r="EI173" i="28"/>
  <c r="EI174" i="28"/>
  <c r="EI175" i="28"/>
  <c r="EI176" i="28"/>
  <c r="EI177" i="28"/>
  <c r="EI178" i="28"/>
  <c r="EI179" i="28"/>
  <c r="EI180" i="28"/>
  <c r="EI181" i="28"/>
  <c r="EI182" i="28"/>
  <c r="EI183" i="28"/>
  <c r="EI184" i="28"/>
  <c r="EI185" i="28"/>
  <c r="EI186" i="28"/>
  <c r="EI187" i="28"/>
  <c r="EI188" i="28"/>
  <c r="EI189" i="28"/>
  <c r="EI190" i="28"/>
  <c r="EI191" i="28"/>
  <c r="EI192" i="28"/>
  <c r="EI193" i="28"/>
  <c r="EI194" i="28"/>
  <c r="EI195" i="28"/>
  <c r="EI196" i="28"/>
  <c r="EI197" i="28"/>
  <c r="EI198" i="28"/>
  <c r="EI199" i="28"/>
  <c r="EI200" i="28"/>
  <c r="EI201" i="28"/>
  <c r="EI202" i="28"/>
  <c r="EI203" i="28"/>
  <c r="EI204" i="28"/>
  <c r="EH116" i="28"/>
  <c r="EH117" i="28"/>
  <c r="R96" i="31"/>
  <c r="EH118" i="28"/>
  <c r="EH119" i="28"/>
  <c r="EH120" i="28"/>
  <c r="EH121" i="28"/>
  <c r="EH122" i="28"/>
  <c r="EH123" i="28"/>
  <c r="EH124" i="28"/>
  <c r="EH125" i="28"/>
  <c r="EH126" i="28"/>
  <c r="EH127" i="28"/>
  <c r="EH128" i="28"/>
  <c r="EH129" i="28"/>
  <c r="EH130" i="28"/>
  <c r="EH131" i="28"/>
  <c r="EH132" i="28"/>
  <c r="EH133" i="28"/>
  <c r="EH134" i="28"/>
  <c r="EH135" i="28"/>
  <c r="EH136" i="28"/>
  <c r="EH137" i="28"/>
  <c r="EH138" i="28"/>
  <c r="EH139" i="28"/>
  <c r="EH140" i="28"/>
  <c r="EH141" i="28"/>
  <c r="EH142" i="28"/>
  <c r="EH143" i="28"/>
  <c r="EH144" i="28"/>
  <c r="EH145" i="28"/>
  <c r="EH146" i="28"/>
  <c r="EH147" i="28"/>
  <c r="EH148" i="28"/>
  <c r="EH149" i="28"/>
  <c r="EH150" i="28"/>
  <c r="EH151" i="28"/>
  <c r="EH152" i="28"/>
  <c r="EH153" i="28"/>
  <c r="EH154" i="28"/>
  <c r="EH155" i="28"/>
  <c r="EH156" i="28"/>
  <c r="EH157" i="28"/>
  <c r="EH158" i="28"/>
  <c r="EH159" i="28"/>
  <c r="EH160" i="28"/>
  <c r="EH161" i="28"/>
  <c r="EH162" i="28"/>
  <c r="EH163" i="28"/>
  <c r="EH164" i="28"/>
  <c r="EH165" i="28"/>
  <c r="EH166" i="28"/>
  <c r="EH167" i="28"/>
  <c r="EH168" i="28"/>
  <c r="EH169" i="28"/>
  <c r="EH170" i="28"/>
  <c r="EH171" i="28"/>
  <c r="EH172" i="28"/>
  <c r="EH173" i="28"/>
  <c r="EH174" i="28"/>
  <c r="EH175" i="28"/>
  <c r="EH176" i="28"/>
  <c r="EH177" i="28"/>
  <c r="EH178" i="28"/>
  <c r="EH179" i="28"/>
  <c r="EH180" i="28"/>
  <c r="EH181" i="28"/>
  <c r="EH182" i="28"/>
  <c r="EH183" i="28"/>
  <c r="EH184" i="28"/>
  <c r="EH185" i="28"/>
  <c r="EH186" i="28"/>
  <c r="EH187" i="28"/>
  <c r="EH188" i="28"/>
  <c r="EH189" i="28"/>
  <c r="EH190" i="28"/>
  <c r="EH191" i="28"/>
  <c r="EH192" i="28"/>
  <c r="EH193" i="28"/>
  <c r="EH194" i="28"/>
  <c r="EH195" i="28"/>
  <c r="EH196" i="28"/>
  <c r="EH197" i="28"/>
  <c r="EH198" i="28"/>
  <c r="EH199" i="28"/>
  <c r="EH200" i="28"/>
  <c r="EH201" i="28"/>
  <c r="EH202" i="28"/>
  <c r="EH203" i="28"/>
  <c r="EH204" i="28"/>
  <c r="EG116" i="28"/>
  <c r="EG117" i="28"/>
  <c r="EG118" i="28"/>
  <c r="EG119" i="28"/>
  <c r="EG120" i="28"/>
  <c r="EG121" i="28"/>
  <c r="EG122" i="28"/>
  <c r="EG123" i="28"/>
  <c r="EG124" i="28"/>
  <c r="EG125" i="28"/>
  <c r="EG126" i="28"/>
  <c r="EG127" i="28"/>
  <c r="EG128" i="28"/>
  <c r="EG129" i="28"/>
  <c r="EG130" i="28"/>
  <c r="EG131" i="28"/>
  <c r="EG132" i="28"/>
  <c r="EG133" i="28"/>
  <c r="EG134" i="28"/>
  <c r="EG135" i="28"/>
  <c r="EG136" i="28"/>
  <c r="EG137" i="28"/>
  <c r="EG138" i="28"/>
  <c r="EG139" i="28"/>
  <c r="EG140" i="28"/>
  <c r="EG141" i="28"/>
  <c r="EG142" i="28"/>
  <c r="EG143" i="28"/>
  <c r="EG144" i="28"/>
  <c r="EG145" i="28"/>
  <c r="EG146" i="28"/>
  <c r="EG147" i="28"/>
  <c r="EG148" i="28"/>
  <c r="EG149" i="28"/>
  <c r="EG150" i="28"/>
  <c r="EG151" i="28"/>
  <c r="EG152" i="28"/>
  <c r="EG153" i="28"/>
  <c r="EG154" i="28"/>
  <c r="EG155" i="28"/>
  <c r="EG156" i="28"/>
  <c r="EG157" i="28"/>
  <c r="EG158" i="28"/>
  <c r="EG159" i="28"/>
  <c r="EG160" i="28"/>
  <c r="EG161" i="28"/>
  <c r="EG162" i="28"/>
  <c r="EG163" i="28"/>
  <c r="EG164" i="28"/>
  <c r="EG165" i="28"/>
  <c r="EG166" i="28"/>
  <c r="EG167" i="28"/>
  <c r="EG168" i="28"/>
  <c r="EG169" i="28"/>
  <c r="EG170" i="28"/>
  <c r="EG171" i="28"/>
  <c r="EG172" i="28"/>
  <c r="EG173" i="28"/>
  <c r="EG174" i="28"/>
  <c r="EG175" i="28"/>
  <c r="EG176" i="28"/>
  <c r="EG177" i="28"/>
  <c r="EG178" i="28"/>
  <c r="EG179" i="28"/>
  <c r="EG180" i="28"/>
  <c r="EG181" i="28"/>
  <c r="EG182" i="28"/>
  <c r="EG183" i="28"/>
  <c r="EG184" i="28"/>
  <c r="EG185" i="28"/>
  <c r="EG186" i="28"/>
  <c r="EG187" i="28"/>
  <c r="EG188" i="28"/>
  <c r="EG189" i="28"/>
  <c r="EG190" i="28"/>
  <c r="EG191" i="28"/>
  <c r="EG192" i="28"/>
  <c r="EG193" i="28"/>
  <c r="EG194" i="28"/>
  <c r="EG195" i="28"/>
  <c r="EG196" i="28"/>
  <c r="EG197" i="28"/>
  <c r="EG198" i="28"/>
  <c r="EG199" i="28"/>
  <c r="EG200" i="28"/>
  <c r="EG201" i="28"/>
  <c r="EG202" i="28"/>
  <c r="EG203" i="28"/>
  <c r="EG204" i="28"/>
  <c r="EF116" i="28"/>
  <c r="EF117" i="28"/>
  <c r="EF118" i="28"/>
  <c r="EF119" i="28"/>
  <c r="EF120" i="28"/>
  <c r="EF121" i="28"/>
  <c r="EF122" i="28"/>
  <c r="EF123" i="28"/>
  <c r="EF124" i="28"/>
  <c r="EF125" i="28"/>
  <c r="EF126" i="28"/>
  <c r="EF127" i="28"/>
  <c r="EF128" i="28"/>
  <c r="EF129" i="28"/>
  <c r="EF130" i="28"/>
  <c r="EF131" i="28"/>
  <c r="EF132" i="28"/>
  <c r="EF133" i="28"/>
  <c r="EF134" i="28"/>
  <c r="EF135" i="28"/>
  <c r="EF136" i="28"/>
  <c r="EF137" i="28"/>
  <c r="EF138" i="28"/>
  <c r="EF139" i="28"/>
  <c r="EF140" i="28"/>
  <c r="EF141" i="28"/>
  <c r="EF142" i="28"/>
  <c r="EF143" i="28"/>
  <c r="EF144" i="28"/>
  <c r="EF145" i="28"/>
  <c r="EF146" i="28"/>
  <c r="EF147" i="28"/>
  <c r="EF148" i="28"/>
  <c r="EF149" i="28"/>
  <c r="EF150" i="28"/>
  <c r="EF151" i="28"/>
  <c r="EF152" i="28"/>
  <c r="EF153" i="28"/>
  <c r="EF154" i="28"/>
  <c r="EF155" i="28"/>
  <c r="EF156" i="28"/>
  <c r="EF157" i="28"/>
  <c r="EF158" i="28"/>
  <c r="EF159" i="28"/>
  <c r="EF160" i="28"/>
  <c r="EF161" i="28"/>
  <c r="EF162" i="28"/>
  <c r="EF163" i="28"/>
  <c r="EF164" i="28"/>
  <c r="EF165" i="28"/>
  <c r="EF166" i="28"/>
  <c r="EF167" i="28"/>
  <c r="EF168" i="28"/>
  <c r="EF169" i="28"/>
  <c r="EF170" i="28"/>
  <c r="EF171" i="28"/>
  <c r="EF172" i="28"/>
  <c r="EF173" i="28"/>
  <c r="EF174" i="28"/>
  <c r="EF175" i="28"/>
  <c r="EF176" i="28"/>
  <c r="EF177" i="28"/>
  <c r="EF178" i="28"/>
  <c r="EF179" i="28"/>
  <c r="EF180" i="28"/>
  <c r="EF181" i="28"/>
  <c r="EF182" i="28"/>
  <c r="EF183" i="28"/>
  <c r="EF184" i="28"/>
  <c r="EF185" i="28"/>
  <c r="EF186" i="28"/>
  <c r="EF187" i="28"/>
  <c r="EF188" i="28"/>
  <c r="EF189" i="28"/>
  <c r="EF190" i="28"/>
  <c r="EF191" i="28"/>
  <c r="EF192" i="28"/>
  <c r="EF193" i="28"/>
  <c r="EF194" i="28"/>
  <c r="EF195" i="28"/>
  <c r="EF196" i="28"/>
  <c r="EF197" i="28"/>
  <c r="EF198" i="28"/>
  <c r="EF199" i="28"/>
  <c r="EF200" i="28"/>
  <c r="EF201" i="28"/>
  <c r="EF202" i="28"/>
  <c r="EF203" i="28"/>
  <c r="EF204" i="28"/>
  <c r="EE116" i="28"/>
  <c r="EE117" i="28"/>
  <c r="EE118" i="28"/>
  <c r="EE119" i="28"/>
  <c r="EE120" i="28"/>
  <c r="EE121" i="28"/>
  <c r="EE122" i="28"/>
  <c r="EE123" i="28"/>
  <c r="EE124" i="28"/>
  <c r="EE125" i="28"/>
  <c r="EE126" i="28"/>
  <c r="EE127" i="28"/>
  <c r="EE128" i="28"/>
  <c r="EE129" i="28"/>
  <c r="EE130" i="28"/>
  <c r="EE131" i="28"/>
  <c r="EE132" i="28"/>
  <c r="EE133" i="28"/>
  <c r="EE134" i="28"/>
  <c r="EE135" i="28"/>
  <c r="EE136" i="28"/>
  <c r="EE137" i="28"/>
  <c r="EE138" i="28"/>
  <c r="EE139" i="28"/>
  <c r="EE140" i="28"/>
  <c r="EE141" i="28"/>
  <c r="EE142" i="28"/>
  <c r="EE143" i="28"/>
  <c r="EE144" i="28"/>
  <c r="EE145" i="28"/>
  <c r="EE146" i="28"/>
  <c r="EE147" i="28"/>
  <c r="EE148" i="28"/>
  <c r="EE149" i="28"/>
  <c r="EE150" i="28"/>
  <c r="EE151" i="28"/>
  <c r="EE152" i="28"/>
  <c r="EE153" i="28"/>
  <c r="EE154" i="28"/>
  <c r="EE155" i="28"/>
  <c r="EE156" i="28"/>
  <c r="EE157" i="28"/>
  <c r="EE158" i="28"/>
  <c r="EE159" i="28"/>
  <c r="EE160" i="28"/>
  <c r="EE161" i="28"/>
  <c r="EE162" i="28"/>
  <c r="EE163" i="28"/>
  <c r="EE164" i="28"/>
  <c r="EE165" i="28"/>
  <c r="EE166" i="28"/>
  <c r="EE167" i="28"/>
  <c r="EE168" i="28"/>
  <c r="EE169" i="28"/>
  <c r="EE170" i="28"/>
  <c r="EE171" i="28"/>
  <c r="EE172" i="28"/>
  <c r="EE173" i="28"/>
  <c r="EE174" i="28"/>
  <c r="EE175" i="28"/>
  <c r="EE176" i="28"/>
  <c r="EE177" i="28"/>
  <c r="EE178" i="28"/>
  <c r="EE179" i="28"/>
  <c r="EE180" i="28"/>
  <c r="EE181" i="28"/>
  <c r="EE182" i="28"/>
  <c r="EE183" i="28"/>
  <c r="EE184" i="28"/>
  <c r="EE185" i="28"/>
  <c r="EE186" i="28"/>
  <c r="EE187" i="28"/>
  <c r="EE188" i="28"/>
  <c r="EE189" i="28"/>
  <c r="EE190" i="28"/>
  <c r="EE191" i="28"/>
  <c r="EE192" i="28"/>
  <c r="EE193" i="28"/>
  <c r="EE194" i="28"/>
  <c r="EE195" i="28"/>
  <c r="EE196" i="28"/>
  <c r="EE197" i="28"/>
  <c r="EE198" i="28"/>
  <c r="EE199" i="28"/>
  <c r="EE200" i="28"/>
  <c r="EE201" i="28"/>
  <c r="EE202" i="28"/>
  <c r="EE203" i="28"/>
  <c r="EE204" i="28"/>
  <c r="ED116" i="28"/>
  <c r="ED117" i="28"/>
  <c r="ED118" i="28"/>
  <c r="ED119" i="28"/>
  <c r="ED120" i="28"/>
  <c r="ED121" i="28"/>
  <c r="ED122" i="28"/>
  <c r="ED123" i="28"/>
  <c r="ED124" i="28"/>
  <c r="ED125" i="28"/>
  <c r="ED126" i="28"/>
  <c r="ED127" i="28"/>
  <c r="ED128" i="28"/>
  <c r="ED129" i="28"/>
  <c r="ED130" i="28"/>
  <c r="ED131" i="28"/>
  <c r="ED132" i="28"/>
  <c r="ED133" i="28"/>
  <c r="ED134" i="28"/>
  <c r="ED135" i="28"/>
  <c r="ED136" i="28"/>
  <c r="ED137" i="28"/>
  <c r="ED138" i="28"/>
  <c r="ED139" i="28"/>
  <c r="ED140" i="28"/>
  <c r="ED141" i="28"/>
  <c r="ED142" i="28"/>
  <c r="ED143" i="28"/>
  <c r="ED144" i="28"/>
  <c r="ED145" i="28"/>
  <c r="ED146" i="28"/>
  <c r="ED147" i="28"/>
  <c r="ED148" i="28"/>
  <c r="ED149" i="28"/>
  <c r="ED150" i="28"/>
  <c r="ED151" i="28"/>
  <c r="ED152" i="28"/>
  <c r="ED153" i="28"/>
  <c r="ED154" i="28"/>
  <c r="ED155" i="28"/>
  <c r="ED156" i="28"/>
  <c r="ED157" i="28"/>
  <c r="ED158" i="28"/>
  <c r="ED159" i="28"/>
  <c r="ED160" i="28"/>
  <c r="ED161" i="28"/>
  <c r="ED162" i="28"/>
  <c r="ED163" i="28"/>
  <c r="ED164" i="28"/>
  <c r="ED165" i="28"/>
  <c r="ED166" i="28"/>
  <c r="ED167" i="28"/>
  <c r="ED168" i="28"/>
  <c r="ED169" i="28"/>
  <c r="ED170" i="28"/>
  <c r="ED171" i="28"/>
  <c r="ED172" i="28"/>
  <c r="ED173" i="28"/>
  <c r="ED174" i="28"/>
  <c r="ED175" i="28"/>
  <c r="ED176" i="28"/>
  <c r="ED177" i="28"/>
  <c r="ED178" i="28"/>
  <c r="ED179" i="28"/>
  <c r="ED180" i="28"/>
  <c r="ED181" i="28"/>
  <c r="ED182" i="28"/>
  <c r="ED183" i="28"/>
  <c r="ED184" i="28"/>
  <c r="ED185" i="28"/>
  <c r="ED186" i="28"/>
  <c r="ED187" i="28"/>
  <c r="ED188" i="28"/>
  <c r="ED189" i="28"/>
  <c r="ED190" i="28"/>
  <c r="ED191" i="28"/>
  <c r="ED192" i="28"/>
  <c r="ED193" i="28"/>
  <c r="ED194" i="28"/>
  <c r="ED195" i="28"/>
  <c r="ED196" i="28"/>
  <c r="ED197" i="28"/>
  <c r="ED198" i="28"/>
  <c r="ED199" i="28"/>
  <c r="ED200" i="28"/>
  <c r="ED201" i="28"/>
  <c r="ED202" i="28"/>
  <c r="ED203" i="28"/>
  <c r="ED204" i="28"/>
  <c r="EC116" i="28"/>
  <c r="EC117" i="28"/>
  <c r="EC118" i="28"/>
  <c r="EC119" i="28"/>
  <c r="EC120" i="28"/>
  <c r="EC121" i="28"/>
  <c r="EC122" i="28"/>
  <c r="EC123" i="28"/>
  <c r="EC124" i="28"/>
  <c r="EC125" i="28"/>
  <c r="EC126" i="28"/>
  <c r="EC127" i="28"/>
  <c r="EC128" i="28"/>
  <c r="EC129" i="28"/>
  <c r="EC130" i="28"/>
  <c r="EC131" i="28"/>
  <c r="EC132" i="28"/>
  <c r="EC133" i="28"/>
  <c r="EC134" i="28"/>
  <c r="EC135" i="28"/>
  <c r="EC136" i="28"/>
  <c r="EC137" i="28"/>
  <c r="EC138" i="28"/>
  <c r="EC139" i="28"/>
  <c r="EC140" i="28"/>
  <c r="EC141" i="28"/>
  <c r="EC142" i="28"/>
  <c r="EC143" i="28"/>
  <c r="EC144" i="28"/>
  <c r="EC145" i="28"/>
  <c r="EC146" i="28"/>
  <c r="EC147" i="28"/>
  <c r="EC148" i="28"/>
  <c r="EC149" i="28"/>
  <c r="EC150" i="28"/>
  <c r="EC151" i="28"/>
  <c r="EC152" i="28"/>
  <c r="EC153" i="28"/>
  <c r="EC154" i="28"/>
  <c r="EC155" i="28"/>
  <c r="EC156" i="28"/>
  <c r="EC157" i="28"/>
  <c r="EC158" i="28"/>
  <c r="EC159" i="28"/>
  <c r="EC160" i="28"/>
  <c r="EC161" i="28"/>
  <c r="EC162" i="28"/>
  <c r="EC163" i="28"/>
  <c r="EC164" i="28"/>
  <c r="EC165" i="28"/>
  <c r="EC166" i="28"/>
  <c r="EC167" i="28"/>
  <c r="EC168" i="28"/>
  <c r="EC169" i="28"/>
  <c r="EC170" i="28"/>
  <c r="EC171" i="28"/>
  <c r="EC172" i="28"/>
  <c r="EC173" i="28"/>
  <c r="EC174" i="28"/>
  <c r="EC175" i="28"/>
  <c r="EC176" i="28"/>
  <c r="EC177" i="28"/>
  <c r="EC178" i="28"/>
  <c r="EC179" i="28"/>
  <c r="EC180" i="28"/>
  <c r="EC181" i="28"/>
  <c r="EC182" i="28"/>
  <c r="EC183" i="28"/>
  <c r="EC184" i="28"/>
  <c r="EC185" i="28"/>
  <c r="EC186" i="28"/>
  <c r="EC187" i="28"/>
  <c r="EC188" i="28"/>
  <c r="EC189" i="28"/>
  <c r="EC190" i="28"/>
  <c r="EC191" i="28"/>
  <c r="EC192" i="28"/>
  <c r="EC193" i="28"/>
  <c r="EC194" i="28"/>
  <c r="EC195" i="28"/>
  <c r="EC196" i="28"/>
  <c r="EC197" i="28"/>
  <c r="EC198" i="28"/>
  <c r="EC199" i="28"/>
  <c r="EC200" i="28"/>
  <c r="EC201" i="28"/>
  <c r="EC202" i="28"/>
  <c r="EC203" i="28"/>
  <c r="EC204" i="28"/>
  <c r="EB116" i="28"/>
  <c r="EB117" i="28"/>
  <c r="EB118" i="28"/>
  <c r="EB119" i="28"/>
  <c r="EB120" i="28"/>
  <c r="EB121" i="28"/>
  <c r="EB122" i="28"/>
  <c r="EB123" i="28"/>
  <c r="EB124" i="28"/>
  <c r="EB125" i="28"/>
  <c r="EB126" i="28"/>
  <c r="EB127" i="28"/>
  <c r="EB128" i="28"/>
  <c r="EB129" i="28"/>
  <c r="EB130" i="28"/>
  <c r="EB131" i="28"/>
  <c r="EB132" i="28"/>
  <c r="EB133" i="28"/>
  <c r="EB134" i="28"/>
  <c r="EB135" i="28"/>
  <c r="EB136" i="28"/>
  <c r="EB137" i="28"/>
  <c r="EB138" i="28"/>
  <c r="EB139" i="28"/>
  <c r="EB140" i="28"/>
  <c r="EB141" i="28"/>
  <c r="EB142" i="28"/>
  <c r="EB143" i="28"/>
  <c r="EB144" i="28"/>
  <c r="EB145" i="28"/>
  <c r="EB146" i="28"/>
  <c r="EB147" i="28"/>
  <c r="EB148" i="28"/>
  <c r="EB149" i="28"/>
  <c r="EB150" i="28"/>
  <c r="EB151" i="28"/>
  <c r="EB152" i="28"/>
  <c r="EB153" i="28"/>
  <c r="EB154" i="28"/>
  <c r="EB155" i="28"/>
  <c r="EB156" i="28"/>
  <c r="EB157" i="28"/>
  <c r="EB158" i="28"/>
  <c r="EB159" i="28"/>
  <c r="EB160" i="28"/>
  <c r="EB161" i="28"/>
  <c r="EB162" i="28"/>
  <c r="EB163" i="28"/>
  <c r="EB164" i="28"/>
  <c r="EB165" i="28"/>
  <c r="EB166" i="28"/>
  <c r="EB167" i="28"/>
  <c r="EB168" i="28"/>
  <c r="EB169" i="28"/>
  <c r="EB170" i="28"/>
  <c r="EB171" i="28"/>
  <c r="EB172" i="28"/>
  <c r="EB173" i="28"/>
  <c r="EB174" i="28"/>
  <c r="EB175" i="28"/>
  <c r="EB176" i="28"/>
  <c r="EB177" i="28"/>
  <c r="EB178" i="28"/>
  <c r="EB179" i="28"/>
  <c r="EB180" i="28"/>
  <c r="EB181" i="28"/>
  <c r="EB182" i="28"/>
  <c r="EB183" i="28"/>
  <c r="EB184" i="28"/>
  <c r="EB185" i="28"/>
  <c r="EB186" i="28"/>
  <c r="EB187" i="28"/>
  <c r="EB188" i="28"/>
  <c r="EB189" i="28"/>
  <c r="EB190" i="28"/>
  <c r="EB191" i="28"/>
  <c r="EB192" i="28"/>
  <c r="EB193" i="28"/>
  <c r="EB194" i="28"/>
  <c r="EB195" i="28"/>
  <c r="EB196" i="28"/>
  <c r="EB197" i="28"/>
  <c r="EB198" i="28"/>
  <c r="EB199" i="28"/>
  <c r="EB200" i="28"/>
  <c r="EB201" i="28"/>
  <c r="EB202" i="28"/>
  <c r="EB203" i="28"/>
  <c r="EB204" i="28"/>
  <c r="EA116" i="28"/>
  <c r="EA117" i="28"/>
  <c r="EA118" i="28"/>
  <c r="EA119" i="28"/>
  <c r="EA120" i="28"/>
  <c r="EA121" i="28"/>
  <c r="EA122" i="28"/>
  <c r="EA123" i="28"/>
  <c r="EA124" i="28"/>
  <c r="EA125" i="28"/>
  <c r="EA126" i="28"/>
  <c r="EA127" i="28"/>
  <c r="EA128" i="28"/>
  <c r="EA129" i="28"/>
  <c r="EA130" i="28"/>
  <c r="EA131" i="28"/>
  <c r="EA132" i="28"/>
  <c r="EA133" i="28"/>
  <c r="EA134" i="28"/>
  <c r="EA135" i="28"/>
  <c r="EA136" i="28"/>
  <c r="EA137" i="28"/>
  <c r="EA138" i="28"/>
  <c r="EA139" i="28"/>
  <c r="EA140" i="28"/>
  <c r="EA141" i="28"/>
  <c r="EA142" i="28"/>
  <c r="EA143" i="28"/>
  <c r="EA144" i="28"/>
  <c r="EA145" i="28"/>
  <c r="EA146" i="28"/>
  <c r="EA147" i="28"/>
  <c r="EA148" i="28"/>
  <c r="EA149" i="28"/>
  <c r="EA150" i="28"/>
  <c r="EA151" i="28"/>
  <c r="EA152" i="28"/>
  <c r="EA153" i="28"/>
  <c r="EA154" i="28"/>
  <c r="EA155" i="28"/>
  <c r="EA156" i="28"/>
  <c r="EA157" i="28"/>
  <c r="EA158" i="28"/>
  <c r="EA159" i="28"/>
  <c r="EA160" i="28"/>
  <c r="EA161" i="28"/>
  <c r="EA162" i="28"/>
  <c r="EA163" i="28"/>
  <c r="EA164" i="28"/>
  <c r="EA165" i="28"/>
  <c r="EA166" i="28"/>
  <c r="EA167" i="28"/>
  <c r="EA168" i="28"/>
  <c r="EA169" i="28"/>
  <c r="EA170" i="28"/>
  <c r="EA171" i="28"/>
  <c r="EA172" i="28"/>
  <c r="EA173" i="28"/>
  <c r="EA174" i="28"/>
  <c r="EA175" i="28"/>
  <c r="EA176" i="28"/>
  <c r="EA177" i="28"/>
  <c r="EA178" i="28"/>
  <c r="EA179" i="28"/>
  <c r="EA180" i="28"/>
  <c r="EA181" i="28"/>
  <c r="EA182" i="28"/>
  <c r="EA183" i="28"/>
  <c r="EA184" i="28"/>
  <c r="EA185" i="28"/>
  <c r="EA186" i="28"/>
  <c r="EA187" i="28"/>
  <c r="EA188" i="28"/>
  <c r="EA189" i="28"/>
  <c r="EA190" i="28"/>
  <c r="EA191" i="28"/>
  <c r="EA192" i="28"/>
  <c r="EA193" i="28"/>
  <c r="EA194" i="28"/>
  <c r="EA195" i="28"/>
  <c r="EA196" i="28"/>
  <c r="EA197" i="28"/>
  <c r="EA198" i="28"/>
  <c r="EA199" i="28"/>
  <c r="EA200" i="28"/>
  <c r="EA201" i="28"/>
  <c r="EA202" i="28"/>
  <c r="EA203" i="28"/>
  <c r="EA204" i="28"/>
  <c r="DZ116" i="28"/>
  <c r="DZ117" i="28"/>
  <c r="DZ118" i="28"/>
  <c r="DZ119" i="28"/>
  <c r="DZ120" i="28"/>
  <c r="DZ121" i="28"/>
  <c r="DZ122" i="28"/>
  <c r="DZ123" i="28"/>
  <c r="DZ124" i="28"/>
  <c r="DZ125" i="28"/>
  <c r="DZ126" i="28"/>
  <c r="DZ127" i="28"/>
  <c r="DZ128" i="28"/>
  <c r="DZ129" i="28"/>
  <c r="DZ130" i="28"/>
  <c r="DZ131" i="28"/>
  <c r="DZ132" i="28"/>
  <c r="DZ133" i="28"/>
  <c r="DZ134" i="28"/>
  <c r="DZ135" i="28"/>
  <c r="DZ136" i="28"/>
  <c r="DZ137" i="28"/>
  <c r="DZ138" i="28"/>
  <c r="DZ139" i="28"/>
  <c r="DZ140" i="28"/>
  <c r="DZ141" i="28"/>
  <c r="DZ142" i="28"/>
  <c r="DZ143" i="28"/>
  <c r="DZ144" i="28"/>
  <c r="DZ145" i="28"/>
  <c r="DZ146" i="28"/>
  <c r="DZ147" i="28"/>
  <c r="DZ148" i="28"/>
  <c r="DZ149" i="28"/>
  <c r="DZ150" i="28"/>
  <c r="DZ151" i="28"/>
  <c r="DZ152" i="28"/>
  <c r="DZ153" i="28"/>
  <c r="DZ154" i="28"/>
  <c r="DZ155" i="28"/>
  <c r="DZ156" i="28"/>
  <c r="DZ157" i="28"/>
  <c r="DZ158" i="28"/>
  <c r="DZ159" i="28"/>
  <c r="DZ160" i="28"/>
  <c r="DZ161" i="28"/>
  <c r="DZ162" i="28"/>
  <c r="DZ163" i="28"/>
  <c r="DZ164" i="28"/>
  <c r="DZ165" i="28"/>
  <c r="DZ166" i="28"/>
  <c r="DZ167" i="28"/>
  <c r="DZ168" i="28"/>
  <c r="DZ169" i="28"/>
  <c r="DZ170" i="28"/>
  <c r="DZ171" i="28"/>
  <c r="DZ172" i="28"/>
  <c r="DZ173" i="28"/>
  <c r="DZ174" i="28"/>
  <c r="DZ175" i="28"/>
  <c r="DZ176" i="28"/>
  <c r="DZ177" i="28"/>
  <c r="DZ178" i="28"/>
  <c r="DZ179" i="28"/>
  <c r="DZ180" i="28"/>
  <c r="DZ181" i="28"/>
  <c r="DZ182" i="28"/>
  <c r="DZ183" i="28"/>
  <c r="DZ184" i="28"/>
  <c r="DZ185" i="28"/>
  <c r="DZ186" i="28"/>
  <c r="DZ187" i="28"/>
  <c r="DZ188" i="28"/>
  <c r="DZ189" i="28"/>
  <c r="DZ190" i="28"/>
  <c r="DZ191" i="28"/>
  <c r="DZ192" i="28"/>
  <c r="DZ193" i="28"/>
  <c r="DZ194" i="28"/>
  <c r="DZ195" i="28"/>
  <c r="DZ196" i="28"/>
  <c r="DZ197" i="28"/>
  <c r="DZ198" i="28"/>
  <c r="DZ199" i="28"/>
  <c r="DZ200" i="28"/>
  <c r="DZ201" i="28"/>
  <c r="DZ202" i="28"/>
  <c r="DZ203" i="28"/>
  <c r="DZ204" i="28"/>
  <c r="DY116" i="28"/>
  <c r="DY117" i="28"/>
  <c r="DY118" i="28"/>
  <c r="DY119" i="28"/>
  <c r="DY120" i="28"/>
  <c r="DY121" i="28"/>
  <c r="DY122" i="28"/>
  <c r="DY123" i="28"/>
  <c r="DY124" i="28"/>
  <c r="DY125" i="28"/>
  <c r="DY126" i="28"/>
  <c r="DY127" i="28"/>
  <c r="DY128" i="28"/>
  <c r="DY129" i="28"/>
  <c r="DY130" i="28"/>
  <c r="DY131" i="28"/>
  <c r="DY132" i="28"/>
  <c r="DY133" i="28"/>
  <c r="DY134" i="28"/>
  <c r="DY135" i="28"/>
  <c r="DY136" i="28"/>
  <c r="DY137" i="28"/>
  <c r="DY138" i="28"/>
  <c r="DY139" i="28"/>
  <c r="DY140" i="28"/>
  <c r="DY141" i="28"/>
  <c r="DY142" i="28"/>
  <c r="DY143" i="28"/>
  <c r="DY144" i="28"/>
  <c r="DY145" i="28"/>
  <c r="DY146" i="28"/>
  <c r="DY147" i="28"/>
  <c r="DY148" i="28"/>
  <c r="DY149" i="28"/>
  <c r="DY150" i="28"/>
  <c r="DY151" i="28"/>
  <c r="DY152" i="28"/>
  <c r="DY153" i="28"/>
  <c r="DY154" i="28"/>
  <c r="DY155" i="28"/>
  <c r="DY156" i="28"/>
  <c r="DY157" i="28"/>
  <c r="DY158" i="28"/>
  <c r="DY159" i="28"/>
  <c r="DY160" i="28"/>
  <c r="DY161" i="28"/>
  <c r="DY162" i="28"/>
  <c r="DY163" i="28"/>
  <c r="DY164" i="28"/>
  <c r="DY165" i="28"/>
  <c r="DY166" i="28"/>
  <c r="DY167" i="28"/>
  <c r="DY168" i="28"/>
  <c r="DY169" i="28"/>
  <c r="DY170" i="28"/>
  <c r="DY171" i="28"/>
  <c r="DY172" i="28"/>
  <c r="DY173" i="28"/>
  <c r="DY174" i="28"/>
  <c r="DY175" i="28"/>
  <c r="DY176" i="28"/>
  <c r="DY177" i="28"/>
  <c r="DY178" i="28"/>
  <c r="DY179" i="28"/>
  <c r="DY180" i="28"/>
  <c r="DY181" i="28"/>
  <c r="DY182" i="28"/>
  <c r="DY183" i="28"/>
  <c r="DY184" i="28"/>
  <c r="DY185" i="28"/>
  <c r="DY186" i="28"/>
  <c r="DY187" i="28"/>
  <c r="DY188" i="28"/>
  <c r="DY189" i="28"/>
  <c r="DY190" i="28"/>
  <c r="DY191" i="28"/>
  <c r="DY192" i="28"/>
  <c r="DY193" i="28"/>
  <c r="DY194" i="28"/>
  <c r="DY195" i="28"/>
  <c r="DY196" i="28"/>
  <c r="DY197" i="28"/>
  <c r="DY198" i="28"/>
  <c r="DY199" i="28"/>
  <c r="DY200" i="28"/>
  <c r="DY201" i="28"/>
  <c r="DY202" i="28"/>
  <c r="DY203" i="28"/>
  <c r="DY204" i="28"/>
  <c r="DY206" i="28"/>
  <c r="DX116" i="28"/>
  <c r="DX117" i="28"/>
  <c r="DX118" i="28"/>
  <c r="DX119" i="28"/>
  <c r="DX120" i="28"/>
  <c r="DX121" i="28"/>
  <c r="DX122" i="28"/>
  <c r="DX123" i="28"/>
  <c r="DX124" i="28"/>
  <c r="DX125" i="28"/>
  <c r="DX126" i="28"/>
  <c r="DX127" i="28"/>
  <c r="DX128" i="28"/>
  <c r="DX129" i="28"/>
  <c r="DX130" i="28"/>
  <c r="DX131" i="28"/>
  <c r="DX132" i="28"/>
  <c r="DX133" i="28"/>
  <c r="DX134" i="28"/>
  <c r="DX135" i="28"/>
  <c r="DX136" i="28"/>
  <c r="DX137" i="28"/>
  <c r="DX138" i="28"/>
  <c r="DX139" i="28"/>
  <c r="DX140" i="28"/>
  <c r="DX141" i="28"/>
  <c r="DX142" i="28"/>
  <c r="DX143" i="28"/>
  <c r="DX144" i="28"/>
  <c r="DX145" i="28"/>
  <c r="DX146" i="28"/>
  <c r="DX147" i="28"/>
  <c r="DX148" i="28"/>
  <c r="DX149" i="28"/>
  <c r="DX150" i="28"/>
  <c r="DX151" i="28"/>
  <c r="DX152" i="28"/>
  <c r="DX153" i="28"/>
  <c r="DX154" i="28"/>
  <c r="DX155" i="28"/>
  <c r="DX156" i="28"/>
  <c r="DX157" i="28"/>
  <c r="DX158" i="28"/>
  <c r="DX159" i="28"/>
  <c r="DX160" i="28"/>
  <c r="DX161" i="28"/>
  <c r="DX162" i="28"/>
  <c r="DX163" i="28"/>
  <c r="DX164" i="28"/>
  <c r="DX165" i="28"/>
  <c r="DX166" i="28"/>
  <c r="DX167" i="28"/>
  <c r="DX168" i="28"/>
  <c r="DX169" i="28"/>
  <c r="DX170" i="28"/>
  <c r="DX171" i="28"/>
  <c r="DX172" i="28"/>
  <c r="DX173" i="28"/>
  <c r="DX174" i="28"/>
  <c r="DX175" i="28"/>
  <c r="DX176" i="28"/>
  <c r="DX177" i="28"/>
  <c r="DX178" i="28"/>
  <c r="DX179" i="28"/>
  <c r="DX180" i="28"/>
  <c r="DX181" i="28"/>
  <c r="DX182" i="28"/>
  <c r="DX183" i="28"/>
  <c r="DX184" i="28"/>
  <c r="DX185" i="28"/>
  <c r="DX186" i="28"/>
  <c r="DX187" i="28"/>
  <c r="DX188" i="28"/>
  <c r="DX189" i="28"/>
  <c r="DX190" i="28"/>
  <c r="DX191" i="28"/>
  <c r="DX192" i="28"/>
  <c r="DX193" i="28"/>
  <c r="DX194" i="28"/>
  <c r="DX195" i="28"/>
  <c r="DX196" i="28"/>
  <c r="DX197" i="28"/>
  <c r="DX198" i="28"/>
  <c r="DX199" i="28"/>
  <c r="DX200" i="28"/>
  <c r="DX201" i="28"/>
  <c r="DX202" i="28"/>
  <c r="DX203" i="28"/>
  <c r="DX204" i="28"/>
  <c r="DW116" i="28"/>
  <c r="DW117" i="28"/>
  <c r="DW118" i="28"/>
  <c r="DW119" i="28"/>
  <c r="DW120" i="28"/>
  <c r="DW121" i="28"/>
  <c r="DW122" i="28"/>
  <c r="DW123" i="28"/>
  <c r="DW124" i="28"/>
  <c r="DW125" i="28"/>
  <c r="DW126" i="28"/>
  <c r="DW127" i="28"/>
  <c r="DW128" i="28"/>
  <c r="DW129" i="28"/>
  <c r="DW130" i="28"/>
  <c r="DW131" i="28"/>
  <c r="DW132" i="28"/>
  <c r="DW133" i="28"/>
  <c r="DW134" i="28"/>
  <c r="DW135" i="28"/>
  <c r="DW136" i="28"/>
  <c r="DW137" i="28"/>
  <c r="DW138" i="28"/>
  <c r="DW139" i="28"/>
  <c r="DW140" i="28"/>
  <c r="DW141" i="28"/>
  <c r="DW142" i="28"/>
  <c r="DW143" i="28"/>
  <c r="DW144" i="28"/>
  <c r="DW145" i="28"/>
  <c r="DW146" i="28"/>
  <c r="DW147" i="28"/>
  <c r="DW148" i="28"/>
  <c r="DW149" i="28"/>
  <c r="DW150" i="28"/>
  <c r="DW151" i="28"/>
  <c r="DW152" i="28"/>
  <c r="DW153" i="28"/>
  <c r="DW154" i="28"/>
  <c r="DW155" i="28"/>
  <c r="DW156" i="28"/>
  <c r="DW157" i="28"/>
  <c r="DW158" i="28"/>
  <c r="DW159" i="28"/>
  <c r="DW160" i="28"/>
  <c r="DW161" i="28"/>
  <c r="DW162" i="28"/>
  <c r="DW163" i="28"/>
  <c r="DW164" i="28"/>
  <c r="DW165" i="28"/>
  <c r="DW166" i="28"/>
  <c r="DW167" i="28"/>
  <c r="DW168" i="28"/>
  <c r="DW169" i="28"/>
  <c r="DW170" i="28"/>
  <c r="DW171" i="28"/>
  <c r="DW172" i="28"/>
  <c r="DW173" i="28"/>
  <c r="DW174" i="28"/>
  <c r="DW175" i="28"/>
  <c r="DW176" i="28"/>
  <c r="DW177" i="28"/>
  <c r="DW178" i="28"/>
  <c r="DW179" i="28"/>
  <c r="DW180" i="28"/>
  <c r="DW181" i="28"/>
  <c r="DW182" i="28"/>
  <c r="DW183" i="28"/>
  <c r="DW184" i="28"/>
  <c r="DW185" i="28"/>
  <c r="DW186" i="28"/>
  <c r="DW187" i="28"/>
  <c r="DW188" i="28"/>
  <c r="DW189" i="28"/>
  <c r="DW190" i="28"/>
  <c r="DW191" i="28"/>
  <c r="DW192" i="28"/>
  <c r="DW193" i="28"/>
  <c r="DW194" i="28"/>
  <c r="DW195" i="28"/>
  <c r="DW196" i="28"/>
  <c r="DW197" i="28"/>
  <c r="DW198" i="28"/>
  <c r="DW199" i="28"/>
  <c r="DW200" i="28"/>
  <c r="DW201" i="28"/>
  <c r="DW202" i="28"/>
  <c r="DW203" i="28"/>
  <c r="DW204" i="28"/>
  <c r="DW206" i="28"/>
  <c r="DV116" i="28"/>
  <c r="DV117" i="28"/>
  <c r="DV118" i="28"/>
  <c r="DV119" i="28"/>
  <c r="DV120" i="28"/>
  <c r="DV121" i="28"/>
  <c r="DV122" i="28"/>
  <c r="DV123" i="28"/>
  <c r="DV124" i="28"/>
  <c r="DV125" i="28"/>
  <c r="DV126" i="28"/>
  <c r="DV127" i="28"/>
  <c r="DV128" i="28"/>
  <c r="DV129" i="28"/>
  <c r="DV130" i="28"/>
  <c r="DV131" i="28"/>
  <c r="DV132" i="28"/>
  <c r="DV133" i="28"/>
  <c r="DV134" i="28"/>
  <c r="DV135" i="28"/>
  <c r="DV136" i="28"/>
  <c r="DV137" i="28"/>
  <c r="DV138" i="28"/>
  <c r="DV139" i="28"/>
  <c r="DV140" i="28"/>
  <c r="DV141" i="28"/>
  <c r="DV142" i="28"/>
  <c r="DV143" i="28"/>
  <c r="DV144" i="28"/>
  <c r="DV145" i="28"/>
  <c r="DV146" i="28"/>
  <c r="DV147" i="28"/>
  <c r="DV148" i="28"/>
  <c r="DV149" i="28"/>
  <c r="DV150" i="28"/>
  <c r="DV151" i="28"/>
  <c r="DV152" i="28"/>
  <c r="DV153" i="28"/>
  <c r="DV154" i="28"/>
  <c r="DV155" i="28"/>
  <c r="DV156" i="28"/>
  <c r="DV157" i="28"/>
  <c r="DV158" i="28"/>
  <c r="DV159" i="28"/>
  <c r="DV160" i="28"/>
  <c r="DV161" i="28"/>
  <c r="DV162" i="28"/>
  <c r="DV163" i="28"/>
  <c r="DV164" i="28"/>
  <c r="DV165" i="28"/>
  <c r="DV166" i="28"/>
  <c r="DV167" i="28"/>
  <c r="DV168" i="28"/>
  <c r="DV169" i="28"/>
  <c r="DV170" i="28"/>
  <c r="DV171" i="28"/>
  <c r="DV172" i="28"/>
  <c r="DV173" i="28"/>
  <c r="DV174" i="28"/>
  <c r="DV175" i="28"/>
  <c r="DV176" i="28"/>
  <c r="DV177" i="28"/>
  <c r="DV178" i="28"/>
  <c r="DV179" i="28"/>
  <c r="DV180" i="28"/>
  <c r="DV181" i="28"/>
  <c r="DV182" i="28"/>
  <c r="DV183" i="28"/>
  <c r="DV184" i="28"/>
  <c r="DV185" i="28"/>
  <c r="DV186" i="28"/>
  <c r="DV187" i="28"/>
  <c r="DV188" i="28"/>
  <c r="DV189" i="28"/>
  <c r="DV190" i="28"/>
  <c r="DV191" i="28"/>
  <c r="DV192" i="28"/>
  <c r="DV193" i="28"/>
  <c r="DV194" i="28"/>
  <c r="DV195" i="28"/>
  <c r="DV196" i="28"/>
  <c r="DV197" i="28"/>
  <c r="DV198" i="28"/>
  <c r="DV199" i="28"/>
  <c r="DV200" i="28"/>
  <c r="DV201" i="28"/>
  <c r="DV202" i="28"/>
  <c r="DV203" i="28"/>
  <c r="DV204" i="28"/>
  <c r="DU116" i="28"/>
  <c r="DU117" i="28"/>
  <c r="DU118" i="28"/>
  <c r="DU119" i="28"/>
  <c r="DU120" i="28"/>
  <c r="DU121" i="28"/>
  <c r="DU122" i="28"/>
  <c r="DU123" i="28"/>
  <c r="DU124" i="28"/>
  <c r="DU125" i="28"/>
  <c r="DU126" i="28"/>
  <c r="DU127" i="28"/>
  <c r="DU128" i="28"/>
  <c r="DU129" i="28"/>
  <c r="DU130" i="28"/>
  <c r="DU131" i="28"/>
  <c r="DU132" i="28"/>
  <c r="DU133" i="28"/>
  <c r="DU134" i="28"/>
  <c r="DU135" i="28"/>
  <c r="DU136" i="28"/>
  <c r="DU137" i="28"/>
  <c r="DU138" i="28"/>
  <c r="DU139" i="28"/>
  <c r="DU140" i="28"/>
  <c r="DU141" i="28"/>
  <c r="DU142" i="28"/>
  <c r="DU143" i="28"/>
  <c r="DU144" i="28"/>
  <c r="DU145" i="28"/>
  <c r="DU146" i="28"/>
  <c r="DU147" i="28"/>
  <c r="DU148" i="28"/>
  <c r="DU149" i="28"/>
  <c r="DU150" i="28"/>
  <c r="DU151" i="28"/>
  <c r="DU152" i="28"/>
  <c r="DU153" i="28"/>
  <c r="DU154" i="28"/>
  <c r="DU155" i="28"/>
  <c r="DU156" i="28"/>
  <c r="DU157" i="28"/>
  <c r="DU158" i="28"/>
  <c r="DU159" i="28"/>
  <c r="DU160" i="28"/>
  <c r="DU161" i="28"/>
  <c r="DU162" i="28"/>
  <c r="DU163" i="28"/>
  <c r="DU164" i="28"/>
  <c r="DU165" i="28"/>
  <c r="DU166" i="28"/>
  <c r="DU167" i="28"/>
  <c r="DU168" i="28"/>
  <c r="DU169" i="28"/>
  <c r="DU170" i="28"/>
  <c r="DU171" i="28"/>
  <c r="DU172" i="28"/>
  <c r="DU173" i="28"/>
  <c r="DU174" i="28"/>
  <c r="DU175" i="28"/>
  <c r="DU176" i="28"/>
  <c r="DU177" i="28"/>
  <c r="DU178" i="28"/>
  <c r="DU179" i="28"/>
  <c r="DU180" i="28"/>
  <c r="DU181" i="28"/>
  <c r="DU182" i="28"/>
  <c r="DU183" i="28"/>
  <c r="DU184" i="28"/>
  <c r="DU185" i="28"/>
  <c r="DU186" i="28"/>
  <c r="DU187" i="28"/>
  <c r="DU188" i="28"/>
  <c r="DU189" i="28"/>
  <c r="DU190" i="28"/>
  <c r="DU191" i="28"/>
  <c r="DU192" i="28"/>
  <c r="DU193" i="28"/>
  <c r="DU194" i="28"/>
  <c r="DU195" i="28"/>
  <c r="DU196" i="28"/>
  <c r="DU197" i="28"/>
  <c r="DU198" i="28"/>
  <c r="DU199" i="28"/>
  <c r="DU200" i="28"/>
  <c r="DU201" i="28"/>
  <c r="DU202" i="28"/>
  <c r="DU203" i="28"/>
  <c r="DU204" i="28"/>
  <c r="DU206" i="28"/>
  <c r="DT116" i="28"/>
  <c r="DT117" i="28"/>
  <c r="DT118" i="28"/>
  <c r="DT119" i="28"/>
  <c r="DT120" i="28"/>
  <c r="DT121" i="28"/>
  <c r="DT122" i="28"/>
  <c r="DT123" i="28"/>
  <c r="DT124" i="28"/>
  <c r="DT125" i="28"/>
  <c r="DT126" i="28"/>
  <c r="DT127" i="28"/>
  <c r="DT128" i="28"/>
  <c r="DT129" i="28"/>
  <c r="DT130" i="28"/>
  <c r="DT131" i="28"/>
  <c r="DT132" i="28"/>
  <c r="DT133" i="28"/>
  <c r="DT134" i="28"/>
  <c r="DT135" i="28"/>
  <c r="DT136" i="28"/>
  <c r="DT137" i="28"/>
  <c r="DT138" i="28"/>
  <c r="DT139" i="28"/>
  <c r="DT140" i="28"/>
  <c r="DT141" i="28"/>
  <c r="DT142" i="28"/>
  <c r="DT143" i="28"/>
  <c r="DT144" i="28"/>
  <c r="DT145" i="28"/>
  <c r="DT146" i="28"/>
  <c r="DT147" i="28"/>
  <c r="DT148" i="28"/>
  <c r="DT149" i="28"/>
  <c r="DT150" i="28"/>
  <c r="DT151" i="28"/>
  <c r="DT152" i="28"/>
  <c r="DT153" i="28"/>
  <c r="DT154" i="28"/>
  <c r="DT155" i="28"/>
  <c r="DT156" i="28"/>
  <c r="DT157" i="28"/>
  <c r="DT158" i="28"/>
  <c r="DT159" i="28"/>
  <c r="DT160" i="28"/>
  <c r="DT161" i="28"/>
  <c r="DT162" i="28"/>
  <c r="DT163" i="28"/>
  <c r="DT164" i="28"/>
  <c r="DT165" i="28"/>
  <c r="DT166" i="28"/>
  <c r="DT167" i="28"/>
  <c r="DT168" i="28"/>
  <c r="DT169" i="28"/>
  <c r="DT170" i="28"/>
  <c r="DT171" i="28"/>
  <c r="DT172" i="28"/>
  <c r="DT173" i="28"/>
  <c r="DT174" i="28"/>
  <c r="DT175" i="28"/>
  <c r="DT176" i="28"/>
  <c r="DT177" i="28"/>
  <c r="DT178" i="28"/>
  <c r="DT179" i="28"/>
  <c r="DT180" i="28"/>
  <c r="DT181" i="28"/>
  <c r="DT182" i="28"/>
  <c r="DT183" i="28"/>
  <c r="DT184" i="28"/>
  <c r="DT185" i="28"/>
  <c r="DT186" i="28"/>
  <c r="DT187" i="28"/>
  <c r="DT188" i="28"/>
  <c r="DT189" i="28"/>
  <c r="DT190" i="28"/>
  <c r="DT191" i="28"/>
  <c r="DT192" i="28"/>
  <c r="DT193" i="28"/>
  <c r="DT194" i="28"/>
  <c r="DT195" i="28"/>
  <c r="DT196" i="28"/>
  <c r="DT197" i="28"/>
  <c r="DT198" i="28"/>
  <c r="DT199" i="28"/>
  <c r="DT200" i="28"/>
  <c r="DT201" i="28"/>
  <c r="DT202" i="28"/>
  <c r="DT203" i="28"/>
  <c r="DT204" i="28"/>
  <c r="DT205" i="28"/>
  <c r="EG205" i="28"/>
  <c r="EC205" i="28"/>
  <c r="DX205" i="28"/>
  <c r="AA116" i="28"/>
  <c r="AA117" i="28"/>
  <c r="AA118" i="28"/>
  <c r="AA119" i="28"/>
  <c r="AA120" i="28"/>
  <c r="AA121" i="28"/>
  <c r="AA122" i="28"/>
  <c r="AA123" i="28"/>
  <c r="AA124" i="28"/>
  <c r="AA125" i="28"/>
  <c r="AA126" i="28"/>
  <c r="AA127" i="28"/>
  <c r="AA128" i="28"/>
  <c r="AA129" i="28"/>
  <c r="AA130" i="28"/>
  <c r="AA131" i="28"/>
  <c r="AA132" i="28"/>
  <c r="AA133" i="28"/>
  <c r="AA134" i="28"/>
  <c r="AA135" i="28"/>
  <c r="AA136" i="28"/>
  <c r="AA137" i="28"/>
  <c r="AA138" i="28"/>
  <c r="AA139" i="28"/>
  <c r="AA140" i="28"/>
  <c r="AA141" i="28"/>
  <c r="AA142" i="28"/>
  <c r="AA143" i="28"/>
  <c r="AA144" i="28"/>
  <c r="AA145" i="28"/>
  <c r="AA146" i="28"/>
  <c r="AA147" i="28"/>
  <c r="AA148" i="28"/>
  <c r="AA149" i="28"/>
  <c r="AA150" i="28"/>
  <c r="AA151" i="28"/>
  <c r="AA152" i="28"/>
  <c r="AA153" i="28"/>
  <c r="AA154" i="28"/>
  <c r="AA155" i="28"/>
  <c r="AA156" i="28"/>
  <c r="AA157" i="28"/>
  <c r="AA158" i="28"/>
  <c r="AA159" i="28"/>
  <c r="AA160" i="28"/>
  <c r="AA161" i="28"/>
  <c r="AA162" i="28"/>
  <c r="AA163" i="28"/>
  <c r="AA164" i="28"/>
  <c r="AA165" i="28"/>
  <c r="AA166" i="28"/>
  <c r="AA167" i="28"/>
  <c r="AA168" i="28"/>
  <c r="AA169" i="28"/>
  <c r="AA170" i="28"/>
  <c r="AA171" i="28"/>
  <c r="AA172" i="28"/>
  <c r="AA173" i="28"/>
  <c r="AA174" i="28"/>
  <c r="AA175" i="28"/>
  <c r="AA176" i="28"/>
  <c r="AA177" i="28"/>
  <c r="AA178" i="28"/>
  <c r="AA179" i="28"/>
  <c r="AA180" i="28"/>
  <c r="AA181" i="28"/>
  <c r="AA182" i="28"/>
  <c r="AA183" i="28"/>
  <c r="AA184" i="28"/>
  <c r="AA185" i="28"/>
  <c r="AA186" i="28"/>
  <c r="AA187" i="28"/>
  <c r="AA188" i="28"/>
  <c r="AA189" i="28"/>
  <c r="AA190" i="28"/>
  <c r="AA191" i="28"/>
  <c r="AA192" i="28"/>
  <c r="AA193" i="28"/>
  <c r="AA194" i="28"/>
  <c r="AA195" i="28"/>
  <c r="AA196" i="28"/>
  <c r="AA197" i="28"/>
  <c r="AA198" i="28"/>
  <c r="AA199" i="28"/>
  <c r="AA200" i="28"/>
  <c r="AA201" i="28"/>
  <c r="AA202" i="28"/>
  <c r="AA203" i="28"/>
  <c r="AA204" i="28"/>
  <c r="AQ116" i="28"/>
  <c r="AQ117" i="28"/>
  <c r="AQ118" i="28"/>
  <c r="AQ119" i="28"/>
  <c r="AQ120" i="28"/>
  <c r="AQ121" i="28"/>
  <c r="AQ122" i="28"/>
  <c r="AQ123" i="28"/>
  <c r="AQ124" i="28"/>
  <c r="AQ125" i="28"/>
  <c r="AQ126" i="28"/>
  <c r="AQ127" i="28"/>
  <c r="AQ128" i="28"/>
  <c r="AQ129" i="28"/>
  <c r="AQ130" i="28"/>
  <c r="AQ131" i="28"/>
  <c r="AQ132" i="28"/>
  <c r="AQ133" i="28"/>
  <c r="AQ134" i="28"/>
  <c r="AQ135" i="28"/>
  <c r="AQ136" i="28"/>
  <c r="AQ137" i="28"/>
  <c r="AQ138" i="28"/>
  <c r="AQ139" i="28"/>
  <c r="AQ140" i="28"/>
  <c r="AQ141" i="28"/>
  <c r="AQ142" i="28"/>
  <c r="AQ143" i="28"/>
  <c r="AQ144" i="28"/>
  <c r="AQ145" i="28"/>
  <c r="AQ146" i="28"/>
  <c r="AQ147" i="28"/>
  <c r="AQ148" i="28"/>
  <c r="AQ149" i="28"/>
  <c r="AQ150" i="28"/>
  <c r="AQ151" i="28"/>
  <c r="AQ152" i="28"/>
  <c r="AQ153" i="28"/>
  <c r="AQ154" i="28"/>
  <c r="AQ155" i="28"/>
  <c r="AQ156" i="28"/>
  <c r="AQ157" i="28"/>
  <c r="AQ158" i="28"/>
  <c r="AQ159" i="28"/>
  <c r="AQ160" i="28"/>
  <c r="AQ161" i="28"/>
  <c r="AQ162" i="28"/>
  <c r="AQ163" i="28"/>
  <c r="AQ164" i="28"/>
  <c r="AQ165" i="28"/>
  <c r="AQ166" i="28"/>
  <c r="AQ167" i="28"/>
  <c r="AQ168" i="28"/>
  <c r="AQ169" i="28"/>
  <c r="AQ170" i="28"/>
  <c r="AQ171" i="28"/>
  <c r="AQ172" i="28"/>
  <c r="AQ173" i="28"/>
  <c r="AQ174" i="28"/>
  <c r="AQ175" i="28"/>
  <c r="AQ176" i="28"/>
  <c r="AQ177" i="28"/>
  <c r="AQ178" i="28"/>
  <c r="AQ179" i="28"/>
  <c r="AQ180" i="28"/>
  <c r="AQ181" i="28"/>
  <c r="AQ182" i="28"/>
  <c r="AQ183" i="28"/>
  <c r="AQ184" i="28"/>
  <c r="AQ185" i="28"/>
  <c r="AQ186" i="28"/>
  <c r="AQ187" i="28"/>
  <c r="AQ188" i="28"/>
  <c r="AQ189" i="28"/>
  <c r="AQ190" i="28"/>
  <c r="AQ191" i="28"/>
  <c r="AQ192" i="28"/>
  <c r="AQ193" i="28"/>
  <c r="AQ194" i="28"/>
  <c r="AQ195" i="28"/>
  <c r="AQ196" i="28"/>
  <c r="AQ197" i="28"/>
  <c r="AQ198" i="28"/>
  <c r="AQ199" i="28"/>
  <c r="AQ200" i="28"/>
  <c r="AQ201" i="28"/>
  <c r="AQ202" i="28"/>
  <c r="AQ203" i="28"/>
  <c r="AQ204" i="28"/>
  <c r="AQ206" i="28"/>
  <c r="AP116" i="28"/>
  <c r="AP117" i="28"/>
  <c r="AP118" i="28"/>
  <c r="AP119" i="28"/>
  <c r="AP120" i="28"/>
  <c r="AP121" i="28"/>
  <c r="AP122" i="28"/>
  <c r="AP123" i="28"/>
  <c r="AP124" i="28"/>
  <c r="AP125" i="28"/>
  <c r="AP126" i="28"/>
  <c r="AP127" i="28"/>
  <c r="AP128" i="28"/>
  <c r="AP129" i="28"/>
  <c r="AP130" i="28"/>
  <c r="AP131" i="28"/>
  <c r="AP132" i="28"/>
  <c r="AP133" i="28"/>
  <c r="AP134" i="28"/>
  <c r="AP135" i="28"/>
  <c r="AP136" i="28"/>
  <c r="AP137" i="28"/>
  <c r="AP138" i="28"/>
  <c r="AP139" i="28"/>
  <c r="AP140" i="28"/>
  <c r="AP141" i="28"/>
  <c r="AP142" i="28"/>
  <c r="AP143" i="28"/>
  <c r="AP144" i="28"/>
  <c r="AP145" i="28"/>
  <c r="AP146" i="28"/>
  <c r="AP147" i="28"/>
  <c r="AP148" i="28"/>
  <c r="AP149" i="28"/>
  <c r="AP150" i="28"/>
  <c r="AP151" i="28"/>
  <c r="AP152" i="28"/>
  <c r="AP153" i="28"/>
  <c r="AP154" i="28"/>
  <c r="R51" i="26"/>
  <c r="AP155" i="28"/>
  <c r="AP156" i="28"/>
  <c r="AP157" i="28"/>
  <c r="AP158" i="28"/>
  <c r="AP159" i="28"/>
  <c r="AP160" i="28"/>
  <c r="AP161" i="28"/>
  <c r="AP162" i="28"/>
  <c r="AP163" i="28"/>
  <c r="AP164" i="28"/>
  <c r="AP165" i="28"/>
  <c r="AP166" i="28"/>
  <c r="AP167" i="28"/>
  <c r="AP168" i="28"/>
  <c r="AP169" i="28"/>
  <c r="AP170" i="28"/>
  <c r="AP171" i="28"/>
  <c r="AP172" i="28"/>
  <c r="AP173" i="28"/>
  <c r="AP174" i="28"/>
  <c r="AP175" i="28"/>
  <c r="AP176" i="28"/>
  <c r="AP177" i="28"/>
  <c r="AP178" i="28"/>
  <c r="AP179" i="28"/>
  <c r="AP180" i="28"/>
  <c r="AP181" i="28"/>
  <c r="AP182" i="28"/>
  <c r="AP183" i="28"/>
  <c r="AP184" i="28"/>
  <c r="AP185" i="28"/>
  <c r="AP186" i="28"/>
  <c r="AP187" i="28"/>
  <c r="AP188" i="28"/>
  <c r="AP189" i="28"/>
  <c r="AP190" i="28"/>
  <c r="AP191" i="28"/>
  <c r="AP192" i="28"/>
  <c r="AP193" i="28"/>
  <c r="AP194" i="28"/>
  <c r="AP195" i="28"/>
  <c r="AP196" i="28"/>
  <c r="AP197" i="28"/>
  <c r="AP198" i="28"/>
  <c r="AP199" i="28"/>
  <c r="AP200" i="28"/>
  <c r="AP201" i="28"/>
  <c r="AP202" i="28"/>
  <c r="AP203" i="28"/>
  <c r="AP204" i="28"/>
  <c r="AO116" i="28"/>
  <c r="AO117" i="28"/>
  <c r="AO118" i="28"/>
  <c r="AO119" i="28"/>
  <c r="AO120" i="28"/>
  <c r="AO121" i="28"/>
  <c r="AO122" i="28"/>
  <c r="AO123" i="28"/>
  <c r="AO124" i="28"/>
  <c r="AO125" i="28"/>
  <c r="AO126" i="28"/>
  <c r="AO127" i="28"/>
  <c r="AO128" i="28"/>
  <c r="AO129" i="28"/>
  <c r="AO130" i="28"/>
  <c r="AO131" i="28"/>
  <c r="AO132" i="28"/>
  <c r="AO133" i="28"/>
  <c r="AO134" i="28"/>
  <c r="AO135" i="28"/>
  <c r="AO136" i="28"/>
  <c r="AO137" i="28"/>
  <c r="AO138" i="28"/>
  <c r="AO139" i="28"/>
  <c r="AO140" i="28"/>
  <c r="AO141" i="28"/>
  <c r="AO142" i="28"/>
  <c r="AO143" i="28"/>
  <c r="AO144" i="28"/>
  <c r="AO145" i="28"/>
  <c r="AO146" i="28"/>
  <c r="AO147" i="28"/>
  <c r="AO148" i="28"/>
  <c r="AO149" i="28"/>
  <c r="AO150" i="28"/>
  <c r="AO151" i="28"/>
  <c r="AO152" i="28"/>
  <c r="AO153" i="28"/>
  <c r="AO154" i="28"/>
  <c r="AO155" i="28"/>
  <c r="AO156" i="28"/>
  <c r="AO157" i="28"/>
  <c r="AO158" i="28"/>
  <c r="AO159" i="28"/>
  <c r="AO160" i="28"/>
  <c r="AO161" i="28"/>
  <c r="AO162" i="28"/>
  <c r="AO163" i="28"/>
  <c r="AO164" i="28"/>
  <c r="AO165" i="28"/>
  <c r="AO166" i="28"/>
  <c r="AO167" i="28"/>
  <c r="AO168" i="28"/>
  <c r="AO169" i="28"/>
  <c r="AO170" i="28"/>
  <c r="AO171" i="28"/>
  <c r="AO172" i="28"/>
  <c r="AO173" i="28"/>
  <c r="AO174" i="28"/>
  <c r="AO175" i="28"/>
  <c r="AO176" i="28"/>
  <c r="AO177" i="28"/>
  <c r="AO178" i="28"/>
  <c r="AO179" i="28"/>
  <c r="AO180" i="28"/>
  <c r="AO181" i="28"/>
  <c r="AO182" i="28"/>
  <c r="AO183" i="28"/>
  <c r="AO184" i="28"/>
  <c r="AO185" i="28"/>
  <c r="AO186" i="28"/>
  <c r="AO187" i="28"/>
  <c r="AO188" i="28"/>
  <c r="AO189" i="28"/>
  <c r="AO190" i="28"/>
  <c r="AO191" i="28"/>
  <c r="AO192" i="28"/>
  <c r="AO193" i="28"/>
  <c r="AO194" i="28"/>
  <c r="AO195" i="28"/>
  <c r="AO196" i="28"/>
  <c r="AO197" i="28"/>
  <c r="AO198" i="28"/>
  <c r="AO199" i="28"/>
  <c r="AO200" i="28"/>
  <c r="AO201" i="28"/>
  <c r="AO202" i="28"/>
  <c r="AO203" i="28"/>
  <c r="AO204" i="28"/>
  <c r="AN116" i="28"/>
  <c r="AN117" i="28"/>
  <c r="AN118" i="28"/>
  <c r="AN119" i="28"/>
  <c r="AN120" i="28"/>
  <c r="AN121" i="28"/>
  <c r="AN122" i="28"/>
  <c r="AN123" i="28"/>
  <c r="AN124" i="28"/>
  <c r="AN125" i="28"/>
  <c r="AN126" i="28"/>
  <c r="AN127" i="28"/>
  <c r="AN128" i="28"/>
  <c r="AN129" i="28"/>
  <c r="AN130" i="28"/>
  <c r="AN131" i="28"/>
  <c r="AN132" i="28"/>
  <c r="AN133" i="28"/>
  <c r="AN134" i="28"/>
  <c r="AN135" i="28"/>
  <c r="AN136" i="28"/>
  <c r="AN137" i="28"/>
  <c r="AN138" i="28"/>
  <c r="AN139" i="28"/>
  <c r="AN140" i="28"/>
  <c r="AN141" i="28"/>
  <c r="AN142" i="28"/>
  <c r="AN143" i="28"/>
  <c r="AN144" i="28"/>
  <c r="AN145" i="28"/>
  <c r="AN146" i="28"/>
  <c r="AN147" i="28"/>
  <c r="AN148" i="28"/>
  <c r="AN149" i="28"/>
  <c r="AN150" i="28"/>
  <c r="AN151" i="28"/>
  <c r="AN152" i="28"/>
  <c r="AN153" i="28"/>
  <c r="AN154" i="28"/>
  <c r="AN155" i="28"/>
  <c r="AN156" i="28"/>
  <c r="AN157" i="28"/>
  <c r="AN158" i="28"/>
  <c r="AN159" i="28"/>
  <c r="AN160" i="28"/>
  <c r="AN161" i="28"/>
  <c r="AN162" i="28"/>
  <c r="AN163" i="28"/>
  <c r="AN164" i="28"/>
  <c r="AN165" i="28"/>
  <c r="AN166" i="28"/>
  <c r="AN167" i="28"/>
  <c r="AN168" i="28"/>
  <c r="AN169" i="28"/>
  <c r="AN170" i="28"/>
  <c r="AN171" i="28"/>
  <c r="AN172" i="28"/>
  <c r="AN173" i="28"/>
  <c r="AN174" i="28"/>
  <c r="AN175" i="28"/>
  <c r="AN176" i="28"/>
  <c r="AN177" i="28"/>
  <c r="AN178" i="28"/>
  <c r="AN179" i="28"/>
  <c r="AN180" i="28"/>
  <c r="AN181" i="28"/>
  <c r="AN182" i="28"/>
  <c r="AN183" i="28"/>
  <c r="AN184" i="28"/>
  <c r="AN185" i="28"/>
  <c r="AN186" i="28"/>
  <c r="AN187" i="28"/>
  <c r="AN188" i="28"/>
  <c r="AN189" i="28"/>
  <c r="AN190" i="28"/>
  <c r="AN191" i="28"/>
  <c r="AN192" i="28"/>
  <c r="AN193" i="28"/>
  <c r="AN194" i="28"/>
  <c r="AN195" i="28"/>
  <c r="AN196" i="28"/>
  <c r="AN197" i="28"/>
  <c r="AN198" i="28"/>
  <c r="AN199" i="28"/>
  <c r="AN200" i="28"/>
  <c r="AN201" i="28"/>
  <c r="AN202" i="28"/>
  <c r="AN203" i="28"/>
  <c r="AN204" i="28"/>
  <c r="AM116" i="28"/>
  <c r="AM117" i="28"/>
  <c r="AM118" i="28"/>
  <c r="AM119" i="28"/>
  <c r="AM120" i="28"/>
  <c r="AM121" i="28"/>
  <c r="AM122" i="28"/>
  <c r="AM123" i="28"/>
  <c r="AM124" i="28"/>
  <c r="AM125" i="28"/>
  <c r="AM126" i="28"/>
  <c r="AM127" i="28"/>
  <c r="AM128" i="28"/>
  <c r="AM129" i="28"/>
  <c r="AM130" i="28"/>
  <c r="AM131" i="28"/>
  <c r="AM132" i="28"/>
  <c r="AM133" i="28"/>
  <c r="AM134" i="28"/>
  <c r="AM135" i="28"/>
  <c r="AM136" i="28"/>
  <c r="AM137" i="28"/>
  <c r="AM138" i="28"/>
  <c r="AM139" i="28"/>
  <c r="AM140" i="28"/>
  <c r="AM141" i="28"/>
  <c r="AM142" i="28"/>
  <c r="AM143" i="28"/>
  <c r="AM144" i="28"/>
  <c r="AM145" i="28"/>
  <c r="AM146" i="28"/>
  <c r="AM147" i="28"/>
  <c r="AM148" i="28"/>
  <c r="AM149" i="28"/>
  <c r="AM150" i="28"/>
  <c r="AM151" i="28"/>
  <c r="AM152" i="28"/>
  <c r="AM153" i="28"/>
  <c r="AM154" i="28"/>
  <c r="AM155" i="28"/>
  <c r="AM156" i="28"/>
  <c r="AM157" i="28"/>
  <c r="AM158" i="28"/>
  <c r="AM159" i="28"/>
  <c r="AM160" i="28"/>
  <c r="AM161" i="28"/>
  <c r="AM162" i="28"/>
  <c r="AM163" i="28"/>
  <c r="AM164" i="28"/>
  <c r="AM165" i="28"/>
  <c r="AM166" i="28"/>
  <c r="AM167" i="28"/>
  <c r="AM168" i="28"/>
  <c r="AM169" i="28"/>
  <c r="AM170" i="28"/>
  <c r="AM171" i="28"/>
  <c r="AM172" i="28"/>
  <c r="AM173" i="28"/>
  <c r="AM174" i="28"/>
  <c r="AM175" i="28"/>
  <c r="AM176" i="28"/>
  <c r="AM177" i="28"/>
  <c r="AM178" i="28"/>
  <c r="AM179" i="28"/>
  <c r="AM180" i="28"/>
  <c r="AM181" i="28"/>
  <c r="AM182" i="28"/>
  <c r="AM183" i="28"/>
  <c r="AM184" i="28"/>
  <c r="AM185" i="28"/>
  <c r="AM186" i="28"/>
  <c r="AM187" i="28"/>
  <c r="AM188" i="28"/>
  <c r="AM189" i="28"/>
  <c r="AM190" i="28"/>
  <c r="AM191" i="28"/>
  <c r="AM192" i="28"/>
  <c r="AM193" i="28"/>
  <c r="AM194" i="28"/>
  <c r="AM195" i="28"/>
  <c r="AM196" i="28"/>
  <c r="AM197" i="28"/>
  <c r="AM198" i="28"/>
  <c r="AM199" i="28"/>
  <c r="AM200" i="28"/>
  <c r="AM201" i="28"/>
  <c r="AM202" i="28"/>
  <c r="AM203" i="28"/>
  <c r="AM204" i="28"/>
  <c r="AL116" i="28"/>
  <c r="AL117" i="28"/>
  <c r="AL118" i="28"/>
  <c r="AL119" i="28"/>
  <c r="AL120" i="28"/>
  <c r="AL121" i="28"/>
  <c r="AL122" i="28"/>
  <c r="AL123" i="28"/>
  <c r="AL124" i="28"/>
  <c r="AL125" i="28"/>
  <c r="AL126" i="28"/>
  <c r="AL127" i="28"/>
  <c r="AL128" i="28"/>
  <c r="AL129" i="28"/>
  <c r="AL130" i="28"/>
  <c r="AL131" i="28"/>
  <c r="AL132" i="28"/>
  <c r="AL133" i="28"/>
  <c r="AL134" i="28"/>
  <c r="AL135" i="28"/>
  <c r="AL136" i="28"/>
  <c r="AL137" i="28"/>
  <c r="AL138" i="28"/>
  <c r="AL139" i="28"/>
  <c r="AL140" i="28"/>
  <c r="AL141" i="28"/>
  <c r="AL142" i="28"/>
  <c r="AL143" i="28"/>
  <c r="AL144" i="28"/>
  <c r="AL145" i="28"/>
  <c r="AL146" i="28"/>
  <c r="AL147" i="28"/>
  <c r="AL148" i="28"/>
  <c r="AL149" i="28"/>
  <c r="AL150" i="28"/>
  <c r="AL151" i="28"/>
  <c r="AL152" i="28"/>
  <c r="AL153" i="28"/>
  <c r="AL154" i="28"/>
  <c r="AL155" i="28"/>
  <c r="AL156" i="28"/>
  <c r="AL157" i="28"/>
  <c r="AL158" i="28"/>
  <c r="AL159" i="28"/>
  <c r="AL160" i="28"/>
  <c r="AL161" i="28"/>
  <c r="AL162" i="28"/>
  <c r="AL163" i="28"/>
  <c r="AL164" i="28"/>
  <c r="AL165" i="28"/>
  <c r="AL166" i="28"/>
  <c r="AL167" i="28"/>
  <c r="AL168" i="28"/>
  <c r="AL169" i="28"/>
  <c r="AL170" i="28"/>
  <c r="AL171" i="28"/>
  <c r="AL172" i="28"/>
  <c r="AL173" i="28"/>
  <c r="AL174" i="28"/>
  <c r="AL175" i="28"/>
  <c r="AL176" i="28"/>
  <c r="AL177" i="28"/>
  <c r="AL178" i="28"/>
  <c r="AL179" i="28"/>
  <c r="AL180" i="28"/>
  <c r="AL181" i="28"/>
  <c r="AL182" i="28"/>
  <c r="AL183" i="28"/>
  <c r="AL184" i="28"/>
  <c r="AL185" i="28"/>
  <c r="AL186" i="28"/>
  <c r="AL187" i="28"/>
  <c r="AL188" i="28"/>
  <c r="AL189" i="28"/>
  <c r="AL190" i="28"/>
  <c r="AL191" i="28"/>
  <c r="AL192" i="28"/>
  <c r="AL193" i="28"/>
  <c r="AL194" i="28"/>
  <c r="AL195" i="28"/>
  <c r="AL196" i="28"/>
  <c r="AL197" i="28"/>
  <c r="AL198" i="28"/>
  <c r="AL199" i="28"/>
  <c r="AL200" i="28"/>
  <c r="AL201" i="28"/>
  <c r="AL202" i="28"/>
  <c r="AL203" i="28"/>
  <c r="AL204" i="28"/>
  <c r="AK116" i="28"/>
  <c r="AK117" i="28"/>
  <c r="AK118" i="28"/>
  <c r="AK119" i="28"/>
  <c r="AK120" i="28"/>
  <c r="AK121" i="28"/>
  <c r="AK122" i="28"/>
  <c r="AK123" i="28"/>
  <c r="AK124" i="28"/>
  <c r="AK125" i="28"/>
  <c r="AK126" i="28"/>
  <c r="AK127" i="28"/>
  <c r="AK128" i="28"/>
  <c r="AK129" i="28"/>
  <c r="AK130" i="28"/>
  <c r="AK131" i="28"/>
  <c r="AK132" i="28"/>
  <c r="AK133" i="28"/>
  <c r="AK134" i="28"/>
  <c r="AK135" i="28"/>
  <c r="AK136" i="28"/>
  <c r="AK137" i="28"/>
  <c r="AK138" i="28"/>
  <c r="AK139" i="28"/>
  <c r="AK140" i="28"/>
  <c r="AK141" i="28"/>
  <c r="AK142" i="28"/>
  <c r="AK143" i="28"/>
  <c r="AK144" i="28"/>
  <c r="AK145" i="28"/>
  <c r="AK146" i="28"/>
  <c r="AK147" i="28"/>
  <c r="AK148" i="28"/>
  <c r="AK149" i="28"/>
  <c r="AK150" i="28"/>
  <c r="AK151" i="28"/>
  <c r="AK152" i="28"/>
  <c r="AK153" i="28"/>
  <c r="AK154" i="28"/>
  <c r="AK155" i="28"/>
  <c r="AK156" i="28"/>
  <c r="AK157" i="28"/>
  <c r="AK158" i="28"/>
  <c r="AK159" i="28"/>
  <c r="AK160" i="28"/>
  <c r="AK161" i="28"/>
  <c r="AK162" i="28"/>
  <c r="AK163" i="28"/>
  <c r="AK164" i="28"/>
  <c r="AK165" i="28"/>
  <c r="AK166" i="28"/>
  <c r="AK167" i="28"/>
  <c r="AK168" i="28"/>
  <c r="AK169" i="28"/>
  <c r="AK170" i="28"/>
  <c r="AK171" i="28"/>
  <c r="AK172" i="28"/>
  <c r="AK173" i="28"/>
  <c r="AK174" i="28"/>
  <c r="AK175" i="28"/>
  <c r="AK176" i="28"/>
  <c r="AK177" i="28"/>
  <c r="AK178" i="28"/>
  <c r="AK179" i="28"/>
  <c r="AK180" i="28"/>
  <c r="AK181" i="28"/>
  <c r="AK182" i="28"/>
  <c r="AK183" i="28"/>
  <c r="AK184" i="28"/>
  <c r="AK185" i="28"/>
  <c r="AK186" i="28"/>
  <c r="AK187" i="28"/>
  <c r="AK188" i="28"/>
  <c r="AK189" i="28"/>
  <c r="AK190" i="28"/>
  <c r="AK191" i="28"/>
  <c r="AK192" i="28"/>
  <c r="AK193" i="28"/>
  <c r="AK194" i="28"/>
  <c r="AK195" i="28"/>
  <c r="AK196" i="28"/>
  <c r="AK197" i="28"/>
  <c r="AK198" i="28"/>
  <c r="AK199" i="28"/>
  <c r="AK200" i="28"/>
  <c r="AK201" i="28"/>
  <c r="AK202" i="28"/>
  <c r="AK203" i="28"/>
  <c r="AK204" i="28"/>
  <c r="AJ116" i="28"/>
  <c r="AJ117" i="28"/>
  <c r="AJ118" i="28"/>
  <c r="AJ119" i="28"/>
  <c r="AJ120" i="28"/>
  <c r="AJ121" i="28"/>
  <c r="AJ122" i="28"/>
  <c r="AJ123" i="28"/>
  <c r="AJ124" i="28"/>
  <c r="AJ125" i="28"/>
  <c r="AJ126" i="28"/>
  <c r="AJ127" i="28"/>
  <c r="AJ128" i="28"/>
  <c r="AJ129" i="28"/>
  <c r="AJ130" i="28"/>
  <c r="AJ131" i="28"/>
  <c r="AJ132" i="28"/>
  <c r="AJ133" i="28"/>
  <c r="AJ134" i="28"/>
  <c r="AJ135" i="28"/>
  <c r="AJ136" i="28"/>
  <c r="AJ137" i="28"/>
  <c r="AJ138" i="28"/>
  <c r="AJ139" i="28"/>
  <c r="AJ140" i="28"/>
  <c r="AJ141" i="28"/>
  <c r="AJ142" i="28"/>
  <c r="AJ143" i="28"/>
  <c r="AJ144" i="28"/>
  <c r="AJ145" i="28"/>
  <c r="AJ146" i="28"/>
  <c r="AJ147" i="28"/>
  <c r="AJ148" i="28"/>
  <c r="AJ149" i="28"/>
  <c r="AJ150" i="28"/>
  <c r="AJ151" i="28"/>
  <c r="AJ152" i="28"/>
  <c r="AJ153" i="28"/>
  <c r="AJ154" i="28"/>
  <c r="AJ155" i="28"/>
  <c r="AJ156" i="28"/>
  <c r="AJ157" i="28"/>
  <c r="AJ158" i="28"/>
  <c r="AJ159" i="28"/>
  <c r="AJ160" i="28"/>
  <c r="AJ161" i="28"/>
  <c r="AJ162" i="28"/>
  <c r="AJ163" i="28"/>
  <c r="AJ164" i="28"/>
  <c r="AJ165" i="28"/>
  <c r="AJ166" i="28"/>
  <c r="AJ167" i="28"/>
  <c r="AJ168" i="28"/>
  <c r="AJ169" i="28"/>
  <c r="AJ170" i="28"/>
  <c r="AJ171" i="28"/>
  <c r="AJ172" i="28"/>
  <c r="AJ173" i="28"/>
  <c r="AJ174" i="28"/>
  <c r="AJ175" i="28"/>
  <c r="AJ176" i="28"/>
  <c r="AJ177" i="28"/>
  <c r="AJ178" i="28"/>
  <c r="AJ179" i="28"/>
  <c r="AJ180" i="28"/>
  <c r="AJ181" i="28"/>
  <c r="AJ182" i="28"/>
  <c r="AJ183" i="28"/>
  <c r="AJ184" i="28"/>
  <c r="AJ185" i="28"/>
  <c r="AJ186" i="28"/>
  <c r="AJ187" i="28"/>
  <c r="AJ188" i="28"/>
  <c r="AJ189" i="28"/>
  <c r="AJ190" i="28"/>
  <c r="AJ191" i="28"/>
  <c r="AJ192" i="28"/>
  <c r="AJ193" i="28"/>
  <c r="AJ194" i="28"/>
  <c r="AJ195" i="28"/>
  <c r="AJ196" i="28"/>
  <c r="AJ197" i="28"/>
  <c r="AJ198" i="28"/>
  <c r="AJ199" i="28"/>
  <c r="AJ200" i="28"/>
  <c r="AJ201" i="28"/>
  <c r="AJ202" i="28"/>
  <c r="AJ203" i="28"/>
  <c r="AJ204" i="28"/>
  <c r="AI116" i="28"/>
  <c r="AI117" i="28"/>
  <c r="AI118" i="28"/>
  <c r="AI119" i="28"/>
  <c r="AI120" i="28"/>
  <c r="AI121" i="28"/>
  <c r="AI122" i="28"/>
  <c r="AI123" i="28"/>
  <c r="AI124" i="28"/>
  <c r="AI125" i="28"/>
  <c r="AI126" i="28"/>
  <c r="AI127" i="28"/>
  <c r="AI128" i="28"/>
  <c r="AI129" i="28"/>
  <c r="AI130" i="28"/>
  <c r="AI131" i="28"/>
  <c r="AI132" i="28"/>
  <c r="AI133" i="28"/>
  <c r="AI134" i="28"/>
  <c r="AI135" i="28"/>
  <c r="AI136" i="28"/>
  <c r="AI137" i="28"/>
  <c r="AI138" i="28"/>
  <c r="AI139" i="28"/>
  <c r="AI140" i="28"/>
  <c r="AI141" i="28"/>
  <c r="AI142" i="28"/>
  <c r="AI143" i="28"/>
  <c r="AI144" i="28"/>
  <c r="AI145" i="28"/>
  <c r="AI146" i="28"/>
  <c r="AI147" i="28"/>
  <c r="AI148" i="28"/>
  <c r="AI149" i="28"/>
  <c r="AI150" i="28"/>
  <c r="AI151" i="28"/>
  <c r="AI152" i="28"/>
  <c r="AI153" i="28"/>
  <c r="AI154" i="28"/>
  <c r="AI155" i="28"/>
  <c r="AI156" i="28"/>
  <c r="AI157" i="28"/>
  <c r="AI158" i="28"/>
  <c r="AI159" i="28"/>
  <c r="AI160" i="28"/>
  <c r="AI161" i="28"/>
  <c r="AI162" i="28"/>
  <c r="AI163" i="28"/>
  <c r="AI164" i="28"/>
  <c r="AI165" i="28"/>
  <c r="AI166" i="28"/>
  <c r="AI167" i="28"/>
  <c r="AI168" i="28"/>
  <c r="AI169" i="28"/>
  <c r="AI170" i="28"/>
  <c r="AI171" i="28"/>
  <c r="AI172" i="28"/>
  <c r="AI173" i="28"/>
  <c r="AI174" i="28"/>
  <c r="AI175" i="28"/>
  <c r="AI176" i="28"/>
  <c r="AI177" i="28"/>
  <c r="AI178" i="28"/>
  <c r="AI179" i="28"/>
  <c r="AI180" i="28"/>
  <c r="AI181" i="28"/>
  <c r="AI182" i="28"/>
  <c r="AI183" i="28"/>
  <c r="AI184" i="28"/>
  <c r="AI185" i="28"/>
  <c r="AI186" i="28"/>
  <c r="AI187" i="28"/>
  <c r="AI188" i="28"/>
  <c r="AI189" i="28"/>
  <c r="AI190" i="28"/>
  <c r="AI191" i="28"/>
  <c r="AI192" i="28"/>
  <c r="AI193" i="28"/>
  <c r="AI194" i="28"/>
  <c r="AI195" i="28"/>
  <c r="AI196" i="28"/>
  <c r="AI197" i="28"/>
  <c r="AI198" i="28"/>
  <c r="AI199" i="28"/>
  <c r="AI200" i="28"/>
  <c r="AI201" i="28"/>
  <c r="AI202" i="28"/>
  <c r="AI203" i="28"/>
  <c r="AI204" i="28"/>
  <c r="AH116" i="28"/>
  <c r="AH117" i="28"/>
  <c r="AH118" i="28"/>
  <c r="AH119" i="28"/>
  <c r="AH120" i="28"/>
  <c r="AH121" i="28"/>
  <c r="AH122" i="28"/>
  <c r="AH123" i="28"/>
  <c r="AH124" i="28"/>
  <c r="AH125" i="28"/>
  <c r="AH126" i="28"/>
  <c r="AH127" i="28"/>
  <c r="AH128" i="28"/>
  <c r="AH129" i="28"/>
  <c r="AH130" i="28"/>
  <c r="AH131" i="28"/>
  <c r="AH132" i="28"/>
  <c r="AH133" i="28"/>
  <c r="AH134" i="28"/>
  <c r="AH135" i="28"/>
  <c r="AH136" i="28"/>
  <c r="AH137" i="28"/>
  <c r="AH138" i="28"/>
  <c r="AH139" i="28"/>
  <c r="AH140" i="28"/>
  <c r="AH141" i="28"/>
  <c r="AH142" i="28"/>
  <c r="AH143" i="28"/>
  <c r="AH144" i="28"/>
  <c r="AH145" i="28"/>
  <c r="AH146" i="28"/>
  <c r="AH147" i="28"/>
  <c r="AH148" i="28"/>
  <c r="AH149" i="28"/>
  <c r="AH150" i="28"/>
  <c r="AH151" i="28"/>
  <c r="AH152" i="28"/>
  <c r="AH153" i="28"/>
  <c r="AH154" i="28"/>
  <c r="AH155" i="28"/>
  <c r="AH156" i="28"/>
  <c r="AH157" i="28"/>
  <c r="AH158" i="28"/>
  <c r="AH159" i="28"/>
  <c r="AH160" i="28"/>
  <c r="AH161" i="28"/>
  <c r="AH162" i="28"/>
  <c r="AH163" i="28"/>
  <c r="AH164" i="28"/>
  <c r="AH165" i="28"/>
  <c r="AH166" i="28"/>
  <c r="AH167" i="28"/>
  <c r="AH168" i="28"/>
  <c r="AH169" i="28"/>
  <c r="AH170" i="28"/>
  <c r="AH171" i="28"/>
  <c r="AH172" i="28"/>
  <c r="AH173" i="28"/>
  <c r="AH174" i="28"/>
  <c r="AH175" i="28"/>
  <c r="AH176" i="28"/>
  <c r="AH177" i="28"/>
  <c r="AH178" i="28"/>
  <c r="AH179" i="28"/>
  <c r="AH180" i="28"/>
  <c r="AH181" i="28"/>
  <c r="AH182" i="28"/>
  <c r="AH183" i="28"/>
  <c r="AH184" i="28"/>
  <c r="AH185" i="28"/>
  <c r="AH186" i="28"/>
  <c r="AH187" i="28"/>
  <c r="AH188" i="28"/>
  <c r="AH189" i="28"/>
  <c r="AH190" i="28"/>
  <c r="AH191" i="28"/>
  <c r="AH192" i="28"/>
  <c r="AH193" i="28"/>
  <c r="AH194" i="28"/>
  <c r="AH195" i="28"/>
  <c r="AH196" i="28"/>
  <c r="AH197" i="28"/>
  <c r="AH198" i="28"/>
  <c r="AH199" i="28"/>
  <c r="AH200" i="28"/>
  <c r="AH201" i="28"/>
  <c r="AH202" i="28"/>
  <c r="AH203" i="28"/>
  <c r="AH204" i="28"/>
  <c r="AH206" i="28"/>
  <c r="AG116" i="28"/>
  <c r="AG117" i="28"/>
  <c r="AG118" i="28"/>
  <c r="AG119" i="28"/>
  <c r="AG120" i="28"/>
  <c r="AG121" i="28"/>
  <c r="AG122" i="28"/>
  <c r="AG123" i="28"/>
  <c r="AG124" i="28"/>
  <c r="AG125" i="28"/>
  <c r="AG126" i="28"/>
  <c r="AG127" i="28"/>
  <c r="AG128" i="28"/>
  <c r="AG129" i="28"/>
  <c r="AG130" i="28"/>
  <c r="AG131" i="28"/>
  <c r="AG132" i="28"/>
  <c r="AG133" i="28"/>
  <c r="AG134" i="28"/>
  <c r="AG135" i="28"/>
  <c r="AG136" i="28"/>
  <c r="AG137" i="28"/>
  <c r="AG138" i="28"/>
  <c r="AG139" i="28"/>
  <c r="AG140" i="28"/>
  <c r="AG141" i="28"/>
  <c r="AG142" i="28"/>
  <c r="AG143" i="28"/>
  <c r="AG144" i="28"/>
  <c r="AG145" i="28"/>
  <c r="AG146" i="28"/>
  <c r="AG147" i="28"/>
  <c r="AG148" i="28"/>
  <c r="AG149" i="28"/>
  <c r="AG150" i="28"/>
  <c r="AG151" i="28"/>
  <c r="AG152" i="28"/>
  <c r="AG153" i="28"/>
  <c r="AG154" i="28"/>
  <c r="AG155" i="28"/>
  <c r="AG156" i="28"/>
  <c r="AG157" i="28"/>
  <c r="AG158" i="28"/>
  <c r="AG159" i="28"/>
  <c r="AG160" i="28"/>
  <c r="AG161" i="28"/>
  <c r="AG162" i="28"/>
  <c r="AG163" i="28"/>
  <c r="AG164" i="28"/>
  <c r="AG165" i="28"/>
  <c r="AG166" i="28"/>
  <c r="AG167" i="28"/>
  <c r="AG168" i="28"/>
  <c r="AG169" i="28"/>
  <c r="AG170" i="28"/>
  <c r="AG171" i="28"/>
  <c r="AG172" i="28"/>
  <c r="AG173" i="28"/>
  <c r="AG174" i="28"/>
  <c r="AG175" i="28"/>
  <c r="AG176" i="28"/>
  <c r="AG177" i="28"/>
  <c r="AG178" i="28"/>
  <c r="AG179" i="28"/>
  <c r="AG180" i="28"/>
  <c r="AG181" i="28"/>
  <c r="AG182" i="28"/>
  <c r="AG183" i="28"/>
  <c r="AG184" i="28"/>
  <c r="AG185" i="28"/>
  <c r="AG186" i="28"/>
  <c r="AG187" i="28"/>
  <c r="AG188" i="28"/>
  <c r="AG189" i="28"/>
  <c r="AG190" i="28"/>
  <c r="AG191" i="28"/>
  <c r="AG192" i="28"/>
  <c r="AG193" i="28"/>
  <c r="AG194" i="28"/>
  <c r="AG195" i="28"/>
  <c r="AG196" i="28"/>
  <c r="AG197" i="28"/>
  <c r="AG198" i="28"/>
  <c r="AG199" i="28"/>
  <c r="AG200" i="28"/>
  <c r="AG201" i="28"/>
  <c r="AG202" i="28"/>
  <c r="AG203" i="28"/>
  <c r="AG204" i="28"/>
  <c r="AF116" i="28"/>
  <c r="AF117" i="28"/>
  <c r="AF118" i="28"/>
  <c r="AF119" i="28"/>
  <c r="AF120" i="28"/>
  <c r="AF121" i="28"/>
  <c r="AF122" i="28"/>
  <c r="AF123" i="28"/>
  <c r="AF124" i="28"/>
  <c r="AF125" i="28"/>
  <c r="AF126" i="28"/>
  <c r="AF127" i="28"/>
  <c r="AF128" i="28"/>
  <c r="AF129" i="28"/>
  <c r="AF130" i="28"/>
  <c r="AF131" i="28"/>
  <c r="AF132" i="28"/>
  <c r="AF133" i="28"/>
  <c r="AF134" i="28"/>
  <c r="AF135" i="28"/>
  <c r="AF136" i="28"/>
  <c r="AF137" i="28"/>
  <c r="AF138" i="28"/>
  <c r="AF139" i="28"/>
  <c r="AF140" i="28"/>
  <c r="AF141" i="28"/>
  <c r="AF142" i="28"/>
  <c r="AF143" i="28"/>
  <c r="AF144" i="28"/>
  <c r="AF145" i="28"/>
  <c r="AF146" i="28"/>
  <c r="AF147" i="28"/>
  <c r="AF148" i="28"/>
  <c r="AF149" i="28"/>
  <c r="AF150" i="28"/>
  <c r="AF151" i="28"/>
  <c r="AF152" i="28"/>
  <c r="AF153" i="28"/>
  <c r="AF154" i="28"/>
  <c r="AF155" i="28"/>
  <c r="AF156" i="28"/>
  <c r="AF157" i="28"/>
  <c r="AF158" i="28"/>
  <c r="AF159" i="28"/>
  <c r="AF160" i="28"/>
  <c r="AF161" i="28"/>
  <c r="AF162" i="28"/>
  <c r="AF163" i="28"/>
  <c r="AF164" i="28"/>
  <c r="AF165" i="28"/>
  <c r="AF166" i="28"/>
  <c r="AF167" i="28"/>
  <c r="AF168" i="28"/>
  <c r="AF169" i="28"/>
  <c r="AF170" i="28"/>
  <c r="AF171" i="28"/>
  <c r="AF172" i="28"/>
  <c r="AF173" i="28"/>
  <c r="AF174" i="28"/>
  <c r="AF175" i="28"/>
  <c r="AF176" i="28"/>
  <c r="AF177" i="28"/>
  <c r="AF178" i="28"/>
  <c r="AF179" i="28"/>
  <c r="AF180" i="28"/>
  <c r="AF181" i="28"/>
  <c r="AF182" i="28"/>
  <c r="AF183" i="28"/>
  <c r="AF184" i="28"/>
  <c r="AF185" i="28"/>
  <c r="AF186" i="28"/>
  <c r="AF187" i="28"/>
  <c r="AF188" i="28"/>
  <c r="AF189" i="28"/>
  <c r="AF190" i="28"/>
  <c r="AF191" i="28"/>
  <c r="AF192" i="28"/>
  <c r="AF193" i="28"/>
  <c r="AF194" i="28"/>
  <c r="AF195" i="28"/>
  <c r="AF196" i="28"/>
  <c r="AF197" i="28"/>
  <c r="AF198" i="28"/>
  <c r="AF199" i="28"/>
  <c r="AF200" i="28"/>
  <c r="AF201" i="28"/>
  <c r="AF202" i="28"/>
  <c r="AF203" i="28"/>
  <c r="AF204" i="28"/>
  <c r="AF206" i="28"/>
  <c r="AE116" i="28"/>
  <c r="AE117" i="28"/>
  <c r="AE118" i="28"/>
  <c r="AE119" i="28"/>
  <c r="AE120" i="28"/>
  <c r="AE121" i="28"/>
  <c r="AE122" i="28"/>
  <c r="AE123" i="28"/>
  <c r="AE124" i="28"/>
  <c r="AE125" i="28"/>
  <c r="AE126" i="28"/>
  <c r="AE127" i="28"/>
  <c r="AE128" i="28"/>
  <c r="AE129" i="28"/>
  <c r="AE130" i="28"/>
  <c r="AE131" i="28"/>
  <c r="AE132" i="28"/>
  <c r="AE133" i="28"/>
  <c r="AE134" i="28"/>
  <c r="AE135" i="28"/>
  <c r="AE136" i="28"/>
  <c r="AE137" i="28"/>
  <c r="AE138" i="28"/>
  <c r="AE139" i="28"/>
  <c r="AE140" i="28"/>
  <c r="AE141" i="28"/>
  <c r="AE142" i="28"/>
  <c r="AE143" i="28"/>
  <c r="AE144" i="28"/>
  <c r="AE145" i="28"/>
  <c r="AE146" i="28"/>
  <c r="AE147" i="28"/>
  <c r="AE148" i="28"/>
  <c r="AE149" i="28"/>
  <c r="AE150" i="28"/>
  <c r="AE151" i="28"/>
  <c r="AE152" i="28"/>
  <c r="AE153" i="28"/>
  <c r="AE154" i="28"/>
  <c r="AE155" i="28"/>
  <c r="AE156" i="28"/>
  <c r="AE157" i="28"/>
  <c r="AE158" i="28"/>
  <c r="AE159" i="28"/>
  <c r="AE160" i="28"/>
  <c r="AE161" i="28"/>
  <c r="AE162" i="28"/>
  <c r="AE163" i="28"/>
  <c r="AE164" i="28"/>
  <c r="AE165" i="28"/>
  <c r="AE166" i="28"/>
  <c r="AE167" i="28"/>
  <c r="AE168" i="28"/>
  <c r="AE169" i="28"/>
  <c r="AE170" i="28"/>
  <c r="AE171" i="28"/>
  <c r="AE172" i="28"/>
  <c r="AE173" i="28"/>
  <c r="AE174" i="28"/>
  <c r="AE175" i="28"/>
  <c r="AE176" i="28"/>
  <c r="AE177" i="28"/>
  <c r="AE178" i="28"/>
  <c r="AE179" i="28"/>
  <c r="AE180" i="28"/>
  <c r="AE181" i="28"/>
  <c r="AE182" i="28"/>
  <c r="AE183" i="28"/>
  <c r="AE184" i="28"/>
  <c r="AE185" i="28"/>
  <c r="AE186" i="28"/>
  <c r="AE187" i="28"/>
  <c r="AE188" i="28"/>
  <c r="AE189" i="28"/>
  <c r="AE190" i="28"/>
  <c r="AE191" i="28"/>
  <c r="AE192" i="28"/>
  <c r="AE193" i="28"/>
  <c r="AE194" i="28"/>
  <c r="AE195" i="28"/>
  <c r="AE196" i="28"/>
  <c r="AE197" i="28"/>
  <c r="AE198" i="28"/>
  <c r="AE199" i="28"/>
  <c r="AE200" i="28"/>
  <c r="AE201" i="28"/>
  <c r="AE202" i="28"/>
  <c r="AE203" i="28"/>
  <c r="AE204" i="28"/>
  <c r="AE206" i="28"/>
  <c r="AD116" i="28"/>
  <c r="AD117" i="28"/>
  <c r="AD118" i="28"/>
  <c r="AD119" i="28"/>
  <c r="AD120" i="28"/>
  <c r="AD121" i="28"/>
  <c r="AD122" i="28"/>
  <c r="AD123" i="28"/>
  <c r="AD124" i="28"/>
  <c r="AD125" i="28"/>
  <c r="AD126" i="28"/>
  <c r="AD127" i="28"/>
  <c r="AD128" i="28"/>
  <c r="AD129" i="28"/>
  <c r="AD130" i="28"/>
  <c r="AD131" i="28"/>
  <c r="AD132" i="28"/>
  <c r="AD133" i="28"/>
  <c r="AD134" i="28"/>
  <c r="AD135" i="28"/>
  <c r="AD136" i="28"/>
  <c r="AD137" i="28"/>
  <c r="AD138" i="28"/>
  <c r="AD139" i="28"/>
  <c r="AD140" i="28"/>
  <c r="AD141" i="28"/>
  <c r="AD142" i="28"/>
  <c r="AD143" i="28"/>
  <c r="AD144" i="28"/>
  <c r="AD145" i="28"/>
  <c r="AD146" i="28"/>
  <c r="AD147" i="28"/>
  <c r="AD148" i="28"/>
  <c r="AD149" i="28"/>
  <c r="AD150" i="28"/>
  <c r="AD151" i="28"/>
  <c r="AD152" i="28"/>
  <c r="AD153" i="28"/>
  <c r="AD154" i="28"/>
  <c r="AD155" i="28"/>
  <c r="AD156" i="28"/>
  <c r="AD157" i="28"/>
  <c r="AD158" i="28"/>
  <c r="AD159" i="28"/>
  <c r="AD160" i="28"/>
  <c r="AD161" i="28"/>
  <c r="AD162" i="28"/>
  <c r="AD163" i="28"/>
  <c r="AD164" i="28"/>
  <c r="AD165" i="28"/>
  <c r="AD166" i="28"/>
  <c r="AD167" i="28"/>
  <c r="AD168" i="28"/>
  <c r="AD169" i="28"/>
  <c r="AD170" i="28"/>
  <c r="AD171" i="28"/>
  <c r="AD172" i="28"/>
  <c r="AD173" i="28"/>
  <c r="AD174" i="28"/>
  <c r="AD175" i="28"/>
  <c r="AD176" i="28"/>
  <c r="AD177" i="28"/>
  <c r="AD178" i="28"/>
  <c r="AD179" i="28"/>
  <c r="AD180" i="28"/>
  <c r="AD181" i="28"/>
  <c r="AD182" i="28"/>
  <c r="AD183" i="28"/>
  <c r="AD184" i="28"/>
  <c r="AD185" i="28"/>
  <c r="AD186" i="28"/>
  <c r="AD187" i="28"/>
  <c r="AD188" i="28"/>
  <c r="AD189" i="28"/>
  <c r="AD190" i="28"/>
  <c r="AD191" i="28"/>
  <c r="AD192" i="28"/>
  <c r="AD193" i="28"/>
  <c r="AD194" i="28"/>
  <c r="AD195" i="28"/>
  <c r="AD196" i="28"/>
  <c r="AD197" i="28"/>
  <c r="AD198" i="28"/>
  <c r="AD199" i="28"/>
  <c r="AD200" i="28"/>
  <c r="AD201" i="28"/>
  <c r="AD202" i="28"/>
  <c r="AD203" i="28"/>
  <c r="AD204" i="28"/>
  <c r="AD205" i="28"/>
  <c r="AD206" i="28"/>
  <c r="AC116" i="28"/>
  <c r="AC117" i="28"/>
  <c r="AC118" i="28"/>
  <c r="AC119" i="28"/>
  <c r="AC120" i="28"/>
  <c r="AC121" i="28"/>
  <c r="AC122" i="28"/>
  <c r="AC123" i="28"/>
  <c r="AC124" i="28"/>
  <c r="AC125" i="28"/>
  <c r="AC126" i="28"/>
  <c r="AC127" i="28"/>
  <c r="AC128" i="28"/>
  <c r="AC129" i="28"/>
  <c r="AC130" i="28"/>
  <c r="AC131" i="28"/>
  <c r="AC132" i="28"/>
  <c r="AC133" i="28"/>
  <c r="AC134" i="28"/>
  <c r="AC135" i="28"/>
  <c r="AC136" i="28"/>
  <c r="AC137" i="28"/>
  <c r="AC138" i="28"/>
  <c r="AC139" i="28"/>
  <c r="AC140" i="28"/>
  <c r="AC141" i="28"/>
  <c r="AC142" i="28"/>
  <c r="AC143" i="28"/>
  <c r="AC144" i="28"/>
  <c r="AC145" i="28"/>
  <c r="AC146" i="28"/>
  <c r="AC147" i="28"/>
  <c r="AC148" i="28"/>
  <c r="AC149" i="28"/>
  <c r="AC150" i="28"/>
  <c r="AC151" i="28"/>
  <c r="AC152" i="28"/>
  <c r="AC153" i="28"/>
  <c r="AC154" i="28"/>
  <c r="AC155" i="28"/>
  <c r="AC156" i="28"/>
  <c r="AC157" i="28"/>
  <c r="AC158" i="28"/>
  <c r="AC159" i="28"/>
  <c r="AC160" i="28"/>
  <c r="AC161" i="28"/>
  <c r="AC162" i="28"/>
  <c r="AC163" i="28"/>
  <c r="AC164" i="28"/>
  <c r="AC165" i="28"/>
  <c r="AC166" i="28"/>
  <c r="AC167" i="28"/>
  <c r="AC168" i="28"/>
  <c r="AC169" i="28"/>
  <c r="AC170" i="28"/>
  <c r="AC171" i="28"/>
  <c r="AC172" i="28"/>
  <c r="AC173" i="28"/>
  <c r="AC174" i="28"/>
  <c r="AC175" i="28"/>
  <c r="AC176" i="28"/>
  <c r="AC177" i="28"/>
  <c r="AC178" i="28"/>
  <c r="AC179" i="28"/>
  <c r="AC180" i="28"/>
  <c r="AC181" i="28"/>
  <c r="AC182" i="28"/>
  <c r="AC183" i="28"/>
  <c r="AC184" i="28"/>
  <c r="AC185" i="28"/>
  <c r="AC186" i="28"/>
  <c r="AC187" i="28"/>
  <c r="AC188" i="28"/>
  <c r="AC189" i="28"/>
  <c r="AC190" i="28"/>
  <c r="AC191" i="28"/>
  <c r="AC192" i="28"/>
  <c r="AC193" i="28"/>
  <c r="AC194" i="28"/>
  <c r="AC195" i="28"/>
  <c r="AC196" i="28"/>
  <c r="AC197" i="28"/>
  <c r="AC198" i="28"/>
  <c r="AC199" i="28"/>
  <c r="AC200" i="28"/>
  <c r="AC201" i="28"/>
  <c r="AC202" i="28"/>
  <c r="AC203" i="28"/>
  <c r="AC204" i="28"/>
  <c r="AB116" i="28"/>
  <c r="AB117" i="28"/>
  <c r="AB118" i="28"/>
  <c r="AB119" i="28"/>
  <c r="AB120" i="28"/>
  <c r="AB121" i="28"/>
  <c r="AB122" i="28"/>
  <c r="AB123" i="28"/>
  <c r="AB124" i="28"/>
  <c r="AB125" i="28"/>
  <c r="AB126" i="28"/>
  <c r="AB127" i="28"/>
  <c r="AB128" i="28"/>
  <c r="AB129" i="28"/>
  <c r="AB130" i="28"/>
  <c r="AB131" i="28"/>
  <c r="AB132" i="28"/>
  <c r="AB133" i="28"/>
  <c r="AB134" i="28"/>
  <c r="AB135" i="28"/>
  <c r="AB136" i="28"/>
  <c r="AB137" i="28"/>
  <c r="AB138" i="28"/>
  <c r="AB139" i="28"/>
  <c r="AB140" i="28"/>
  <c r="AB141" i="28"/>
  <c r="AB142" i="28"/>
  <c r="AB143" i="28"/>
  <c r="AB144" i="28"/>
  <c r="AB145" i="28"/>
  <c r="AB146" i="28"/>
  <c r="AB147" i="28"/>
  <c r="AB148" i="28"/>
  <c r="AB149" i="28"/>
  <c r="AB150" i="28"/>
  <c r="AB151" i="28"/>
  <c r="AB152" i="28"/>
  <c r="AB153" i="28"/>
  <c r="AB154" i="28"/>
  <c r="AB155" i="28"/>
  <c r="AB156" i="28"/>
  <c r="AB157" i="28"/>
  <c r="AB158" i="28"/>
  <c r="AB159" i="28"/>
  <c r="AB160" i="28"/>
  <c r="AB161" i="28"/>
  <c r="AB162" i="28"/>
  <c r="AB163" i="28"/>
  <c r="AB164" i="28"/>
  <c r="AB165" i="28"/>
  <c r="AB166" i="28"/>
  <c r="AB167" i="28"/>
  <c r="AB168" i="28"/>
  <c r="AB169" i="28"/>
  <c r="AB170" i="28"/>
  <c r="AB171" i="28"/>
  <c r="AB172" i="28"/>
  <c r="AB173" i="28"/>
  <c r="AB174" i="28"/>
  <c r="AB175" i="28"/>
  <c r="AB176" i="28"/>
  <c r="AB177" i="28"/>
  <c r="AB178" i="28"/>
  <c r="AB179" i="28"/>
  <c r="AB180" i="28"/>
  <c r="AB181" i="28"/>
  <c r="AB182" i="28"/>
  <c r="AB183" i="28"/>
  <c r="AB184" i="28"/>
  <c r="AB185" i="28"/>
  <c r="AB186" i="28"/>
  <c r="AB187" i="28"/>
  <c r="AB188" i="28"/>
  <c r="AB189" i="28"/>
  <c r="AB190" i="28"/>
  <c r="AB191" i="28"/>
  <c r="AB192" i="28"/>
  <c r="AB193" i="28"/>
  <c r="AB194" i="28"/>
  <c r="AB195" i="28"/>
  <c r="AB196" i="28"/>
  <c r="AB197" i="28"/>
  <c r="AB198" i="28"/>
  <c r="AB199" i="28"/>
  <c r="AB200" i="28"/>
  <c r="AB201" i="28"/>
  <c r="AB202" i="28"/>
  <c r="AB203" i="28"/>
  <c r="AB204" i="28"/>
  <c r="AB205" i="28"/>
  <c r="AB206" i="28"/>
  <c r="AM205" i="28"/>
  <c r="AH205" i="28"/>
  <c r="Z118" i="28"/>
  <c r="Z119" i="28"/>
  <c r="Z120" i="28"/>
  <c r="Z121" i="28"/>
  <c r="Z122" i="28"/>
  <c r="Z123" i="28"/>
  <c r="Z124" i="28"/>
  <c r="Z125" i="28"/>
  <c r="Z126" i="28"/>
  <c r="Z128" i="28"/>
  <c r="Z129" i="28"/>
  <c r="Z130" i="28"/>
  <c r="Z131" i="28"/>
  <c r="Z132" i="28"/>
  <c r="Z133" i="28"/>
  <c r="Z134" i="28"/>
  <c r="Z135" i="28"/>
  <c r="Z136" i="28"/>
  <c r="Z140" i="28"/>
  <c r="B51" i="26"/>
  <c r="Z137" i="28"/>
  <c r="Z138" i="28"/>
  <c r="Z139" i="28"/>
  <c r="Z141" i="28"/>
  <c r="Z142" i="28"/>
  <c r="Z143" i="28"/>
  <c r="Z144" i="28"/>
  <c r="Z145" i="28"/>
  <c r="Z146" i="28"/>
  <c r="Z147" i="28"/>
  <c r="Z148" i="28"/>
  <c r="Z149" i="28"/>
  <c r="Z150" i="28"/>
  <c r="Z151" i="28"/>
  <c r="Z152" i="28"/>
  <c r="Z153" i="28"/>
  <c r="Z154" i="28"/>
  <c r="Z155" i="28"/>
  <c r="Z156" i="28"/>
  <c r="Z157" i="28"/>
  <c r="Z158" i="28"/>
  <c r="Z159" i="28"/>
  <c r="Z161" i="28"/>
  <c r="Z162" i="28"/>
  <c r="Z163" i="28"/>
  <c r="Z164" i="28"/>
  <c r="Z165" i="28"/>
  <c r="Z166" i="28"/>
  <c r="Z167" i="28"/>
  <c r="Z168" i="28"/>
  <c r="Z169" i="28"/>
  <c r="Z170" i="28"/>
  <c r="Z171" i="28"/>
  <c r="Z172" i="28"/>
  <c r="Z173" i="28"/>
  <c r="Z174" i="28"/>
  <c r="Z175" i="28"/>
  <c r="Z176" i="28"/>
  <c r="Z177" i="28"/>
  <c r="Z178" i="28"/>
  <c r="Z179" i="28"/>
  <c r="Z180" i="28"/>
  <c r="Z181" i="28"/>
  <c r="Z182" i="28"/>
  <c r="Z183" i="28"/>
  <c r="Z184" i="28"/>
  <c r="Z185" i="28"/>
  <c r="Z186" i="28"/>
  <c r="Z187" i="28"/>
  <c r="Z188" i="28"/>
  <c r="Z189" i="28"/>
  <c r="Z190" i="28"/>
  <c r="Z191" i="28"/>
  <c r="Z192" i="28"/>
  <c r="Z193" i="28"/>
  <c r="Z194" i="28"/>
  <c r="Z195" i="28"/>
  <c r="Z196" i="28"/>
  <c r="Z197" i="28"/>
  <c r="Z198" i="28"/>
  <c r="Z199" i="28"/>
  <c r="Z200" i="28"/>
  <c r="Z201" i="28"/>
  <c r="Z202" i="28"/>
  <c r="Z203" i="28"/>
  <c r="Z204" i="28"/>
  <c r="W57" i="35"/>
  <c r="V57" i="35"/>
  <c r="U57" i="35"/>
  <c r="T57" i="35"/>
  <c r="W56" i="35"/>
  <c r="V56" i="35"/>
  <c r="U56" i="35"/>
  <c r="T56" i="35"/>
  <c r="W55" i="35"/>
  <c r="V55" i="35"/>
  <c r="U55" i="35"/>
  <c r="T55" i="35"/>
  <c r="W54" i="35"/>
  <c r="V54" i="35"/>
  <c r="U54" i="35"/>
  <c r="T54" i="35"/>
  <c r="W53" i="35"/>
  <c r="V53" i="35"/>
  <c r="U53" i="35"/>
  <c r="T53" i="35"/>
  <c r="W52" i="35"/>
  <c r="V52" i="35"/>
  <c r="U52" i="35"/>
  <c r="T52" i="35"/>
  <c r="T48" i="35"/>
  <c r="T47" i="35"/>
  <c r="T46" i="35"/>
  <c r="T45" i="35"/>
  <c r="T44" i="35"/>
  <c r="T43" i="35"/>
  <c r="W32" i="35"/>
  <c r="V32" i="35"/>
  <c r="U32" i="35"/>
  <c r="T32" i="35"/>
  <c r="W31" i="35"/>
  <c r="V31" i="35"/>
  <c r="U31" i="35"/>
  <c r="T31" i="35"/>
  <c r="W30" i="35"/>
  <c r="V30" i="35"/>
  <c r="U30" i="35"/>
  <c r="T30" i="35"/>
  <c r="W29" i="35"/>
  <c r="V29" i="35"/>
  <c r="U29" i="35"/>
  <c r="T29" i="35"/>
  <c r="W39" i="35"/>
  <c r="V39" i="35"/>
  <c r="U39" i="35"/>
  <c r="T39" i="35"/>
  <c r="W38" i="35"/>
  <c r="V38" i="35"/>
  <c r="U38" i="35"/>
  <c r="T38" i="35"/>
  <c r="T37" i="35"/>
  <c r="V36" i="35"/>
  <c r="T36" i="35"/>
  <c r="BU53" i="10"/>
  <c r="V18" i="33"/>
  <c r="CS53" i="10"/>
  <c r="W18" i="35"/>
  <c r="BT53" i="10"/>
  <c r="U18" i="33"/>
  <c r="BS53" i="10"/>
  <c r="T18" i="33"/>
  <c r="CQ53" i="10"/>
  <c r="U18" i="35"/>
  <c r="BR53" i="10"/>
  <c r="S18" i="33"/>
  <c r="BU9" i="10"/>
  <c r="BT9" i="10"/>
  <c r="BS9" i="10"/>
  <c r="BR9" i="10"/>
  <c r="CP9" i="10"/>
  <c r="T16" i="34"/>
  <c r="W13" i="35"/>
  <c r="V13" i="35"/>
  <c r="U13" i="35"/>
  <c r="T13" i="35"/>
  <c r="W12" i="35"/>
  <c r="V12" i="35"/>
  <c r="U12" i="35"/>
  <c r="T12" i="35"/>
  <c r="W38" i="30"/>
  <c r="CP11" i="27"/>
  <c r="CP15" i="27"/>
  <c r="V38" i="30"/>
  <c r="CO11" i="27"/>
  <c r="CO15" i="27"/>
  <c r="U38" i="30"/>
  <c r="CN11" i="27"/>
  <c r="CN15" i="27"/>
  <c r="T38" i="30"/>
  <c r="BO116" i="22"/>
  <c r="BO120" i="22"/>
  <c r="W36" i="30"/>
  <c r="CP12" i="27"/>
  <c r="CP18" i="27"/>
  <c r="V36" i="30"/>
  <c r="CO12" i="27"/>
  <c r="CO18" i="27"/>
  <c r="U36" i="30"/>
  <c r="CN12" i="27"/>
  <c r="CN18" i="27"/>
  <c r="T36" i="30"/>
  <c r="BO123" i="22"/>
  <c r="S35" i="30"/>
  <c r="CQ11" i="15"/>
  <c r="CQ15" i="15"/>
  <c r="W30" i="30"/>
  <c r="CP11" i="15"/>
  <c r="CP15" i="15"/>
  <c r="V30" i="30"/>
  <c r="CO11" i="15"/>
  <c r="CO15" i="15"/>
  <c r="U30" i="30"/>
  <c r="CN11" i="15"/>
  <c r="CN15" i="15"/>
  <c r="T30" i="30"/>
  <c r="S116" i="22"/>
  <c r="S120" i="22"/>
  <c r="S29" i="30"/>
  <c r="CQ12" i="15"/>
  <c r="CQ18" i="15"/>
  <c r="W28" i="30"/>
  <c r="CP12" i="15"/>
  <c r="CP18" i="15"/>
  <c r="V28" i="30"/>
  <c r="CO12" i="15"/>
  <c r="CO18" i="15"/>
  <c r="U28" i="30"/>
  <c r="CN12" i="15"/>
  <c r="CN18" i="15"/>
  <c r="T28" i="30"/>
  <c r="S117" i="22"/>
  <c r="W22" i="30"/>
  <c r="AT11" i="27"/>
  <c r="AT15" i="27"/>
  <c r="V22" i="30"/>
  <c r="AS11" i="27"/>
  <c r="AS15" i="27"/>
  <c r="U22" i="30"/>
  <c r="AR11" i="27"/>
  <c r="AR15" i="27"/>
  <c r="T22" i="30"/>
  <c r="W21" i="30"/>
  <c r="AT11" i="15"/>
  <c r="AT15" i="15"/>
  <c r="V21" i="30"/>
  <c r="AS11" i="15"/>
  <c r="AS15" i="15"/>
  <c r="U21" i="30"/>
  <c r="AR11" i="15"/>
  <c r="AR15" i="15"/>
  <c r="T21" i="30"/>
  <c r="W20" i="30"/>
  <c r="AT12" i="27"/>
  <c r="AT18" i="27"/>
  <c r="V20" i="30"/>
  <c r="AS12" i="27"/>
  <c r="AS18" i="27"/>
  <c r="U20" i="30"/>
  <c r="AR12" i="27"/>
  <c r="AR18" i="27"/>
  <c r="T20" i="30"/>
  <c r="W19" i="30"/>
  <c r="AT12" i="15"/>
  <c r="AT18" i="15"/>
  <c r="V19" i="30"/>
  <c r="AS12" i="15"/>
  <c r="AS18" i="15"/>
  <c r="U19" i="30"/>
  <c r="AR12" i="15"/>
  <c r="AR18" i="15"/>
  <c r="T19" i="30"/>
  <c r="W15" i="30"/>
  <c r="V15" i="30"/>
  <c r="U15" i="30"/>
  <c r="T15" i="30"/>
  <c r="W14" i="30"/>
  <c r="V14" i="30"/>
  <c r="U14" i="30"/>
  <c r="T14" i="30"/>
  <c r="W13" i="30"/>
  <c r="V13" i="30"/>
  <c r="U13" i="30"/>
  <c r="T13" i="30"/>
  <c r="W12" i="30"/>
  <c r="V12" i="30"/>
  <c r="U12" i="30"/>
  <c r="T12" i="30"/>
  <c r="W78" i="31"/>
  <c r="V78" i="31"/>
  <c r="U78" i="31"/>
  <c r="T78" i="31"/>
  <c r="W77" i="31"/>
  <c r="V77" i="31"/>
  <c r="U77" i="31"/>
  <c r="T77" i="31"/>
  <c r="W76" i="31"/>
  <c r="V76" i="31"/>
  <c r="U76" i="31"/>
  <c r="W75" i="31"/>
  <c r="V75" i="31"/>
  <c r="U75" i="31"/>
  <c r="T75" i="31"/>
  <c r="W74" i="31"/>
  <c r="V74" i="31"/>
  <c r="U74" i="31"/>
  <c r="T74" i="31"/>
  <c r="W73" i="31"/>
  <c r="V73" i="31"/>
  <c r="U73" i="31"/>
  <c r="T73" i="31"/>
  <c r="T69" i="31"/>
  <c r="T68" i="31"/>
  <c r="T67" i="31"/>
  <c r="T66" i="31"/>
  <c r="T65" i="31"/>
  <c r="T64" i="31"/>
  <c r="W60" i="31"/>
  <c r="V60" i="31"/>
  <c r="U60" i="31"/>
  <c r="T60" i="31"/>
  <c r="T59" i="31"/>
  <c r="T40" i="34"/>
  <c r="T36" i="34"/>
  <c r="W27" i="34"/>
  <c r="U27" i="34"/>
  <c r="W26" i="34"/>
  <c r="U26" i="34"/>
  <c r="T26" i="34"/>
  <c r="W22" i="34"/>
  <c r="U22" i="34"/>
  <c r="T21" i="34"/>
  <c r="BU16" i="10"/>
  <c r="CS16" i="10"/>
  <c r="W47" i="26"/>
  <c r="V47" i="26"/>
  <c r="U47" i="26"/>
  <c r="T47" i="26"/>
  <c r="W46" i="26"/>
  <c r="V46" i="26"/>
  <c r="U46" i="26"/>
  <c r="T46" i="26"/>
  <c r="W45" i="26"/>
  <c r="V45" i="26"/>
  <c r="U45" i="26"/>
  <c r="T45" i="26"/>
  <c r="W44" i="26"/>
  <c r="V44" i="26"/>
  <c r="U44" i="26"/>
  <c r="W43" i="26"/>
  <c r="V43" i="26"/>
  <c r="U43" i="26"/>
  <c r="T43" i="26"/>
  <c r="W42" i="26"/>
  <c r="V42" i="26"/>
  <c r="U42" i="26"/>
  <c r="T42" i="26"/>
  <c r="W38" i="26"/>
  <c r="V38" i="26"/>
  <c r="U38" i="26"/>
  <c r="W40" i="29"/>
  <c r="CP67" i="27"/>
  <c r="CP72" i="27"/>
  <c r="V40" i="29"/>
  <c r="CO67" i="27"/>
  <c r="CO72" i="27"/>
  <c r="U40" i="29"/>
  <c r="CN67" i="27"/>
  <c r="CN72" i="27"/>
  <c r="T40" i="29"/>
  <c r="BO172" i="22"/>
  <c r="BO177" i="22"/>
  <c r="T39" i="29"/>
  <c r="CQ67" i="15"/>
  <c r="CQ72" i="15"/>
  <c r="W34" i="29"/>
  <c r="CP67" i="15"/>
  <c r="CP72" i="15"/>
  <c r="V34" i="29"/>
  <c r="CO67" i="15"/>
  <c r="CO72" i="15"/>
  <c r="U34" i="29"/>
  <c r="CN67" i="15"/>
  <c r="CN72" i="15"/>
  <c r="T34" i="29"/>
  <c r="W29" i="29"/>
  <c r="BR67" i="27"/>
  <c r="BR72" i="27"/>
  <c r="V29" i="29"/>
  <c r="BQ67" i="27"/>
  <c r="BQ72" i="27"/>
  <c r="U29" i="29"/>
  <c r="BP67" i="27"/>
  <c r="BP72" i="27"/>
  <c r="T29" i="29"/>
  <c r="CM172" i="22"/>
  <c r="CM177" i="22"/>
  <c r="T28" i="29"/>
  <c r="BS67" i="15"/>
  <c r="BS72" i="15"/>
  <c r="W23" i="29"/>
  <c r="BR67" i="15"/>
  <c r="BR72" i="15"/>
  <c r="V23" i="29"/>
  <c r="BQ67" i="15"/>
  <c r="BQ72" i="15"/>
  <c r="U23" i="29"/>
  <c r="BP67" i="15"/>
  <c r="BP72" i="15"/>
  <c r="T23" i="29"/>
  <c r="W18" i="29"/>
  <c r="AT67" i="27"/>
  <c r="AT72" i="27"/>
  <c r="V18" i="29"/>
  <c r="AS67" i="27"/>
  <c r="AS72" i="27"/>
  <c r="U18" i="29"/>
  <c r="AR67" i="27"/>
  <c r="AR72" i="27"/>
  <c r="T18" i="29"/>
  <c r="W17" i="29"/>
  <c r="AT67" i="15"/>
  <c r="AT72" i="15"/>
  <c r="V17" i="29"/>
  <c r="AS67" i="15"/>
  <c r="AS72" i="15"/>
  <c r="U17" i="29"/>
  <c r="AR67" i="15"/>
  <c r="AR72" i="15"/>
  <c r="T17" i="29"/>
  <c r="W13" i="29"/>
  <c r="V13" i="29"/>
  <c r="U13" i="29"/>
  <c r="T13" i="29"/>
  <c r="W12" i="29"/>
  <c r="V12" i="29"/>
  <c r="U12" i="29"/>
  <c r="T12" i="29"/>
  <c r="BU10" i="10"/>
  <c r="BU11" i="10"/>
  <c r="CS11" i="10"/>
  <c r="BU12" i="10"/>
  <c r="CS12" i="10"/>
  <c r="BU13" i="10"/>
  <c r="CS13" i="10"/>
  <c r="BU14" i="10"/>
  <c r="CS14" i="10"/>
  <c r="BU15" i="10"/>
  <c r="CS15" i="10"/>
  <c r="BU17" i="10"/>
  <c r="CS17" i="10"/>
  <c r="BU18" i="10"/>
  <c r="CS18" i="10"/>
  <c r="BU19" i="10"/>
  <c r="BU20" i="10"/>
  <c r="BU21" i="10"/>
  <c r="CS21" i="10"/>
  <c r="BU22" i="10"/>
  <c r="CS22" i="10"/>
  <c r="BU23" i="10"/>
  <c r="BU24" i="10"/>
  <c r="BU25" i="10"/>
  <c r="CS25" i="10"/>
  <c r="BU26" i="10"/>
  <c r="CS26" i="10"/>
  <c r="BU27" i="10"/>
  <c r="BU28" i="10"/>
  <c r="BU29" i="10"/>
  <c r="CS29" i="10"/>
  <c r="BU30" i="10"/>
  <c r="CS30" i="10"/>
  <c r="BU31" i="10"/>
  <c r="BU32" i="10"/>
  <c r="BU33" i="10"/>
  <c r="CS33" i="10"/>
  <c r="BU34" i="10"/>
  <c r="CS34" i="10"/>
  <c r="BU35" i="10"/>
  <c r="BU36" i="10"/>
  <c r="BU37" i="10"/>
  <c r="CS37" i="10"/>
  <c r="BU38" i="10"/>
  <c r="CS38" i="10"/>
  <c r="BU39" i="10"/>
  <c r="BU40" i="10"/>
  <c r="BU41" i="10"/>
  <c r="CS41" i="10"/>
  <c r="BU42" i="10"/>
  <c r="CS42" i="10"/>
  <c r="BU43" i="10"/>
  <c r="BU44" i="10"/>
  <c r="BU45" i="10"/>
  <c r="CS45" i="10"/>
  <c r="BU46" i="10"/>
  <c r="CS46" i="10"/>
  <c r="BU47" i="10"/>
  <c r="BU48" i="10"/>
  <c r="BU49" i="10"/>
  <c r="CS49" i="10"/>
  <c r="BU50" i="10"/>
  <c r="CS50" i="10"/>
  <c r="BU51" i="10"/>
  <c r="BU52" i="10"/>
  <c r="BU54" i="10"/>
  <c r="CS54" i="10"/>
  <c r="BU55" i="10"/>
  <c r="CS55" i="10"/>
  <c r="BU56" i="10"/>
  <c r="BU57" i="10"/>
  <c r="BU58" i="10"/>
  <c r="CS58" i="10"/>
  <c r="BU59" i="10"/>
  <c r="CS59" i="10"/>
  <c r="BU60" i="10"/>
  <c r="CS60" i="10"/>
  <c r="BU61" i="10"/>
  <c r="BU62" i="10"/>
  <c r="CS62" i="10"/>
  <c r="BU63" i="10"/>
  <c r="CS63" i="10"/>
  <c r="BU64" i="10"/>
  <c r="BU65" i="10"/>
  <c r="BU66" i="10"/>
  <c r="CS66" i="10"/>
  <c r="BU67" i="10"/>
  <c r="CS67" i="10"/>
  <c r="BU68" i="10"/>
  <c r="CS68" i="10"/>
  <c r="BU69" i="10"/>
  <c r="BU70" i="10"/>
  <c r="CS70" i="10"/>
  <c r="BU71" i="10"/>
  <c r="CS71" i="10"/>
  <c r="BU72" i="10"/>
  <c r="BU73" i="10"/>
  <c r="BU74" i="10"/>
  <c r="CS74" i="10"/>
  <c r="BU75" i="10"/>
  <c r="BU76" i="10"/>
  <c r="BU77" i="10"/>
  <c r="CS77" i="10"/>
  <c r="BU78" i="10"/>
  <c r="BU79" i="10"/>
  <c r="CS79" i="10"/>
  <c r="BU80" i="10"/>
  <c r="CS80" i="10"/>
  <c r="BU81" i="10"/>
  <c r="CS81" i="10"/>
  <c r="BU82" i="10"/>
  <c r="CS82" i="10"/>
  <c r="BU83" i="10"/>
  <c r="CS83" i="10"/>
  <c r="BU84" i="10"/>
  <c r="CS84" i="10"/>
  <c r="BU85" i="10"/>
  <c r="BU86" i="10"/>
  <c r="CS86" i="10"/>
  <c r="BU87" i="10"/>
  <c r="CS87" i="10"/>
  <c r="BU88" i="10"/>
  <c r="BU89" i="10"/>
  <c r="BU90" i="10"/>
  <c r="CS90" i="10"/>
  <c r="BU91" i="10"/>
  <c r="CS91" i="10"/>
  <c r="BU92" i="10"/>
  <c r="BU93" i="10"/>
  <c r="CS93" i="10"/>
  <c r="BU94" i="10"/>
  <c r="CS94" i="10"/>
  <c r="BU95" i="10"/>
  <c r="CS95" i="10"/>
  <c r="BU96" i="10"/>
  <c r="CS96" i="10"/>
  <c r="BU97" i="10"/>
  <c r="BT10" i="10"/>
  <c r="CR10" i="10"/>
  <c r="BT11" i="10"/>
  <c r="CR11" i="10"/>
  <c r="BT12" i="10"/>
  <c r="BT13" i="10"/>
  <c r="BT14" i="10"/>
  <c r="CR14" i="10"/>
  <c r="BT15" i="10"/>
  <c r="CR15" i="10"/>
  <c r="BT16" i="10"/>
  <c r="CR16" i="10"/>
  <c r="BT17" i="10"/>
  <c r="BT18" i="10"/>
  <c r="CR18" i="10"/>
  <c r="BT19" i="10"/>
  <c r="CR19" i="10"/>
  <c r="BT20" i="10"/>
  <c r="CR20" i="10"/>
  <c r="BT21" i="10"/>
  <c r="BT22" i="10"/>
  <c r="CR22" i="10"/>
  <c r="BT23" i="10"/>
  <c r="CR23" i="10"/>
  <c r="BT24" i="10"/>
  <c r="CR24" i="10"/>
  <c r="BT25" i="10"/>
  <c r="BT26" i="10"/>
  <c r="CR26" i="10"/>
  <c r="BT27" i="10"/>
  <c r="CR27" i="10"/>
  <c r="BT28" i="10"/>
  <c r="CR28" i="10"/>
  <c r="BT29" i="10"/>
  <c r="BT30" i="10"/>
  <c r="CR30" i="10"/>
  <c r="BT31" i="10"/>
  <c r="CR31" i="10"/>
  <c r="BT32" i="10"/>
  <c r="CR32" i="10"/>
  <c r="BT33" i="10"/>
  <c r="BT34" i="10"/>
  <c r="CR34" i="10"/>
  <c r="BT35" i="10"/>
  <c r="CR35" i="10"/>
  <c r="BT36" i="10"/>
  <c r="CR36" i="10"/>
  <c r="BT37" i="10"/>
  <c r="BT38" i="10"/>
  <c r="CR38" i="10"/>
  <c r="BT39" i="10"/>
  <c r="CR39" i="10"/>
  <c r="BT40" i="10"/>
  <c r="CR40" i="10"/>
  <c r="BT41" i="10"/>
  <c r="BT42" i="10"/>
  <c r="CR42" i="10"/>
  <c r="BT43" i="10"/>
  <c r="CR43" i="10"/>
  <c r="BT44" i="10"/>
  <c r="CR44" i="10"/>
  <c r="BT45" i="10"/>
  <c r="BT46" i="10"/>
  <c r="CR46" i="10"/>
  <c r="BT47" i="10"/>
  <c r="CR47" i="10"/>
  <c r="BT48" i="10"/>
  <c r="CR48" i="10"/>
  <c r="BT49" i="10"/>
  <c r="BT50" i="10"/>
  <c r="BT51" i="10"/>
  <c r="BT52" i="10"/>
  <c r="CR52" i="10"/>
  <c r="BT54" i="10"/>
  <c r="BT55" i="10"/>
  <c r="CR55" i="10"/>
  <c r="BT56" i="10"/>
  <c r="CR56" i="10"/>
  <c r="BT57" i="10"/>
  <c r="CR57" i="10"/>
  <c r="BT58" i="10"/>
  <c r="BT59" i="10"/>
  <c r="CR59" i="10"/>
  <c r="BT60" i="10"/>
  <c r="CR60" i="10"/>
  <c r="BT61" i="10"/>
  <c r="CR61" i="10"/>
  <c r="BT62" i="10"/>
  <c r="BT63" i="10"/>
  <c r="CR63" i="10"/>
  <c r="BT64" i="10"/>
  <c r="CR64" i="10"/>
  <c r="BT65" i="10"/>
  <c r="CR65" i="10"/>
  <c r="BT66" i="10"/>
  <c r="BT67" i="10"/>
  <c r="CR67" i="10"/>
  <c r="BT68" i="10"/>
  <c r="CR68" i="10"/>
  <c r="BT69" i="10"/>
  <c r="CR69" i="10"/>
  <c r="BT70" i="10"/>
  <c r="BT71" i="10"/>
  <c r="CR71" i="10"/>
  <c r="BT72" i="10"/>
  <c r="CR72" i="10"/>
  <c r="BT73" i="10"/>
  <c r="CR73" i="10"/>
  <c r="BT74" i="10"/>
  <c r="BT75" i="10"/>
  <c r="CR75" i="10"/>
  <c r="BT76" i="10"/>
  <c r="CR76" i="10"/>
  <c r="BT77" i="10"/>
  <c r="CR77" i="10"/>
  <c r="BT78" i="10"/>
  <c r="BT79" i="10"/>
  <c r="CR79" i="10"/>
  <c r="BT80" i="10"/>
  <c r="CR80" i="10"/>
  <c r="BT81" i="10"/>
  <c r="CR81" i="10"/>
  <c r="BT82" i="10"/>
  <c r="BT83" i="10"/>
  <c r="CR83" i="10"/>
  <c r="BT84" i="10"/>
  <c r="CR84" i="10"/>
  <c r="BT85" i="10"/>
  <c r="BT86" i="10"/>
  <c r="BT87" i="10"/>
  <c r="CR87" i="10"/>
  <c r="BT88" i="10"/>
  <c r="CR88" i="10"/>
  <c r="BT89" i="10"/>
  <c r="CR89" i="10"/>
  <c r="BT90" i="10"/>
  <c r="BT91" i="10"/>
  <c r="BT92" i="10"/>
  <c r="CR92" i="10"/>
  <c r="BT93" i="10"/>
  <c r="CR93" i="10"/>
  <c r="BT94" i="10"/>
  <c r="BT95" i="10"/>
  <c r="CR95" i="10"/>
  <c r="BT96" i="10"/>
  <c r="CR96" i="10"/>
  <c r="BT97" i="10"/>
  <c r="CR97" i="10"/>
  <c r="BS10" i="10"/>
  <c r="BS11" i="10"/>
  <c r="BS12" i="10"/>
  <c r="CQ12" i="10"/>
  <c r="BS13" i="10"/>
  <c r="CQ13" i="10"/>
  <c r="BS14" i="10"/>
  <c r="BS15" i="10"/>
  <c r="CQ15" i="10"/>
  <c r="BS16" i="10"/>
  <c r="CQ16" i="10"/>
  <c r="BS17" i="10"/>
  <c r="CQ17" i="10"/>
  <c r="BS18" i="10"/>
  <c r="BS19" i="10"/>
  <c r="CQ19" i="10"/>
  <c r="BS20" i="10"/>
  <c r="CQ20" i="10"/>
  <c r="BS21" i="10"/>
  <c r="BS22" i="10"/>
  <c r="BS23" i="10"/>
  <c r="BS24" i="10"/>
  <c r="CQ24" i="10"/>
  <c r="BS25" i="10"/>
  <c r="CQ25" i="10"/>
  <c r="BS26" i="10"/>
  <c r="BS27" i="10"/>
  <c r="CQ27" i="10"/>
  <c r="BS28" i="10"/>
  <c r="CQ28" i="10"/>
  <c r="BS29" i="10"/>
  <c r="CQ29" i="10"/>
  <c r="BS30" i="10"/>
  <c r="BS31" i="10"/>
  <c r="CQ31" i="10"/>
  <c r="BS32" i="10"/>
  <c r="CQ32" i="10"/>
  <c r="BS33" i="10"/>
  <c r="CQ33" i="10"/>
  <c r="BS34" i="10"/>
  <c r="BS35" i="10"/>
  <c r="CQ35" i="10"/>
  <c r="BS36" i="10"/>
  <c r="CQ36" i="10"/>
  <c r="BS37" i="10"/>
  <c r="BS38" i="10"/>
  <c r="BS39" i="10"/>
  <c r="CQ39" i="10"/>
  <c r="BS40" i="10"/>
  <c r="CQ40" i="10"/>
  <c r="BS41" i="10"/>
  <c r="CQ41" i="10"/>
  <c r="BS42" i="10"/>
  <c r="BS43" i="10"/>
  <c r="CQ43" i="10"/>
  <c r="BS44" i="10"/>
  <c r="CQ44" i="10"/>
  <c r="BS45" i="10"/>
  <c r="BS46" i="10"/>
  <c r="BS47" i="10"/>
  <c r="CQ47" i="10"/>
  <c r="BS48" i="10"/>
  <c r="CQ48" i="10"/>
  <c r="BS49" i="10"/>
  <c r="CQ49" i="10"/>
  <c r="BS50" i="10"/>
  <c r="BS51" i="10"/>
  <c r="CQ51" i="10"/>
  <c r="BS52" i="10"/>
  <c r="CQ52" i="10"/>
  <c r="BS54" i="10"/>
  <c r="BS55" i="10"/>
  <c r="BS56" i="10"/>
  <c r="CQ56" i="10"/>
  <c r="BS57" i="10"/>
  <c r="CQ57" i="10"/>
  <c r="BS58" i="10"/>
  <c r="CQ58" i="10"/>
  <c r="BS59" i="10"/>
  <c r="BS60" i="10"/>
  <c r="CQ60" i="10"/>
  <c r="BS61" i="10"/>
  <c r="CQ61" i="10"/>
  <c r="BS62" i="10"/>
  <c r="BS63" i="10"/>
  <c r="BS64" i="10"/>
  <c r="CQ64" i="10"/>
  <c r="BS65" i="10"/>
  <c r="CQ65" i="10"/>
  <c r="BS66" i="10"/>
  <c r="CQ66" i="10"/>
  <c r="BS67" i="10"/>
  <c r="BS68" i="10"/>
  <c r="CQ68" i="10"/>
  <c r="BS69" i="10"/>
  <c r="CQ69" i="10"/>
  <c r="BS70" i="10"/>
  <c r="BS71" i="10"/>
  <c r="BS72" i="10"/>
  <c r="BS73" i="10"/>
  <c r="CQ73" i="10"/>
  <c r="BS74" i="10"/>
  <c r="CQ74" i="10"/>
  <c r="BS75" i="10"/>
  <c r="BS76" i="10"/>
  <c r="CQ76" i="10"/>
  <c r="BS77" i="10"/>
  <c r="CQ77" i="10"/>
  <c r="BS78" i="10"/>
  <c r="CQ78" i="10"/>
  <c r="BS79" i="10"/>
  <c r="BS80" i="10"/>
  <c r="CQ80" i="10"/>
  <c r="BS81" i="10"/>
  <c r="CQ81" i="10"/>
  <c r="BS82" i="10"/>
  <c r="CQ82" i="10"/>
  <c r="BS83" i="10"/>
  <c r="BS84" i="10"/>
  <c r="CQ84" i="10"/>
  <c r="BS85" i="10"/>
  <c r="CQ85" i="10"/>
  <c r="BS86" i="10"/>
  <c r="CQ86" i="10"/>
  <c r="BS87" i="10"/>
  <c r="BS88" i="10"/>
  <c r="CQ88" i="10"/>
  <c r="BS89" i="10"/>
  <c r="CQ89" i="10"/>
  <c r="BS90" i="10"/>
  <c r="CQ90" i="10"/>
  <c r="BS91" i="10"/>
  <c r="BS92" i="10"/>
  <c r="CQ92" i="10"/>
  <c r="BS93" i="10"/>
  <c r="CQ93" i="10"/>
  <c r="BS94" i="10"/>
  <c r="CQ94" i="10"/>
  <c r="BS95" i="10"/>
  <c r="BS96" i="10"/>
  <c r="CQ96" i="10"/>
  <c r="BS97" i="10"/>
  <c r="CQ97" i="10"/>
  <c r="CS97" i="10"/>
  <c r="CQ95" i="10"/>
  <c r="CR94" i="10"/>
  <c r="CS92" i="10"/>
  <c r="CR91" i="10"/>
  <c r="CQ91" i="10"/>
  <c r="CR90" i="10"/>
  <c r="CS89" i="10"/>
  <c r="CS88" i="10"/>
  <c r="CQ87" i="10"/>
  <c r="CR86" i="10"/>
  <c r="CS85" i="10"/>
  <c r="CR85" i="10"/>
  <c r="CQ83" i="10"/>
  <c r="CR82" i="10"/>
  <c r="CQ79" i="10"/>
  <c r="CS78" i="10"/>
  <c r="CR78" i="10"/>
  <c r="CS76" i="10"/>
  <c r="CS75" i="10"/>
  <c r="CQ75" i="10"/>
  <c r="CR74" i="10"/>
  <c r="CS73" i="10"/>
  <c r="CS72" i="10"/>
  <c r="CQ72" i="10"/>
  <c r="CQ71" i="10"/>
  <c r="CR70" i="10"/>
  <c r="CQ70" i="10"/>
  <c r="CS69" i="10"/>
  <c r="CQ67" i="10"/>
  <c r="CR66" i="10"/>
  <c r="CS65" i="10"/>
  <c r="CS64" i="10"/>
  <c r="CQ63" i="10"/>
  <c r="CR62" i="10"/>
  <c r="CQ62" i="10"/>
  <c r="CS61" i="10"/>
  <c r="CQ59" i="10"/>
  <c r="CR58" i="10"/>
  <c r="CS57" i="10"/>
  <c r="CS56" i="10"/>
  <c r="CQ55" i="10"/>
  <c r="CR54" i="10"/>
  <c r="CQ54" i="10"/>
  <c r="CS52" i="10"/>
  <c r="CS51" i="10"/>
  <c r="CR51" i="10"/>
  <c r="CR50" i="10"/>
  <c r="CQ50" i="10"/>
  <c r="CR49" i="10"/>
  <c r="CS48" i="10"/>
  <c r="CS47" i="10"/>
  <c r="CQ46" i="10"/>
  <c r="CR45" i="10"/>
  <c r="CQ45" i="10"/>
  <c r="CS44" i="10"/>
  <c r="CS43" i="10"/>
  <c r="CQ42" i="10"/>
  <c r="CR41" i="10"/>
  <c r="CS40" i="10"/>
  <c r="CS39" i="10"/>
  <c r="CQ38" i="10"/>
  <c r="CR37" i="10"/>
  <c r="CQ37" i="10"/>
  <c r="CS36" i="10"/>
  <c r="CS35" i="10"/>
  <c r="CQ34" i="10"/>
  <c r="CR33" i="10"/>
  <c r="CS32" i="10"/>
  <c r="CS31" i="10"/>
  <c r="CQ30" i="10"/>
  <c r="CR29" i="10"/>
  <c r="CS28" i="10"/>
  <c r="CS27" i="10"/>
  <c r="CQ26" i="10"/>
  <c r="CR25" i="10"/>
  <c r="CS24" i="10"/>
  <c r="CS23" i="10"/>
  <c r="CQ23" i="10"/>
  <c r="CQ22" i="10"/>
  <c r="CR21" i="10"/>
  <c r="CQ21" i="10"/>
  <c r="CS20" i="10"/>
  <c r="CS19" i="10"/>
  <c r="CQ18" i="10"/>
  <c r="CR17" i="10"/>
  <c r="CQ14" i="10"/>
  <c r="CR13" i="10"/>
  <c r="CQ11" i="10"/>
  <c r="CQ10" i="10"/>
  <c r="BR10" i="10"/>
  <c r="CP10" i="10"/>
  <c r="BR11" i="10"/>
  <c r="CP11" i="10"/>
  <c r="BR12" i="10"/>
  <c r="CP12" i="10"/>
  <c r="BR13" i="10"/>
  <c r="BR14" i="10"/>
  <c r="CP14" i="10"/>
  <c r="BR15" i="10"/>
  <c r="BR16" i="10"/>
  <c r="CP16" i="10"/>
  <c r="BR17" i="10"/>
  <c r="BR18" i="10"/>
  <c r="CP18" i="10"/>
  <c r="BR19" i="10"/>
  <c r="CP19" i="10"/>
  <c r="BR20" i="10"/>
  <c r="CP20" i="10"/>
  <c r="BR21" i="10"/>
  <c r="CP21" i="10"/>
  <c r="BR22" i="10"/>
  <c r="CP22" i="10"/>
  <c r="BR23" i="10"/>
  <c r="CP23" i="10"/>
  <c r="BR24" i="10"/>
  <c r="CP24" i="10"/>
  <c r="BR25" i="10"/>
  <c r="CP25" i="10"/>
  <c r="BR26" i="10"/>
  <c r="CP26" i="10"/>
  <c r="BR27" i="10"/>
  <c r="BR28" i="10"/>
  <c r="CP28" i="10"/>
  <c r="BR29" i="10"/>
  <c r="BR30" i="10"/>
  <c r="CP30" i="10"/>
  <c r="BR31" i="10"/>
  <c r="CP31" i="10"/>
  <c r="BR32" i="10"/>
  <c r="CP32" i="10"/>
  <c r="BR33" i="10"/>
  <c r="CP33" i="10"/>
  <c r="BR34" i="10"/>
  <c r="CP34" i="10"/>
  <c r="BR35" i="10"/>
  <c r="CP35" i="10"/>
  <c r="BR36" i="10"/>
  <c r="CP36" i="10"/>
  <c r="BR37" i="10"/>
  <c r="BR38" i="10"/>
  <c r="CP38" i="10"/>
  <c r="BR39" i="10"/>
  <c r="CP39" i="10"/>
  <c r="BR40" i="10"/>
  <c r="CP40" i="10"/>
  <c r="BR41" i="10"/>
  <c r="CP41" i="10"/>
  <c r="BR42" i="10"/>
  <c r="BR43" i="10"/>
  <c r="CP43" i="10"/>
  <c r="BR44" i="10"/>
  <c r="CP44" i="10"/>
  <c r="BR45" i="10"/>
  <c r="CP45" i="10"/>
  <c r="BR46" i="10"/>
  <c r="CP46" i="10"/>
  <c r="BR47" i="10"/>
  <c r="CP47" i="10"/>
  <c r="BR48" i="10"/>
  <c r="CP48" i="10"/>
  <c r="BR49" i="10"/>
  <c r="BR50" i="10"/>
  <c r="CP50" i="10"/>
  <c r="BR51" i="10"/>
  <c r="CP51" i="10"/>
  <c r="BR52" i="10"/>
  <c r="CP52" i="10"/>
  <c r="BR54" i="10"/>
  <c r="BR55" i="10"/>
  <c r="CP55" i="10"/>
  <c r="BR56" i="10"/>
  <c r="CP56" i="10"/>
  <c r="BR57" i="10"/>
  <c r="CP57" i="10"/>
  <c r="BR58" i="10"/>
  <c r="CP58" i="10"/>
  <c r="BR59" i="10"/>
  <c r="CP59" i="10"/>
  <c r="BR60" i="10"/>
  <c r="CP60" i="10"/>
  <c r="BR61" i="10"/>
  <c r="CP61" i="10"/>
  <c r="BR62" i="10"/>
  <c r="BR63" i="10"/>
  <c r="CP63" i="10"/>
  <c r="BR64" i="10"/>
  <c r="CP64" i="10"/>
  <c r="BR65" i="10"/>
  <c r="CP65" i="10"/>
  <c r="BR66" i="10"/>
  <c r="BR67" i="10"/>
  <c r="CP67" i="10"/>
  <c r="BR68" i="10"/>
  <c r="CP68" i="10"/>
  <c r="BR69" i="10"/>
  <c r="CP69" i="10"/>
  <c r="BR70" i="10"/>
  <c r="BR71" i="10"/>
  <c r="CP71" i="10"/>
  <c r="BR72" i="10"/>
  <c r="CP72" i="10"/>
  <c r="BR73" i="10"/>
  <c r="CP73" i="10"/>
  <c r="BR74" i="10"/>
  <c r="CP74" i="10"/>
  <c r="BR75" i="10"/>
  <c r="CP75" i="10"/>
  <c r="BR76" i="10"/>
  <c r="CP76" i="10"/>
  <c r="BR77" i="10"/>
  <c r="CP77" i="10"/>
  <c r="BR78" i="10"/>
  <c r="CP78" i="10"/>
  <c r="BR79" i="10"/>
  <c r="CP79" i="10"/>
  <c r="BR80" i="10"/>
  <c r="CP80" i="10"/>
  <c r="BR81" i="10"/>
  <c r="CP81" i="10"/>
  <c r="BR82" i="10"/>
  <c r="CP82" i="10"/>
  <c r="BR83" i="10"/>
  <c r="CP83" i="10"/>
  <c r="BR84" i="10"/>
  <c r="CP84" i="10"/>
  <c r="BR85" i="10"/>
  <c r="CP85" i="10"/>
  <c r="BR86" i="10"/>
  <c r="BR87" i="10"/>
  <c r="CP87" i="10"/>
  <c r="BR88" i="10"/>
  <c r="CP88" i="10"/>
  <c r="BR89" i="10"/>
  <c r="CP89" i="10"/>
  <c r="BR90" i="10"/>
  <c r="CP90" i="10"/>
  <c r="BR91" i="10"/>
  <c r="CP91" i="10"/>
  <c r="BR92" i="10"/>
  <c r="CP92" i="10"/>
  <c r="BR93" i="10"/>
  <c r="CP93" i="10"/>
  <c r="BR94" i="10"/>
  <c r="CP94" i="10"/>
  <c r="BR95" i="10"/>
  <c r="CP95" i="10"/>
  <c r="BR96" i="10"/>
  <c r="CP96" i="10"/>
  <c r="BR97" i="10"/>
  <c r="CP97" i="10"/>
  <c r="CP86" i="10"/>
  <c r="CP70" i="10"/>
  <c r="CP66" i="10"/>
  <c r="CP62" i="10"/>
  <c r="CP54" i="10"/>
  <c r="CP49" i="10"/>
  <c r="CP37" i="10"/>
  <c r="CP29" i="10"/>
  <c r="CP27" i="10"/>
  <c r="CP17" i="10"/>
  <c r="CP15" i="10"/>
  <c r="CP13" i="10"/>
  <c r="CO9" i="10"/>
  <c r="S16" i="34"/>
  <c r="BP9" i="10"/>
  <c r="BP10" i="10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44" i="10"/>
  <c r="BP45" i="10"/>
  <c r="BP46" i="10"/>
  <c r="BP47" i="10"/>
  <c r="BP48" i="10"/>
  <c r="BP49" i="10"/>
  <c r="BP50" i="10"/>
  <c r="BP51" i="10"/>
  <c r="BP52" i="10"/>
  <c r="BP53" i="10"/>
  <c r="BP54" i="10"/>
  <c r="BP55" i="10"/>
  <c r="BP56" i="10"/>
  <c r="BP57" i="10"/>
  <c r="BP58" i="10"/>
  <c r="BP59" i="10"/>
  <c r="BP60" i="10"/>
  <c r="BP61" i="10"/>
  <c r="BP62" i="10"/>
  <c r="BP63" i="10"/>
  <c r="BP64" i="10"/>
  <c r="BP65" i="10"/>
  <c r="BP66" i="10"/>
  <c r="BP67" i="10"/>
  <c r="BP68" i="10"/>
  <c r="BP69" i="10"/>
  <c r="BP70" i="10"/>
  <c r="BP71" i="10"/>
  <c r="BP72" i="10"/>
  <c r="BP73" i="10"/>
  <c r="BP74" i="10"/>
  <c r="BP75" i="10"/>
  <c r="BP76" i="10"/>
  <c r="BP77" i="10"/>
  <c r="BP78" i="10"/>
  <c r="BP79" i="10"/>
  <c r="BP80" i="10"/>
  <c r="BP81" i="10"/>
  <c r="BP82" i="10"/>
  <c r="BP83" i="10"/>
  <c r="BP84" i="10"/>
  <c r="BP85" i="10"/>
  <c r="BP86" i="10"/>
  <c r="BP87" i="10"/>
  <c r="BP88" i="10"/>
  <c r="BP89" i="10"/>
  <c r="BP90" i="10"/>
  <c r="BP91" i="10"/>
  <c r="BP92" i="10"/>
  <c r="BP93" i="10"/>
  <c r="BP94" i="10"/>
  <c r="BP95" i="10"/>
  <c r="BP96" i="10"/>
  <c r="BP97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N9" i="10"/>
  <c r="BN10" i="10"/>
  <c r="BN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N34" i="10"/>
  <c r="BN35" i="10"/>
  <c r="BN36" i="10"/>
  <c r="BN37" i="10"/>
  <c r="BN38" i="10"/>
  <c r="BN39" i="10"/>
  <c r="BN40" i="10"/>
  <c r="BN41" i="10"/>
  <c r="BN42" i="10"/>
  <c r="BN43" i="10"/>
  <c r="BN44" i="10"/>
  <c r="BN45" i="10"/>
  <c r="BN46" i="10"/>
  <c r="BN47" i="10"/>
  <c r="BN48" i="10"/>
  <c r="BN49" i="10"/>
  <c r="BN50" i="10"/>
  <c r="BN51" i="10"/>
  <c r="BN52" i="10"/>
  <c r="BN53" i="10"/>
  <c r="BN54" i="10"/>
  <c r="BN55" i="10"/>
  <c r="BN56" i="10"/>
  <c r="BN57" i="10"/>
  <c r="BN58" i="10"/>
  <c r="BN59" i="10"/>
  <c r="BN60" i="10"/>
  <c r="BN61" i="10"/>
  <c r="BN62" i="10"/>
  <c r="BN63" i="10"/>
  <c r="BN64" i="10"/>
  <c r="BN65" i="10"/>
  <c r="BN66" i="10"/>
  <c r="BN67" i="10"/>
  <c r="BN68" i="10"/>
  <c r="BN69" i="10"/>
  <c r="BN70" i="10"/>
  <c r="BN71" i="10"/>
  <c r="BN72" i="10"/>
  <c r="BN73" i="10"/>
  <c r="BN74" i="10"/>
  <c r="BN75" i="10"/>
  <c r="BN76" i="10"/>
  <c r="BN77" i="10"/>
  <c r="BN78" i="10"/>
  <c r="BN79" i="10"/>
  <c r="BN80" i="10"/>
  <c r="BN81" i="10"/>
  <c r="BN82" i="10"/>
  <c r="BN83" i="10"/>
  <c r="BN84" i="10"/>
  <c r="BN85" i="10"/>
  <c r="BN86" i="10"/>
  <c r="BN87" i="10"/>
  <c r="BN88" i="10"/>
  <c r="BN89" i="10"/>
  <c r="BN90" i="10"/>
  <c r="BN91" i="10"/>
  <c r="BN92" i="10"/>
  <c r="BN93" i="10"/>
  <c r="BN94" i="10"/>
  <c r="BN95" i="10"/>
  <c r="BN96" i="10"/>
  <c r="BN97" i="10"/>
  <c r="BM9" i="10"/>
  <c r="BM10" i="10"/>
  <c r="BM11" i="10"/>
  <c r="BM12" i="10"/>
  <c r="BM13" i="10"/>
  <c r="BM14" i="10"/>
  <c r="BM15" i="10"/>
  <c r="BM16" i="10"/>
  <c r="BM17" i="10"/>
  <c r="BM18" i="10"/>
  <c r="BM19" i="10"/>
  <c r="BM20" i="10"/>
  <c r="BM21" i="10"/>
  <c r="BM22" i="10"/>
  <c r="BM23" i="10"/>
  <c r="BM24" i="10"/>
  <c r="BM25" i="10"/>
  <c r="BM26" i="10"/>
  <c r="BM27" i="10"/>
  <c r="BM28" i="10"/>
  <c r="BM29" i="10"/>
  <c r="BM30" i="10"/>
  <c r="BM31" i="10"/>
  <c r="BM32" i="10"/>
  <c r="BM33" i="10"/>
  <c r="BM34" i="10"/>
  <c r="BM35" i="10"/>
  <c r="BM36" i="10"/>
  <c r="BM37" i="10"/>
  <c r="BM38" i="10"/>
  <c r="BM39" i="10"/>
  <c r="BM40" i="10"/>
  <c r="BM41" i="10"/>
  <c r="BM42" i="10"/>
  <c r="BM43" i="10"/>
  <c r="BM44" i="10"/>
  <c r="BM45" i="10"/>
  <c r="BM46" i="10"/>
  <c r="BM47" i="10"/>
  <c r="BM48" i="10"/>
  <c r="BM49" i="10"/>
  <c r="BM50" i="10"/>
  <c r="BM51" i="10"/>
  <c r="BM52" i="10"/>
  <c r="BM53" i="10"/>
  <c r="BM54" i="10"/>
  <c r="BM55" i="10"/>
  <c r="BM56" i="10"/>
  <c r="BM57" i="10"/>
  <c r="BM58" i="10"/>
  <c r="BM59" i="10"/>
  <c r="BM60" i="10"/>
  <c r="BM61" i="10"/>
  <c r="BM62" i="10"/>
  <c r="BM63" i="10"/>
  <c r="BM64" i="10"/>
  <c r="BM65" i="10"/>
  <c r="BM66" i="10"/>
  <c r="BM67" i="10"/>
  <c r="BM68" i="10"/>
  <c r="BM69" i="10"/>
  <c r="BM70" i="10"/>
  <c r="BM71" i="10"/>
  <c r="BM72" i="10"/>
  <c r="BM73" i="10"/>
  <c r="BM74" i="10"/>
  <c r="BM75" i="10"/>
  <c r="BM76" i="10"/>
  <c r="BM77" i="10"/>
  <c r="BM78" i="10"/>
  <c r="BM79" i="10"/>
  <c r="BM80" i="10"/>
  <c r="BM81" i="10"/>
  <c r="BM82" i="10"/>
  <c r="BM83" i="10"/>
  <c r="BM84" i="10"/>
  <c r="BM85" i="10"/>
  <c r="BM86" i="10"/>
  <c r="BM87" i="10"/>
  <c r="BM88" i="10"/>
  <c r="BM89" i="10"/>
  <c r="BM90" i="10"/>
  <c r="BM91" i="10"/>
  <c r="BM92" i="10"/>
  <c r="BM93" i="10"/>
  <c r="BM94" i="10"/>
  <c r="BM95" i="10"/>
  <c r="BM96" i="10"/>
  <c r="BM97" i="10"/>
  <c r="BL9" i="10"/>
  <c r="BL10" i="10"/>
  <c r="BL11" i="10"/>
  <c r="BL12" i="10"/>
  <c r="BL13" i="10"/>
  <c r="BL14" i="10"/>
  <c r="BL15" i="10"/>
  <c r="BL16" i="10"/>
  <c r="BL17" i="10"/>
  <c r="BL18" i="10"/>
  <c r="BL19" i="10"/>
  <c r="BL20" i="10"/>
  <c r="BL21" i="10"/>
  <c r="BL2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L44" i="10"/>
  <c r="BL45" i="10"/>
  <c r="BL46" i="10"/>
  <c r="BL47" i="10"/>
  <c r="BL48" i="10"/>
  <c r="BL49" i="10"/>
  <c r="BL50" i="10"/>
  <c r="BL51" i="10"/>
  <c r="BL52" i="10"/>
  <c r="BL53" i="10"/>
  <c r="BL54" i="10"/>
  <c r="BL55" i="10"/>
  <c r="BL56" i="10"/>
  <c r="BL57" i="10"/>
  <c r="BL58" i="10"/>
  <c r="BL59" i="10"/>
  <c r="BL60" i="10"/>
  <c r="BL61" i="10"/>
  <c r="BL62" i="10"/>
  <c r="BL63" i="10"/>
  <c r="BL64" i="10"/>
  <c r="BL65" i="10"/>
  <c r="BL66" i="10"/>
  <c r="BL67" i="10"/>
  <c r="BL68" i="10"/>
  <c r="BL69" i="10"/>
  <c r="BL70" i="10"/>
  <c r="BL71" i="10"/>
  <c r="BL72" i="10"/>
  <c r="BL73" i="10"/>
  <c r="BL74" i="10"/>
  <c r="BL75" i="10"/>
  <c r="BL76" i="10"/>
  <c r="BL77" i="10"/>
  <c r="BL78" i="10"/>
  <c r="BL79" i="10"/>
  <c r="BL80" i="10"/>
  <c r="BL81" i="10"/>
  <c r="BL82" i="10"/>
  <c r="BL83" i="10"/>
  <c r="BL84" i="10"/>
  <c r="BL85" i="10"/>
  <c r="BL86" i="10"/>
  <c r="BL87" i="10"/>
  <c r="BL88" i="10"/>
  <c r="BL89" i="10"/>
  <c r="BL90" i="10"/>
  <c r="BL91" i="10"/>
  <c r="BL92" i="10"/>
  <c r="BL93" i="10"/>
  <c r="BL94" i="10"/>
  <c r="BL95" i="10"/>
  <c r="BL96" i="10"/>
  <c r="BL97" i="10"/>
  <c r="BK9" i="10"/>
  <c r="M17" i="34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J9" i="10"/>
  <c r="L17" i="34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44" i="10"/>
  <c r="BJ45" i="10"/>
  <c r="BJ46" i="10"/>
  <c r="BJ47" i="10"/>
  <c r="BJ48" i="10"/>
  <c r="BJ49" i="10"/>
  <c r="BJ50" i="10"/>
  <c r="BJ51" i="10"/>
  <c r="BJ52" i="10"/>
  <c r="BJ53" i="10"/>
  <c r="BJ54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I9" i="10"/>
  <c r="BI10" i="10"/>
  <c r="BI11" i="10"/>
  <c r="BI12" i="10"/>
  <c r="BI13" i="10"/>
  <c r="BI14" i="10"/>
  <c r="BI15" i="10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BI29" i="10"/>
  <c r="BI30" i="10"/>
  <c r="BI31" i="10"/>
  <c r="BI32" i="10"/>
  <c r="BI33" i="10"/>
  <c r="BI34" i="10"/>
  <c r="BI35" i="10"/>
  <c r="BI36" i="10"/>
  <c r="BI37" i="10"/>
  <c r="BI38" i="10"/>
  <c r="BI39" i="10"/>
  <c r="BI40" i="10"/>
  <c r="BI41" i="10"/>
  <c r="BI42" i="10"/>
  <c r="BI43" i="10"/>
  <c r="BI44" i="10"/>
  <c r="BI45" i="10"/>
  <c r="BI46" i="10"/>
  <c r="BI47" i="10"/>
  <c r="BI48" i="10"/>
  <c r="BI49" i="10"/>
  <c r="BI50" i="10"/>
  <c r="BI51" i="10"/>
  <c r="BI52" i="10"/>
  <c r="BI53" i="10"/>
  <c r="BI54" i="10"/>
  <c r="BI55" i="10"/>
  <c r="BI56" i="10"/>
  <c r="BI57" i="10"/>
  <c r="BI58" i="10"/>
  <c r="BI59" i="10"/>
  <c r="BI60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I73" i="10"/>
  <c r="BI74" i="10"/>
  <c r="BI75" i="10"/>
  <c r="BI76" i="10"/>
  <c r="BI77" i="10"/>
  <c r="BI78" i="10"/>
  <c r="BI79" i="10"/>
  <c r="BI80" i="10"/>
  <c r="BI81" i="10"/>
  <c r="BI82" i="10"/>
  <c r="BI83" i="10"/>
  <c r="BI84" i="10"/>
  <c r="BI85" i="10"/>
  <c r="BI86" i="10"/>
  <c r="BI87" i="10"/>
  <c r="BI88" i="10"/>
  <c r="BI89" i="10"/>
  <c r="BI90" i="10"/>
  <c r="BI91" i="10"/>
  <c r="BI92" i="10"/>
  <c r="BI93" i="10"/>
  <c r="BI94" i="10"/>
  <c r="BI95" i="10"/>
  <c r="BI96" i="10"/>
  <c r="BI97" i="10"/>
  <c r="BH9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37" i="10"/>
  <c r="BH38" i="10"/>
  <c r="BH39" i="10"/>
  <c r="BH40" i="10"/>
  <c r="BH41" i="10"/>
  <c r="BH42" i="10"/>
  <c r="BH43" i="10"/>
  <c r="BH44" i="10"/>
  <c r="BH45" i="10"/>
  <c r="BH46" i="10"/>
  <c r="BH47" i="10"/>
  <c r="BH48" i="10"/>
  <c r="BH49" i="10"/>
  <c r="BH50" i="10"/>
  <c r="BH51" i="10"/>
  <c r="BH52" i="10"/>
  <c r="BH53" i="10"/>
  <c r="BH54" i="10"/>
  <c r="BH55" i="10"/>
  <c r="BH56" i="10"/>
  <c r="BH57" i="10"/>
  <c r="BH58" i="10"/>
  <c r="BH59" i="10"/>
  <c r="BH60" i="10"/>
  <c r="BH61" i="10"/>
  <c r="BH62" i="10"/>
  <c r="BH63" i="10"/>
  <c r="BH64" i="10"/>
  <c r="BH65" i="10"/>
  <c r="BH66" i="10"/>
  <c r="BH67" i="10"/>
  <c r="BH68" i="10"/>
  <c r="BH69" i="10"/>
  <c r="BH70" i="10"/>
  <c r="BH71" i="10"/>
  <c r="BH72" i="10"/>
  <c r="BH73" i="10"/>
  <c r="BH74" i="10"/>
  <c r="BH75" i="10"/>
  <c r="BH76" i="10"/>
  <c r="BH77" i="10"/>
  <c r="BH78" i="10"/>
  <c r="BH79" i="10"/>
  <c r="BH80" i="10"/>
  <c r="BH81" i="10"/>
  <c r="BH82" i="10"/>
  <c r="BH83" i="10"/>
  <c r="BH84" i="10"/>
  <c r="BH85" i="10"/>
  <c r="BH86" i="10"/>
  <c r="BH87" i="10"/>
  <c r="BH88" i="10"/>
  <c r="BH89" i="10"/>
  <c r="BH90" i="10"/>
  <c r="BH91" i="10"/>
  <c r="BH92" i="10"/>
  <c r="BH93" i="10"/>
  <c r="BH94" i="10"/>
  <c r="BH95" i="10"/>
  <c r="BH96" i="10"/>
  <c r="BH97" i="10"/>
  <c r="BG9" i="10"/>
  <c r="I17" i="34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F9" i="10"/>
  <c r="H17" i="34"/>
  <c r="BF10" i="10"/>
  <c r="BF11" i="10"/>
  <c r="BF12" i="10"/>
  <c r="BF13" i="10"/>
  <c r="BF14" i="10"/>
  <c r="BF15" i="10"/>
  <c r="BF16" i="10"/>
  <c r="BF17" i="10"/>
  <c r="BF18" i="10"/>
  <c r="BF19" i="10"/>
  <c r="BF20" i="10"/>
  <c r="BF21" i="10"/>
  <c r="BF22" i="10"/>
  <c r="BF23" i="10"/>
  <c r="BF24" i="10"/>
  <c r="BF25" i="10"/>
  <c r="BF26" i="10"/>
  <c r="BF27" i="10"/>
  <c r="BF28" i="10"/>
  <c r="BF29" i="10"/>
  <c r="BF30" i="10"/>
  <c r="BF31" i="10"/>
  <c r="BF32" i="10"/>
  <c r="BF33" i="10"/>
  <c r="BF34" i="10"/>
  <c r="BF35" i="10"/>
  <c r="BF36" i="10"/>
  <c r="BF37" i="10"/>
  <c r="BF38" i="10"/>
  <c r="BF39" i="10"/>
  <c r="BF40" i="10"/>
  <c r="BF41" i="10"/>
  <c r="BF42" i="10"/>
  <c r="BF43" i="10"/>
  <c r="BF44" i="10"/>
  <c r="BF45" i="10"/>
  <c r="BF46" i="10"/>
  <c r="BF47" i="10"/>
  <c r="BF48" i="10"/>
  <c r="BF49" i="10"/>
  <c r="BF50" i="10"/>
  <c r="BF51" i="10"/>
  <c r="BF52" i="10"/>
  <c r="BF53" i="10"/>
  <c r="BF54" i="10"/>
  <c r="BF55" i="10"/>
  <c r="BF56" i="10"/>
  <c r="BF57" i="10"/>
  <c r="BF58" i="10"/>
  <c r="BF59" i="10"/>
  <c r="BF60" i="10"/>
  <c r="BF61" i="10"/>
  <c r="BF62" i="10"/>
  <c r="BF63" i="10"/>
  <c r="BF64" i="10"/>
  <c r="BF65" i="10"/>
  <c r="BF66" i="10"/>
  <c r="BF67" i="10"/>
  <c r="BF68" i="10"/>
  <c r="BF69" i="10"/>
  <c r="BF70" i="10"/>
  <c r="BF71" i="10"/>
  <c r="BF72" i="10"/>
  <c r="BF73" i="10"/>
  <c r="BF74" i="10"/>
  <c r="BF75" i="10"/>
  <c r="BF76" i="10"/>
  <c r="BF77" i="10"/>
  <c r="BF78" i="10"/>
  <c r="BF79" i="10"/>
  <c r="BF80" i="10"/>
  <c r="BF81" i="10"/>
  <c r="BF82" i="10"/>
  <c r="BF83" i="10"/>
  <c r="BF84" i="10"/>
  <c r="BF85" i="10"/>
  <c r="BF86" i="10"/>
  <c r="BF87" i="10"/>
  <c r="BF88" i="10"/>
  <c r="BF89" i="10"/>
  <c r="BF90" i="10"/>
  <c r="BF91" i="10"/>
  <c r="BF92" i="10"/>
  <c r="BF93" i="10"/>
  <c r="BF94" i="10"/>
  <c r="BF95" i="10"/>
  <c r="BF96" i="10"/>
  <c r="BF97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1" i="10"/>
  <c r="BE72" i="10"/>
  <c r="BE73" i="10"/>
  <c r="BE74" i="10"/>
  <c r="BE75" i="10"/>
  <c r="BE76" i="10"/>
  <c r="BE77" i="10"/>
  <c r="BE78" i="10"/>
  <c r="BE79" i="10"/>
  <c r="BE80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D9" i="10"/>
  <c r="F17" i="34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B9" i="10"/>
  <c r="D17" i="34"/>
  <c r="BB10" i="10"/>
  <c r="BB11" i="10"/>
  <c r="BB12" i="10"/>
  <c r="BB13" i="10"/>
  <c r="BB14" i="10"/>
  <c r="BB15" i="10"/>
  <c r="BB16" i="10"/>
  <c r="BB17" i="10"/>
  <c r="BB18" i="10"/>
  <c r="BB19" i="10"/>
  <c r="BB20" i="10"/>
  <c r="BB21" i="10"/>
  <c r="BB22" i="10"/>
  <c r="BB23" i="10"/>
  <c r="BB24" i="10"/>
  <c r="BB25" i="10"/>
  <c r="BB26" i="10"/>
  <c r="BB27" i="10"/>
  <c r="BB28" i="10"/>
  <c r="BB29" i="10"/>
  <c r="BB30" i="10"/>
  <c r="BB31" i="10"/>
  <c r="BB32" i="10"/>
  <c r="BB33" i="10"/>
  <c r="BB34" i="10"/>
  <c r="BB35" i="10"/>
  <c r="BB36" i="10"/>
  <c r="BB37" i="10"/>
  <c r="BB38" i="10"/>
  <c r="BB39" i="10"/>
  <c r="BB40" i="10"/>
  <c r="BB41" i="10"/>
  <c r="BB42" i="10"/>
  <c r="BB43" i="10"/>
  <c r="BB44" i="10"/>
  <c r="BB45" i="10"/>
  <c r="BB46" i="10"/>
  <c r="BB47" i="10"/>
  <c r="BB48" i="10"/>
  <c r="BB49" i="10"/>
  <c r="BB50" i="10"/>
  <c r="BB51" i="10"/>
  <c r="BB52" i="10"/>
  <c r="BB53" i="10"/>
  <c r="BB54" i="10"/>
  <c r="BB55" i="10"/>
  <c r="BB56" i="10"/>
  <c r="BB57" i="10"/>
  <c r="BB58" i="10"/>
  <c r="BB59" i="10"/>
  <c r="BB60" i="10"/>
  <c r="BB61" i="10"/>
  <c r="BB62" i="10"/>
  <c r="BB63" i="10"/>
  <c r="BB64" i="10"/>
  <c r="BB65" i="10"/>
  <c r="BB66" i="10"/>
  <c r="BB67" i="10"/>
  <c r="BB68" i="10"/>
  <c r="BB69" i="10"/>
  <c r="BB70" i="10"/>
  <c r="BB71" i="10"/>
  <c r="BB72" i="10"/>
  <c r="BB73" i="10"/>
  <c r="BB74" i="10"/>
  <c r="BB75" i="10"/>
  <c r="BB76" i="10"/>
  <c r="BB77" i="10"/>
  <c r="BB78" i="10"/>
  <c r="BB79" i="10"/>
  <c r="BB80" i="10"/>
  <c r="BB81" i="10"/>
  <c r="BB82" i="10"/>
  <c r="BB83" i="10"/>
  <c r="BB84" i="10"/>
  <c r="BB85" i="10"/>
  <c r="BB86" i="10"/>
  <c r="BB87" i="10"/>
  <c r="BB88" i="10"/>
  <c r="BB89" i="10"/>
  <c r="BB90" i="10"/>
  <c r="BB91" i="10"/>
  <c r="BB92" i="10"/>
  <c r="BB93" i="10"/>
  <c r="BB94" i="10"/>
  <c r="BB95" i="10"/>
  <c r="BB96" i="10"/>
  <c r="BB97" i="10"/>
  <c r="BA9" i="10"/>
  <c r="C17" i="34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AZ10" i="10"/>
  <c r="AZ11" i="10"/>
  <c r="AZ12" i="10"/>
  <c r="AZ13" i="10"/>
  <c r="BX13" i="10"/>
  <c r="AZ14" i="10"/>
  <c r="AZ15" i="10"/>
  <c r="AZ16" i="10"/>
  <c r="AZ17" i="10"/>
  <c r="BX17" i="10"/>
  <c r="AZ18" i="10"/>
  <c r="AZ19" i="10"/>
  <c r="AZ20" i="10"/>
  <c r="AZ21" i="10"/>
  <c r="AZ22" i="10"/>
  <c r="AZ23" i="10"/>
  <c r="AZ24" i="10"/>
  <c r="AZ25" i="10"/>
  <c r="BX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BX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4" i="10"/>
  <c r="AZ55" i="10"/>
  <c r="AZ56" i="10"/>
  <c r="AZ57" i="10"/>
  <c r="AZ58" i="10"/>
  <c r="AZ59" i="10"/>
  <c r="AZ60" i="10"/>
  <c r="AZ61" i="10"/>
  <c r="AZ62" i="10"/>
  <c r="BX62" i="10"/>
  <c r="AZ63" i="10"/>
  <c r="AZ64" i="10"/>
  <c r="AZ65" i="10"/>
  <c r="AZ66" i="10"/>
  <c r="BX66" i="10"/>
  <c r="AZ67" i="10"/>
  <c r="AZ68" i="10"/>
  <c r="AZ69" i="10"/>
  <c r="AZ70" i="10"/>
  <c r="BX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3" i="10"/>
  <c r="AZ84" i="10"/>
  <c r="AZ85" i="10"/>
  <c r="AZ86" i="10"/>
  <c r="BX86" i="10"/>
  <c r="AZ87" i="10"/>
  <c r="AZ88" i="10"/>
  <c r="AZ89" i="10"/>
  <c r="AZ90" i="10"/>
  <c r="BX90" i="10"/>
  <c r="AZ91" i="10"/>
  <c r="AZ92" i="10"/>
  <c r="AZ93" i="10"/>
  <c r="AZ94" i="10"/>
  <c r="BX94" i="10"/>
  <c r="AZ95" i="10"/>
  <c r="AZ96" i="10"/>
  <c r="AZ97" i="10"/>
  <c r="AA98" i="10"/>
  <c r="AU98" i="10"/>
  <c r="AT98" i="10"/>
  <c r="AS98" i="10"/>
  <c r="Y31" i="34"/>
  <c r="Y37" i="34"/>
  <c r="Y39" i="34"/>
  <c r="Y40" i="34"/>
  <c r="Y21" i="34"/>
  <c r="S12" i="34"/>
  <c r="AS10" i="15"/>
  <c r="AS13" i="15"/>
  <c r="AS14" i="15"/>
  <c r="AS16" i="15"/>
  <c r="AS17" i="15"/>
  <c r="AS19" i="15"/>
  <c r="AS20" i="15"/>
  <c r="AS21" i="15"/>
  <c r="AS22" i="15"/>
  <c r="AS23" i="15"/>
  <c r="AS24" i="15"/>
  <c r="AS25" i="15"/>
  <c r="AS26" i="15"/>
  <c r="AS27" i="15"/>
  <c r="AS28" i="15"/>
  <c r="AS29" i="15"/>
  <c r="AS30" i="15"/>
  <c r="AS31" i="15"/>
  <c r="AS32" i="15"/>
  <c r="AS33" i="15"/>
  <c r="AS34" i="15"/>
  <c r="AS35" i="15"/>
  <c r="AS36" i="15"/>
  <c r="AS37" i="15"/>
  <c r="AS38" i="15"/>
  <c r="AS39" i="15"/>
  <c r="AS40" i="15"/>
  <c r="AS41" i="15"/>
  <c r="AS42" i="15"/>
  <c r="AS43" i="15"/>
  <c r="AS44" i="15"/>
  <c r="AS45" i="15"/>
  <c r="AS46" i="15"/>
  <c r="AS47" i="15"/>
  <c r="AS48" i="15"/>
  <c r="AS49" i="15"/>
  <c r="AS50" i="15"/>
  <c r="AS51" i="15"/>
  <c r="AS52" i="15"/>
  <c r="AS53" i="15"/>
  <c r="AS54" i="15"/>
  <c r="AS55" i="15"/>
  <c r="AS56" i="15"/>
  <c r="AS57" i="15"/>
  <c r="AS58" i="15"/>
  <c r="AS59" i="15"/>
  <c r="AS60" i="15"/>
  <c r="AS61" i="15"/>
  <c r="AS62" i="15"/>
  <c r="AS63" i="15"/>
  <c r="AS64" i="15"/>
  <c r="AS65" i="15"/>
  <c r="AS66" i="15"/>
  <c r="AS68" i="15"/>
  <c r="AS69" i="15"/>
  <c r="AS70" i="15"/>
  <c r="AS71" i="15"/>
  <c r="AS73" i="15"/>
  <c r="AS74" i="15"/>
  <c r="AS75" i="15"/>
  <c r="AS76" i="15"/>
  <c r="AS77" i="15"/>
  <c r="AS78" i="15"/>
  <c r="AS79" i="15"/>
  <c r="AS80" i="15"/>
  <c r="AS81" i="15"/>
  <c r="AS82" i="15"/>
  <c r="AS83" i="15"/>
  <c r="AS84" i="15"/>
  <c r="AS85" i="15"/>
  <c r="AS86" i="15"/>
  <c r="AS87" i="15"/>
  <c r="AS88" i="15"/>
  <c r="AS89" i="15"/>
  <c r="AS90" i="15"/>
  <c r="AS91" i="15"/>
  <c r="AS92" i="15"/>
  <c r="AS93" i="15"/>
  <c r="AS94" i="15"/>
  <c r="AS95" i="15"/>
  <c r="AS96" i="15"/>
  <c r="AS97" i="15"/>
  <c r="AS98" i="15"/>
  <c r="AT10" i="15"/>
  <c r="AT13" i="15"/>
  <c r="AT14" i="15"/>
  <c r="AT16" i="15"/>
  <c r="AT17" i="15"/>
  <c r="AT19" i="15"/>
  <c r="AT20" i="15"/>
  <c r="AT21" i="15"/>
  <c r="AT22" i="15"/>
  <c r="AT23" i="15"/>
  <c r="AT24" i="15"/>
  <c r="AT25" i="15"/>
  <c r="AT26" i="15"/>
  <c r="AT27" i="15"/>
  <c r="AT28" i="15"/>
  <c r="AT29" i="15"/>
  <c r="AT30" i="15"/>
  <c r="AT31" i="15"/>
  <c r="AT32" i="15"/>
  <c r="AT33" i="15"/>
  <c r="AT34" i="15"/>
  <c r="AT35" i="15"/>
  <c r="AT36" i="15"/>
  <c r="AT37" i="15"/>
  <c r="AT38" i="15"/>
  <c r="AT39" i="15"/>
  <c r="AT40" i="15"/>
  <c r="AT41" i="15"/>
  <c r="AT42" i="15"/>
  <c r="AT43" i="15"/>
  <c r="AT44" i="15"/>
  <c r="AT45" i="15"/>
  <c r="AT46" i="15"/>
  <c r="AT47" i="15"/>
  <c r="AT48" i="15"/>
  <c r="AT49" i="15"/>
  <c r="AT50" i="15"/>
  <c r="AT51" i="15"/>
  <c r="AT52" i="15"/>
  <c r="AT53" i="15"/>
  <c r="AT54" i="15"/>
  <c r="AT55" i="15"/>
  <c r="AT56" i="15"/>
  <c r="AT57" i="15"/>
  <c r="AT58" i="15"/>
  <c r="AT59" i="15"/>
  <c r="AT60" i="15"/>
  <c r="AT61" i="15"/>
  <c r="AT62" i="15"/>
  <c r="AT63" i="15"/>
  <c r="AT64" i="15"/>
  <c r="AT65" i="15"/>
  <c r="AT66" i="15"/>
  <c r="AT68" i="15"/>
  <c r="AT69" i="15"/>
  <c r="AT70" i="15"/>
  <c r="AT71" i="15"/>
  <c r="AT73" i="15"/>
  <c r="AT74" i="15"/>
  <c r="AT75" i="15"/>
  <c r="AT76" i="15"/>
  <c r="AT77" i="15"/>
  <c r="AT78" i="15"/>
  <c r="AT79" i="15"/>
  <c r="AT80" i="15"/>
  <c r="AT81" i="15"/>
  <c r="AT82" i="15"/>
  <c r="AT83" i="15"/>
  <c r="AT84" i="15"/>
  <c r="AT85" i="15"/>
  <c r="AT86" i="15"/>
  <c r="AT87" i="15"/>
  <c r="AT88" i="15"/>
  <c r="AT89" i="15"/>
  <c r="AT90" i="15"/>
  <c r="AT91" i="15"/>
  <c r="AT92" i="15"/>
  <c r="AT93" i="15"/>
  <c r="AT94" i="15"/>
  <c r="AT95" i="15"/>
  <c r="AT96" i="15"/>
  <c r="AT97" i="15"/>
  <c r="AT98" i="15"/>
  <c r="AR10" i="15"/>
  <c r="AR13" i="15"/>
  <c r="AR14" i="15"/>
  <c r="AR16" i="15"/>
  <c r="AR17" i="15"/>
  <c r="AR19" i="15"/>
  <c r="AR20" i="15"/>
  <c r="AR21" i="15"/>
  <c r="AR22" i="15"/>
  <c r="AR23" i="15"/>
  <c r="AR24" i="15"/>
  <c r="AR25" i="15"/>
  <c r="AR26" i="15"/>
  <c r="AR27" i="15"/>
  <c r="AR28" i="15"/>
  <c r="AR29" i="15"/>
  <c r="AR30" i="15"/>
  <c r="AR31" i="15"/>
  <c r="AR32" i="15"/>
  <c r="AR33" i="15"/>
  <c r="AR34" i="15"/>
  <c r="AR35" i="15"/>
  <c r="AR36" i="15"/>
  <c r="AR37" i="15"/>
  <c r="AR38" i="15"/>
  <c r="AR39" i="15"/>
  <c r="AR40" i="15"/>
  <c r="AR41" i="15"/>
  <c r="AR42" i="15"/>
  <c r="AR43" i="15"/>
  <c r="AR44" i="15"/>
  <c r="AR45" i="15"/>
  <c r="AR46" i="15"/>
  <c r="AR47" i="15"/>
  <c r="AR48" i="15"/>
  <c r="AR49" i="15"/>
  <c r="AR50" i="15"/>
  <c r="AR51" i="15"/>
  <c r="AR52" i="15"/>
  <c r="AR53" i="15"/>
  <c r="AR54" i="15"/>
  <c r="AR55" i="15"/>
  <c r="AR56" i="15"/>
  <c r="AR57" i="15"/>
  <c r="AR58" i="15"/>
  <c r="AR59" i="15"/>
  <c r="AR60" i="15"/>
  <c r="AR61" i="15"/>
  <c r="AR62" i="15"/>
  <c r="AR63" i="15"/>
  <c r="AR64" i="15"/>
  <c r="AR65" i="15"/>
  <c r="AR66" i="15"/>
  <c r="AR68" i="15"/>
  <c r="AR69" i="15"/>
  <c r="AR70" i="15"/>
  <c r="AR71" i="15"/>
  <c r="AR73" i="15"/>
  <c r="AR74" i="15"/>
  <c r="AR75" i="15"/>
  <c r="AR76" i="15"/>
  <c r="AR77" i="15"/>
  <c r="AR78" i="15"/>
  <c r="AR79" i="15"/>
  <c r="AR80" i="15"/>
  <c r="AR81" i="15"/>
  <c r="AR82" i="15"/>
  <c r="AR83" i="15"/>
  <c r="AR84" i="15"/>
  <c r="AR85" i="15"/>
  <c r="AR86" i="15"/>
  <c r="AR87" i="15"/>
  <c r="AR88" i="15"/>
  <c r="AR89" i="15"/>
  <c r="AR90" i="15"/>
  <c r="AR91" i="15"/>
  <c r="AR92" i="15"/>
  <c r="AR93" i="15"/>
  <c r="AR94" i="15"/>
  <c r="AR95" i="15"/>
  <c r="AR96" i="15"/>
  <c r="AR97" i="15"/>
  <c r="AR98" i="15"/>
  <c r="AR10" i="27"/>
  <c r="AR13" i="27"/>
  <c r="AR14" i="27"/>
  <c r="AR16" i="27"/>
  <c r="AR17" i="27"/>
  <c r="AR19" i="27"/>
  <c r="AR20" i="27"/>
  <c r="AR21" i="27"/>
  <c r="AR22" i="27"/>
  <c r="AR23" i="27"/>
  <c r="AR24" i="27"/>
  <c r="AR25" i="27"/>
  <c r="AR26" i="27"/>
  <c r="AR27" i="27"/>
  <c r="AR28" i="27"/>
  <c r="AR29" i="27"/>
  <c r="AR30" i="27"/>
  <c r="AR31" i="27"/>
  <c r="AR32" i="27"/>
  <c r="AR33" i="27"/>
  <c r="AR34" i="27"/>
  <c r="AR35" i="27"/>
  <c r="AR36" i="27"/>
  <c r="AR37" i="27"/>
  <c r="AR38" i="27"/>
  <c r="AR39" i="27"/>
  <c r="AR40" i="27"/>
  <c r="AR41" i="27"/>
  <c r="AR42" i="27"/>
  <c r="AR43" i="27"/>
  <c r="AR44" i="27"/>
  <c r="AR45" i="27"/>
  <c r="AR46" i="27"/>
  <c r="AR47" i="27"/>
  <c r="AR48" i="27"/>
  <c r="AR49" i="27"/>
  <c r="AR50" i="27"/>
  <c r="AR51" i="27"/>
  <c r="AR52" i="27"/>
  <c r="AR53" i="27"/>
  <c r="AR54" i="27"/>
  <c r="AR55" i="27"/>
  <c r="AR56" i="27"/>
  <c r="AR57" i="27"/>
  <c r="AR58" i="27"/>
  <c r="AR59" i="27"/>
  <c r="AR60" i="27"/>
  <c r="AR61" i="27"/>
  <c r="AR62" i="27"/>
  <c r="AR63" i="27"/>
  <c r="AR64" i="27"/>
  <c r="AR65" i="27"/>
  <c r="AR66" i="27"/>
  <c r="AR68" i="27"/>
  <c r="AR69" i="27"/>
  <c r="AR70" i="27"/>
  <c r="AR71" i="27"/>
  <c r="AR73" i="27"/>
  <c r="AR74" i="27"/>
  <c r="AR75" i="27"/>
  <c r="AR76" i="27"/>
  <c r="AR77" i="27"/>
  <c r="AR78" i="27"/>
  <c r="AR79" i="27"/>
  <c r="AR80" i="27"/>
  <c r="AR81" i="27"/>
  <c r="AR82" i="27"/>
  <c r="AR83" i="27"/>
  <c r="AR84" i="27"/>
  <c r="AR85" i="27"/>
  <c r="AR86" i="27"/>
  <c r="AR87" i="27"/>
  <c r="AR88" i="27"/>
  <c r="AR89" i="27"/>
  <c r="AR90" i="27"/>
  <c r="AR91" i="27"/>
  <c r="AR92" i="27"/>
  <c r="AR93" i="27"/>
  <c r="AR94" i="27"/>
  <c r="AR95" i="27"/>
  <c r="AR96" i="27"/>
  <c r="AR97" i="27"/>
  <c r="AR98" i="27"/>
  <c r="AS10" i="27"/>
  <c r="AS13" i="27"/>
  <c r="AS14" i="27"/>
  <c r="AS16" i="27"/>
  <c r="AS17" i="27"/>
  <c r="AS19" i="27"/>
  <c r="AS20" i="27"/>
  <c r="AS21" i="27"/>
  <c r="AS22" i="27"/>
  <c r="AS23" i="27"/>
  <c r="AS24" i="27"/>
  <c r="AS25" i="27"/>
  <c r="AS26" i="27"/>
  <c r="AS27" i="27"/>
  <c r="AS28" i="27"/>
  <c r="AS29" i="27"/>
  <c r="AS30" i="27"/>
  <c r="AS31" i="27"/>
  <c r="AS32" i="27"/>
  <c r="AS33" i="27"/>
  <c r="AS34" i="27"/>
  <c r="AS35" i="27"/>
  <c r="AS36" i="27"/>
  <c r="AS37" i="27"/>
  <c r="AS38" i="27"/>
  <c r="AS39" i="27"/>
  <c r="AS40" i="27"/>
  <c r="AS41" i="27"/>
  <c r="AS42" i="27"/>
  <c r="AS43" i="27"/>
  <c r="AS44" i="27"/>
  <c r="AS45" i="27"/>
  <c r="AS46" i="27"/>
  <c r="AS47" i="27"/>
  <c r="AS48" i="27"/>
  <c r="AS49" i="27"/>
  <c r="AS50" i="27"/>
  <c r="AS51" i="27"/>
  <c r="AS52" i="27"/>
  <c r="AS53" i="27"/>
  <c r="AS54" i="27"/>
  <c r="AS55" i="27"/>
  <c r="AS56" i="27"/>
  <c r="AS57" i="27"/>
  <c r="AS58" i="27"/>
  <c r="AS59" i="27"/>
  <c r="AS60" i="27"/>
  <c r="AS61" i="27"/>
  <c r="AS62" i="27"/>
  <c r="AS63" i="27"/>
  <c r="AS64" i="27"/>
  <c r="AS65" i="27"/>
  <c r="AS66" i="27"/>
  <c r="AS68" i="27"/>
  <c r="AS69" i="27"/>
  <c r="AS70" i="27"/>
  <c r="AS71" i="27"/>
  <c r="AS73" i="27"/>
  <c r="AS74" i="27"/>
  <c r="AS75" i="27"/>
  <c r="AS76" i="27"/>
  <c r="AS77" i="27"/>
  <c r="AS78" i="27"/>
  <c r="AS79" i="27"/>
  <c r="AS80" i="27"/>
  <c r="AS81" i="27"/>
  <c r="AS82" i="27"/>
  <c r="AS83" i="27"/>
  <c r="AS84" i="27"/>
  <c r="AS85" i="27"/>
  <c r="AS86" i="27"/>
  <c r="AS87" i="27"/>
  <c r="AS88" i="27"/>
  <c r="AS89" i="27"/>
  <c r="AS90" i="27"/>
  <c r="AS91" i="27"/>
  <c r="AS92" i="27"/>
  <c r="AS93" i="27"/>
  <c r="AS94" i="27"/>
  <c r="AS95" i="27"/>
  <c r="AS96" i="27"/>
  <c r="AS97" i="27"/>
  <c r="AS98" i="27"/>
  <c r="AT10" i="27"/>
  <c r="AT13" i="27"/>
  <c r="AT14" i="27"/>
  <c r="AT16" i="27"/>
  <c r="AT17" i="27"/>
  <c r="AT19" i="27"/>
  <c r="AT20" i="27"/>
  <c r="AT21" i="27"/>
  <c r="AT22" i="27"/>
  <c r="AT23" i="27"/>
  <c r="AT24" i="27"/>
  <c r="AT25" i="27"/>
  <c r="AT26" i="27"/>
  <c r="AT27" i="27"/>
  <c r="AT28" i="27"/>
  <c r="AT29" i="27"/>
  <c r="AT30" i="27"/>
  <c r="AT31" i="27"/>
  <c r="AT32" i="27"/>
  <c r="AT33" i="27"/>
  <c r="AT34" i="27"/>
  <c r="AT35" i="27"/>
  <c r="AT36" i="27"/>
  <c r="AT37" i="27"/>
  <c r="AT38" i="27"/>
  <c r="AT39" i="27"/>
  <c r="AT40" i="27"/>
  <c r="AT41" i="27"/>
  <c r="AT42" i="27"/>
  <c r="AT43" i="27"/>
  <c r="AT44" i="27"/>
  <c r="AT45" i="27"/>
  <c r="AT46" i="27"/>
  <c r="AT47" i="27"/>
  <c r="AT48" i="27"/>
  <c r="AT49" i="27"/>
  <c r="AT50" i="27"/>
  <c r="AT51" i="27"/>
  <c r="AT52" i="27"/>
  <c r="AT53" i="27"/>
  <c r="AT54" i="27"/>
  <c r="AT55" i="27"/>
  <c r="AT56" i="27"/>
  <c r="AT57" i="27"/>
  <c r="AT58" i="27"/>
  <c r="AT59" i="27"/>
  <c r="AT60" i="27"/>
  <c r="AT61" i="27"/>
  <c r="AT62" i="27"/>
  <c r="AT63" i="27"/>
  <c r="AT64" i="27"/>
  <c r="AT65" i="27"/>
  <c r="AT66" i="27"/>
  <c r="AT68" i="27"/>
  <c r="AT69" i="27"/>
  <c r="AT70" i="27"/>
  <c r="AT71" i="27"/>
  <c r="AT73" i="27"/>
  <c r="AT74" i="27"/>
  <c r="AT75" i="27"/>
  <c r="AT76" i="27"/>
  <c r="AT77" i="27"/>
  <c r="AT78" i="27"/>
  <c r="AT79" i="27"/>
  <c r="AT80" i="27"/>
  <c r="AT81" i="27"/>
  <c r="AT82" i="27"/>
  <c r="AT83" i="27"/>
  <c r="AT84" i="27"/>
  <c r="AT85" i="27"/>
  <c r="AT86" i="27"/>
  <c r="AT87" i="27"/>
  <c r="AT88" i="27"/>
  <c r="AT89" i="27"/>
  <c r="AT90" i="27"/>
  <c r="AT91" i="27"/>
  <c r="AT92" i="27"/>
  <c r="AT93" i="27"/>
  <c r="AT94" i="27"/>
  <c r="AT95" i="27"/>
  <c r="AT96" i="27"/>
  <c r="AT97" i="27"/>
  <c r="AT98" i="27"/>
  <c r="BP10" i="27"/>
  <c r="BP11" i="27"/>
  <c r="BP12" i="27"/>
  <c r="BP13" i="27"/>
  <c r="BP14" i="27"/>
  <c r="BP15" i="27"/>
  <c r="BP16" i="27"/>
  <c r="BP17" i="27"/>
  <c r="BP18" i="27"/>
  <c r="BP19" i="27"/>
  <c r="BP20" i="27"/>
  <c r="BP21" i="27"/>
  <c r="BP22" i="27"/>
  <c r="BP23" i="27"/>
  <c r="BP24" i="27"/>
  <c r="BP25" i="27"/>
  <c r="BP26" i="27"/>
  <c r="BP27" i="27"/>
  <c r="BP28" i="27"/>
  <c r="BP29" i="27"/>
  <c r="BP30" i="27"/>
  <c r="BP31" i="27"/>
  <c r="BP32" i="27"/>
  <c r="BP33" i="27"/>
  <c r="BP34" i="27"/>
  <c r="BP35" i="27"/>
  <c r="BP36" i="27"/>
  <c r="BP37" i="27"/>
  <c r="BP38" i="27"/>
  <c r="BP39" i="27"/>
  <c r="BP40" i="27"/>
  <c r="BP41" i="27"/>
  <c r="BP42" i="27"/>
  <c r="BP43" i="27"/>
  <c r="BP44" i="27"/>
  <c r="BP45" i="27"/>
  <c r="BP46" i="27"/>
  <c r="BP47" i="27"/>
  <c r="BP48" i="27"/>
  <c r="BP49" i="27"/>
  <c r="BP50" i="27"/>
  <c r="BP51" i="27"/>
  <c r="BP52" i="27"/>
  <c r="BP53" i="27"/>
  <c r="BP54" i="27"/>
  <c r="BP55" i="27"/>
  <c r="BP56" i="27"/>
  <c r="BP57" i="27"/>
  <c r="BP58" i="27"/>
  <c r="BP59" i="27"/>
  <c r="BP60" i="27"/>
  <c r="BP61" i="27"/>
  <c r="BP62" i="27"/>
  <c r="BP63" i="27"/>
  <c r="BP64" i="27"/>
  <c r="BP65" i="27"/>
  <c r="BP66" i="27"/>
  <c r="BP68" i="27"/>
  <c r="BP69" i="27"/>
  <c r="BP70" i="27"/>
  <c r="BP71" i="27"/>
  <c r="BP73" i="27"/>
  <c r="BP74" i="27"/>
  <c r="BP75" i="27"/>
  <c r="BP76" i="27"/>
  <c r="BP77" i="27"/>
  <c r="BP78" i="27"/>
  <c r="BP79" i="27"/>
  <c r="BP80" i="27"/>
  <c r="BP81" i="27"/>
  <c r="BP82" i="27"/>
  <c r="BP83" i="27"/>
  <c r="BP84" i="27"/>
  <c r="BP85" i="27"/>
  <c r="BP86" i="27"/>
  <c r="BP87" i="27"/>
  <c r="BP88" i="27"/>
  <c r="BP89" i="27"/>
  <c r="BP90" i="27"/>
  <c r="BP91" i="27"/>
  <c r="BP92" i="27"/>
  <c r="BP93" i="27"/>
  <c r="BP94" i="27"/>
  <c r="BP95" i="27"/>
  <c r="BP96" i="27"/>
  <c r="BP97" i="27"/>
  <c r="BP98" i="27"/>
  <c r="BQ10" i="27"/>
  <c r="BQ11" i="27"/>
  <c r="BQ12" i="27"/>
  <c r="BQ13" i="27"/>
  <c r="BQ14" i="27"/>
  <c r="BQ15" i="27"/>
  <c r="BQ16" i="27"/>
  <c r="BQ17" i="27"/>
  <c r="BQ18" i="27"/>
  <c r="BQ19" i="27"/>
  <c r="BQ20" i="27"/>
  <c r="BQ21" i="27"/>
  <c r="BQ22" i="27"/>
  <c r="BQ23" i="27"/>
  <c r="BQ24" i="27"/>
  <c r="BQ25" i="27"/>
  <c r="BQ26" i="27"/>
  <c r="BQ27" i="27"/>
  <c r="BQ28" i="27"/>
  <c r="BQ29" i="27"/>
  <c r="BQ30" i="27"/>
  <c r="BQ31" i="27"/>
  <c r="BQ32" i="27"/>
  <c r="BQ33" i="27"/>
  <c r="BQ34" i="27"/>
  <c r="BQ35" i="27"/>
  <c r="BQ36" i="27"/>
  <c r="BQ37" i="27"/>
  <c r="BQ38" i="27"/>
  <c r="BQ39" i="27"/>
  <c r="BQ40" i="27"/>
  <c r="BQ41" i="27"/>
  <c r="BQ42" i="27"/>
  <c r="BQ43" i="27"/>
  <c r="BQ44" i="27"/>
  <c r="BQ45" i="27"/>
  <c r="BQ46" i="27"/>
  <c r="BQ47" i="27"/>
  <c r="BQ48" i="27"/>
  <c r="BQ49" i="27"/>
  <c r="BQ50" i="27"/>
  <c r="BQ51" i="27"/>
  <c r="BQ52" i="27"/>
  <c r="BQ53" i="27"/>
  <c r="BQ54" i="27"/>
  <c r="BQ55" i="27"/>
  <c r="BQ56" i="27"/>
  <c r="BQ57" i="27"/>
  <c r="BQ58" i="27"/>
  <c r="BQ59" i="27"/>
  <c r="BQ60" i="27"/>
  <c r="BQ61" i="27"/>
  <c r="BQ62" i="27"/>
  <c r="BQ63" i="27"/>
  <c r="BQ64" i="27"/>
  <c r="BQ65" i="27"/>
  <c r="BQ66" i="27"/>
  <c r="BQ68" i="27"/>
  <c r="BQ69" i="27"/>
  <c r="BQ70" i="27"/>
  <c r="BQ71" i="27"/>
  <c r="BQ73" i="27"/>
  <c r="BQ74" i="27"/>
  <c r="BQ75" i="27"/>
  <c r="BQ76" i="27"/>
  <c r="BQ77" i="27"/>
  <c r="BQ78" i="27"/>
  <c r="BQ79" i="27"/>
  <c r="BQ80" i="27"/>
  <c r="BQ81" i="27"/>
  <c r="BQ82" i="27"/>
  <c r="BQ83" i="27"/>
  <c r="BQ84" i="27"/>
  <c r="BQ85" i="27"/>
  <c r="BQ86" i="27"/>
  <c r="BQ87" i="27"/>
  <c r="BQ88" i="27"/>
  <c r="BQ89" i="27"/>
  <c r="BQ90" i="27"/>
  <c r="BQ91" i="27"/>
  <c r="BQ92" i="27"/>
  <c r="BQ93" i="27"/>
  <c r="BQ94" i="27"/>
  <c r="BQ95" i="27"/>
  <c r="BQ96" i="27"/>
  <c r="BQ97" i="27"/>
  <c r="BQ98" i="27"/>
  <c r="BR10" i="27"/>
  <c r="BR11" i="27"/>
  <c r="BR12" i="27"/>
  <c r="BR13" i="27"/>
  <c r="BR14" i="27"/>
  <c r="BR15" i="27"/>
  <c r="BR16" i="27"/>
  <c r="BR17" i="27"/>
  <c r="BR18" i="27"/>
  <c r="BR19" i="27"/>
  <c r="BR20" i="27"/>
  <c r="BR21" i="27"/>
  <c r="BR22" i="27"/>
  <c r="BR23" i="27"/>
  <c r="BR24" i="27"/>
  <c r="BR25" i="27"/>
  <c r="BR26" i="27"/>
  <c r="BR27" i="27"/>
  <c r="BR28" i="27"/>
  <c r="BR29" i="27"/>
  <c r="BR30" i="27"/>
  <c r="BR31" i="27"/>
  <c r="BR32" i="27"/>
  <c r="BR33" i="27"/>
  <c r="BR34" i="27"/>
  <c r="BR35" i="27"/>
  <c r="BR36" i="27"/>
  <c r="BR37" i="27"/>
  <c r="BR38" i="27"/>
  <c r="BR39" i="27"/>
  <c r="BR40" i="27"/>
  <c r="BR41" i="27"/>
  <c r="BR42" i="27"/>
  <c r="BR43" i="27"/>
  <c r="BR44" i="27"/>
  <c r="BR45" i="27"/>
  <c r="BR46" i="27"/>
  <c r="BR47" i="27"/>
  <c r="BR48" i="27"/>
  <c r="BR49" i="27"/>
  <c r="BR50" i="27"/>
  <c r="BR51" i="27"/>
  <c r="BR52" i="27"/>
  <c r="BR53" i="27"/>
  <c r="BR54" i="27"/>
  <c r="BR55" i="27"/>
  <c r="BR56" i="27"/>
  <c r="BR57" i="27"/>
  <c r="BR58" i="27"/>
  <c r="BR59" i="27"/>
  <c r="BR60" i="27"/>
  <c r="BR61" i="27"/>
  <c r="BR62" i="27"/>
  <c r="BR63" i="27"/>
  <c r="BR64" i="27"/>
  <c r="BR65" i="27"/>
  <c r="BR66" i="27"/>
  <c r="BR68" i="27"/>
  <c r="BR69" i="27"/>
  <c r="BR70" i="27"/>
  <c r="BR71" i="27"/>
  <c r="BR73" i="27"/>
  <c r="BR74" i="27"/>
  <c r="BR75" i="27"/>
  <c r="BR76" i="27"/>
  <c r="BR77" i="27"/>
  <c r="BR78" i="27"/>
  <c r="BR79" i="27"/>
  <c r="BR80" i="27"/>
  <c r="BR81" i="27"/>
  <c r="BR82" i="27"/>
  <c r="BR83" i="27"/>
  <c r="BR84" i="27"/>
  <c r="BR85" i="27"/>
  <c r="BR86" i="27"/>
  <c r="BR87" i="27"/>
  <c r="BR88" i="27"/>
  <c r="BR89" i="27"/>
  <c r="BR90" i="27"/>
  <c r="BR91" i="27"/>
  <c r="BR92" i="27"/>
  <c r="BR93" i="27"/>
  <c r="BR94" i="27"/>
  <c r="BR95" i="27"/>
  <c r="BR96" i="27"/>
  <c r="BR97" i="27"/>
  <c r="BR98" i="27"/>
  <c r="CN10" i="27"/>
  <c r="CN13" i="27"/>
  <c r="CN14" i="27"/>
  <c r="CN16" i="27"/>
  <c r="CN17" i="27"/>
  <c r="CN19" i="27"/>
  <c r="CN20" i="27"/>
  <c r="CN21" i="27"/>
  <c r="CN22" i="27"/>
  <c r="CN23" i="27"/>
  <c r="CN24" i="27"/>
  <c r="CN25" i="27"/>
  <c r="CN26" i="27"/>
  <c r="CN27" i="27"/>
  <c r="CN28" i="27"/>
  <c r="CN29" i="27"/>
  <c r="CN30" i="27"/>
  <c r="CN31" i="27"/>
  <c r="CN32" i="27"/>
  <c r="CN33" i="27"/>
  <c r="CN34" i="27"/>
  <c r="CN35" i="27"/>
  <c r="CN36" i="27"/>
  <c r="CN37" i="27"/>
  <c r="CN38" i="27"/>
  <c r="CN39" i="27"/>
  <c r="CN40" i="27"/>
  <c r="CN41" i="27"/>
  <c r="CN42" i="27"/>
  <c r="CN43" i="27"/>
  <c r="CN44" i="27"/>
  <c r="CN45" i="27"/>
  <c r="CN46" i="27"/>
  <c r="CN47" i="27"/>
  <c r="CN48" i="27"/>
  <c r="CN49" i="27"/>
  <c r="CN50" i="27"/>
  <c r="CN51" i="27"/>
  <c r="CN52" i="27"/>
  <c r="CN53" i="27"/>
  <c r="CN54" i="27"/>
  <c r="CN55" i="27"/>
  <c r="CN56" i="27"/>
  <c r="CN57" i="27"/>
  <c r="CN58" i="27"/>
  <c r="CN59" i="27"/>
  <c r="CN60" i="27"/>
  <c r="CN61" i="27"/>
  <c r="CN62" i="27"/>
  <c r="CN63" i="27"/>
  <c r="CN64" i="27"/>
  <c r="CN65" i="27"/>
  <c r="CN66" i="27"/>
  <c r="CN68" i="27"/>
  <c r="CN69" i="27"/>
  <c r="CN70" i="27"/>
  <c r="CN71" i="27"/>
  <c r="CN73" i="27"/>
  <c r="CN74" i="27"/>
  <c r="CN75" i="27"/>
  <c r="CN76" i="27"/>
  <c r="CN77" i="27"/>
  <c r="CN78" i="27"/>
  <c r="CN79" i="27"/>
  <c r="CN80" i="27"/>
  <c r="CN81" i="27"/>
  <c r="CN82" i="27"/>
  <c r="CN83" i="27"/>
  <c r="CN84" i="27"/>
  <c r="CN85" i="27"/>
  <c r="CN86" i="27"/>
  <c r="CN87" i="27"/>
  <c r="CN88" i="27"/>
  <c r="CN89" i="27"/>
  <c r="CN90" i="27"/>
  <c r="CN91" i="27"/>
  <c r="CN92" i="27"/>
  <c r="CN93" i="27"/>
  <c r="CN94" i="27"/>
  <c r="CN95" i="27"/>
  <c r="CN96" i="27"/>
  <c r="CN97" i="27"/>
  <c r="CN98" i="27"/>
  <c r="CO10" i="27"/>
  <c r="CO13" i="27"/>
  <c r="CO14" i="27"/>
  <c r="CO16" i="27"/>
  <c r="CO17" i="27"/>
  <c r="CO19" i="27"/>
  <c r="CO20" i="27"/>
  <c r="CO21" i="27"/>
  <c r="CO22" i="27"/>
  <c r="CO23" i="27"/>
  <c r="CO24" i="27"/>
  <c r="CO25" i="27"/>
  <c r="CO26" i="27"/>
  <c r="CO27" i="27"/>
  <c r="CO28" i="27"/>
  <c r="CO29" i="27"/>
  <c r="CO30" i="27"/>
  <c r="CO31" i="27"/>
  <c r="CO32" i="27"/>
  <c r="CO33" i="27"/>
  <c r="CO34" i="27"/>
  <c r="CO35" i="27"/>
  <c r="CO36" i="27"/>
  <c r="CO37" i="27"/>
  <c r="CO38" i="27"/>
  <c r="CO39" i="27"/>
  <c r="CO40" i="27"/>
  <c r="CO41" i="27"/>
  <c r="CO42" i="27"/>
  <c r="CO43" i="27"/>
  <c r="CO44" i="27"/>
  <c r="CO45" i="27"/>
  <c r="CO46" i="27"/>
  <c r="CO47" i="27"/>
  <c r="CO48" i="27"/>
  <c r="CO49" i="27"/>
  <c r="CO50" i="27"/>
  <c r="CO51" i="27"/>
  <c r="CO52" i="27"/>
  <c r="CO53" i="27"/>
  <c r="CO54" i="27"/>
  <c r="CO55" i="27"/>
  <c r="CO56" i="27"/>
  <c r="CO57" i="27"/>
  <c r="CO58" i="27"/>
  <c r="CO59" i="27"/>
  <c r="CO60" i="27"/>
  <c r="CO61" i="27"/>
  <c r="CO62" i="27"/>
  <c r="CO63" i="27"/>
  <c r="CO64" i="27"/>
  <c r="CO65" i="27"/>
  <c r="CO66" i="27"/>
  <c r="CO68" i="27"/>
  <c r="CO69" i="27"/>
  <c r="CO70" i="27"/>
  <c r="CO71" i="27"/>
  <c r="CO73" i="27"/>
  <c r="CO74" i="27"/>
  <c r="CO75" i="27"/>
  <c r="CO76" i="27"/>
  <c r="CO77" i="27"/>
  <c r="CO78" i="27"/>
  <c r="CO79" i="27"/>
  <c r="CO80" i="27"/>
  <c r="CO81" i="27"/>
  <c r="CO82" i="27"/>
  <c r="CO83" i="27"/>
  <c r="CO84" i="27"/>
  <c r="CO85" i="27"/>
  <c r="CO86" i="27"/>
  <c r="CO87" i="27"/>
  <c r="CO88" i="27"/>
  <c r="CO89" i="27"/>
  <c r="CO90" i="27"/>
  <c r="CO91" i="27"/>
  <c r="CO92" i="27"/>
  <c r="CO93" i="27"/>
  <c r="CO94" i="27"/>
  <c r="CO95" i="27"/>
  <c r="CO96" i="27"/>
  <c r="CO97" i="27"/>
  <c r="CO98" i="27"/>
  <c r="CP10" i="27"/>
  <c r="CP13" i="27"/>
  <c r="CP14" i="27"/>
  <c r="CP16" i="27"/>
  <c r="CP17" i="27"/>
  <c r="CP19" i="27"/>
  <c r="CP20" i="27"/>
  <c r="CP21" i="27"/>
  <c r="CP22" i="27"/>
  <c r="CP23" i="27"/>
  <c r="CP24" i="27"/>
  <c r="CP25" i="27"/>
  <c r="CP26" i="27"/>
  <c r="CP27" i="27"/>
  <c r="CP28" i="27"/>
  <c r="CP29" i="27"/>
  <c r="CP30" i="27"/>
  <c r="CP31" i="27"/>
  <c r="CP32" i="27"/>
  <c r="CP33" i="27"/>
  <c r="CP34" i="27"/>
  <c r="CP35" i="27"/>
  <c r="CP36" i="27"/>
  <c r="CP37" i="27"/>
  <c r="CP38" i="27"/>
  <c r="CP39" i="27"/>
  <c r="CP40" i="27"/>
  <c r="CP41" i="27"/>
  <c r="CP42" i="27"/>
  <c r="CP43" i="27"/>
  <c r="CP44" i="27"/>
  <c r="CP45" i="27"/>
  <c r="CP46" i="27"/>
  <c r="CP47" i="27"/>
  <c r="CP48" i="27"/>
  <c r="CP49" i="27"/>
  <c r="CP50" i="27"/>
  <c r="CP51" i="27"/>
  <c r="CP52" i="27"/>
  <c r="CP53" i="27"/>
  <c r="CP54" i="27"/>
  <c r="CP55" i="27"/>
  <c r="CP56" i="27"/>
  <c r="CP57" i="27"/>
  <c r="CP58" i="27"/>
  <c r="CP59" i="27"/>
  <c r="CP60" i="27"/>
  <c r="CP61" i="27"/>
  <c r="CP62" i="27"/>
  <c r="CP63" i="27"/>
  <c r="CP64" i="27"/>
  <c r="CP65" i="27"/>
  <c r="CP66" i="27"/>
  <c r="CP68" i="27"/>
  <c r="CP69" i="27"/>
  <c r="CP70" i="27"/>
  <c r="CP71" i="27"/>
  <c r="CP73" i="27"/>
  <c r="CP74" i="27"/>
  <c r="CP75" i="27"/>
  <c r="CP76" i="27"/>
  <c r="CP77" i="27"/>
  <c r="CP78" i="27"/>
  <c r="CP79" i="27"/>
  <c r="CP80" i="27"/>
  <c r="CP81" i="27"/>
  <c r="CP82" i="27"/>
  <c r="CP83" i="27"/>
  <c r="CP84" i="27"/>
  <c r="CP85" i="27"/>
  <c r="CP86" i="27"/>
  <c r="CP87" i="27"/>
  <c r="CP88" i="27"/>
  <c r="CP89" i="27"/>
  <c r="CP90" i="27"/>
  <c r="CP91" i="27"/>
  <c r="CP92" i="27"/>
  <c r="CP93" i="27"/>
  <c r="CP94" i="27"/>
  <c r="CP95" i="27"/>
  <c r="CP96" i="27"/>
  <c r="CP97" i="27"/>
  <c r="CP98" i="27"/>
  <c r="CN10" i="15"/>
  <c r="CN13" i="15"/>
  <c r="CN14" i="15"/>
  <c r="CN16" i="15"/>
  <c r="CN17" i="15"/>
  <c r="CN19" i="15"/>
  <c r="CN20" i="15"/>
  <c r="CN21" i="15"/>
  <c r="CN22" i="15"/>
  <c r="CN23" i="15"/>
  <c r="CN24" i="15"/>
  <c r="CN25" i="15"/>
  <c r="CN26" i="15"/>
  <c r="CN27" i="15"/>
  <c r="CN28" i="15"/>
  <c r="CN29" i="15"/>
  <c r="CN30" i="15"/>
  <c r="CN31" i="15"/>
  <c r="CN32" i="15"/>
  <c r="CN33" i="15"/>
  <c r="CN34" i="15"/>
  <c r="CN35" i="15"/>
  <c r="CN36" i="15"/>
  <c r="CN37" i="15"/>
  <c r="CN38" i="15"/>
  <c r="CN39" i="15"/>
  <c r="CN40" i="15"/>
  <c r="CN41" i="15"/>
  <c r="CN42" i="15"/>
  <c r="CN43" i="15"/>
  <c r="CN44" i="15"/>
  <c r="CN45" i="15"/>
  <c r="CN46" i="15"/>
  <c r="CN47" i="15"/>
  <c r="CN48" i="15"/>
  <c r="CN49" i="15"/>
  <c r="CN50" i="15"/>
  <c r="CN51" i="15"/>
  <c r="CN52" i="15"/>
  <c r="CN53" i="15"/>
  <c r="CN54" i="15"/>
  <c r="CN55" i="15"/>
  <c r="CN56" i="15"/>
  <c r="CN57" i="15"/>
  <c r="CN58" i="15"/>
  <c r="CN59" i="15"/>
  <c r="CN60" i="15"/>
  <c r="CN61" i="15"/>
  <c r="CN62" i="15"/>
  <c r="CN63" i="15"/>
  <c r="CN64" i="15"/>
  <c r="CN65" i="15"/>
  <c r="CN66" i="15"/>
  <c r="CN68" i="15"/>
  <c r="CN69" i="15"/>
  <c r="CN70" i="15"/>
  <c r="CN71" i="15"/>
  <c r="CN73" i="15"/>
  <c r="CN74" i="15"/>
  <c r="CN75" i="15"/>
  <c r="CN76" i="15"/>
  <c r="CN77" i="15"/>
  <c r="CN78" i="15"/>
  <c r="CN79" i="15"/>
  <c r="CN80" i="15"/>
  <c r="CN81" i="15"/>
  <c r="CN82" i="15"/>
  <c r="CN83" i="15"/>
  <c r="CN84" i="15"/>
  <c r="CN85" i="15"/>
  <c r="CN86" i="15"/>
  <c r="CN87" i="15"/>
  <c r="CN88" i="15"/>
  <c r="CN89" i="15"/>
  <c r="CN90" i="15"/>
  <c r="CN91" i="15"/>
  <c r="CN92" i="15"/>
  <c r="CN93" i="15"/>
  <c r="CN94" i="15"/>
  <c r="CN95" i="15"/>
  <c r="CN96" i="15"/>
  <c r="CN97" i="15"/>
  <c r="CN98" i="15"/>
  <c r="CO10" i="15"/>
  <c r="CO13" i="15"/>
  <c r="CO14" i="15"/>
  <c r="CO16" i="15"/>
  <c r="CO17" i="15"/>
  <c r="CO19" i="15"/>
  <c r="CO20" i="15"/>
  <c r="CO21" i="15"/>
  <c r="CO22" i="15"/>
  <c r="CO23" i="15"/>
  <c r="CO24" i="15"/>
  <c r="CO25" i="15"/>
  <c r="CO26" i="15"/>
  <c r="CO27" i="15"/>
  <c r="CO28" i="15"/>
  <c r="CO29" i="15"/>
  <c r="CO30" i="15"/>
  <c r="CO31" i="15"/>
  <c r="CO32" i="15"/>
  <c r="CO33" i="15"/>
  <c r="CO34" i="15"/>
  <c r="CO35" i="15"/>
  <c r="CO36" i="15"/>
  <c r="CO37" i="15"/>
  <c r="CO38" i="15"/>
  <c r="CO39" i="15"/>
  <c r="CO40" i="15"/>
  <c r="CO41" i="15"/>
  <c r="CO42" i="15"/>
  <c r="CO43" i="15"/>
  <c r="CO44" i="15"/>
  <c r="CO45" i="15"/>
  <c r="CO46" i="15"/>
  <c r="CO47" i="15"/>
  <c r="CO48" i="15"/>
  <c r="CO49" i="15"/>
  <c r="CO50" i="15"/>
  <c r="CO51" i="15"/>
  <c r="CO52" i="15"/>
  <c r="CO53" i="15"/>
  <c r="CO54" i="15"/>
  <c r="CO55" i="15"/>
  <c r="CO56" i="15"/>
  <c r="CO57" i="15"/>
  <c r="CO58" i="15"/>
  <c r="CO59" i="15"/>
  <c r="CO60" i="15"/>
  <c r="CO61" i="15"/>
  <c r="CO62" i="15"/>
  <c r="CO63" i="15"/>
  <c r="CO64" i="15"/>
  <c r="CO65" i="15"/>
  <c r="CO66" i="15"/>
  <c r="CO68" i="15"/>
  <c r="CO69" i="15"/>
  <c r="CO70" i="15"/>
  <c r="CO71" i="15"/>
  <c r="CO73" i="15"/>
  <c r="CO74" i="15"/>
  <c r="CO75" i="15"/>
  <c r="CO76" i="15"/>
  <c r="CO77" i="15"/>
  <c r="CO78" i="15"/>
  <c r="CO79" i="15"/>
  <c r="CO80" i="15"/>
  <c r="CO81" i="15"/>
  <c r="CO82" i="15"/>
  <c r="CO83" i="15"/>
  <c r="CO84" i="15"/>
  <c r="CO85" i="15"/>
  <c r="CO86" i="15"/>
  <c r="CO87" i="15"/>
  <c r="CO88" i="15"/>
  <c r="CO89" i="15"/>
  <c r="CO90" i="15"/>
  <c r="CO91" i="15"/>
  <c r="CO92" i="15"/>
  <c r="CO93" i="15"/>
  <c r="CO94" i="15"/>
  <c r="CO95" i="15"/>
  <c r="CO96" i="15"/>
  <c r="CO97" i="15"/>
  <c r="CO98" i="15"/>
  <c r="CP10" i="15"/>
  <c r="CP13" i="15"/>
  <c r="CP14" i="15"/>
  <c r="CP16" i="15"/>
  <c r="CP17" i="15"/>
  <c r="CP19" i="15"/>
  <c r="CP20" i="15"/>
  <c r="CP21" i="15"/>
  <c r="CP22" i="15"/>
  <c r="CP23" i="15"/>
  <c r="CP24" i="15"/>
  <c r="CP25" i="15"/>
  <c r="CP26" i="15"/>
  <c r="CP27" i="15"/>
  <c r="CP28" i="15"/>
  <c r="CP29" i="15"/>
  <c r="CP30" i="15"/>
  <c r="CP31" i="15"/>
  <c r="CP32" i="15"/>
  <c r="CP33" i="15"/>
  <c r="CP34" i="15"/>
  <c r="CP35" i="15"/>
  <c r="CP36" i="15"/>
  <c r="CP37" i="15"/>
  <c r="CP38" i="15"/>
  <c r="CP39" i="15"/>
  <c r="CP40" i="15"/>
  <c r="CP41" i="15"/>
  <c r="CP42" i="15"/>
  <c r="CP43" i="15"/>
  <c r="CP44" i="15"/>
  <c r="CP45" i="15"/>
  <c r="CP46" i="15"/>
  <c r="CP47" i="15"/>
  <c r="CP48" i="15"/>
  <c r="CP49" i="15"/>
  <c r="CP50" i="15"/>
  <c r="CP51" i="15"/>
  <c r="CP52" i="15"/>
  <c r="CP53" i="15"/>
  <c r="CP54" i="15"/>
  <c r="CP55" i="15"/>
  <c r="CP56" i="15"/>
  <c r="CP57" i="15"/>
  <c r="CP58" i="15"/>
  <c r="CP59" i="15"/>
  <c r="CP60" i="15"/>
  <c r="CP61" i="15"/>
  <c r="CP62" i="15"/>
  <c r="CP63" i="15"/>
  <c r="CP64" i="15"/>
  <c r="CP65" i="15"/>
  <c r="CP66" i="15"/>
  <c r="CP68" i="15"/>
  <c r="CP69" i="15"/>
  <c r="CP70" i="15"/>
  <c r="CP71" i="15"/>
  <c r="CP73" i="15"/>
  <c r="CP74" i="15"/>
  <c r="CP75" i="15"/>
  <c r="CP76" i="15"/>
  <c r="CP77" i="15"/>
  <c r="CP78" i="15"/>
  <c r="CP79" i="15"/>
  <c r="CP80" i="15"/>
  <c r="CP81" i="15"/>
  <c r="CP82" i="15"/>
  <c r="CP83" i="15"/>
  <c r="CP84" i="15"/>
  <c r="CP85" i="15"/>
  <c r="CP86" i="15"/>
  <c r="CP87" i="15"/>
  <c r="CP88" i="15"/>
  <c r="CP89" i="15"/>
  <c r="CP90" i="15"/>
  <c r="CP91" i="15"/>
  <c r="CP92" i="15"/>
  <c r="CP93" i="15"/>
  <c r="CP94" i="15"/>
  <c r="CP95" i="15"/>
  <c r="CP96" i="15"/>
  <c r="CP97" i="15"/>
  <c r="CP98" i="15"/>
  <c r="CQ10" i="15"/>
  <c r="CQ13" i="15"/>
  <c r="CQ14" i="15"/>
  <c r="CQ16" i="15"/>
  <c r="CQ17" i="15"/>
  <c r="CQ19" i="15"/>
  <c r="CQ20" i="15"/>
  <c r="CQ21" i="15"/>
  <c r="CQ22" i="15"/>
  <c r="CQ23" i="15"/>
  <c r="CQ24" i="15"/>
  <c r="CQ25" i="15"/>
  <c r="CQ26" i="15"/>
  <c r="CQ27" i="15"/>
  <c r="CQ28" i="15"/>
  <c r="CQ29" i="15"/>
  <c r="CQ30" i="15"/>
  <c r="CQ31" i="15"/>
  <c r="CQ32" i="15"/>
  <c r="CQ33" i="15"/>
  <c r="CQ34" i="15"/>
  <c r="CQ35" i="15"/>
  <c r="CQ36" i="15"/>
  <c r="CQ37" i="15"/>
  <c r="CQ38" i="15"/>
  <c r="CQ39" i="15"/>
  <c r="CQ40" i="15"/>
  <c r="CQ41" i="15"/>
  <c r="CQ42" i="15"/>
  <c r="CQ43" i="15"/>
  <c r="CQ44" i="15"/>
  <c r="CQ45" i="15"/>
  <c r="CQ46" i="15"/>
  <c r="CQ47" i="15"/>
  <c r="CQ48" i="15"/>
  <c r="CQ49" i="15"/>
  <c r="CQ50" i="15"/>
  <c r="CQ51" i="15"/>
  <c r="CQ52" i="15"/>
  <c r="CQ53" i="15"/>
  <c r="CQ54" i="15"/>
  <c r="CQ55" i="15"/>
  <c r="CQ56" i="15"/>
  <c r="CQ57" i="15"/>
  <c r="CQ58" i="15"/>
  <c r="CQ59" i="15"/>
  <c r="CQ60" i="15"/>
  <c r="CQ61" i="15"/>
  <c r="CQ62" i="15"/>
  <c r="CQ63" i="15"/>
  <c r="CQ64" i="15"/>
  <c r="CQ65" i="15"/>
  <c r="CQ66" i="15"/>
  <c r="CQ68" i="15"/>
  <c r="CQ69" i="15"/>
  <c r="CQ70" i="15"/>
  <c r="CQ71" i="15"/>
  <c r="CQ73" i="15"/>
  <c r="CQ74" i="15"/>
  <c r="CQ75" i="15"/>
  <c r="CQ76" i="15"/>
  <c r="CQ77" i="15"/>
  <c r="CQ78" i="15"/>
  <c r="CQ79" i="15"/>
  <c r="CQ80" i="15"/>
  <c r="CQ81" i="15"/>
  <c r="CQ82" i="15"/>
  <c r="CQ83" i="15"/>
  <c r="CQ84" i="15"/>
  <c r="CQ85" i="15"/>
  <c r="CQ86" i="15"/>
  <c r="CQ87" i="15"/>
  <c r="CQ88" i="15"/>
  <c r="CQ89" i="15"/>
  <c r="CQ90" i="15"/>
  <c r="CQ91" i="15"/>
  <c r="CQ92" i="15"/>
  <c r="CQ93" i="15"/>
  <c r="CQ94" i="15"/>
  <c r="CQ95" i="15"/>
  <c r="CQ96" i="15"/>
  <c r="CQ97" i="15"/>
  <c r="CQ98" i="15"/>
  <c r="BP10" i="15"/>
  <c r="BP11" i="15"/>
  <c r="BP12" i="15"/>
  <c r="BP13" i="15"/>
  <c r="BP14" i="15"/>
  <c r="BP15" i="15"/>
  <c r="BP16" i="15"/>
  <c r="BP17" i="15"/>
  <c r="BP18" i="15"/>
  <c r="BP19" i="15"/>
  <c r="BP20" i="15"/>
  <c r="BP21" i="15"/>
  <c r="BP22" i="15"/>
  <c r="BP23" i="15"/>
  <c r="BP24" i="15"/>
  <c r="BP25" i="15"/>
  <c r="BP26" i="15"/>
  <c r="BP27" i="15"/>
  <c r="BP28" i="15"/>
  <c r="BP29" i="15"/>
  <c r="BP30" i="15"/>
  <c r="BP31" i="15"/>
  <c r="BP32" i="15"/>
  <c r="BP33" i="15"/>
  <c r="BP34" i="15"/>
  <c r="BP35" i="15"/>
  <c r="BP36" i="15"/>
  <c r="BP37" i="15"/>
  <c r="BP38" i="15"/>
  <c r="BP39" i="15"/>
  <c r="BP40" i="15"/>
  <c r="BP41" i="15"/>
  <c r="BP42" i="15"/>
  <c r="BP43" i="15"/>
  <c r="BP44" i="15"/>
  <c r="BP45" i="15"/>
  <c r="BP46" i="15"/>
  <c r="BP47" i="15"/>
  <c r="BP48" i="15"/>
  <c r="BP49" i="15"/>
  <c r="BP50" i="15"/>
  <c r="BP51" i="15"/>
  <c r="BP52" i="15"/>
  <c r="BP53" i="15"/>
  <c r="BP54" i="15"/>
  <c r="BP55" i="15"/>
  <c r="BP56" i="15"/>
  <c r="BP57" i="15"/>
  <c r="BP58" i="15"/>
  <c r="BP59" i="15"/>
  <c r="BP60" i="15"/>
  <c r="BP61" i="15"/>
  <c r="BP62" i="15"/>
  <c r="BP63" i="15"/>
  <c r="BP64" i="15"/>
  <c r="BP65" i="15"/>
  <c r="BP66" i="15"/>
  <c r="BP68" i="15"/>
  <c r="BP69" i="15"/>
  <c r="BP70" i="15"/>
  <c r="BP71" i="15"/>
  <c r="BP73" i="15"/>
  <c r="BP74" i="15"/>
  <c r="BP75" i="15"/>
  <c r="BP76" i="15"/>
  <c r="BP77" i="15"/>
  <c r="BP78" i="15"/>
  <c r="BP79" i="15"/>
  <c r="BP80" i="15"/>
  <c r="BP81" i="15"/>
  <c r="BP82" i="15"/>
  <c r="BP83" i="15"/>
  <c r="BP84" i="15"/>
  <c r="BP85" i="15"/>
  <c r="BP86" i="15"/>
  <c r="BP87" i="15"/>
  <c r="BP88" i="15"/>
  <c r="BP89" i="15"/>
  <c r="BP90" i="15"/>
  <c r="BP91" i="15"/>
  <c r="BP92" i="15"/>
  <c r="BP93" i="15"/>
  <c r="BP94" i="15"/>
  <c r="BP95" i="15"/>
  <c r="BP96" i="15"/>
  <c r="BP97" i="15"/>
  <c r="BP98" i="15"/>
  <c r="BQ10" i="15"/>
  <c r="BQ11" i="15"/>
  <c r="BQ12" i="15"/>
  <c r="BQ13" i="15"/>
  <c r="BQ14" i="15"/>
  <c r="BQ15" i="15"/>
  <c r="BQ16" i="15"/>
  <c r="BQ17" i="15"/>
  <c r="BQ18" i="15"/>
  <c r="BQ19" i="15"/>
  <c r="BQ20" i="15"/>
  <c r="BQ21" i="15"/>
  <c r="BQ22" i="15"/>
  <c r="BQ23" i="15"/>
  <c r="BQ24" i="15"/>
  <c r="BQ25" i="15"/>
  <c r="BQ26" i="15"/>
  <c r="BQ27" i="15"/>
  <c r="BQ28" i="15"/>
  <c r="BQ29" i="15"/>
  <c r="BQ30" i="15"/>
  <c r="BQ31" i="15"/>
  <c r="BQ32" i="15"/>
  <c r="BQ33" i="15"/>
  <c r="BQ34" i="15"/>
  <c r="BQ35" i="15"/>
  <c r="BQ36" i="15"/>
  <c r="BQ37" i="15"/>
  <c r="BQ38" i="15"/>
  <c r="BQ39" i="15"/>
  <c r="BQ40" i="15"/>
  <c r="BQ41" i="15"/>
  <c r="BQ42" i="15"/>
  <c r="BQ43" i="15"/>
  <c r="BQ44" i="15"/>
  <c r="BQ45" i="15"/>
  <c r="BQ46" i="15"/>
  <c r="BQ47" i="15"/>
  <c r="BQ48" i="15"/>
  <c r="BQ49" i="15"/>
  <c r="BQ50" i="15"/>
  <c r="BQ51" i="15"/>
  <c r="BQ52" i="15"/>
  <c r="BQ53" i="15"/>
  <c r="BQ54" i="15"/>
  <c r="BQ55" i="15"/>
  <c r="BQ56" i="15"/>
  <c r="BQ57" i="15"/>
  <c r="BQ58" i="15"/>
  <c r="BQ59" i="15"/>
  <c r="BQ60" i="15"/>
  <c r="BQ61" i="15"/>
  <c r="BQ62" i="15"/>
  <c r="BQ63" i="15"/>
  <c r="BQ64" i="15"/>
  <c r="BQ65" i="15"/>
  <c r="BQ66" i="15"/>
  <c r="BQ68" i="15"/>
  <c r="BQ69" i="15"/>
  <c r="BQ70" i="15"/>
  <c r="BQ71" i="15"/>
  <c r="BQ73" i="15"/>
  <c r="BQ74" i="15"/>
  <c r="BQ75" i="15"/>
  <c r="BQ76" i="15"/>
  <c r="BQ77" i="15"/>
  <c r="BQ78" i="15"/>
  <c r="BQ79" i="15"/>
  <c r="BQ80" i="15"/>
  <c r="BQ81" i="15"/>
  <c r="BQ82" i="15"/>
  <c r="BQ83" i="15"/>
  <c r="BQ84" i="15"/>
  <c r="BQ85" i="15"/>
  <c r="BQ86" i="15"/>
  <c r="BQ87" i="15"/>
  <c r="BQ88" i="15"/>
  <c r="BQ89" i="15"/>
  <c r="BQ90" i="15"/>
  <c r="BQ91" i="15"/>
  <c r="BQ92" i="15"/>
  <c r="BQ93" i="15"/>
  <c r="BQ94" i="15"/>
  <c r="BQ95" i="15"/>
  <c r="BQ96" i="15"/>
  <c r="BQ97" i="15"/>
  <c r="BQ98" i="15"/>
  <c r="BR10" i="15"/>
  <c r="BR11" i="15"/>
  <c r="BR12" i="15"/>
  <c r="BR13" i="15"/>
  <c r="BR14" i="15"/>
  <c r="BR15" i="15"/>
  <c r="BR16" i="15"/>
  <c r="BR17" i="15"/>
  <c r="BR18" i="15"/>
  <c r="BR19" i="15"/>
  <c r="BR20" i="15"/>
  <c r="BR21" i="15"/>
  <c r="BR22" i="15"/>
  <c r="BR23" i="15"/>
  <c r="BR24" i="15"/>
  <c r="BR25" i="15"/>
  <c r="BR26" i="15"/>
  <c r="BR27" i="15"/>
  <c r="BR28" i="15"/>
  <c r="BR29" i="15"/>
  <c r="BR30" i="15"/>
  <c r="BR31" i="15"/>
  <c r="BR32" i="15"/>
  <c r="BR33" i="15"/>
  <c r="BR34" i="15"/>
  <c r="BR35" i="15"/>
  <c r="BR36" i="15"/>
  <c r="BR37" i="15"/>
  <c r="BR38" i="15"/>
  <c r="BR39" i="15"/>
  <c r="BR40" i="15"/>
  <c r="BR41" i="15"/>
  <c r="BR42" i="15"/>
  <c r="BR43" i="15"/>
  <c r="BR44" i="15"/>
  <c r="BR45" i="15"/>
  <c r="BR46" i="15"/>
  <c r="BR47" i="15"/>
  <c r="BR48" i="15"/>
  <c r="BR49" i="15"/>
  <c r="BR50" i="15"/>
  <c r="BR51" i="15"/>
  <c r="BR52" i="15"/>
  <c r="BR53" i="15"/>
  <c r="BR54" i="15"/>
  <c r="BR55" i="15"/>
  <c r="BR56" i="15"/>
  <c r="BR57" i="15"/>
  <c r="BR58" i="15"/>
  <c r="BR59" i="15"/>
  <c r="BR60" i="15"/>
  <c r="BR61" i="15"/>
  <c r="BR62" i="15"/>
  <c r="BR63" i="15"/>
  <c r="BR64" i="15"/>
  <c r="BR65" i="15"/>
  <c r="BR66" i="15"/>
  <c r="BR68" i="15"/>
  <c r="BR69" i="15"/>
  <c r="BR70" i="15"/>
  <c r="BR71" i="15"/>
  <c r="BR73" i="15"/>
  <c r="BR74" i="15"/>
  <c r="BR75" i="15"/>
  <c r="BR76" i="15"/>
  <c r="BR77" i="15"/>
  <c r="BR78" i="15"/>
  <c r="BR79" i="15"/>
  <c r="BR80" i="15"/>
  <c r="BR81" i="15"/>
  <c r="BR82" i="15"/>
  <c r="BR83" i="15"/>
  <c r="BR84" i="15"/>
  <c r="BR85" i="15"/>
  <c r="BR86" i="15"/>
  <c r="BR87" i="15"/>
  <c r="BR88" i="15"/>
  <c r="BR89" i="15"/>
  <c r="BR90" i="15"/>
  <c r="BR91" i="15"/>
  <c r="BR92" i="15"/>
  <c r="BR93" i="15"/>
  <c r="BR94" i="15"/>
  <c r="BR95" i="15"/>
  <c r="BR96" i="15"/>
  <c r="BR97" i="15"/>
  <c r="BR98" i="15"/>
  <c r="BS10" i="15"/>
  <c r="BS11" i="15"/>
  <c r="BS12" i="15"/>
  <c r="BS13" i="15"/>
  <c r="BS14" i="15"/>
  <c r="BS15" i="15"/>
  <c r="BS16" i="15"/>
  <c r="BS17" i="15"/>
  <c r="BS18" i="15"/>
  <c r="BS19" i="15"/>
  <c r="BS20" i="15"/>
  <c r="BS21" i="15"/>
  <c r="BS22" i="15"/>
  <c r="BS23" i="15"/>
  <c r="BS24" i="15"/>
  <c r="BS25" i="15"/>
  <c r="BS26" i="15"/>
  <c r="BS27" i="15"/>
  <c r="BS28" i="15"/>
  <c r="BS29" i="15"/>
  <c r="BS30" i="15"/>
  <c r="BS31" i="15"/>
  <c r="BS32" i="15"/>
  <c r="BS33" i="15"/>
  <c r="BS34" i="15"/>
  <c r="BS35" i="15"/>
  <c r="BS36" i="15"/>
  <c r="BS37" i="15"/>
  <c r="BS38" i="15"/>
  <c r="BS39" i="15"/>
  <c r="BS40" i="15"/>
  <c r="BS41" i="15"/>
  <c r="BS42" i="15"/>
  <c r="BS43" i="15"/>
  <c r="BS44" i="15"/>
  <c r="BS45" i="15"/>
  <c r="BS46" i="15"/>
  <c r="BS47" i="15"/>
  <c r="BS48" i="15"/>
  <c r="BS49" i="15"/>
  <c r="BS50" i="15"/>
  <c r="BS51" i="15"/>
  <c r="BS52" i="15"/>
  <c r="BS53" i="15"/>
  <c r="BS54" i="15"/>
  <c r="BS55" i="15"/>
  <c r="BS56" i="15"/>
  <c r="BS57" i="15"/>
  <c r="BS58" i="15"/>
  <c r="BS59" i="15"/>
  <c r="BS60" i="15"/>
  <c r="BS61" i="15"/>
  <c r="BS62" i="15"/>
  <c r="BS63" i="15"/>
  <c r="BS64" i="15"/>
  <c r="BS65" i="15"/>
  <c r="BS66" i="15"/>
  <c r="BS68" i="15"/>
  <c r="BS69" i="15"/>
  <c r="BS70" i="15"/>
  <c r="BS71" i="15"/>
  <c r="BS73" i="15"/>
  <c r="BS74" i="15"/>
  <c r="BS75" i="15"/>
  <c r="BS76" i="15"/>
  <c r="BS77" i="15"/>
  <c r="BS78" i="15"/>
  <c r="BS79" i="15"/>
  <c r="BS80" i="15"/>
  <c r="BS81" i="15"/>
  <c r="BS82" i="15"/>
  <c r="BS83" i="15"/>
  <c r="BS84" i="15"/>
  <c r="BS85" i="15"/>
  <c r="BS86" i="15"/>
  <c r="BS87" i="15"/>
  <c r="BS88" i="15"/>
  <c r="BS89" i="15"/>
  <c r="BS90" i="15"/>
  <c r="BS91" i="15"/>
  <c r="BS92" i="15"/>
  <c r="BS93" i="15"/>
  <c r="BS94" i="15"/>
  <c r="BS95" i="15"/>
  <c r="BS96" i="15"/>
  <c r="BS97" i="15"/>
  <c r="BS98" i="15"/>
  <c r="R9" i="33"/>
  <c r="R18" i="33"/>
  <c r="CO10" i="10"/>
  <c r="HU71" i="22"/>
  <c r="HT71" i="22"/>
  <c r="HS71" i="22"/>
  <c r="HR71" i="22"/>
  <c r="HQ71" i="22"/>
  <c r="HP71" i="22"/>
  <c r="HO71" i="22"/>
  <c r="HN71" i="22"/>
  <c r="HM71" i="22"/>
  <c r="J155" i="22"/>
  <c r="I155" i="22"/>
  <c r="H155" i="22"/>
  <c r="G155" i="22"/>
  <c r="F155" i="22"/>
  <c r="E155" i="22"/>
  <c r="D155" i="22"/>
  <c r="C155" i="22"/>
  <c r="BF155" i="22"/>
  <c r="BE155" i="22"/>
  <c r="BD155" i="22"/>
  <c r="BC155" i="22"/>
  <c r="BB155" i="22"/>
  <c r="BA155" i="22"/>
  <c r="AZ155" i="22"/>
  <c r="AY155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BZ169" i="22"/>
  <c r="BY169" i="22"/>
  <c r="BX169" i="22"/>
  <c r="BW169" i="22"/>
  <c r="AQ169" i="22"/>
  <c r="AP169" i="22"/>
  <c r="AO169" i="22"/>
  <c r="AJ169" i="22"/>
  <c r="AI169" i="22"/>
  <c r="AH169" i="22"/>
  <c r="AG169" i="22"/>
  <c r="AF169" i="22"/>
  <c r="AE169" i="22"/>
  <c r="AD169" i="22"/>
  <c r="AC169" i="22"/>
  <c r="AB169" i="22"/>
  <c r="AA169" i="22"/>
  <c r="S169" i="22"/>
  <c r="R169" i="22"/>
  <c r="Q169" i="22"/>
  <c r="P169" i="22"/>
  <c r="N169" i="22"/>
  <c r="L169" i="22"/>
  <c r="K169" i="22"/>
  <c r="J169" i="22"/>
  <c r="I169" i="22"/>
  <c r="H169" i="22"/>
  <c r="G169" i="22"/>
  <c r="F169" i="22"/>
  <c r="E169" i="22"/>
  <c r="D169" i="22"/>
  <c r="C169" i="22"/>
  <c r="AH155" i="22"/>
  <c r="AG155" i="22"/>
  <c r="AF155" i="22"/>
  <c r="AE155" i="22"/>
  <c r="AD155" i="22"/>
  <c r="AC155" i="22"/>
  <c r="AB155" i="22"/>
  <c r="AA155" i="22"/>
  <c r="CD155" i="22"/>
  <c r="CC155" i="22"/>
  <c r="CB155" i="22"/>
  <c r="CA155" i="22"/>
  <c r="BZ155" i="22"/>
  <c r="BY155" i="22"/>
  <c r="BX155" i="22"/>
  <c r="BW155" i="22"/>
  <c r="BW64" i="27"/>
  <c r="BX64" i="27"/>
  <c r="BY64" i="27"/>
  <c r="BZ64" i="27"/>
  <c r="CA64" i="27"/>
  <c r="CB64" i="27"/>
  <c r="CC64" i="27"/>
  <c r="CD64" i="27"/>
  <c r="CE64" i="27"/>
  <c r="CF64" i="27"/>
  <c r="CG64" i="27"/>
  <c r="CH64" i="27"/>
  <c r="CI64" i="27"/>
  <c r="CJ64" i="27"/>
  <c r="CK64" i="27"/>
  <c r="CL64" i="27"/>
  <c r="CM64" i="27"/>
  <c r="AY64" i="27"/>
  <c r="AZ64" i="27"/>
  <c r="BA64" i="27"/>
  <c r="BB64" i="27"/>
  <c r="BC64" i="27"/>
  <c r="BD64" i="27"/>
  <c r="BE64" i="27"/>
  <c r="BF64" i="27"/>
  <c r="BG64" i="27"/>
  <c r="BH64" i="27"/>
  <c r="BI64" i="27"/>
  <c r="BJ64" i="27"/>
  <c r="BK64" i="27"/>
  <c r="BL64" i="27"/>
  <c r="BM64" i="27"/>
  <c r="BN64" i="27"/>
  <c r="BO64" i="27"/>
  <c r="Z64" i="27"/>
  <c r="AA64" i="27"/>
  <c r="AB64" i="27"/>
  <c r="AC64" i="27"/>
  <c r="AD64" i="27"/>
  <c r="AE64" i="27"/>
  <c r="AF64" i="27"/>
  <c r="AG64" i="27"/>
  <c r="AH64" i="27"/>
  <c r="AI64" i="27"/>
  <c r="AJ64" i="27"/>
  <c r="AK64" i="27"/>
  <c r="AL64" i="27"/>
  <c r="AM64" i="27"/>
  <c r="AN64" i="27"/>
  <c r="AO64" i="27"/>
  <c r="AP64" i="27"/>
  <c r="AQ64" i="27"/>
  <c r="BW64" i="15"/>
  <c r="BX64" i="15"/>
  <c r="BY64" i="15"/>
  <c r="BZ64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M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BM155" i="22"/>
  <c r="R155" i="22"/>
  <c r="BO155" i="22"/>
  <c r="CM155" i="22"/>
  <c r="BN155" i="22"/>
  <c r="CL155" i="22"/>
  <c r="S155" i="22"/>
  <c r="AQ155" i="22"/>
  <c r="K155" i="22"/>
  <c r="AI155" i="22"/>
  <c r="M155" i="22"/>
  <c r="N155" i="22"/>
  <c r="O155" i="22"/>
  <c r="BK155" i="22"/>
  <c r="CI155" i="22"/>
  <c r="BG155" i="22"/>
  <c r="CE155" i="22"/>
  <c r="BI155" i="22"/>
  <c r="P155" i="22"/>
  <c r="AN155" i="22"/>
  <c r="CJ155" i="22"/>
  <c r="BL155" i="22"/>
  <c r="CK155" i="22"/>
  <c r="HM100" i="22"/>
  <c r="HN100" i="22"/>
  <c r="HO100" i="22"/>
  <c r="HP100" i="22"/>
  <c r="HQ100" i="22"/>
  <c r="HR100" i="22"/>
  <c r="HS100" i="22"/>
  <c r="HT100" i="22"/>
  <c r="HU100" i="22"/>
  <c r="HM105" i="22"/>
  <c r="HM104" i="22"/>
  <c r="HM103" i="22"/>
  <c r="HM102" i="22"/>
  <c r="HM101" i="22"/>
  <c r="HM99" i="22"/>
  <c r="HM98" i="22"/>
  <c r="HM97" i="22"/>
  <c r="HM96" i="22"/>
  <c r="HM95" i="22"/>
  <c r="HM94" i="22"/>
  <c r="HM93" i="22"/>
  <c r="HM92" i="22"/>
  <c r="HM91" i="22"/>
  <c r="HM90" i="22"/>
  <c r="HM89" i="22"/>
  <c r="HM88" i="22"/>
  <c r="HM87" i="22"/>
  <c r="HM86" i="22"/>
  <c r="HM85" i="22"/>
  <c r="HM84" i="22"/>
  <c r="HM83" i="22"/>
  <c r="HM82" i="22"/>
  <c r="HM81" i="22"/>
  <c r="HM80" i="22"/>
  <c r="HM79" i="22"/>
  <c r="HM78" i="22"/>
  <c r="HM77" i="22"/>
  <c r="HM76" i="22"/>
  <c r="HM75" i="22"/>
  <c r="HM74" i="22"/>
  <c r="HM73" i="22"/>
  <c r="HM72" i="22"/>
  <c r="HM70" i="22"/>
  <c r="HM69" i="22"/>
  <c r="HM68" i="22"/>
  <c r="HM67" i="22"/>
  <c r="HM66" i="22"/>
  <c r="HM65" i="22"/>
  <c r="HM64" i="22"/>
  <c r="HM63" i="22"/>
  <c r="HM62" i="22"/>
  <c r="HM61" i="22"/>
  <c r="HM60" i="22"/>
  <c r="HM59" i="22"/>
  <c r="HM58" i="22"/>
  <c r="HM57" i="22"/>
  <c r="HM56" i="22"/>
  <c r="HM55" i="22"/>
  <c r="HM54" i="22"/>
  <c r="HM53" i="22"/>
  <c r="HM52" i="22"/>
  <c r="HM51" i="22"/>
  <c r="HM50" i="22"/>
  <c r="HM49" i="22"/>
  <c r="HM48" i="22"/>
  <c r="HM47" i="22"/>
  <c r="HM46" i="22"/>
  <c r="HM45" i="22"/>
  <c r="HM44" i="22"/>
  <c r="HM43" i="22"/>
  <c r="HM42" i="22"/>
  <c r="HM41" i="22"/>
  <c r="HM40" i="22"/>
  <c r="HM39" i="22"/>
  <c r="HM38" i="22"/>
  <c r="HM37" i="22"/>
  <c r="HM36" i="22"/>
  <c r="HM35" i="22"/>
  <c r="HM34" i="22"/>
  <c r="HM33" i="22"/>
  <c r="HM32" i="22"/>
  <c r="HM31" i="22"/>
  <c r="HM30" i="22"/>
  <c r="HM29" i="22"/>
  <c r="HM28" i="22"/>
  <c r="HM27" i="22"/>
  <c r="HM26" i="22"/>
  <c r="HM25" i="22"/>
  <c r="HM24" i="22"/>
  <c r="HM23" i="22"/>
  <c r="HM22" i="22"/>
  <c r="HM21" i="22"/>
  <c r="HM20" i="22"/>
  <c r="HM19" i="22"/>
  <c r="HM18" i="22"/>
  <c r="HM17" i="22"/>
  <c r="A31" i="26"/>
  <c r="AA118" i="22"/>
  <c r="AB118" i="22"/>
  <c r="AC118" i="22"/>
  <c r="AD118" i="22"/>
  <c r="AE118" i="22"/>
  <c r="AF118" i="22"/>
  <c r="AG118" i="22"/>
  <c r="AH118" i="22"/>
  <c r="AA119" i="22"/>
  <c r="AB119" i="22"/>
  <c r="AC119" i="22"/>
  <c r="AD119" i="22"/>
  <c r="AE119" i="22"/>
  <c r="AF119" i="22"/>
  <c r="AG119" i="22"/>
  <c r="AH119" i="22"/>
  <c r="AA120" i="22"/>
  <c r="AB120" i="22"/>
  <c r="AC120" i="22"/>
  <c r="AD120" i="22"/>
  <c r="AE120" i="22"/>
  <c r="AF120" i="22"/>
  <c r="AG120" i="22"/>
  <c r="AH120" i="22"/>
  <c r="AA121" i="22"/>
  <c r="AB121" i="22"/>
  <c r="AC121" i="22"/>
  <c r="AD121" i="22"/>
  <c r="AE121" i="22"/>
  <c r="AF121" i="22"/>
  <c r="AG121" i="22"/>
  <c r="AH121" i="22"/>
  <c r="AI121" i="22"/>
  <c r="AJ121" i="22"/>
  <c r="AK121" i="22"/>
  <c r="AL121" i="22"/>
  <c r="AM121" i="22"/>
  <c r="AN121" i="22"/>
  <c r="AO121" i="22"/>
  <c r="AP121" i="22"/>
  <c r="AQ121" i="22"/>
  <c r="AA122" i="22"/>
  <c r="AB122" i="22"/>
  <c r="AC122" i="22"/>
  <c r="AD122" i="22"/>
  <c r="AE122" i="22"/>
  <c r="AF122" i="22"/>
  <c r="AG122" i="22"/>
  <c r="AH122" i="22"/>
  <c r="AA123" i="22"/>
  <c r="AB123" i="22"/>
  <c r="AC123" i="22"/>
  <c r="AD123" i="22"/>
  <c r="AE123" i="22"/>
  <c r="AF123" i="22"/>
  <c r="AG123" i="22"/>
  <c r="AH123" i="22"/>
  <c r="AA124" i="22"/>
  <c r="AB124" i="22"/>
  <c r="AC124" i="22"/>
  <c r="AD124" i="22"/>
  <c r="AE124" i="22"/>
  <c r="AF124" i="22"/>
  <c r="AG124" i="22"/>
  <c r="AH124" i="22"/>
  <c r="AA125" i="22"/>
  <c r="AB125" i="22"/>
  <c r="AC125" i="22"/>
  <c r="AD125" i="22"/>
  <c r="AE125" i="22"/>
  <c r="AF125" i="22"/>
  <c r="AG125" i="22"/>
  <c r="AH125" i="22"/>
  <c r="AA126" i="22"/>
  <c r="AB126" i="22"/>
  <c r="AC126" i="22"/>
  <c r="AD126" i="22"/>
  <c r="AE126" i="22"/>
  <c r="AF126" i="22"/>
  <c r="AG126" i="22"/>
  <c r="AH126" i="22"/>
  <c r="AA127" i="22"/>
  <c r="AB127" i="22"/>
  <c r="AC127" i="22"/>
  <c r="AD127" i="22"/>
  <c r="AE127" i="22"/>
  <c r="AF127" i="22"/>
  <c r="AG127" i="22"/>
  <c r="AH127" i="22"/>
  <c r="AA128" i="22"/>
  <c r="AB128" i="22"/>
  <c r="AC128" i="22"/>
  <c r="AD128" i="22"/>
  <c r="AE128" i="22"/>
  <c r="AF128" i="22"/>
  <c r="AG128" i="22"/>
  <c r="AH128" i="22"/>
  <c r="AA129" i="22"/>
  <c r="AB129" i="22"/>
  <c r="AC129" i="22"/>
  <c r="AD129" i="22"/>
  <c r="AE129" i="22"/>
  <c r="AF129" i="22"/>
  <c r="AG129" i="22"/>
  <c r="AH129" i="22"/>
  <c r="AA130" i="22"/>
  <c r="AB130" i="22"/>
  <c r="AC130" i="22"/>
  <c r="AD130" i="22"/>
  <c r="AE130" i="22"/>
  <c r="AF130" i="22"/>
  <c r="AG130" i="22"/>
  <c r="AH130" i="22"/>
  <c r="AA131" i="22"/>
  <c r="AB131" i="22"/>
  <c r="AC131" i="22"/>
  <c r="AD131" i="22"/>
  <c r="AE131" i="22"/>
  <c r="AF131" i="22"/>
  <c r="AG131" i="22"/>
  <c r="AH131" i="22"/>
  <c r="AA132" i="22"/>
  <c r="AB132" i="22"/>
  <c r="AC132" i="22"/>
  <c r="AD132" i="22"/>
  <c r="AE132" i="22"/>
  <c r="AF132" i="22"/>
  <c r="AG132" i="22"/>
  <c r="AH132" i="22"/>
  <c r="AA133" i="22"/>
  <c r="AB133" i="22"/>
  <c r="AC133" i="22"/>
  <c r="AD133" i="22"/>
  <c r="AE133" i="22"/>
  <c r="AF133" i="22"/>
  <c r="AG133" i="22"/>
  <c r="AH133" i="22"/>
  <c r="AN133" i="22"/>
  <c r="AO133" i="22"/>
  <c r="AP133" i="22"/>
  <c r="AQ133" i="22"/>
  <c r="AA134" i="22"/>
  <c r="AB134" i="22"/>
  <c r="AC134" i="22"/>
  <c r="AD134" i="22"/>
  <c r="AE134" i="22"/>
  <c r="AF134" i="22"/>
  <c r="AG134" i="22"/>
  <c r="AH134" i="22"/>
  <c r="AA135" i="22"/>
  <c r="AB135" i="22"/>
  <c r="AC135" i="22"/>
  <c r="AD135" i="22"/>
  <c r="AE135" i="22"/>
  <c r="AF135" i="22"/>
  <c r="AG135" i="22"/>
  <c r="AH135" i="22"/>
  <c r="AA136" i="22"/>
  <c r="AB136" i="22"/>
  <c r="AC136" i="22"/>
  <c r="AD136" i="22"/>
  <c r="AE136" i="22"/>
  <c r="AF136" i="22"/>
  <c r="AG136" i="22"/>
  <c r="AH136" i="22"/>
  <c r="AI136" i="22"/>
  <c r="AA137" i="22"/>
  <c r="AB137" i="22"/>
  <c r="AC137" i="22"/>
  <c r="AD137" i="22"/>
  <c r="AE137" i="22"/>
  <c r="AF137" i="22"/>
  <c r="AG137" i="22"/>
  <c r="AH137" i="22"/>
  <c r="AA138" i="22"/>
  <c r="AB138" i="22"/>
  <c r="AC138" i="22"/>
  <c r="AD138" i="22"/>
  <c r="AE138" i="22"/>
  <c r="AF138" i="22"/>
  <c r="AG138" i="22"/>
  <c r="AH138" i="22"/>
  <c r="AA139" i="22"/>
  <c r="AB139" i="22"/>
  <c r="AC139" i="22"/>
  <c r="AD139" i="22"/>
  <c r="AE139" i="22"/>
  <c r="AF139" i="22"/>
  <c r="AG139" i="22"/>
  <c r="AH139" i="22"/>
  <c r="AA140" i="22"/>
  <c r="AB140" i="22"/>
  <c r="AC140" i="22"/>
  <c r="AD140" i="22"/>
  <c r="AE140" i="22"/>
  <c r="AF140" i="22"/>
  <c r="AG140" i="22"/>
  <c r="AH140" i="22"/>
  <c r="AA141" i="22"/>
  <c r="AB141" i="22"/>
  <c r="AC141" i="22"/>
  <c r="AD141" i="22"/>
  <c r="AE141" i="22"/>
  <c r="AF141" i="22"/>
  <c r="AG141" i="22"/>
  <c r="AH141" i="22"/>
  <c r="AI141" i="22"/>
  <c r="AJ141" i="22"/>
  <c r="AK141" i="22"/>
  <c r="AL141" i="22"/>
  <c r="AM141" i="22"/>
  <c r="AN141" i="22"/>
  <c r="AO141" i="22"/>
  <c r="AP141" i="22"/>
  <c r="AQ141" i="22"/>
  <c r="AA142" i="22"/>
  <c r="AB142" i="22"/>
  <c r="AC142" i="22"/>
  <c r="AD142" i="22"/>
  <c r="AE142" i="22"/>
  <c r="AF142" i="22"/>
  <c r="AG142" i="22"/>
  <c r="AH142" i="22"/>
  <c r="AA143" i="22"/>
  <c r="AB143" i="22"/>
  <c r="AC143" i="22"/>
  <c r="AD143" i="22"/>
  <c r="AE143" i="22"/>
  <c r="AF143" i="22"/>
  <c r="AG143" i="22"/>
  <c r="AH143" i="22"/>
  <c r="AA144" i="22"/>
  <c r="AB144" i="22"/>
  <c r="AC144" i="22"/>
  <c r="AD144" i="22"/>
  <c r="AE144" i="22"/>
  <c r="AF144" i="22"/>
  <c r="AG144" i="22"/>
  <c r="AH144" i="22"/>
  <c r="AA145" i="22"/>
  <c r="AB145" i="22"/>
  <c r="AC145" i="22"/>
  <c r="AD145" i="22"/>
  <c r="AE145" i="22"/>
  <c r="AF145" i="22"/>
  <c r="AG145" i="22"/>
  <c r="AH145" i="22"/>
  <c r="AA146" i="22"/>
  <c r="AB146" i="22"/>
  <c r="AC146" i="22"/>
  <c r="AD146" i="22"/>
  <c r="AE146" i="22"/>
  <c r="AF146" i="22"/>
  <c r="AG146" i="22"/>
  <c r="AH146" i="22"/>
  <c r="AA147" i="22"/>
  <c r="AB147" i="22"/>
  <c r="AC147" i="22"/>
  <c r="AD147" i="22"/>
  <c r="AE147" i="22"/>
  <c r="AF147" i="22"/>
  <c r="AG147" i="22"/>
  <c r="AH147" i="22"/>
  <c r="AA148" i="22"/>
  <c r="AB148" i="22"/>
  <c r="AC148" i="22"/>
  <c r="AD148" i="22"/>
  <c r="AE148" i="22"/>
  <c r="AF148" i="22"/>
  <c r="AG148" i="22"/>
  <c r="AH148" i="22"/>
  <c r="AA149" i="22"/>
  <c r="AB149" i="22"/>
  <c r="AC149" i="22"/>
  <c r="AD149" i="22"/>
  <c r="AE149" i="22"/>
  <c r="AF149" i="22"/>
  <c r="AG149" i="22"/>
  <c r="AH149" i="22"/>
  <c r="AA150" i="22"/>
  <c r="AB150" i="22"/>
  <c r="AC150" i="22"/>
  <c r="AD150" i="22"/>
  <c r="AE150" i="22"/>
  <c r="AF150" i="22"/>
  <c r="AG150" i="22"/>
  <c r="AH150" i="22"/>
  <c r="AA151" i="22"/>
  <c r="AB151" i="22"/>
  <c r="AC151" i="22"/>
  <c r="AD151" i="22"/>
  <c r="AE151" i="22"/>
  <c r="AF151" i="22"/>
  <c r="AG151" i="22"/>
  <c r="AH151" i="22"/>
  <c r="AA152" i="22"/>
  <c r="AB152" i="22"/>
  <c r="AC152" i="22"/>
  <c r="AD152" i="22"/>
  <c r="AE152" i="22"/>
  <c r="AF152" i="22"/>
  <c r="AG152" i="22"/>
  <c r="AH152" i="22"/>
  <c r="AA153" i="22"/>
  <c r="AB153" i="22"/>
  <c r="AC153" i="22"/>
  <c r="AD153" i="22"/>
  <c r="AE153" i="22"/>
  <c r="AF153" i="22"/>
  <c r="AG153" i="22"/>
  <c r="AH153" i="22"/>
  <c r="AA154" i="22"/>
  <c r="AB154" i="22"/>
  <c r="AC154" i="22"/>
  <c r="AD154" i="22"/>
  <c r="AE154" i="22"/>
  <c r="AF154" i="22"/>
  <c r="AG154" i="22"/>
  <c r="AH154" i="22"/>
  <c r="AA156" i="22"/>
  <c r="AB156" i="22"/>
  <c r="AC156" i="22"/>
  <c r="AD156" i="22"/>
  <c r="AE156" i="22"/>
  <c r="AF156" i="22"/>
  <c r="AG156" i="22"/>
  <c r="AH156" i="22"/>
  <c r="AA157" i="22"/>
  <c r="AB157" i="22"/>
  <c r="AC157" i="22"/>
  <c r="AD157" i="22"/>
  <c r="AE157" i="22"/>
  <c r="AF157" i="22"/>
  <c r="AG157" i="22"/>
  <c r="AH157" i="22"/>
  <c r="AO157" i="22"/>
  <c r="AP157" i="22"/>
  <c r="AQ157" i="22"/>
  <c r="AA158" i="22"/>
  <c r="AB158" i="22"/>
  <c r="AC158" i="22"/>
  <c r="AD158" i="22"/>
  <c r="AE158" i="22"/>
  <c r="AF158" i="22"/>
  <c r="AG158" i="22"/>
  <c r="AH158" i="22"/>
  <c r="AA159" i="22"/>
  <c r="AB159" i="22"/>
  <c r="AC159" i="22"/>
  <c r="AD159" i="22"/>
  <c r="AE159" i="22"/>
  <c r="AF159" i="22"/>
  <c r="AG159" i="22"/>
  <c r="AH159" i="22"/>
  <c r="AA160" i="22"/>
  <c r="AB160" i="22"/>
  <c r="AC160" i="22"/>
  <c r="AD160" i="22"/>
  <c r="AE160" i="22"/>
  <c r="AF160" i="22"/>
  <c r="AG160" i="22"/>
  <c r="AH160" i="22"/>
  <c r="AA161" i="22"/>
  <c r="AB161" i="22"/>
  <c r="AC161" i="22"/>
  <c r="AD161" i="22"/>
  <c r="AE161" i="22"/>
  <c r="AF161" i="22"/>
  <c r="AG161" i="22"/>
  <c r="AH161" i="22"/>
  <c r="AA162" i="22"/>
  <c r="AB162" i="22"/>
  <c r="AC162" i="22"/>
  <c r="AD162" i="22"/>
  <c r="AE162" i="22"/>
  <c r="AF162" i="22"/>
  <c r="AG162" i="22"/>
  <c r="AH162" i="22"/>
  <c r="AA163" i="22"/>
  <c r="AB163" i="22"/>
  <c r="AC163" i="22"/>
  <c r="AD163" i="22"/>
  <c r="AE163" i="22"/>
  <c r="AF163" i="22"/>
  <c r="AG163" i="22"/>
  <c r="AH163" i="22"/>
  <c r="AI163" i="22"/>
  <c r="AJ163" i="22"/>
  <c r="AK163" i="22"/>
  <c r="AL163" i="22"/>
  <c r="AM163" i="22"/>
  <c r="AN163" i="22"/>
  <c r="AO163" i="22"/>
  <c r="AP163" i="22"/>
  <c r="AQ163" i="22"/>
  <c r="AA164" i="22"/>
  <c r="AB164" i="22"/>
  <c r="AC164" i="22"/>
  <c r="AD164" i="22"/>
  <c r="AE164" i="22"/>
  <c r="AF164" i="22"/>
  <c r="AG164" i="22"/>
  <c r="AH164" i="22"/>
  <c r="AA165" i="22"/>
  <c r="AB165" i="22"/>
  <c r="AC165" i="22"/>
  <c r="AD165" i="22"/>
  <c r="AE165" i="22"/>
  <c r="AF165" i="22"/>
  <c r="AG165" i="22"/>
  <c r="AH165" i="22"/>
  <c r="AA166" i="22"/>
  <c r="AB166" i="22"/>
  <c r="AC166" i="22"/>
  <c r="AD166" i="22"/>
  <c r="AE166" i="22"/>
  <c r="AF166" i="22"/>
  <c r="AG166" i="22"/>
  <c r="AH166" i="22"/>
  <c r="AA167" i="22"/>
  <c r="AB167" i="22"/>
  <c r="AC167" i="22"/>
  <c r="AD167" i="22"/>
  <c r="AE167" i="22"/>
  <c r="AF167" i="22"/>
  <c r="AG167" i="22"/>
  <c r="AH167" i="22"/>
  <c r="AA168" i="22"/>
  <c r="AB168" i="22"/>
  <c r="AC168" i="22"/>
  <c r="AD168" i="22"/>
  <c r="AE168" i="22"/>
  <c r="AF168" i="22"/>
  <c r="AG168" i="22"/>
  <c r="AH168" i="22"/>
  <c r="AA170" i="22"/>
  <c r="AB170" i="22"/>
  <c r="AC170" i="22"/>
  <c r="AD170" i="22"/>
  <c r="AE170" i="22"/>
  <c r="AF170" i="22"/>
  <c r="AG170" i="22"/>
  <c r="AH170" i="22"/>
  <c r="AA171" i="22"/>
  <c r="AB171" i="22"/>
  <c r="AC171" i="22"/>
  <c r="AD171" i="22"/>
  <c r="AE171" i="22"/>
  <c r="AF171" i="22"/>
  <c r="AG171" i="22"/>
  <c r="AH171" i="22"/>
  <c r="AA172" i="22"/>
  <c r="AA177" i="22"/>
  <c r="C22" i="29"/>
  <c r="AB172" i="22"/>
  <c r="AB177" i="22"/>
  <c r="D22" i="29"/>
  <c r="AC172" i="22"/>
  <c r="AD172" i="22"/>
  <c r="AE172" i="22"/>
  <c r="AE177" i="22"/>
  <c r="G22" i="29"/>
  <c r="AF172" i="22"/>
  <c r="AF177" i="22"/>
  <c r="H22" i="29"/>
  <c r="AG172" i="22"/>
  <c r="AH172" i="22"/>
  <c r="AA173" i="22"/>
  <c r="AB173" i="22"/>
  <c r="AC173" i="22"/>
  <c r="AD173" i="22"/>
  <c r="AE173" i="22"/>
  <c r="AF173" i="22"/>
  <c r="AG173" i="22"/>
  <c r="AH173" i="22"/>
  <c r="AA174" i="22"/>
  <c r="AB174" i="22"/>
  <c r="AC174" i="22"/>
  <c r="AD174" i="22"/>
  <c r="AE174" i="22"/>
  <c r="AF174" i="22"/>
  <c r="AG174" i="22"/>
  <c r="AH174" i="22"/>
  <c r="AA175" i="22"/>
  <c r="AB175" i="22"/>
  <c r="AC175" i="22"/>
  <c r="AD175" i="22"/>
  <c r="AE175" i="22"/>
  <c r="AF175" i="22"/>
  <c r="AG175" i="22"/>
  <c r="AH175" i="22"/>
  <c r="AA176" i="22"/>
  <c r="AB176" i="22"/>
  <c r="AC176" i="22"/>
  <c r="AD176" i="22"/>
  <c r="AE176" i="22"/>
  <c r="AF176" i="22"/>
  <c r="AG176" i="22"/>
  <c r="AH176" i="22"/>
  <c r="AC177" i="22"/>
  <c r="AD177" i="22"/>
  <c r="AG177" i="22"/>
  <c r="AH177" i="22"/>
  <c r="AA178" i="22"/>
  <c r="AB178" i="22"/>
  <c r="AC178" i="22"/>
  <c r="AD178" i="22"/>
  <c r="AE178" i="22"/>
  <c r="AF178" i="22"/>
  <c r="AG178" i="22"/>
  <c r="AH178" i="22"/>
  <c r="AA179" i="22"/>
  <c r="AB179" i="22"/>
  <c r="AC179" i="22"/>
  <c r="AD179" i="22"/>
  <c r="AE179" i="22"/>
  <c r="AF179" i="22"/>
  <c r="AG179" i="22"/>
  <c r="AH179" i="22"/>
  <c r="AA180" i="22"/>
  <c r="AB180" i="22"/>
  <c r="AC180" i="22"/>
  <c r="AD180" i="22"/>
  <c r="AE180" i="22"/>
  <c r="AF180" i="22"/>
  <c r="AG180" i="22"/>
  <c r="AH180" i="22"/>
  <c r="AA181" i="22"/>
  <c r="AB181" i="22"/>
  <c r="AC181" i="22"/>
  <c r="AD181" i="22"/>
  <c r="AE181" i="22"/>
  <c r="AF181" i="22"/>
  <c r="AG181" i="22"/>
  <c r="AH181" i="22"/>
  <c r="AA182" i="22"/>
  <c r="AB182" i="22"/>
  <c r="AC182" i="22"/>
  <c r="AD182" i="22"/>
  <c r="AE182" i="22"/>
  <c r="AF182" i="22"/>
  <c r="AG182" i="22"/>
  <c r="AH182" i="22"/>
  <c r="AA183" i="22"/>
  <c r="AB183" i="22"/>
  <c r="AC183" i="22"/>
  <c r="AD183" i="22"/>
  <c r="AE183" i="22"/>
  <c r="AF183" i="22"/>
  <c r="AG183" i="22"/>
  <c r="AH183" i="22"/>
  <c r="AK183" i="22"/>
  <c r="AL183" i="22"/>
  <c r="AM183" i="22"/>
  <c r="AN183" i="22"/>
  <c r="AA184" i="22"/>
  <c r="AB184" i="22"/>
  <c r="AC184" i="22"/>
  <c r="AD184" i="22"/>
  <c r="AE184" i="22"/>
  <c r="AF184" i="22"/>
  <c r="AG184" i="22"/>
  <c r="AH184" i="22"/>
  <c r="AO184" i="22"/>
  <c r="AP184" i="22"/>
  <c r="AQ184" i="22"/>
  <c r="AA185" i="22"/>
  <c r="AB185" i="22"/>
  <c r="AC185" i="22"/>
  <c r="AD185" i="22"/>
  <c r="AE185" i="22"/>
  <c r="AF185" i="22"/>
  <c r="AG185" i="22"/>
  <c r="AH185" i="22"/>
  <c r="AA186" i="22"/>
  <c r="AB186" i="22"/>
  <c r="AC186" i="22"/>
  <c r="AD186" i="22"/>
  <c r="AE186" i="22"/>
  <c r="AF186" i="22"/>
  <c r="AG186" i="22"/>
  <c r="AH186" i="22"/>
  <c r="AA187" i="22"/>
  <c r="AB187" i="22"/>
  <c r="AC187" i="22"/>
  <c r="AD187" i="22"/>
  <c r="AE187" i="22"/>
  <c r="AF187" i="22"/>
  <c r="AG187" i="22"/>
  <c r="AH187" i="22"/>
  <c r="AI187" i="22"/>
  <c r="AA188" i="22"/>
  <c r="AB188" i="22"/>
  <c r="AC188" i="22"/>
  <c r="AD188" i="22"/>
  <c r="AE188" i="22"/>
  <c r="AF188" i="22"/>
  <c r="AG188" i="22"/>
  <c r="AH188" i="22"/>
  <c r="AA189" i="22"/>
  <c r="AB189" i="22"/>
  <c r="AC189" i="22"/>
  <c r="AD189" i="22"/>
  <c r="AE189" i="22"/>
  <c r="AF189" i="22"/>
  <c r="AG189" i="22"/>
  <c r="AH189" i="22"/>
  <c r="AA190" i="22"/>
  <c r="AB190" i="22"/>
  <c r="AC190" i="22"/>
  <c r="AD190" i="22"/>
  <c r="AE190" i="22"/>
  <c r="AF190" i="22"/>
  <c r="AG190" i="22"/>
  <c r="AH190" i="22"/>
  <c r="AA191" i="22"/>
  <c r="AB191" i="22"/>
  <c r="AC191" i="22"/>
  <c r="AD191" i="22"/>
  <c r="AE191" i="22"/>
  <c r="AF191" i="22"/>
  <c r="AG191" i="22"/>
  <c r="AH191" i="22"/>
  <c r="AA192" i="22"/>
  <c r="AB192" i="22"/>
  <c r="AC192" i="22"/>
  <c r="AD192" i="22"/>
  <c r="AE192" i="22"/>
  <c r="AF192" i="22"/>
  <c r="AG192" i="22"/>
  <c r="AH192" i="22"/>
  <c r="AA193" i="22"/>
  <c r="AB193" i="22"/>
  <c r="AC193" i="22"/>
  <c r="AD193" i="22"/>
  <c r="AE193" i="22"/>
  <c r="AF193" i="22"/>
  <c r="AG193" i="22"/>
  <c r="AH193" i="22"/>
  <c r="AA194" i="22"/>
  <c r="AB194" i="22"/>
  <c r="AC194" i="22"/>
  <c r="AD194" i="22"/>
  <c r="AE194" i="22"/>
  <c r="AF194" i="22"/>
  <c r="AG194" i="22"/>
  <c r="AH194" i="22"/>
  <c r="AA195" i="22"/>
  <c r="AB195" i="22"/>
  <c r="AC195" i="22"/>
  <c r="AD195" i="22"/>
  <c r="AE195" i="22"/>
  <c r="AF195" i="22"/>
  <c r="AG195" i="22"/>
  <c r="AH195" i="22"/>
  <c r="AA196" i="22"/>
  <c r="AB196" i="22"/>
  <c r="AC196" i="22"/>
  <c r="AD196" i="22"/>
  <c r="AE196" i="22"/>
  <c r="AF196" i="22"/>
  <c r="AG196" i="22"/>
  <c r="AH196" i="22"/>
  <c r="AA197" i="22"/>
  <c r="AB197" i="22"/>
  <c r="AC197" i="22"/>
  <c r="AD197" i="22"/>
  <c r="AE197" i="22"/>
  <c r="AF197" i="22"/>
  <c r="AG197" i="22"/>
  <c r="AH197" i="22"/>
  <c r="AI197" i="22"/>
  <c r="AA198" i="22"/>
  <c r="AB198" i="22"/>
  <c r="AC198" i="22"/>
  <c r="AD198" i="22"/>
  <c r="AE198" i="22"/>
  <c r="AF198" i="22"/>
  <c r="AG198" i="22"/>
  <c r="AH198" i="22"/>
  <c r="AI198" i="22"/>
  <c r="AJ198" i="22"/>
  <c r="AK198" i="22"/>
  <c r="AL198" i="22"/>
  <c r="AM198" i="22"/>
  <c r="AN198" i="22"/>
  <c r="AA199" i="22"/>
  <c r="AB199" i="22"/>
  <c r="AC199" i="22"/>
  <c r="AD199" i="22"/>
  <c r="AE199" i="22"/>
  <c r="AF199" i="22"/>
  <c r="AG199" i="22"/>
  <c r="AH199" i="22"/>
  <c r="AA200" i="22"/>
  <c r="AB200" i="22"/>
  <c r="AC200" i="22"/>
  <c r="AD200" i="22"/>
  <c r="AE200" i="22"/>
  <c r="AF200" i="22"/>
  <c r="AG200" i="22"/>
  <c r="AH200" i="22"/>
  <c r="AA201" i="22"/>
  <c r="AB201" i="22"/>
  <c r="AC201" i="22"/>
  <c r="AD201" i="22"/>
  <c r="AE201" i="22"/>
  <c r="AF201" i="22"/>
  <c r="AG201" i="22"/>
  <c r="AH201" i="22"/>
  <c r="AI201" i="22"/>
  <c r="AJ201" i="22"/>
  <c r="AK201" i="22"/>
  <c r="AO201" i="22"/>
  <c r="AP201" i="22"/>
  <c r="AQ201" i="22"/>
  <c r="AA202" i="22"/>
  <c r="AB202" i="22"/>
  <c r="AC202" i="22"/>
  <c r="AD202" i="22"/>
  <c r="AE202" i="22"/>
  <c r="AF202" i="22"/>
  <c r="AG202" i="22"/>
  <c r="AH202" i="22"/>
  <c r="AA203" i="22"/>
  <c r="AB203" i="22"/>
  <c r="AC203" i="22"/>
  <c r="AD203" i="22"/>
  <c r="AE203" i="22"/>
  <c r="AF203" i="22"/>
  <c r="AG203" i="22"/>
  <c r="AH203" i="22"/>
  <c r="S121" i="22"/>
  <c r="S133" i="22"/>
  <c r="S141" i="22"/>
  <c r="S157" i="22"/>
  <c r="S163" i="22"/>
  <c r="S184" i="22"/>
  <c r="S195" i="22"/>
  <c r="S201" i="22"/>
  <c r="R121" i="22"/>
  <c r="R133" i="22"/>
  <c r="R141" i="22"/>
  <c r="R157" i="22"/>
  <c r="R163" i="22"/>
  <c r="R184" i="22"/>
  <c r="R201" i="22"/>
  <c r="Q121" i="22"/>
  <c r="Q133" i="22"/>
  <c r="Q141" i="22"/>
  <c r="Q157" i="22"/>
  <c r="Q163" i="22"/>
  <c r="Q184" i="22"/>
  <c r="Q201" i="22"/>
  <c r="P121" i="22"/>
  <c r="P133" i="22"/>
  <c r="P141" i="22"/>
  <c r="P143" i="22"/>
  <c r="P157" i="22"/>
  <c r="P158" i="22"/>
  <c r="P163" i="22"/>
  <c r="P167" i="22"/>
  <c r="P174" i="22"/>
  <c r="P182" i="22"/>
  <c r="P183" i="22"/>
  <c r="P184" i="22"/>
  <c r="P198" i="22"/>
  <c r="P201" i="22"/>
  <c r="O121" i="22"/>
  <c r="O133" i="22"/>
  <c r="O141" i="22"/>
  <c r="O160" i="22"/>
  <c r="O163" i="22"/>
  <c r="O183" i="22"/>
  <c r="O198" i="22"/>
  <c r="N121" i="22"/>
  <c r="N128" i="22"/>
  <c r="N141" i="22"/>
  <c r="N163" i="22"/>
  <c r="N183" i="22"/>
  <c r="N198" i="22"/>
  <c r="M121" i="22"/>
  <c r="M141" i="22"/>
  <c r="M163" i="22"/>
  <c r="M183" i="22"/>
  <c r="M198" i="22"/>
  <c r="M201" i="22"/>
  <c r="L121" i="22"/>
  <c r="L141" i="22"/>
  <c r="L163" i="22"/>
  <c r="L183" i="22"/>
  <c r="L198" i="22"/>
  <c r="L201" i="22"/>
  <c r="K121" i="22"/>
  <c r="K136" i="22"/>
  <c r="K141" i="22"/>
  <c r="K163" i="22"/>
  <c r="K187" i="22"/>
  <c r="K197" i="22"/>
  <c r="K198" i="22"/>
  <c r="K201" i="22"/>
  <c r="J116" i="22"/>
  <c r="J117" i="22"/>
  <c r="J118" i="22"/>
  <c r="J119" i="22"/>
  <c r="J120" i="22"/>
  <c r="J121" i="22"/>
  <c r="J122" i="22"/>
  <c r="J123" i="22"/>
  <c r="J27" i="30"/>
  <c r="J124" i="22"/>
  <c r="J125" i="22"/>
  <c r="J126" i="22"/>
  <c r="J127" i="22"/>
  <c r="J128" i="22"/>
  <c r="J129" i="22"/>
  <c r="J130" i="22"/>
  <c r="J131" i="22"/>
  <c r="J132" i="22"/>
  <c r="J133" i="22"/>
  <c r="J134" i="22"/>
  <c r="J135" i="22"/>
  <c r="J136" i="22"/>
  <c r="J137" i="22"/>
  <c r="J138" i="22"/>
  <c r="J139" i="22"/>
  <c r="J140" i="22"/>
  <c r="J141" i="22"/>
  <c r="J142" i="22"/>
  <c r="J143" i="22"/>
  <c r="J144" i="22"/>
  <c r="J145" i="22"/>
  <c r="J146" i="22"/>
  <c r="J147" i="22"/>
  <c r="J148" i="22"/>
  <c r="J149" i="22"/>
  <c r="J150" i="22"/>
  <c r="J151" i="22"/>
  <c r="J152" i="22"/>
  <c r="J153" i="22"/>
  <c r="J154" i="22"/>
  <c r="J156" i="22"/>
  <c r="J157" i="22"/>
  <c r="J158" i="22"/>
  <c r="J159" i="22"/>
  <c r="J160" i="22"/>
  <c r="J161" i="22"/>
  <c r="J162" i="22"/>
  <c r="J163" i="22"/>
  <c r="J164" i="22"/>
  <c r="J165" i="22"/>
  <c r="J166" i="22"/>
  <c r="J167" i="22"/>
  <c r="J168" i="22"/>
  <c r="J170" i="22"/>
  <c r="J171" i="22"/>
  <c r="J172" i="22"/>
  <c r="J177" i="22"/>
  <c r="J33" i="29"/>
  <c r="J173" i="22"/>
  <c r="J174" i="22"/>
  <c r="J175" i="22"/>
  <c r="J176" i="22"/>
  <c r="J178" i="22"/>
  <c r="J179" i="22"/>
  <c r="J180" i="22"/>
  <c r="J181" i="22"/>
  <c r="J182" i="22"/>
  <c r="J183" i="22"/>
  <c r="J184" i="22"/>
  <c r="J185" i="22"/>
  <c r="J186" i="22"/>
  <c r="J187" i="22"/>
  <c r="J188" i="22"/>
  <c r="J189" i="22"/>
  <c r="J190" i="22"/>
  <c r="J191" i="22"/>
  <c r="J192" i="22"/>
  <c r="J193" i="22"/>
  <c r="J194" i="22"/>
  <c r="J195" i="22"/>
  <c r="J196" i="22"/>
  <c r="J197" i="22"/>
  <c r="J198" i="22"/>
  <c r="J199" i="22"/>
  <c r="J200" i="22"/>
  <c r="J201" i="22"/>
  <c r="J202" i="22"/>
  <c r="J203" i="22"/>
  <c r="I116" i="22"/>
  <c r="I117" i="22"/>
  <c r="I118" i="22"/>
  <c r="I119" i="22"/>
  <c r="I120" i="22"/>
  <c r="I29" i="30"/>
  <c r="I121" i="22"/>
  <c r="I122" i="22"/>
  <c r="I123" i="22"/>
  <c r="I124" i="22"/>
  <c r="I125" i="22"/>
  <c r="I126" i="22"/>
  <c r="I127" i="22"/>
  <c r="I128" i="22"/>
  <c r="I129" i="22"/>
  <c r="I130" i="22"/>
  <c r="I131" i="22"/>
  <c r="I132" i="22"/>
  <c r="I133" i="22"/>
  <c r="I134" i="22"/>
  <c r="I135" i="22"/>
  <c r="I136" i="22"/>
  <c r="I137" i="22"/>
  <c r="I138" i="22"/>
  <c r="I139" i="22"/>
  <c r="I140" i="22"/>
  <c r="I141" i="22"/>
  <c r="I142" i="22"/>
  <c r="I143" i="22"/>
  <c r="I144" i="22"/>
  <c r="I145" i="22"/>
  <c r="I146" i="22"/>
  <c r="I147" i="22"/>
  <c r="I148" i="22"/>
  <c r="I149" i="22"/>
  <c r="I150" i="22"/>
  <c r="I151" i="22"/>
  <c r="I152" i="22"/>
  <c r="I153" i="22"/>
  <c r="I154" i="22"/>
  <c r="I156" i="22"/>
  <c r="I157" i="22"/>
  <c r="I158" i="22"/>
  <c r="I159" i="22"/>
  <c r="I160" i="22"/>
  <c r="I161" i="22"/>
  <c r="I162" i="22"/>
  <c r="I163" i="22"/>
  <c r="I164" i="22"/>
  <c r="I165" i="22"/>
  <c r="I166" i="22"/>
  <c r="I167" i="22"/>
  <c r="I168" i="22"/>
  <c r="I170" i="22"/>
  <c r="I171" i="22"/>
  <c r="I172" i="22"/>
  <c r="I173" i="22"/>
  <c r="I174" i="22"/>
  <c r="I175" i="22"/>
  <c r="I176" i="22"/>
  <c r="I177" i="22"/>
  <c r="I178" i="22"/>
  <c r="I179" i="22"/>
  <c r="I180" i="22"/>
  <c r="I181" i="22"/>
  <c r="I182" i="22"/>
  <c r="I183" i="22"/>
  <c r="I184" i="22"/>
  <c r="I185" i="22"/>
  <c r="I186" i="22"/>
  <c r="I187" i="22"/>
  <c r="I188" i="22"/>
  <c r="I189" i="22"/>
  <c r="I190" i="22"/>
  <c r="I191" i="22"/>
  <c r="I192" i="22"/>
  <c r="I193" i="22"/>
  <c r="I194" i="22"/>
  <c r="I195" i="22"/>
  <c r="I196" i="22"/>
  <c r="I197" i="22"/>
  <c r="I198" i="22"/>
  <c r="I199" i="22"/>
  <c r="I200" i="22"/>
  <c r="I201" i="22"/>
  <c r="I202" i="22"/>
  <c r="I203" i="22"/>
  <c r="H116" i="22"/>
  <c r="H117" i="22"/>
  <c r="H118" i="22"/>
  <c r="H119" i="22"/>
  <c r="H120" i="22"/>
  <c r="H29" i="30"/>
  <c r="H121" i="22"/>
  <c r="H122" i="22"/>
  <c r="H123" i="22"/>
  <c r="H27" i="30"/>
  <c r="H124" i="22"/>
  <c r="H125" i="22"/>
  <c r="H126" i="22"/>
  <c r="H127" i="22"/>
  <c r="H128" i="22"/>
  <c r="H129" i="22"/>
  <c r="H130" i="22"/>
  <c r="H131" i="22"/>
  <c r="H132" i="22"/>
  <c r="H133" i="22"/>
  <c r="H134" i="22"/>
  <c r="H135" i="22"/>
  <c r="H136" i="22"/>
  <c r="H137" i="22"/>
  <c r="H138" i="22"/>
  <c r="H139" i="22"/>
  <c r="H140" i="22"/>
  <c r="H141" i="22"/>
  <c r="H142" i="22"/>
  <c r="H143" i="22"/>
  <c r="H144" i="22"/>
  <c r="H145" i="22"/>
  <c r="H146" i="22"/>
  <c r="H147" i="22"/>
  <c r="H148" i="22"/>
  <c r="H149" i="22"/>
  <c r="H150" i="22"/>
  <c r="H151" i="22"/>
  <c r="H152" i="22"/>
  <c r="H153" i="22"/>
  <c r="H154" i="22"/>
  <c r="H156" i="22"/>
  <c r="H157" i="22"/>
  <c r="H158" i="22"/>
  <c r="H159" i="22"/>
  <c r="H160" i="22"/>
  <c r="H161" i="22"/>
  <c r="H162" i="22"/>
  <c r="H163" i="22"/>
  <c r="H164" i="22"/>
  <c r="H165" i="22"/>
  <c r="H166" i="22"/>
  <c r="H167" i="22"/>
  <c r="H168" i="22"/>
  <c r="H170" i="22"/>
  <c r="H171" i="22"/>
  <c r="H172" i="22"/>
  <c r="H177" i="22"/>
  <c r="H33" i="29"/>
  <c r="H173" i="22"/>
  <c r="H174" i="22"/>
  <c r="H175" i="22"/>
  <c r="H176" i="22"/>
  <c r="H178" i="22"/>
  <c r="H179" i="22"/>
  <c r="H180" i="22"/>
  <c r="H181" i="22"/>
  <c r="H182" i="22"/>
  <c r="H183" i="22"/>
  <c r="H184" i="22"/>
  <c r="H185" i="22"/>
  <c r="H186" i="22"/>
  <c r="H187" i="22"/>
  <c r="H188" i="22"/>
  <c r="H189" i="22"/>
  <c r="H190" i="22"/>
  <c r="H191" i="22"/>
  <c r="H192" i="22"/>
  <c r="H193" i="22"/>
  <c r="H194" i="22"/>
  <c r="H195" i="22"/>
  <c r="H196" i="22"/>
  <c r="H197" i="22"/>
  <c r="H198" i="22"/>
  <c r="H199" i="22"/>
  <c r="H200" i="22"/>
  <c r="H201" i="22"/>
  <c r="H202" i="22"/>
  <c r="H203" i="22"/>
  <c r="G116" i="22"/>
  <c r="G117" i="22"/>
  <c r="G118" i="22"/>
  <c r="G119" i="22"/>
  <c r="G120" i="22"/>
  <c r="G29" i="30"/>
  <c r="G121" i="22"/>
  <c r="G122" i="22"/>
  <c r="G123" i="22"/>
  <c r="G27" i="30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6" i="22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70" i="22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0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F116" i="22"/>
  <c r="F117" i="22"/>
  <c r="F118" i="22"/>
  <c r="F119" i="22"/>
  <c r="F120" i="22"/>
  <c r="F121" i="22"/>
  <c r="F122" i="22"/>
  <c r="F123" i="22"/>
  <c r="F27" i="30"/>
  <c r="F124" i="22"/>
  <c r="F125" i="22"/>
  <c r="F126" i="22"/>
  <c r="F127" i="22"/>
  <c r="F128" i="22"/>
  <c r="F129" i="22"/>
  <c r="F130" i="22"/>
  <c r="F131" i="22"/>
  <c r="F132" i="22"/>
  <c r="F133" i="22"/>
  <c r="F134" i="22"/>
  <c r="F135" i="22"/>
  <c r="F136" i="22"/>
  <c r="F137" i="22"/>
  <c r="F138" i="22"/>
  <c r="F139" i="22"/>
  <c r="F140" i="22"/>
  <c r="F141" i="22"/>
  <c r="F142" i="22"/>
  <c r="F143" i="22"/>
  <c r="F144" i="22"/>
  <c r="F145" i="22"/>
  <c r="F146" i="22"/>
  <c r="F147" i="22"/>
  <c r="F148" i="22"/>
  <c r="F149" i="22"/>
  <c r="F150" i="22"/>
  <c r="F151" i="22"/>
  <c r="F152" i="22"/>
  <c r="F153" i="22"/>
  <c r="F154" i="22"/>
  <c r="F156" i="22"/>
  <c r="F157" i="22"/>
  <c r="F158" i="22"/>
  <c r="F159" i="22"/>
  <c r="F160" i="22"/>
  <c r="F161" i="22"/>
  <c r="F162" i="22"/>
  <c r="F163" i="22"/>
  <c r="F164" i="22"/>
  <c r="F165" i="22"/>
  <c r="F166" i="22"/>
  <c r="F167" i="22"/>
  <c r="F168" i="22"/>
  <c r="F170" i="22"/>
  <c r="F171" i="22"/>
  <c r="F172" i="22"/>
  <c r="F177" i="22"/>
  <c r="F33" i="29"/>
  <c r="F173" i="22"/>
  <c r="F174" i="22"/>
  <c r="F175" i="22"/>
  <c r="F176" i="22"/>
  <c r="F178" i="22"/>
  <c r="F179" i="22"/>
  <c r="F180" i="22"/>
  <c r="F181" i="22"/>
  <c r="F182" i="22"/>
  <c r="F183" i="22"/>
  <c r="F184" i="22"/>
  <c r="F185" i="22"/>
  <c r="F186" i="22"/>
  <c r="F187" i="22"/>
  <c r="F188" i="22"/>
  <c r="F189" i="22"/>
  <c r="F190" i="22"/>
  <c r="F191" i="22"/>
  <c r="F192" i="22"/>
  <c r="F193" i="22"/>
  <c r="F194" i="22"/>
  <c r="F195" i="22"/>
  <c r="F196" i="22"/>
  <c r="F197" i="22"/>
  <c r="F198" i="22"/>
  <c r="F199" i="22"/>
  <c r="F200" i="22"/>
  <c r="F201" i="22"/>
  <c r="F202" i="22"/>
  <c r="F203" i="22"/>
  <c r="E116" i="22"/>
  <c r="E117" i="22"/>
  <c r="E118" i="22"/>
  <c r="E119" i="22"/>
  <c r="E120" i="22"/>
  <c r="E29" i="30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D116" i="22"/>
  <c r="D117" i="22"/>
  <c r="D118" i="22"/>
  <c r="D119" i="22"/>
  <c r="D120" i="22"/>
  <c r="D121" i="22"/>
  <c r="D122" i="22"/>
  <c r="D123" i="22"/>
  <c r="D27" i="30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70" i="22"/>
  <c r="D171" i="22"/>
  <c r="D172" i="22"/>
  <c r="D177" i="22"/>
  <c r="D33" i="29"/>
  <c r="D173" i="22"/>
  <c r="D174" i="22"/>
  <c r="D175" i="22"/>
  <c r="D176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115" i="22"/>
  <c r="E115" i="22"/>
  <c r="F115" i="22"/>
  <c r="G115" i="22"/>
  <c r="H115" i="22"/>
  <c r="I115" i="22"/>
  <c r="J115" i="22"/>
  <c r="C116" i="22"/>
  <c r="C117" i="22"/>
  <c r="C118" i="22"/>
  <c r="C119" i="22"/>
  <c r="C120" i="22"/>
  <c r="C29" i="30"/>
  <c r="C121" i="22"/>
  <c r="C122" i="22"/>
  <c r="C123" i="22"/>
  <c r="C27" i="30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A50" i="31"/>
  <c r="G17" i="34"/>
  <c r="S17" i="34"/>
  <c r="K17" i="34"/>
  <c r="Q17" i="34"/>
  <c r="P17" i="34"/>
  <c r="E17" i="34"/>
  <c r="J17" i="34"/>
  <c r="N17" i="34"/>
  <c r="AJ197" i="22"/>
  <c r="L197" i="22"/>
  <c r="B13" i="26"/>
  <c r="S145" i="22"/>
  <c r="AQ167" i="22"/>
  <c r="S167" i="22"/>
  <c r="AQ180" i="22"/>
  <c r="S180" i="22"/>
  <c r="AQ189" i="22"/>
  <c r="S189" i="22"/>
  <c r="AQ203" i="22"/>
  <c r="S203" i="22"/>
  <c r="AP125" i="22"/>
  <c r="R125" i="22"/>
  <c r="R138" i="22"/>
  <c r="AP151" i="22"/>
  <c r="R151" i="22"/>
  <c r="AP160" i="22"/>
  <c r="R160" i="22"/>
  <c r="AP174" i="22"/>
  <c r="R174" i="22"/>
  <c r="AQ122" i="22"/>
  <c r="S122" i="22"/>
  <c r="AQ126" i="22"/>
  <c r="S126" i="22"/>
  <c r="AQ130" i="22"/>
  <c r="S130" i="22"/>
  <c r="AQ135" i="22"/>
  <c r="S135" i="22"/>
  <c r="S139" i="22"/>
  <c r="AQ144" i="22"/>
  <c r="S144" i="22"/>
  <c r="AQ148" i="22"/>
  <c r="S148" i="22"/>
  <c r="AQ152" i="22"/>
  <c r="S152" i="22"/>
  <c r="AQ156" i="22"/>
  <c r="S156" i="22"/>
  <c r="S161" i="22"/>
  <c r="S166" i="22"/>
  <c r="AQ171" i="22"/>
  <c r="S171" i="22"/>
  <c r="AQ175" i="22"/>
  <c r="S175" i="22"/>
  <c r="S179" i="22"/>
  <c r="AQ183" i="22"/>
  <c r="S183" i="22"/>
  <c r="AQ197" i="22"/>
  <c r="S197" i="22"/>
  <c r="R115" i="22"/>
  <c r="AP119" i="22"/>
  <c r="R119" i="22"/>
  <c r="AP137" i="22"/>
  <c r="R137" i="22"/>
  <c r="AP142" i="22"/>
  <c r="R142" i="22"/>
  <c r="AP146" i="22"/>
  <c r="R146" i="22"/>
  <c r="AP150" i="22"/>
  <c r="R150" i="22"/>
  <c r="AP154" i="22"/>
  <c r="R154" i="22"/>
  <c r="AP159" i="22"/>
  <c r="R159" i="22"/>
  <c r="AP164" i="22"/>
  <c r="R164" i="22"/>
  <c r="AP168" i="22"/>
  <c r="R168" i="22"/>
  <c r="AP177" i="22"/>
  <c r="R177" i="22"/>
  <c r="AP181" i="22"/>
  <c r="R181" i="22"/>
  <c r="R186" i="22"/>
  <c r="AP186" i="22"/>
  <c r="R190" i="22"/>
  <c r="AP190" i="22"/>
  <c r="R194" i="22"/>
  <c r="AP194" i="22"/>
  <c r="AP199" i="22"/>
  <c r="R199" i="22"/>
  <c r="Q120" i="22"/>
  <c r="Q29" i="30"/>
  <c r="Q125" i="22"/>
  <c r="Q138" i="22"/>
  <c r="AO143" i="22"/>
  <c r="Q151" i="22"/>
  <c r="Q160" i="22"/>
  <c r="Q165" i="22"/>
  <c r="AO174" i="22"/>
  <c r="Q174" i="22"/>
  <c r="Q182" i="22"/>
  <c r="Q187" i="22"/>
  <c r="Q200" i="22"/>
  <c r="AQ136" i="22"/>
  <c r="S136" i="22"/>
  <c r="S149" i="22"/>
  <c r="AQ162" i="22"/>
  <c r="S162" i="22"/>
  <c r="S193" i="22"/>
  <c r="AQ193" i="22"/>
  <c r="AP120" i="22"/>
  <c r="R120" i="22"/>
  <c r="R29" i="30"/>
  <c r="R134" i="22"/>
  <c r="AP147" i="22"/>
  <c r="R147" i="22"/>
  <c r="AP165" i="22"/>
  <c r="R165" i="22"/>
  <c r="AP178" i="22"/>
  <c r="R178" i="22"/>
  <c r="B12" i="26"/>
  <c r="S115" i="22"/>
  <c r="S186" i="22"/>
  <c r="AQ186" i="22"/>
  <c r="R122" i="22"/>
  <c r="R126" i="22"/>
  <c r="R130" i="22"/>
  <c r="R135" i="22"/>
  <c r="R144" i="22"/>
  <c r="R148" i="22"/>
  <c r="R152" i="22"/>
  <c r="R156" i="22"/>
  <c r="R171" i="22"/>
  <c r="R175" i="22"/>
  <c r="R183" i="22"/>
  <c r="R188" i="22"/>
  <c r="R192" i="22"/>
  <c r="R197" i="22"/>
  <c r="R202" i="22"/>
  <c r="AP202" i="22"/>
  <c r="AQ131" i="22"/>
  <c r="S131" i="22"/>
  <c r="AQ140" i="22"/>
  <c r="S140" i="22"/>
  <c r="S153" i="22"/>
  <c r="AQ158" i="22"/>
  <c r="S158" i="22"/>
  <c r="S185" i="22"/>
  <c r="AQ185" i="22"/>
  <c r="S198" i="22"/>
  <c r="AQ198" i="22"/>
  <c r="R116" i="22"/>
  <c r="R129" i="22"/>
  <c r="AP143" i="22"/>
  <c r="R143" i="22"/>
  <c r="R170" i="22"/>
  <c r="R182" i="22"/>
  <c r="AP182" i="22"/>
  <c r="R196" i="22"/>
  <c r="AQ119" i="22"/>
  <c r="S119" i="22"/>
  <c r="S124" i="22"/>
  <c r="S128" i="22"/>
  <c r="AQ159" i="22"/>
  <c r="S159" i="22"/>
  <c r="S173" i="22"/>
  <c r="AQ177" i="22"/>
  <c r="S177" i="22"/>
  <c r="S190" i="22"/>
  <c r="AQ190" i="22"/>
  <c r="S194" i="22"/>
  <c r="AQ194" i="22"/>
  <c r="AQ199" i="22"/>
  <c r="S199" i="22"/>
  <c r="AQ120" i="22"/>
  <c r="AQ125" i="22"/>
  <c r="S125" i="22"/>
  <c r="AQ129" i="22"/>
  <c r="S129" i="22"/>
  <c r="AQ134" i="22"/>
  <c r="S134" i="22"/>
  <c r="AQ138" i="22"/>
  <c r="S138" i="22"/>
  <c r="AQ143" i="22"/>
  <c r="S143" i="22"/>
  <c r="AQ147" i="22"/>
  <c r="S147" i="22"/>
  <c r="AQ151" i="22"/>
  <c r="S151" i="22"/>
  <c r="AQ160" i="22"/>
  <c r="S160" i="22"/>
  <c r="AQ165" i="22"/>
  <c r="S165" i="22"/>
  <c r="AQ170" i="22"/>
  <c r="S170" i="22"/>
  <c r="S174" i="22"/>
  <c r="AQ174" i="22"/>
  <c r="S178" i="22"/>
  <c r="AQ178" i="22"/>
  <c r="S182" i="22"/>
  <c r="AQ182" i="22"/>
  <c r="S187" i="22"/>
  <c r="S191" i="22"/>
  <c r="S200" i="22"/>
  <c r="AP118" i="22"/>
  <c r="R118" i="22"/>
  <c r="AP123" i="22"/>
  <c r="R123" i="22"/>
  <c r="R27" i="30"/>
  <c r="AP127" i="22"/>
  <c r="R127" i="22"/>
  <c r="AP131" i="22"/>
  <c r="R131" i="22"/>
  <c r="AP136" i="22"/>
  <c r="R136" i="22"/>
  <c r="AP140" i="22"/>
  <c r="R140" i="22"/>
  <c r="AP158" i="22"/>
  <c r="R158" i="22"/>
  <c r="R162" i="22"/>
  <c r="R167" i="22"/>
  <c r="AP172" i="22"/>
  <c r="R172" i="22"/>
  <c r="R33" i="29"/>
  <c r="AP176" i="22"/>
  <c r="R176" i="22"/>
  <c r="AP180" i="22"/>
  <c r="R180" i="22"/>
  <c r="AP185" i="22"/>
  <c r="R185" i="22"/>
  <c r="AP189" i="22"/>
  <c r="R189" i="22"/>
  <c r="AP193" i="22"/>
  <c r="R193" i="22"/>
  <c r="R198" i="22"/>
  <c r="AP198" i="22"/>
  <c r="R203" i="22"/>
  <c r="Q115" i="22"/>
  <c r="Q119" i="22"/>
  <c r="Q124" i="22"/>
  <c r="Q128" i="22"/>
  <c r="Q132" i="22"/>
  <c r="Q137" i="22"/>
  <c r="Q142" i="22"/>
  <c r="Q146" i="22"/>
  <c r="Q150" i="22"/>
  <c r="Q154" i="22"/>
  <c r="Q159" i="22"/>
  <c r="Q164" i="22"/>
  <c r="Q168" i="22"/>
  <c r="Q173" i="22"/>
  <c r="Q177" i="22"/>
  <c r="Q181" i="22"/>
  <c r="Q186" i="22"/>
  <c r="Q190" i="22"/>
  <c r="Q194" i="22"/>
  <c r="Q199" i="22"/>
  <c r="Q118" i="22"/>
  <c r="Q123" i="22"/>
  <c r="Q127" i="22"/>
  <c r="Q131" i="22"/>
  <c r="Q136" i="22"/>
  <c r="Q140" i="22"/>
  <c r="Q145" i="22"/>
  <c r="Q149" i="22"/>
  <c r="Q153" i="22"/>
  <c r="AO158" i="22"/>
  <c r="Q158" i="22"/>
  <c r="Q172" i="22"/>
  <c r="Q33" i="29"/>
  <c r="Q176" i="22"/>
  <c r="Q180" i="22"/>
  <c r="Q185" i="22"/>
  <c r="Q189" i="22"/>
  <c r="Q193" i="22"/>
  <c r="AO198" i="22"/>
  <c r="Q198" i="22"/>
  <c r="S13" i="35"/>
  <c r="S12" i="35"/>
  <c r="R13" i="35"/>
  <c r="R12" i="35"/>
  <c r="S15" i="30"/>
  <c r="S14" i="30"/>
  <c r="S13" i="30"/>
  <c r="S12" i="30"/>
  <c r="S13" i="29"/>
  <c r="S12" i="29"/>
  <c r="BO201" i="22"/>
  <c r="BO163" i="22"/>
  <c r="BO157" i="22"/>
  <c r="BO141" i="22"/>
  <c r="BO133" i="22"/>
  <c r="S55" i="31"/>
  <c r="S53" i="31"/>
  <c r="R55" i="31"/>
  <c r="R53" i="31"/>
  <c r="S78" i="31"/>
  <c r="S69" i="31"/>
  <c r="S77" i="31"/>
  <c r="S68" i="31"/>
  <c r="S76" i="31"/>
  <c r="S66" i="31"/>
  <c r="S74" i="31"/>
  <c r="S65" i="31"/>
  <c r="S73" i="31"/>
  <c r="S64" i="31"/>
  <c r="R78" i="31"/>
  <c r="R69" i="31"/>
  <c r="R77" i="31"/>
  <c r="R68" i="31"/>
  <c r="R76" i="31"/>
  <c r="R67" i="31"/>
  <c r="R75" i="31"/>
  <c r="R66" i="31"/>
  <c r="R74" i="31"/>
  <c r="R65" i="31"/>
  <c r="R73" i="31"/>
  <c r="R64" i="31"/>
  <c r="R54" i="31"/>
  <c r="R52" i="31"/>
  <c r="Q78" i="31"/>
  <c r="Q69" i="31"/>
  <c r="Q77" i="31"/>
  <c r="Q76" i="31"/>
  <c r="Q67" i="31"/>
  <c r="Q75" i="31"/>
  <c r="Q66" i="31"/>
  <c r="Q74" i="31"/>
  <c r="Q65" i="31"/>
  <c r="Q42" i="26"/>
  <c r="P69" i="31"/>
  <c r="O78" i="31"/>
  <c r="O77" i="31"/>
  <c r="O45" i="26"/>
  <c r="O75" i="31"/>
  <c r="O44" i="26"/>
  <c r="O65" i="31"/>
  <c r="O74" i="31"/>
  <c r="O33" i="26"/>
  <c r="N68" i="31"/>
  <c r="N46" i="26"/>
  <c r="N44" i="26"/>
  <c r="N52" i="31"/>
  <c r="N33" i="26"/>
  <c r="M47" i="26"/>
  <c r="M77" i="31"/>
  <c r="M46" i="26"/>
  <c r="M75" i="31"/>
  <c r="M44" i="26"/>
  <c r="L69" i="31"/>
  <c r="L47" i="26"/>
  <c r="L46" i="26"/>
  <c r="L75" i="31"/>
  <c r="L65" i="31"/>
  <c r="L43" i="26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J29" i="30"/>
  <c r="F29" i="30"/>
  <c r="D29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J78" i="31"/>
  <c r="I78" i="31"/>
  <c r="H78" i="31"/>
  <c r="G78" i="31"/>
  <c r="F78" i="31"/>
  <c r="E78" i="31"/>
  <c r="D78" i="31"/>
  <c r="C78" i="31"/>
  <c r="J77" i="31"/>
  <c r="I77" i="31"/>
  <c r="H77" i="31"/>
  <c r="G77" i="31"/>
  <c r="F77" i="31"/>
  <c r="E77" i="31"/>
  <c r="D77" i="31"/>
  <c r="C77" i="31"/>
  <c r="J76" i="31"/>
  <c r="I76" i="31"/>
  <c r="H76" i="31"/>
  <c r="G76" i="31"/>
  <c r="F76" i="31"/>
  <c r="E76" i="31"/>
  <c r="D76" i="31"/>
  <c r="C76" i="31"/>
  <c r="J75" i="31"/>
  <c r="I75" i="31"/>
  <c r="H75" i="31"/>
  <c r="G75" i="31"/>
  <c r="F75" i="31"/>
  <c r="E75" i="31"/>
  <c r="D75" i="31"/>
  <c r="C75" i="31"/>
  <c r="J74" i="31"/>
  <c r="I74" i="31"/>
  <c r="H74" i="31"/>
  <c r="G74" i="31"/>
  <c r="F74" i="31"/>
  <c r="E74" i="31"/>
  <c r="D74" i="31"/>
  <c r="C74" i="31"/>
  <c r="J73" i="31"/>
  <c r="I73" i="31"/>
  <c r="H73" i="31"/>
  <c r="G73" i="31"/>
  <c r="F73" i="31"/>
  <c r="E73" i="31"/>
  <c r="D73" i="31"/>
  <c r="C73" i="31"/>
  <c r="J69" i="31"/>
  <c r="I69" i="31"/>
  <c r="H69" i="31"/>
  <c r="G69" i="31"/>
  <c r="F69" i="31"/>
  <c r="E69" i="31"/>
  <c r="D69" i="31"/>
  <c r="C69" i="31"/>
  <c r="J68" i="31"/>
  <c r="I68" i="31"/>
  <c r="H68" i="31"/>
  <c r="G68" i="31"/>
  <c r="F68" i="31"/>
  <c r="E68" i="31"/>
  <c r="D68" i="31"/>
  <c r="C68" i="31"/>
  <c r="J67" i="31"/>
  <c r="I67" i="31"/>
  <c r="H67" i="31"/>
  <c r="G67" i="31"/>
  <c r="F67" i="31"/>
  <c r="E67" i="31"/>
  <c r="D67" i="31"/>
  <c r="C67" i="31"/>
  <c r="J66" i="31"/>
  <c r="I66" i="31"/>
  <c r="H66" i="31"/>
  <c r="G66" i="31"/>
  <c r="F66" i="31"/>
  <c r="E66" i="31"/>
  <c r="D66" i="31"/>
  <c r="C66" i="31"/>
  <c r="J65" i="31"/>
  <c r="I65" i="31"/>
  <c r="H65" i="31"/>
  <c r="G65" i="31"/>
  <c r="F65" i="31"/>
  <c r="E65" i="31"/>
  <c r="D65" i="31"/>
  <c r="C65" i="31"/>
  <c r="J64" i="31"/>
  <c r="I64" i="31"/>
  <c r="H64" i="31"/>
  <c r="G64" i="31"/>
  <c r="F64" i="31"/>
  <c r="E64" i="31"/>
  <c r="D64" i="31"/>
  <c r="C64" i="31"/>
  <c r="K60" i="31"/>
  <c r="J60" i="31"/>
  <c r="I60" i="31"/>
  <c r="H60" i="31"/>
  <c r="G60" i="31"/>
  <c r="F60" i="31"/>
  <c r="E60" i="31"/>
  <c r="D60" i="31"/>
  <c r="C60" i="31"/>
  <c r="J59" i="31"/>
  <c r="I59" i="31"/>
  <c r="H59" i="31"/>
  <c r="G59" i="31"/>
  <c r="F59" i="31"/>
  <c r="E59" i="31"/>
  <c r="D59" i="31"/>
  <c r="C59" i="31"/>
  <c r="Q55" i="31"/>
  <c r="K55" i="31"/>
  <c r="J55" i="31"/>
  <c r="I55" i="31"/>
  <c r="H55" i="31"/>
  <c r="G55" i="31"/>
  <c r="F55" i="31"/>
  <c r="E55" i="31"/>
  <c r="D55" i="31"/>
  <c r="C55" i="31"/>
  <c r="J54" i="31"/>
  <c r="I54" i="31"/>
  <c r="H54" i="31"/>
  <c r="G54" i="31"/>
  <c r="F54" i="31"/>
  <c r="E54" i="31"/>
  <c r="D54" i="31"/>
  <c r="C54" i="31"/>
  <c r="Q53" i="31"/>
  <c r="K53" i="31"/>
  <c r="J53" i="31"/>
  <c r="I53" i="31"/>
  <c r="H53" i="31"/>
  <c r="G53" i="31"/>
  <c r="F53" i="31"/>
  <c r="E53" i="31"/>
  <c r="D53" i="31"/>
  <c r="C53" i="31"/>
  <c r="Q52" i="31"/>
  <c r="J52" i="31"/>
  <c r="I52" i="31"/>
  <c r="H52" i="31"/>
  <c r="G52" i="31"/>
  <c r="F52" i="31"/>
  <c r="E52" i="31"/>
  <c r="D52" i="31"/>
  <c r="C52" i="31"/>
  <c r="B24" i="31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K38" i="26"/>
  <c r="J38" i="26"/>
  <c r="I38" i="26"/>
  <c r="H38" i="26"/>
  <c r="G38" i="26"/>
  <c r="F38" i="26"/>
  <c r="E38" i="26"/>
  <c r="D38" i="26"/>
  <c r="C38" i="26"/>
  <c r="J47" i="26"/>
  <c r="I47" i="26"/>
  <c r="H47" i="26"/>
  <c r="G47" i="26"/>
  <c r="F47" i="26"/>
  <c r="E47" i="26"/>
  <c r="D47" i="26"/>
  <c r="C47" i="26"/>
  <c r="J46" i="26"/>
  <c r="I46" i="26"/>
  <c r="H46" i="26"/>
  <c r="G46" i="26"/>
  <c r="F46" i="26"/>
  <c r="E46" i="26"/>
  <c r="D46" i="26"/>
  <c r="C46" i="26"/>
  <c r="S45" i="26"/>
  <c r="N45" i="26"/>
  <c r="J45" i="26"/>
  <c r="I45" i="26"/>
  <c r="H45" i="26"/>
  <c r="G45" i="26"/>
  <c r="F45" i="26"/>
  <c r="E45" i="26"/>
  <c r="D45" i="26"/>
  <c r="C45" i="26"/>
  <c r="S44" i="26"/>
  <c r="J44" i="26"/>
  <c r="I44" i="26"/>
  <c r="H44" i="26"/>
  <c r="G44" i="26"/>
  <c r="F44" i="26"/>
  <c r="E44" i="26"/>
  <c r="D44" i="26"/>
  <c r="C44" i="26"/>
  <c r="J43" i="26"/>
  <c r="I43" i="26"/>
  <c r="H43" i="26"/>
  <c r="G43" i="26"/>
  <c r="F43" i="26"/>
  <c r="E43" i="26"/>
  <c r="D43" i="26"/>
  <c r="C43" i="26"/>
  <c r="J42" i="26"/>
  <c r="I42" i="26"/>
  <c r="H42" i="26"/>
  <c r="G42" i="26"/>
  <c r="F42" i="26"/>
  <c r="E42" i="26"/>
  <c r="D42" i="26"/>
  <c r="C42" i="26"/>
  <c r="S34" i="26"/>
  <c r="R34" i="26"/>
  <c r="Q34" i="26"/>
  <c r="K34" i="26"/>
  <c r="J34" i="26"/>
  <c r="I34" i="26"/>
  <c r="H34" i="26"/>
  <c r="G34" i="26"/>
  <c r="F34" i="26"/>
  <c r="E34" i="26"/>
  <c r="D34" i="26"/>
  <c r="C34" i="26"/>
  <c r="J33" i="26"/>
  <c r="I33" i="26"/>
  <c r="H33" i="26"/>
  <c r="G33" i="26"/>
  <c r="F33" i="26"/>
  <c r="E33" i="26"/>
  <c r="D33" i="26"/>
  <c r="S55" i="26"/>
  <c r="S58" i="26"/>
  <c r="S56" i="26"/>
  <c r="S52" i="26"/>
  <c r="S54" i="26"/>
  <c r="S51" i="26"/>
  <c r="S53" i="26"/>
  <c r="S85" i="31"/>
  <c r="S84" i="31"/>
  <c r="S87" i="31"/>
  <c r="S86" i="31"/>
  <c r="S82" i="31"/>
  <c r="S83" i="31"/>
  <c r="S89" i="31"/>
  <c r="S97" i="31"/>
  <c r="S100" i="31"/>
  <c r="K77" i="31"/>
  <c r="K74" i="31"/>
  <c r="K78" i="31"/>
  <c r="L74" i="31"/>
  <c r="L78" i="31"/>
  <c r="K73" i="31"/>
  <c r="K161" i="22"/>
  <c r="AI188" i="22"/>
  <c r="K188" i="22"/>
  <c r="L115" i="22"/>
  <c r="L132" i="22"/>
  <c r="L149" i="22"/>
  <c r="L167" i="22"/>
  <c r="L176" i="22"/>
  <c r="AJ190" i="22"/>
  <c r="L190" i="22"/>
  <c r="M158" i="22"/>
  <c r="AK167" i="22"/>
  <c r="M167" i="22"/>
  <c r="M189" i="22"/>
  <c r="N134" i="22"/>
  <c r="N164" i="22"/>
  <c r="AM118" i="22"/>
  <c r="AM145" i="22"/>
  <c r="O145" i="22"/>
  <c r="AN118" i="22"/>
  <c r="P118" i="22"/>
  <c r="AO118" i="22"/>
  <c r="P136" i="22"/>
  <c r="AO136" i="22"/>
  <c r="AN151" i="22"/>
  <c r="P151" i="22"/>
  <c r="AO151" i="22"/>
  <c r="P166" i="22"/>
  <c r="P181" i="22"/>
  <c r="AO181" i="22"/>
  <c r="AN202" i="22"/>
  <c r="P202" i="22"/>
  <c r="K54" i="31"/>
  <c r="K127" i="22"/>
  <c r="AI156" i="22"/>
  <c r="K156" i="22"/>
  <c r="AI160" i="22"/>
  <c r="K160" i="22"/>
  <c r="AI165" i="22"/>
  <c r="K165" i="22"/>
  <c r="AI170" i="22"/>
  <c r="K170" i="22"/>
  <c r="AI174" i="22"/>
  <c r="K174" i="22"/>
  <c r="AI178" i="22"/>
  <c r="K178" i="22"/>
  <c r="AI182" i="22"/>
  <c r="K182" i="22"/>
  <c r="AI186" i="22"/>
  <c r="K186" i="22"/>
  <c r="AI191" i="22"/>
  <c r="K191" i="22"/>
  <c r="AI195" i="22"/>
  <c r="K195" i="22"/>
  <c r="AI202" i="22"/>
  <c r="K202" i="22"/>
  <c r="K76" i="31"/>
  <c r="L118" i="22"/>
  <c r="L123" i="22"/>
  <c r="L27" i="30"/>
  <c r="L127" i="22"/>
  <c r="L131" i="22"/>
  <c r="AJ135" i="22"/>
  <c r="L135" i="22"/>
  <c r="AJ139" i="22"/>
  <c r="L139" i="22"/>
  <c r="AJ144" i="22"/>
  <c r="L144" i="22"/>
  <c r="AJ148" i="22"/>
  <c r="L148" i="22"/>
  <c r="AJ152" i="22"/>
  <c r="L152" i="22"/>
  <c r="AJ156" i="22"/>
  <c r="L156" i="22"/>
  <c r="AJ161" i="22"/>
  <c r="L161" i="22"/>
  <c r="L166" i="22"/>
  <c r="L171" i="22"/>
  <c r="L175" i="22"/>
  <c r="L179" i="22"/>
  <c r="AJ184" i="22"/>
  <c r="L184" i="22"/>
  <c r="AJ189" i="22"/>
  <c r="L189" i="22"/>
  <c r="AJ194" i="22"/>
  <c r="L194" i="22"/>
  <c r="AJ200" i="22"/>
  <c r="L200" i="22"/>
  <c r="M116" i="22"/>
  <c r="M120" i="22"/>
  <c r="M29" i="30"/>
  <c r="M125" i="22"/>
  <c r="M129" i="22"/>
  <c r="AK133" i="22"/>
  <c r="M133" i="22"/>
  <c r="M137" i="22"/>
  <c r="M142" i="22"/>
  <c r="M146" i="22"/>
  <c r="M150" i="22"/>
  <c r="M154" i="22"/>
  <c r="AK157" i="22"/>
  <c r="M157" i="22"/>
  <c r="M73" i="31"/>
  <c r="AK161" i="22"/>
  <c r="M161" i="22"/>
  <c r="AK166" i="22"/>
  <c r="M166" i="22"/>
  <c r="AK171" i="22"/>
  <c r="M171" i="22"/>
  <c r="AK175" i="22"/>
  <c r="M175" i="22"/>
  <c r="AK179" i="22"/>
  <c r="M179" i="22"/>
  <c r="AK184" i="22"/>
  <c r="M184" i="22"/>
  <c r="M188" i="22"/>
  <c r="AK193" i="22"/>
  <c r="M193" i="22"/>
  <c r="AK197" i="22"/>
  <c r="M197" i="22"/>
  <c r="M203" i="22"/>
  <c r="N42" i="26"/>
  <c r="AL119" i="22"/>
  <c r="N119" i="22"/>
  <c r="AL129" i="22"/>
  <c r="N129" i="22"/>
  <c r="AL133" i="22"/>
  <c r="AM133" i="22"/>
  <c r="N133" i="22"/>
  <c r="AL137" i="22"/>
  <c r="N137" i="22"/>
  <c r="AL142" i="22"/>
  <c r="N142" i="22"/>
  <c r="AL146" i="22"/>
  <c r="N146" i="22"/>
  <c r="AL150" i="22"/>
  <c r="N150" i="22"/>
  <c r="AL154" i="22"/>
  <c r="N154" i="22"/>
  <c r="AL158" i="22"/>
  <c r="N158" i="22"/>
  <c r="AL162" i="22"/>
  <c r="N162" i="22"/>
  <c r="AL167" i="22"/>
  <c r="N167" i="22"/>
  <c r="N172" i="22"/>
  <c r="N177" i="22"/>
  <c r="N33" i="29"/>
  <c r="N176" i="22"/>
  <c r="N180" i="22"/>
  <c r="N185" i="22"/>
  <c r="AL189" i="22"/>
  <c r="N189" i="22"/>
  <c r="AL193" i="22"/>
  <c r="N193" i="22"/>
  <c r="AL197" i="22"/>
  <c r="N197" i="22"/>
  <c r="AL203" i="22"/>
  <c r="N203" i="22"/>
  <c r="O117" i="22"/>
  <c r="AM122" i="22"/>
  <c r="O122" i="22"/>
  <c r="AM126" i="22"/>
  <c r="O126" i="22"/>
  <c r="O130" i="22"/>
  <c r="O135" i="22"/>
  <c r="O139" i="22"/>
  <c r="O144" i="22"/>
  <c r="O148" i="22"/>
  <c r="O152" i="22"/>
  <c r="O156" i="22"/>
  <c r="O73" i="31"/>
  <c r="AM161" i="22"/>
  <c r="O161" i="22"/>
  <c r="AN167" i="22"/>
  <c r="AM167" i="22"/>
  <c r="O167" i="22"/>
  <c r="AM172" i="22"/>
  <c r="AM177" i="22"/>
  <c r="O22" i="29"/>
  <c r="O176" i="22"/>
  <c r="AM180" i="22"/>
  <c r="O185" i="22"/>
  <c r="AM189" i="22"/>
  <c r="O193" i="22"/>
  <c r="AM197" i="22"/>
  <c r="O202" i="22"/>
  <c r="P117" i="22"/>
  <c r="AN122" i="22"/>
  <c r="P122" i="22"/>
  <c r="AN126" i="22"/>
  <c r="P126" i="22"/>
  <c r="AN130" i="22"/>
  <c r="P130" i="22"/>
  <c r="AN135" i="22"/>
  <c r="P135" i="22"/>
  <c r="AN139" i="22"/>
  <c r="P139" i="22"/>
  <c r="AN145" i="22"/>
  <c r="P145" i="22"/>
  <c r="AO145" i="22"/>
  <c r="P150" i="22"/>
  <c r="AO150" i="22"/>
  <c r="P154" i="22"/>
  <c r="AO154" i="22"/>
  <c r="AN160" i="22"/>
  <c r="P160" i="22"/>
  <c r="AO160" i="22"/>
  <c r="AI196" i="22"/>
  <c r="K196" i="22"/>
  <c r="L124" i="22"/>
  <c r="L140" i="22"/>
  <c r="L157" i="22"/>
  <c r="AJ180" i="22"/>
  <c r="L180" i="22"/>
  <c r="M134" i="22"/>
  <c r="AK162" i="22"/>
  <c r="M162" i="22"/>
  <c r="M176" i="22"/>
  <c r="N143" i="22"/>
  <c r="N190" i="22"/>
  <c r="AM140" i="22"/>
  <c r="O140" i="22"/>
  <c r="AM162" i="22"/>
  <c r="O162" i="22"/>
  <c r="P127" i="22"/>
  <c r="AO127" i="22"/>
  <c r="AN140" i="22"/>
  <c r="P140" i="22"/>
  <c r="AO140" i="22"/>
  <c r="P161" i="22"/>
  <c r="AN161" i="22"/>
  <c r="P177" i="22"/>
  <c r="AO177" i="22"/>
  <c r="AN192" i="22"/>
  <c r="P192" i="22"/>
  <c r="K116" i="22"/>
  <c r="AI120" i="22"/>
  <c r="K120" i="22"/>
  <c r="K29" i="30"/>
  <c r="AI125" i="22"/>
  <c r="K125" i="22"/>
  <c r="AI129" i="22"/>
  <c r="K129" i="22"/>
  <c r="AI133" i="22"/>
  <c r="K133" i="22"/>
  <c r="AI138" i="22"/>
  <c r="K138" i="22"/>
  <c r="AI143" i="22"/>
  <c r="K143" i="22"/>
  <c r="AI147" i="22"/>
  <c r="K147" i="22"/>
  <c r="AI151" i="22"/>
  <c r="K151" i="22"/>
  <c r="AI180" i="22"/>
  <c r="K180" i="22"/>
  <c r="AI184" i="22"/>
  <c r="K184" i="22"/>
  <c r="AI189" i="22"/>
  <c r="K189" i="22"/>
  <c r="AI193" i="22"/>
  <c r="K193" i="22"/>
  <c r="AI199" i="22"/>
  <c r="K199" i="22"/>
  <c r="L129" i="22"/>
  <c r="L64" i="31"/>
  <c r="L177" i="22"/>
  <c r="L68" i="31"/>
  <c r="M64" i="31"/>
  <c r="M66" i="31"/>
  <c r="M68" i="31"/>
  <c r="N117" i="22"/>
  <c r="N122" i="22"/>
  <c r="N126" i="22"/>
  <c r="N65" i="31"/>
  <c r="O170" i="22"/>
  <c r="AN174" i="22"/>
  <c r="O174" i="22"/>
  <c r="O178" i="22"/>
  <c r="AN182" i="22"/>
  <c r="O182" i="22"/>
  <c r="O187" i="22"/>
  <c r="O191" i="22"/>
  <c r="O195" i="22"/>
  <c r="O200" i="22"/>
  <c r="P115" i="22"/>
  <c r="AO119" i="22"/>
  <c r="P124" i="22"/>
  <c r="AO128" i="22"/>
  <c r="P132" i="22"/>
  <c r="AO137" i="22"/>
  <c r="P142" i="22"/>
  <c r="P147" i="22"/>
  <c r="AO147" i="22"/>
  <c r="AN156" i="22"/>
  <c r="P156" i="22"/>
  <c r="P162" i="22"/>
  <c r="AN168" i="22"/>
  <c r="P168" i="22"/>
  <c r="AO168" i="22"/>
  <c r="P173" i="22"/>
  <c r="AO173" i="22"/>
  <c r="AN178" i="22"/>
  <c r="P178" i="22"/>
  <c r="AN185" i="22"/>
  <c r="P185" i="22"/>
  <c r="AO185" i="22"/>
  <c r="P189" i="22"/>
  <c r="AO189" i="22"/>
  <c r="P193" i="22"/>
  <c r="AO193" i="22"/>
  <c r="AN197" i="22"/>
  <c r="P197" i="22"/>
  <c r="P203" i="22"/>
  <c r="P67" i="31"/>
  <c r="S93" i="31"/>
  <c r="S96" i="31"/>
  <c r="S95" i="31"/>
  <c r="S98" i="31"/>
  <c r="S94" i="31"/>
  <c r="AI183" i="22"/>
  <c r="AJ183" i="22"/>
  <c r="K183" i="22"/>
  <c r="AI192" i="22"/>
  <c r="K192" i="22"/>
  <c r="AI203" i="22"/>
  <c r="K203" i="22"/>
  <c r="L119" i="22"/>
  <c r="L128" i="22"/>
  <c r="AJ136" i="22"/>
  <c r="L136" i="22"/>
  <c r="L145" i="22"/>
  <c r="L153" i="22"/>
  <c r="L162" i="22"/>
  <c r="L172" i="22"/>
  <c r="L33" i="29"/>
  <c r="AJ185" i="22"/>
  <c r="L185" i="22"/>
  <c r="N147" i="22"/>
  <c r="N64" i="31"/>
  <c r="N173" i="22"/>
  <c r="N186" i="22"/>
  <c r="AM123" i="22"/>
  <c r="O123" i="22"/>
  <c r="O27" i="30"/>
  <c r="AM149" i="22"/>
  <c r="O149" i="22"/>
  <c r="O157" i="22"/>
  <c r="AN123" i="22"/>
  <c r="P123" i="22"/>
  <c r="P27" i="30"/>
  <c r="AO123" i="22"/>
  <c r="AN131" i="22"/>
  <c r="P131" i="22"/>
  <c r="AO131" i="22"/>
  <c r="P146" i="22"/>
  <c r="AO146" i="22"/>
  <c r="AN172" i="22"/>
  <c r="AN177" i="22"/>
  <c r="P22" i="29"/>
  <c r="P172" i="22"/>
  <c r="P33" i="29"/>
  <c r="AO172" i="22"/>
  <c r="Q22" i="29"/>
  <c r="AN188" i="22"/>
  <c r="P188" i="22"/>
  <c r="AN196" i="22"/>
  <c r="P196" i="22"/>
  <c r="AO196" i="22"/>
  <c r="K117" i="22"/>
  <c r="AI122" i="22"/>
  <c r="K122" i="22"/>
  <c r="AI126" i="22"/>
  <c r="K126" i="22"/>
  <c r="AI130" i="22"/>
  <c r="K130" i="22"/>
  <c r="AI134" i="22"/>
  <c r="K134" i="22"/>
  <c r="AI139" i="22"/>
  <c r="K139" i="22"/>
  <c r="AI144" i="22"/>
  <c r="K144" i="22"/>
  <c r="AI148" i="22"/>
  <c r="K148" i="22"/>
  <c r="AI152" i="22"/>
  <c r="K152" i="22"/>
  <c r="AI159" i="22"/>
  <c r="K159" i="22"/>
  <c r="AI164" i="22"/>
  <c r="K164" i="22"/>
  <c r="AI168" i="22"/>
  <c r="K168" i="22"/>
  <c r="AI173" i="22"/>
  <c r="K173" i="22"/>
  <c r="AI177" i="22"/>
  <c r="K177" i="22"/>
  <c r="AI181" i="22"/>
  <c r="K181" i="22"/>
  <c r="AI185" i="22"/>
  <c r="K185" i="22"/>
  <c r="AI190" i="22"/>
  <c r="K190" i="22"/>
  <c r="AI194" i="22"/>
  <c r="K194" i="22"/>
  <c r="AI200" i="22"/>
  <c r="K200" i="22"/>
  <c r="K75" i="31"/>
  <c r="AJ193" i="22"/>
  <c r="L193" i="22"/>
  <c r="AJ199" i="22"/>
  <c r="L199" i="22"/>
  <c r="M42" i="26"/>
  <c r="M115" i="22"/>
  <c r="AK119" i="22"/>
  <c r="M119" i="22"/>
  <c r="AK124" i="22"/>
  <c r="M124" i="22"/>
  <c r="AK128" i="22"/>
  <c r="AL128" i="22"/>
  <c r="M128" i="22"/>
  <c r="AK132" i="22"/>
  <c r="M132" i="22"/>
  <c r="AK136" i="22"/>
  <c r="M136" i="22"/>
  <c r="AK140" i="22"/>
  <c r="M140" i="22"/>
  <c r="AK145" i="22"/>
  <c r="M145" i="22"/>
  <c r="AK149" i="22"/>
  <c r="M149" i="22"/>
  <c r="AK153" i="22"/>
  <c r="M153" i="22"/>
  <c r="M170" i="22"/>
  <c r="M174" i="22"/>
  <c r="M178" i="22"/>
  <c r="M182" i="22"/>
  <c r="M187" i="22"/>
  <c r="M191" i="22"/>
  <c r="M196" i="22"/>
  <c r="M202" i="22"/>
  <c r="N118" i="22"/>
  <c r="N123" i="22"/>
  <c r="N27" i="30"/>
  <c r="N127" i="22"/>
  <c r="AL132" i="22"/>
  <c r="N132" i="22"/>
  <c r="AL136" i="22"/>
  <c r="N136" i="22"/>
  <c r="AL140" i="22"/>
  <c r="N140" i="22"/>
  <c r="AL145" i="22"/>
  <c r="N145" i="22"/>
  <c r="AL149" i="22"/>
  <c r="N149" i="22"/>
  <c r="AL153" i="22"/>
  <c r="N153" i="22"/>
  <c r="AL157" i="22"/>
  <c r="N157" i="22"/>
  <c r="AL161" i="22"/>
  <c r="N161" i="22"/>
  <c r="AL166" i="22"/>
  <c r="N166" i="22"/>
  <c r="AL171" i="22"/>
  <c r="N171" i="22"/>
  <c r="AL175" i="22"/>
  <c r="N175" i="22"/>
  <c r="AL179" i="22"/>
  <c r="N179" i="22"/>
  <c r="AL184" i="22"/>
  <c r="N184" i="22"/>
  <c r="AL188" i="22"/>
  <c r="N188" i="22"/>
  <c r="N192" i="22"/>
  <c r="AL196" i="22"/>
  <c r="N196" i="22"/>
  <c r="AL202" i="22"/>
  <c r="N202" i="22"/>
  <c r="N66" i="31"/>
  <c r="O52" i="31"/>
  <c r="O116" i="22"/>
  <c r="O120" i="22"/>
  <c r="O29" i="30"/>
  <c r="O125" i="22"/>
  <c r="AM129" i="22"/>
  <c r="O129" i="22"/>
  <c r="O134" i="22"/>
  <c r="AM138" i="22"/>
  <c r="O138" i="22"/>
  <c r="AN143" i="22"/>
  <c r="AM143" i="22"/>
  <c r="O143" i="22"/>
  <c r="O147" i="22"/>
  <c r="AM151" i="22"/>
  <c r="O151" i="22"/>
  <c r="O159" i="22"/>
  <c r="O165" i="22"/>
  <c r="AM171" i="22"/>
  <c r="O171" i="22"/>
  <c r="AM175" i="22"/>
  <c r="O175" i="22"/>
  <c r="AM179" i="22"/>
  <c r="O179" i="22"/>
  <c r="AM184" i="22"/>
  <c r="AN184" i="22"/>
  <c r="O184" i="22"/>
  <c r="AM188" i="22"/>
  <c r="O188" i="22"/>
  <c r="AM192" i="22"/>
  <c r="O192" i="22"/>
  <c r="AM196" i="22"/>
  <c r="O196" i="22"/>
  <c r="AN201" i="22"/>
  <c r="O201" i="22"/>
  <c r="O66" i="31"/>
  <c r="O69" i="31"/>
  <c r="P52" i="31"/>
  <c r="P164" i="22"/>
  <c r="P170" i="22"/>
  <c r="AO170" i="22"/>
  <c r="AN179" i="22"/>
  <c r="P179" i="22"/>
  <c r="P190" i="22"/>
  <c r="AO190" i="22"/>
  <c r="P199" i="22"/>
  <c r="AO199" i="22"/>
  <c r="Q64" i="31"/>
  <c r="Q68" i="31"/>
  <c r="L42" i="26"/>
  <c r="M45" i="26"/>
  <c r="Q33" i="26"/>
  <c r="S42" i="26"/>
  <c r="S46" i="26"/>
  <c r="K43" i="26"/>
  <c r="O42" i="26"/>
  <c r="O46" i="26"/>
  <c r="B21" i="31"/>
  <c r="S54" i="31"/>
  <c r="B26" i="31"/>
  <c r="B23" i="31"/>
  <c r="N43" i="26"/>
  <c r="N47" i="26"/>
  <c r="B22" i="31"/>
  <c r="B25" i="31"/>
  <c r="ID18" i="22"/>
  <c r="CM116" i="22"/>
  <c r="CM118" i="22"/>
  <c r="BO118" i="22"/>
  <c r="CM120" i="22"/>
  <c r="CM123" i="22"/>
  <c r="CM125" i="22"/>
  <c r="BO125" i="22"/>
  <c r="CM127" i="22"/>
  <c r="BO127" i="22"/>
  <c r="CM129" i="22"/>
  <c r="BO129" i="22"/>
  <c r="BO134" i="22"/>
  <c r="CM134" i="22"/>
  <c r="BO138" i="22"/>
  <c r="CM138" i="22"/>
  <c r="CM143" i="22"/>
  <c r="BO143" i="22"/>
  <c r="CM147" i="22"/>
  <c r="BO147" i="22"/>
  <c r="CM151" i="22"/>
  <c r="BO151" i="22"/>
  <c r="CM158" i="22"/>
  <c r="BO158" i="22"/>
  <c r="BO160" i="22"/>
  <c r="CM165" i="22"/>
  <c r="BO165" i="22"/>
  <c r="CM170" i="22"/>
  <c r="BO170" i="22"/>
  <c r="CM174" i="22"/>
  <c r="BO174" i="22"/>
  <c r="CM176" i="22"/>
  <c r="BO176" i="22"/>
  <c r="BO182" i="22"/>
  <c r="CM182" i="22"/>
  <c r="BO187" i="22"/>
  <c r="CM189" i="22"/>
  <c r="BO189" i="22"/>
  <c r="CM193" i="22"/>
  <c r="BO193" i="22"/>
  <c r="BO196" i="22"/>
  <c r="CM196" i="22"/>
  <c r="BO198" i="22"/>
  <c r="CM198" i="22"/>
  <c r="CM203" i="22"/>
  <c r="BO203" i="22"/>
  <c r="CM185" i="22"/>
  <c r="CM115" i="22"/>
  <c r="BO115" i="22"/>
  <c r="CM119" i="22"/>
  <c r="BO119" i="22"/>
  <c r="BO124" i="22"/>
  <c r="BO128" i="22"/>
  <c r="BO130" i="22"/>
  <c r="CM130" i="22"/>
  <c r="BO132" i="22"/>
  <c r="CM135" i="22"/>
  <c r="BO135" i="22"/>
  <c r="CM137" i="22"/>
  <c r="BO137" i="22"/>
  <c r="BO139" i="22"/>
  <c r="CM142" i="22"/>
  <c r="BO142" i="22"/>
  <c r="CM144" i="22"/>
  <c r="BO144" i="22"/>
  <c r="CM146" i="22"/>
  <c r="BO146" i="22"/>
  <c r="CM148" i="22"/>
  <c r="BO148" i="22"/>
  <c r="CM150" i="22"/>
  <c r="BO150" i="22"/>
  <c r="CM152" i="22"/>
  <c r="BO152" i="22"/>
  <c r="CM154" i="22"/>
  <c r="BO154" i="22"/>
  <c r="CM156" i="22"/>
  <c r="BO156" i="22"/>
  <c r="CM159" i="22"/>
  <c r="BO159" i="22"/>
  <c r="BO161" i="22"/>
  <c r="CM164" i="22"/>
  <c r="BO164" i="22"/>
  <c r="BO166" i="22"/>
  <c r="CM168" i="22"/>
  <c r="BO168" i="22"/>
  <c r="BO173" i="22"/>
  <c r="BO179" i="22"/>
  <c r="CM181" i="22"/>
  <c r="BO181" i="22"/>
  <c r="BO183" i="22"/>
  <c r="BO188" i="22"/>
  <c r="CM188" i="22"/>
  <c r="BO190" i="22"/>
  <c r="CM190" i="22"/>
  <c r="BO192" i="22"/>
  <c r="CM192" i="22"/>
  <c r="BO194" i="22"/>
  <c r="CM194" i="22"/>
  <c r="CM197" i="22"/>
  <c r="BO197" i="22"/>
  <c r="CM199" i="22"/>
  <c r="BO199" i="22"/>
  <c r="CM202" i="22"/>
  <c r="S57" i="26"/>
  <c r="S99" i="31"/>
  <c r="S88" i="31"/>
  <c r="A13" i="35"/>
  <c r="A36" i="26"/>
  <c r="S99" i="27"/>
  <c r="R99" i="27"/>
  <c r="B99" i="27"/>
  <c r="CL99" i="27"/>
  <c r="CM98" i="27"/>
  <c r="CM97" i="27"/>
  <c r="CM96" i="27"/>
  <c r="CM95" i="27"/>
  <c r="CM94" i="27"/>
  <c r="CM93" i="27"/>
  <c r="CM92" i="27"/>
  <c r="CM91" i="27"/>
  <c r="CM90" i="27"/>
  <c r="CM89" i="27"/>
  <c r="CM88" i="27"/>
  <c r="CM87" i="27"/>
  <c r="CM86" i="27"/>
  <c r="CM85" i="27"/>
  <c r="CM84" i="27"/>
  <c r="CM83" i="27"/>
  <c r="CM82" i="27"/>
  <c r="CM81" i="27"/>
  <c r="CM80" i="27"/>
  <c r="CM79" i="27"/>
  <c r="CM78" i="27"/>
  <c r="CM77" i="27"/>
  <c r="CM76" i="27"/>
  <c r="CM75" i="27"/>
  <c r="CM74" i="27"/>
  <c r="CM73" i="27"/>
  <c r="CM72" i="27"/>
  <c r="CM71" i="27"/>
  <c r="CM70" i="27"/>
  <c r="CM69" i="27"/>
  <c r="CM68" i="27"/>
  <c r="CM67" i="27"/>
  <c r="S40" i="29"/>
  <c r="CM66" i="27"/>
  <c r="CM65" i="27"/>
  <c r="CM63" i="27"/>
  <c r="CM62" i="27"/>
  <c r="CM61" i="27"/>
  <c r="CM60" i="27"/>
  <c r="CM59" i="27"/>
  <c r="CM58" i="27"/>
  <c r="CM57" i="27"/>
  <c r="CM56" i="27"/>
  <c r="CM55" i="27"/>
  <c r="CM54" i="27"/>
  <c r="CM53" i="27"/>
  <c r="CM52" i="27"/>
  <c r="CM51" i="27"/>
  <c r="CM50" i="27"/>
  <c r="CM49" i="27"/>
  <c r="CM48" i="27"/>
  <c r="CM47" i="27"/>
  <c r="CM46" i="27"/>
  <c r="CM45" i="27"/>
  <c r="CM44" i="27"/>
  <c r="CM43" i="27"/>
  <c r="CM42" i="27"/>
  <c r="CM41" i="27"/>
  <c r="CM40" i="27"/>
  <c r="CM39" i="27"/>
  <c r="CM38" i="27"/>
  <c r="CM37" i="27"/>
  <c r="CM36" i="27"/>
  <c r="CM35" i="27"/>
  <c r="CM34" i="27"/>
  <c r="CM33" i="27"/>
  <c r="CM32" i="27"/>
  <c r="CM31" i="27"/>
  <c r="CM30" i="27"/>
  <c r="CM29" i="27"/>
  <c r="CM28" i="27"/>
  <c r="CM27" i="27"/>
  <c r="CM26" i="27"/>
  <c r="CM25" i="27"/>
  <c r="CM24" i="27"/>
  <c r="CM23" i="27"/>
  <c r="CM22" i="27"/>
  <c r="CM21" i="27"/>
  <c r="CM20" i="27"/>
  <c r="CM19" i="27"/>
  <c r="CM18" i="27"/>
  <c r="S36" i="30"/>
  <c r="CM17" i="27"/>
  <c r="CM16" i="27"/>
  <c r="CM15" i="27"/>
  <c r="CM14" i="27"/>
  <c r="CM13" i="27"/>
  <c r="CM12" i="27"/>
  <c r="CM11" i="27"/>
  <c r="CM10" i="27"/>
  <c r="CL98" i="27"/>
  <c r="CL97" i="27"/>
  <c r="CL96" i="27"/>
  <c r="CL95" i="27"/>
  <c r="CL94" i="27"/>
  <c r="CL93" i="27"/>
  <c r="CL92" i="27"/>
  <c r="CL91" i="27"/>
  <c r="CL90" i="27"/>
  <c r="CL89" i="27"/>
  <c r="CL88" i="27"/>
  <c r="CL87" i="27"/>
  <c r="CL86" i="27"/>
  <c r="CL85" i="27"/>
  <c r="CL84" i="27"/>
  <c r="CL83" i="27"/>
  <c r="CL82" i="27"/>
  <c r="CL81" i="27"/>
  <c r="CL80" i="27"/>
  <c r="CL79" i="27"/>
  <c r="CL78" i="27"/>
  <c r="CL77" i="27"/>
  <c r="CL76" i="27"/>
  <c r="CL75" i="27"/>
  <c r="CL74" i="27"/>
  <c r="CL73" i="27"/>
  <c r="CL72" i="27"/>
  <c r="CL71" i="27"/>
  <c r="CL70" i="27"/>
  <c r="CL69" i="27"/>
  <c r="CL68" i="27"/>
  <c r="CL67" i="27"/>
  <c r="R40" i="29"/>
  <c r="CL66" i="27"/>
  <c r="CL65" i="27"/>
  <c r="CL63" i="27"/>
  <c r="CL62" i="27"/>
  <c r="CL61" i="27"/>
  <c r="CL60" i="27"/>
  <c r="CL59" i="27"/>
  <c r="CL58" i="27"/>
  <c r="CL57" i="27"/>
  <c r="CL56" i="27"/>
  <c r="CL55" i="27"/>
  <c r="CL54" i="27"/>
  <c r="CL53" i="27"/>
  <c r="CL52" i="27"/>
  <c r="CL51" i="27"/>
  <c r="CL50" i="27"/>
  <c r="CL49" i="27"/>
  <c r="CL48" i="27"/>
  <c r="CL47" i="27"/>
  <c r="CL46" i="27"/>
  <c r="CL45" i="27"/>
  <c r="CL44" i="27"/>
  <c r="CL43" i="27"/>
  <c r="CL42" i="27"/>
  <c r="CL41" i="27"/>
  <c r="CL40" i="27"/>
  <c r="CL39" i="27"/>
  <c r="CL38" i="27"/>
  <c r="CL37" i="27"/>
  <c r="CL36" i="27"/>
  <c r="CL35" i="27"/>
  <c r="CL34" i="27"/>
  <c r="CL33" i="27"/>
  <c r="CL32" i="27"/>
  <c r="CL31" i="27"/>
  <c r="CL30" i="27"/>
  <c r="CL29" i="27"/>
  <c r="CL28" i="27"/>
  <c r="CL27" i="27"/>
  <c r="CL26" i="27"/>
  <c r="CL25" i="27"/>
  <c r="CL24" i="27"/>
  <c r="CL23" i="27"/>
  <c r="CL22" i="27"/>
  <c r="CL21" i="27"/>
  <c r="CL20" i="27"/>
  <c r="CL19" i="27"/>
  <c r="CL18" i="27"/>
  <c r="R36" i="30"/>
  <c r="CL17" i="27"/>
  <c r="CL16" i="27"/>
  <c r="CL15" i="27"/>
  <c r="R38" i="30"/>
  <c r="CL14" i="27"/>
  <c r="CL13" i="27"/>
  <c r="CL12" i="27"/>
  <c r="CL11" i="27"/>
  <c r="CL10" i="27"/>
  <c r="BO98" i="27"/>
  <c r="BO97" i="27"/>
  <c r="BO96" i="27"/>
  <c r="BO95" i="27"/>
  <c r="BO94" i="27"/>
  <c r="BO93" i="27"/>
  <c r="BO92" i="27"/>
  <c r="BO91" i="27"/>
  <c r="BO90" i="27"/>
  <c r="BO89" i="27"/>
  <c r="BO88" i="27"/>
  <c r="BO87" i="27"/>
  <c r="BO86" i="27"/>
  <c r="BO85" i="27"/>
  <c r="BO84" i="27"/>
  <c r="BO83" i="27"/>
  <c r="BO82" i="27"/>
  <c r="BO81" i="27"/>
  <c r="BO80" i="27"/>
  <c r="BO79" i="27"/>
  <c r="BO78" i="27"/>
  <c r="BO77" i="27"/>
  <c r="BO76" i="27"/>
  <c r="BO75" i="27"/>
  <c r="BO74" i="27"/>
  <c r="BO73" i="27"/>
  <c r="BO72" i="27"/>
  <c r="BO71" i="27"/>
  <c r="BO70" i="27"/>
  <c r="BO69" i="27"/>
  <c r="BO68" i="27"/>
  <c r="BO67" i="27"/>
  <c r="S29" i="29"/>
  <c r="BO66" i="27"/>
  <c r="BO65" i="27"/>
  <c r="BO63" i="27"/>
  <c r="BO62" i="27"/>
  <c r="BO61" i="27"/>
  <c r="BO60" i="27"/>
  <c r="BO59" i="27"/>
  <c r="BO58" i="27"/>
  <c r="BO57" i="27"/>
  <c r="BO56" i="27"/>
  <c r="BO55" i="27"/>
  <c r="BO54" i="27"/>
  <c r="BO53" i="27"/>
  <c r="BO52" i="27"/>
  <c r="BO51" i="27"/>
  <c r="BO50" i="27"/>
  <c r="BO49" i="27"/>
  <c r="BO48" i="27"/>
  <c r="BO47" i="27"/>
  <c r="BO46" i="27"/>
  <c r="BO45" i="27"/>
  <c r="BO44" i="27"/>
  <c r="BO43" i="27"/>
  <c r="BO42" i="27"/>
  <c r="BO41" i="27"/>
  <c r="BO40" i="27"/>
  <c r="BO39" i="27"/>
  <c r="BO38" i="27"/>
  <c r="BO37" i="27"/>
  <c r="BO36" i="27"/>
  <c r="BO35" i="27"/>
  <c r="BO34" i="27"/>
  <c r="BO33" i="27"/>
  <c r="BO32" i="27"/>
  <c r="BO31" i="27"/>
  <c r="BO30" i="27"/>
  <c r="BO29" i="27"/>
  <c r="BO28" i="27"/>
  <c r="BO27" i="27"/>
  <c r="BO26" i="27"/>
  <c r="BO25" i="27"/>
  <c r="BO24" i="27"/>
  <c r="BO23" i="27"/>
  <c r="BO22" i="27"/>
  <c r="BO21" i="27"/>
  <c r="BO20" i="27"/>
  <c r="BO19" i="27"/>
  <c r="BO18" i="27"/>
  <c r="BO17" i="27"/>
  <c r="BO16" i="27"/>
  <c r="BO15" i="27"/>
  <c r="BO14" i="27"/>
  <c r="BO13" i="27"/>
  <c r="BO12" i="27"/>
  <c r="BO11" i="27"/>
  <c r="BO10" i="27"/>
  <c r="BN98" i="27"/>
  <c r="BN97" i="27"/>
  <c r="BN96" i="27"/>
  <c r="BN95" i="27"/>
  <c r="BN94" i="27"/>
  <c r="BN93" i="27"/>
  <c r="BN92" i="27"/>
  <c r="BN91" i="27"/>
  <c r="BN90" i="27"/>
  <c r="BN89" i="27"/>
  <c r="BN88" i="27"/>
  <c r="BN87" i="27"/>
  <c r="BN86" i="27"/>
  <c r="BN85" i="27"/>
  <c r="BN84" i="27"/>
  <c r="BN83" i="27"/>
  <c r="BN82" i="27"/>
  <c r="BN81" i="27"/>
  <c r="BN80" i="27"/>
  <c r="BN79" i="27"/>
  <c r="BN78" i="27"/>
  <c r="BN77" i="27"/>
  <c r="BN76" i="27"/>
  <c r="BN75" i="27"/>
  <c r="BN74" i="27"/>
  <c r="BN73" i="27"/>
  <c r="BN72" i="27"/>
  <c r="BN71" i="27"/>
  <c r="BN70" i="27"/>
  <c r="BN69" i="27"/>
  <c r="BN68" i="27"/>
  <c r="BN67" i="27"/>
  <c r="R29" i="29"/>
  <c r="BN66" i="27"/>
  <c r="BN65" i="27"/>
  <c r="BN63" i="27"/>
  <c r="BN62" i="27"/>
  <c r="BN61" i="27"/>
  <c r="BN60" i="27"/>
  <c r="BN59" i="27"/>
  <c r="BN58" i="27"/>
  <c r="BN57" i="27"/>
  <c r="BN56" i="27"/>
  <c r="BN55" i="27"/>
  <c r="BN54" i="27"/>
  <c r="BN53" i="27"/>
  <c r="BN52" i="27"/>
  <c r="BN51" i="27"/>
  <c r="BN50" i="27"/>
  <c r="BN49" i="27"/>
  <c r="BN48" i="27"/>
  <c r="BN47" i="27"/>
  <c r="BN46" i="27"/>
  <c r="BN45" i="27"/>
  <c r="BN44" i="27"/>
  <c r="BN43" i="27"/>
  <c r="BN42" i="27"/>
  <c r="BN41" i="27"/>
  <c r="BN40" i="27"/>
  <c r="BN39" i="27"/>
  <c r="BN38" i="27"/>
  <c r="BN37" i="27"/>
  <c r="BN36" i="27"/>
  <c r="BN35" i="27"/>
  <c r="BN34" i="27"/>
  <c r="BN33" i="27"/>
  <c r="BN32" i="27"/>
  <c r="BN31" i="27"/>
  <c r="BN30" i="27"/>
  <c r="BN29" i="27"/>
  <c r="BN28" i="27"/>
  <c r="BN27" i="27"/>
  <c r="BN26" i="27"/>
  <c r="BN25" i="27"/>
  <c r="BN24" i="27"/>
  <c r="BN23" i="27"/>
  <c r="BN22" i="27"/>
  <c r="BN21" i="27"/>
  <c r="BN20" i="27"/>
  <c r="BN19" i="27"/>
  <c r="BN18" i="27"/>
  <c r="BN17" i="27"/>
  <c r="BN16" i="27"/>
  <c r="BN15" i="27"/>
  <c r="BN14" i="27"/>
  <c r="BN13" i="27"/>
  <c r="BN12" i="27"/>
  <c r="BN11" i="27"/>
  <c r="BN10" i="27"/>
  <c r="AQ98" i="27"/>
  <c r="AQ97" i="27"/>
  <c r="AQ96" i="27"/>
  <c r="AQ95" i="27"/>
  <c r="AQ94" i="27"/>
  <c r="AQ93" i="27"/>
  <c r="AQ92" i="27"/>
  <c r="AQ91" i="27"/>
  <c r="AQ90" i="27"/>
  <c r="AQ89" i="27"/>
  <c r="AQ88" i="27"/>
  <c r="AQ87" i="27"/>
  <c r="AQ86" i="27"/>
  <c r="AQ85" i="27"/>
  <c r="AQ84" i="27"/>
  <c r="AQ83" i="27"/>
  <c r="AQ82" i="27"/>
  <c r="AQ81" i="27"/>
  <c r="AQ80" i="27"/>
  <c r="AQ79" i="27"/>
  <c r="AQ78" i="27"/>
  <c r="AQ77" i="27"/>
  <c r="AQ76" i="27"/>
  <c r="AQ75" i="27"/>
  <c r="AQ74" i="27"/>
  <c r="AQ73" i="27"/>
  <c r="AQ72" i="27"/>
  <c r="AQ71" i="27"/>
  <c r="AQ70" i="27"/>
  <c r="AQ69" i="27"/>
  <c r="AQ68" i="27"/>
  <c r="AQ67" i="27"/>
  <c r="S18" i="29"/>
  <c r="AQ66" i="27"/>
  <c r="AQ65" i="27"/>
  <c r="AQ63" i="27"/>
  <c r="AQ62" i="27"/>
  <c r="AQ61" i="27"/>
  <c r="AQ60" i="27"/>
  <c r="AQ59" i="27"/>
  <c r="AQ58" i="27"/>
  <c r="AQ57" i="27"/>
  <c r="AQ56" i="27"/>
  <c r="AQ55" i="27"/>
  <c r="AQ54" i="27"/>
  <c r="AQ53" i="27"/>
  <c r="AQ52" i="27"/>
  <c r="AQ51" i="27"/>
  <c r="AQ50" i="27"/>
  <c r="AQ49" i="27"/>
  <c r="AQ48" i="27"/>
  <c r="AQ47" i="27"/>
  <c r="AQ46" i="27"/>
  <c r="AQ45" i="27"/>
  <c r="AQ44" i="27"/>
  <c r="AQ43" i="27"/>
  <c r="AQ42" i="27"/>
  <c r="AQ41" i="27"/>
  <c r="AQ40" i="27"/>
  <c r="AQ39" i="27"/>
  <c r="AQ38" i="27"/>
  <c r="AQ37" i="27"/>
  <c r="AQ36" i="27"/>
  <c r="AQ35" i="27"/>
  <c r="AQ34" i="27"/>
  <c r="AQ33" i="27"/>
  <c r="AQ32" i="27"/>
  <c r="AQ31" i="27"/>
  <c r="AQ30" i="27"/>
  <c r="AQ29" i="27"/>
  <c r="AQ28" i="27"/>
  <c r="AQ27" i="27"/>
  <c r="AQ26" i="27"/>
  <c r="AQ25" i="27"/>
  <c r="AQ24" i="27"/>
  <c r="AQ23" i="27"/>
  <c r="AQ22" i="27"/>
  <c r="AQ21" i="27"/>
  <c r="AQ20" i="27"/>
  <c r="AQ19" i="27"/>
  <c r="AQ18" i="27"/>
  <c r="S20" i="30"/>
  <c r="AQ17" i="27"/>
  <c r="AQ16" i="27"/>
  <c r="AQ15" i="27"/>
  <c r="S22" i="30"/>
  <c r="AQ14" i="27"/>
  <c r="AQ13" i="27"/>
  <c r="AQ12" i="27"/>
  <c r="AQ11" i="27"/>
  <c r="AQ10" i="27"/>
  <c r="AP98" i="27"/>
  <c r="AP97" i="27"/>
  <c r="AP96" i="27"/>
  <c r="AP95" i="27"/>
  <c r="AP94" i="27"/>
  <c r="AP93" i="27"/>
  <c r="AP92" i="27"/>
  <c r="AP91" i="27"/>
  <c r="AP90" i="27"/>
  <c r="AP89" i="27"/>
  <c r="AP88" i="27"/>
  <c r="AP87" i="27"/>
  <c r="AP86" i="27"/>
  <c r="AP85" i="27"/>
  <c r="AP84" i="27"/>
  <c r="AP83" i="27"/>
  <c r="AP82" i="27"/>
  <c r="AP81" i="27"/>
  <c r="AP80" i="27"/>
  <c r="AP79" i="27"/>
  <c r="AP78" i="27"/>
  <c r="AP77" i="27"/>
  <c r="AP76" i="27"/>
  <c r="AP75" i="27"/>
  <c r="AP74" i="27"/>
  <c r="AP73" i="27"/>
  <c r="AP72" i="27"/>
  <c r="AP71" i="27"/>
  <c r="AP70" i="27"/>
  <c r="AP69" i="27"/>
  <c r="AP68" i="27"/>
  <c r="AP67" i="27"/>
  <c r="AP66" i="27"/>
  <c r="AP65" i="27"/>
  <c r="AP63" i="27"/>
  <c r="AP62" i="27"/>
  <c r="AP61" i="27"/>
  <c r="AP60" i="27"/>
  <c r="AP59" i="27"/>
  <c r="AP58" i="27"/>
  <c r="AP57" i="27"/>
  <c r="AP56" i="27"/>
  <c r="AP55" i="27"/>
  <c r="AP54" i="27"/>
  <c r="AP53" i="27"/>
  <c r="AP52" i="27"/>
  <c r="AP51" i="27"/>
  <c r="AP50" i="27"/>
  <c r="AP49" i="27"/>
  <c r="AP48" i="27"/>
  <c r="AP47" i="27"/>
  <c r="AP46" i="27"/>
  <c r="AP45" i="27"/>
  <c r="AP44" i="27"/>
  <c r="AP43" i="27"/>
  <c r="AP42" i="27"/>
  <c r="AP41" i="27"/>
  <c r="AP40" i="27"/>
  <c r="AP39" i="27"/>
  <c r="AP38" i="27"/>
  <c r="AP37" i="27"/>
  <c r="AP36" i="27"/>
  <c r="AP35" i="27"/>
  <c r="AP34" i="27"/>
  <c r="AP33" i="27"/>
  <c r="AP32" i="27"/>
  <c r="AP31" i="27"/>
  <c r="AP30" i="27"/>
  <c r="AP29" i="27"/>
  <c r="AP28" i="27"/>
  <c r="AP27" i="27"/>
  <c r="AP26" i="27"/>
  <c r="AP25" i="27"/>
  <c r="AP24" i="27"/>
  <c r="AP23" i="27"/>
  <c r="AP22" i="27"/>
  <c r="AP21" i="27"/>
  <c r="AP20" i="27"/>
  <c r="AP19" i="27"/>
  <c r="AP18" i="27"/>
  <c r="AP17" i="27"/>
  <c r="AP16" i="27"/>
  <c r="AP15" i="27"/>
  <c r="R22" i="30"/>
  <c r="AP14" i="27"/>
  <c r="AP13" i="27"/>
  <c r="AP12" i="27"/>
  <c r="AP11" i="27"/>
  <c r="AP10" i="27"/>
  <c r="CM98" i="15"/>
  <c r="CM97" i="15"/>
  <c r="CM96" i="15"/>
  <c r="CM95" i="15"/>
  <c r="CM94" i="15"/>
  <c r="CM93" i="15"/>
  <c r="CM92" i="15"/>
  <c r="CM91" i="15"/>
  <c r="CM90" i="15"/>
  <c r="CM89" i="15"/>
  <c r="CM88" i="15"/>
  <c r="CM87" i="15"/>
  <c r="CM86" i="15"/>
  <c r="CM85" i="15"/>
  <c r="CM84" i="15"/>
  <c r="CM83" i="15"/>
  <c r="CM82" i="15"/>
  <c r="CM81" i="15"/>
  <c r="CM80" i="15"/>
  <c r="CM79" i="15"/>
  <c r="CM78" i="15"/>
  <c r="CM77" i="15"/>
  <c r="CM76" i="15"/>
  <c r="CM75" i="15"/>
  <c r="CM74" i="15"/>
  <c r="CM73" i="15"/>
  <c r="CM72" i="15"/>
  <c r="CM71" i="15"/>
  <c r="CM70" i="15"/>
  <c r="CM69" i="15"/>
  <c r="CM68" i="15"/>
  <c r="CM67" i="15"/>
  <c r="S34" i="29"/>
  <c r="CM66" i="15"/>
  <c r="CM65" i="15"/>
  <c r="CM63" i="15"/>
  <c r="CM62" i="15"/>
  <c r="CM61" i="15"/>
  <c r="CM60" i="15"/>
  <c r="CM59" i="15"/>
  <c r="CM58" i="15"/>
  <c r="CM57" i="15"/>
  <c r="CM56" i="15"/>
  <c r="CM55" i="15"/>
  <c r="CM54" i="15"/>
  <c r="CM53" i="15"/>
  <c r="CM52" i="15"/>
  <c r="CM51" i="15"/>
  <c r="CM50" i="15"/>
  <c r="CM49" i="15"/>
  <c r="CM48" i="15"/>
  <c r="CM47" i="15"/>
  <c r="CM46" i="15"/>
  <c r="CM45" i="15"/>
  <c r="CM44" i="15"/>
  <c r="CM43" i="15"/>
  <c r="CM42" i="15"/>
  <c r="CM41" i="15"/>
  <c r="CM40" i="15"/>
  <c r="CM39" i="15"/>
  <c r="CM38" i="15"/>
  <c r="CM37" i="15"/>
  <c r="CM36" i="15"/>
  <c r="CM35" i="15"/>
  <c r="CM34" i="15"/>
  <c r="CM33" i="15"/>
  <c r="CM32" i="15"/>
  <c r="CM31" i="15"/>
  <c r="CM30" i="15"/>
  <c r="CM29" i="15"/>
  <c r="CM28" i="15"/>
  <c r="CM27" i="15"/>
  <c r="CM26" i="15"/>
  <c r="CM25" i="15"/>
  <c r="CM24" i="15"/>
  <c r="CM23" i="15"/>
  <c r="CM22" i="15"/>
  <c r="CM21" i="15"/>
  <c r="CM20" i="15"/>
  <c r="CM19" i="15"/>
  <c r="CM18" i="15"/>
  <c r="S28" i="30"/>
  <c r="CM17" i="15"/>
  <c r="CM16" i="15"/>
  <c r="CM15" i="15"/>
  <c r="CM14" i="15"/>
  <c r="CM13" i="15"/>
  <c r="CM12" i="15"/>
  <c r="CM11" i="15"/>
  <c r="CM10" i="15"/>
  <c r="BO98" i="15"/>
  <c r="BO97" i="15"/>
  <c r="BO96" i="15"/>
  <c r="BO95" i="15"/>
  <c r="BO94" i="15"/>
  <c r="BO93" i="15"/>
  <c r="BO92" i="15"/>
  <c r="BO91" i="15"/>
  <c r="BO90" i="15"/>
  <c r="BO89" i="15"/>
  <c r="BO88" i="15"/>
  <c r="BO87" i="15"/>
  <c r="BO86" i="15"/>
  <c r="BO85" i="15"/>
  <c r="BO84" i="15"/>
  <c r="BO83" i="15"/>
  <c r="BO82" i="15"/>
  <c r="BO81" i="15"/>
  <c r="BO80" i="15"/>
  <c r="BO79" i="15"/>
  <c r="BO78" i="15"/>
  <c r="BO77" i="15"/>
  <c r="BO76" i="15"/>
  <c r="BO75" i="15"/>
  <c r="BO74" i="15"/>
  <c r="BO73" i="15"/>
  <c r="BO72" i="15"/>
  <c r="BO71" i="15"/>
  <c r="BO70" i="15"/>
  <c r="BO69" i="15"/>
  <c r="BO68" i="15"/>
  <c r="BO67" i="15"/>
  <c r="BO66" i="15"/>
  <c r="BO65" i="15"/>
  <c r="BO63" i="15"/>
  <c r="BO62" i="15"/>
  <c r="BO61" i="15"/>
  <c r="BO60" i="15"/>
  <c r="BO59" i="15"/>
  <c r="BO58" i="15"/>
  <c r="BO57" i="15"/>
  <c r="BO56" i="15"/>
  <c r="BO55" i="15"/>
  <c r="BO54" i="15"/>
  <c r="BO53" i="15"/>
  <c r="BO52" i="15"/>
  <c r="BO51" i="15"/>
  <c r="BO50" i="15"/>
  <c r="BO49" i="15"/>
  <c r="BO48" i="15"/>
  <c r="BO47" i="15"/>
  <c r="BO46" i="15"/>
  <c r="BO45" i="15"/>
  <c r="BO44" i="15"/>
  <c r="BO43" i="15"/>
  <c r="BO42" i="15"/>
  <c r="BO41" i="15"/>
  <c r="BO40" i="15"/>
  <c r="BO39" i="15"/>
  <c r="BO38" i="15"/>
  <c r="BO37" i="15"/>
  <c r="BO36" i="15"/>
  <c r="BO35" i="15"/>
  <c r="BO34" i="15"/>
  <c r="BO33" i="15"/>
  <c r="BO32" i="15"/>
  <c r="BO31" i="15"/>
  <c r="BO30" i="15"/>
  <c r="BO29" i="15"/>
  <c r="BO28" i="15"/>
  <c r="BO27" i="15"/>
  <c r="BO26" i="15"/>
  <c r="BO25" i="15"/>
  <c r="BO24" i="15"/>
  <c r="BO23" i="15"/>
  <c r="BO22" i="15"/>
  <c r="BO21" i="15"/>
  <c r="BO20" i="15"/>
  <c r="BO19" i="15"/>
  <c r="BO18" i="15"/>
  <c r="BO17" i="15"/>
  <c r="BO16" i="15"/>
  <c r="BO15" i="15"/>
  <c r="BO14" i="15"/>
  <c r="BO13" i="15"/>
  <c r="BO12" i="15"/>
  <c r="BO11" i="15"/>
  <c r="BO10" i="15"/>
  <c r="BP99" i="15"/>
  <c r="AQ98" i="15"/>
  <c r="AQ97" i="15"/>
  <c r="AQ96" i="15"/>
  <c r="AQ95" i="15"/>
  <c r="AQ94" i="15"/>
  <c r="AQ93" i="15"/>
  <c r="AQ92" i="15"/>
  <c r="AQ91" i="15"/>
  <c r="AQ90" i="15"/>
  <c r="AQ89" i="15"/>
  <c r="AQ88" i="15"/>
  <c r="AQ87" i="15"/>
  <c r="AQ86" i="15"/>
  <c r="AQ85" i="15"/>
  <c r="AQ84" i="15"/>
  <c r="AQ83" i="15"/>
  <c r="AQ82" i="15"/>
  <c r="AQ81" i="15"/>
  <c r="AQ80" i="15"/>
  <c r="AQ79" i="15"/>
  <c r="AQ78" i="15"/>
  <c r="AQ77" i="15"/>
  <c r="AQ76" i="15"/>
  <c r="AQ75" i="15"/>
  <c r="AQ74" i="15"/>
  <c r="AQ73" i="15"/>
  <c r="AQ72" i="15"/>
  <c r="AQ71" i="15"/>
  <c r="AQ70" i="15"/>
  <c r="AQ69" i="15"/>
  <c r="AQ68" i="15"/>
  <c r="AQ67" i="15"/>
  <c r="S17" i="29"/>
  <c r="AQ66" i="15"/>
  <c r="AQ65" i="15"/>
  <c r="AQ63" i="15"/>
  <c r="AQ62" i="15"/>
  <c r="AQ61" i="15"/>
  <c r="AQ60" i="15"/>
  <c r="AQ59" i="15"/>
  <c r="AQ58" i="15"/>
  <c r="AQ57" i="15"/>
  <c r="AQ56" i="15"/>
  <c r="AQ55" i="15"/>
  <c r="AQ54" i="15"/>
  <c r="AQ53" i="15"/>
  <c r="AQ52" i="15"/>
  <c r="AQ51" i="15"/>
  <c r="AQ50" i="15"/>
  <c r="AQ49" i="15"/>
  <c r="AQ48" i="15"/>
  <c r="AQ47" i="15"/>
  <c r="AQ46" i="15"/>
  <c r="AQ45" i="15"/>
  <c r="AQ44" i="15"/>
  <c r="AQ43" i="15"/>
  <c r="AQ42" i="15"/>
  <c r="AQ41" i="15"/>
  <c r="AQ40" i="15"/>
  <c r="AQ39" i="15"/>
  <c r="AQ38" i="15"/>
  <c r="AQ37" i="15"/>
  <c r="AQ36" i="15"/>
  <c r="AQ35" i="15"/>
  <c r="AQ34" i="15"/>
  <c r="AQ33" i="15"/>
  <c r="AQ32" i="15"/>
  <c r="AQ31" i="15"/>
  <c r="AQ30" i="15"/>
  <c r="AQ29" i="15"/>
  <c r="AQ28" i="15"/>
  <c r="AQ27" i="15"/>
  <c r="AQ26" i="15"/>
  <c r="AQ25" i="15"/>
  <c r="AQ24" i="15"/>
  <c r="AQ23" i="15"/>
  <c r="AQ22" i="15"/>
  <c r="AQ21" i="15"/>
  <c r="AQ20" i="15"/>
  <c r="AQ19" i="15"/>
  <c r="AQ18" i="15"/>
  <c r="S19" i="30"/>
  <c r="AQ17" i="15"/>
  <c r="AQ16" i="15"/>
  <c r="AQ15" i="15"/>
  <c r="S21" i="30"/>
  <c r="AQ14" i="15"/>
  <c r="AQ13" i="15"/>
  <c r="AQ12" i="15"/>
  <c r="AQ11" i="15"/>
  <c r="AQ10" i="15"/>
  <c r="R20" i="30"/>
  <c r="S30" i="30"/>
  <c r="S38" i="30"/>
  <c r="S23" i="29"/>
  <c r="R18" i="29"/>
  <c r="AR98" i="10"/>
  <c r="CO63" i="10"/>
  <c r="Q18" i="33"/>
  <c r="CN63" i="10"/>
  <c r="Q9" i="33"/>
  <c r="R31" i="35"/>
  <c r="CN18" i="10"/>
  <c r="CN26" i="10"/>
  <c r="CN34" i="10"/>
  <c r="CN42" i="10"/>
  <c r="CN78" i="10"/>
  <c r="CN94" i="10"/>
  <c r="CN29" i="10"/>
  <c r="CN45" i="10"/>
  <c r="CN27" i="10"/>
  <c r="CN43" i="10"/>
  <c r="CN58" i="10"/>
  <c r="CN75" i="10"/>
  <c r="CN91" i="10"/>
  <c r="CN55" i="10"/>
  <c r="CN88" i="10"/>
  <c r="CN30" i="10"/>
  <c r="CN66" i="10"/>
  <c r="CN82" i="10"/>
  <c r="CN24" i="10"/>
  <c r="CN33" i="10"/>
  <c r="CN31" i="10"/>
  <c r="CN47" i="10"/>
  <c r="CN62" i="10"/>
  <c r="CN79" i="10"/>
  <c r="CN95" i="10"/>
  <c r="CN59" i="10"/>
  <c r="CN46" i="10"/>
  <c r="CN38" i="10"/>
  <c r="CN70" i="10"/>
  <c r="CN86" i="10"/>
  <c r="CN28" i="10"/>
  <c r="CN21" i="10"/>
  <c r="CN37" i="10"/>
  <c r="CN19" i="10"/>
  <c r="CN35" i="10"/>
  <c r="CN50" i="10"/>
  <c r="CN67" i="10"/>
  <c r="CN83" i="10"/>
  <c r="CN85" i="10"/>
  <c r="CN53" i="10"/>
  <c r="R18" i="35"/>
  <c r="CN23" i="10"/>
  <c r="CN87" i="10"/>
  <c r="CN51" i="10"/>
  <c r="CN77" i="10"/>
  <c r="CN90" i="10"/>
  <c r="CN54" i="10"/>
  <c r="CN14" i="10"/>
  <c r="CN10" i="10"/>
  <c r="CN74" i="10"/>
  <c r="CN39" i="10"/>
  <c r="CN22" i="10"/>
  <c r="CN11" i="10"/>
  <c r="CN15" i="10"/>
  <c r="CN71" i="10"/>
  <c r="CN73" i="10"/>
  <c r="CO60" i="10"/>
  <c r="CO19" i="10"/>
  <c r="CO35" i="10"/>
  <c r="CO11" i="10"/>
  <c r="CO12" i="10"/>
  <c r="CO28" i="10"/>
  <c r="CO44" i="10"/>
  <c r="CO42" i="10"/>
  <c r="CO57" i="10"/>
  <c r="CO54" i="10"/>
  <c r="CO71" i="10"/>
  <c r="CO87" i="10"/>
  <c r="CO65" i="10"/>
  <c r="CO23" i="10"/>
  <c r="CO39" i="10"/>
  <c r="CO16" i="10"/>
  <c r="CO32" i="10"/>
  <c r="CO48" i="10"/>
  <c r="CO30" i="10"/>
  <c r="CO46" i="10"/>
  <c r="CO94" i="10"/>
  <c r="CO58" i="10"/>
  <c r="CO75" i="10"/>
  <c r="CO56" i="10"/>
  <c r="CO15" i="10"/>
  <c r="CO27" i="10"/>
  <c r="CO43" i="10"/>
  <c r="CO20" i="10"/>
  <c r="CO36" i="10"/>
  <c r="CO66" i="10"/>
  <c r="CO79" i="10"/>
  <c r="CO95" i="10"/>
  <c r="CO51" i="10"/>
  <c r="CO68" i="10"/>
  <c r="CO84" i="10"/>
  <c r="CO52" i="10"/>
  <c r="CO67" i="10"/>
  <c r="CO72" i="10"/>
  <c r="CO92" i="10"/>
  <c r="CO80" i="10"/>
  <c r="CO31" i="10"/>
  <c r="CO83" i="10"/>
  <c r="CO91" i="10"/>
  <c r="CO55" i="10"/>
  <c r="CO76" i="10"/>
  <c r="CO96" i="10"/>
  <c r="CO47" i="10"/>
  <c r="CO24" i="10"/>
  <c r="CO70" i="10"/>
  <c r="CO59" i="10"/>
  <c r="CO40" i="10"/>
  <c r="CO22" i="10"/>
  <c r="CO86" i="10"/>
  <c r="CO64" i="10"/>
  <c r="CO88" i="10"/>
  <c r="S32" i="35"/>
  <c r="S29" i="35"/>
  <c r="S31" i="35"/>
  <c r="S30" i="35"/>
  <c r="S25" i="35"/>
  <c r="S24" i="35"/>
  <c r="S23" i="35"/>
  <c r="S77" i="35"/>
  <c r="S68" i="35"/>
  <c r="S76" i="35"/>
  <c r="S65" i="35"/>
  <c r="S74" i="35"/>
  <c r="S66" i="35"/>
  <c r="S72" i="35"/>
  <c r="S73" i="35"/>
  <c r="S61" i="35"/>
  <c r="S75" i="35"/>
  <c r="S79" i="35"/>
  <c r="S64" i="35"/>
  <c r="S63" i="35"/>
  <c r="S62" i="35"/>
  <c r="S67" i="35"/>
  <c r="S78" i="35"/>
  <c r="R30" i="35"/>
  <c r="R24" i="35"/>
  <c r="R44" i="35"/>
  <c r="R43" i="35"/>
  <c r="R39" i="35"/>
  <c r="R46" i="35"/>
  <c r="S57" i="35"/>
  <c r="S53" i="35"/>
  <c r="S38" i="35"/>
  <c r="S45" i="35"/>
  <c r="S37" i="35"/>
  <c r="S55" i="35"/>
  <c r="S48" i="35"/>
  <c r="S43" i="35"/>
  <c r="S36" i="35"/>
  <c r="S54" i="35"/>
  <c r="S47" i="35"/>
  <c r="S39" i="35"/>
  <c r="S44" i="35"/>
  <c r="S52" i="35"/>
  <c r="S56" i="35"/>
  <c r="B14" i="26"/>
  <c r="B15" i="26"/>
  <c r="B16" i="26"/>
  <c r="B17" i="26"/>
  <c r="P55" i="31"/>
  <c r="P53" i="31"/>
  <c r="P34" i="26"/>
  <c r="O55" i="31"/>
  <c r="O34" i="26"/>
  <c r="N55" i="31"/>
  <c r="N34" i="26"/>
  <c r="N53" i="31"/>
  <c r="O53" i="31"/>
  <c r="R59" i="31"/>
  <c r="R60" i="31"/>
  <c r="S59" i="31"/>
  <c r="O60" i="31"/>
  <c r="O59" i="31"/>
  <c r="O38" i="26"/>
  <c r="AL201" i="22"/>
  <c r="N201" i="22"/>
  <c r="AM201" i="22"/>
  <c r="AM166" i="22"/>
  <c r="O166" i="22"/>
  <c r="AN166" i="22"/>
  <c r="Q195" i="22"/>
  <c r="Q60" i="31"/>
  <c r="P59" i="31"/>
  <c r="AN148" i="22"/>
  <c r="P148" i="22"/>
  <c r="M60" i="31"/>
  <c r="M59" i="31"/>
  <c r="M55" i="31"/>
  <c r="M53" i="31"/>
  <c r="L55" i="31"/>
  <c r="L60" i="31"/>
  <c r="L53" i="31"/>
  <c r="M192" i="22"/>
  <c r="AL192" i="22"/>
  <c r="AJ187" i="22"/>
  <c r="L187" i="22"/>
  <c r="AK187" i="22"/>
  <c r="L158" i="22"/>
  <c r="AK158" i="22"/>
  <c r="N38" i="26"/>
  <c r="M38" i="26"/>
  <c r="M34" i="26"/>
  <c r="L34" i="26"/>
  <c r="HN29" i="22"/>
  <c r="HO29" i="22"/>
  <c r="HP29" i="22"/>
  <c r="HQ29" i="22"/>
  <c r="HR29" i="22"/>
  <c r="HS29" i="22"/>
  <c r="HT29" i="22"/>
  <c r="HU29" i="22"/>
  <c r="AQ98" i="10"/>
  <c r="AP98" i="15"/>
  <c r="AP97" i="15"/>
  <c r="AP96" i="15"/>
  <c r="AP95" i="15"/>
  <c r="AP94" i="15"/>
  <c r="AP93" i="15"/>
  <c r="AP92" i="15"/>
  <c r="AP91" i="15"/>
  <c r="AP90" i="15"/>
  <c r="AP89" i="15"/>
  <c r="AP88" i="15"/>
  <c r="AP87" i="15"/>
  <c r="AP86" i="15"/>
  <c r="AP85" i="15"/>
  <c r="AP84" i="15"/>
  <c r="AP83" i="15"/>
  <c r="AP82" i="15"/>
  <c r="AP81" i="15"/>
  <c r="AP80" i="15"/>
  <c r="AP79" i="15"/>
  <c r="AP78" i="15"/>
  <c r="AP77" i="15"/>
  <c r="AP76" i="15"/>
  <c r="AP75" i="15"/>
  <c r="AP74" i="15"/>
  <c r="AP73" i="15"/>
  <c r="AP72" i="15"/>
  <c r="AP71" i="15"/>
  <c r="AP70" i="15"/>
  <c r="AP69" i="15"/>
  <c r="AP68" i="15"/>
  <c r="AP67" i="15"/>
  <c r="R17" i="29"/>
  <c r="AP66" i="15"/>
  <c r="AP65" i="15"/>
  <c r="AP63" i="15"/>
  <c r="AP62" i="15"/>
  <c r="AP61" i="15"/>
  <c r="AP60" i="15"/>
  <c r="AP59" i="15"/>
  <c r="AP58" i="15"/>
  <c r="AP57" i="15"/>
  <c r="AP56" i="15"/>
  <c r="AP55" i="15"/>
  <c r="AP54" i="15"/>
  <c r="AP53" i="15"/>
  <c r="AP52" i="15"/>
  <c r="AP51" i="15"/>
  <c r="AP50" i="15"/>
  <c r="AP49" i="15"/>
  <c r="AP48" i="15"/>
  <c r="AP47" i="15"/>
  <c r="AP46" i="15"/>
  <c r="AP45" i="15"/>
  <c r="AP44" i="15"/>
  <c r="AP43" i="15"/>
  <c r="AP42" i="15"/>
  <c r="AP41" i="15"/>
  <c r="AP40" i="15"/>
  <c r="AP39" i="15"/>
  <c r="AP38" i="15"/>
  <c r="AP37" i="15"/>
  <c r="AP36" i="15"/>
  <c r="AP35" i="15"/>
  <c r="AP34" i="15"/>
  <c r="AP33" i="15"/>
  <c r="AP32" i="15"/>
  <c r="AP31" i="15"/>
  <c r="AP30" i="15"/>
  <c r="AP29" i="15"/>
  <c r="AP28" i="15"/>
  <c r="AP27" i="15"/>
  <c r="AP26" i="15"/>
  <c r="AP25" i="15"/>
  <c r="AP24" i="15"/>
  <c r="AP23" i="15"/>
  <c r="AP22" i="15"/>
  <c r="AP21" i="15"/>
  <c r="AP20" i="15"/>
  <c r="AP19" i="15"/>
  <c r="AP18" i="15"/>
  <c r="R19" i="30"/>
  <c r="AP17" i="15"/>
  <c r="AP16" i="15"/>
  <c r="AP15" i="15"/>
  <c r="R21" i="30"/>
  <c r="AP14" i="15"/>
  <c r="AP13" i="15"/>
  <c r="AP12" i="15"/>
  <c r="AP11" i="15"/>
  <c r="AP10" i="15"/>
  <c r="CL98" i="15"/>
  <c r="CL97" i="15"/>
  <c r="CL96" i="15"/>
  <c r="CL95" i="15"/>
  <c r="CL94" i="15"/>
  <c r="CL93" i="15"/>
  <c r="CL92" i="15"/>
  <c r="CL91" i="15"/>
  <c r="CL90" i="15"/>
  <c r="CL89" i="15"/>
  <c r="CL88" i="15"/>
  <c r="CL87" i="15"/>
  <c r="CL86" i="15"/>
  <c r="CL85" i="15"/>
  <c r="CL84" i="15"/>
  <c r="CL83" i="15"/>
  <c r="CL82" i="15"/>
  <c r="CL81" i="15"/>
  <c r="CL80" i="15"/>
  <c r="CL79" i="15"/>
  <c r="CL78" i="15"/>
  <c r="CL77" i="15"/>
  <c r="CL76" i="15"/>
  <c r="CL75" i="15"/>
  <c r="CL74" i="15"/>
  <c r="CL73" i="15"/>
  <c r="CL72" i="15"/>
  <c r="CL71" i="15"/>
  <c r="CL70" i="15"/>
  <c r="CL69" i="15"/>
  <c r="CL68" i="15"/>
  <c r="CL67" i="15"/>
  <c r="R34" i="29"/>
  <c r="CL66" i="15"/>
  <c r="CL65" i="15"/>
  <c r="CL63" i="15"/>
  <c r="CL62" i="15"/>
  <c r="CL61" i="15"/>
  <c r="CL60" i="15"/>
  <c r="CL59" i="15"/>
  <c r="CL58" i="15"/>
  <c r="CL57" i="15"/>
  <c r="CL56" i="15"/>
  <c r="CL55" i="15"/>
  <c r="CL54" i="15"/>
  <c r="CL53" i="15"/>
  <c r="CL52" i="15"/>
  <c r="CL51" i="15"/>
  <c r="CL50" i="15"/>
  <c r="CL49" i="15"/>
  <c r="CL48" i="15"/>
  <c r="CL47" i="15"/>
  <c r="CL46" i="15"/>
  <c r="CL45" i="15"/>
  <c r="CL44" i="15"/>
  <c r="CL43" i="15"/>
  <c r="CL42" i="15"/>
  <c r="CL41" i="15"/>
  <c r="CL40" i="15"/>
  <c r="CL39" i="15"/>
  <c r="CL38" i="15"/>
  <c r="CL37" i="15"/>
  <c r="CL36" i="15"/>
  <c r="CL35" i="15"/>
  <c r="CL34" i="15"/>
  <c r="CL33" i="15"/>
  <c r="CL32" i="15"/>
  <c r="CL31" i="15"/>
  <c r="CL30" i="15"/>
  <c r="CL29" i="15"/>
  <c r="CL28" i="15"/>
  <c r="CL27" i="15"/>
  <c r="CL26" i="15"/>
  <c r="CL25" i="15"/>
  <c r="CL24" i="15"/>
  <c r="CL23" i="15"/>
  <c r="CL22" i="15"/>
  <c r="CL21" i="15"/>
  <c r="CL20" i="15"/>
  <c r="CL19" i="15"/>
  <c r="CL18" i="15"/>
  <c r="CL17" i="15"/>
  <c r="CL16" i="15"/>
  <c r="CL15" i="15"/>
  <c r="CL14" i="15"/>
  <c r="CL13" i="15"/>
  <c r="CL12" i="15"/>
  <c r="CL11" i="15"/>
  <c r="CL10" i="15"/>
  <c r="BN98" i="15"/>
  <c r="BN97" i="15"/>
  <c r="BN96" i="15"/>
  <c r="BN95" i="15"/>
  <c r="BN94" i="15"/>
  <c r="BN93" i="15"/>
  <c r="BN92" i="15"/>
  <c r="BN91" i="15"/>
  <c r="BN90" i="15"/>
  <c r="BN89" i="15"/>
  <c r="BN88" i="15"/>
  <c r="BN87" i="15"/>
  <c r="BN86" i="15"/>
  <c r="BN85" i="15"/>
  <c r="BN84" i="15"/>
  <c r="BN83" i="15"/>
  <c r="BN82" i="15"/>
  <c r="BN81" i="15"/>
  <c r="BN80" i="15"/>
  <c r="BN79" i="15"/>
  <c r="BN78" i="15"/>
  <c r="BN77" i="15"/>
  <c r="BN76" i="15"/>
  <c r="BN75" i="15"/>
  <c r="BN74" i="15"/>
  <c r="BN73" i="15"/>
  <c r="BN72" i="15"/>
  <c r="BN71" i="15"/>
  <c r="BN70" i="15"/>
  <c r="BN69" i="15"/>
  <c r="BN68" i="15"/>
  <c r="BN67" i="15"/>
  <c r="BN66" i="15"/>
  <c r="BN65" i="15"/>
  <c r="BN63" i="15"/>
  <c r="BN62" i="15"/>
  <c r="BN61" i="15"/>
  <c r="BN60" i="15"/>
  <c r="BN59" i="15"/>
  <c r="BN58" i="15"/>
  <c r="BN57" i="15"/>
  <c r="BN56" i="15"/>
  <c r="BN55" i="15"/>
  <c r="BN54" i="15"/>
  <c r="BN53" i="15"/>
  <c r="BN52" i="15"/>
  <c r="BN51" i="15"/>
  <c r="BN50" i="15"/>
  <c r="BN49" i="15"/>
  <c r="BN48" i="15"/>
  <c r="BN47" i="15"/>
  <c r="BN46" i="15"/>
  <c r="BN45" i="15"/>
  <c r="BN44" i="15"/>
  <c r="BN43" i="15"/>
  <c r="BN42" i="15"/>
  <c r="BN41" i="15"/>
  <c r="BN40" i="15"/>
  <c r="BN39" i="15"/>
  <c r="BN38" i="15"/>
  <c r="BN37" i="15"/>
  <c r="BN36" i="15"/>
  <c r="BN35" i="15"/>
  <c r="BN34" i="15"/>
  <c r="BN33" i="15"/>
  <c r="BN32" i="15"/>
  <c r="BN31" i="15"/>
  <c r="BN30" i="15"/>
  <c r="BN29" i="15"/>
  <c r="BN28" i="15"/>
  <c r="BN27" i="15"/>
  <c r="BN26" i="15"/>
  <c r="BN25" i="15"/>
  <c r="BN24" i="15"/>
  <c r="BN23" i="15"/>
  <c r="BN22" i="15"/>
  <c r="BN21" i="15"/>
  <c r="BN20" i="15"/>
  <c r="BN19" i="15"/>
  <c r="BN18" i="15"/>
  <c r="BN17" i="15"/>
  <c r="BN16" i="15"/>
  <c r="BN15" i="15"/>
  <c r="BN14" i="15"/>
  <c r="BN13" i="15"/>
  <c r="BN12" i="15"/>
  <c r="BN11" i="15"/>
  <c r="BN10" i="15"/>
  <c r="BO99" i="15"/>
  <c r="R30" i="30"/>
  <c r="R28" i="30"/>
  <c r="R23" i="29"/>
  <c r="R99" i="15"/>
  <c r="B99" i="15"/>
  <c r="CM99" i="15"/>
  <c r="BX63" i="10"/>
  <c r="B18" i="33"/>
  <c r="C18" i="33"/>
  <c r="D18" i="33"/>
  <c r="CA15" i="10"/>
  <c r="E18" i="33"/>
  <c r="CB63" i="10"/>
  <c r="F18" i="33"/>
  <c r="CC63" i="10"/>
  <c r="G18" i="33"/>
  <c r="CD63" i="10"/>
  <c r="H18" i="33"/>
  <c r="CE63" i="10"/>
  <c r="I18" i="33"/>
  <c r="CF63" i="10"/>
  <c r="J18" i="33"/>
  <c r="CG63" i="10"/>
  <c r="K18" i="33"/>
  <c r="CH63" i="10"/>
  <c r="L18" i="33"/>
  <c r="CI63" i="10"/>
  <c r="M18" i="33"/>
  <c r="CJ63" i="10"/>
  <c r="N18" i="33"/>
  <c r="CK63" i="10"/>
  <c r="O18" i="33"/>
  <c r="CL63" i="10"/>
  <c r="P18" i="33"/>
  <c r="CM19" i="10"/>
  <c r="CM23" i="10"/>
  <c r="CM62" i="10"/>
  <c r="CM95" i="10"/>
  <c r="CM37" i="10"/>
  <c r="CM14" i="10"/>
  <c r="CM30" i="10"/>
  <c r="CM46" i="10"/>
  <c r="CM28" i="10"/>
  <c r="CM44" i="10"/>
  <c r="CM76" i="10"/>
  <c r="CM92" i="10"/>
  <c r="CM56" i="10"/>
  <c r="CM73" i="10"/>
  <c r="CM54" i="10"/>
  <c r="CM83" i="10"/>
  <c r="CM25" i="10"/>
  <c r="CM41" i="10"/>
  <c r="CM21" i="10"/>
  <c r="CM18" i="10"/>
  <c r="CM34" i="10"/>
  <c r="CM32" i="10"/>
  <c r="CM48" i="10"/>
  <c r="CM64" i="10"/>
  <c r="CM80" i="10"/>
  <c r="CM96" i="10"/>
  <c r="CM60" i="10"/>
  <c r="CM77" i="10"/>
  <c r="CM43" i="10"/>
  <c r="CM50" i="10"/>
  <c r="CM29" i="10"/>
  <c r="CM45" i="10"/>
  <c r="CM16" i="10"/>
  <c r="CM9" i="10"/>
  <c r="Q17" i="35"/>
  <c r="CM17" i="10"/>
  <c r="CM22" i="10"/>
  <c r="CM38" i="10"/>
  <c r="CM20" i="10"/>
  <c r="CM36" i="10"/>
  <c r="CM68" i="10"/>
  <c r="CM84" i="10"/>
  <c r="CM65" i="10"/>
  <c r="CM81" i="10"/>
  <c r="CM97" i="10"/>
  <c r="CM53" i="10"/>
  <c r="Q18" i="35"/>
  <c r="CM70" i="10"/>
  <c r="CM86" i="10"/>
  <c r="CM13" i="10"/>
  <c r="CM10" i="10"/>
  <c r="CM26" i="10"/>
  <c r="CM72" i="10"/>
  <c r="CM61" i="10"/>
  <c r="CM82" i="10"/>
  <c r="CM40" i="10"/>
  <c r="CM89" i="10"/>
  <c r="CM49" i="10"/>
  <c r="CM74" i="10"/>
  <c r="CM58" i="10"/>
  <c r="CM12" i="10"/>
  <c r="CM42" i="10"/>
  <c r="CM24" i="10"/>
  <c r="CM88" i="10"/>
  <c r="CM52" i="10"/>
  <c r="CM85" i="10"/>
  <c r="CM66" i="10"/>
  <c r="CM90" i="10"/>
  <c r="CM75" i="10"/>
  <c r="CM69" i="10"/>
  <c r="CM94" i="10"/>
  <c r="CM33" i="10"/>
  <c r="CM55" i="10"/>
  <c r="CM93" i="10"/>
  <c r="CM57" i="10"/>
  <c r="CM78" i="10"/>
  <c r="CI50" i="10"/>
  <c r="CI67" i="10"/>
  <c r="CI83" i="10"/>
  <c r="CI12" i="10"/>
  <c r="CI25" i="10"/>
  <c r="CI41" i="10"/>
  <c r="CI21" i="10"/>
  <c r="CI34" i="10"/>
  <c r="CI49" i="10"/>
  <c r="CI32" i="10"/>
  <c r="CI48" i="10"/>
  <c r="CI64" i="10"/>
  <c r="CI80" i="10"/>
  <c r="CI96" i="10"/>
  <c r="CI60" i="10"/>
  <c r="CI77" i="10"/>
  <c r="CI31" i="10"/>
  <c r="CI11" i="10"/>
  <c r="CI15" i="10"/>
  <c r="CI19" i="10"/>
  <c r="CI23" i="10"/>
  <c r="CI27" i="10"/>
  <c r="CI71" i="10"/>
  <c r="CI87" i="10"/>
  <c r="CI29" i="10"/>
  <c r="CI45" i="10"/>
  <c r="CI9" i="10"/>
  <c r="M17" i="35"/>
  <c r="CI17" i="10"/>
  <c r="CI20" i="10"/>
  <c r="CI36" i="10"/>
  <c r="CI51" i="10"/>
  <c r="CI68" i="10"/>
  <c r="CI84" i="10"/>
  <c r="CI65" i="10"/>
  <c r="CI35" i="10"/>
  <c r="CI58" i="10"/>
  <c r="CI75" i="10"/>
  <c r="CI91" i="10"/>
  <c r="CI16" i="10"/>
  <c r="CI33" i="10"/>
  <c r="CI13" i="10"/>
  <c r="CI42" i="10"/>
  <c r="CI24" i="10"/>
  <c r="CI40" i="10"/>
  <c r="CI55" i="10"/>
  <c r="CI72" i="10"/>
  <c r="CI88" i="10"/>
  <c r="CI52" i="10"/>
  <c r="CI69" i="10"/>
  <c r="CI85" i="10"/>
  <c r="CI57" i="10"/>
  <c r="CI39" i="10"/>
  <c r="CI30" i="10"/>
  <c r="CI76" i="10"/>
  <c r="CI81" i="10"/>
  <c r="CI66" i="10"/>
  <c r="CI86" i="10"/>
  <c r="CI79" i="10"/>
  <c r="CI44" i="10"/>
  <c r="CI73" i="10"/>
  <c r="CI93" i="10"/>
  <c r="CI43" i="10"/>
  <c r="CI46" i="10"/>
  <c r="CI28" i="10"/>
  <c r="CI92" i="10"/>
  <c r="CI56" i="10"/>
  <c r="CI89" i="10"/>
  <c r="CI47" i="10"/>
  <c r="CI95" i="10"/>
  <c r="CI37" i="10"/>
  <c r="CI59" i="10"/>
  <c r="CI97" i="10"/>
  <c r="CI61" i="10"/>
  <c r="CI53" i="10"/>
  <c r="M18" i="35"/>
  <c r="CE11" i="10"/>
  <c r="CE54" i="10"/>
  <c r="CE19" i="10"/>
  <c r="CE71" i="10"/>
  <c r="CE87" i="10"/>
  <c r="CE45" i="10"/>
  <c r="CE22" i="10"/>
  <c r="CE38" i="10"/>
  <c r="CE20" i="10"/>
  <c r="CE36" i="10"/>
  <c r="CE51" i="10"/>
  <c r="CE68" i="10"/>
  <c r="CE84" i="10"/>
  <c r="CE65" i="10"/>
  <c r="CE81" i="10"/>
  <c r="CE23" i="10"/>
  <c r="CE27" i="10"/>
  <c r="CE31" i="10"/>
  <c r="CE35" i="10"/>
  <c r="CE39" i="10"/>
  <c r="CE47" i="10"/>
  <c r="CE58" i="10"/>
  <c r="CE75" i="10"/>
  <c r="CE91" i="10"/>
  <c r="CE33" i="10"/>
  <c r="CE16" i="10"/>
  <c r="CE10" i="10"/>
  <c r="CE26" i="10"/>
  <c r="CE42" i="10"/>
  <c r="CE24" i="10"/>
  <c r="CE40" i="10"/>
  <c r="CE55" i="10"/>
  <c r="CE72" i="10"/>
  <c r="CE88" i="10"/>
  <c r="CE52" i="10"/>
  <c r="CE43" i="10"/>
  <c r="CE62" i="10"/>
  <c r="CE79" i="10"/>
  <c r="CE95" i="10"/>
  <c r="CE9" i="10"/>
  <c r="I17" i="35"/>
  <c r="CE21" i="10"/>
  <c r="CE12" i="10"/>
  <c r="CE14" i="10"/>
  <c r="CE30" i="10"/>
  <c r="CE46" i="10"/>
  <c r="CE28" i="10"/>
  <c r="CE44" i="10"/>
  <c r="CE59" i="10"/>
  <c r="CE76" i="10"/>
  <c r="CE92" i="10"/>
  <c r="CE56" i="10"/>
  <c r="CE73" i="10"/>
  <c r="CE78" i="10"/>
  <c r="CE94" i="10"/>
  <c r="CE34" i="10"/>
  <c r="CE80" i="10"/>
  <c r="CE85" i="10"/>
  <c r="CE70" i="10"/>
  <c r="CE90" i="10"/>
  <c r="CE83" i="10"/>
  <c r="CE77" i="10"/>
  <c r="CE97" i="10"/>
  <c r="CE15" i="10"/>
  <c r="CE67" i="10"/>
  <c r="CE49" i="10"/>
  <c r="CE32" i="10"/>
  <c r="CE96" i="10"/>
  <c r="CE60" i="10"/>
  <c r="CE93" i="10"/>
  <c r="CE74" i="10"/>
  <c r="CE25" i="10"/>
  <c r="CE48" i="10"/>
  <c r="CE82" i="10"/>
  <c r="CE50" i="10"/>
  <c r="CE41" i="10"/>
  <c r="CE18" i="10"/>
  <c r="CE64" i="10"/>
  <c r="CE66" i="10"/>
  <c r="CE86" i="10"/>
  <c r="CA11" i="10"/>
  <c r="CA58" i="10"/>
  <c r="CA9" i="10"/>
  <c r="E17" i="35"/>
  <c r="CA26" i="10"/>
  <c r="CA72" i="10"/>
  <c r="CA35" i="10"/>
  <c r="CA62" i="10"/>
  <c r="CA12" i="10"/>
  <c r="CA28" i="10"/>
  <c r="CA73" i="10"/>
  <c r="CA41" i="10"/>
  <c r="CA48" i="10"/>
  <c r="CA93" i="10"/>
  <c r="CA89" i="10"/>
  <c r="CA29" i="10"/>
  <c r="CA71" i="10"/>
  <c r="CA57" i="10"/>
  <c r="CA87" i="10"/>
  <c r="CA22" i="10"/>
  <c r="CA90" i="10"/>
  <c r="CL40" i="10"/>
  <c r="CL28" i="10"/>
  <c r="CL36" i="10"/>
  <c r="CL44" i="10"/>
  <c r="CL48" i="10"/>
  <c r="CL51" i="10"/>
  <c r="CL64" i="10"/>
  <c r="CL80" i="10"/>
  <c r="CL96" i="10"/>
  <c r="CL15" i="10"/>
  <c r="CL31" i="10"/>
  <c r="CL47" i="10"/>
  <c r="CL29" i="10"/>
  <c r="CL45" i="10"/>
  <c r="CL60" i="10"/>
  <c r="CL77" i="10"/>
  <c r="CL93" i="10"/>
  <c r="CL57" i="10"/>
  <c r="CL20" i="10"/>
  <c r="CL55" i="10"/>
  <c r="CL68" i="10"/>
  <c r="CL84" i="10"/>
  <c r="CL42" i="10"/>
  <c r="CL13" i="10"/>
  <c r="CL19" i="10"/>
  <c r="CL35" i="10"/>
  <c r="CL17" i="10"/>
  <c r="CL33" i="10"/>
  <c r="CL65" i="10"/>
  <c r="CL81" i="10"/>
  <c r="CL97" i="10"/>
  <c r="CL61" i="10"/>
  <c r="CL72" i="10"/>
  <c r="CL88" i="10"/>
  <c r="CL46" i="10"/>
  <c r="CL23" i="10"/>
  <c r="CL39" i="10"/>
  <c r="CL21" i="10"/>
  <c r="CL37" i="10"/>
  <c r="CL52" i="10"/>
  <c r="CL69" i="10"/>
  <c r="CL85" i="10"/>
  <c r="CL66" i="10"/>
  <c r="CL82" i="10"/>
  <c r="CL71" i="10"/>
  <c r="CL87" i="10"/>
  <c r="CL92" i="10"/>
  <c r="CL56" i="10"/>
  <c r="CL67" i="10"/>
  <c r="CL91" i="10"/>
  <c r="CL12" i="10"/>
  <c r="CL59" i="10"/>
  <c r="CL43" i="10"/>
  <c r="CL89" i="10"/>
  <c r="CL53" i="10"/>
  <c r="P18" i="35"/>
  <c r="CL58" i="10"/>
  <c r="CL79" i="10"/>
  <c r="CL16" i="10"/>
  <c r="CL24" i="10"/>
  <c r="CL49" i="10"/>
  <c r="CL11" i="10"/>
  <c r="CL27" i="10"/>
  <c r="CL73" i="10"/>
  <c r="CL90" i="10"/>
  <c r="CL75" i="10"/>
  <c r="CL95" i="10"/>
  <c r="CL32" i="10"/>
  <c r="CL25" i="10"/>
  <c r="CL76" i="10"/>
  <c r="CL9" i="10"/>
  <c r="P17" i="35"/>
  <c r="CL41" i="10"/>
  <c r="CL83" i="10"/>
  <c r="CD16" i="10"/>
  <c r="CD30" i="10"/>
  <c r="CD46" i="10"/>
  <c r="CD17" i="10"/>
  <c r="CD14" i="10"/>
  <c r="CD23" i="10"/>
  <c r="CD39" i="10"/>
  <c r="CD21" i="10"/>
  <c r="CD37" i="10"/>
  <c r="CD52" i="10"/>
  <c r="CD69" i="10"/>
  <c r="CD85" i="10"/>
  <c r="CD66" i="10"/>
  <c r="CD82" i="10"/>
  <c r="CD12" i="10"/>
  <c r="CD59" i="10"/>
  <c r="CD76" i="10"/>
  <c r="CD34" i="10"/>
  <c r="CD49" i="10"/>
  <c r="CD13" i="10"/>
  <c r="CD11" i="10"/>
  <c r="CD27" i="10"/>
  <c r="CD43" i="10"/>
  <c r="CD25" i="10"/>
  <c r="CD41" i="10"/>
  <c r="CD73" i="10"/>
  <c r="CD89" i="10"/>
  <c r="CD53" i="10"/>
  <c r="H18" i="35"/>
  <c r="CD70" i="10"/>
  <c r="CD28" i="10"/>
  <c r="CD64" i="10"/>
  <c r="CD38" i="10"/>
  <c r="CD22" i="10"/>
  <c r="CD15" i="10"/>
  <c r="CD31" i="10"/>
  <c r="CD47" i="10"/>
  <c r="CD29" i="10"/>
  <c r="CD45" i="10"/>
  <c r="CD77" i="10"/>
  <c r="CD93" i="10"/>
  <c r="CD57" i="10"/>
  <c r="CD74" i="10"/>
  <c r="CD90" i="10"/>
  <c r="CD62" i="10"/>
  <c r="CD79" i="10"/>
  <c r="CD95" i="10"/>
  <c r="CD42" i="10"/>
  <c r="CD18" i="10"/>
  <c r="CD19" i="10"/>
  <c r="CD65" i="10"/>
  <c r="CD94" i="10"/>
  <c r="CD54" i="10"/>
  <c r="CD75" i="10"/>
  <c r="CD33" i="10"/>
  <c r="CD97" i="10"/>
  <c r="CD61" i="10"/>
  <c r="CD67" i="10"/>
  <c r="CD87" i="10"/>
  <c r="CD32" i="10"/>
  <c r="CD10" i="10"/>
  <c r="CD35" i="10"/>
  <c r="CD81" i="10"/>
  <c r="CD58" i="10"/>
  <c r="CD83" i="10"/>
  <c r="CD55" i="10"/>
  <c r="CD9" i="10"/>
  <c r="H17" i="35"/>
  <c r="CD86" i="10"/>
  <c r="CD36" i="10"/>
  <c r="CD44" i="10"/>
  <c r="CD51" i="10"/>
  <c r="CD26" i="10"/>
  <c r="CD78" i="10"/>
  <c r="CD50" i="10"/>
  <c r="CD71" i="10"/>
  <c r="CD91" i="10"/>
  <c r="CG41" i="10"/>
  <c r="CG69" i="10"/>
  <c r="CG85" i="10"/>
  <c r="CG27" i="10"/>
  <c r="CG43" i="10"/>
  <c r="CG36" i="10"/>
  <c r="CG18" i="10"/>
  <c r="CG34" i="10"/>
  <c r="CG49" i="10"/>
  <c r="CG66" i="10"/>
  <c r="CG82" i="10"/>
  <c r="CG62" i="10"/>
  <c r="CG79" i="10"/>
  <c r="CG9" i="10"/>
  <c r="K17" i="35"/>
  <c r="CG13" i="10"/>
  <c r="CG21" i="10"/>
  <c r="CG29" i="10"/>
  <c r="CG37" i="10"/>
  <c r="CG45" i="10"/>
  <c r="CG73" i="10"/>
  <c r="CG89" i="10"/>
  <c r="CG10" i="10"/>
  <c r="CG11" i="10"/>
  <c r="CG31" i="10"/>
  <c r="CG47" i="10"/>
  <c r="CG24" i="10"/>
  <c r="CG22" i="10"/>
  <c r="CG38" i="10"/>
  <c r="CG53" i="10"/>
  <c r="K18" i="35"/>
  <c r="CG70" i="10"/>
  <c r="CG86" i="10"/>
  <c r="CG67" i="10"/>
  <c r="CG17" i="10"/>
  <c r="CG77" i="10"/>
  <c r="CG93" i="10"/>
  <c r="CG35" i="10"/>
  <c r="CG50" i="10"/>
  <c r="CG28" i="10"/>
  <c r="CG44" i="10"/>
  <c r="CG26" i="10"/>
  <c r="CG42" i="10"/>
  <c r="CG57" i="10"/>
  <c r="CG74" i="10"/>
  <c r="CG90" i="10"/>
  <c r="CG54" i="10"/>
  <c r="CG71" i="10"/>
  <c r="CG87" i="10"/>
  <c r="CG59" i="10"/>
  <c r="CG92" i="10"/>
  <c r="CG25" i="10"/>
  <c r="CG81" i="10"/>
  <c r="CG23" i="10"/>
  <c r="CG46" i="10"/>
  <c r="CG75" i="10"/>
  <c r="CG83" i="10"/>
  <c r="CG95" i="10"/>
  <c r="CG55" i="10"/>
  <c r="CG80" i="10"/>
  <c r="CG19" i="10"/>
  <c r="CG14" i="10"/>
  <c r="CG15" i="10"/>
  <c r="CG32" i="10"/>
  <c r="CG78" i="10"/>
  <c r="CG88" i="10"/>
  <c r="CG97" i="10"/>
  <c r="CG39" i="10"/>
  <c r="CG61" i="10"/>
  <c r="CG64" i="10"/>
  <c r="CG84" i="10"/>
  <c r="CG33" i="10"/>
  <c r="CG65" i="10"/>
  <c r="CG48" i="10"/>
  <c r="CG30" i="10"/>
  <c r="CG94" i="10"/>
  <c r="CG58" i="10"/>
  <c r="CG91" i="10"/>
  <c r="CG51" i="10"/>
  <c r="CG72" i="10"/>
  <c r="CG96" i="10"/>
  <c r="CC13" i="10"/>
  <c r="CC37" i="10"/>
  <c r="CC9" i="10"/>
  <c r="G17" i="35"/>
  <c r="CC21" i="10"/>
  <c r="CC73" i="10"/>
  <c r="CC89" i="10"/>
  <c r="CC31" i="10"/>
  <c r="CC47" i="10"/>
  <c r="CC10" i="10"/>
  <c r="CC24" i="10"/>
  <c r="CC40" i="10"/>
  <c r="CC22" i="10"/>
  <c r="CC38" i="10"/>
  <c r="CC53" i="10"/>
  <c r="G18" i="35"/>
  <c r="CC70" i="10"/>
  <c r="CC86" i="10"/>
  <c r="CC67" i="10"/>
  <c r="CC83" i="10"/>
  <c r="CC17" i="10"/>
  <c r="CC45" i="10"/>
  <c r="CC33" i="10"/>
  <c r="CC41" i="10"/>
  <c r="CC60" i="10"/>
  <c r="CC77" i="10"/>
  <c r="CC93" i="10"/>
  <c r="CC15" i="10"/>
  <c r="CC35" i="10"/>
  <c r="CC50" i="10"/>
  <c r="CC12" i="10"/>
  <c r="CC28" i="10"/>
  <c r="CC44" i="10"/>
  <c r="CC26" i="10"/>
  <c r="CC42" i="10"/>
  <c r="CC57" i="10"/>
  <c r="CC74" i="10"/>
  <c r="CC90" i="10"/>
  <c r="CC54" i="10"/>
  <c r="CC71" i="10"/>
  <c r="CC25" i="10"/>
  <c r="CC29" i="10"/>
  <c r="CC52" i="10"/>
  <c r="CC65" i="10"/>
  <c r="CC81" i="10"/>
  <c r="CC97" i="10"/>
  <c r="CC23" i="10"/>
  <c r="CC39" i="10"/>
  <c r="CC14" i="10"/>
  <c r="CC11" i="10"/>
  <c r="CC19" i="10"/>
  <c r="CC16" i="10"/>
  <c r="CC32" i="10"/>
  <c r="CC48" i="10"/>
  <c r="CC30" i="10"/>
  <c r="CC46" i="10"/>
  <c r="CC61" i="10"/>
  <c r="CC78" i="10"/>
  <c r="CC94" i="10"/>
  <c r="CC58" i="10"/>
  <c r="CC75" i="10"/>
  <c r="CC91" i="10"/>
  <c r="CC64" i="10"/>
  <c r="CC80" i="10"/>
  <c r="CC96" i="10"/>
  <c r="CC85" i="10"/>
  <c r="CC27" i="10"/>
  <c r="CC49" i="10"/>
  <c r="CC79" i="10"/>
  <c r="CC87" i="10"/>
  <c r="CC59" i="10"/>
  <c r="CC84" i="10"/>
  <c r="CC18" i="10"/>
  <c r="CC72" i="10"/>
  <c r="CC92" i="10"/>
  <c r="CC43" i="10"/>
  <c r="CC20" i="10"/>
  <c r="CC66" i="10"/>
  <c r="CC68" i="10"/>
  <c r="CC88" i="10"/>
  <c r="CC36" i="10"/>
  <c r="CC82" i="10"/>
  <c r="CC51" i="10"/>
  <c r="CC56" i="10"/>
  <c r="CC69" i="10"/>
  <c r="CC34" i="10"/>
  <c r="CC62" i="10"/>
  <c r="CC95" i="10"/>
  <c r="CC55" i="10"/>
  <c r="CC76" i="10"/>
  <c r="BY25" i="10"/>
  <c r="BY33" i="10"/>
  <c r="BY60" i="10"/>
  <c r="BY77" i="10"/>
  <c r="BY93" i="10"/>
  <c r="BY10" i="10"/>
  <c r="BY35" i="10"/>
  <c r="BY50" i="10"/>
  <c r="BY12" i="10"/>
  <c r="BY28" i="10"/>
  <c r="BY44" i="10"/>
  <c r="BY26" i="10"/>
  <c r="BY42" i="10"/>
  <c r="BY74" i="10"/>
  <c r="BY90" i="10"/>
  <c r="BY54" i="10"/>
  <c r="BY71" i="10"/>
  <c r="BY87" i="10"/>
  <c r="BY9" i="10"/>
  <c r="C16" i="34"/>
  <c r="BY52" i="10"/>
  <c r="BY97" i="10"/>
  <c r="BY39" i="10"/>
  <c r="BY11" i="10"/>
  <c r="BY19" i="10"/>
  <c r="BY16" i="10"/>
  <c r="BY32" i="10"/>
  <c r="BY48" i="10"/>
  <c r="BY30" i="10"/>
  <c r="BY46" i="10"/>
  <c r="BY61" i="10"/>
  <c r="BY78" i="10"/>
  <c r="BY94" i="10"/>
  <c r="BY58" i="10"/>
  <c r="BY75" i="10"/>
  <c r="BY56" i="10"/>
  <c r="BY69" i="10"/>
  <c r="BY85" i="10"/>
  <c r="BY27" i="10"/>
  <c r="BY43" i="10"/>
  <c r="BY15" i="10"/>
  <c r="BY20" i="10"/>
  <c r="BY36" i="10"/>
  <c r="BY18" i="10"/>
  <c r="BY34" i="10"/>
  <c r="BY49" i="10"/>
  <c r="BY66" i="10"/>
  <c r="BY82" i="10"/>
  <c r="BY62" i="10"/>
  <c r="BY79" i="10"/>
  <c r="BY95" i="10"/>
  <c r="BY51" i="10"/>
  <c r="BY68" i="10"/>
  <c r="BY84" i="10"/>
  <c r="BY31" i="10"/>
  <c r="BY53" i="10"/>
  <c r="C18" i="35"/>
  <c r="BY64" i="10"/>
  <c r="BY88" i="10"/>
  <c r="BY40" i="10"/>
  <c r="BY22" i="10"/>
  <c r="BY86" i="10"/>
  <c r="BY91" i="10"/>
  <c r="BY55" i="10"/>
  <c r="BY76" i="10"/>
  <c r="BY96" i="10"/>
  <c r="BY14" i="10"/>
  <c r="BY47" i="10"/>
  <c r="BY24" i="10"/>
  <c r="BY70" i="10"/>
  <c r="BY72" i="10"/>
  <c r="BY92" i="10"/>
  <c r="BY13" i="10"/>
  <c r="BY23" i="10"/>
  <c r="BY38" i="10"/>
  <c r="BY67" i="10"/>
  <c r="BY83" i="10"/>
  <c r="BY59" i="10"/>
  <c r="BY80" i="10"/>
  <c r="CH48" i="10"/>
  <c r="CH55" i="10"/>
  <c r="CH44" i="10"/>
  <c r="CH68" i="10"/>
  <c r="CH84" i="10"/>
  <c r="CH14" i="10"/>
  <c r="CH22" i="10"/>
  <c r="CH26" i="10"/>
  <c r="CH42" i="10"/>
  <c r="CH10" i="10"/>
  <c r="CH18" i="10"/>
  <c r="CH19" i="10"/>
  <c r="CH35" i="10"/>
  <c r="CH33" i="10"/>
  <c r="CH65" i="10"/>
  <c r="CH81" i="10"/>
  <c r="CH97" i="10"/>
  <c r="CH61" i="10"/>
  <c r="CH78" i="10"/>
  <c r="CH16" i="10"/>
  <c r="CH51" i="10"/>
  <c r="CH72" i="10"/>
  <c r="CH88" i="10"/>
  <c r="CH30" i="10"/>
  <c r="CH46" i="10"/>
  <c r="CH23" i="10"/>
  <c r="CH39" i="10"/>
  <c r="CH21" i="10"/>
  <c r="CH37" i="10"/>
  <c r="CH52" i="10"/>
  <c r="CH69" i="10"/>
  <c r="CH85" i="10"/>
  <c r="CH66" i="10"/>
  <c r="CH32" i="10"/>
  <c r="CH12" i="10"/>
  <c r="CH24" i="10"/>
  <c r="CH59" i="10"/>
  <c r="CH76" i="10"/>
  <c r="CH92" i="10"/>
  <c r="CH34" i="10"/>
  <c r="CH49" i="10"/>
  <c r="CH9" i="10"/>
  <c r="L17" i="35"/>
  <c r="CH11" i="10"/>
  <c r="CH27" i="10"/>
  <c r="CH43" i="10"/>
  <c r="CH25" i="10"/>
  <c r="CH41" i="10"/>
  <c r="CH56" i="10"/>
  <c r="CH73" i="10"/>
  <c r="CH89" i="10"/>
  <c r="CH53" i="10"/>
  <c r="L18" i="35"/>
  <c r="CH70" i="10"/>
  <c r="CH86" i="10"/>
  <c r="CH58" i="10"/>
  <c r="CH75" i="10"/>
  <c r="CH91" i="10"/>
  <c r="CH40" i="10"/>
  <c r="CH17" i="10"/>
  <c r="CH96" i="10"/>
  <c r="CH38" i="10"/>
  <c r="CH13" i="10"/>
  <c r="CH15" i="10"/>
  <c r="CH60" i="10"/>
  <c r="CH90" i="10"/>
  <c r="CH50" i="10"/>
  <c r="CH71" i="10"/>
  <c r="CH95" i="10"/>
  <c r="CH29" i="10"/>
  <c r="CH82" i="10"/>
  <c r="CH62" i="10"/>
  <c r="CH83" i="10"/>
  <c r="CH31" i="10"/>
  <c r="CH77" i="10"/>
  <c r="CH94" i="10"/>
  <c r="CH54" i="10"/>
  <c r="CH79" i="10"/>
  <c r="CH64" i="10"/>
  <c r="CH47" i="10"/>
  <c r="CH93" i="10"/>
  <c r="CH57" i="10"/>
  <c r="CH20" i="10"/>
  <c r="CH28" i="10"/>
  <c r="CH36" i="10"/>
  <c r="CH80" i="10"/>
  <c r="CH45" i="10"/>
  <c r="CH74" i="10"/>
  <c r="CH67" i="10"/>
  <c r="CH87" i="10"/>
  <c r="BZ51" i="10"/>
  <c r="BZ48" i="10"/>
  <c r="BZ59" i="10"/>
  <c r="BZ76" i="10"/>
  <c r="BZ92" i="10"/>
  <c r="BZ34" i="10"/>
  <c r="BZ49" i="10"/>
  <c r="BZ11" i="10"/>
  <c r="BZ27" i="10"/>
  <c r="BZ43" i="10"/>
  <c r="BZ25" i="10"/>
  <c r="BZ41" i="10"/>
  <c r="BZ56" i="10"/>
  <c r="BZ73" i="10"/>
  <c r="BZ89" i="10"/>
  <c r="BZ53" i="10"/>
  <c r="D18" i="35"/>
  <c r="BZ70" i="10"/>
  <c r="BZ86" i="10"/>
  <c r="BZ28" i="10"/>
  <c r="BZ64" i="10"/>
  <c r="BZ80" i="10"/>
  <c r="BZ96" i="10"/>
  <c r="BZ18" i="10"/>
  <c r="BZ38" i="10"/>
  <c r="BZ9" i="10"/>
  <c r="D17" i="35"/>
  <c r="BZ15" i="10"/>
  <c r="BZ31" i="10"/>
  <c r="BZ47" i="10"/>
  <c r="BZ29" i="10"/>
  <c r="BZ45" i="10"/>
  <c r="BZ60" i="10"/>
  <c r="BZ77" i="10"/>
  <c r="BZ93" i="10"/>
  <c r="BZ57" i="10"/>
  <c r="BZ74" i="10"/>
  <c r="BZ36" i="10"/>
  <c r="BZ55" i="10"/>
  <c r="BZ12" i="10"/>
  <c r="BZ16" i="10"/>
  <c r="BZ20" i="10"/>
  <c r="BZ24" i="10"/>
  <c r="BZ32" i="10"/>
  <c r="BZ40" i="10"/>
  <c r="BZ68" i="10"/>
  <c r="BZ84" i="10"/>
  <c r="BZ13" i="10"/>
  <c r="BZ26" i="10"/>
  <c r="BZ42" i="10"/>
  <c r="BZ19" i="10"/>
  <c r="BZ35" i="10"/>
  <c r="BZ33" i="10"/>
  <c r="BZ65" i="10"/>
  <c r="BZ81" i="10"/>
  <c r="BZ97" i="10"/>
  <c r="BZ61" i="10"/>
  <c r="BZ78" i="10"/>
  <c r="BZ94" i="10"/>
  <c r="BZ50" i="10"/>
  <c r="BZ67" i="10"/>
  <c r="BZ83" i="10"/>
  <c r="BZ10" i="10"/>
  <c r="BZ46" i="10"/>
  <c r="BZ17" i="10"/>
  <c r="BZ23" i="10"/>
  <c r="BZ69" i="10"/>
  <c r="BZ58" i="10"/>
  <c r="BZ79" i="10"/>
  <c r="BZ72" i="10"/>
  <c r="BZ66" i="10"/>
  <c r="BZ71" i="10"/>
  <c r="BZ44" i="10"/>
  <c r="BZ14" i="10"/>
  <c r="BZ39" i="10"/>
  <c r="BZ21" i="10"/>
  <c r="BZ85" i="10"/>
  <c r="BZ82" i="10"/>
  <c r="BZ62" i="10"/>
  <c r="BZ87" i="10"/>
  <c r="BZ37" i="10"/>
  <c r="BZ91" i="10"/>
  <c r="BZ88" i="10"/>
  <c r="BZ22" i="10"/>
  <c r="BZ30" i="10"/>
  <c r="BZ52" i="10"/>
  <c r="BZ90" i="10"/>
  <c r="BZ54" i="10"/>
  <c r="BZ75" i="10"/>
  <c r="BZ95" i="10"/>
  <c r="CK65" i="10"/>
  <c r="CK81" i="10"/>
  <c r="CK14" i="10"/>
  <c r="CK23" i="10"/>
  <c r="CK39" i="10"/>
  <c r="CK15" i="10"/>
  <c r="CK16" i="10"/>
  <c r="CK32" i="10"/>
  <c r="CK48" i="10"/>
  <c r="CK30" i="10"/>
  <c r="CK46" i="10"/>
  <c r="CK61" i="10"/>
  <c r="CK78" i="10"/>
  <c r="CK94" i="10"/>
  <c r="CK58" i="10"/>
  <c r="CK75" i="10"/>
  <c r="CK13" i="10"/>
  <c r="CK56" i="10"/>
  <c r="CK17" i="10"/>
  <c r="CK25" i="10"/>
  <c r="CK27" i="10"/>
  <c r="CK43" i="10"/>
  <c r="CK10" i="10"/>
  <c r="CK20" i="10"/>
  <c r="CK36" i="10"/>
  <c r="CK18" i="10"/>
  <c r="CK34" i="10"/>
  <c r="CK66" i="10"/>
  <c r="CK82" i="10"/>
  <c r="CK62" i="10"/>
  <c r="CK79" i="10"/>
  <c r="CK9" i="10"/>
  <c r="O17" i="35"/>
  <c r="CK21" i="10"/>
  <c r="CK52" i="10"/>
  <c r="CK45" i="10"/>
  <c r="CK73" i="10"/>
  <c r="CK31" i="10"/>
  <c r="CK47" i="10"/>
  <c r="CK24" i="10"/>
  <c r="CK40" i="10"/>
  <c r="CK22" i="10"/>
  <c r="CK38" i="10"/>
  <c r="CK53" i="10"/>
  <c r="O18" i="35"/>
  <c r="CK70" i="10"/>
  <c r="CK86" i="10"/>
  <c r="CK50" i="10"/>
  <c r="CK67" i="10"/>
  <c r="CK83" i="10"/>
  <c r="CK55" i="10"/>
  <c r="CK72" i="10"/>
  <c r="CK88" i="10"/>
  <c r="CK42" i="10"/>
  <c r="CK71" i="10"/>
  <c r="CK91" i="10"/>
  <c r="CK51" i="10"/>
  <c r="CK76" i="10"/>
  <c r="CK96" i="10"/>
  <c r="CK11" i="10"/>
  <c r="CK74" i="10"/>
  <c r="CK84" i="10"/>
  <c r="CK29" i="10"/>
  <c r="CK93" i="10"/>
  <c r="CK35" i="10"/>
  <c r="CK19" i="10"/>
  <c r="CK57" i="10"/>
  <c r="CK87" i="10"/>
  <c r="CK95" i="10"/>
  <c r="CK59" i="10"/>
  <c r="CK80" i="10"/>
  <c r="CK12" i="10"/>
  <c r="CK28" i="10"/>
  <c r="CK64" i="10"/>
  <c r="CK60" i="10"/>
  <c r="CK44" i="10"/>
  <c r="CK26" i="10"/>
  <c r="CK90" i="10"/>
  <c r="CK54" i="10"/>
  <c r="CK68" i="10"/>
  <c r="CK92" i="10"/>
  <c r="CJ30" i="10"/>
  <c r="CJ10" i="10"/>
  <c r="CJ22" i="10"/>
  <c r="CJ38" i="10"/>
  <c r="CJ46" i="10"/>
  <c r="CJ66" i="10"/>
  <c r="CJ82" i="10"/>
  <c r="CJ24" i="10"/>
  <c r="CJ40" i="10"/>
  <c r="CJ11" i="10"/>
  <c r="CJ17" i="10"/>
  <c r="CJ33" i="10"/>
  <c r="CJ31" i="10"/>
  <c r="CJ47" i="10"/>
  <c r="CJ62" i="10"/>
  <c r="CJ79" i="10"/>
  <c r="CJ95" i="10"/>
  <c r="CJ59" i="10"/>
  <c r="CJ76" i="10"/>
  <c r="CJ34" i="10"/>
  <c r="CJ70" i="10"/>
  <c r="CJ86" i="10"/>
  <c r="CJ20" i="10"/>
  <c r="CJ28" i="10"/>
  <c r="CJ44" i="10"/>
  <c r="CJ21" i="10"/>
  <c r="CJ37" i="10"/>
  <c r="CJ19" i="10"/>
  <c r="CJ35" i="10"/>
  <c r="CJ50" i="10"/>
  <c r="CJ67" i="10"/>
  <c r="CJ83" i="10"/>
  <c r="CJ64" i="10"/>
  <c r="CJ14" i="10"/>
  <c r="CJ53" i="10"/>
  <c r="N18" i="35"/>
  <c r="CJ42" i="10"/>
  <c r="CJ57" i="10"/>
  <c r="CJ74" i="10"/>
  <c r="CJ90" i="10"/>
  <c r="CJ32" i="10"/>
  <c r="CJ48" i="10"/>
  <c r="CJ15" i="10"/>
  <c r="CJ9" i="10"/>
  <c r="N17" i="35"/>
  <c r="CJ13" i="10"/>
  <c r="CJ25" i="10"/>
  <c r="CJ41" i="10"/>
  <c r="CJ23" i="10"/>
  <c r="CJ39" i="10"/>
  <c r="CJ54" i="10"/>
  <c r="CJ71" i="10"/>
  <c r="CJ87" i="10"/>
  <c r="CJ51" i="10"/>
  <c r="CJ68" i="10"/>
  <c r="CJ84" i="10"/>
  <c r="CJ56" i="10"/>
  <c r="CJ73" i="10"/>
  <c r="CJ89" i="10"/>
  <c r="CJ61" i="10"/>
  <c r="CJ45" i="10"/>
  <c r="CJ27" i="10"/>
  <c r="CJ91" i="10"/>
  <c r="CJ55" i="10"/>
  <c r="CJ96" i="10"/>
  <c r="CJ60" i="10"/>
  <c r="CJ81" i="10"/>
  <c r="CJ26" i="10"/>
  <c r="CJ94" i="10"/>
  <c r="CJ93" i="10"/>
  <c r="CJ78" i="10"/>
  <c r="CJ12" i="10"/>
  <c r="CJ16" i="10"/>
  <c r="CJ43" i="10"/>
  <c r="CJ72" i="10"/>
  <c r="CJ65" i="10"/>
  <c r="CJ85" i="10"/>
  <c r="CJ18" i="10"/>
  <c r="CJ36" i="10"/>
  <c r="CJ58" i="10"/>
  <c r="CJ80" i="10"/>
  <c r="CJ69" i="10"/>
  <c r="CJ49" i="10"/>
  <c r="CJ29" i="10"/>
  <c r="CJ75" i="10"/>
  <c r="CJ88" i="10"/>
  <c r="CJ92" i="10"/>
  <c r="CJ52" i="10"/>
  <c r="CJ77" i="10"/>
  <c r="CJ97" i="10"/>
  <c r="CF34" i="10"/>
  <c r="CF26" i="10"/>
  <c r="CF70" i="10"/>
  <c r="CF86" i="10"/>
  <c r="CF28" i="10"/>
  <c r="CF44" i="10"/>
  <c r="CF13" i="10"/>
  <c r="CF9" i="10"/>
  <c r="J16" i="34"/>
  <c r="CF21" i="10"/>
  <c r="CF37" i="10"/>
  <c r="CF19" i="10"/>
  <c r="CF35" i="10"/>
  <c r="CF50" i="10"/>
  <c r="CF67" i="10"/>
  <c r="CF83" i="10"/>
  <c r="CF64" i="10"/>
  <c r="CF80" i="10"/>
  <c r="CF42" i="10"/>
  <c r="CF53" i="10"/>
  <c r="J18" i="35"/>
  <c r="CF57" i="10"/>
  <c r="CF74" i="10"/>
  <c r="CF90" i="10"/>
  <c r="CF15" i="10"/>
  <c r="CF32" i="10"/>
  <c r="CF48" i="10"/>
  <c r="CF12" i="10"/>
  <c r="CF20" i="10"/>
  <c r="CF25" i="10"/>
  <c r="CF41" i="10"/>
  <c r="CF23" i="10"/>
  <c r="CF39" i="10"/>
  <c r="CF54" i="10"/>
  <c r="CF71" i="10"/>
  <c r="CF87" i="10"/>
  <c r="CF51" i="10"/>
  <c r="CF68" i="10"/>
  <c r="CF49" i="10"/>
  <c r="CF61" i="10"/>
  <c r="CF78" i="10"/>
  <c r="CF94" i="10"/>
  <c r="CF36" i="10"/>
  <c r="CF16" i="10"/>
  <c r="CF29" i="10"/>
  <c r="CF45" i="10"/>
  <c r="CF27" i="10"/>
  <c r="CF43" i="10"/>
  <c r="CF58" i="10"/>
  <c r="CF75" i="10"/>
  <c r="CF91" i="10"/>
  <c r="CF55" i="10"/>
  <c r="CF72" i="10"/>
  <c r="CF88" i="10"/>
  <c r="CF60" i="10"/>
  <c r="CF77" i="10"/>
  <c r="CF93" i="10"/>
  <c r="CF14" i="10"/>
  <c r="CF22" i="10"/>
  <c r="CF30" i="10"/>
  <c r="CF38" i="10"/>
  <c r="CF46" i="10"/>
  <c r="CF66" i="10"/>
  <c r="CF11" i="10"/>
  <c r="CF31" i="10"/>
  <c r="CF95" i="10"/>
  <c r="CF59" i="10"/>
  <c r="CF65" i="10"/>
  <c r="CF85" i="10"/>
  <c r="CF40" i="10"/>
  <c r="CF62" i="10"/>
  <c r="CF84" i="10"/>
  <c r="CF52" i="10"/>
  <c r="CF97" i="10"/>
  <c r="CF10" i="10"/>
  <c r="CF82" i="10"/>
  <c r="CF24" i="10"/>
  <c r="CF47" i="10"/>
  <c r="CF76" i="10"/>
  <c r="CF69" i="10"/>
  <c r="CF89" i="10"/>
  <c r="CF18" i="10"/>
  <c r="CF17" i="10"/>
  <c r="CF92" i="10"/>
  <c r="CF73" i="10"/>
  <c r="CF33" i="10"/>
  <c r="CF79" i="10"/>
  <c r="CF96" i="10"/>
  <c r="CF56" i="10"/>
  <c r="CF81" i="10"/>
  <c r="CB53" i="10"/>
  <c r="F18" i="35"/>
  <c r="CB57" i="10"/>
  <c r="CB74" i="10"/>
  <c r="CB90" i="10"/>
  <c r="CB32" i="10"/>
  <c r="CB48" i="10"/>
  <c r="CB20" i="10"/>
  <c r="CB9" i="10"/>
  <c r="F17" i="35"/>
  <c r="CB25" i="10"/>
  <c r="CB41" i="10"/>
  <c r="CB23" i="10"/>
  <c r="CB39" i="10"/>
  <c r="CB54" i="10"/>
  <c r="CB71" i="10"/>
  <c r="CB87" i="10"/>
  <c r="CB51" i="10"/>
  <c r="CB68" i="10"/>
  <c r="CB84" i="10"/>
  <c r="CB38" i="10"/>
  <c r="CB61" i="10"/>
  <c r="CB78" i="10"/>
  <c r="CB94" i="10"/>
  <c r="CB36" i="10"/>
  <c r="CB15" i="10"/>
  <c r="CB16" i="10"/>
  <c r="CB29" i="10"/>
  <c r="CB45" i="10"/>
  <c r="CB27" i="10"/>
  <c r="CB43" i="10"/>
  <c r="CB58" i="10"/>
  <c r="CB75" i="10"/>
  <c r="CB91" i="10"/>
  <c r="CB55" i="10"/>
  <c r="CB72" i="10"/>
  <c r="CB18" i="10"/>
  <c r="CB46" i="10"/>
  <c r="CB10" i="10"/>
  <c r="CB14" i="10"/>
  <c r="CB22" i="10"/>
  <c r="CB30" i="10"/>
  <c r="CB66" i="10"/>
  <c r="CB82" i="10"/>
  <c r="CB11" i="10"/>
  <c r="CB12" i="10"/>
  <c r="CB24" i="10"/>
  <c r="CB40" i="10"/>
  <c r="CB13" i="10"/>
  <c r="CB17" i="10"/>
  <c r="CB33" i="10"/>
  <c r="CB31" i="10"/>
  <c r="CB47" i="10"/>
  <c r="CB62" i="10"/>
  <c r="CB79" i="10"/>
  <c r="CB95" i="10"/>
  <c r="CB59" i="10"/>
  <c r="CB76" i="10"/>
  <c r="CB92" i="10"/>
  <c r="CB65" i="10"/>
  <c r="CB81" i="10"/>
  <c r="CB97" i="10"/>
  <c r="CB26" i="10"/>
  <c r="CB70" i="10"/>
  <c r="CB35" i="10"/>
  <c r="CB64" i="10"/>
  <c r="CB69" i="10"/>
  <c r="CB89" i="10"/>
  <c r="CB42" i="10"/>
  <c r="CB44" i="10"/>
  <c r="CB67" i="10"/>
  <c r="CB88" i="10"/>
  <c r="CB86" i="10"/>
  <c r="CB28" i="10"/>
  <c r="CB50" i="10"/>
  <c r="CB80" i="10"/>
  <c r="CB52" i="10"/>
  <c r="CB73" i="10"/>
  <c r="CB93" i="10"/>
  <c r="CB34" i="10"/>
  <c r="CB49" i="10"/>
  <c r="CB21" i="10"/>
  <c r="CB96" i="10"/>
  <c r="CB56" i="10"/>
  <c r="CB77" i="10"/>
  <c r="CB37" i="10"/>
  <c r="CB19" i="10"/>
  <c r="CB83" i="10"/>
  <c r="CB60" i="10"/>
  <c r="CB85" i="10"/>
  <c r="BX18" i="10"/>
  <c r="BX78" i="10"/>
  <c r="BX10" i="10"/>
  <c r="BX15" i="10"/>
  <c r="BX54" i="10"/>
  <c r="BX30" i="10"/>
  <c r="BX19" i="10"/>
  <c r="BX43" i="10"/>
  <c r="BX67" i="10"/>
  <c r="BX32" i="10"/>
  <c r="BX80" i="10"/>
  <c r="BX95" i="10"/>
  <c r="BX28" i="10"/>
  <c r="BX51" i="10"/>
  <c r="BX76" i="10"/>
  <c r="BX21" i="10"/>
  <c r="BX52" i="10"/>
  <c r="BX69" i="10"/>
  <c r="BX85" i="10"/>
  <c r="BX34" i="10"/>
  <c r="BX22" i="10"/>
  <c r="BX82" i="10"/>
  <c r="BX23" i="10"/>
  <c r="BX79" i="10"/>
  <c r="BX42" i="10"/>
  <c r="BX74" i="10"/>
  <c r="BX27" i="10"/>
  <c r="BX50" i="10"/>
  <c r="BX71" i="10"/>
  <c r="BX44" i="10"/>
  <c r="BX92" i="10"/>
  <c r="BX12" i="10"/>
  <c r="BX36" i="10"/>
  <c r="BX59" i="10"/>
  <c r="BX84" i="10"/>
  <c r="BX41" i="10"/>
  <c r="BX56" i="10"/>
  <c r="BX73" i="10"/>
  <c r="BX89" i="10"/>
  <c r="BX46" i="10"/>
  <c r="BX38" i="10"/>
  <c r="BX35" i="10"/>
  <c r="BX14" i="10"/>
  <c r="BX49" i="10"/>
  <c r="BX31" i="10"/>
  <c r="BX58" i="10"/>
  <c r="BX75" i="10"/>
  <c r="BX91" i="10"/>
  <c r="BX55" i="10"/>
  <c r="BX16" i="10"/>
  <c r="BX40" i="10"/>
  <c r="BX64" i="10"/>
  <c r="BX88" i="10"/>
  <c r="BX29" i="10"/>
  <c r="BX45" i="10"/>
  <c r="BX60" i="10"/>
  <c r="BX77" i="10"/>
  <c r="BX93" i="10"/>
  <c r="BX61" i="10"/>
  <c r="BX11" i="10"/>
  <c r="BX96" i="10"/>
  <c r="BX65" i="10"/>
  <c r="BX20" i="10"/>
  <c r="BX87" i="10"/>
  <c r="BX33" i="10"/>
  <c r="BX97" i="10"/>
  <c r="BX47" i="10"/>
  <c r="BX39" i="10"/>
  <c r="BX24" i="10"/>
  <c r="BX81" i="10"/>
  <c r="BX26" i="10"/>
  <c r="BX48" i="10"/>
  <c r="BX57" i="10"/>
  <c r="BX83" i="10"/>
  <c r="BX68" i="10"/>
  <c r="BX72" i="10"/>
  <c r="R22" i="29"/>
  <c r="CJ203" i="22"/>
  <c r="CL202" i="22"/>
  <c r="CK202" i="22"/>
  <c r="CL199" i="22"/>
  <c r="CK199" i="22"/>
  <c r="CJ199" i="22"/>
  <c r="CL197" i="22"/>
  <c r="CK197" i="22"/>
  <c r="CL196" i="22"/>
  <c r="CK196" i="22"/>
  <c r="CJ196" i="22"/>
  <c r="CL194" i="22"/>
  <c r="CK194" i="22"/>
  <c r="CJ194" i="22"/>
  <c r="CL192" i="22"/>
  <c r="CK192" i="22"/>
  <c r="CJ192" i="22"/>
  <c r="CL190" i="22"/>
  <c r="CK190" i="22"/>
  <c r="CJ190" i="22"/>
  <c r="CL188" i="22"/>
  <c r="CK188" i="22"/>
  <c r="CJ188" i="22"/>
  <c r="CL186" i="22"/>
  <c r="CK186" i="22"/>
  <c r="CJ186" i="22"/>
  <c r="CJ184" i="22"/>
  <c r="CJ182" i="22"/>
  <c r="CL181" i="22"/>
  <c r="CK181" i="22"/>
  <c r="CJ181" i="22"/>
  <c r="CK179" i="22"/>
  <c r="CJ179" i="22"/>
  <c r="CK177" i="22"/>
  <c r="CJ177" i="22"/>
  <c r="CL175" i="22"/>
  <c r="CK175" i="22"/>
  <c r="CJ175" i="22"/>
  <c r="CJ174" i="22"/>
  <c r="CK173" i="22"/>
  <c r="CJ173" i="22"/>
  <c r="CL171" i="22"/>
  <c r="CL170" i="22"/>
  <c r="CK170" i="22"/>
  <c r="CJ170" i="22"/>
  <c r="CJ167" i="22"/>
  <c r="CK166" i="22"/>
  <c r="CJ166" i="22"/>
  <c r="CL165" i="22"/>
  <c r="CJ164" i="22"/>
  <c r="CL162" i="22"/>
  <c r="CK162" i="22"/>
  <c r="CK161" i="22"/>
  <c r="CJ161" i="22"/>
  <c r="CL159" i="22"/>
  <c r="CJ158" i="22"/>
  <c r="CL156" i="22"/>
  <c r="CK156" i="22"/>
  <c r="CJ156" i="22"/>
  <c r="CL154" i="22"/>
  <c r="CK154" i="22"/>
  <c r="CJ154" i="22"/>
  <c r="CL152" i="22"/>
  <c r="CK152" i="22"/>
  <c r="CJ152" i="22"/>
  <c r="CL151" i="22"/>
  <c r="CK151" i="22"/>
  <c r="CJ151" i="22"/>
  <c r="CL150" i="22"/>
  <c r="CK150" i="22"/>
  <c r="CJ150" i="22"/>
  <c r="CL148" i="22"/>
  <c r="CK148" i="22"/>
  <c r="CJ148" i="22"/>
  <c r="CL147" i="22"/>
  <c r="CK147" i="22"/>
  <c r="CJ147" i="22"/>
  <c r="CL146" i="22"/>
  <c r="CK146" i="22"/>
  <c r="CJ146" i="22"/>
  <c r="CL144" i="22"/>
  <c r="CJ143" i="22"/>
  <c r="CL142" i="22"/>
  <c r="CK142" i="22"/>
  <c r="CJ142" i="22"/>
  <c r="CK139" i="22"/>
  <c r="CJ139" i="22"/>
  <c r="CL138" i="22"/>
  <c r="CL137" i="22"/>
  <c r="CK137" i="22"/>
  <c r="CJ137" i="22"/>
  <c r="CL135" i="22"/>
  <c r="CK135" i="22"/>
  <c r="CJ135" i="22"/>
  <c r="CL134" i="22"/>
  <c r="CK132" i="22"/>
  <c r="CJ132" i="22"/>
  <c r="CL130" i="22"/>
  <c r="CK130" i="22"/>
  <c r="CJ130" i="22"/>
  <c r="CL129" i="22"/>
  <c r="CK128" i="22"/>
  <c r="CL126" i="22"/>
  <c r="CK126" i="22"/>
  <c r="CJ126" i="22"/>
  <c r="CL125" i="22"/>
  <c r="CK124" i="22"/>
  <c r="CJ124" i="22"/>
  <c r="CL122" i="22"/>
  <c r="CK122" i="22"/>
  <c r="CJ122" i="22"/>
  <c r="CL120" i="22"/>
  <c r="CL119" i="22"/>
  <c r="CK119" i="22"/>
  <c r="CJ119" i="22"/>
  <c r="CK117" i="22"/>
  <c r="CJ117" i="22"/>
  <c r="CL116" i="22"/>
  <c r="CL115" i="22"/>
  <c r="CK115" i="22"/>
  <c r="CJ115" i="22"/>
  <c r="BN203" i="22"/>
  <c r="BL203" i="22"/>
  <c r="BN201" i="22"/>
  <c r="BM201" i="22"/>
  <c r="BL201" i="22"/>
  <c r="BM200" i="22"/>
  <c r="BN199" i="22"/>
  <c r="BM199" i="22"/>
  <c r="BL199" i="22"/>
  <c r="BN198" i="22"/>
  <c r="BL198" i="22"/>
  <c r="BN197" i="22"/>
  <c r="BM197" i="22"/>
  <c r="BL197" i="22"/>
  <c r="BN196" i="22"/>
  <c r="BM196" i="22"/>
  <c r="BL196" i="22"/>
  <c r="BM195" i="22"/>
  <c r="BN194" i="22"/>
  <c r="BM194" i="22"/>
  <c r="BL194" i="22"/>
  <c r="BN193" i="22"/>
  <c r="BL193" i="22"/>
  <c r="BN192" i="22"/>
  <c r="BM192" i="22"/>
  <c r="BL192" i="22"/>
  <c r="BM191" i="22"/>
  <c r="BN190" i="22"/>
  <c r="BM190" i="22"/>
  <c r="BL190" i="22"/>
  <c r="BN189" i="22"/>
  <c r="BL189" i="22"/>
  <c r="BN188" i="22"/>
  <c r="BM188" i="22"/>
  <c r="BL188" i="22"/>
  <c r="BM187" i="22"/>
  <c r="BN186" i="22"/>
  <c r="BM186" i="22"/>
  <c r="BL186" i="22"/>
  <c r="BN183" i="22"/>
  <c r="BM183" i="22"/>
  <c r="BL183" i="22"/>
  <c r="BN182" i="22"/>
  <c r="BM182" i="22"/>
  <c r="BL182" i="22"/>
  <c r="BN181" i="22"/>
  <c r="BM181" i="22"/>
  <c r="BL181" i="22"/>
  <c r="BN180" i="22"/>
  <c r="BM179" i="22"/>
  <c r="BL179" i="22"/>
  <c r="BN177" i="22"/>
  <c r="BM177" i="22"/>
  <c r="BL177" i="22"/>
  <c r="BN176" i="22"/>
  <c r="BN175" i="22"/>
  <c r="BM175" i="22"/>
  <c r="BL175" i="22"/>
  <c r="BN174" i="22"/>
  <c r="BM174" i="22"/>
  <c r="BL174" i="22"/>
  <c r="BM173" i="22"/>
  <c r="BL173" i="22"/>
  <c r="BN172" i="22"/>
  <c r="R39" i="29"/>
  <c r="BL172" i="22"/>
  <c r="P39" i="29"/>
  <c r="BN171" i="22"/>
  <c r="BM171" i="22"/>
  <c r="BN170" i="22"/>
  <c r="BM170" i="22"/>
  <c r="BL170" i="22"/>
  <c r="BN168" i="22"/>
  <c r="BL168" i="22"/>
  <c r="BN167" i="22"/>
  <c r="BM167" i="22"/>
  <c r="BL167" i="22"/>
  <c r="BM166" i="22"/>
  <c r="BL166" i="22"/>
  <c r="BN165" i="22"/>
  <c r="BM165" i="22"/>
  <c r="BN164" i="22"/>
  <c r="BL164" i="22"/>
  <c r="BN163" i="22"/>
  <c r="BM163" i="22"/>
  <c r="BL163" i="22"/>
  <c r="BN162" i="22"/>
  <c r="BM162" i="22"/>
  <c r="BL162" i="22"/>
  <c r="BM161" i="22"/>
  <c r="BL161" i="22"/>
  <c r="BN160" i="22"/>
  <c r="BM160" i="22"/>
  <c r="BL160" i="22"/>
  <c r="BN159" i="22"/>
  <c r="BM159" i="22"/>
  <c r="BN158" i="22"/>
  <c r="BL158" i="22"/>
  <c r="BN157" i="22"/>
  <c r="BM157" i="22"/>
  <c r="BL157" i="22"/>
  <c r="BN156" i="22"/>
  <c r="BM156" i="22"/>
  <c r="BL156" i="22"/>
  <c r="BN154" i="22"/>
  <c r="BM154" i="22"/>
  <c r="BL154" i="22"/>
  <c r="BN152" i="22"/>
  <c r="BM152" i="22"/>
  <c r="BL152" i="22"/>
  <c r="BN151" i="22"/>
  <c r="BM151" i="22"/>
  <c r="BL151" i="22"/>
  <c r="BN150" i="22"/>
  <c r="BM150" i="22"/>
  <c r="BL150" i="22"/>
  <c r="BN148" i="22"/>
  <c r="BM148" i="22"/>
  <c r="BL148" i="22"/>
  <c r="BN147" i="22"/>
  <c r="BM147" i="22"/>
  <c r="BL147" i="22"/>
  <c r="BN146" i="22"/>
  <c r="BM146" i="22"/>
  <c r="BL146" i="22"/>
  <c r="BL145" i="22"/>
  <c r="BN144" i="22"/>
  <c r="BM144" i="22"/>
  <c r="BN143" i="22"/>
  <c r="BM143" i="22"/>
  <c r="BL143" i="22"/>
  <c r="BN142" i="22"/>
  <c r="BM142" i="22"/>
  <c r="BL142" i="22"/>
  <c r="BN141" i="22"/>
  <c r="BM141" i="22"/>
  <c r="BL141" i="22"/>
  <c r="BM139" i="22"/>
  <c r="BL139" i="22"/>
  <c r="BN138" i="22"/>
  <c r="BM138" i="22"/>
  <c r="BN137" i="22"/>
  <c r="BM137" i="22"/>
  <c r="BL137" i="22"/>
  <c r="BN136" i="22"/>
  <c r="BL136" i="22"/>
  <c r="BN135" i="22"/>
  <c r="BM135" i="22"/>
  <c r="BL135" i="22"/>
  <c r="BN134" i="22"/>
  <c r="BM134" i="22"/>
  <c r="BN133" i="22"/>
  <c r="BM133" i="22"/>
  <c r="BL133" i="22"/>
  <c r="BM132" i="22"/>
  <c r="BL132" i="22"/>
  <c r="BN131" i="22"/>
  <c r="BL131" i="22"/>
  <c r="BN130" i="22"/>
  <c r="BM130" i="22"/>
  <c r="BL130" i="22"/>
  <c r="BN129" i="22"/>
  <c r="BM129" i="22"/>
  <c r="BM128" i="22"/>
  <c r="BL128" i="22"/>
  <c r="BN127" i="22"/>
  <c r="BL127" i="22"/>
  <c r="BN126" i="22"/>
  <c r="BM126" i="22"/>
  <c r="BL126" i="22"/>
  <c r="BN125" i="22"/>
  <c r="BM125" i="22"/>
  <c r="BM124" i="22"/>
  <c r="BL124" i="22"/>
  <c r="BN123" i="22"/>
  <c r="R35" i="30"/>
  <c r="BL123" i="22"/>
  <c r="P35" i="30"/>
  <c r="BN122" i="22"/>
  <c r="BM122" i="22"/>
  <c r="BL122" i="22"/>
  <c r="BN120" i="22"/>
  <c r="R37" i="30"/>
  <c r="BM120" i="22"/>
  <c r="Q37" i="30"/>
  <c r="BN119" i="22"/>
  <c r="BM119" i="22"/>
  <c r="BL119" i="22"/>
  <c r="BN118" i="22"/>
  <c r="BL118" i="22"/>
  <c r="BM117" i="22"/>
  <c r="BL117" i="22"/>
  <c r="BN116" i="22"/>
  <c r="BM116" i="22"/>
  <c r="BN115" i="22"/>
  <c r="BM115" i="22"/>
  <c r="BL115" i="22"/>
  <c r="Q27" i="30"/>
  <c r="IC18" i="22"/>
  <c r="IC17" i="22"/>
  <c r="IB17" i="22"/>
  <c r="IA17" i="22"/>
  <c r="AO98" i="15"/>
  <c r="AN98" i="15"/>
  <c r="AO97" i="15"/>
  <c r="AN97" i="15"/>
  <c r="AO96" i="15"/>
  <c r="AN96" i="15"/>
  <c r="AO95" i="15"/>
  <c r="AN95" i="15"/>
  <c r="AO94" i="15"/>
  <c r="AN94" i="15"/>
  <c r="AO93" i="15"/>
  <c r="AN93" i="15"/>
  <c r="AO92" i="15"/>
  <c r="AN92" i="15"/>
  <c r="AO91" i="15"/>
  <c r="AN91" i="15"/>
  <c r="AO90" i="15"/>
  <c r="AN90" i="15"/>
  <c r="AO89" i="15"/>
  <c r="AN89" i="15"/>
  <c r="AO88" i="15"/>
  <c r="AN88" i="15"/>
  <c r="AO87" i="15"/>
  <c r="AN87" i="15"/>
  <c r="AO86" i="15"/>
  <c r="AN86" i="15"/>
  <c r="AO85" i="15"/>
  <c r="AN85" i="15"/>
  <c r="AO84" i="15"/>
  <c r="AN84" i="15"/>
  <c r="AO83" i="15"/>
  <c r="AN83" i="15"/>
  <c r="AO82" i="15"/>
  <c r="AN82" i="15"/>
  <c r="AO81" i="15"/>
  <c r="AN81" i="15"/>
  <c r="AO80" i="15"/>
  <c r="AN80" i="15"/>
  <c r="AO79" i="15"/>
  <c r="AN79" i="15"/>
  <c r="AO78" i="15"/>
  <c r="AN78" i="15"/>
  <c r="AO77" i="15"/>
  <c r="AN77" i="15"/>
  <c r="AO76" i="15"/>
  <c r="AN76" i="15"/>
  <c r="AO75" i="15"/>
  <c r="AN75" i="15"/>
  <c r="AO74" i="15"/>
  <c r="AN74" i="15"/>
  <c r="AO73" i="15"/>
  <c r="AN73" i="15"/>
  <c r="AO72" i="15"/>
  <c r="AN72" i="15"/>
  <c r="AO71" i="15"/>
  <c r="AN71" i="15"/>
  <c r="AO70" i="15"/>
  <c r="AN70" i="15"/>
  <c r="AO69" i="15"/>
  <c r="AN69" i="15"/>
  <c r="AO68" i="15"/>
  <c r="AN68" i="15"/>
  <c r="AO67" i="15"/>
  <c r="Q17" i="29"/>
  <c r="AN67" i="15"/>
  <c r="P17" i="29"/>
  <c r="AO66" i="15"/>
  <c r="AN66" i="15"/>
  <c r="AO65" i="15"/>
  <c r="AN65" i="15"/>
  <c r="AO63" i="15"/>
  <c r="AN63" i="15"/>
  <c r="AO62" i="15"/>
  <c r="AN62" i="15"/>
  <c r="AO61" i="15"/>
  <c r="AN61" i="15"/>
  <c r="AO60" i="15"/>
  <c r="AN60" i="15"/>
  <c r="AO59" i="15"/>
  <c r="AN59" i="15"/>
  <c r="AO58" i="15"/>
  <c r="AN58" i="15"/>
  <c r="AO57" i="15"/>
  <c r="AN57" i="15"/>
  <c r="AO56" i="15"/>
  <c r="AN56" i="15"/>
  <c r="AO55" i="15"/>
  <c r="AN55" i="15"/>
  <c r="AO54" i="15"/>
  <c r="AN54" i="15"/>
  <c r="AO53" i="15"/>
  <c r="AN53" i="15"/>
  <c r="AO52" i="15"/>
  <c r="AN52" i="15"/>
  <c r="AO51" i="15"/>
  <c r="AN51" i="15"/>
  <c r="AO50" i="15"/>
  <c r="AN50" i="15"/>
  <c r="AO49" i="15"/>
  <c r="AN49" i="15"/>
  <c r="AO48" i="15"/>
  <c r="AN48" i="15"/>
  <c r="AO47" i="15"/>
  <c r="AN47" i="15"/>
  <c r="AO46" i="15"/>
  <c r="AN46" i="15"/>
  <c r="AO45" i="15"/>
  <c r="AN45" i="15"/>
  <c r="AO44" i="15"/>
  <c r="AN44" i="15"/>
  <c r="AO43" i="15"/>
  <c r="AN43" i="15"/>
  <c r="AO42" i="15"/>
  <c r="AN42" i="15"/>
  <c r="AO41" i="15"/>
  <c r="AN41" i="15"/>
  <c r="AO40" i="15"/>
  <c r="AN40" i="15"/>
  <c r="AO39" i="15"/>
  <c r="AN39" i="15"/>
  <c r="AO38" i="15"/>
  <c r="AN38" i="15"/>
  <c r="AO37" i="15"/>
  <c r="AN37" i="15"/>
  <c r="AO36" i="15"/>
  <c r="AN36" i="15"/>
  <c r="AO35" i="15"/>
  <c r="AN35" i="15"/>
  <c r="AO34" i="15"/>
  <c r="AN34" i="15"/>
  <c r="AO33" i="15"/>
  <c r="AN33" i="15"/>
  <c r="AO32" i="15"/>
  <c r="AN32" i="15"/>
  <c r="AO31" i="15"/>
  <c r="AN31" i="15"/>
  <c r="AO30" i="15"/>
  <c r="AN30" i="15"/>
  <c r="AO29" i="15"/>
  <c r="AN29" i="15"/>
  <c r="AO28" i="15"/>
  <c r="AN28" i="15"/>
  <c r="AO27" i="15"/>
  <c r="AN27" i="15"/>
  <c r="AO26" i="15"/>
  <c r="AN26" i="15"/>
  <c r="AO25" i="15"/>
  <c r="AN25" i="15"/>
  <c r="AO24" i="15"/>
  <c r="AN24" i="15"/>
  <c r="AO23" i="15"/>
  <c r="AN23" i="15"/>
  <c r="AO22" i="15"/>
  <c r="AN22" i="15"/>
  <c r="AO21" i="15"/>
  <c r="AN21" i="15"/>
  <c r="AO20" i="15"/>
  <c r="AN20" i="15"/>
  <c r="AO19" i="15"/>
  <c r="AN19" i="15"/>
  <c r="AO18" i="15"/>
  <c r="Q19" i="30"/>
  <c r="AN18" i="15"/>
  <c r="P19" i="30"/>
  <c r="AO17" i="15"/>
  <c r="AN17" i="15"/>
  <c r="AO16" i="15"/>
  <c r="AN16" i="15"/>
  <c r="AO15" i="15"/>
  <c r="Q21" i="30"/>
  <c r="AN15" i="15"/>
  <c r="P21" i="30"/>
  <c r="AO14" i="15"/>
  <c r="AN14" i="15"/>
  <c r="AO13" i="15"/>
  <c r="AN13" i="15"/>
  <c r="AO12" i="15"/>
  <c r="AN12" i="15"/>
  <c r="AO11" i="15"/>
  <c r="AN11" i="15"/>
  <c r="AO10" i="15"/>
  <c r="AN10" i="15"/>
  <c r="CK98" i="27"/>
  <c r="CJ98" i="27"/>
  <c r="CK97" i="27"/>
  <c r="CJ97" i="27"/>
  <c r="CK96" i="27"/>
  <c r="CJ96" i="27"/>
  <c r="CK95" i="27"/>
  <c r="CJ95" i="27"/>
  <c r="CK94" i="27"/>
  <c r="CJ94" i="27"/>
  <c r="CK93" i="27"/>
  <c r="CJ93" i="27"/>
  <c r="CK92" i="27"/>
  <c r="CJ92" i="27"/>
  <c r="CK91" i="27"/>
  <c r="CJ91" i="27"/>
  <c r="CK90" i="27"/>
  <c r="CJ90" i="27"/>
  <c r="CK89" i="27"/>
  <c r="CJ89" i="27"/>
  <c r="CK88" i="27"/>
  <c r="CJ88" i="27"/>
  <c r="CK87" i="27"/>
  <c r="CJ87" i="27"/>
  <c r="CK86" i="27"/>
  <c r="CJ86" i="27"/>
  <c r="CK85" i="27"/>
  <c r="CJ85" i="27"/>
  <c r="CK84" i="27"/>
  <c r="CJ84" i="27"/>
  <c r="CK83" i="27"/>
  <c r="CJ83" i="27"/>
  <c r="CK82" i="27"/>
  <c r="CJ82" i="27"/>
  <c r="CK81" i="27"/>
  <c r="CJ81" i="27"/>
  <c r="CK80" i="27"/>
  <c r="CJ80" i="27"/>
  <c r="CK79" i="27"/>
  <c r="CJ79" i="27"/>
  <c r="CK78" i="27"/>
  <c r="CJ78" i="27"/>
  <c r="CK77" i="27"/>
  <c r="CJ77" i="27"/>
  <c r="CK76" i="27"/>
  <c r="CJ76" i="27"/>
  <c r="CK75" i="27"/>
  <c r="CJ75" i="27"/>
  <c r="CK74" i="27"/>
  <c r="CJ74" i="27"/>
  <c r="CK73" i="27"/>
  <c r="CJ73" i="27"/>
  <c r="CK72" i="27"/>
  <c r="CJ72" i="27"/>
  <c r="CK71" i="27"/>
  <c r="CJ71" i="27"/>
  <c r="CK70" i="27"/>
  <c r="CJ70" i="27"/>
  <c r="CK69" i="27"/>
  <c r="CJ69" i="27"/>
  <c r="CK68" i="27"/>
  <c r="CJ68" i="27"/>
  <c r="CK67" i="27"/>
  <c r="CJ67" i="27"/>
  <c r="P40" i="29"/>
  <c r="CK66" i="27"/>
  <c r="CJ66" i="27"/>
  <c r="CK65" i="27"/>
  <c r="CJ65" i="27"/>
  <c r="CK63" i="27"/>
  <c r="CJ63" i="27"/>
  <c r="CK62" i="27"/>
  <c r="CJ62" i="27"/>
  <c r="CK61" i="27"/>
  <c r="CJ61" i="27"/>
  <c r="CK60" i="27"/>
  <c r="CJ60" i="27"/>
  <c r="CK59" i="27"/>
  <c r="CJ59" i="27"/>
  <c r="CK58" i="27"/>
  <c r="CJ58" i="27"/>
  <c r="CK57" i="27"/>
  <c r="CJ57" i="27"/>
  <c r="CK56" i="27"/>
  <c r="CJ56" i="27"/>
  <c r="CK55" i="27"/>
  <c r="CJ55" i="27"/>
  <c r="CK54" i="27"/>
  <c r="CJ54" i="27"/>
  <c r="CK53" i="27"/>
  <c r="CJ53" i="27"/>
  <c r="CK52" i="27"/>
  <c r="CJ52" i="27"/>
  <c r="CK51" i="27"/>
  <c r="CJ51" i="27"/>
  <c r="CK50" i="27"/>
  <c r="CJ50" i="27"/>
  <c r="CK49" i="27"/>
  <c r="CJ49" i="27"/>
  <c r="CK48" i="27"/>
  <c r="CJ48" i="27"/>
  <c r="CK47" i="27"/>
  <c r="CJ47" i="27"/>
  <c r="CK46" i="27"/>
  <c r="CJ46" i="27"/>
  <c r="CK45" i="27"/>
  <c r="CJ45" i="27"/>
  <c r="CK44" i="27"/>
  <c r="CJ44" i="27"/>
  <c r="CK43" i="27"/>
  <c r="CJ43" i="27"/>
  <c r="CK42" i="27"/>
  <c r="CJ42" i="27"/>
  <c r="CK41" i="27"/>
  <c r="CJ41" i="27"/>
  <c r="CK40" i="27"/>
  <c r="CJ40" i="27"/>
  <c r="CK39" i="27"/>
  <c r="CJ39" i="27"/>
  <c r="CK38" i="27"/>
  <c r="CJ38" i="27"/>
  <c r="CK37" i="27"/>
  <c r="CJ37" i="27"/>
  <c r="CK36" i="27"/>
  <c r="CJ36" i="27"/>
  <c r="CK35" i="27"/>
  <c r="CJ35" i="27"/>
  <c r="CK34" i="27"/>
  <c r="CJ34" i="27"/>
  <c r="CK33" i="27"/>
  <c r="CJ33" i="27"/>
  <c r="CK32" i="27"/>
  <c r="CJ32" i="27"/>
  <c r="CK31" i="27"/>
  <c r="CJ31" i="27"/>
  <c r="CK30" i="27"/>
  <c r="CJ30" i="27"/>
  <c r="CK29" i="27"/>
  <c r="CJ29" i="27"/>
  <c r="CK28" i="27"/>
  <c r="CJ28" i="27"/>
  <c r="CK27" i="27"/>
  <c r="CJ27" i="27"/>
  <c r="CK26" i="27"/>
  <c r="CJ26" i="27"/>
  <c r="CK25" i="27"/>
  <c r="CJ25" i="27"/>
  <c r="CK24" i="27"/>
  <c r="CJ24" i="27"/>
  <c r="CK23" i="27"/>
  <c r="CJ23" i="27"/>
  <c r="CK22" i="27"/>
  <c r="CJ22" i="27"/>
  <c r="CK21" i="27"/>
  <c r="CJ21" i="27"/>
  <c r="CK20" i="27"/>
  <c r="CJ20" i="27"/>
  <c r="CK19" i="27"/>
  <c r="CJ19" i="27"/>
  <c r="CK18" i="27"/>
  <c r="Q36" i="30"/>
  <c r="CJ18" i="27"/>
  <c r="P36" i="30"/>
  <c r="CK17" i="27"/>
  <c r="CJ17" i="27"/>
  <c r="CK16" i="27"/>
  <c r="CJ16" i="27"/>
  <c r="CK15" i="27"/>
  <c r="CJ15" i="27"/>
  <c r="CK14" i="27"/>
  <c r="CJ14" i="27"/>
  <c r="CK13" i="27"/>
  <c r="CJ13" i="27"/>
  <c r="CK12" i="27"/>
  <c r="CJ12" i="27"/>
  <c r="CK11" i="27"/>
  <c r="CJ11" i="27"/>
  <c r="CK10" i="27"/>
  <c r="CJ10" i="27"/>
  <c r="BM98" i="27"/>
  <c r="BL98" i="27"/>
  <c r="BM97" i="27"/>
  <c r="BL97" i="27"/>
  <c r="BM96" i="27"/>
  <c r="BL96" i="27"/>
  <c r="BM95" i="27"/>
  <c r="BL95" i="27"/>
  <c r="BM94" i="27"/>
  <c r="BL94" i="27"/>
  <c r="BM93" i="27"/>
  <c r="BL93" i="27"/>
  <c r="BM92" i="27"/>
  <c r="BL92" i="27"/>
  <c r="BM91" i="27"/>
  <c r="BL91" i="27"/>
  <c r="BM90" i="27"/>
  <c r="BL90" i="27"/>
  <c r="BM89" i="27"/>
  <c r="BL89" i="27"/>
  <c r="BM88" i="27"/>
  <c r="BL88" i="27"/>
  <c r="BM87" i="27"/>
  <c r="BL87" i="27"/>
  <c r="BM86" i="27"/>
  <c r="BL86" i="27"/>
  <c r="BM85" i="27"/>
  <c r="BL85" i="27"/>
  <c r="BM84" i="27"/>
  <c r="BL84" i="27"/>
  <c r="BM83" i="27"/>
  <c r="BL83" i="27"/>
  <c r="BM82" i="27"/>
  <c r="BL82" i="27"/>
  <c r="BM81" i="27"/>
  <c r="BL81" i="27"/>
  <c r="BM80" i="27"/>
  <c r="BL80" i="27"/>
  <c r="BM79" i="27"/>
  <c r="BL79" i="27"/>
  <c r="BM78" i="27"/>
  <c r="BL78" i="27"/>
  <c r="BM77" i="27"/>
  <c r="BL77" i="27"/>
  <c r="BM76" i="27"/>
  <c r="BL76" i="27"/>
  <c r="BM75" i="27"/>
  <c r="BL75" i="27"/>
  <c r="BM74" i="27"/>
  <c r="BL74" i="27"/>
  <c r="BM73" i="27"/>
  <c r="BL73" i="27"/>
  <c r="BM72" i="27"/>
  <c r="BL72" i="27"/>
  <c r="BM71" i="27"/>
  <c r="BL71" i="27"/>
  <c r="BM70" i="27"/>
  <c r="BL70" i="27"/>
  <c r="BM69" i="27"/>
  <c r="BL69" i="27"/>
  <c r="BM68" i="27"/>
  <c r="BL68" i="27"/>
  <c r="BM67" i="27"/>
  <c r="BL67" i="27"/>
  <c r="P29" i="29"/>
  <c r="BM66" i="27"/>
  <c r="BL66" i="27"/>
  <c r="BM65" i="27"/>
  <c r="BL65" i="27"/>
  <c r="BM63" i="27"/>
  <c r="BL63" i="27"/>
  <c r="BM62" i="27"/>
  <c r="BL62" i="27"/>
  <c r="BM61" i="27"/>
  <c r="BL61" i="27"/>
  <c r="BM60" i="27"/>
  <c r="BL60" i="27"/>
  <c r="BM59" i="27"/>
  <c r="BL59" i="27"/>
  <c r="BM58" i="27"/>
  <c r="BL58" i="27"/>
  <c r="BM57" i="27"/>
  <c r="BL57" i="27"/>
  <c r="BM56" i="27"/>
  <c r="BL56" i="27"/>
  <c r="BM55" i="27"/>
  <c r="BL55" i="27"/>
  <c r="BM54" i="27"/>
  <c r="BL54" i="27"/>
  <c r="BM53" i="27"/>
  <c r="BL53" i="27"/>
  <c r="BM52" i="27"/>
  <c r="BL52" i="27"/>
  <c r="BM51" i="27"/>
  <c r="BL51" i="27"/>
  <c r="BM50" i="27"/>
  <c r="BL50" i="27"/>
  <c r="BM49" i="27"/>
  <c r="BL49" i="27"/>
  <c r="BM48" i="27"/>
  <c r="BL48" i="27"/>
  <c r="BM47" i="27"/>
  <c r="BL47" i="27"/>
  <c r="BM46" i="27"/>
  <c r="BL46" i="27"/>
  <c r="BM45" i="27"/>
  <c r="BL45" i="27"/>
  <c r="BM44" i="27"/>
  <c r="BL44" i="27"/>
  <c r="BM43" i="27"/>
  <c r="BL43" i="27"/>
  <c r="BM42" i="27"/>
  <c r="BL42" i="27"/>
  <c r="BM41" i="27"/>
  <c r="BL41" i="27"/>
  <c r="BM40" i="27"/>
  <c r="BL40" i="27"/>
  <c r="BM39" i="27"/>
  <c r="BL39" i="27"/>
  <c r="BM38" i="27"/>
  <c r="BL38" i="27"/>
  <c r="BM37" i="27"/>
  <c r="BL37" i="27"/>
  <c r="BM36" i="27"/>
  <c r="BL36" i="27"/>
  <c r="BM35" i="27"/>
  <c r="BL35" i="27"/>
  <c r="BM34" i="27"/>
  <c r="BL34" i="27"/>
  <c r="BM33" i="27"/>
  <c r="BL33" i="27"/>
  <c r="BM32" i="27"/>
  <c r="BL32" i="27"/>
  <c r="BM31" i="27"/>
  <c r="BL31" i="27"/>
  <c r="BM30" i="27"/>
  <c r="BL30" i="27"/>
  <c r="BM29" i="27"/>
  <c r="BL29" i="27"/>
  <c r="BM28" i="27"/>
  <c r="BL28" i="27"/>
  <c r="BM27" i="27"/>
  <c r="BL27" i="27"/>
  <c r="BM26" i="27"/>
  <c r="BL26" i="27"/>
  <c r="BM25" i="27"/>
  <c r="BL25" i="27"/>
  <c r="BM24" i="27"/>
  <c r="BL24" i="27"/>
  <c r="BM23" i="27"/>
  <c r="BL23" i="27"/>
  <c r="BM22" i="27"/>
  <c r="BL22" i="27"/>
  <c r="BM21" i="27"/>
  <c r="BL21" i="27"/>
  <c r="BM20" i="27"/>
  <c r="BL20" i="27"/>
  <c r="BM19" i="27"/>
  <c r="BL19" i="27"/>
  <c r="BM18" i="27"/>
  <c r="BL18" i="27"/>
  <c r="BM17" i="27"/>
  <c r="BL17" i="27"/>
  <c r="BM16" i="27"/>
  <c r="BL16" i="27"/>
  <c r="BM15" i="27"/>
  <c r="BL15" i="27"/>
  <c r="BM14" i="27"/>
  <c r="BL14" i="27"/>
  <c r="BM13" i="27"/>
  <c r="BL13" i="27"/>
  <c r="BM12" i="27"/>
  <c r="BL12" i="27"/>
  <c r="BM11" i="27"/>
  <c r="BL11" i="27"/>
  <c r="BM10" i="27"/>
  <c r="BL10" i="27"/>
  <c r="AO98" i="27"/>
  <c r="AN98" i="27"/>
  <c r="AO97" i="27"/>
  <c r="AN97" i="27"/>
  <c r="AO96" i="27"/>
  <c r="AN96" i="27"/>
  <c r="AO95" i="27"/>
  <c r="AN95" i="27"/>
  <c r="AO94" i="27"/>
  <c r="AN94" i="27"/>
  <c r="AO93" i="27"/>
  <c r="AN93" i="27"/>
  <c r="AO92" i="27"/>
  <c r="AN92" i="27"/>
  <c r="AO91" i="27"/>
  <c r="AN91" i="27"/>
  <c r="AO90" i="27"/>
  <c r="AN90" i="27"/>
  <c r="AO89" i="27"/>
  <c r="AN89" i="27"/>
  <c r="AO88" i="27"/>
  <c r="AN88" i="27"/>
  <c r="AO87" i="27"/>
  <c r="AN87" i="27"/>
  <c r="AO86" i="27"/>
  <c r="AN86" i="27"/>
  <c r="AO85" i="27"/>
  <c r="AN85" i="27"/>
  <c r="AO84" i="27"/>
  <c r="AN84" i="27"/>
  <c r="AO83" i="27"/>
  <c r="AN83" i="27"/>
  <c r="AO82" i="27"/>
  <c r="AN82" i="27"/>
  <c r="AO81" i="27"/>
  <c r="AN81" i="27"/>
  <c r="AO80" i="27"/>
  <c r="AN80" i="27"/>
  <c r="AO79" i="27"/>
  <c r="AN79" i="27"/>
  <c r="AO78" i="27"/>
  <c r="AN78" i="27"/>
  <c r="AO77" i="27"/>
  <c r="AN77" i="27"/>
  <c r="AO76" i="27"/>
  <c r="AN76" i="27"/>
  <c r="AO75" i="27"/>
  <c r="AN75" i="27"/>
  <c r="AO74" i="27"/>
  <c r="AN74" i="27"/>
  <c r="AO73" i="27"/>
  <c r="AN73" i="27"/>
  <c r="AO72" i="27"/>
  <c r="AN72" i="27"/>
  <c r="AO71" i="27"/>
  <c r="AN71" i="27"/>
  <c r="AO70" i="27"/>
  <c r="AN70" i="27"/>
  <c r="AO69" i="27"/>
  <c r="AN69" i="27"/>
  <c r="AO68" i="27"/>
  <c r="AN68" i="27"/>
  <c r="AO67" i="27"/>
  <c r="Q18" i="29"/>
  <c r="AN67" i="27"/>
  <c r="AO66" i="27"/>
  <c r="AN66" i="27"/>
  <c r="AO65" i="27"/>
  <c r="AN65" i="27"/>
  <c r="AO63" i="27"/>
  <c r="AN63" i="27"/>
  <c r="AO62" i="27"/>
  <c r="AN62" i="27"/>
  <c r="AO61" i="27"/>
  <c r="AN61" i="27"/>
  <c r="AO60" i="27"/>
  <c r="AN60" i="27"/>
  <c r="AO59" i="27"/>
  <c r="AN59" i="27"/>
  <c r="AO58" i="27"/>
  <c r="AN58" i="27"/>
  <c r="AO57" i="27"/>
  <c r="AN57" i="27"/>
  <c r="AO56" i="27"/>
  <c r="AN56" i="27"/>
  <c r="AO55" i="27"/>
  <c r="AN55" i="27"/>
  <c r="AO54" i="27"/>
  <c r="AN54" i="27"/>
  <c r="AO53" i="27"/>
  <c r="AN53" i="27"/>
  <c r="AO52" i="27"/>
  <c r="AN52" i="27"/>
  <c r="AO51" i="27"/>
  <c r="AN51" i="27"/>
  <c r="AO50" i="27"/>
  <c r="AN50" i="27"/>
  <c r="AO49" i="27"/>
  <c r="AN49" i="27"/>
  <c r="AO48" i="27"/>
  <c r="AN48" i="27"/>
  <c r="AO47" i="27"/>
  <c r="AN47" i="27"/>
  <c r="AO46" i="27"/>
  <c r="AN46" i="27"/>
  <c r="AO45" i="27"/>
  <c r="AN45" i="27"/>
  <c r="AO44" i="27"/>
  <c r="AN44" i="27"/>
  <c r="AO43" i="27"/>
  <c r="AN43" i="27"/>
  <c r="AO42" i="27"/>
  <c r="AN42" i="27"/>
  <c r="AO41" i="27"/>
  <c r="AN41" i="27"/>
  <c r="AO40" i="27"/>
  <c r="AN40" i="27"/>
  <c r="AO39" i="27"/>
  <c r="AN39" i="27"/>
  <c r="AO38" i="27"/>
  <c r="AN38" i="27"/>
  <c r="AO37" i="27"/>
  <c r="AN37" i="27"/>
  <c r="AO36" i="27"/>
  <c r="AN36" i="27"/>
  <c r="AO35" i="27"/>
  <c r="AN35" i="27"/>
  <c r="AO34" i="27"/>
  <c r="AN34" i="27"/>
  <c r="AO33" i="27"/>
  <c r="AN33" i="27"/>
  <c r="AO32" i="27"/>
  <c r="AN32" i="27"/>
  <c r="AO31" i="27"/>
  <c r="AN31" i="27"/>
  <c r="AO30" i="27"/>
  <c r="AN30" i="27"/>
  <c r="AO29" i="27"/>
  <c r="AN29" i="27"/>
  <c r="AO28" i="27"/>
  <c r="AN28" i="27"/>
  <c r="AO27" i="27"/>
  <c r="AN27" i="27"/>
  <c r="AO26" i="27"/>
  <c r="AN26" i="27"/>
  <c r="AO25" i="27"/>
  <c r="AN25" i="27"/>
  <c r="AO24" i="27"/>
  <c r="AN24" i="27"/>
  <c r="AO23" i="27"/>
  <c r="AN23" i="27"/>
  <c r="AO22" i="27"/>
  <c r="AN22" i="27"/>
  <c r="AO21" i="27"/>
  <c r="AN21" i="27"/>
  <c r="AO20" i="27"/>
  <c r="AN20" i="27"/>
  <c r="AO19" i="27"/>
  <c r="AN19" i="27"/>
  <c r="AO18" i="27"/>
  <c r="Q20" i="30"/>
  <c r="AN18" i="27"/>
  <c r="AO17" i="27"/>
  <c r="AN17" i="27"/>
  <c r="AO16" i="27"/>
  <c r="AN16" i="27"/>
  <c r="AO15" i="27"/>
  <c r="Q22" i="30"/>
  <c r="AN15" i="27"/>
  <c r="P22" i="30"/>
  <c r="AO14" i="27"/>
  <c r="AN14" i="27"/>
  <c r="AO13" i="27"/>
  <c r="AN13" i="27"/>
  <c r="AO12" i="27"/>
  <c r="AN12" i="27"/>
  <c r="AO11" i="27"/>
  <c r="AN11" i="27"/>
  <c r="AO10" i="27"/>
  <c r="AN10" i="27"/>
  <c r="Q99" i="27"/>
  <c r="P99" i="27"/>
  <c r="AP98" i="10"/>
  <c r="AO98" i="10"/>
  <c r="P9" i="33"/>
  <c r="O9" i="33"/>
  <c r="P43" i="35"/>
  <c r="L16" i="34"/>
  <c r="P20" i="30"/>
  <c r="P16" i="34"/>
  <c r="P38" i="30"/>
  <c r="Q38" i="30"/>
  <c r="F16" i="34"/>
  <c r="I16" i="34"/>
  <c r="Q16" i="34"/>
  <c r="Q29" i="29"/>
  <c r="P18" i="29"/>
  <c r="Q32" i="35"/>
  <c r="Q46" i="35"/>
  <c r="Q43" i="35"/>
  <c r="Q36" i="35"/>
  <c r="Q29" i="35"/>
  <c r="Q22" i="35"/>
  <c r="Q44" i="35"/>
  <c r="Q30" i="35"/>
  <c r="Q45" i="35"/>
  <c r="Q31" i="35"/>
  <c r="Q47" i="35"/>
  <c r="Q23" i="35"/>
  <c r="Q48" i="35"/>
  <c r="Q24" i="35"/>
  <c r="Q37" i="35"/>
  <c r="Q38" i="35"/>
  <c r="Q53" i="35"/>
  <c r="Q57" i="35"/>
  <c r="Q25" i="35"/>
  <c r="Q55" i="35"/>
  <c r="Q39" i="35"/>
  <c r="Q56" i="35"/>
  <c r="Q54" i="35"/>
  <c r="Q52" i="35"/>
  <c r="Q40" i="29"/>
  <c r="P48" i="35"/>
  <c r="P32" i="35"/>
  <c r="P29" i="35"/>
  <c r="P30" i="35"/>
  <c r="P47" i="35"/>
  <c r="P37" i="35"/>
  <c r="P45" i="35"/>
  <c r="P23" i="35"/>
  <c r="O86" i="31"/>
  <c r="O97" i="31"/>
  <c r="O87" i="31"/>
  <c r="O98" i="31"/>
  <c r="O89" i="31"/>
  <c r="O100" i="31"/>
  <c r="Q62" i="35"/>
  <c r="P65" i="35"/>
  <c r="P86" i="31"/>
  <c r="P97" i="31"/>
  <c r="P66" i="35"/>
  <c r="P87" i="31"/>
  <c r="P98" i="31"/>
  <c r="P68" i="35"/>
  <c r="P89" i="31"/>
  <c r="P100" i="31"/>
  <c r="R82" i="31"/>
  <c r="Q65" i="35"/>
  <c r="Q76" i="35"/>
  <c r="Q66" i="35"/>
  <c r="Q77" i="35"/>
  <c r="Q68" i="35"/>
  <c r="Q79" i="35"/>
  <c r="R66" i="35"/>
  <c r="R87" i="31"/>
  <c r="R98" i="31"/>
  <c r="R68" i="35"/>
  <c r="R89" i="31"/>
  <c r="R100" i="31"/>
  <c r="P67" i="35"/>
  <c r="P61" i="35"/>
  <c r="P95" i="31"/>
  <c r="P84" i="31"/>
  <c r="P82" i="31"/>
  <c r="P93" i="31"/>
  <c r="R93" i="31"/>
  <c r="O85" i="31"/>
  <c r="R95" i="31"/>
  <c r="P75" i="35"/>
  <c r="P57" i="26"/>
  <c r="O96" i="31"/>
  <c r="P54" i="26"/>
  <c r="P74" i="35"/>
  <c r="O83" i="31"/>
  <c r="O99" i="31"/>
  <c r="O88" i="31"/>
  <c r="O95" i="31"/>
  <c r="O94" i="31"/>
  <c r="O57" i="26"/>
  <c r="O54" i="26"/>
  <c r="P78" i="35"/>
  <c r="P94" i="31"/>
  <c r="P51" i="26"/>
  <c r="Q78" i="35"/>
  <c r="Q75" i="35"/>
  <c r="Q61" i="35"/>
  <c r="R83" i="31"/>
  <c r="Q72" i="35"/>
  <c r="Q73" i="35"/>
  <c r="O84" i="31"/>
  <c r="Q67" i="35"/>
  <c r="P88" i="31"/>
  <c r="R99" i="31"/>
  <c r="R78" i="35"/>
  <c r="Q64" i="35"/>
  <c r="P85" i="31"/>
  <c r="P83" i="31"/>
  <c r="Q74" i="35"/>
  <c r="P62" i="35"/>
  <c r="Q63" i="35"/>
  <c r="P99" i="31"/>
  <c r="R85" i="31"/>
  <c r="P96" i="31"/>
  <c r="O52" i="26"/>
  <c r="O55" i="26"/>
  <c r="O56" i="26"/>
  <c r="O58" i="26"/>
  <c r="O53" i="26"/>
  <c r="P55" i="26"/>
  <c r="P56" i="26"/>
  <c r="P58" i="26"/>
  <c r="P52" i="26"/>
  <c r="P53" i="26"/>
  <c r="R54" i="26"/>
  <c r="R57" i="26"/>
  <c r="R56" i="26"/>
  <c r="R55" i="26"/>
  <c r="R58" i="26"/>
  <c r="R52" i="26"/>
  <c r="Q58" i="26"/>
  <c r="B29" i="26"/>
  <c r="Q100" i="31"/>
  <c r="B48" i="31"/>
  <c r="B37" i="31"/>
  <c r="Q89" i="31"/>
  <c r="Q55" i="26"/>
  <c r="B26" i="26"/>
  <c r="Q97" i="31"/>
  <c r="B45" i="31"/>
  <c r="Q86" i="31"/>
  <c r="B34" i="31"/>
  <c r="Q52" i="26"/>
  <c r="B23" i="26"/>
  <c r="Q94" i="31"/>
  <c r="B42" i="31"/>
  <c r="B31" i="31"/>
  <c r="Q83" i="31"/>
  <c r="Q57" i="26"/>
  <c r="B28" i="26"/>
  <c r="Q99" i="31"/>
  <c r="B47" i="31"/>
  <c r="Q88" i="31"/>
  <c r="B36" i="31"/>
  <c r="Q56" i="26"/>
  <c r="B27" i="26"/>
  <c r="Q98" i="31"/>
  <c r="B46" i="31"/>
  <c r="Q87" i="31"/>
  <c r="B35" i="31"/>
  <c r="Q53" i="26"/>
  <c r="B24" i="26"/>
  <c r="B43" i="31"/>
  <c r="Q95" i="31"/>
  <c r="Q84" i="31"/>
  <c r="B32" i="31"/>
  <c r="Q54" i="26"/>
  <c r="B25" i="26"/>
  <c r="Q96" i="31"/>
  <c r="B44" i="31"/>
  <c r="B33" i="31"/>
  <c r="Q85" i="31"/>
  <c r="Q51" i="26"/>
  <c r="B22" i="26"/>
  <c r="Q93" i="31"/>
  <c r="B41" i="31"/>
  <c r="Q82" i="31"/>
  <c r="B30" i="31"/>
  <c r="CJ10" i="15"/>
  <c r="CJ11" i="15"/>
  <c r="CJ12" i="15"/>
  <c r="CJ13" i="15"/>
  <c r="CJ14" i="15"/>
  <c r="CJ15" i="15"/>
  <c r="CJ16" i="15"/>
  <c r="CJ17" i="15"/>
  <c r="CJ18" i="15"/>
  <c r="P28" i="30"/>
  <c r="CJ19" i="15"/>
  <c r="CJ20" i="15"/>
  <c r="CJ21" i="15"/>
  <c r="CJ22" i="15"/>
  <c r="CJ23" i="15"/>
  <c r="CJ24" i="15"/>
  <c r="CJ25" i="15"/>
  <c r="CJ26" i="15"/>
  <c r="CJ27" i="15"/>
  <c r="CJ28" i="15"/>
  <c r="CJ29" i="15"/>
  <c r="CJ30" i="15"/>
  <c r="CJ31" i="15"/>
  <c r="CJ32" i="15"/>
  <c r="CJ33" i="15"/>
  <c r="CJ34" i="15"/>
  <c r="CJ35" i="15"/>
  <c r="CJ36" i="15"/>
  <c r="CJ37" i="15"/>
  <c r="CJ38" i="15"/>
  <c r="CJ39" i="15"/>
  <c r="CJ40" i="15"/>
  <c r="CJ41" i="15"/>
  <c r="CJ42" i="15"/>
  <c r="CJ43" i="15"/>
  <c r="CJ44" i="15"/>
  <c r="CJ45" i="15"/>
  <c r="CJ46" i="15"/>
  <c r="CJ47" i="15"/>
  <c r="CJ48" i="15"/>
  <c r="CJ49" i="15"/>
  <c r="CJ50" i="15"/>
  <c r="CJ51" i="15"/>
  <c r="CJ52" i="15"/>
  <c r="CJ53" i="15"/>
  <c r="CJ54" i="15"/>
  <c r="CJ55" i="15"/>
  <c r="CJ56" i="15"/>
  <c r="CJ57" i="15"/>
  <c r="CJ58" i="15"/>
  <c r="CJ59" i="15"/>
  <c r="CJ60" i="15"/>
  <c r="CJ61" i="15"/>
  <c r="CJ62" i="15"/>
  <c r="CJ63" i="15"/>
  <c r="CJ65" i="15"/>
  <c r="CJ66" i="15"/>
  <c r="CJ67" i="15"/>
  <c r="CJ72" i="15"/>
  <c r="P34" i="29"/>
  <c r="CJ68" i="15"/>
  <c r="CJ69" i="15"/>
  <c r="CJ70" i="15"/>
  <c r="CJ71" i="15"/>
  <c r="CJ73" i="15"/>
  <c r="CJ74" i="15"/>
  <c r="CJ75" i="15"/>
  <c r="CJ76" i="15"/>
  <c r="CJ77" i="15"/>
  <c r="CJ78" i="15"/>
  <c r="CJ79" i="15"/>
  <c r="CJ80" i="15"/>
  <c r="CJ81" i="15"/>
  <c r="CJ82" i="15"/>
  <c r="CJ83" i="15"/>
  <c r="CJ84" i="15"/>
  <c r="CJ85" i="15"/>
  <c r="CJ86" i="15"/>
  <c r="CJ87" i="15"/>
  <c r="CJ88" i="15"/>
  <c r="CJ89" i="15"/>
  <c r="CJ90" i="15"/>
  <c r="CJ91" i="15"/>
  <c r="CJ92" i="15"/>
  <c r="CJ93" i="15"/>
  <c r="CJ94" i="15"/>
  <c r="CJ95" i="15"/>
  <c r="CJ96" i="15"/>
  <c r="CJ97" i="15"/>
  <c r="CJ98" i="15"/>
  <c r="P30" i="30"/>
  <c r="BL10" i="15"/>
  <c r="BL11" i="15"/>
  <c r="BL12" i="15"/>
  <c r="BL13" i="15"/>
  <c r="BL14" i="15"/>
  <c r="BL15" i="15"/>
  <c r="BL16" i="15"/>
  <c r="BL17" i="15"/>
  <c r="BL18" i="15"/>
  <c r="BL19" i="15"/>
  <c r="BL20" i="15"/>
  <c r="BL21" i="15"/>
  <c r="BL22" i="15"/>
  <c r="BL23" i="15"/>
  <c r="BL24" i="15"/>
  <c r="BL25" i="15"/>
  <c r="BL26" i="15"/>
  <c r="BL27" i="15"/>
  <c r="BL28" i="15"/>
  <c r="BL29" i="15"/>
  <c r="BL30" i="15"/>
  <c r="BL31" i="15"/>
  <c r="BL32" i="15"/>
  <c r="BL33" i="15"/>
  <c r="BL34" i="15"/>
  <c r="BL35" i="15"/>
  <c r="BL36" i="15"/>
  <c r="BL37" i="15"/>
  <c r="BL38" i="15"/>
  <c r="BL39" i="15"/>
  <c r="BL40" i="15"/>
  <c r="BL41" i="15"/>
  <c r="BL42" i="15"/>
  <c r="BL43" i="15"/>
  <c r="BL44" i="15"/>
  <c r="BL45" i="15"/>
  <c r="BL46" i="15"/>
  <c r="BL47" i="15"/>
  <c r="BL48" i="15"/>
  <c r="BL49" i="15"/>
  <c r="BL50" i="15"/>
  <c r="BL51" i="15"/>
  <c r="BL52" i="15"/>
  <c r="BL53" i="15"/>
  <c r="BL54" i="15"/>
  <c r="BL55" i="15"/>
  <c r="BL56" i="15"/>
  <c r="BL57" i="15"/>
  <c r="BL58" i="15"/>
  <c r="BL59" i="15"/>
  <c r="BL60" i="15"/>
  <c r="BL61" i="15"/>
  <c r="BL62" i="15"/>
  <c r="BL63" i="15"/>
  <c r="BL65" i="15"/>
  <c r="BL66" i="15"/>
  <c r="BL67" i="15"/>
  <c r="BL68" i="15"/>
  <c r="BL69" i="15"/>
  <c r="BL70" i="15"/>
  <c r="BL71" i="15"/>
  <c r="BL72" i="15"/>
  <c r="BL73" i="15"/>
  <c r="BL74" i="15"/>
  <c r="BL75" i="15"/>
  <c r="BL76" i="15"/>
  <c r="BL77" i="15"/>
  <c r="BL78" i="15"/>
  <c r="BL79" i="15"/>
  <c r="BL80" i="15"/>
  <c r="BL81" i="15"/>
  <c r="BL82" i="15"/>
  <c r="BL83" i="15"/>
  <c r="BL84" i="15"/>
  <c r="BL85" i="15"/>
  <c r="BL86" i="15"/>
  <c r="BL87" i="15"/>
  <c r="BL88" i="15"/>
  <c r="BL89" i="15"/>
  <c r="BL90" i="15"/>
  <c r="BL91" i="15"/>
  <c r="BL92" i="15"/>
  <c r="BL93" i="15"/>
  <c r="BL94" i="15"/>
  <c r="BL95" i="15"/>
  <c r="BL96" i="15"/>
  <c r="BL97" i="15"/>
  <c r="BL98" i="15"/>
  <c r="BM99" i="15"/>
  <c r="P23" i="29"/>
  <c r="P99" i="15"/>
  <c r="CK98" i="15"/>
  <c r="CK97" i="15"/>
  <c r="CK96" i="15"/>
  <c r="CK95" i="15"/>
  <c r="CK94" i="15"/>
  <c r="CK93" i="15"/>
  <c r="CK92" i="15"/>
  <c r="CK91" i="15"/>
  <c r="CK90" i="15"/>
  <c r="CK89" i="15"/>
  <c r="CK88" i="15"/>
  <c r="CK87" i="15"/>
  <c r="CK86" i="15"/>
  <c r="CK85" i="15"/>
  <c r="CK84" i="15"/>
  <c r="CK83" i="15"/>
  <c r="CK82" i="15"/>
  <c r="CK81" i="15"/>
  <c r="CK80" i="15"/>
  <c r="CK79" i="15"/>
  <c r="CK78" i="15"/>
  <c r="CK77" i="15"/>
  <c r="CK76" i="15"/>
  <c r="CK75" i="15"/>
  <c r="CK74" i="15"/>
  <c r="CK73" i="15"/>
  <c r="CK72" i="15"/>
  <c r="CK71" i="15"/>
  <c r="CK70" i="15"/>
  <c r="CK69" i="15"/>
  <c r="CK68" i="15"/>
  <c r="CK67" i="15"/>
  <c r="CK66" i="15"/>
  <c r="CK65" i="15"/>
  <c r="CK63" i="15"/>
  <c r="CK62" i="15"/>
  <c r="CK61" i="15"/>
  <c r="CK60" i="15"/>
  <c r="CK59" i="15"/>
  <c r="CK58" i="15"/>
  <c r="CK57" i="15"/>
  <c r="CK56" i="15"/>
  <c r="CK55" i="15"/>
  <c r="CK54" i="15"/>
  <c r="CK53" i="15"/>
  <c r="CK52" i="15"/>
  <c r="CK51" i="15"/>
  <c r="CK50" i="15"/>
  <c r="CK49" i="15"/>
  <c r="CK48" i="15"/>
  <c r="CK47" i="15"/>
  <c r="CK46" i="15"/>
  <c r="CK45" i="15"/>
  <c r="CK44" i="15"/>
  <c r="CK43" i="15"/>
  <c r="CK42" i="15"/>
  <c r="CK41" i="15"/>
  <c r="CK40" i="15"/>
  <c r="CK39" i="15"/>
  <c r="CK38" i="15"/>
  <c r="CK37" i="15"/>
  <c r="CK36" i="15"/>
  <c r="CK35" i="15"/>
  <c r="CK34" i="15"/>
  <c r="CK33" i="15"/>
  <c r="CK32" i="15"/>
  <c r="CK31" i="15"/>
  <c r="CK30" i="15"/>
  <c r="CK29" i="15"/>
  <c r="CK28" i="15"/>
  <c r="CK27" i="15"/>
  <c r="CK26" i="15"/>
  <c r="CK25" i="15"/>
  <c r="CK24" i="15"/>
  <c r="CK23" i="15"/>
  <c r="CK22" i="15"/>
  <c r="CK21" i="15"/>
  <c r="CK20" i="15"/>
  <c r="CK19" i="15"/>
  <c r="CK18" i="15"/>
  <c r="CK17" i="15"/>
  <c r="CK16" i="15"/>
  <c r="CK15" i="15"/>
  <c r="Q30" i="30"/>
  <c r="CK14" i="15"/>
  <c r="CK13" i="15"/>
  <c r="CK12" i="15"/>
  <c r="CK11" i="15"/>
  <c r="CK10" i="15"/>
  <c r="BM98" i="15"/>
  <c r="BM97" i="15"/>
  <c r="BM96" i="15"/>
  <c r="BM95" i="15"/>
  <c r="BM94" i="15"/>
  <c r="BM93" i="15"/>
  <c r="BM92" i="15"/>
  <c r="BM91" i="15"/>
  <c r="BM90" i="15"/>
  <c r="BM89" i="15"/>
  <c r="BM88" i="15"/>
  <c r="BM87" i="15"/>
  <c r="BM86" i="15"/>
  <c r="BM85" i="15"/>
  <c r="BM84" i="15"/>
  <c r="BM83" i="15"/>
  <c r="BM82" i="15"/>
  <c r="BM81" i="15"/>
  <c r="BM80" i="15"/>
  <c r="BM79" i="15"/>
  <c r="BM78" i="15"/>
  <c r="BM77" i="15"/>
  <c r="BM76" i="15"/>
  <c r="BM75" i="15"/>
  <c r="BM74" i="15"/>
  <c r="BM73" i="15"/>
  <c r="BM72" i="15"/>
  <c r="BM71" i="15"/>
  <c r="BM70" i="15"/>
  <c r="BM69" i="15"/>
  <c r="BM68" i="15"/>
  <c r="BM67" i="15"/>
  <c r="BM66" i="15"/>
  <c r="BM65" i="15"/>
  <c r="BM63" i="15"/>
  <c r="BM62" i="15"/>
  <c r="BM61" i="15"/>
  <c r="BM60" i="15"/>
  <c r="BM59" i="15"/>
  <c r="BM58" i="15"/>
  <c r="BM57" i="15"/>
  <c r="BM56" i="15"/>
  <c r="BM55" i="15"/>
  <c r="BM54" i="15"/>
  <c r="BM53" i="15"/>
  <c r="BM52" i="15"/>
  <c r="BM51" i="15"/>
  <c r="BM50" i="15"/>
  <c r="BM49" i="15"/>
  <c r="BM48" i="15"/>
  <c r="BM47" i="15"/>
  <c r="BM46" i="15"/>
  <c r="BM45" i="15"/>
  <c r="BM44" i="15"/>
  <c r="BM43" i="15"/>
  <c r="BM42" i="15"/>
  <c r="BM41" i="15"/>
  <c r="BM40" i="15"/>
  <c r="BM39" i="15"/>
  <c r="BM38" i="15"/>
  <c r="BM37" i="15"/>
  <c r="BM36" i="15"/>
  <c r="BM35" i="15"/>
  <c r="BM34" i="15"/>
  <c r="BM33" i="15"/>
  <c r="BM32" i="15"/>
  <c r="BM31" i="15"/>
  <c r="BM30" i="15"/>
  <c r="BM29" i="15"/>
  <c r="BM28" i="15"/>
  <c r="BM27" i="15"/>
  <c r="BM26" i="15"/>
  <c r="BM25" i="15"/>
  <c r="BM24" i="15"/>
  <c r="BM23" i="15"/>
  <c r="BM22" i="15"/>
  <c r="BM21" i="15"/>
  <c r="BM20" i="15"/>
  <c r="BM19" i="15"/>
  <c r="BM18" i="15"/>
  <c r="BM17" i="15"/>
  <c r="BM16" i="15"/>
  <c r="BM15" i="15"/>
  <c r="BM14" i="15"/>
  <c r="BM13" i="15"/>
  <c r="BM12" i="15"/>
  <c r="BM11" i="15"/>
  <c r="BM10" i="15"/>
  <c r="BN99" i="15"/>
  <c r="Q99" i="15"/>
  <c r="CL99" i="15"/>
  <c r="Q28" i="30"/>
  <c r="Q34" i="29"/>
  <c r="Q23" i="29"/>
  <c r="A31" i="29"/>
  <c r="A59" i="35"/>
  <c r="A41" i="35"/>
  <c r="A37" i="35"/>
  <c r="A36" i="35"/>
  <c r="A34" i="35"/>
  <c r="A30" i="35"/>
  <c r="A29" i="35"/>
  <c r="A27" i="35"/>
  <c r="A23" i="35"/>
  <c r="A22" i="35"/>
  <c r="A20" i="35"/>
  <c r="A17" i="35"/>
  <c r="A15" i="35"/>
  <c r="A12" i="35"/>
  <c r="A10" i="35"/>
  <c r="A25" i="30"/>
  <c r="A18" i="35"/>
  <c r="A33" i="30"/>
  <c r="A70" i="35"/>
  <c r="A50" i="35"/>
  <c r="A31" i="35"/>
  <c r="A10" i="29"/>
  <c r="A20" i="29"/>
  <c r="A10" i="30"/>
  <c r="A17" i="30"/>
  <c r="A30" i="30"/>
  <c r="A28" i="30"/>
  <c r="A12" i="30"/>
  <c r="A14" i="30"/>
  <c r="A21" i="30"/>
  <c r="A19" i="30"/>
  <c r="A37" i="29"/>
  <c r="A26" i="29"/>
  <c r="A15" i="29"/>
  <c r="HU65" i="22"/>
  <c r="HU43" i="22"/>
  <c r="HU23" i="22"/>
  <c r="A39" i="35"/>
  <c r="A32" i="35"/>
  <c r="A38" i="35"/>
  <c r="A25" i="35"/>
  <c r="A24" i="35"/>
  <c r="N9" i="33"/>
  <c r="M9" i="33"/>
  <c r="N44" i="35"/>
  <c r="L9" i="33"/>
  <c r="K9" i="33"/>
  <c r="L57" i="35"/>
  <c r="J9" i="33"/>
  <c r="K43" i="35"/>
  <c r="I9" i="33"/>
  <c r="J43" i="35"/>
  <c r="H9" i="33"/>
  <c r="I39" i="35"/>
  <c r="G9" i="33"/>
  <c r="H45" i="35"/>
  <c r="F9" i="33"/>
  <c r="E9" i="33"/>
  <c r="F43" i="35"/>
  <c r="D9" i="33"/>
  <c r="C9" i="33"/>
  <c r="D45" i="35"/>
  <c r="B9" i="33"/>
  <c r="I56" i="35"/>
  <c r="I52" i="35"/>
  <c r="I46" i="35"/>
  <c r="I32" i="35"/>
  <c r="I25" i="35"/>
  <c r="I22" i="35"/>
  <c r="I57" i="35"/>
  <c r="I53" i="35"/>
  <c r="I43" i="35"/>
  <c r="I36" i="35"/>
  <c r="I29" i="35"/>
  <c r="I54" i="35"/>
  <c r="I44" i="35"/>
  <c r="I30" i="35"/>
  <c r="I55" i="35"/>
  <c r="I45" i="35"/>
  <c r="I31" i="35"/>
  <c r="I37" i="35"/>
  <c r="I38" i="35"/>
  <c r="I47" i="35"/>
  <c r="I23" i="35"/>
  <c r="I48" i="35"/>
  <c r="I24" i="35"/>
  <c r="M32" i="35"/>
  <c r="M43" i="35"/>
  <c r="M36" i="35"/>
  <c r="M29" i="35"/>
  <c r="M47" i="35"/>
  <c r="M48" i="35"/>
  <c r="M24" i="35"/>
  <c r="M45" i="35"/>
  <c r="M30" i="35"/>
  <c r="M55" i="35"/>
  <c r="M31" i="35"/>
  <c r="M53" i="35"/>
  <c r="M46" i="35"/>
  <c r="M39" i="35"/>
  <c r="M57" i="35"/>
  <c r="M25" i="35"/>
  <c r="M23" i="35"/>
  <c r="C54" i="35"/>
  <c r="C47" i="35"/>
  <c r="C44" i="35"/>
  <c r="C37" i="35"/>
  <c r="C30" i="35"/>
  <c r="C23" i="35"/>
  <c r="C55" i="35"/>
  <c r="C48" i="35"/>
  <c r="C45" i="35"/>
  <c r="C38" i="35"/>
  <c r="C31" i="35"/>
  <c r="C24" i="35"/>
  <c r="C56" i="35"/>
  <c r="C46" i="35"/>
  <c r="C32" i="35"/>
  <c r="C22" i="35"/>
  <c r="C57" i="35"/>
  <c r="C36" i="35"/>
  <c r="C52" i="35"/>
  <c r="C25" i="35"/>
  <c r="C53" i="35"/>
  <c r="C29" i="35"/>
  <c r="C39" i="35"/>
  <c r="C43" i="35"/>
  <c r="G54" i="35"/>
  <c r="G47" i="35"/>
  <c r="G44" i="35"/>
  <c r="G37" i="35"/>
  <c r="G30" i="35"/>
  <c r="G23" i="35"/>
  <c r="G55" i="35"/>
  <c r="G48" i="35"/>
  <c r="G45" i="35"/>
  <c r="G38" i="35"/>
  <c r="G31" i="35"/>
  <c r="G24" i="35"/>
  <c r="G52" i="35"/>
  <c r="G39" i="35"/>
  <c r="G25" i="35"/>
  <c r="G53" i="35"/>
  <c r="G43" i="35"/>
  <c r="G29" i="35"/>
  <c r="G56" i="35"/>
  <c r="G32" i="35"/>
  <c r="G57" i="35"/>
  <c r="G36" i="35"/>
  <c r="G46" i="35"/>
  <c r="G22" i="35"/>
  <c r="K30" i="35"/>
  <c r="K23" i="35"/>
  <c r="K55" i="35"/>
  <c r="K38" i="35"/>
  <c r="K31" i="35"/>
  <c r="K24" i="35"/>
  <c r="K56" i="35"/>
  <c r="K32" i="35"/>
  <c r="K57" i="35"/>
  <c r="K39" i="35"/>
  <c r="K52" i="35"/>
  <c r="K25" i="35"/>
  <c r="K53" i="35"/>
  <c r="K29" i="35"/>
  <c r="K54" i="35"/>
  <c r="O44" i="35"/>
  <c r="O37" i="35"/>
  <c r="O30" i="35"/>
  <c r="O48" i="35"/>
  <c r="O45" i="35"/>
  <c r="O31" i="35"/>
  <c r="O29" i="35"/>
  <c r="O22" i="35"/>
  <c r="O56" i="35"/>
  <c r="O32" i="35"/>
  <c r="O57" i="35"/>
  <c r="O52" i="35"/>
  <c r="O53" i="35"/>
  <c r="O38" i="35"/>
  <c r="O54" i="35"/>
  <c r="O39" i="35"/>
  <c r="O46" i="35"/>
  <c r="O23" i="35"/>
  <c r="O25" i="35"/>
  <c r="O76" i="35"/>
  <c r="O64" i="35"/>
  <c r="O75" i="35"/>
  <c r="O63" i="35"/>
  <c r="O66" i="35"/>
  <c r="O74" i="35"/>
  <c r="O65" i="35"/>
  <c r="O62" i="35"/>
  <c r="O68" i="35"/>
  <c r="O79" i="35"/>
  <c r="O78" i="35"/>
  <c r="O77" i="35"/>
  <c r="O67" i="35"/>
  <c r="O73" i="35"/>
  <c r="E56" i="35"/>
  <c r="E52" i="35"/>
  <c r="E46" i="35"/>
  <c r="E39" i="35"/>
  <c r="E32" i="35"/>
  <c r="E25" i="35"/>
  <c r="E22" i="35"/>
  <c r="E57" i="35"/>
  <c r="E53" i="35"/>
  <c r="E43" i="35"/>
  <c r="E36" i="35"/>
  <c r="E29" i="35"/>
  <c r="E47" i="35"/>
  <c r="E37" i="35"/>
  <c r="E23" i="35"/>
  <c r="E48" i="35"/>
  <c r="E38" i="35"/>
  <c r="E24" i="35"/>
  <c r="E54" i="35"/>
  <c r="E30" i="35"/>
  <c r="E55" i="35"/>
  <c r="E31" i="35"/>
  <c r="E44" i="35"/>
  <c r="E45" i="35"/>
  <c r="F53" i="35"/>
  <c r="F36" i="35"/>
  <c r="F54" i="35"/>
  <c r="F44" i="35"/>
  <c r="F30" i="35"/>
  <c r="F48" i="35"/>
  <c r="F24" i="35"/>
  <c r="F39" i="35"/>
  <c r="F55" i="35"/>
  <c r="F56" i="35"/>
  <c r="F45" i="35"/>
  <c r="F22" i="35"/>
  <c r="J53" i="35"/>
  <c r="J36" i="35"/>
  <c r="J54" i="35"/>
  <c r="J44" i="35"/>
  <c r="J30" i="35"/>
  <c r="J55" i="35"/>
  <c r="J31" i="35"/>
  <c r="J46" i="35"/>
  <c r="J22" i="35"/>
  <c r="J48" i="35"/>
  <c r="J52" i="35"/>
  <c r="J39" i="35"/>
  <c r="N54" i="35"/>
  <c r="N37" i="35"/>
  <c r="N48" i="35"/>
  <c r="N39" i="35"/>
  <c r="N55" i="35"/>
  <c r="N56" i="35"/>
  <c r="N46" i="35"/>
  <c r="N52" i="35"/>
  <c r="N57" i="35"/>
  <c r="N43" i="35"/>
  <c r="N53" i="35"/>
  <c r="N23" i="35"/>
  <c r="D48" i="35"/>
  <c r="D24" i="35"/>
  <c r="D39" i="35"/>
  <c r="D57" i="35"/>
  <c r="D23" i="35"/>
  <c r="D30" i="35"/>
  <c r="H48" i="35"/>
  <c r="H24" i="35"/>
  <c r="H39" i="35"/>
  <c r="H53" i="35"/>
  <c r="H44" i="35"/>
  <c r="H47" i="35"/>
  <c r="L32" i="35"/>
  <c r="L43" i="35"/>
  <c r="L30" i="35"/>
  <c r="L39" i="35"/>
  <c r="A80" i="31"/>
  <c r="A62" i="31"/>
  <c r="A59" i="31"/>
  <c r="A57" i="31"/>
  <c r="A53" i="31"/>
  <c r="A52" i="31"/>
  <c r="CI203" i="22"/>
  <c r="CE203" i="22"/>
  <c r="CD203" i="22"/>
  <c r="CC203" i="22"/>
  <c r="CA203" i="22"/>
  <c r="BZ203" i="22"/>
  <c r="BY203" i="22"/>
  <c r="BX203" i="22"/>
  <c r="BW203" i="22"/>
  <c r="CG202" i="22"/>
  <c r="CF202" i="22"/>
  <c r="CE202" i="22"/>
  <c r="CD202" i="22"/>
  <c r="CC202" i="22"/>
  <c r="CB202" i="22"/>
  <c r="CA202" i="22"/>
  <c r="BZ202" i="22"/>
  <c r="BY202" i="22"/>
  <c r="BX202" i="22"/>
  <c r="BW202" i="22"/>
  <c r="CE201" i="22"/>
  <c r="CD201" i="22"/>
  <c r="CC201" i="22"/>
  <c r="CB201" i="22"/>
  <c r="CA201" i="22"/>
  <c r="BZ201" i="22"/>
  <c r="BY201" i="22"/>
  <c r="BX201" i="22"/>
  <c r="BW201" i="22"/>
  <c r="CG200" i="22"/>
  <c r="CF200" i="22"/>
  <c r="CE200" i="22"/>
  <c r="CD200" i="22"/>
  <c r="CC200" i="22"/>
  <c r="CB200" i="22"/>
  <c r="CA200" i="22"/>
  <c r="BZ200" i="22"/>
  <c r="BY200" i="22"/>
  <c r="BX200" i="22"/>
  <c r="BW200" i="22"/>
  <c r="CI199" i="22"/>
  <c r="CH199" i="22"/>
  <c r="CE199" i="22"/>
  <c r="CD199" i="22"/>
  <c r="CC199" i="22"/>
  <c r="CB199" i="22"/>
  <c r="CA199" i="22"/>
  <c r="BZ199" i="22"/>
  <c r="BY199" i="22"/>
  <c r="BX199" i="22"/>
  <c r="BW199" i="22"/>
  <c r="CF198" i="22"/>
  <c r="CE198" i="22"/>
  <c r="CD198" i="22"/>
  <c r="CC198" i="22"/>
  <c r="CB198" i="22"/>
  <c r="CA198" i="22"/>
  <c r="BZ198" i="22"/>
  <c r="BY198" i="22"/>
  <c r="BX198" i="22"/>
  <c r="BW198" i="22"/>
  <c r="CF197" i="22"/>
  <c r="CE197" i="22"/>
  <c r="CD197" i="22"/>
  <c r="CC197" i="22"/>
  <c r="CB197" i="22"/>
  <c r="CA197" i="22"/>
  <c r="BZ197" i="22"/>
  <c r="BY197" i="22"/>
  <c r="BX197" i="22"/>
  <c r="BW197" i="22"/>
  <c r="CI196" i="22"/>
  <c r="CF196" i="22"/>
  <c r="CE196" i="22"/>
  <c r="CD196" i="22"/>
  <c r="CC196" i="22"/>
  <c r="CB196" i="22"/>
  <c r="CA196" i="22"/>
  <c r="BZ196" i="22"/>
  <c r="BY196" i="22"/>
  <c r="BX196" i="22"/>
  <c r="BW196" i="22"/>
  <c r="CG195" i="22"/>
  <c r="CF195" i="22"/>
  <c r="CE195" i="22"/>
  <c r="CD195" i="22"/>
  <c r="CC195" i="22"/>
  <c r="CB195" i="22"/>
  <c r="CA195" i="22"/>
  <c r="BZ195" i="22"/>
  <c r="BY195" i="22"/>
  <c r="BX195" i="22"/>
  <c r="BW195" i="22"/>
  <c r="CI194" i="22"/>
  <c r="CH194" i="22"/>
  <c r="CG194" i="22"/>
  <c r="CF194" i="22"/>
  <c r="CE194" i="22"/>
  <c r="CD194" i="22"/>
  <c r="CC194" i="22"/>
  <c r="CB194" i="22"/>
  <c r="CA194" i="22"/>
  <c r="BZ194" i="22"/>
  <c r="BY194" i="22"/>
  <c r="BX194" i="22"/>
  <c r="BW194" i="22"/>
  <c r="CE193" i="22"/>
  <c r="CD193" i="22"/>
  <c r="CC193" i="22"/>
  <c r="CB193" i="22"/>
  <c r="CA193" i="22"/>
  <c r="BZ193" i="22"/>
  <c r="BY193" i="22"/>
  <c r="BX193" i="22"/>
  <c r="BW193" i="22"/>
  <c r="CI192" i="22"/>
  <c r="CH192" i="22"/>
  <c r="CE192" i="22"/>
  <c r="CD192" i="22"/>
  <c r="CC192" i="22"/>
  <c r="CB192" i="22"/>
  <c r="CA192" i="22"/>
  <c r="BZ192" i="22"/>
  <c r="BY192" i="22"/>
  <c r="BX192" i="22"/>
  <c r="BW192" i="22"/>
  <c r="CG191" i="22"/>
  <c r="CF191" i="22"/>
  <c r="CE191" i="22"/>
  <c r="CD191" i="22"/>
  <c r="CC191" i="22"/>
  <c r="CB191" i="22"/>
  <c r="CA191" i="22"/>
  <c r="BZ191" i="22"/>
  <c r="BY191" i="22"/>
  <c r="BX191" i="22"/>
  <c r="BW191" i="22"/>
  <c r="CI190" i="22"/>
  <c r="CH190" i="22"/>
  <c r="CG190" i="22"/>
  <c r="CF190" i="22"/>
  <c r="CE190" i="22"/>
  <c r="CD190" i="22"/>
  <c r="CC190" i="22"/>
  <c r="CB190" i="22"/>
  <c r="CA190" i="22"/>
  <c r="BZ190" i="22"/>
  <c r="BY190" i="22"/>
  <c r="BX190" i="22"/>
  <c r="BW190" i="22"/>
  <c r="CH189" i="22"/>
  <c r="CE189" i="22"/>
  <c r="CD189" i="22"/>
  <c r="CC189" i="22"/>
  <c r="CB189" i="22"/>
  <c r="CA189" i="22"/>
  <c r="BZ189" i="22"/>
  <c r="BY189" i="22"/>
  <c r="BX189" i="22"/>
  <c r="BW189" i="22"/>
  <c r="CI188" i="22"/>
  <c r="CE188" i="22"/>
  <c r="CD188" i="22"/>
  <c r="CC188" i="22"/>
  <c r="CB188" i="22"/>
  <c r="CA188" i="22"/>
  <c r="BZ188" i="22"/>
  <c r="BY188" i="22"/>
  <c r="BX188" i="22"/>
  <c r="BW188" i="22"/>
  <c r="CF187" i="22"/>
  <c r="CE187" i="22"/>
  <c r="CD187" i="22"/>
  <c r="CC187" i="22"/>
  <c r="CB187" i="22"/>
  <c r="CA187" i="22"/>
  <c r="BZ187" i="22"/>
  <c r="BY187" i="22"/>
  <c r="BX187" i="22"/>
  <c r="BW187" i="22"/>
  <c r="CI186" i="22"/>
  <c r="CH186" i="22"/>
  <c r="CG186" i="22"/>
  <c r="CF186" i="22"/>
  <c r="CE186" i="22"/>
  <c r="CD186" i="22"/>
  <c r="CC186" i="22"/>
  <c r="CB186" i="22"/>
  <c r="CA186" i="22"/>
  <c r="BZ186" i="22"/>
  <c r="BY186" i="22"/>
  <c r="BX186" i="22"/>
  <c r="BW186" i="22"/>
  <c r="BZ185" i="22"/>
  <c r="CI184" i="22"/>
  <c r="CE184" i="22"/>
  <c r="CD184" i="22"/>
  <c r="CC184" i="22"/>
  <c r="CB184" i="22"/>
  <c r="CF183" i="22"/>
  <c r="CE183" i="22"/>
  <c r="CD183" i="22"/>
  <c r="CC183" i="22"/>
  <c r="CB183" i="22"/>
  <c r="CA183" i="22"/>
  <c r="BZ183" i="22"/>
  <c r="BY183" i="22"/>
  <c r="BX183" i="22"/>
  <c r="BW183" i="22"/>
  <c r="CE182" i="22"/>
  <c r="CD182" i="22"/>
  <c r="CC182" i="22"/>
  <c r="CB182" i="22"/>
  <c r="CA182" i="22"/>
  <c r="BZ182" i="22"/>
  <c r="BY182" i="22"/>
  <c r="BX182" i="22"/>
  <c r="BW182" i="22"/>
  <c r="CI181" i="22"/>
  <c r="CH181" i="22"/>
  <c r="CG181" i="22"/>
  <c r="CF181" i="22"/>
  <c r="CE181" i="22"/>
  <c r="CD181" i="22"/>
  <c r="CC181" i="22"/>
  <c r="CB181" i="22"/>
  <c r="CA181" i="22"/>
  <c r="BZ181" i="22"/>
  <c r="BY181" i="22"/>
  <c r="BX181" i="22"/>
  <c r="BW181" i="22"/>
  <c r="CH180" i="22"/>
  <c r="CG180" i="22"/>
  <c r="CF180" i="22"/>
  <c r="CE180" i="22"/>
  <c r="CD180" i="22"/>
  <c r="CC180" i="22"/>
  <c r="CB180" i="22"/>
  <c r="CA180" i="22"/>
  <c r="BZ180" i="22"/>
  <c r="BY180" i="22"/>
  <c r="BX180" i="22"/>
  <c r="BW180" i="22"/>
  <c r="CI179" i="22"/>
  <c r="CD179" i="22"/>
  <c r="CC179" i="22"/>
  <c r="CB179" i="22"/>
  <c r="CA179" i="22"/>
  <c r="BZ179" i="22"/>
  <c r="BY179" i="22"/>
  <c r="BX179" i="22"/>
  <c r="BW179" i="22"/>
  <c r="CI177" i="22"/>
  <c r="CH177" i="22"/>
  <c r="CG177" i="22"/>
  <c r="CF177" i="22"/>
  <c r="CE177" i="22"/>
  <c r="CD177" i="22"/>
  <c r="CC177" i="22"/>
  <c r="CB177" i="22"/>
  <c r="CA177" i="22"/>
  <c r="BZ177" i="22"/>
  <c r="BY177" i="22"/>
  <c r="BX177" i="22"/>
  <c r="BW177" i="22"/>
  <c r="CH176" i="22"/>
  <c r="CG176" i="22"/>
  <c r="CD176" i="22"/>
  <c r="CC176" i="22"/>
  <c r="CB176" i="22"/>
  <c r="CA176" i="22"/>
  <c r="BZ176" i="22"/>
  <c r="BY176" i="22"/>
  <c r="BX176" i="22"/>
  <c r="BW176" i="22"/>
  <c r="CI175" i="22"/>
  <c r="CD175" i="22"/>
  <c r="CC175" i="22"/>
  <c r="CB175" i="22"/>
  <c r="CA175" i="22"/>
  <c r="BZ175" i="22"/>
  <c r="BY175" i="22"/>
  <c r="BX175" i="22"/>
  <c r="BW175" i="22"/>
  <c r="CG174" i="22"/>
  <c r="CE174" i="22"/>
  <c r="CD174" i="22"/>
  <c r="CC174" i="22"/>
  <c r="CB174" i="22"/>
  <c r="CA174" i="22"/>
  <c r="BZ174" i="22"/>
  <c r="BY174" i="22"/>
  <c r="BX174" i="22"/>
  <c r="BW174" i="22"/>
  <c r="CI173" i="22"/>
  <c r="CH173" i="22"/>
  <c r="CG173" i="22"/>
  <c r="CF173" i="22"/>
  <c r="CE173" i="22"/>
  <c r="CD173" i="22"/>
  <c r="CC173" i="22"/>
  <c r="CB173" i="22"/>
  <c r="CA173" i="22"/>
  <c r="BZ173" i="22"/>
  <c r="BY173" i="22"/>
  <c r="BX173" i="22"/>
  <c r="BW173" i="22"/>
  <c r="CH172" i="22"/>
  <c r="N28" i="29"/>
  <c r="CG172" i="22"/>
  <c r="M28" i="29"/>
  <c r="CD172" i="22"/>
  <c r="J28" i="29"/>
  <c r="CC172" i="22"/>
  <c r="I28" i="29"/>
  <c r="CB172" i="22"/>
  <c r="H28" i="29"/>
  <c r="CA172" i="22"/>
  <c r="G28" i="29"/>
  <c r="BZ172" i="22"/>
  <c r="F28" i="29"/>
  <c r="BY172" i="22"/>
  <c r="E28" i="29"/>
  <c r="BX172" i="22"/>
  <c r="D28" i="29"/>
  <c r="BW172" i="22"/>
  <c r="C28" i="29"/>
  <c r="CI171" i="22"/>
  <c r="CD171" i="22"/>
  <c r="CC171" i="22"/>
  <c r="CB171" i="22"/>
  <c r="CA171" i="22"/>
  <c r="BZ171" i="22"/>
  <c r="BY171" i="22"/>
  <c r="BX171" i="22"/>
  <c r="BW171" i="22"/>
  <c r="CG170" i="22"/>
  <c r="CE170" i="22"/>
  <c r="CD170" i="22"/>
  <c r="CC170" i="22"/>
  <c r="CB170" i="22"/>
  <c r="CA170" i="22"/>
  <c r="BZ170" i="22"/>
  <c r="BY170" i="22"/>
  <c r="BX170" i="22"/>
  <c r="BW170" i="22"/>
  <c r="CH168" i="22"/>
  <c r="CG168" i="22"/>
  <c r="CF168" i="22"/>
  <c r="CE168" i="22"/>
  <c r="CD168" i="22"/>
  <c r="CC168" i="22"/>
  <c r="CB168" i="22"/>
  <c r="CA168" i="22"/>
  <c r="BZ168" i="22"/>
  <c r="BY168" i="22"/>
  <c r="BX168" i="22"/>
  <c r="BW168" i="22"/>
  <c r="CI167" i="22"/>
  <c r="CD167" i="22"/>
  <c r="CC167" i="22"/>
  <c r="CB167" i="22"/>
  <c r="CA167" i="22"/>
  <c r="BZ167" i="22"/>
  <c r="BY167" i="22"/>
  <c r="BX167" i="22"/>
  <c r="BW167" i="22"/>
  <c r="CI166" i="22"/>
  <c r="CD166" i="22"/>
  <c r="CC166" i="22"/>
  <c r="CB166" i="22"/>
  <c r="CA166" i="22"/>
  <c r="BZ166" i="22"/>
  <c r="BY166" i="22"/>
  <c r="BX166" i="22"/>
  <c r="BW166" i="22"/>
  <c r="CF165" i="22"/>
  <c r="CE165" i="22"/>
  <c r="CD165" i="22"/>
  <c r="CC165" i="22"/>
  <c r="CB165" i="22"/>
  <c r="CA165" i="22"/>
  <c r="BZ165" i="22"/>
  <c r="BY165" i="22"/>
  <c r="BX165" i="22"/>
  <c r="BW165" i="22"/>
  <c r="CI164" i="22"/>
  <c r="CG164" i="22"/>
  <c r="CF164" i="22"/>
  <c r="CE164" i="22"/>
  <c r="CD164" i="22"/>
  <c r="CC164" i="22"/>
  <c r="CB164" i="22"/>
  <c r="CA164" i="22"/>
  <c r="BZ164" i="22"/>
  <c r="BY164" i="22"/>
  <c r="BX164" i="22"/>
  <c r="BW164" i="22"/>
  <c r="CD163" i="22"/>
  <c r="CC163" i="22"/>
  <c r="CB163" i="22"/>
  <c r="CA163" i="22"/>
  <c r="BZ163" i="22"/>
  <c r="BY163" i="22"/>
  <c r="BX163" i="22"/>
  <c r="BW163" i="22"/>
  <c r="CD162" i="22"/>
  <c r="CC162" i="22"/>
  <c r="CB162" i="22"/>
  <c r="CA162" i="22"/>
  <c r="BZ162" i="22"/>
  <c r="BY162" i="22"/>
  <c r="BX162" i="22"/>
  <c r="BW162" i="22"/>
  <c r="CI161" i="22"/>
  <c r="CH161" i="22"/>
  <c r="CE161" i="22"/>
  <c r="CD161" i="22"/>
  <c r="CC161" i="22"/>
  <c r="CB161" i="22"/>
  <c r="CA161" i="22"/>
  <c r="BZ161" i="22"/>
  <c r="BY161" i="22"/>
  <c r="BX161" i="22"/>
  <c r="BW161" i="22"/>
  <c r="CE160" i="22"/>
  <c r="CD160" i="22"/>
  <c r="CC160" i="22"/>
  <c r="CB160" i="22"/>
  <c r="CA160" i="22"/>
  <c r="BZ160" i="22"/>
  <c r="BY160" i="22"/>
  <c r="BX160" i="22"/>
  <c r="BW160" i="22"/>
  <c r="CI159" i="22"/>
  <c r="CH159" i="22"/>
  <c r="CG159" i="22"/>
  <c r="CF159" i="22"/>
  <c r="CE159" i="22"/>
  <c r="CD159" i="22"/>
  <c r="CC159" i="22"/>
  <c r="CB159" i="22"/>
  <c r="CA159" i="22"/>
  <c r="BZ159" i="22"/>
  <c r="BY159" i="22"/>
  <c r="BX159" i="22"/>
  <c r="BW159" i="22"/>
  <c r="CI158" i="22"/>
  <c r="CD158" i="22"/>
  <c r="CC158" i="22"/>
  <c r="CB158" i="22"/>
  <c r="CA158" i="22"/>
  <c r="BZ158" i="22"/>
  <c r="BY158" i="22"/>
  <c r="BX158" i="22"/>
  <c r="BW158" i="22"/>
  <c r="CG157" i="22"/>
  <c r="CF157" i="22"/>
  <c r="CD157" i="22"/>
  <c r="CC157" i="22"/>
  <c r="CB157" i="22"/>
  <c r="CA157" i="22"/>
  <c r="BZ157" i="22"/>
  <c r="BY157" i="22"/>
  <c r="BX157" i="22"/>
  <c r="BW157" i="22"/>
  <c r="CE156" i="22"/>
  <c r="CD156" i="22"/>
  <c r="CC156" i="22"/>
  <c r="CB156" i="22"/>
  <c r="CA156" i="22"/>
  <c r="BZ156" i="22"/>
  <c r="BY156" i="22"/>
  <c r="BX156" i="22"/>
  <c r="BW156" i="22"/>
  <c r="CI154" i="22"/>
  <c r="CD154" i="22"/>
  <c r="CC154" i="22"/>
  <c r="CB154" i="22"/>
  <c r="CA154" i="22"/>
  <c r="BZ154" i="22"/>
  <c r="BY154" i="22"/>
  <c r="BX154" i="22"/>
  <c r="BW154" i="22"/>
  <c r="CH153" i="22"/>
  <c r="CD153" i="22"/>
  <c r="CC153" i="22"/>
  <c r="CB153" i="22"/>
  <c r="CA153" i="22"/>
  <c r="BZ153" i="22"/>
  <c r="BY153" i="22"/>
  <c r="BX153" i="22"/>
  <c r="BW153" i="22"/>
  <c r="CE152" i="22"/>
  <c r="CD152" i="22"/>
  <c r="CC152" i="22"/>
  <c r="CB152" i="22"/>
  <c r="CA152" i="22"/>
  <c r="BZ152" i="22"/>
  <c r="BY152" i="22"/>
  <c r="BX152" i="22"/>
  <c r="BW152" i="22"/>
  <c r="CI151" i="22"/>
  <c r="CH151" i="22"/>
  <c r="CF151" i="22"/>
  <c r="CE151" i="22"/>
  <c r="CD151" i="22"/>
  <c r="CC151" i="22"/>
  <c r="CB151" i="22"/>
  <c r="CA151" i="22"/>
  <c r="BZ151" i="22"/>
  <c r="BY151" i="22"/>
  <c r="BX151" i="22"/>
  <c r="BW151" i="22"/>
  <c r="CI150" i="22"/>
  <c r="CD150" i="22"/>
  <c r="CC150" i="22"/>
  <c r="CB150" i="22"/>
  <c r="CA150" i="22"/>
  <c r="BZ150" i="22"/>
  <c r="BY150" i="22"/>
  <c r="BX150" i="22"/>
  <c r="BW150" i="22"/>
  <c r="CH149" i="22"/>
  <c r="CG149" i="22"/>
  <c r="CD149" i="22"/>
  <c r="CC149" i="22"/>
  <c r="CB149" i="22"/>
  <c r="CA149" i="22"/>
  <c r="BZ149" i="22"/>
  <c r="BY149" i="22"/>
  <c r="BX149" i="22"/>
  <c r="BW149" i="22"/>
  <c r="CE148" i="22"/>
  <c r="CD148" i="22"/>
  <c r="CC148" i="22"/>
  <c r="CB148" i="22"/>
  <c r="CA148" i="22"/>
  <c r="BZ148" i="22"/>
  <c r="BY148" i="22"/>
  <c r="BX148" i="22"/>
  <c r="BW148" i="22"/>
  <c r="CI147" i="22"/>
  <c r="CH147" i="22"/>
  <c r="CE147" i="22"/>
  <c r="CD147" i="22"/>
  <c r="CC147" i="22"/>
  <c r="CB147" i="22"/>
  <c r="CA147" i="22"/>
  <c r="BZ147" i="22"/>
  <c r="BY147" i="22"/>
  <c r="BX147" i="22"/>
  <c r="BW147" i="22"/>
  <c r="CI146" i="22"/>
  <c r="CD146" i="22"/>
  <c r="CC146" i="22"/>
  <c r="CB146" i="22"/>
  <c r="CA146" i="22"/>
  <c r="BZ146" i="22"/>
  <c r="BY146" i="22"/>
  <c r="BX146" i="22"/>
  <c r="BW146" i="22"/>
  <c r="CG145" i="22"/>
  <c r="CF145" i="22"/>
  <c r="CD145" i="22"/>
  <c r="CC145" i="22"/>
  <c r="CB145" i="22"/>
  <c r="CA145" i="22"/>
  <c r="BZ145" i="22"/>
  <c r="BY145" i="22"/>
  <c r="BX145" i="22"/>
  <c r="BW145" i="22"/>
  <c r="CE144" i="22"/>
  <c r="CD144" i="22"/>
  <c r="CC144" i="22"/>
  <c r="CB144" i="22"/>
  <c r="CA144" i="22"/>
  <c r="BZ144" i="22"/>
  <c r="BY144" i="22"/>
  <c r="BX144" i="22"/>
  <c r="BW144" i="22"/>
  <c r="CI143" i="22"/>
  <c r="CH143" i="22"/>
  <c r="CE143" i="22"/>
  <c r="CD143" i="22"/>
  <c r="CC143" i="22"/>
  <c r="CB143" i="22"/>
  <c r="CA143" i="22"/>
  <c r="BZ143" i="22"/>
  <c r="BY143" i="22"/>
  <c r="BX143" i="22"/>
  <c r="BW143" i="22"/>
  <c r="CI142" i="22"/>
  <c r="CD142" i="22"/>
  <c r="CC142" i="22"/>
  <c r="CB142" i="22"/>
  <c r="CA142" i="22"/>
  <c r="BZ142" i="22"/>
  <c r="BY142" i="22"/>
  <c r="BX142" i="22"/>
  <c r="BW142" i="22"/>
  <c r="CD141" i="22"/>
  <c r="CC141" i="22"/>
  <c r="CB141" i="22"/>
  <c r="CA141" i="22"/>
  <c r="BZ141" i="22"/>
  <c r="BY141" i="22"/>
  <c r="BX141" i="22"/>
  <c r="BW141" i="22"/>
  <c r="CE140" i="22"/>
  <c r="CD140" i="22"/>
  <c r="CC140" i="22"/>
  <c r="CB140" i="22"/>
  <c r="CA140" i="22"/>
  <c r="BZ140" i="22"/>
  <c r="BY140" i="22"/>
  <c r="CE139" i="22"/>
  <c r="CD139" i="22"/>
  <c r="CC139" i="22"/>
  <c r="CB139" i="22"/>
  <c r="CA139" i="22"/>
  <c r="BZ139" i="22"/>
  <c r="BY139" i="22"/>
  <c r="BX139" i="22"/>
  <c r="BW139" i="22"/>
  <c r="CI138" i="22"/>
  <c r="CH138" i="22"/>
  <c r="CE138" i="22"/>
  <c r="CD138" i="22"/>
  <c r="CC138" i="22"/>
  <c r="CB138" i="22"/>
  <c r="CA138" i="22"/>
  <c r="BZ138" i="22"/>
  <c r="BY138" i="22"/>
  <c r="BX138" i="22"/>
  <c r="BW138" i="22"/>
  <c r="CI137" i="22"/>
  <c r="CD137" i="22"/>
  <c r="CC137" i="22"/>
  <c r="CB137" i="22"/>
  <c r="CA137" i="22"/>
  <c r="BZ137" i="22"/>
  <c r="BY137" i="22"/>
  <c r="BX137" i="22"/>
  <c r="BW137" i="22"/>
  <c r="CG136" i="22"/>
  <c r="CF136" i="22"/>
  <c r="CE136" i="22"/>
  <c r="CD136" i="22"/>
  <c r="CC136" i="22"/>
  <c r="CB136" i="22"/>
  <c r="CA136" i="22"/>
  <c r="BZ136" i="22"/>
  <c r="BY136" i="22"/>
  <c r="BX136" i="22"/>
  <c r="BW136" i="22"/>
  <c r="CD135" i="22"/>
  <c r="CC135" i="22"/>
  <c r="CB135" i="22"/>
  <c r="CA135" i="22"/>
  <c r="BZ135" i="22"/>
  <c r="BY135" i="22"/>
  <c r="BX135" i="22"/>
  <c r="BW135" i="22"/>
  <c r="CI134" i="22"/>
  <c r="CH134" i="22"/>
  <c r="CE134" i="22"/>
  <c r="CD134" i="22"/>
  <c r="CC134" i="22"/>
  <c r="CB134" i="22"/>
  <c r="CA134" i="22"/>
  <c r="BZ134" i="22"/>
  <c r="BY134" i="22"/>
  <c r="BX134" i="22"/>
  <c r="BW134" i="22"/>
  <c r="CI133" i="22"/>
  <c r="CF133" i="22"/>
  <c r="CE133" i="22"/>
  <c r="CD133" i="22"/>
  <c r="CC133" i="22"/>
  <c r="CB133" i="22"/>
  <c r="CA133" i="22"/>
  <c r="BZ133" i="22"/>
  <c r="BY133" i="22"/>
  <c r="BX133" i="22"/>
  <c r="BW133" i="22"/>
  <c r="CI132" i="22"/>
  <c r="CH132" i="22"/>
  <c r="CD132" i="22"/>
  <c r="CC132" i="22"/>
  <c r="CB132" i="22"/>
  <c r="CA132" i="22"/>
  <c r="BZ132" i="22"/>
  <c r="BY132" i="22"/>
  <c r="BX132" i="22"/>
  <c r="BW132" i="22"/>
  <c r="CD131" i="22"/>
  <c r="CC131" i="22"/>
  <c r="CB131" i="22"/>
  <c r="CA131" i="22"/>
  <c r="BZ131" i="22"/>
  <c r="BY131" i="22"/>
  <c r="BX131" i="22"/>
  <c r="BW131" i="22"/>
  <c r="CI130" i="22"/>
  <c r="CH130" i="22"/>
  <c r="CE130" i="22"/>
  <c r="CD130" i="22"/>
  <c r="CC130" i="22"/>
  <c r="CB130" i="22"/>
  <c r="CA130" i="22"/>
  <c r="BZ130" i="22"/>
  <c r="BY130" i="22"/>
  <c r="BX130" i="22"/>
  <c r="BW130" i="22"/>
  <c r="CI129" i="22"/>
  <c r="CF129" i="22"/>
  <c r="CE129" i="22"/>
  <c r="CD129" i="22"/>
  <c r="CC129" i="22"/>
  <c r="CB129" i="22"/>
  <c r="CA129" i="22"/>
  <c r="BZ129" i="22"/>
  <c r="BY129" i="22"/>
  <c r="BX129" i="22"/>
  <c r="BW129" i="22"/>
  <c r="CH128" i="22"/>
  <c r="CG128" i="22"/>
  <c r="CD128" i="22"/>
  <c r="CC128" i="22"/>
  <c r="CB128" i="22"/>
  <c r="CA128" i="22"/>
  <c r="BZ128" i="22"/>
  <c r="BY128" i="22"/>
  <c r="BX128" i="22"/>
  <c r="BW128" i="22"/>
  <c r="CH127" i="22"/>
  <c r="CD127" i="22"/>
  <c r="CC127" i="22"/>
  <c r="CB127" i="22"/>
  <c r="CA127" i="22"/>
  <c r="BZ127" i="22"/>
  <c r="BY127" i="22"/>
  <c r="BX127" i="22"/>
  <c r="BW127" i="22"/>
  <c r="CI126" i="22"/>
  <c r="CH126" i="22"/>
  <c r="CE126" i="22"/>
  <c r="CD126" i="22"/>
  <c r="CC126" i="22"/>
  <c r="CB126" i="22"/>
  <c r="CA126" i="22"/>
  <c r="BZ126" i="22"/>
  <c r="BY126" i="22"/>
  <c r="BX126" i="22"/>
  <c r="BW126" i="22"/>
  <c r="CF125" i="22"/>
  <c r="CE125" i="22"/>
  <c r="CD125" i="22"/>
  <c r="CC125" i="22"/>
  <c r="CB125" i="22"/>
  <c r="CA125" i="22"/>
  <c r="BZ125" i="22"/>
  <c r="BY125" i="22"/>
  <c r="BX125" i="22"/>
  <c r="BW125" i="22"/>
  <c r="CI124" i="22"/>
  <c r="CH124" i="22"/>
  <c r="CG124" i="22"/>
  <c r="CD124" i="22"/>
  <c r="CC124" i="22"/>
  <c r="CB124" i="22"/>
  <c r="CA124" i="22"/>
  <c r="BZ124" i="22"/>
  <c r="BY124" i="22"/>
  <c r="BX124" i="22"/>
  <c r="BW124" i="22"/>
  <c r="CH123" i="22"/>
  <c r="CD123" i="22"/>
  <c r="CC123" i="22"/>
  <c r="CB123" i="22"/>
  <c r="CA123" i="22"/>
  <c r="BZ123" i="22"/>
  <c r="BY123" i="22"/>
  <c r="BX123" i="22"/>
  <c r="BW123" i="22"/>
  <c r="CI122" i="22"/>
  <c r="CH122" i="22"/>
  <c r="CE122" i="22"/>
  <c r="CD122" i="22"/>
  <c r="CC122" i="22"/>
  <c r="CB122" i="22"/>
  <c r="CA122" i="22"/>
  <c r="BZ122" i="22"/>
  <c r="BY122" i="22"/>
  <c r="BX122" i="22"/>
  <c r="BW122" i="22"/>
  <c r="CF120" i="22"/>
  <c r="CE120" i="22"/>
  <c r="CD120" i="22"/>
  <c r="CC120" i="22"/>
  <c r="CB120" i="22"/>
  <c r="CA120" i="22"/>
  <c r="BZ120" i="22"/>
  <c r="BY120" i="22"/>
  <c r="BX120" i="22"/>
  <c r="BW120" i="22"/>
  <c r="CI119" i="22"/>
  <c r="CH119" i="22"/>
  <c r="CG119" i="22"/>
  <c r="CD119" i="22"/>
  <c r="CC119" i="22"/>
  <c r="CB119" i="22"/>
  <c r="CA119" i="22"/>
  <c r="BZ119" i="22"/>
  <c r="BY119" i="22"/>
  <c r="BX119" i="22"/>
  <c r="BW119" i="22"/>
  <c r="CH118" i="22"/>
  <c r="CD118" i="22"/>
  <c r="CC118" i="22"/>
  <c r="CB118" i="22"/>
  <c r="CA118" i="22"/>
  <c r="BZ118" i="22"/>
  <c r="BY118" i="22"/>
  <c r="BX118" i="22"/>
  <c r="BW118" i="22"/>
  <c r="CI117" i="22"/>
  <c r="CH117" i="22"/>
  <c r="CE117" i="22"/>
  <c r="CD117" i="22"/>
  <c r="CC117" i="22"/>
  <c r="CB117" i="22"/>
  <c r="CA117" i="22"/>
  <c r="BZ117" i="22"/>
  <c r="BY117" i="22"/>
  <c r="BX117" i="22"/>
  <c r="BW117" i="22"/>
  <c r="CF116" i="22"/>
  <c r="CE116" i="22"/>
  <c r="CD116" i="22"/>
  <c r="CC116" i="22"/>
  <c r="CB116" i="22"/>
  <c r="CA116" i="22"/>
  <c r="BZ116" i="22"/>
  <c r="BY116" i="22"/>
  <c r="BX116" i="22"/>
  <c r="BW116" i="22"/>
  <c r="CI115" i="22"/>
  <c r="CH115" i="22"/>
  <c r="CG115" i="22"/>
  <c r="CD115" i="22"/>
  <c r="CC115" i="22"/>
  <c r="CB115" i="22"/>
  <c r="CA115" i="22"/>
  <c r="BZ115" i="22"/>
  <c r="BY115" i="22"/>
  <c r="BX115" i="22"/>
  <c r="BW115" i="22"/>
  <c r="J22" i="29"/>
  <c r="I22" i="29"/>
  <c r="F22" i="29"/>
  <c r="E22" i="29"/>
  <c r="BK203" i="22"/>
  <c r="BJ203" i="22"/>
  <c r="BG203" i="22"/>
  <c r="BF203" i="22"/>
  <c r="BE203" i="22"/>
  <c r="BD203" i="22"/>
  <c r="BC203" i="22"/>
  <c r="BB203" i="22"/>
  <c r="BA203" i="22"/>
  <c r="AZ203" i="22"/>
  <c r="AY203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BK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BK199" i="22"/>
  <c r="BJ199" i="22"/>
  <c r="BI199" i="22"/>
  <c r="BG199" i="22"/>
  <c r="BF199" i="22"/>
  <c r="BE199" i="22"/>
  <c r="BD199" i="22"/>
  <c r="BC199" i="22"/>
  <c r="BB199" i="22"/>
  <c r="BA199" i="22"/>
  <c r="AZ199" i="22"/>
  <c r="AY199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BJ197" i="22"/>
  <c r="BH197" i="22"/>
  <c r="BG197" i="22"/>
  <c r="BF197" i="22"/>
  <c r="BE197" i="22"/>
  <c r="BD197" i="22"/>
  <c r="BC197" i="22"/>
  <c r="BB197" i="22"/>
  <c r="BA197" i="22"/>
  <c r="AZ197" i="22"/>
  <c r="AY197" i="22"/>
  <c r="BK196" i="22"/>
  <c r="BJ196" i="22"/>
  <c r="BI196" i="22"/>
  <c r="BG196" i="22"/>
  <c r="BF196" i="22"/>
  <c r="BE196" i="22"/>
  <c r="BD196" i="22"/>
  <c r="BC196" i="22"/>
  <c r="BB196" i="22"/>
  <c r="BA196" i="22"/>
  <c r="AZ196" i="22"/>
  <c r="AY196" i="22"/>
  <c r="BK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BJ193" i="22"/>
  <c r="BG193" i="22"/>
  <c r="BF193" i="22"/>
  <c r="BE193" i="22"/>
  <c r="BD193" i="22"/>
  <c r="BC193" i="22"/>
  <c r="BB193" i="22"/>
  <c r="BA193" i="22"/>
  <c r="AZ193" i="22"/>
  <c r="AY193" i="22"/>
  <c r="BK192" i="22"/>
  <c r="BJ192" i="22"/>
  <c r="BI192" i="22"/>
  <c r="BG192" i="22"/>
  <c r="BF192" i="22"/>
  <c r="BE192" i="22"/>
  <c r="BD192" i="22"/>
  <c r="BC192" i="22"/>
  <c r="BB192" i="22"/>
  <c r="BA192" i="22"/>
  <c r="AZ192" i="22"/>
  <c r="AY192" i="22"/>
  <c r="BK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BJ189" i="22"/>
  <c r="BI189" i="22"/>
  <c r="BG189" i="22"/>
  <c r="BF189" i="22"/>
  <c r="BE189" i="22"/>
  <c r="BD189" i="22"/>
  <c r="BC189" i="22"/>
  <c r="BB189" i="22"/>
  <c r="BA189" i="22"/>
  <c r="AZ189" i="22"/>
  <c r="AY189" i="22"/>
  <c r="BK188" i="22"/>
  <c r="BJ188" i="22"/>
  <c r="BG188" i="22"/>
  <c r="BF188" i="22"/>
  <c r="BE188" i="22"/>
  <c r="BD188" i="22"/>
  <c r="BC188" i="22"/>
  <c r="BB188" i="22"/>
  <c r="BA188" i="22"/>
  <c r="AZ188" i="22"/>
  <c r="AY188" i="22"/>
  <c r="BK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BK182" i="22"/>
  <c r="BG182" i="22"/>
  <c r="BF182" i="22"/>
  <c r="BE182" i="22"/>
  <c r="BD182" i="22"/>
  <c r="BC182" i="22"/>
  <c r="BB182" i="22"/>
  <c r="BA182" i="22"/>
  <c r="AZ182" i="22"/>
  <c r="AY182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BK179" i="22"/>
  <c r="BJ179" i="22"/>
  <c r="BG179" i="22"/>
  <c r="BF179" i="22"/>
  <c r="BE179" i="22"/>
  <c r="BD179" i="22"/>
  <c r="BC179" i="22"/>
  <c r="BB179" i="22"/>
  <c r="BA179" i="22"/>
  <c r="AZ179" i="22"/>
  <c r="AY179" i="22"/>
  <c r="BJ177" i="22"/>
  <c r="BI177" i="22"/>
  <c r="BH177" i="22"/>
  <c r="BF177" i="22"/>
  <c r="BE177" i="22"/>
  <c r="BD177" i="22"/>
  <c r="BC177" i="22"/>
  <c r="BB177" i="22"/>
  <c r="BA177" i="22"/>
  <c r="AZ177" i="22"/>
  <c r="AY177" i="22"/>
  <c r="BJ176" i="22"/>
  <c r="BI176" i="22"/>
  <c r="BH176" i="22"/>
  <c r="BF176" i="22"/>
  <c r="BE176" i="22"/>
  <c r="BD176" i="22"/>
  <c r="BC176" i="22"/>
  <c r="BB176" i="22"/>
  <c r="BA176" i="22"/>
  <c r="AZ176" i="22"/>
  <c r="AY176" i="22"/>
  <c r="BK175" i="22"/>
  <c r="BJ175" i="22"/>
  <c r="BF175" i="22"/>
  <c r="BE175" i="22"/>
  <c r="BD175" i="22"/>
  <c r="BC175" i="22"/>
  <c r="BB175" i="22"/>
  <c r="BA175" i="22"/>
  <c r="AZ175" i="22"/>
  <c r="AY175" i="22"/>
  <c r="BK174" i="22"/>
  <c r="BG174" i="22"/>
  <c r="BF174" i="22"/>
  <c r="BE174" i="22"/>
  <c r="BD174" i="22"/>
  <c r="BC174" i="22"/>
  <c r="BB174" i="22"/>
  <c r="BA174" i="22"/>
  <c r="AZ174" i="22"/>
  <c r="AY174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BJ172" i="22"/>
  <c r="N39" i="29"/>
  <c r="BI172" i="22"/>
  <c r="M39" i="29"/>
  <c r="BH172" i="22"/>
  <c r="L39" i="29"/>
  <c r="BF172" i="22"/>
  <c r="J39" i="29"/>
  <c r="BE172" i="22"/>
  <c r="I39" i="29"/>
  <c r="BD172" i="22"/>
  <c r="H39" i="29"/>
  <c r="BC172" i="22"/>
  <c r="G39" i="29"/>
  <c r="BB172" i="22"/>
  <c r="F39" i="29"/>
  <c r="BA172" i="22"/>
  <c r="E39" i="29"/>
  <c r="AZ172" i="22"/>
  <c r="D39" i="29"/>
  <c r="AY172" i="22"/>
  <c r="C39" i="29"/>
  <c r="BK171" i="22"/>
  <c r="BJ171" i="22"/>
  <c r="BF171" i="22"/>
  <c r="BE171" i="22"/>
  <c r="BD171" i="22"/>
  <c r="BC171" i="22"/>
  <c r="BB171" i="22"/>
  <c r="BA171" i="22"/>
  <c r="AZ171" i="22"/>
  <c r="AY171" i="22"/>
  <c r="BK170" i="22"/>
  <c r="BI170" i="22"/>
  <c r="BG170" i="22"/>
  <c r="BF170" i="22"/>
  <c r="BE170" i="22"/>
  <c r="BD170" i="22"/>
  <c r="BC170" i="22"/>
  <c r="BB170" i="22"/>
  <c r="BA170" i="22"/>
  <c r="AZ170" i="22"/>
  <c r="AY170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BK167" i="22"/>
  <c r="BJ167" i="22"/>
  <c r="BH167" i="22"/>
  <c r="BF167" i="22"/>
  <c r="BE167" i="22"/>
  <c r="BD167" i="22"/>
  <c r="BC167" i="22"/>
  <c r="BB167" i="22"/>
  <c r="BA167" i="22"/>
  <c r="AZ167" i="22"/>
  <c r="AY167" i="22"/>
  <c r="BK166" i="22"/>
  <c r="BJ166" i="22"/>
  <c r="BI166" i="22"/>
  <c r="BF166" i="22"/>
  <c r="BE166" i="22"/>
  <c r="BD166" i="22"/>
  <c r="BC166" i="22"/>
  <c r="BB166" i="22"/>
  <c r="BA166" i="22"/>
  <c r="AZ166" i="22"/>
  <c r="AY166" i="22"/>
  <c r="BK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BJ162" i="22"/>
  <c r="BH162" i="22"/>
  <c r="BF162" i="22"/>
  <c r="BE162" i="22"/>
  <c r="BD162" i="22"/>
  <c r="BC162" i="22"/>
  <c r="BB162" i="22"/>
  <c r="BA162" i="22"/>
  <c r="AZ162" i="22"/>
  <c r="AY162" i="22"/>
  <c r="BK161" i="22"/>
  <c r="BJ161" i="22"/>
  <c r="BI161" i="22"/>
  <c r="BF161" i="22"/>
  <c r="BE161" i="22"/>
  <c r="BD161" i="22"/>
  <c r="BC161" i="22"/>
  <c r="BB161" i="22"/>
  <c r="BA161" i="22"/>
  <c r="AZ161" i="22"/>
  <c r="AY161" i="22"/>
  <c r="BK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BK158" i="22"/>
  <c r="BJ158" i="22"/>
  <c r="BH158" i="22"/>
  <c r="BF158" i="22"/>
  <c r="BE158" i="22"/>
  <c r="BD158" i="22"/>
  <c r="BC158" i="22"/>
  <c r="BB158" i="22"/>
  <c r="BA158" i="22"/>
  <c r="AZ158" i="22"/>
  <c r="AY158" i="22"/>
  <c r="BJ157" i="22"/>
  <c r="BI157" i="22"/>
  <c r="BH157" i="22"/>
  <c r="BF157" i="22"/>
  <c r="BE157" i="22"/>
  <c r="BD157" i="22"/>
  <c r="BC157" i="22"/>
  <c r="BB157" i="22"/>
  <c r="BA157" i="22"/>
  <c r="AZ157" i="22"/>
  <c r="AY157" i="22"/>
  <c r="BK156" i="22"/>
  <c r="BI156" i="22"/>
  <c r="BG156" i="22"/>
  <c r="BF156" i="22"/>
  <c r="BE156" i="22"/>
  <c r="BD156" i="22"/>
  <c r="BC156" i="22"/>
  <c r="BB156" i="22"/>
  <c r="BA156" i="22"/>
  <c r="AZ156" i="22"/>
  <c r="AY156" i="22"/>
  <c r="BK154" i="22"/>
  <c r="BJ154" i="22"/>
  <c r="BH154" i="22"/>
  <c r="BF154" i="22"/>
  <c r="BE154" i="22"/>
  <c r="BD154" i="22"/>
  <c r="BC154" i="22"/>
  <c r="BB154" i="22"/>
  <c r="BA154" i="22"/>
  <c r="AZ154" i="22"/>
  <c r="AY154" i="22"/>
  <c r="BJ153" i="22"/>
  <c r="BH153" i="22"/>
  <c r="BF153" i="22"/>
  <c r="BE153" i="22"/>
  <c r="BD153" i="22"/>
  <c r="BC153" i="22"/>
  <c r="BB153" i="22"/>
  <c r="BA153" i="22"/>
  <c r="AZ153" i="22"/>
  <c r="AY153" i="22"/>
  <c r="BK152" i="22"/>
  <c r="BI152" i="22"/>
  <c r="BG152" i="22"/>
  <c r="BF152" i="22"/>
  <c r="BE152" i="22"/>
  <c r="BD152" i="22"/>
  <c r="BC152" i="22"/>
  <c r="BB152" i="22"/>
  <c r="BA152" i="22"/>
  <c r="AZ152" i="22"/>
  <c r="AY152" i="22"/>
  <c r="BK151" i="22"/>
  <c r="BJ151" i="22"/>
  <c r="BI151" i="22"/>
  <c r="BG151" i="22"/>
  <c r="BF151" i="22"/>
  <c r="BE151" i="22"/>
  <c r="BD151" i="22"/>
  <c r="BC151" i="22"/>
  <c r="BB151" i="22"/>
  <c r="BA151" i="22"/>
  <c r="AZ151" i="22"/>
  <c r="AY151" i="22"/>
  <c r="BK150" i="22"/>
  <c r="BJ150" i="22"/>
  <c r="BH150" i="22"/>
  <c r="BF150" i="22"/>
  <c r="BE150" i="22"/>
  <c r="BD150" i="22"/>
  <c r="BC150" i="22"/>
  <c r="BB150" i="22"/>
  <c r="BA150" i="22"/>
  <c r="AZ150" i="22"/>
  <c r="AY150" i="22"/>
  <c r="BJ149" i="22"/>
  <c r="BI149" i="22"/>
  <c r="BH149" i="22"/>
  <c r="BF149" i="22"/>
  <c r="BE149" i="22"/>
  <c r="BD149" i="22"/>
  <c r="BC149" i="22"/>
  <c r="BB149" i="22"/>
  <c r="BA149" i="22"/>
  <c r="AZ149" i="22"/>
  <c r="AY149" i="22"/>
  <c r="BK148" i="22"/>
  <c r="BI148" i="22"/>
  <c r="BG148" i="22"/>
  <c r="BF148" i="22"/>
  <c r="BE148" i="22"/>
  <c r="BD148" i="22"/>
  <c r="BC148" i="22"/>
  <c r="BB148" i="22"/>
  <c r="BA148" i="22"/>
  <c r="AZ148" i="22"/>
  <c r="AY148" i="22"/>
  <c r="BK147" i="22"/>
  <c r="BJ147" i="22"/>
  <c r="BI147" i="22"/>
  <c r="BG147" i="22"/>
  <c r="BF147" i="22"/>
  <c r="BE147" i="22"/>
  <c r="BD147" i="22"/>
  <c r="BC147" i="22"/>
  <c r="BB147" i="22"/>
  <c r="BA147" i="22"/>
  <c r="AZ147" i="22"/>
  <c r="AY147" i="22"/>
  <c r="BK146" i="22"/>
  <c r="BJ146" i="22"/>
  <c r="BH146" i="22"/>
  <c r="BF146" i="22"/>
  <c r="BE146" i="22"/>
  <c r="BD146" i="22"/>
  <c r="BC146" i="22"/>
  <c r="BB146" i="22"/>
  <c r="BA146" i="22"/>
  <c r="AZ146" i="22"/>
  <c r="AY146" i="22"/>
  <c r="BJ145" i="22"/>
  <c r="BI145" i="22"/>
  <c r="BH145" i="22"/>
  <c r="BF145" i="22"/>
  <c r="BE145" i="22"/>
  <c r="BD145" i="22"/>
  <c r="BC145" i="22"/>
  <c r="BB145" i="22"/>
  <c r="BA145" i="22"/>
  <c r="AZ145" i="22"/>
  <c r="AY145" i="22"/>
  <c r="BK144" i="22"/>
  <c r="BI144" i="22"/>
  <c r="BG144" i="22"/>
  <c r="BF144" i="22"/>
  <c r="BE144" i="22"/>
  <c r="BD144" i="22"/>
  <c r="BC144" i="22"/>
  <c r="BB144" i="22"/>
  <c r="BA144" i="22"/>
  <c r="AZ144" i="22"/>
  <c r="AY144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BK142" i="22"/>
  <c r="BJ142" i="22"/>
  <c r="BH142" i="22"/>
  <c r="BF142" i="22"/>
  <c r="BE142" i="22"/>
  <c r="BD142" i="22"/>
  <c r="BC142" i="22"/>
  <c r="BB142" i="22"/>
  <c r="BA142" i="22"/>
  <c r="AZ142" i="22"/>
  <c r="AY142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BK139" i="22"/>
  <c r="BI139" i="22"/>
  <c r="BG139" i="22"/>
  <c r="BF139" i="22"/>
  <c r="BE139" i="22"/>
  <c r="BD139" i="22"/>
  <c r="BC139" i="22"/>
  <c r="BB139" i="22"/>
  <c r="BA139" i="22"/>
  <c r="AZ139" i="22"/>
  <c r="AY139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BK137" i="22"/>
  <c r="BJ137" i="22"/>
  <c r="BH137" i="22"/>
  <c r="BF137" i="22"/>
  <c r="BE137" i="22"/>
  <c r="BD137" i="22"/>
  <c r="BC137" i="22"/>
  <c r="BB137" i="22"/>
  <c r="BA137" i="22"/>
  <c r="AZ137" i="22"/>
  <c r="AY137" i="22"/>
  <c r="BJ136" i="22"/>
  <c r="BH136" i="22"/>
  <c r="BG136" i="22"/>
  <c r="BF136" i="22"/>
  <c r="BE136" i="22"/>
  <c r="BD136" i="22"/>
  <c r="BC136" i="22"/>
  <c r="BB136" i="22"/>
  <c r="BA136" i="22"/>
  <c r="AZ136" i="22"/>
  <c r="AY136" i="22"/>
  <c r="BK135" i="22"/>
  <c r="BI135" i="22"/>
  <c r="BF135" i="22"/>
  <c r="BE135" i="22"/>
  <c r="BD135" i="22"/>
  <c r="BC135" i="22"/>
  <c r="BB135" i="22"/>
  <c r="BA135" i="22"/>
  <c r="AZ135" i="22"/>
  <c r="AY135" i="22"/>
  <c r="BK134" i="22"/>
  <c r="BJ134" i="22"/>
  <c r="BI134" i="22"/>
  <c r="BG134" i="22"/>
  <c r="BF134" i="22"/>
  <c r="BE134" i="22"/>
  <c r="BD134" i="22"/>
  <c r="BC134" i="22"/>
  <c r="BB134" i="22"/>
  <c r="BA134" i="22"/>
  <c r="AZ134" i="22"/>
  <c r="AY134" i="22"/>
  <c r="BK133" i="22"/>
  <c r="BJ133" i="22"/>
  <c r="BH133" i="22"/>
  <c r="BG133" i="22"/>
  <c r="BF133" i="22"/>
  <c r="BE133" i="22"/>
  <c r="BD133" i="22"/>
  <c r="BC133" i="22"/>
  <c r="BB133" i="22"/>
  <c r="BA133" i="22"/>
  <c r="AZ133" i="22"/>
  <c r="AY133" i="22"/>
  <c r="BK132" i="22"/>
  <c r="BJ132" i="22"/>
  <c r="BI132" i="22"/>
  <c r="BH132" i="22"/>
  <c r="BF132" i="22"/>
  <c r="BE132" i="22"/>
  <c r="BD132" i="22"/>
  <c r="BC132" i="22"/>
  <c r="BB132" i="22"/>
  <c r="BA132" i="22"/>
  <c r="AZ132" i="22"/>
  <c r="AY132" i="22"/>
  <c r="BI131" i="22"/>
  <c r="BF131" i="22"/>
  <c r="BE131" i="22"/>
  <c r="BD131" i="22"/>
  <c r="BC131" i="22"/>
  <c r="BB131" i="22"/>
  <c r="BA131" i="22"/>
  <c r="AZ131" i="22"/>
  <c r="AY131" i="22"/>
  <c r="BK130" i="22"/>
  <c r="BJ130" i="22"/>
  <c r="BI130" i="22"/>
  <c r="BG130" i="22"/>
  <c r="BF130" i="22"/>
  <c r="BE130" i="22"/>
  <c r="BD130" i="22"/>
  <c r="BC130" i="22"/>
  <c r="BB130" i="22"/>
  <c r="BA130" i="22"/>
  <c r="AZ130" i="22"/>
  <c r="AY130" i="22"/>
  <c r="BK129" i="22"/>
  <c r="BJ129" i="22"/>
  <c r="BH129" i="22"/>
  <c r="BG129" i="22"/>
  <c r="BF129" i="22"/>
  <c r="BE129" i="22"/>
  <c r="BD129" i="22"/>
  <c r="BC129" i="22"/>
  <c r="BB129" i="22"/>
  <c r="BA129" i="22"/>
  <c r="AZ129" i="22"/>
  <c r="AY129" i="22"/>
  <c r="BK128" i="22"/>
  <c r="BJ128" i="22"/>
  <c r="BH128" i="22"/>
  <c r="BF128" i="22"/>
  <c r="BE128" i="22"/>
  <c r="BD128" i="22"/>
  <c r="BC128" i="22"/>
  <c r="BB128" i="22"/>
  <c r="BA128" i="22"/>
  <c r="AZ128" i="22"/>
  <c r="AY128" i="22"/>
  <c r="BJ127" i="22"/>
  <c r="BI127" i="22"/>
  <c r="BF127" i="22"/>
  <c r="BE127" i="22"/>
  <c r="BD127" i="22"/>
  <c r="BC127" i="22"/>
  <c r="BB127" i="22"/>
  <c r="BA127" i="22"/>
  <c r="AZ127" i="22"/>
  <c r="AY127" i="22"/>
  <c r="BK126" i="22"/>
  <c r="BJ126" i="22"/>
  <c r="BI126" i="22"/>
  <c r="BG126" i="22"/>
  <c r="BF126" i="22"/>
  <c r="BE126" i="22"/>
  <c r="BD126" i="22"/>
  <c r="BC126" i="22"/>
  <c r="BB126" i="22"/>
  <c r="BA126" i="22"/>
  <c r="AZ126" i="22"/>
  <c r="AY126" i="22"/>
  <c r="BK125" i="22"/>
  <c r="BH125" i="22"/>
  <c r="BG125" i="22"/>
  <c r="BF125" i="22"/>
  <c r="BE125" i="22"/>
  <c r="BD125" i="22"/>
  <c r="BC125" i="22"/>
  <c r="BB125" i="22"/>
  <c r="BA125" i="22"/>
  <c r="AZ125" i="22"/>
  <c r="AY125" i="22"/>
  <c r="BK124" i="22"/>
  <c r="BJ124" i="22"/>
  <c r="BH124" i="22"/>
  <c r="BF124" i="22"/>
  <c r="BE124" i="22"/>
  <c r="BD124" i="22"/>
  <c r="BC124" i="22"/>
  <c r="BB124" i="22"/>
  <c r="BA124" i="22"/>
  <c r="AZ124" i="22"/>
  <c r="AY124" i="22"/>
  <c r="BJ123" i="22"/>
  <c r="BI123" i="22"/>
  <c r="M35" i="30"/>
  <c r="BF123" i="22"/>
  <c r="J35" i="30"/>
  <c r="BE123" i="22"/>
  <c r="I35" i="30"/>
  <c r="BD123" i="22"/>
  <c r="H35" i="30"/>
  <c r="BC123" i="22"/>
  <c r="G35" i="30"/>
  <c r="BB123" i="22"/>
  <c r="F35" i="30"/>
  <c r="BA123" i="22"/>
  <c r="E35" i="30"/>
  <c r="AZ123" i="22"/>
  <c r="D35" i="30"/>
  <c r="AY123" i="22"/>
  <c r="C35" i="30"/>
  <c r="BK122" i="22"/>
  <c r="BJ122" i="22"/>
  <c r="BI122" i="22"/>
  <c r="BG122" i="22"/>
  <c r="BF122" i="22"/>
  <c r="BE122" i="22"/>
  <c r="BD122" i="22"/>
  <c r="BC122" i="22"/>
  <c r="BB122" i="22"/>
  <c r="BA122" i="22"/>
  <c r="AZ122" i="22"/>
  <c r="AY122" i="22"/>
  <c r="BK120" i="22"/>
  <c r="O37" i="30"/>
  <c r="BH120" i="22"/>
  <c r="L37" i="30"/>
  <c r="BG120" i="22"/>
  <c r="K37" i="30"/>
  <c r="BF120" i="22"/>
  <c r="J37" i="30"/>
  <c r="BE120" i="22"/>
  <c r="I37" i="30"/>
  <c r="BD120" i="22"/>
  <c r="H37" i="30"/>
  <c r="BC120" i="22"/>
  <c r="G37" i="30"/>
  <c r="BB120" i="22"/>
  <c r="F37" i="30"/>
  <c r="BA120" i="22"/>
  <c r="E37" i="30"/>
  <c r="AZ120" i="22"/>
  <c r="D37" i="30"/>
  <c r="AY120" i="22"/>
  <c r="C37" i="30"/>
  <c r="BK119" i="22"/>
  <c r="BJ119" i="22"/>
  <c r="BI119" i="22"/>
  <c r="BH119" i="22"/>
  <c r="BF119" i="22"/>
  <c r="BE119" i="22"/>
  <c r="BD119" i="22"/>
  <c r="BC119" i="22"/>
  <c r="BB119" i="22"/>
  <c r="BA119" i="22"/>
  <c r="AZ119" i="22"/>
  <c r="AY119" i="22"/>
  <c r="BJ118" i="22"/>
  <c r="BI118" i="22"/>
  <c r="BG118" i="22"/>
  <c r="BF118" i="22"/>
  <c r="BE118" i="22"/>
  <c r="BD118" i="22"/>
  <c r="BC118" i="22"/>
  <c r="BB118" i="22"/>
  <c r="BA118" i="22"/>
  <c r="AZ118" i="22"/>
  <c r="AY118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BK116" i="22"/>
  <c r="BH116" i="22"/>
  <c r="BG116" i="22"/>
  <c r="BF116" i="22"/>
  <c r="BE116" i="22"/>
  <c r="BD116" i="22"/>
  <c r="BC116" i="22"/>
  <c r="BB116" i="22"/>
  <c r="BA116" i="22"/>
  <c r="AZ116" i="22"/>
  <c r="AY116" i="22"/>
  <c r="BK115" i="22"/>
  <c r="BJ115" i="22"/>
  <c r="N35" i="30"/>
  <c r="BI115" i="22"/>
  <c r="BH115" i="22"/>
  <c r="BF115" i="22"/>
  <c r="BE115" i="22"/>
  <c r="BD115" i="22"/>
  <c r="BC115" i="22"/>
  <c r="BB115" i="22"/>
  <c r="BA115" i="22"/>
  <c r="AZ115" i="22"/>
  <c r="AY115" i="22"/>
  <c r="I33" i="29"/>
  <c r="G33" i="29"/>
  <c r="E33" i="29"/>
  <c r="C33" i="29"/>
  <c r="I27" i="30"/>
  <c r="E27" i="30"/>
  <c r="AN98" i="10"/>
  <c r="AM98" i="10"/>
  <c r="AL98" i="10"/>
  <c r="AK98" i="10"/>
  <c r="AJ98" i="10"/>
  <c r="AI98" i="10"/>
  <c r="AH98" i="10"/>
  <c r="AG98" i="10"/>
  <c r="AF98" i="10"/>
  <c r="AE98" i="10"/>
  <c r="AD98" i="10"/>
  <c r="AC98" i="10"/>
  <c r="AB98" i="10"/>
  <c r="HU105" i="22"/>
  <c r="HT105" i="22"/>
  <c r="HS105" i="22"/>
  <c r="HR105" i="22"/>
  <c r="HQ105" i="22"/>
  <c r="HP105" i="22"/>
  <c r="HO105" i="22"/>
  <c r="HN105" i="22"/>
  <c r="HU104" i="22"/>
  <c r="HT104" i="22"/>
  <c r="HS104" i="22"/>
  <c r="HR104" i="22"/>
  <c r="HQ104" i="22"/>
  <c r="HP104" i="22"/>
  <c r="HO104" i="22"/>
  <c r="HN104" i="22"/>
  <c r="HU103" i="22"/>
  <c r="HT103" i="22"/>
  <c r="HS103" i="22"/>
  <c r="HR103" i="22"/>
  <c r="HQ103" i="22"/>
  <c r="HP103" i="22"/>
  <c r="HO103" i="22"/>
  <c r="HN103" i="22"/>
  <c r="HU102" i="22"/>
  <c r="HT102" i="22"/>
  <c r="HS102" i="22"/>
  <c r="HR102" i="22"/>
  <c r="HQ102" i="22"/>
  <c r="HP102" i="22"/>
  <c r="HO102" i="22"/>
  <c r="HN102" i="22"/>
  <c r="HU101" i="22"/>
  <c r="HT101" i="22"/>
  <c r="HS101" i="22"/>
  <c r="HR101" i="22"/>
  <c r="HQ101" i="22"/>
  <c r="HP101" i="22"/>
  <c r="HO101" i="22"/>
  <c r="HN101" i="22"/>
  <c r="HU99" i="22"/>
  <c r="HT99" i="22"/>
  <c r="HS99" i="22"/>
  <c r="HR99" i="22"/>
  <c r="HQ99" i="22"/>
  <c r="HP99" i="22"/>
  <c r="HO99" i="22"/>
  <c r="HN99" i="22"/>
  <c r="HU98" i="22"/>
  <c r="HT98" i="22"/>
  <c r="HS98" i="22"/>
  <c r="HR98" i="22"/>
  <c r="HQ98" i="22"/>
  <c r="HP98" i="22"/>
  <c r="HO98" i="22"/>
  <c r="HN98" i="22"/>
  <c r="HU97" i="22"/>
  <c r="HT97" i="22"/>
  <c r="HS97" i="22"/>
  <c r="HR97" i="22"/>
  <c r="HQ97" i="22"/>
  <c r="HP97" i="22"/>
  <c r="HO97" i="22"/>
  <c r="HN97" i="22"/>
  <c r="HU96" i="22"/>
  <c r="HT96" i="22"/>
  <c r="HS96" i="22"/>
  <c r="HR96" i="22"/>
  <c r="HQ96" i="22"/>
  <c r="HP96" i="22"/>
  <c r="HO96" i="22"/>
  <c r="HN96" i="22"/>
  <c r="HU95" i="22"/>
  <c r="HT95" i="22"/>
  <c r="HS95" i="22"/>
  <c r="HR95" i="22"/>
  <c r="HQ95" i="22"/>
  <c r="HP95" i="22"/>
  <c r="HO95" i="22"/>
  <c r="HN95" i="22"/>
  <c r="HU94" i="22"/>
  <c r="HT94" i="22"/>
  <c r="HS94" i="22"/>
  <c r="HR94" i="22"/>
  <c r="HQ94" i="22"/>
  <c r="HP94" i="22"/>
  <c r="HO94" i="22"/>
  <c r="HN94" i="22"/>
  <c r="HU93" i="22"/>
  <c r="HT93" i="22"/>
  <c r="HS93" i="22"/>
  <c r="HR93" i="22"/>
  <c r="HQ93" i="22"/>
  <c r="HP93" i="22"/>
  <c r="HO93" i="22"/>
  <c r="HN93" i="22"/>
  <c r="HU92" i="22"/>
  <c r="HT92" i="22"/>
  <c r="HS92" i="22"/>
  <c r="HR92" i="22"/>
  <c r="HQ92" i="22"/>
  <c r="HP92" i="22"/>
  <c r="HO92" i="22"/>
  <c r="HN92" i="22"/>
  <c r="HU91" i="22"/>
  <c r="HT91" i="22"/>
  <c r="HS91" i="22"/>
  <c r="HR91" i="22"/>
  <c r="HQ91" i="22"/>
  <c r="HP91" i="22"/>
  <c r="HO91" i="22"/>
  <c r="HN91" i="22"/>
  <c r="HU90" i="22"/>
  <c r="HT90" i="22"/>
  <c r="HS90" i="22"/>
  <c r="HR90" i="22"/>
  <c r="HQ90" i="22"/>
  <c r="HP90" i="22"/>
  <c r="HO90" i="22"/>
  <c r="HN90" i="22"/>
  <c r="HU89" i="22"/>
  <c r="HT89" i="22"/>
  <c r="HS89" i="22"/>
  <c r="HR89" i="22"/>
  <c r="HQ89" i="22"/>
  <c r="HP89" i="22"/>
  <c r="HO89" i="22"/>
  <c r="HN89" i="22"/>
  <c r="HU88" i="22"/>
  <c r="HT88" i="22"/>
  <c r="HS88" i="22"/>
  <c r="HR88" i="22"/>
  <c r="HQ88" i="22"/>
  <c r="HP88" i="22"/>
  <c r="HO88" i="22"/>
  <c r="HN88" i="22"/>
  <c r="HU87" i="22"/>
  <c r="HT87" i="22"/>
  <c r="HS87" i="22"/>
  <c r="HR87" i="22"/>
  <c r="HQ87" i="22"/>
  <c r="HP87" i="22"/>
  <c r="HO87" i="22"/>
  <c r="HN87" i="22"/>
  <c r="HU86" i="22"/>
  <c r="HT86" i="22"/>
  <c r="HS86" i="22"/>
  <c r="HR86" i="22"/>
  <c r="HQ86" i="22"/>
  <c r="HP86" i="22"/>
  <c r="HO86" i="22"/>
  <c r="HN86" i="22"/>
  <c r="HU85" i="22"/>
  <c r="HT85" i="22"/>
  <c r="HS85" i="22"/>
  <c r="HR85" i="22"/>
  <c r="HQ85" i="22"/>
  <c r="HP85" i="22"/>
  <c r="HO85" i="22"/>
  <c r="HN85" i="22"/>
  <c r="HU84" i="22"/>
  <c r="HT84" i="22"/>
  <c r="HS84" i="22"/>
  <c r="HR84" i="22"/>
  <c r="HQ84" i="22"/>
  <c r="HP84" i="22"/>
  <c r="HO84" i="22"/>
  <c r="HN84" i="22"/>
  <c r="HU83" i="22"/>
  <c r="HT83" i="22"/>
  <c r="HS83" i="22"/>
  <c r="HR83" i="22"/>
  <c r="HQ83" i="22"/>
  <c r="HP83" i="22"/>
  <c r="HO83" i="22"/>
  <c r="HN83" i="22"/>
  <c r="HU82" i="22"/>
  <c r="HT82" i="22"/>
  <c r="HS82" i="22"/>
  <c r="HR82" i="22"/>
  <c r="HQ82" i="22"/>
  <c r="HP82" i="22"/>
  <c r="HO82" i="22"/>
  <c r="HN82" i="22"/>
  <c r="HU81" i="22"/>
  <c r="HT81" i="22"/>
  <c r="HS81" i="22"/>
  <c r="HR81" i="22"/>
  <c r="HQ81" i="22"/>
  <c r="HP81" i="22"/>
  <c r="HO81" i="22"/>
  <c r="HN81" i="22"/>
  <c r="HU80" i="22"/>
  <c r="HT80" i="22"/>
  <c r="HS80" i="22"/>
  <c r="HR80" i="22"/>
  <c r="HQ80" i="22"/>
  <c r="HP80" i="22"/>
  <c r="HO80" i="22"/>
  <c r="HN80" i="22"/>
  <c r="HU79" i="22"/>
  <c r="HT79" i="22"/>
  <c r="HS79" i="22"/>
  <c r="HR79" i="22"/>
  <c r="HQ79" i="22"/>
  <c r="HP79" i="22"/>
  <c r="HO79" i="22"/>
  <c r="HN79" i="22"/>
  <c r="HU78" i="22"/>
  <c r="HT78" i="22"/>
  <c r="HS78" i="22"/>
  <c r="HR78" i="22"/>
  <c r="HQ78" i="22"/>
  <c r="HP78" i="22"/>
  <c r="HO78" i="22"/>
  <c r="HN78" i="22"/>
  <c r="HU77" i="22"/>
  <c r="HT77" i="22"/>
  <c r="HS77" i="22"/>
  <c r="HR77" i="22"/>
  <c r="HQ77" i="22"/>
  <c r="HP77" i="22"/>
  <c r="HO77" i="22"/>
  <c r="HN77" i="22"/>
  <c r="HU76" i="22"/>
  <c r="HT76" i="22"/>
  <c r="HS76" i="22"/>
  <c r="HR76" i="22"/>
  <c r="HQ76" i="22"/>
  <c r="HP76" i="22"/>
  <c r="HO76" i="22"/>
  <c r="HN76" i="22"/>
  <c r="HU75" i="22"/>
  <c r="HT75" i="22"/>
  <c r="HS75" i="22"/>
  <c r="HR75" i="22"/>
  <c r="HQ75" i="22"/>
  <c r="HP75" i="22"/>
  <c r="HO75" i="22"/>
  <c r="HN75" i="22"/>
  <c r="HU74" i="22"/>
  <c r="HT74" i="22"/>
  <c r="HS74" i="22"/>
  <c r="HR74" i="22"/>
  <c r="HQ74" i="22"/>
  <c r="HP74" i="22"/>
  <c r="HO74" i="22"/>
  <c r="HN74" i="22"/>
  <c r="HU73" i="22"/>
  <c r="HT73" i="22"/>
  <c r="HS73" i="22"/>
  <c r="HR73" i="22"/>
  <c r="HQ73" i="22"/>
  <c r="HP73" i="22"/>
  <c r="HO73" i="22"/>
  <c r="HN73" i="22"/>
  <c r="HU72" i="22"/>
  <c r="HT72" i="22"/>
  <c r="HS72" i="22"/>
  <c r="HR72" i="22"/>
  <c r="HQ72" i="22"/>
  <c r="HP72" i="22"/>
  <c r="HO72" i="22"/>
  <c r="HN72" i="22"/>
  <c r="HU70" i="22"/>
  <c r="HT70" i="22"/>
  <c r="HS70" i="22"/>
  <c r="HR70" i="22"/>
  <c r="HQ70" i="22"/>
  <c r="HP70" i="22"/>
  <c r="HO70" i="22"/>
  <c r="HN70" i="22"/>
  <c r="HU69" i="22"/>
  <c r="HT69" i="22"/>
  <c r="HS69" i="22"/>
  <c r="HR69" i="22"/>
  <c r="HQ69" i="22"/>
  <c r="HP69" i="22"/>
  <c r="HO69" i="22"/>
  <c r="HN69" i="22"/>
  <c r="HU68" i="22"/>
  <c r="HT68" i="22"/>
  <c r="HS68" i="22"/>
  <c r="HR68" i="22"/>
  <c r="HQ68" i="22"/>
  <c r="HP68" i="22"/>
  <c r="HO68" i="22"/>
  <c r="HN68" i="22"/>
  <c r="HU67" i="22"/>
  <c r="HT67" i="22"/>
  <c r="HS67" i="22"/>
  <c r="HR67" i="22"/>
  <c r="HQ67" i="22"/>
  <c r="HP67" i="22"/>
  <c r="HO67" i="22"/>
  <c r="HN67" i="22"/>
  <c r="HU66" i="22"/>
  <c r="HT66" i="22"/>
  <c r="HS66" i="22"/>
  <c r="HR66" i="22"/>
  <c r="HQ66" i="22"/>
  <c r="HP66" i="22"/>
  <c r="HO66" i="22"/>
  <c r="HN66" i="22"/>
  <c r="HT65" i="22"/>
  <c r="HS65" i="22"/>
  <c r="HR65" i="22"/>
  <c r="HQ65" i="22"/>
  <c r="HP65" i="22"/>
  <c r="HO65" i="22"/>
  <c r="HN65" i="22"/>
  <c r="HU64" i="22"/>
  <c r="HT64" i="22"/>
  <c r="HS64" i="22"/>
  <c r="HR64" i="22"/>
  <c r="HQ64" i="22"/>
  <c r="HP64" i="22"/>
  <c r="HO64" i="22"/>
  <c r="HN64" i="22"/>
  <c r="HU63" i="22"/>
  <c r="HT63" i="22"/>
  <c r="HS63" i="22"/>
  <c r="HR63" i="22"/>
  <c r="HQ63" i="22"/>
  <c r="HP63" i="22"/>
  <c r="HO63" i="22"/>
  <c r="HN63" i="22"/>
  <c r="HU62" i="22"/>
  <c r="HT62" i="22"/>
  <c r="HS62" i="22"/>
  <c r="HR62" i="22"/>
  <c r="HQ62" i="22"/>
  <c r="HP62" i="22"/>
  <c r="HO62" i="22"/>
  <c r="HN62" i="22"/>
  <c r="HU61" i="22"/>
  <c r="HT61" i="22"/>
  <c r="HS61" i="22"/>
  <c r="HR61" i="22"/>
  <c r="HQ61" i="22"/>
  <c r="HP61" i="22"/>
  <c r="HO61" i="22"/>
  <c r="HN61" i="22"/>
  <c r="HU60" i="22"/>
  <c r="HT60" i="22"/>
  <c r="HS60" i="22"/>
  <c r="HR60" i="22"/>
  <c r="HQ60" i="22"/>
  <c r="HP60" i="22"/>
  <c r="HO60" i="22"/>
  <c r="HN60" i="22"/>
  <c r="HU59" i="22"/>
  <c r="HT59" i="22"/>
  <c r="HS59" i="22"/>
  <c r="HR59" i="22"/>
  <c r="HQ59" i="22"/>
  <c r="HP59" i="22"/>
  <c r="HO59" i="22"/>
  <c r="HN59" i="22"/>
  <c r="HU58" i="22"/>
  <c r="HT58" i="22"/>
  <c r="HS58" i="22"/>
  <c r="HR58" i="22"/>
  <c r="HQ58" i="22"/>
  <c r="HP58" i="22"/>
  <c r="HO58" i="22"/>
  <c r="HN58" i="22"/>
  <c r="HU57" i="22"/>
  <c r="HT57" i="22"/>
  <c r="HS57" i="22"/>
  <c r="HR57" i="22"/>
  <c r="HQ57" i="22"/>
  <c r="HP57" i="22"/>
  <c r="HO57" i="22"/>
  <c r="HN57" i="22"/>
  <c r="HU56" i="22"/>
  <c r="HT56" i="22"/>
  <c r="HS56" i="22"/>
  <c r="HR56" i="22"/>
  <c r="HQ56" i="22"/>
  <c r="HP56" i="22"/>
  <c r="HO56" i="22"/>
  <c r="HN56" i="22"/>
  <c r="HU55" i="22"/>
  <c r="HT55" i="22"/>
  <c r="HS55" i="22"/>
  <c r="HR55" i="22"/>
  <c r="HQ55" i="22"/>
  <c r="HP55" i="22"/>
  <c r="HO55" i="22"/>
  <c r="HN55" i="22"/>
  <c r="HU54" i="22"/>
  <c r="HT54" i="22"/>
  <c r="HS54" i="22"/>
  <c r="HR54" i="22"/>
  <c r="HQ54" i="22"/>
  <c r="HP54" i="22"/>
  <c r="HO54" i="22"/>
  <c r="HN54" i="22"/>
  <c r="HU53" i="22"/>
  <c r="HT53" i="22"/>
  <c r="HS53" i="22"/>
  <c r="HR53" i="22"/>
  <c r="HQ53" i="22"/>
  <c r="HP53" i="22"/>
  <c r="HO53" i="22"/>
  <c r="HN53" i="22"/>
  <c r="HU52" i="22"/>
  <c r="HT52" i="22"/>
  <c r="HS52" i="22"/>
  <c r="HR52" i="22"/>
  <c r="HQ52" i="22"/>
  <c r="HP52" i="22"/>
  <c r="HO52" i="22"/>
  <c r="HN52" i="22"/>
  <c r="HU51" i="22"/>
  <c r="HT51" i="22"/>
  <c r="HS51" i="22"/>
  <c r="HR51" i="22"/>
  <c r="HQ51" i="22"/>
  <c r="HP51" i="22"/>
  <c r="HO51" i="22"/>
  <c r="HN51" i="22"/>
  <c r="HU50" i="22"/>
  <c r="HT50" i="22"/>
  <c r="HS50" i="22"/>
  <c r="HR50" i="22"/>
  <c r="HQ50" i="22"/>
  <c r="HP50" i="22"/>
  <c r="HO50" i="22"/>
  <c r="HN50" i="22"/>
  <c r="HU49" i="22"/>
  <c r="HT49" i="22"/>
  <c r="HS49" i="22"/>
  <c r="HR49" i="22"/>
  <c r="HQ49" i="22"/>
  <c r="HP49" i="22"/>
  <c r="HO49" i="22"/>
  <c r="HN49" i="22"/>
  <c r="HU48" i="22"/>
  <c r="HT48" i="22"/>
  <c r="HS48" i="22"/>
  <c r="HR48" i="22"/>
  <c r="HQ48" i="22"/>
  <c r="HP48" i="22"/>
  <c r="HO48" i="22"/>
  <c r="HN48" i="22"/>
  <c r="HU47" i="22"/>
  <c r="HT47" i="22"/>
  <c r="HS47" i="22"/>
  <c r="HR47" i="22"/>
  <c r="HQ47" i="22"/>
  <c r="HP47" i="22"/>
  <c r="HO47" i="22"/>
  <c r="HN47" i="22"/>
  <c r="HU46" i="22"/>
  <c r="HT46" i="22"/>
  <c r="HS46" i="22"/>
  <c r="HR46" i="22"/>
  <c r="HQ46" i="22"/>
  <c r="HP46" i="22"/>
  <c r="HO46" i="22"/>
  <c r="HN46" i="22"/>
  <c r="HU45" i="22"/>
  <c r="HT45" i="22"/>
  <c r="HS45" i="22"/>
  <c r="HR45" i="22"/>
  <c r="HQ45" i="22"/>
  <c r="HP45" i="22"/>
  <c r="HO45" i="22"/>
  <c r="HN45" i="22"/>
  <c r="HU44" i="22"/>
  <c r="HT44" i="22"/>
  <c r="HS44" i="22"/>
  <c r="HR44" i="22"/>
  <c r="HQ44" i="22"/>
  <c r="HP44" i="22"/>
  <c r="HO44" i="22"/>
  <c r="HN44" i="22"/>
  <c r="HT43" i="22"/>
  <c r="HS43" i="22"/>
  <c r="HR43" i="22"/>
  <c r="HQ43" i="22"/>
  <c r="HP43" i="22"/>
  <c r="HO43" i="22"/>
  <c r="HN43" i="22"/>
  <c r="HU42" i="22"/>
  <c r="HT42" i="22"/>
  <c r="HS42" i="22"/>
  <c r="HR42" i="22"/>
  <c r="HQ42" i="22"/>
  <c r="HP42" i="22"/>
  <c r="HO42" i="22"/>
  <c r="HN42" i="22"/>
  <c r="HU41" i="22"/>
  <c r="HT41" i="22"/>
  <c r="HS41" i="22"/>
  <c r="HR41" i="22"/>
  <c r="HQ41" i="22"/>
  <c r="HP41" i="22"/>
  <c r="HO41" i="22"/>
  <c r="HN41" i="22"/>
  <c r="HU40" i="22"/>
  <c r="HT40" i="22"/>
  <c r="HS40" i="22"/>
  <c r="HR40" i="22"/>
  <c r="HQ40" i="22"/>
  <c r="HP40" i="22"/>
  <c r="HO40" i="22"/>
  <c r="HN40" i="22"/>
  <c r="HU39" i="22"/>
  <c r="HT39" i="22"/>
  <c r="HS39" i="22"/>
  <c r="HR39" i="22"/>
  <c r="HQ39" i="22"/>
  <c r="HP39" i="22"/>
  <c r="HO39" i="22"/>
  <c r="HN39" i="22"/>
  <c r="HU38" i="22"/>
  <c r="HT38" i="22"/>
  <c r="HS38" i="22"/>
  <c r="HR38" i="22"/>
  <c r="HQ38" i="22"/>
  <c r="HP38" i="22"/>
  <c r="HO38" i="22"/>
  <c r="HN38" i="22"/>
  <c r="HU37" i="22"/>
  <c r="HT37" i="22"/>
  <c r="HS37" i="22"/>
  <c r="HR37" i="22"/>
  <c r="HQ37" i="22"/>
  <c r="HP37" i="22"/>
  <c r="HO37" i="22"/>
  <c r="HN37" i="22"/>
  <c r="HU36" i="22"/>
  <c r="HT36" i="22"/>
  <c r="HS36" i="22"/>
  <c r="HR36" i="22"/>
  <c r="HQ36" i="22"/>
  <c r="HP36" i="22"/>
  <c r="HO36" i="22"/>
  <c r="HN36" i="22"/>
  <c r="HU35" i="22"/>
  <c r="HT35" i="22"/>
  <c r="HS35" i="22"/>
  <c r="HR35" i="22"/>
  <c r="HQ35" i="22"/>
  <c r="HP35" i="22"/>
  <c r="HO35" i="22"/>
  <c r="HN35" i="22"/>
  <c r="HU34" i="22"/>
  <c r="HT34" i="22"/>
  <c r="HS34" i="22"/>
  <c r="HR34" i="22"/>
  <c r="HQ34" i="22"/>
  <c r="HP34" i="22"/>
  <c r="HO34" i="22"/>
  <c r="HN34" i="22"/>
  <c r="HU33" i="22"/>
  <c r="HT33" i="22"/>
  <c r="HS33" i="22"/>
  <c r="HR33" i="22"/>
  <c r="HQ33" i="22"/>
  <c r="HP33" i="22"/>
  <c r="HO33" i="22"/>
  <c r="HN33" i="22"/>
  <c r="HU32" i="22"/>
  <c r="HT32" i="22"/>
  <c r="HS32" i="22"/>
  <c r="HR32" i="22"/>
  <c r="HQ32" i="22"/>
  <c r="HP32" i="22"/>
  <c r="HO32" i="22"/>
  <c r="HN32" i="22"/>
  <c r="HU31" i="22"/>
  <c r="HT31" i="22"/>
  <c r="HS31" i="22"/>
  <c r="HR31" i="22"/>
  <c r="HQ31" i="22"/>
  <c r="HP31" i="22"/>
  <c r="HO31" i="22"/>
  <c r="HN31" i="22"/>
  <c r="HU30" i="22"/>
  <c r="HT30" i="22"/>
  <c r="HS30" i="22"/>
  <c r="HR30" i="22"/>
  <c r="HQ30" i="22"/>
  <c r="HP30" i="22"/>
  <c r="HO30" i="22"/>
  <c r="HN30" i="22"/>
  <c r="HU28" i="22"/>
  <c r="HT28" i="22"/>
  <c r="HS28" i="22"/>
  <c r="HR28" i="22"/>
  <c r="HQ28" i="22"/>
  <c r="HP28" i="22"/>
  <c r="HO28" i="22"/>
  <c r="HN28" i="22"/>
  <c r="HU27" i="22"/>
  <c r="HT27" i="22"/>
  <c r="HS27" i="22"/>
  <c r="HR27" i="22"/>
  <c r="HQ27" i="22"/>
  <c r="HP27" i="22"/>
  <c r="HO27" i="22"/>
  <c r="HN27" i="22"/>
  <c r="HU26" i="22"/>
  <c r="HT26" i="22"/>
  <c r="HS26" i="22"/>
  <c r="HR26" i="22"/>
  <c r="HQ26" i="22"/>
  <c r="HP26" i="22"/>
  <c r="HO26" i="22"/>
  <c r="HN26" i="22"/>
  <c r="HU25" i="22"/>
  <c r="HT25" i="22"/>
  <c r="HS25" i="22"/>
  <c r="HR25" i="22"/>
  <c r="HQ25" i="22"/>
  <c r="HP25" i="22"/>
  <c r="HO25" i="22"/>
  <c r="HN25" i="22"/>
  <c r="HU24" i="22"/>
  <c r="HT24" i="22"/>
  <c r="HS24" i="22"/>
  <c r="HR24" i="22"/>
  <c r="HQ24" i="22"/>
  <c r="HP24" i="22"/>
  <c r="HO24" i="22"/>
  <c r="HN24" i="22"/>
  <c r="HT23" i="22"/>
  <c r="HS23" i="22"/>
  <c r="HR23" i="22"/>
  <c r="HQ23" i="22"/>
  <c r="HP23" i="22"/>
  <c r="HO23" i="22"/>
  <c r="HN23" i="22"/>
  <c r="HU22" i="22"/>
  <c r="HT22" i="22"/>
  <c r="HS22" i="22"/>
  <c r="HR22" i="22"/>
  <c r="HQ22" i="22"/>
  <c r="HP22" i="22"/>
  <c r="HO22" i="22"/>
  <c r="HN22" i="22"/>
  <c r="HU21" i="22"/>
  <c r="HT21" i="22"/>
  <c r="HS21" i="22"/>
  <c r="HR21" i="22"/>
  <c r="HQ21" i="22"/>
  <c r="HP21" i="22"/>
  <c r="HO21" i="22"/>
  <c r="HN21" i="22"/>
  <c r="HU20" i="22"/>
  <c r="HT20" i="22"/>
  <c r="HS20" i="22"/>
  <c r="HR20" i="22"/>
  <c r="HQ20" i="22"/>
  <c r="HP20" i="22"/>
  <c r="HO20" i="22"/>
  <c r="HN20" i="22"/>
  <c r="HU19" i="22"/>
  <c r="HT19" i="22"/>
  <c r="HS19" i="22"/>
  <c r="HR19" i="22"/>
  <c r="HQ19" i="22"/>
  <c r="HP19" i="22"/>
  <c r="HO19" i="22"/>
  <c r="HN19" i="22"/>
  <c r="HV18" i="22"/>
  <c r="HU18" i="22"/>
  <c r="HT18" i="22"/>
  <c r="HS18" i="22"/>
  <c r="HR18" i="22"/>
  <c r="HQ18" i="22"/>
  <c r="HP18" i="22"/>
  <c r="HO18" i="22"/>
  <c r="HN18" i="22"/>
  <c r="HZ17" i="22"/>
  <c r="HY17" i="22"/>
  <c r="HW17" i="22"/>
  <c r="HU17" i="22"/>
  <c r="HT17" i="22"/>
  <c r="HS17" i="22"/>
  <c r="HR17" i="22"/>
  <c r="HQ17" i="22"/>
  <c r="HP17" i="22"/>
  <c r="HO17" i="22"/>
  <c r="HN17" i="22"/>
  <c r="CI98" i="15"/>
  <c r="CH98" i="15"/>
  <c r="CG98" i="15"/>
  <c r="CF98" i="15"/>
  <c r="CE98" i="15"/>
  <c r="CD98" i="15"/>
  <c r="CI97" i="15"/>
  <c r="CH97" i="15"/>
  <c r="CG97" i="15"/>
  <c r="CF97" i="15"/>
  <c r="CE97" i="15"/>
  <c r="CD97" i="15"/>
  <c r="CI96" i="15"/>
  <c r="CH96" i="15"/>
  <c r="CG96" i="15"/>
  <c r="CF96" i="15"/>
  <c r="CE96" i="15"/>
  <c r="CD96" i="15"/>
  <c r="CI95" i="15"/>
  <c r="CH95" i="15"/>
  <c r="CG95" i="15"/>
  <c r="CF95" i="15"/>
  <c r="CE95" i="15"/>
  <c r="CD95" i="15"/>
  <c r="CI94" i="15"/>
  <c r="CH94" i="15"/>
  <c r="CG94" i="15"/>
  <c r="CF94" i="15"/>
  <c r="CE94" i="15"/>
  <c r="CD94" i="15"/>
  <c r="CI93" i="15"/>
  <c r="CH93" i="15"/>
  <c r="CG93" i="15"/>
  <c r="CF93" i="15"/>
  <c r="CE93" i="15"/>
  <c r="CD93" i="15"/>
  <c r="CI92" i="15"/>
  <c r="CH92" i="15"/>
  <c r="CG92" i="15"/>
  <c r="CF92" i="15"/>
  <c r="CE92" i="15"/>
  <c r="CD92" i="15"/>
  <c r="CI91" i="15"/>
  <c r="CH91" i="15"/>
  <c r="CG91" i="15"/>
  <c r="CF91" i="15"/>
  <c r="CE91" i="15"/>
  <c r="CD91" i="15"/>
  <c r="CI90" i="15"/>
  <c r="CH90" i="15"/>
  <c r="CG90" i="15"/>
  <c r="CF90" i="15"/>
  <c r="CE90" i="15"/>
  <c r="CD90" i="15"/>
  <c r="CI89" i="15"/>
  <c r="CH89" i="15"/>
  <c r="CG89" i="15"/>
  <c r="CF89" i="15"/>
  <c r="CE89" i="15"/>
  <c r="CD89" i="15"/>
  <c r="CI88" i="15"/>
  <c r="CH88" i="15"/>
  <c r="CG88" i="15"/>
  <c r="CF88" i="15"/>
  <c r="CE88" i="15"/>
  <c r="CD88" i="15"/>
  <c r="CI87" i="15"/>
  <c r="CH87" i="15"/>
  <c r="CG87" i="15"/>
  <c r="CF87" i="15"/>
  <c r="CE87" i="15"/>
  <c r="CD87" i="15"/>
  <c r="CI86" i="15"/>
  <c r="CH86" i="15"/>
  <c r="CG86" i="15"/>
  <c r="CF86" i="15"/>
  <c r="CE86" i="15"/>
  <c r="CD86" i="15"/>
  <c r="CI85" i="15"/>
  <c r="CH85" i="15"/>
  <c r="CG85" i="15"/>
  <c r="CF85" i="15"/>
  <c r="CE85" i="15"/>
  <c r="CD85" i="15"/>
  <c r="CI84" i="15"/>
  <c r="CH84" i="15"/>
  <c r="CG84" i="15"/>
  <c r="CF84" i="15"/>
  <c r="CE84" i="15"/>
  <c r="CD84" i="15"/>
  <c r="CI83" i="15"/>
  <c r="CH83" i="15"/>
  <c r="CG83" i="15"/>
  <c r="CF83" i="15"/>
  <c r="CE83" i="15"/>
  <c r="CD83" i="15"/>
  <c r="CI82" i="15"/>
  <c r="CH82" i="15"/>
  <c r="CG82" i="15"/>
  <c r="CF82" i="15"/>
  <c r="CE82" i="15"/>
  <c r="CD82" i="15"/>
  <c r="CI81" i="15"/>
  <c r="CH81" i="15"/>
  <c r="CG81" i="15"/>
  <c r="CF81" i="15"/>
  <c r="CE81" i="15"/>
  <c r="CD81" i="15"/>
  <c r="CI80" i="15"/>
  <c r="CH80" i="15"/>
  <c r="CG80" i="15"/>
  <c r="CF80" i="15"/>
  <c r="CE80" i="15"/>
  <c r="CD80" i="15"/>
  <c r="CI79" i="15"/>
  <c r="CH79" i="15"/>
  <c r="CG79" i="15"/>
  <c r="CF79" i="15"/>
  <c r="CE79" i="15"/>
  <c r="CD79" i="15"/>
  <c r="CI78" i="15"/>
  <c r="CH78" i="15"/>
  <c r="CG78" i="15"/>
  <c r="CF78" i="15"/>
  <c r="CE78" i="15"/>
  <c r="CD78" i="15"/>
  <c r="CI77" i="15"/>
  <c r="CH77" i="15"/>
  <c r="CG77" i="15"/>
  <c r="CF77" i="15"/>
  <c r="CE77" i="15"/>
  <c r="CD77" i="15"/>
  <c r="CI76" i="15"/>
  <c r="CH76" i="15"/>
  <c r="CG76" i="15"/>
  <c r="CF76" i="15"/>
  <c r="CE76" i="15"/>
  <c r="CD76" i="15"/>
  <c r="CI75" i="15"/>
  <c r="CH75" i="15"/>
  <c r="CG75" i="15"/>
  <c r="CF75" i="15"/>
  <c r="CE75" i="15"/>
  <c r="CD75" i="15"/>
  <c r="CI74" i="15"/>
  <c r="CH74" i="15"/>
  <c r="CG74" i="15"/>
  <c r="CF74" i="15"/>
  <c r="CE74" i="15"/>
  <c r="CD74" i="15"/>
  <c r="CI73" i="15"/>
  <c r="CH73" i="15"/>
  <c r="CG73" i="15"/>
  <c r="CF73" i="15"/>
  <c r="CE73" i="15"/>
  <c r="CD73" i="15"/>
  <c r="CI72" i="15"/>
  <c r="CH72" i="15"/>
  <c r="CG72" i="15"/>
  <c r="CF72" i="15"/>
  <c r="CE72" i="15"/>
  <c r="CD72" i="15"/>
  <c r="CI71" i="15"/>
  <c r="CH71" i="15"/>
  <c r="CG71" i="15"/>
  <c r="CF71" i="15"/>
  <c r="CE71" i="15"/>
  <c r="CD71" i="15"/>
  <c r="CI70" i="15"/>
  <c r="CH70" i="15"/>
  <c r="CG70" i="15"/>
  <c r="CF70" i="15"/>
  <c r="CE70" i="15"/>
  <c r="CD70" i="15"/>
  <c r="CI69" i="15"/>
  <c r="CH69" i="15"/>
  <c r="CG69" i="15"/>
  <c r="CF69" i="15"/>
  <c r="CE69" i="15"/>
  <c r="CD69" i="15"/>
  <c r="CI68" i="15"/>
  <c r="CH68" i="15"/>
  <c r="CG68" i="15"/>
  <c r="CF68" i="15"/>
  <c r="CE68" i="15"/>
  <c r="CD68" i="15"/>
  <c r="CI67" i="15"/>
  <c r="CH67" i="15"/>
  <c r="CG67" i="15"/>
  <c r="CF67" i="15"/>
  <c r="CE67" i="15"/>
  <c r="CD67" i="15"/>
  <c r="CI66" i="15"/>
  <c r="CH66" i="15"/>
  <c r="CG66" i="15"/>
  <c r="CF66" i="15"/>
  <c r="CE66" i="15"/>
  <c r="CD66" i="15"/>
  <c r="CI65" i="15"/>
  <c r="CH65" i="15"/>
  <c r="CG65" i="15"/>
  <c r="CF65" i="15"/>
  <c r="CE65" i="15"/>
  <c r="CD65" i="15"/>
  <c r="CI63" i="15"/>
  <c r="CH63" i="15"/>
  <c r="CG63" i="15"/>
  <c r="CF63" i="15"/>
  <c r="CE63" i="15"/>
  <c r="CD63" i="15"/>
  <c r="CI62" i="15"/>
  <c r="CH62" i="15"/>
  <c r="CG62" i="15"/>
  <c r="CF62" i="15"/>
  <c r="CE62" i="15"/>
  <c r="CD62" i="15"/>
  <c r="CI61" i="15"/>
  <c r="CH61" i="15"/>
  <c r="CG61" i="15"/>
  <c r="CF61" i="15"/>
  <c r="CE61" i="15"/>
  <c r="CD61" i="15"/>
  <c r="CI60" i="15"/>
  <c r="CH60" i="15"/>
  <c r="CG60" i="15"/>
  <c r="CF60" i="15"/>
  <c r="CE60" i="15"/>
  <c r="CD60" i="15"/>
  <c r="CI59" i="15"/>
  <c r="CH59" i="15"/>
  <c r="CG59" i="15"/>
  <c r="CF59" i="15"/>
  <c r="CE59" i="15"/>
  <c r="CD59" i="15"/>
  <c r="CI58" i="15"/>
  <c r="CH58" i="15"/>
  <c r="CG58" i="15"/>
  <c r="CF58" i="15"/>
  <c r="CE58" i="15"/>
  <c r="CD58" i="15"/>
  <c r="CI57" i="15"/>
  <c r="CH57" i="15"/>
  <c r="CG57" i="15"/>
  <c r="CF57" i="15"/>
  <c r="CE57" i="15"/>
  <c r="CD57" i="15"/>
  <c r="CI56" i="15"/>
  <c r="CH56" i="15"/>
  <c r="CG56" i="15"/>
  <c r="CF56" i="15"/>
  <c r="CE56" i="15"/>
  <c r="CD56" i="15"/>
  <c r="CI55" i="15"/>
  <c r="CH55" i="15"/>
  <c r="CG55" i="15"/>
  <c r="CF55" i="15"/>
  <c r="CE55" i="15"/>
  <c r="CD55" i="15"/>
  <c r="CI54" i="15"/>
  <c r="CH54" i="15"/>
  <c r="CG54" i="15"/>
  <c r="CF54" i="15"/>
  <c r="CE54" i="15"/>
  <c r="CD54" i="15"/>
  <c r="CI53" i="15"/>
  <c r="CH53" i="15"/>
  <c r="CG53" i="15"/>
  <c r="CF53" i="15"/>
  <c r="CE53" i="15"/>
  <c r="CD53" i="15"/>
  <c r="CI52" i="15"/>
  <c r="CH52" i="15"/>
  <c r="CG52" i="15"/>
  <c r="CF52" i="15"/>
  <c r="CE52" i="15"/>
  <c r="CD52" i="15"/>
  <c r="CI51" i="15"/>
  <c r="CH51" i="15"/>
  <c r="CG51" i="15"/>
  <c r="CF51" i="15"/>
  <c r="CE51" i="15"/>
  <c r="CD51" i="15"/>
  <c r="CI50" i="15"/>
  <c r="CH50" i="15"/>
  <c r="CG50" i="15"/>
  <c r="CF50" i="15"/>
  <c r="CE50" i="15"/>
  <c r="CD50" i="15"/>
  <c r="CI49" i="15"/>
  <c r="CH49" i="15"/>
  <c r="CG49" i="15"/>
  <c r="CF49" i="15"/>
  <c r="CE49" i="15"/>
  <c r="CD49" i="15"/>
  <c r="CI48" i="15"/>
  <c r="CH48" i="15"/>
  <c r="CG48" i="15"/>
  <c r="CF48" i="15"/>
  <c r="CE48" i="15"/>
  <c r="CD48" i="15"/>
  <c r="CI47" i="15"/>
  <c r="CH47" i="15"/>
  <c r="CG47" i="15"/>
  <c r="CF47" i="15"/>
  <c r="CE47" i="15"/>
  <c r="CD47" i="15"/>
  <c r="CI46" i="15"/>
  <c r="CH46" i="15"/>
  <c r="CG46" i="15"/>
  <c r="CF46" i="15"/>
  <c r="CE46" i="15"/>
  <c r="CD46" i="15"/>
  <c r="CI45" i="15"/>
  <c r="CH45" i="15"/>
  <c r="CG45" i="15"/>
  <c r="CF45" i="15"/>
  <c r="CE45" i="15"/>
  <c r="CD45" i="15"/>
  <c r="CI44" i="15"/>
  <c r="CH44" i="15"/>
  <c r="CG44" i="15"/>
  <c r="CF44" i="15"/>
  <c r="CE44" i="15"/>
  <c r="CD44" i="15"/>
  <c r="CI43" i="15"/>
  <c r="CH43" i="15"/>
  <c r="CG43" i="15"/>
  <c r="CF43" i="15"/>
  <c r="CE43" i="15"/>
  <c r="CD43" i="15"/>
  <c r="CI42" i="15"/>
  <c r="CH42" i="15"/>
  <c r="CG42" i="15"/>
  <c r="CF42" i="15"/>
  <c r="CE42" i="15"/>
  <c r="CD42" i="15"/>
  <c r="CI41" i="15"/>
  <c r="CH41" i="15"/>
  <c r="CG41" i="15"/>
  <c r="CF41" i="15"/>
  <c r="CE41" i="15"/>
  <c r="CD41" i="15"/>
  <c r="CI40" i="15"/>
  <c r="CH40" i="15"/>
  <c r="CG40" i="15"/>
  <c r="CF40" i="15"/>
  <c r="CE40" i="15"/>
  <c r="CD40" i="15"/>
  <c r="CI39" i="15"/>
  <c r="CH39" i="15"/>
  <c r="CG39" i="15"/>
  <c r="CF39" i="15"/>
  <c r="CE39" i="15"/>
  <c r="CD39" i="15"/>
  <c r="CI38" i="15"/>
  <c r="CH38" i="15"/>
  <c r="CG38" i="15"/>
  <c r="CF38" i="15"/>
  <c r="CE38" i="15"/>
  <c r="CD38" i="15"/>
  <c r="CI37" i="15"/>
  <c r="CH37" i="15"/>
  <c r="CG37" i="15"/>
  <c r="CF37" i="15"/>
  <c r="CE37" i="15"/>
  <c r="CD37" i="15"/>
  <c r="CI36" i="15"/>
  <c r="CH36" i="15"/>
  <c r="CG36" i="15"/>
  <c r="CF36" i="15"/>
  <c r="CE36" i="15"/>
  <c r="CD36" i="15"/>
  <c r="CI35" i="15"/>
  <c r="CH35" i="15"/>
  <c r="CG35" i="15"/>
  <c r="CF35" i="15"/>
  <c r="CE35" i="15"/>
  <c r="CD35" i="15"/>
  <c r="CI34" i="15"/>
  <c r="CH34" i="15"/>
  <c r="CG34" i="15"/>
  <c r="CF34" i="15"/>
  <c r="CE34" i="15"/>
  <c r="CD34" i="15"/>
  <c r="CI33" i="15"/>
  <c r="CH33" i="15"/>
  <c r="CG33" i="15"/>
  <c r="CF33" i="15"/>
  <c r="CE33" i="15"/>
  <c r="CD33" i="15"/>
  <c r="CI32" i="15"/>
  <c r="CH32" i="15"/>
  <c r="CG32" i="15"/>
  <c r="CF32" i="15"/>
  <c r="CE32" i="15"/>
  <c r="CD32" i="15"/>
  <c r="CI31" i="15"/>
  <c r="CH31" i="15"/>
  <c r="CG31" i="15"/>
  <c r="CF31" i="15"/>
  <c r="CE31" i="15"/>
  <c r="CD31" i="15"/>
  <c r="CI30" i="15"/>
  <c r="CH30" i="15"/>
  <c r="CG30" i="15"/>
  <c r="CF30" i="15"/>
  <c r="CE30" i="15"/>
  <c r="CD30" i="15"/>
  <c r="CI29" i="15"/>
  <c r="CH29" i="15"/>
  <c r="CG29" i="15"/>
  <c r="CF29" i="15"/>
  <c r="CE29" i="15"/>
  <c r="CD29" i="15"/>
  <c r="CI28" i="15"/>
  <c r="CH28" i="15"/>
  <c r="CG28" i="15"/>
  <c r="CF28" i="15"/>
  <c r="CE28" i="15"/>
  <c r="CD28" i="15"/>
  <c r="CI27" i="15"/>
  <c r="CH27" i="15"/>
  <c r="CG27" i="15"/>
  <c r="CF27" i="15"/>
  <c r="CE27" i="15"/>
  <c r="CD27" i="15"/>
  <c r="CI26" i="15"/>
  <c r="CH26" i="15"/>
  <c r="CG26" i="15"/>
  <c r="CF26" i="15"/>
  <c r="CE26" i="15"/>
  <c r="CD26" i="15"/>
  <c r="CI25" i="15"/>
  <c r="CH25" i="15"/>
  <c r="CG25" i="15"/>
  <c r="CF25" i="15"/>
  <c r="CE25" i="15"/>
  <c r="CD25" i="15"/>
  <c r="CI24" i="15"/>
  <c r="CH24" i="15"/>
  <c r="CG24" i="15"/>
  <c r="CF24" i="15"/>
  <c r="CE24" i="15"/>
  <c r="CD24" i="15"/>
  <c r="CI23" i="15"/>
  <c r="CH23" i="15"/>
  <c r="CG23" i="15"/>
  <c r="CF23" i="15"/>
  <c r="CE23" i="15"/>
  <c r="CD23" i="15"/>
  <c r="CI22" i="15"/>
  <c r="CH22" i="15"/>
  <c r="CG22" i="15"/>
  <c r="CF22" i="15"/>
  <c r="CE22" i="15"/>
  <c r="CD22" i="15"/>
  <c r="CI21" i="15"/>
  <c r="CH21" i="15"/>
  <c r="CG21" i="15"/>
  <c r="CF21" i="15"/>
  <c r="CE21" i="15"/>
  <c r="CD21" i="15"/>
  <c r="CI20" i="15"/>
  <c r="CH20" i="15"/>
  <c r="CG20" i="15"/>
  <c r="CF20" i="15"/>
  <c r="CE20" i="15"/>
  <c r="CD20" i="15"/>
  <c r="CI19" i="15"/>
  <c r="CH19" i="15"/>
  <c r="CG19" i="15"/>
  <c r="CF19" i="15"/>
  <c r="CE19" i="15"/>
  <c r="CD19" i="15"/>
  <c r="CI18" i="15"/>
  <c r="CH18" i="15"/>
  <c r="CG18" i="15"/>
  <c r="M28" i="30"/>
  <c r="CF18" i="15"/>
  <c r="CE18" i="15"/>
  <c r="CD18" i="15"/>
  <c r="CI17" i="15"/>
  <c r="CH17" i="15"/>
  <c r="CG17" i="15"/>
  <c r="CF17" i="15"/>
  <c r="CE17" i="15"/>
  <c r="CD17" i="15"/>
  <c r="CI16" i="15"/>
  <c r="CH16" i="15"/>
  <c r="CG16" i="15"/>
  <c r="CF16" i="15"/>
  <c r="CE16" i="15"/>
  <c r="CD16" i="15"/>
  <c r="CI15" i="15"/>
  <c r="O30" i="30"/>
  <c r="CH15" i="15"/>
  <c r="CG15" i="15"/>
  <c r="M30" i="30"/>
  <c r="CF15" i="15"/>
  <c r="CE15" i="15"/>
  <c r="CD15" i="15"/>
  <c r="CI14" i="15"/>
  <c r="CH14" i="15"/>
  <c r="CG14" i="15"/>
  <c r="CF14" i="15"/>
  <c r="CE14" i="15"/>
  <c r="CD14" i="15"/>
  <c r="CI13" i="15"/>
  <c r="CH13" i="15"/>
  <c r="CG13" i="15"/>
  <c r="CF13" i="15"/>
  <c r="CE13" i="15"/>
  <c r="CD13" i="15"/>
  <c r="CI12" i="15"/>
  <c r="CH12" i="15"/>
  <c r="CG12" i="15"/>
  <c r="CF12" i="15"/>
  <c r="CE12" i="15"/>
  <c r="CD12" i="15"/>
  <c r="CI11" i="15"/>
  <c r="CH11" i="15"/>
  <c r="CG11" i="15"/>
  <c r="CF11" i="15"/>
  <c r="CE11" i="15"/>
  <c r="CD11" i="15"/>
  <c r="CI10" i="15"/>
  <c r="CH10" i="15"/>
  <c r="CG10" i="15"/>
  <c r="CF10" i="15"/>
  <c r="CE10" i="15"/>
  <c r="CD10" i="15"/>
  <c r="BK98" i="15"/>
  <c r="BJ98" i="15"/>
  <c r="BI98" i="15"/>
  <c r="BH98" i="15"/>
  <c r="BG98" i="15"/>
  <c r="BF98" i="15"/>
  <c r="BK97" i="15"/>
  <c r="BJ97" i="15"/>
  <c r="BI97" i="15"/>
  <c r="BH97" i="15"/>
  <c r="BG97" i="15"/>
  <c r="BF97" i="15"/>
  <c r="BK96" i="15"/>
  <c r="BJ96" i="15"/>
  <c r="BI96" i="15"/>
  <c r="BH96" i="15"/>
  <c r="BG96" i="15"/>
  <c r="BF96" i="15"/>
  <c r="BK95" i="15"/>
  <c r="BJ95" i="15"/>
  <c r="BI95" i="15"/>
  <c r="BH95" i="15"/>
  <c r="BG95" i="15"/>
  <c r="BF95" i="15"/>
  <c r="BK94" i="15"/>
  <c r="BJ94" i="15"/>
  <c r="BI94" i="15"/>
  <c r="BH94" i="15"/>
  <c r="BG94" i="15"/>
  <c r="BF94" i="15"/>
  <c r="BK93" i="15"/>
  <c r="BJ93" i="15"/>
  <c r="BI93" i="15"/>
  <c r="BH93" i="15"/>
  <c r="BG93" i="15"/>
  <c r="BF93" i="15"/>
  <c r="BK92" i="15"/>
  <c r="BJ92" i="15"/>
  <c r="BI92" i="15"/>
  <c r="BH92" i="15"/>
  <c r="BG92" i="15"/>
  <c r="BF92" i="15"/>
  <c r="BK91" i="15"/>
  <c r="BJ91" i="15"/>
  <c r="BI91" i="15"/>
  <c r="BH91" i="15"/>
  <c r="BG91" i="15"/>
  <c r="BF91" i="15"/>
  <c r="BK90" i="15"/>
  <c r="BJ90" i="15"/>
  <c r="BI90" i="15"/>
  <c r="BH90" i="15"/>
  <c r="BG90" i="15"/>
  <c r="BF90" i="15"/>
  <c r="BK89" i="15"/>
  <c r="BJ89" i="15"/>
  <c r="BI89" i="15"/>
  <c r="BH89" i="15"/>
  <c r="BG89" i="15"/>
  <c r="BF89" i="15"/>
  <c r="BK88" i="15"/>
  <c r="BJ88" i="15"/>
  <c r="BI88" i="15"/>
  <c r="BH88" i="15"/>
  <c r="BG88" i="15"/>
  <c r="BF88" i="15"/>
  <c r="BK87" i="15"/>
  <c r="BJ87" i="15"/>
  <c r="BI87" i="15"/>
  <c r="BH87" i="15"/>
  <c r="BG87" i="15"/>
  <c r="BF87" i="15"/>
  <c r="BK86" i="15"/>
  <c r="BJ86" i="15"/>
  <c r="BI86" i="15"/>
  <c r="BH86" i="15"/>
  <c r="BG86" i="15"/>
  <c r="BF86" i="15"/>
  <c r="BK85" i="15"/>
  <c r="BJ85" i="15"/>
  <c r="BI85" i="15"/>
  <c r="BH85" i="15"/>
  <c r="BG85" i="15"/>
  <c r="BF85" i="15"/>
  <c r="BK84" i="15"/>
  <c r="BJ84" i="15"/>
  <c r="BI84" i="15"/>
  <c r="BH84" i="15"/>
  <c r="BG84" i="15"/>
  <c r="BF84" i="15"/>
  <c r="BK83" i="15"/>
  <c r="BJ83" i="15"/>
  <c r="BI83" i="15"/>
  <c r="BH83" i="15"/>
  <c r="BG83" i="15"/>
  <c r="BF83" i="15"/>
  <c r="BK82" i="15"/>
  <c r="BJ82" i="15"/>
  <c r="BI82" i="15"/>
  <c r="BH82" i="15"/>
  <c r="BG82" i="15"/>
  <c r="BF82" i="15"/>
  <c r="BK81" i="15"/>
  <c r="BJ81" i="15"/>
  <c r="BI81" i="15"/>
  <c r="BH81" i="15"/>
  <c r="BG81" i="15"/>
  <c r="BF81" i="15"/>
  <c r="BK80" i="15"/>
  <c r="BJ80" i="15"/>
  <c r="BI80" i="15"/>
  <c r="BH80" i="15"/>
  <c r="BG80" i="15"/>
  <c r="BF80" i="15"/>
  <c r="BK79" i="15"/>
  <c r="BJ79" i="15"/>
  <c r="BI79" i="15"/>
  <c r="BH79" i="15"/>
  <c r="BG79" i="15"/>
  <c r="BF79" i="15"/>
  <c r="BK78" i="15"/>
  <c r="BJ78" i="15"/>
  <c r="BI78" i="15"/>
  <c r="BH78" i="15"/>
  <c r="BG78" i="15"/>
  <c r="BF78" i="15"/>
  <c r="BK77" i="15"/>
  <c r="BJ77" i="15"/>
  <c r="BI77" i="15"/>
  <c r="BH77" i="15"/>
  <c r="BG77" i="15"/>
  <c r="BF77" i="15"/>
  <c r="BK76" i="15"/>
  <c r="BJ76" i="15"/>
  <c r="BI76" i="15"/>
  <c r="BH76" i="15"/>
  <c r="BG76" i="15"/>
  <c r="BF76" i="15"/>
  <c r="BK75" i="15"/>
  <c r="BJ75" i="15"/>
  <c r="BI75" i="15"/>
  <c r="BH75" i="15"/>
  <c r="BG75" i="15"/>
  <c r="BF75" i="15"/>
  <c r="BK74" i="15"/>
  <c r="BJ74" i="15"/>
  <c r="BI74" i="15"/>
  <c r="BH74" i="15"/>
  <c r="BG74" i="15"/>
  <c r="BF74" i="15"/>
  <c r="BK73" i="15"/>
  <c r="BJ73" i="15"/>
  <c r="BI73" i="15"/>
  <c r="BH73" i="15"/>
  <c r="BG73" i="15"/>
  <c r="BF73" i="15"/>
  <c r="BK72" i="15"/>
  <c r="BJ72" i="15"/>
  <c r="BI72" i="15"/>
  <c r="BH72" i="15"/>
  <c r="BG72" i="15"/>
  <c r="BF72" i="15"/>
  <c r="BK71" i="15"/>
  <c r="BJ71" i="15"/>
  <c r="BI71" i="15"/>
  <c r="BH71" i="15"/>
  <c r="BG71" i="15"/>
  <c r="BF71" i="15"/>
  <c r="BK70" i="15"/>
  <c r="BJ70" i="15"/>
  <c r="BI70" i="15"/>
  <c r="BH70" i="15"/>
  <c r="BG70" i="15"/>
  <c r="BF70" i="15"/>
  <c r="BK69" i="15"/>
  <c r="BJ69" i="15"/>
  <c r="BI69" i="15"/>
  <c r="BH69" i="15"/>
  <c r="BG69" i="15"/>
  <c r="BF69" i="15"/>
  <c r="BK68" i="15"/>
  <c r="BJ68" i="15"/>
  <c r="BI68" i="15"/>
  <c r="BH68" i="15"/>
  <c r="BG68" i="15"/>
  <c r="BF68" i="15"/>
  <c r="BK67" i="15"/>
  <c r="BJ67" i="15"/>
  <c r="BI67" i="15"/>
  <c r="M23" i="29"/>
  <c r="BH67" i="15"/>
  <c r="BG67" i="15"/>
  <c r="BF67" i="15"/>
  <c r="BK66" i="15"/>
  <c r="BJ66" i="15"/>
  <c r="BI66" i="15"/>
  <c r="BH66" i="15"/>
  <c r="BG66" i="15"/>
  <c r="BF66" i="15"/>
  <c r="BK65" i="15"/>
  <c r="BJ65" i="15"/>
  <c r="BI65" i="15"/>
  <c r="BH65" i="15"/>
  <c r="BG65" i="15"/>
  <c r="BF65" i="15"/>
  <c r="BK63" i="15"/>
  <c r="BJ63" i="15"/>
  <c r="BI63" i="15"/>
  <c r="BH63" i="15"/>
  <c r="BG63" i="15"/>
  <c r="BF63" i="15"/>
  <c r="BK62" i="15"/>
  <c r="BJ62" i="15"/>
  <c r="BI62" i="15"/>
  <c r="BH62" i="15"/>
  <c r="BG62" i="15"/>
  <c r="BF62" i="15"/>
  <c r="BK61" i="15"/>
  <c r="BJ61" i="15"/>
  <c r="BI61" i="15"/>
  <c r="BH61" i="15"/>
  <c r="BG61" i="15"/>
  <c r="BF61" i="15"/>
  <c r="BK60" i="15"/>
  <c r="BJ60" i="15"/>
  <c r="BI60" i="15"/>
  <c r="BH60" i="15"/>
  <c r="BG60" i="15"/>
  <c r="BF60" i="15"/>
  <c r="BK59" i="15"/>
  <c r="BJ59" i="15"/>
  <c r="BI59" i="15"/>
  <c r="BH59" i="15"/>
  <c r="BG59" i="15"/>
  <c r="BF59" i="15"/>
  <c r="BK58" i="15"/>
  <c r="BJ58" i="15"/>
  <c r="BI58" i="15"/>
  <c r="BH58" i="15"/>
  <c r="BG58" i="15"/>
  <c r="BF58" i="15"/>
  <c r="BK57" i="15"/>
  <c r="BJ57" i="15"/>
  <c r="BI57" i="15"/>
  <c r="BH57" i="15"/>
  <c r="BG57" i="15"/>
  <c r="BF57" i="15"/>
  <c r="BK56" i="15"/>
  <c r="BJ56" i="15"/>
  <c r="BI56" i="15"/>
  <c r="BH56" i="15"/>
  <c r="BG56" i="15"/>
  <c r="BF56" i="15"/>
  <c r="BK55" i="15"/>
  <c r="BJ55" i="15"/>
  <c r="BI55" i="15"/>
  <c r="BH55" i="15"/>
  <c r="BG55" i="15"/>
  <c r="BF55" i="15"/>
  <c r="BK54" i="15"/>
  <c r="BJ54" i="15"/>
  <c r="BI54" i="15"/>
  <c r="BH54" i="15"/>
  <c r="BG54" i="15"/>
  <c r="BF54" i="15"/>
  <c r="BK53" i="15"/>
  <c r="BJ53" i="15"/>
  <c r="BI53" i="15"/>
  <c r="BH53" i="15"/>
  <c r="BG53" i="15"/>
  <c r="BF53" i="15"/>
  <c r="BK52" i="15"/>
  <c r="BJ52" i="15"/>
  <c r="BI52" i="15"/>
  <c r="BH52" i="15"/>
  <c r="BG52" i="15"/>
  <c r="BF52" i="15"/>
  <c r="BK51" i="15"/>
  <c r="BJ51" i="15"/>
  <c r="BI51" i="15"/>
  <c r="BH51" i="15"/>
  <c r="BG51" i="15"/>
  <c r="BF51" i="15"/>
  <c r="BK50" i="15"/>
  <c r="BJ50" i="15"/>
  <c r="BI50" i="15"/>
  <c r="BH50" i="15"/>
  <c r="BG50" i="15"/>
  <c r="BF50" i="15"/>
  <c r="BK49" i="15"/>
  <c r="BJ49" i="15"/>
  <c r="BI49" i="15"/>
  <c r="BH49" i="15"/>
  <c r="BG49" i="15"/>
  <c r="BF49" i="15"/>
  <c r="BK48" i="15"/>
  <c r="BJ48" i="15"/>
  <c r="BI48" i="15"/>
  <c r="BH48" i="15"/>
  <c r="BG48" i="15"/>
  <c r="BF48" i="15"/>
  <c r="BK47" i="15"/>
  <c r="BJ47" i="15"/>
  <c r="BI47" i="15"/>
  <c r="BH47" i="15"/>
  <c r="BG47" i="15"/>
  <c r="BF47" i="15"/>
  <c r="BK46" i="15"/>
  <c r="BJ46" i="15"/>
  <c r="BI46" i="15"/>
  <c r="BH46" i="15"/>
  <c r="BG46" i="15"/>
  <c r="BF46" i="15"/>
  <c r="BK45" i="15"/>
  <c r="BJ45" i="15"/>
  <c r="BI45" i="15"/>
  <c r="BH45" i="15"/>
  <c r="BG45" i="15"/>
  <c r="BF45" i="15"/>
  <c r="BK44" i="15"/>
  <c r="BJ44" i="15"/>
  <c r="BI44" i="15"/>
  <c r="BH44" i="15"/>
  <c r="BG44" i="15"/>
  <c r="BF44" i="15"/>
  <c r="BK43" i="15"/>
  <c r="BJ43" i="15"/>
  <c r="BI43" i="15"/>
  <c r="BH43" i="15"/>
  <c r="BG43" i="15"/>
  <c r="BF43" i="15"/>
  <c r="BK42" i="15"/>
  <c r="BJ42" i="15"/>
  <c r="BI42" i="15"/>
  <c r="BH42" i="15"/>
  <c r="BG42" i="15"/>
  <c r="BF42" i="15"/>
  <c r="BK41" i="15"/>
  <c r="BJ41" i="15"/>
  <c r="BI41" i="15"/>
  <c r="BH41" i="15"/>
  <c r="BG41" i="15"/>
  <c r="BF41" i="15"/>
  <c r="BK40" i="15"/>
  <c r="BJ40" i="15"/>
  <c r="BI40" i="15"/>
  <c r="BH40" i="15"/>
  <c r="BG40" i="15"/>
  <c r="BF40" i="15"/>
  <c r="BK39" i="15"/>
  <c r="BJ39" i="15"/>
  <c r="BI39" i="15"/>
  <c r="BH39" i="15"/>
  <c r="BG39" i="15"/>
  <c r="BF39" i="15"/>
  <c r="BK38" i="15"/>
  <c r="BJ38" i="15"/>
  <c r="BI38" i="15"/>
  <c r="BH38" i="15"/>
  <c r="BG38" i="15"/>
  <c r="BF38" i="15"/>
  <c r="BK37" i="15"/>
  <c r="BJ37" i="15"/>
  <c r="BI37" i="15"/>
  <c r="BH37" i="15"/>
  <c r="BG37" i="15"/>
  <c r="BF37" i="15"/>
  <c r="BK36" i="15"/>
  <c r="BJ36" i="15"/>
  <c r="BI36" i="15"/>
  <c r="BH36" i="15"/>
  <c r="BG36" i="15"/>
  <c r="BF36" i="15"/>
  <c r="BK35" i="15"/>
  <c r="BJ35" i="15"/>
  <c r="BI35" i="15"/>
  <c r="BH35" i="15"/>
  <c r="BG35" i="15"/>
  <c r="BF35" i="15"/>
  <c r="BK34" i="15"/>
  <c r="BJ34" i="15"/>
  <c r="BI34" i="15"/>
  <c r="BH34" i="15"/>
  <c r="BG34" i="15"/>
  <c r="BF34" i="15"/>
  <c r="BK33" i="15"/>
  <c r="BJ33" i="15"/>
  <c r="BI33" i="15"/>
  <c r="BH33" i="15"/>
  <c r="BG33" i="15"/>
  <c r="BF33" i="15"/>
  <c r="BK32" i="15"/>
  <c r="BJ32" i="15"/>
  <c r="BI32" i="15"/>
  <c r="BH32" i="15"/>
  <c r="BG32" i="15"/>
  <c r="BF32" i="15"/>
  <c r="BK31" i="15"/>
  <c r="BJ31" i="15"/>
  <c r="BI31" i="15"/>
  <c r="BH31" i="15"/>
  <c r="BG31" i="15"/>
  <c r="BF31" i="15"/>
  <c r="BK30" i="15"/>
  <c r="BJ30" i="15"/>
  <c r="BI30" i="15"/>
  <c r="BH30" i="15"/>
  <c r="BG30" i="15"/>
  <c r="BF30" i="15"/>
  <c r="BK29" i="15"/>
  <c r="BJ29" i="15"/>
  <c r="BI29" i="15"/>
  <c r="BH29" i="15"/>
  <c r="BG29" i="15"/>
  <c r="BF29" i="15"/>
  <c r="BK28" i="15"/>
  <c r="BJ28" i="15"/>
  <c r="BI28" i="15"/>
  <c r="BH28" i="15"/>
  <c r="BG28" i="15"/>
  <c r="BF28" i="15"/>
  <c r="BK27" i="15"/>
  <c r="BJ27" i="15"/>
  <c r="BI27" i="15"/>
  <c r="BH27" i="15"/>
  <c r="BG27" i="15"/>
  <c r="BF27" i="15"/>
  <c r="BK26" i="15"/>
  <c r="BJ26" i="15"/>
  <c r="BI26" i="15"/>
  <c r="BH26" i="15"/>
  <c r="BG26" i="15"/>
  <c r="BF26" i="15"/>
  <c r="BK25" i="15"/>
  <c r="BJ25" i="15"/>
  <c r="BI25" i="15"/>
  <c r="BH25" i="15"/>
  <c r="BG25" i="15"/>
  <c r="BF25" i="15"/>
  <c r="BK24" i="15"/>
  <c r="BJ24" i="15"/>
  <c r="BI24" i="15"/>
  <c r="BH24" i="15"/>
  <c r="BG24" i="15"/>
  <c r="BF24" i="15"/>
  <c r="BK23" i="15"/>
  <c r="BJ23" i="15"/>
  <c r="BI23" i="15"/>
  <c r="BH23" i="15"/>
  <c r="BG23" i="15"/>
  <c r="BF23" i="15"/>
  <c r="BK22" i="15"/>
  <c r="BJ22" i="15"/>
  <c r="BI22" i="15"/>
  <c r="BH22" i="15"/>
  <c r="BG22" i="15"/>
  <c r="BF22" i="15"/>
  <c r="BK21" i="15"/>
  <c r="BJ21" i="15"/>
  <c r="BI21" i="15"/>
  <c r="BH21" i="15"/>
  <c r="BG21" i="15"/>
  <c r="BF21" i="15"/>
  <c r="BK20" i="15"/>
  <c r="BJ20" i="15"/>
  <c r="BI20" i="15"/>
  <c r="BH20" i="15"/>
  <c r="BG20" i="15"/>
  <c r="BF20" i="15"/>
  <c r="BK19" i="15"/>
  <c r="BJ19" i="15"/>
  <c r="BI19" i="15"/>
  <c r="BH19" i="15"/>
  <c r="BG19" i="15"/>
  <c r="BF19" i="15"/>
  <c r="BK18" i="15"/>
  <c r="BJ18" i="15"/>
  <c r="BI18" i="15"/>
  <c r="BH18" i="15"/>
  <c r="BG18" i="15"/>
  <c r="BF18" i="15"/>
  <c r="BK17" i="15"/>
  <c r="BJ17" i="15"/>
  <c r="BI17" i="15"/>
  <c r="BH17" i="15"/>
  <c r="BG17" i="15"/>
  <c r="BF17" i="15"/>
  <c r="BK16" i="15"/>
  <c r="BJ16" i="15"/>
  <c r="BI16" i="15"/>
  <c r="BH16" i="15"/>
  <c r="BG16" i="15"/>
  <c r="BF16" i="15"/>
  <c r="BK15" i="15"/>
  <c r="BJ15" i="15"/>
  <c r="BI15" i="15"/>
  <c r="BH15" i="15"/>
  <c r="BG15" i="15"/>
  <c r="BF15" i="15"/>
  <c r="BK14" i="15"/>
  <c r="BJ14" i="15"/>
  <c r="BI14" i="15"/>
  <c r="BH14" i="15"/>
  <c r="BG14" i="15"/>
  <c r="BF14" i="15"/>
  <c r="BK13" i="15"/>
  <c r="BJ13" i="15"/>
  <c r="BI13" i="15"/>
  <c r="BH13" i="15"/>
  <c r="BG13" i="15"/>
  <c r="BF13" i="15"/>
  <c r="BK12" i="15"/>
  <c r="BJ12" i="15"/>
  <c r="BI12" i="15"/>
  <c r="BH12" i="15"/>
  <c r="BG12" i="15"/>
  <c r="BF12" i="15"/>
  <c r="BK11" i="15"/>
  <c r="BK10" i="15"/>
  <c r="BL99" i="15"/>
  <c r="BJ11" i="15"/>
  <c r="BI11" i="15"/>
  <c r="BH11" i="15"/>
  <c r="BG11" i="15"/>
  <c r="BG10" i="15"/>
  <c r="BH99" i="15"/>
  <c r="BF11" i="15"/>
  <c r="BJ10" i="15"/>
  <c r="BI10" i="15"/>
  <c r="BJ99" i="15"/>
  <c r="BH10" i="15"/>
  <c r="BF10" i="15"/>
  <c r="AM98" i="15"/>
  <c r="AL98" i="15"/>
  <c r="AK98" i="15"/>
  <c r="AJ98" i="15"/>
  <c r="AI98" i="15"/>
  <c r="AH98" i="15"/>
  <c r="AM97" i="15"/>
  <c r="AL97" i="15"/>
  <c r="AK97" i="15"/>
  <c r="AJ97" i="15"/>
  <c r="AI97" i="15"/>
  <c r="AH97" i="15"/>
  <c r="AM96" i="15"/>
  <c r="AL96" i="15"/>
  <c r="AK96" i="15"/>
  <c r="AJ96" i="15"/>
  <c r="AI96" i="15"/>
  <c r="AH96" i="15"/>
  <c r="AM95" i="15"/>
  <c r="AL95" i="15"/>
  <c r="AK95" i="15"/>
  <c r="AJ95" i="15"/>
  <c r="AI95" i="15"/>
  <c r="AH95" i="15"/>
  <c r="AM94" i="15"/>
  <c r="AL94" i="15"/>
  <c r="AK94" i="15"/>
  <c r="AJ94" i="15"/>
  <c r="AI94" i="15"/>
  <c r="AH94" i="15"/>
  <c r="AM93" i="15"/>
  <c r="AL93" i="15"/>
  <c r="AK93" i="15"/>
  <c r="AJ93" i="15"/>
  <c r="AI93" i="15"/>
  <c r="AH93" i="15"/>
  <c r="AM92" i="15"/>
  <c r="AL92" i="15"/>
  <c r="AK92" i="15"/>
  <c r="AJ92" i="15"/>
  <c r="AI92" i="15"/>
  <c r="AH92" i="15"/>
  <c r="AM91" i="15"/>
  <c r="AL91" i="15"/>
  <c r="AK91" i="15"/>
  <c r="AJ91" i="15"/>
  <c r="AI91" i="15"/>
  <c r="AH91" i="15"/>
  <c r="AM90" i="15"/>
  <c r="AL90" i="15"/>
  <c r="AK90" i="15"/>
  <c r="AJ90" i="15"/>
  <c r="AI90" i="15"/>
  <c r="AH90" i="15"/>
  <c r="AM89" i="15"/>
  <c r="AL89" i="15"/>
  <c r="AK89" i="15"/>
  <c r="AJ89" i="15"/>
  <c r="AI89" i="15"/>
  <c r="AH89" i="15"/>
  <c r="AM88" i="15"/>
  <c r="AL88" i="15"/>
  <c r="AK88" i="15"/>
  <c r="AJ88" i="15"/>
  <c r="AI88" i="15"/>
  <c r="AH88" i="15"/>
  <c r="AM87" i="15"/>
  <c r="AL87" i="15"/>
  <c r="AK87" i="15"/>
  <c r="AJ87" i="15"/>
  <c r="AI87" i="15"/>
  <c r="AH87" i="15"/>
  <c r="AM86" i="15"/>
  <c r="AL86" i="15"/>
  <c r="AK86" i="15"/>
  <c r="AJ86" i="15"/>
  <c r="AI86" i="15"/>
  <c r="AH86" i="15"/>
  <c r="AM85" i="15"/>
  <c r="AL85" i="15"/>
  <c r="AK85" i="15"/>
  <c r="AJ85" i="15"/>
  <c r="AI85" i="15"/>
  <c r="AH85" i="15"/>
  <c r="AM84" i="15"/>
  <c r="AL84" i="15"/>
  <c r="AK84" i="15"/>
  <c r="AJ84" i="15"/>
  <c r="AI84" i="15"/>
  <c r="AH84" i="15"/>
  <c r="AM83" i="15"/>
  <c r="AL83" i="15"/>
  <c r="AK83" i="15"/>
  <c r="AJ83" i="15"/>
  <c r="AI83" i="15"/>
  <c r="AH83" i="15"/>
  <c r="AM82" i="15"/>
  <c r="AL82" i="15"/>
  <c r="AK82" i="15"/>
  <c r="AJ82" i="15"/>
  <c r="AI82" i="15"/>
  <c r="AH82" i="15"/>
  <c r="AM81" i="15"/>
  <c r="AL81" i="15"/>
  <c r="AK81" i="15"/>
  <c r="AJ81" i="15"/>
  <c r="AI81" i="15"/>
  <c r="AH81" i="15"/>
  <c r="AM80" i="15"/>
  <c r="AL80" i="15"/>
  <c r="AK80" i="15"/>
  <c r="AJ80" i="15"/>
  <c r="AI80" i="15"/>
  <c r="AH80" i="15"/>
  <c r="AM79" i="15"/>
  <c r="AL79" i="15"/>
  <c r="AK79" i="15"/>
  <c r="AJ79" i="15"/>
  <c r="AI79" i="15"/>
  <c r="AH79" i="15"/>
  <c r="AM78" i="15"/>
  <c r="AL78" i="15"/>
  <c r="AK78" i="15"/>
  <c r="AJ78" i="15"/>
  <c r="AI78" i="15"/>
  <c r="AH78" i="15"/>
  <c r="AM77" i="15"/>
  <c r="AL77" i="15"/>
  <c r="AK77" i="15"/>
  <c r="AJ77" i="15"/>
  <c r="AI77" i="15"/>
  <c r="AH77" i="15"/>
  <c r="AM76" i="15"/>
  <c r="AL76" i="15"/>
  <c r="AK76" i="15"/>
  <c r="AJ76" i="15"/>
  <c r="AI76" i="15"/>
  <c r="AH76" i="15"/>
  <c r="AM75" i="15"/>
  <c r="AL75" i="15"/>
  <c r="AK75" i="15"/>
  <c r="AJ75" i="15"/>
  <c r="AI75" i="15"/>
  <c r="AH75" i="15"/>
  <c r="AM74" i="15"/>
  <c r="AL74" i="15"/>
  <c r="AK74" i="15"/>
  <c r="AJ74" i="15"/>
  <c r="AI74" i="15"/>
  <c r="AH74" i="15"/>
  <c r="AM73" i="15"/>
  <c r="AL73" i="15"/>
  <c r="AK73" i="15"/>
  <c r="AJ73" i="15"/>
  <c r="AI73" i="15"/>
  <c r="AH73" i="15"/>
  <c r="AM72" i="15"/>
  <c r="AL72" i="15"/>
  <c r="AK72" i="15"/>
  <c r="AJ72" i="15"/>
  <c r="AI72" i="15"/>
  <c r="AH72" i="15"/>
  <c r="AM71" i="15"/>
  <c r="AL71" i="15"/>
  <c r="AK71" i="15"/>
  <c r="AJ71" i="15"/>
  <c r="AI71" i="15"/>
  <c r="AH71" i="15"/>
  <c r="AM70" i="15"/>
  <c r="AL70" i="15"/>
  <c r="AK70" i="15"/>
  <c r="AJ70" i="15"/>
  <c r="AI70" i="15"/>
  <c r="AH70" i="15"/>
  <c r="AM69" i="15"/>
  <c r="AL69" i="15"/>
  <c r="AK69" i="15"/>
  <c r="AJ69" i="15"/>
  <c r="AI69" i="15"/>
  <c r="AH69" i="15"/>
  <c r="AM68" i="15"/>
  <c r="AL68" i="15"/>
  <c r="AK68" i="15"/>
  <c r="AJ68" i="15"/>
  <c r="AI68" i="15"/>
  <c r="AH68" i="15"/>
  <c r="AM67" i="15"/>
  <c r="O17" i="29"/>
  <c r="AL67" i="15"/>
  <c r="N17" i="29"/>
  <c r="AK67" i="15"/>
  <c r="M17" i="29"/>
  <c r="AJ67" i="15"/>
  <c r="L17" i="29"/>
  <c r="AI67" i="15"/>
  <c r="AH67" i="15"/>
  <c r="J17" i="29"/>
  <c r="AM66" i="15"/>
  <c r="AL66" i="15"/>
  <c r="AK66" i="15"/>
  <c r="AJ66" i="15"/>
  <c r="AI66" i="15"/>
  <c r="AH66" i="15"/>
  <c r="AM65" i="15"/>
  <c r="AL65" i="15"/>
  <c r="AK65" i="15"/>
  <c r="AJ65" i="15"/>
  <c r="AI65" i="15"/>
  <c r="AH65" i="15"/>
  <c r="AM63" i="15"/>
  <c r="AL63" i="15"/>
  <c r="AK63" i="15"/>
  <c r="AJ63" i="15"/>
  <c r="AI63" i="15"/>
  <c r="AH63" i="15"/>
  <c r="AM62" i="15"/>
  <c r="AL62" i="15"/>
  <c r="AK62" i="15"/>
  <c r="AJ62" i="15"/>
  <c r="AI62" i="15"/>
  <c r="AH62" i="15"/>
  <c r="AM61" i="15"/>
  <c r="AL61" i="15"/>
  <c r="AK61" i="15"/>
  <c r="AJ61" i="15"/>
  <c r="AI61" i="15"/>
  <c r="AH61" i="15"/>
  <c r="AM60" i="15"/>
  <c r="AL60" i="15"/>
  <c r="AK60" i="15"/>
  <c r="AJ60" i="15"/>
  <c r="AI60" i="15"/>
  <c r="AH60" i="15"/>
  <c r="AM59" i="15"/>
  <c r="AL59" i="15"/>
  <c r="AK59" i="15"/>
  <c r="AJ59" i="15"/>
  <c r="AI59" i="15"/>
  <c r="AH59" i="15"/>
  <c r="AM58" i="15"/>
  <c r="AL58" i="15"/>
  <c r="AK58" i="15"/>
  <c r="AJ58" i="15"/>
  <c r="AI58" i="15"/>
  <c r="AH58" i="15"/>
  <c r="AM57" i="15"/>
  <c r="AL57" i="15"/>
  <c r="AK57" i="15"/>
  <c r="AJ57" i="15"/>
  <c r="AI57" i="15"/>
  <c r="AH57" i="15"/>
  <c r="AM56" i="15"/>
  <c r="AL56" i="15"/>
  <c r="AK56" i="15"/>
  <c r="AJ56" i="15"/>
  <c r="AI56" i="15"/>
  <c r="AH56" i="15"/>
  <c r="AM55" i="15"/>
  <c r="AL55" i="15"/>
  <c r="AK55" i="15"/>
  <c r="AJ55" i="15"/>
  <c r="AI55" i="15"/>
  <c r="AH55" i="15"/>
  <c r="AM54" i="15"/>
  <c r="AL54" i="15"/>
  <c r="AK54" i="15"/>
  <c r="AJ54" i="15"/>
  <c r="AI54" i="15"/>
  <c r="AH54" i="15"/>
  <c r="AM53" i="15"/>
  <c r="AL53" i="15"/>
  <c r="AK53" i="15"/>
  <c r="AJ53" i="15"/>
  <c r="AI53" i="15"/>
  <c r="AH53" i="15"/>
  <c r="AM52" i="15"/>
  <c r="AL52" i="15"/>
  <c r="AK52" i="15"/>
  <c r="AJ52" i="15"/>
  <c r="AI52" i="15"/>
  <c r="AH52" i="15"/>
  <c r="AM51" i="15"/>
  <c r="AL51" i="15"/>
  <c r="AK51" i="15"/>
  <c r="AJ51" i="15"/>
  <c r="AI51" i="15"/>
  <c r="AH51" i="15"/>
  <c r="AM50" i="15"/>
  <c r="AL50" i="15"/>
  <c r="AK50" i="15"/>
  <c r="AJ50" i="15"/>
  <c r="AI50" i="15"/>
  <c r="AH50" i="15"/>
  <c r="AM49" i="15"/>
  <c r="AL49" i="15"/>
  <c r="AK49" i="15"/>
  <c r="AJ49" i="15"/>
  <c r="AI49" i="15"/>
  <c r="AH49" i="15"/>
  <c r="AM48" i="15"/>
  <c r="AL48" i="15"/>
  <c r="AK48" i="15"/>
  <c r="AJ48" i="15"/>
  <c r="AI48" i="15"/>
  <c r="AH48" i="15"/>
  <c r="AM47" i="15"/>
  <c r="AL47" i="15"/>
  <c r="AK47" i="15"/>
  <c r="AJ47" i="15"/>
  <c r="AI47" i="15"/>
  <c r="AH47" i="15"/>
  <c r="AM46" i="15"/>
  <c r="AL46" i="15"/>
  <c r="AK46" i="15"/>
  <c r="AJ46" i="15"/>
  <c r="AI46" i="15"/>
  <c r="AH46" i="15"/>
  <c r="AM45" i="15"/>
  <c r="AL45" i="15"/>
  <c r="AK45" i="15"/>
  <c r="AJ45" i="15"/>
  <c r="AI45" i="15"/>
  <c r="AH45" i="15"/>
  <c r="AM44" i="15"/>
  <c r="AL44" i="15"/>
  <c r="AK44" i="15"/>
  <c r="AJ44" i="15"/>
  <c r="AI44" i="15"/>
  <c r="AH44" i="15"/>
  <c r="AM43" i="15"/>
  <c r="AL43" i="15"/>
  <c r="AK43" i="15"/>
  <c r="AJ43" i="15"/>
  <c r="AI43" i="15"/>
  <c r="AH43" i="15"/>
  <c r="AM42" i="15"/>
  <c r="AL42" i="15"/>
  <c r="AK42" i="15"/>
  <c r="AJ42" i="15"/>
  <c r="AI42" i="15"/>
  <c r="AH42" i="15"/>
  <c r="AM41" i="15"/>
  <c r="AL41" i="15"/>
  <c r="AK41" i="15"/>
  <c r="AJ41" i="15"/>
  <c r="AI41" i="15"/>
  <c r="AH41" i="15"/>
  <c r="AM40" i="15"/>
  <c r="AL40" i="15"/>
  <c r="AK40" i="15"/>
  <c r="AJ40" i="15"/>
  <c r="AI40" i="15"/>
  <c r="AH40" i="15"/>
  <c r="AM39" i="15"/>
  <c r="AL39" i="15"/>
  <c r="AK39" i="15"/>
  <c r="AJ39" i="15"/>
  <c r="AI39" i="15"/>
  <c r="AH39" i="15"/>
  <c r="AM38" i="15"/>
  <c r="AL38" i="15"/>
  <c r="AK38" i="15"/>
  <c r="AJ38" i="15"/>
  <c r="AI38" i="15"/>
  <c r="AH38" i="15"/>
  <c r="AM37" i="15"/>
  <c r="AL37" i="15"/>
  <c r="AK37" i="15"/>
  <c r="AJ37" i="15"/>
  <c r="AI37" i="15"/>
  <c r="AH37" i="15"/>
  <c r="AM36" i="15"/>
  <c r="AL36" i="15"/>
  <c r="AK36" i="15"/>
  <c r="AJ36" i="15"/>
  <c r="AI36" i="15"/>
  <c r="AH36" i="15"/>
  <c r="AM35" i="15"/>
  <c r="AL35" i="15"/>
  <c r="AK35" i="15"/>
  <c r="AJ35" i="15"/>
  <c r="AI35" i="15"/>
  <c r="AH35" i="15"/>
  <c r="AM34" i="15"/>
  <c r="AL34" i="15"/>
  <c r="AK34" i="15"/>
  <c r="AJ34" i="15"/>
  <c r="AI34" i="15"/>
  <c r="AH34" i="15"/>
  <c r="AM33" i="15"/>
  <c r="AL33" i="15"/>
  <c r="AK33" i="15"/>
  <c r="AJ33" i="15"/>
  <c r="AI33" i="15"/>
  <c r="AH33" i="15"/>
  <c r="AM32" i="15"/>
  <c r="AL32" i="15"/>
  <c r="AK32" i="15"/>
  <c r="AJ32" i="15"/>
  <c r="AI32" i="15"/>
  <c r="AH32" i="15"/>
  <c r="AM31" i="15"/>
  <c r="AL31" i="15"/>
  <c r="AK31" i="15"/>
  <c r="AJ31" i="15"/>
  <c r="AI31" i="15"/>
  <c r="AH31" i="15"/>
  <c r="AM30" i="15"/>
  <c r="AL30" i="15"/>
  <c r="AK30" i="15"/>
  <c r="AJ30" i="15"/>
  <c r="AI30" i="15"/>
  <c r="AH30" i="15"/>
  <c r="AM29" i="15"/>
  <c r="AL29" i="15"/>
  <c r="AK29" i="15"/>
  <c r="AJ29" i="15"/>
  <c r="AI29" i="15"/>
  <c r="AH29" i="15"/>
  <c r="AM28" i="15"/>
  <c r="AL28" i="15"/>
  <c r="AK28" i="15"/>
  <c r="AJ28" i="15"/>
  <c r="AI28" i="15"/>
  <c r="AH28" i="15"/>
  <c r="AM27" i="15"/>
  <c r="AL27" i="15"/>
  <c r="AK27" i="15"/>
  <c r="AJ27" i="15"/>
  <c r="AI27" i="15"/>
  <c r="AH27" i="15"/>
  <c r="AM26" i="15"/>
  <c r="AL26" i="15"/>
  <c r="AK26" i="15"/>
  <c r="AJ26" i="15"/>
  <c r="AI26" i="15"/>
  <c r="AH26" i="15"/>
  <c r="AM25" i="15"/>
  <c r="AL25" i="15"/>
  <c r="AK25" i="15"/>
  <c r="AJ25" i="15"/>
  <c r="AI25" i="15"/>
  <c r="AH25" i="15"/>
  <c r="AM24" i="15"/>
  <c r="AL24" i="15"/>
  <c r="AK24" i="15"/>
  <c r="AJ24" i="15"/>
  <c r="AI24" i="15"/>
  <c r="AH24" i="15"/>
  <c r="AM23" i="15"/>
  <c r="AL23" i="15"/>
  <c r="AK23" i="15"/>
  <c r="AJ23" i="15"/>
  <c r="AI23" i="15"/>
  <c r="AH23" i="15"/>
  <c r="AM22" i="15"/>
  <c r="AL22" i="15"/>
  <c r="AK22" i="15"/>
  <c r="AJ22" i="15"/>
  <c r="AI22" i="15"/>
  <c r="AH22" i="15"/>
  <c r="AM21" i="15"/>
  <c r="AL21" i="15"/>
  <c r="AK21" i="15"/>
  <c r="AJ21" i="15"/>
  <c r="AI21" i="15"/>
  <c r="AH21" i="15"/>
  <c r="AM20" i="15"/>
  <c r="AL20" i="15"/>
  <c r="AK20" i="15"/>
  <c r="AJ20" i="15"/>
  <c r="AI20" i="15"/>
  <c r="AH20" i="15"/>
  <c r="AM19" i="15"/>
  <c r="AL19" i="15"/>
  <c r="AK19" i="15"/>
  <c r="AJ19" i="15"/>
  <c r="AI19" i="15"/>
  <c r="AH19" i="15"/>
  <c r="AM18" i="15"/>
  <c r="AL18" i="15"/>
  <c r="N19" i="30"/>
  <c r="AK18" i="15"/>
  <c r="AJ18" i="15"/>
  <c r="AI18" i="15"/>
  <c r="AH18" i="15"/>
  <c r="J19" i="30"/>
  <c r="AM17" i="15"/>
  <c r="AL17" i="15"/>
  <c r="AK17" i="15"/>
  <c r="AJ17" i="15"/>
  <c r="AI17" i="15"/>
  <c r="AH17" i="15"/>
  <c r="AM16" i="15"/>
  <c r="AL16" i="15"/>
  <c r="AK16" i="15"/>
  <c r="AJ16" i="15"/>
  <c r="AI16" i="15"/>
  <c r="AH16" i="15"/>
  <c r="AM15" i="15"/>
  <c r="O21" i="30"/>
  <c r="AL15" i="15"/>
  <c r="N21" i="30"/>
  <c r="AK15" i="15"/>
  <c r="AJ15" i="15"/>
  <c r="L21" i="30"/>
  <c r="AI15" i="15"/>
  <c r="K21" i="30"/>
  <c r="AH15" i="15"/>
  <c r="J21" i="30"/>
  <c r="AM14" i="15"/>
  <c r="AL14" i="15"/>
  <c r="AK14" i="15"/>
  <c r="AJ14" i="15"/>
  <c r="AI14" i="15"/>
  <c r="AH14" i="15"/>
  <c r="AM13" i="15"/>
  <c r="AL13" i="15"/>
  <c r="AK13" i="15"/>
  <c r="AJ13" i="15"/>
  <c r="AI13" i="15"/>
  <c r="AH13" i="15"/>
  <c r="AM12" i="15"/>
  <c r="AL12" i="15"/>
  <c r="AK12" i="15"/>
  <c r="AJ12" i="15"/>
  <c r="AI12" i="15"/>
  <c r="AH12" i="15"/>
  <c r="AM11" i="15"/>
  <c r="AL11" i="15"/>
  <c r="AK11" i="15"/>
  <c r="AJ11" i="15"/>
  <c r="AJ10" i="15"/>
  <c r="AJ99" i="15"/>
  <c r="AI11" i="15"/>
  <c r="AI10" i="15"/>
  <c r="AI99" i="15"/>
  <c r="AH11" i="15"/>
  <c r="AM10" i="15"/>
  <c r="AL10" i="15"/>
  <c r="AL99" i="15"/>
  <c r="AK10" i="15"/>
  <c r="AK99" i="15"/>
  <c r="AH10" i="15"/>
  <c r="AH99" i="15"/>
  <c r="O99" i="15"/>
  <c r="N99" i="15"/>
  <c r="M99" i="15"/>
  <c r="L99" i="15"/>
  <c r="K99" i="15"/>
  <c r="CF99" i="15"/>
  <c r="J99" i="15"/>
  <c r="CI98" i="27"/>
  <c r="CH98" i="27"/>
  <c r="CG98" i="27"/>
  <c r="CF98" i="27"/>
  <c r="CE98" i="27"/>
  <c r="CD98" i="27"/>
  <c r="CI97" i="27"/>
  <c r="CH97" i="27"/>
  <c r="CG97" i="27"/>
  <c r="CF97" i="27"/>
  <c r="CE97" i="27"/>
  <c r="CD97" i="27"/>
  <c r="CI96" i="27"/>
  <c r="CH96" i="27"/>
  <c r="CG96" i="27"/>
  <c r="CF96" i="27"/>
  <c r="CE96" i="27"/>
  <c r="CD96" i="27"/>
  <c r="CI95" i="27"/>
  <c r="CH95" i="27"/>
  <c r="CG95" i="27"/>
  <c r="CF95" i="27"/>
  <c r="CE95" i="27"/>
  <c r="CD95" i="27"/>
  <c r="CI94" i="27"/>
  <c r="CH94" i="27"/>
  <c r="CG94" i="27"/>
  <c r="CF94" i="27"/>
  <c r="CE94" i="27"/>
  <c r="CD94" i="27"/>
  <c r="CI93" i="27"/>
  <c r="CH93" i="27"/>
  <c r="CG93" i="27"/>
  <c r="CF93" i="27"/>
  <c r="CE93" i="27"/>
  <c r="CD93" i="27"/>
  <c r="CI92" i="27"/>
  <c r="CH92" i="27"/>
  <c r="CG92" i="27"/>
  <c r="CF92" i="27"/>
  <c r="CE92" i="27"/>
  <c r="CD92" i="27"/>
  <c r="CI91" i="27"/>
  <c r="CH91" i="27"/>
  <c r="CG91" i="27"/>
  <c r="CF91" i="27"/>
  <c r="CE91" i="27"/>
  <c r="CD91" i="27"/>
  <c r="CI90" i="27"/>
  <c r="CH90" i="27"/>
  <c r="CG90" i="27"/>
  <c r="CF90" i="27"/>
  <c r="CE90" i="27"/>
  <c r="CD90" i="27"/>
  <c r="CI89" i="27"/>
  <c r="CH89" i="27"/>
  <c r="CG89" i="27"/>
  <c r="CF89" i="27"/>
  <c r="CE89" i="27"/>
  <c r="CD89" i="27"/>
  <c r="CI88" i="27"/>
  <c r="CH88" i="27"/>
  <c r="CG88" i="27"/>
  <c r="CF88" i="27"/>
  <c r="CE88" i="27"/>
  <c r="CD88" i="27"/>
  <c r="CI87" i="27"/>
  <c r="CH87" i="27"/>
  <c r="CG87" i="27"/>
  <c r="CF87" i="27"/>
  <c r="CE87" i="27"/>
  <c r="CD87" i="27"/>
  <c r="CI86" i="27"/>
  <c r="CH86" i="27"/>
  <c r="CG86" i="27"/>
  <c r="CF86" i="27"/>
  <c r="CE86" i="27"/>
  <c r="CD86" i="27"/>
  <c r="CI85" i="27"/>
  <c r="CH85" i="27"/>
  <c r="CG85" i="27"/>
  <c r="CF85" i="27"/>
  <c r="CE85" i="27"/>
  <c r="CD85" i="27"/>
  <c r="CI84" i="27"/>
  <c r="CH84" i="27"/>
  <c r="CG84" i="27"/>
  <c r="CF84" i="27"/>
  <c r="CE84" i="27"/>
  <c r="CD84" i="27"/>
  <c r="CI83" i="27"/>
  <c r="CH83" i="27"/>
  <c r="CG83" i="27"/>
  <c r="CF83" i="27"/>
  <c r="CE83" i="27"/>
  <c r="CD83" i="27"/>
  <c r="CI82" i="27"/>
  <c r="CH82" i="27"/>
  <c r="CG82" i="27"/>
  <c r="CF82" i="27"/>
  <c r="CE82" i="27"/>
  <c r="CD82" i="27"/>
  <c r="CI81" i="27"/>
  <c r="CH81" i="27"/>
  <c r="CG81" i="27"/>
  <c r="CF81" i="27"/>
  <c r="CE81" i="27"/>
  <c r="CD81" i="27"/>
  <c r="CI80" i="27"/>
  <c r="CH80" i="27"/>
  <c r="CG80" i="27"/>
  <c r="CF80" i="27"/>
  <c r="CE80" i="27"/>
  <c r="CD80" i="27"/>
  <c r="CI79" i="27"/>
  <c r="CH79" i="27"/>
  <c r="CG79" i="27"/>
  <c r="CF79" i="27"/>
  <c r="CE79" i="27"/>
  <c r="CD79" i="27"/>
  <c r="CI78" i="27"/>
  <c r="CH78" i="27"/>
  <c r="CG78" i="27"/>
  <c r="CF78" i="27"/>
  <c r="CE78" i="27"/>
  <c r="CD78" i="27"/>
  <c r="CI77" i="27"/>
  <c r="CH77" i="27"/>
  <c r="CG77" i="27"/>
  <c r="CF77" i="27"/>
  <c r="CE77" i="27"/>
  <c r="CD77" i="27"/>
  <c r="CI76" i="27"/>
  <c r="CH76" i="27"/>
  <c r="CG76" i="27"/>
  <c r="CF76" i="27"/>
  <c r="CE76" i="27"/>
  <c r="CD76" i="27"/>
  <c r="CI75" i="27"/>
  <c r="CH75" i="27"/>
  <c r="CG75" i="27"/>
  <c r="CF75" i="27"/>
  <c r="CE75" i="27"/>
  <c r="CD75" i="27"/>
  <c r="CI74" i="27"/>
  <c r="CH74" i="27"/>
  <c r="CG74" i="27"/>
  <c r="CF74" i="27"/>
  <c r="CE74" i="27"/>
  <c r="CD74" i="27"/>
  <c r="CI73" i="27"/>
  <c r="CH73" i="27"/>
  <c r="CG73" i="27"/>
  <c r="CF73" i="27"/>
  <c r="CE73" i="27"/>
  <c r="CD73" i="27"/>
  <c r="CI72" i="27"/>
  <c r="CH72" i="27"/>
  <c r="CG72" i="27"/>
  <c r="CF72" i="27"/>
  <c r="CE72" i="27"/>
  <c r="CD72" i="27"/>
  <c r="CI71" i="27"/>
  <c r="CH71" i="27"/>
  <c r="CG71" i="27"/>
  <c r="CF71" i="27"/>
  <c r="CE71" i="27"/>
  <c r="CD71" i="27"/>
  <c r="CI70" i="27"/>
  <c r="CH70" i="27"/>
  <c r="CG70" i="27"/>
  <c r="CF70" i="27"/>
  <c r="CE70" i="27"/>
  <c r="CD70" i="27"/>
  <c r="CI69" i="27"/>
  <c r="CH69" i="27"/>
  <c r="CG69" i="27"/>
  <c r="CF69" i="27"/>
  <c r="CE69" i="27"/>
  <c r="CD69" i="27"/>
  <c r="CI68" i="27"/>
  <c r="CH68" i="27"/>
  <c r="CG68" i="27"/>
  <c r="CF68" i="27"/>
  <c r="CE68" i="27"/>
  <c r="CD68" i="27"/>
  <c r="CI67" i="27"/>
  <c r="O40" i="29"/>
  <c r="CH67" i="27"/>
  <c r="N40" i="29"/>
  <c r="CG67" i="27"/>
  <c r="CF67" i="27"/>
  <c r="CE67" i="27"/>
  <c r="CD67" i="27"/>
  <c r="J40" i="29"/>
  <c r="CI66" i="27"/>
  <c r="CH66" i="27"/>
  <c r="CG66" i="27"/>
  <c r="CF66" i="27"/>
  <c r="CE66" i="27"/>
  <c r="CD66" i="27"/>
  <c r="CI65" i="27"/>
  <c r="CH65" i="27"/>
  <c r="CG65" i="27"/>
  <c r="CF65" i="27"/>
  <c r="CE65" i="27"/>
  <c r="CD65" i="27"/>
  <c r="CI63" i="27"/>
  <c r="CH63" i="27"/>
  <c r="CG63" i="27"/>
  <c r="CF63" i="27"/>
  <c r="CE63" i="27"/>
  <c r="CD63" i="27"/>
  <c r="CI62" i="27"/>
  <c r="CH62" i="27"/>
  <c r="CG62" i="27"/>
  <c r="CF62" i="27"/>
  <c r="CE62" i="27"/>
  <c r="CD62" i="27"/>
  <c r="CI61" i="27"/>
  <c r="CH61" i="27"/>
  <c r="CG61" i="27"/>
  <c r="CF61" i="27"/>
  <c r="CE61" i="27"/>
  <c r="CD61" i="27"/>
  <c r="CI60" i="27"/>
  <c r="CH60" i="27"/>
  <c r="CG60" i="27"/>
  <c r="CF60" i="27"/>
  <c r="CE60" i="27"/>
  <c r="CD60" i="27"/>
  <c r="CI59" i="27"/>
  <c r="CH59" i="27"/>
  <c r="CG59" i="27"/>
  <c r="CF59" i="27"/>
  <c r="CE59" i="27"/>
  <c r="CD59" i="27"/>
  <c r="CI58" i="27"/>
  <c r="CH58" i="27"/>
  <c r="CG58" i="27"/>
  <c r="CF58" i="27"/>
  <c r="CE58" i="27"/>
  <c r="CD58" i="27"/>
  <c r="CI57" i="27"/>
  <c r="CH57" i="27"/>
  <c r="CG57" i="27"/>
  <c r="CF57" i="27"/>
  <c r="CE57" i="27"/>
  <c r="CD57" i="27"/>
  <c r="CI56" i="27"/>
  <c r="CH56" i="27"/>
  <c r="CG56" i="27"/>
  <c r="CF56" i="27"/>
  <c r="CE56" i="27"/>
  <c r="CD56" i="27"/>
  <c r="CI55" i="27"/>
  <c r="CH55" i="27"/>
  <c r="CG55" i="27"/>
  <c r="CF55" i="27"/>
  <c r="CE55" i="27"/>
  <c r="CD55" i="27"/>
  <c r="CI54" i="27"/>
  <c r="CH54" i="27"/>
  <c r="CG54" i="27"/>
  <c r="CF54" i="27"/>
  <c r="CE54" i="27"/>
  <c r="CD54" i="27"/>
  <c r="CI53" i="27"/>
  <c r="CH53" i="27"/>
  <c r="CG53" i="27"/>
  <c r="CF53" i="27"/>
  <c r="CE53" i="27"/>
  <c r="CD53" i="27"/>
  <c r="CI52" i="27"/>
  <c r="CH52" i="27"/>
  <c r="CG52" i="27"/>
  <c r="CF52" i="27"/>
  <c r="CE52" i="27"/>
  <c r="CD52" i="27"/>
  <c r="CI51" i="27"/>
  <c r="CH51" i="27"/>
  <c r="CG51" i="27"/>
  <c r="CF51" i="27"/>
  <c r="CE51" i="27"/>
  <c r="CD51" i="27"/>
  <c r="CI50" i="27"/>
  <c r="CH50" i="27"/>
  <c r="CG50" i="27"/>
  <c r="CF50" i="27"/>
  <c r="CE50" i="27"/>
  <c r="CD50" i="27"/>
  <c r="CI49" i="27"/>
  <c r="CH49" i="27"/>
  <c r="CG49" i="27"/>
  <c r="CF49" i="27"/>
  <c r="CE49" i="27"/>
  <c r="CD49" i="27"/>
  <c r="CI48" i="27"/>
  <c r="CH48" i="27"/>
  <c r="CG48" i="27"/>
  <c r="CF48" i="27"/>
  <c r="CE48" i="27"/>
  <c r="CD48" i="27"/>
  <c r="CI47" i="27"/>
  <c r="CH47" i="27"/>
  <c r="CG47" i="27"/>
  <c r="CF47" i="27"/>
  <c r="CE47" i="27"/>
  <c r="CD47" i="27"/>
  <c r="CI46" i="27"/>
  <c r="CH46" i="27"/>
  <c r="CG46" i="27"/>
  <c r="CF46" i="27"/>
  <c r="CE46" i="27"/>
  <c r="CD46" i="27"/>
  <c r="CI45" i="27"/>
  <c r="CH45" i="27"/>
  <c r="CG45" i="27"/>
  <c r="CF45" i="27"/>
  <c r="CE45" i="27"/>
  <c r="CD45" i="27"/>
  <c r="CI44" i="27"/>
  <c r="CH44" i="27"/>
  <c r="CG44" i="27"/>
  <c r="CF44" i="27"/>
  <c r="CE44" i="27"/>
  <c r="CD44" i="27"/>
  <c r="CI43" i="27"/>
  <c r="CH43" i="27"/>
  <c r="CG43" i="27"/>
  <c r="CF43" i="27"/>
  <c r="CE43" i="27"/>
  <c r="CD43" i="27"/>
  <c r="CI42" i="27"/>
  <c r="CH42" i="27"/>
  <c r="CG42" i="27"/>
  <c r="CF42" i="27"/>
  <c r="CE42" i="27"/>
  <c r="CD42" i="27"/>
  <c r="CI41" i="27"/>
  <c r="CH41" i="27"/>
  <c r="CG41" i="27"/>
  <c r="CF41" i="27"/>
  <c r="CE41" i="27"/>
  <c r="CD41" i="27"/>
  <c r="CI40" i="27"/>
  <c r="CH40" i="27"/>
  <c r="CG40" i="27"/>
  <c r="CF40" i="27"/>
  <c r="CE40" i="27"/>
  <c r="CD40" i="27"/>
  <c r="CI39" i="27"/>
  <c r="CH39" i="27"/>
  <c r="CG39" i="27"/>
  <c r="CF39" i="27"/>
  <c r="CE39" i="27"/>
  <c r="CD39" i="27"/>
  <c r="CI38" i="27"/>
  <c r="CH38" i="27"/>
  <c r="CG38" i="27"/>
  <c r="CF38" i="27"/>
  <c r="CE38" i="27"/>
  <c r="CD38" i="27"/>
  <c r="CI37" i="27"/>
  <c r="CH37" i="27"/>
  <c r="CG37" i="27"/>
  <c r="CF37" i="27"/>
  <c r="CE37" i="27"/>
  <c r="CD37" i="27"/>
  <c r="CI36" i="27"/>
  <c r="CH36" i="27"/>
  <c r="CG36" i="27"/>
  <c r="CF36" i="27"/>
  <c r="CE36" i="27"/>
  <c r="CD36" i="27"/>
  <c r="CI35" i="27"/>
  <c r="CH35" i="27"/>
  <c r="CG35" i="27"/>
  <c r="CF35" i="27"/>
  <c r="CE35" i="27"/>
  <c r="CD35" i="27"/>
  <c r="CI34" i="27"/>
  <c r="CH34" i="27"/>
  <c r="CG34" i="27"/>
  <c r="CF34" i="27"/>
  <c r="CE34" i="27"/>
  <c r="CD34" i="27"/>
  <c r="CI33" i="27"/>
  <c r="CH33" i="27"/>
  <c r="CG33" i="27"/>
  <c r="CF33" i="27"/>
  <c r="CE33" i="27"/>
  <c r="CD33" i="27"/>
  <c r="CI32" i="27"/>
  <c r="CH32" i="27"/>
  <c r="CG32" i="27"/>
  <c r="CF32" i="27"/>
  <c r="CE32" i="27"/>
  <c r="CD32" i="27"/>
  <c r="CI31" i="27"/>
  <c r="CH31" i="27"/>
  <c r="CG31" i="27"/>
  <c r="CF31" i="27"/>
  <c r="CE31" i="27"/>
  <c r="CD31" i="27"/>
  <c r="CI30" i="27"/>
  <c r="CH30" i="27"/>
  <c r="CG30" i="27"/>
  <c r="CF30" i="27"/>
  <c r="CE30" i="27"/>
  <c r="CD30" i="27"/>
  <c r="CI29" i="27"/>
  <c r="CH29" i="27"/>
  <c r="CG29" i="27"/>
  <c r="CF29" i="27"/>
  <c r="CE29" i="27"/>
  <c r="CD29" i="27"/>
  <c r="CI28" i="27"/>
  <c r="CH28" i="27"/>
  <c r="CG28" i="27"/>
  <c r="CF28" i="27"/>
  <c r="CE28" i="27"/>
  <c r="CD28" i="27"/>
  <c r="CI27" i="27"/>
  <c r="CH27" i="27"/>
  <c r="CG27" i="27"/>
  <c r="CF27" i="27"/>
  <c r="CE27" i="27"/>
  <c r="CD27" i="27"/>
  <c r="CI26" i="27"/>
  <c r="CH26" i="27"/>
  <c r="CG26" i="27"/>
  <c r="CF26" i="27"/>
  <c r="CE26" i="27"/>
  <c r="CD26" i="27"/>
  <c r="CI25" i="27"/>
  <c r="CH25" i="27"/>
  <c r="CG25" i="27"/>
  <c r="CF25" i="27"/>
  <c r="CE25" i="27"/>
  <c r="CD25" i="27"/>
  <c r="CI24" i="27"/>
  <c r="CH24" i="27"/>
  <c r="CG24" i="27"/>
  <c r="CF24" i="27"/>
  <c r="CE24" i="27"/>
  <c r="CD24" i="27"/>
  <c r="CI23" i="27"/>
  <c r="CH23" i="27"/>
  <c r="CG23" i="27"/>
  <c r="CF23" i="27"/>
  <c r="CE23" i="27"/>
  <c r="CD23" i="27"/>
  <c r="CI22" i="27"/>
  <c r="CH22" i="27"/>
  <c r="CG22" i="27"/>
  <c r="CF22" i="27"/>
  <c r="CE22" i="27"/>
  <c r="CD22" i="27"/>
  <c r="CI21" i="27"/>
  <c r="CH21" i="27"/>
  <c r="CG21" i="27"/>
  <c r="CF21" i="27"/>
  <c r="CE21" i="27"/>
  <c r="CD21" i="27"/>
  <c r="CI20" i="27"/>
  <c r="CH20" i="27"/>
  <c r="CG20" i="27"/>
  <c r="CF20" i="27"/>
  <c r="CE20" i="27"/>
  <c r="CD20" i="27"/>
  <c r="CI19" i="27"/>
  <c r="CH19" i="27"/>
  <c r="CG19" i="27"/>
  <c r="CF19" i="27"/>
  <c r="CE19" i="27"/>
  <c r="CD19" i="27"/>
  <c r="CI18" i="27"/>
  <c r="O36" i="30"/>
  <c r="CH18" i="27"/>
  <c r="CG18" i="27"/>
  <c r="CF18" i="27"/>
  <c r="L36" i="30"/>
  <c r="CE18" i="27"/>
  <c r="K36" i="30"/>
  <c r="CD18" i="27"/>
  <c r="CI17" i="27"/>
  <c r="CH17" i="27"/>
  <c r="CG17" i="27"/>
  <c r="CF17" i="27"/>
  <c r="CE17" i="27"/>
  <c r="CD17" i="27"/>
  <c r="CI16" i="27"/>
  <c r="CH16" i="27"/>
  <c r="CG16" i="27"/>
  <c r="CF16" i="27"/>
  <c r="CE16" i="27"/>
  <c r="CD16" i="27"/>
  <c r="CI15" i="27"/>
  <c r="CH15" i="27"/>
  <c r="N38" i="30"/>
  <c r="CG15" i="27"/>
  <c r="M38" i="30"/>
  <c r="CF15" i="27"/>
  <c r="L38" i="30"/>
  <c r="CE15" i="27"/>
  <c r="CD15" i="27"/>
  <c r="J38" i="30"/>
  <c r="CI14" i="27"/>
  <c r="CH14" i="27"/>
  <c r="CG14" i="27"/>
  <c r="CF14" i="27"/>
  <c r="CE14" i="27"/>
  <c r="CD14" i="27"/>
  <c r="CI13" i="27"/>
  <c r="CH13" i="27"/>
  <c r="CG13" i="27"/>
  <c r="CF13" i="27"/>
  <c r="CE13" i="27"/>
  <c r="CD13" i="27"/>
  <c r="CI12" i="27"/>
  <c r="CH12" i="27"/>
  <c r="CG12" i="27"/>
  <c r="CF12" i="27"/>
  <c r="CE12" i="27"/>
  <c r="CD12" i="27"/>
  <c r="CI11" i="27"/>
  <c r="CH11" i="27"/>
  <c r="CG11" i="27"/>
  <c r="CF11" i="27"/>
  <c r="CE11" i="27"/>
  <c r="CD11" i="27"/>
  <c r="CD10" i="27"/>
  <c r="CD99" i="27"/>
  <c r="CI10" i="27"/>
  <c r="CH10" i="27"/>
  <c r="CG10" i="27"/>
  <c r="CG99" i="27"/>
  <c r="CF10" i="27"/>
  <c r="CE10" i="27"/>
  <c r="BK98" i="27"/>
  <c r="BJ98" i="27"/>
  <c r="BI98" i="27"/>
  <c r="BH98" i="27"/>
  <c r="BG98" i="27"/>
  <c r="BF98" i="27"/>
  <c r="BK97" i="27"/>
  <c r="BJ97" i="27"/>
  <c r="BI97" i="27"/>
  <c r="BH97" i="27"/>
  <c r="BG97" i="27"/>
  <c r="BF97" i="27"/>
  <c r="BK96" i="27"/>
  <c r="BJ96" i="27"/>
  <c r="BI96" i="27"/>
  <c r="BH96" i="27"/>
  <c r="BG96" i="27"/>
  <c r="BF96" i="27"/>
  <c r="BK95" i="27"/>
  <c r="BJ95" i="27"/>
  <c r="BI95" i="27"/>
  <c r="BH95" i="27"/>
  <c r="BG95" i="27"/>
  <c r="BF95" i="27"/>
  <c r="BK94" i="27"/>
  <c r="BJ94" i="27"/>
  <c r="BI94" i="27"/>
  <c r="BH94" i="27"/>
  <c r="BG94" i="27"/>
  <c r="BF94" i="27"/>
  <c r="BK93" i="27"/>
  <c r="BJ93" i="27"/>
  <c r="BI93" i="27"/>
  <c r="BH93" i="27"/>
  <c r="BG93" i="27"/>
  <c r="BF93" i="27"/>
  <c r="BK92" i="27"/>
  <c r="BJ92" i="27"/>
  <c r="BI92" i="27"/>
  <c r="BH92" i="27"/>
  <c r="BG92" i="27"/>
  <c r="BF92" i="27"/>
  <c r="BK91" i="27"/>
  <c r="BJ91" i="27"/>
  <c r="BI91" i="27"/>
  <c r="BH91" i="27"/>
  <c r="BG91" i="27"/>
  <c r="BF91" i="27"/>
  <c r="BK90" i="27"/>
  <c r="BJ90" i="27"/>
  <c r="BI90" i="27"/>
  <c r="BH90" i="27"/>
  <c r="BG90" i="27"/>
  <c r="BF90" i="27"/>
  <c r="BK89" i="27"/>
  <c r="BJ89" i="27"/>
  <c r="BI89" i="27"/>
  <c r="BH89" i="27"/>
  <c r="BG89" i="27"/>
  <c r="BF89" i="27"/>
  <c r="BK88" i="27"/>
  <c r="BJ88" i="27"/>
  <c r="BI88" i="27"/>
  <c r="BH88" i="27"/>
  <c r="BG88" i="27"/>
  <c r="BF88" i="27"/>
  <c r="BK87" i="27"/>
  <c r="BJ87" i="27"/>
  <c r="BI87" i="27"/>
  <c r="BH87" i="27"/>
  <c r="BG87" i="27"/>
  <c r="BF87" i="27"/>
  <c r="BK86" i="27"/>
  <c r="BJ86" i="27"/>
  <c r="BI86" i="27"/>
  <c r="BH86" i="27"/>
  <c r="BG86" i="27"/>
  <c r="BF86" i="27"/>
  <c r="BK85" i="27"/>
  <c r="BJ85" i="27"/>
  <c r="BI85" i="27"/>
  <c r="BH85" i="27"/>
  <c r="BG85" i="27"/>
  <c r="BF85" i="27"/>
  <c r="BK84" i="27"/>
  <c r="BJ84" i="27"/>
  <c r="BI84" i="27"/>
  <c r="BH84" i="27"/>
  <c r="BG84" i="27"/>
  <c r="BF84" i="27"/>
  <c r="BK83" i="27"/>
  <c r="BJ83" i="27"/>
  <c r="BI83" i="27"/>
  <c r="BH83" i="27"/>
  <c r="BG83" i="27"/>
  <c r="BF83" i="27"/>
  <c r="BK82" i="27"/>
  <c r="BJ82" i="27"/>
  <c r="BI82" i="27"/>
  <c r="BH82" i="27"/>
  <c r="BG82" i="27"/>
  <c r="BF82" i="27"/>
  <c r="BK81" i="27"/>
  <c r="BJ81" i="27"/>
  <c r="BI81" i="27"/>
  <c r="BH81" i="27"/>
  <c r="BG81" i="27"/>
  <c r="BF81" i="27"/>
  <c r="BK80" i="27"/>
  <c r="BJ80" i="27"/>
  <c r="BI80" i="27"/>
  <c r="BH80" i="27"/>
  <c r="BG80" i="27"/>
  <c r="BF80" i="27"/>
  <c r="BK79" i="27"/>
  <c r="BJ79" i="27"/>
  <c r="BI79" i="27"/>
  <c r="BH79" i="27"/>
  <c r="BG79" i="27"/>
  <c r="BF79" i="27"/>
  <c r="BK78" i="27"/>
  <c r="BJ78" i="27"/>
  <c r="BI78" i="27"/>
  <c r="BH78" i="27"/>
  <c r="BG78" i="27"/>
  <c r="BF78" i="27"/>
  <c r="BK77" i="27"/>
  <c r="BJ77" i="27"/>
  <c r="BI77" i="27"/>
  <c r="BH77" i="27"/>
  <c r="BG77" i="27"/>
  <c r="BF77" i="27"/>
  <c r="BK76" i="27"/>
  <c r="BJ76" i="27"/>
  <c r="BI76" i="27"/>
  <c r="BH76" i="27"/>
  <c r="BG76" i="27"/>
  <c r="BF76" i="27"/>
  <c r="BK75" i="27"/>
  <c r="BJ75" i="27"/>
  <c r="BI75" i="27"/>
  <c r="BH75" i="27"/>
  <c r="BG75" i="27"/>
  <c r="BF75" i="27"/>
  <c r="BK74" i="27"/>
  <c r="BJ74" i="27"/>
  <c r="BI74" i="27"/>
  <c r="BH74" i="27"/>
  <c r="BG74" i="27"/>
  <c r="BF74" i="27"/>
  <c r="BK73" i="27"/>
  <c r="BJ73" i="27"/>
  <c r="BI73" i="27"/>
  <c r="BH73" i="27"/>
  <c r="BG73" i="27"/>
  <c r="BF73" i="27"/>
  <c r="BK72" i="27"/>
  <c r="BJ72" i="27"/>
  <c r="BI72" i="27"/>
  <c r="BH72" i="27"/>
  <c r="BG72" i="27"/>
  <c r="BF72" i="27"/>
  <c r="BK71" i="27"/>
  <c r="BJ71" i="27"/>
  <c r="BI71" i="27"/>
  <c r="BH71" i="27"/>
  <c r="BG71" i="27"/>
  <c r="BF71" i="27"/>
  <c r="BK70" i="27"/>
  <c r="BJ70" i="27"/>
  <c r="BI70" i="27"/>
  <c r="BH70" i="27"/>
  <c r="BG70" i="27"/>
  <c r="BF70" i="27"/>
  <c r="BK69" i="27"/>
  <c r="BJ69" i="27"/>
  <c r="BI69" i="27"/>
  <c r="BH69" i="27"/>
  <c r="BG69" i="27"/>
  <c r="BF69" i="27"/>
  <c r="BK68" i="27"/>
  <c r="BJ68" i="27"/>
  <c r="BI68" i="27"/>
  <c r="BH68" i="27"/>
  <c r="BG68" i="27"/>
  <c r="BF68" i="27"/>
  <c r="BK67" i="27"/>
  <c r="BJ67" i="27"/>
  <c r="BI67" i="27"/>
  <c r="BH67" i="27"/>
  <c r="BG67" i="27"/>
  <c r="K29" i="29"/>
  <c r="BF67" i="27"/>
  <c r="J29" i="29"/>
  <c r="BK66" i="27"/>
  <c r="BJ66" i="27"/>
  <c r="BI66" i="27"/>
  <c r="BH66" i="27"/>
  <c r="BG66" i="27"/>
  <c r="BF66" i="27"/>
  <c r="BK65" i="27"/>
  <c r="BJ65" i="27"/>
  <c r="BI65" i="27"/>
  <c r="BH65" i="27"/>
  <c r="BG65" i="27"/>
  <c r="BF65" i="27"/>
  <c r="BK63" i="27"/>
  <c r="BJ63" i="27"/>
  <c r="BI63" i="27"/>
  <c r="BH63" i="27"/>
  <c r="BG63" i="27"/>
  <c r="BF63" i="27"/>
  <c r="BK62" i="27"/>
  <c r="BJ62" i="27"/>
  <c r="BI62" i="27"/>
  <c r="BH62" i="27"/>
  <c r="BG62" i="27"/>
  <c r="BF62" i="27"/>
  <c r="BK61" i="27"/>
  <c r="BJ61" i="27"/>
  <c r="BI61" i="27"/>
  <c r="BH61" i="27"/>
  <c r="BG61" i="27"/>
  <c r="BF61" i="27"/>
  <c r="BK60" i="27"/>
  <c r="BJ60" i="27"/>
  <c r="BI60" i="27"/>
  <c r="BH60" i="27"/>
  <c r="BG60" i="27"/>
  <c r="BF60" i="27"/>
  <c r="BK59" i="27"/>
  <c r="BJ59" i="27"/>
  <c r="BI59" i="27"/>
  <c r="BH59" i="27"/>
  <c r="BG59" i="27"/>
  <c r="BF59" i="27"/>
  <c r="BK58" i="27"/>
  <c r="BJ58" i="27"/>
  <c r="BI58" i="27"/>
  <c r="BH58" i="27"/>
  <c r="BG58" i="27"/>
  <c r="BF58" i="27"/>
  <c r="BK57" i="27"/>
  <c r="BJ57" i="27"/>
  <c r="BI57" i="27"/>
  <c r="BH57" i="27"/>
  <c r="BG57" i="27"/>
  <c r="BF57" i="27"/>
  <c r="BK56" i="27"/>
  <c r="BJ56" i="27"/>
  <c r="BI56" i="27"/>
  <c r="BH56" i="27"/>
  <c r="BG56" i="27"/>
  <c r="BF56" i="27"/>
  <c r="BK55" i="27"/>
  <c r="BJ55" i="27"/>
  <c r="BI55" i="27"/>
  <c r="BH55" i="27"/>
  <c r="BG55" i="27"/>
  <c r="BF55" i="27"/>
  <c r="BK54" i="27"/>
  <c r="BJ54" i="27"/>
  <c r="BI54" i="27"/>
  <c r="BH54" i="27"/>
  <c r="BG54" i="27"/>
  <c r="BF54" i="27"/>
  <c r="BK53" i="27"/>
  <c r="BJ53" i="27"/>
  <c r="BI53" i="27"/>
  <c r="BH53" i="27"/>
  <c r="BG53" i="27"/>
  <c r="BF53" i="27"/>
  <c r="BK52" i="27"/>
  <c r="BJ52" i="27"/>
  <c r="BI52" i="27"/>
  <c r="BH52" i="27"/>
  <c r="BG52" i="27"/>
  <c r="BF52" i="27"/>
  <c r="BK51" i="27"/>
  <c r="BJ51" i="27"/>
  <c r="BI51" i="27"/>
  <c r="BH51" i="27"/>
  <c r="BG51" i="27"/>
  <c r="BF51" i="27"/>
  <c r="BK50" i="27"/>
  <c r="BJ50" i="27"/>
  <c r="BI50" i="27"/>
  <c r="BH50" i="27"/>
  <c r="BG50" i="27"/>
  <c r="BF50" i="27"/>
  <c r="BK49" i="27"/>
  <c r="BJ49" i="27"/>
  <c r="BI49" i="27"/>
  <c r="BH49" i="27"/>
  <c r="BG49" i="27"/>
  <c r="BF49" i="27"/>
  <c r="BK48" i="27"/>
  <c r="BJ48" i="27"/>
  <c r="BI48" i="27"/>
  <c r="BH48" i="27"/>
  <c r="BG48" i="27"/>
  <c r="BF48" i="27"/>
  <c r="BK47" i="27"/>
  <c r="BJ47" i="27"/>
  <c r="BI47" i="27"/>
  <c r="BH47" i="27"/>
  <c r="BG47" i="27"/>
  <c r="BF47" i="27"/>
  <c r="BK46" i="27"/>
  <c r="BJ46" i="27"/>
  <c r="BI46" i="27"/>
  <c r="BH46" i="27"/>
  <c r="BG46" i="27"/>
  <c r="BF46" i="27"/>
  <c r="BK45" i="27"/>
  <c r="BJ45" i="27"/>
  <c r="BI45" i="27"/>
  <c r="BH45" i="27"/>
  <c r="BG45" i="27"/>
  <c r="BF45" i="27"/>
  <c r="BK44" i="27"/>
  <c r="BJ44" i="27"/>
  <c r="BI44" i="27"/>
  <c r="BH44" i="27"/>
  <c r="BG44" i="27"/>
  <c r="BF44" i="27"/>
  <c r="BK43" i="27"/>
  <c r="BJ43" i="27"/>
  <c r="BI43" i="27"/>
  <c r="BH43" i="27"/>
  <c r="BG43" i="27"/>
  <c r="BF43" i="27"/>
  <c r="BK42" i="27"/>
  <c r="BJ42" i="27"/>
  <c r="BI42" i="27"/>
  <c r="BH42" i="27"/>
  <c r="BG42" i="27"/>
  <c r="BF42" i="27"/>
  <c r="BK41" i="27"/>
  <c r="BJ41" i="27"/>
  <c r="BI41" i="27"/>
  <c r="BH41" i="27"/>
  <c r="BG41" i="27"/>
  <c r="BF41" i="27"/>
  <c r="BK40" i="27"/>
  <c r="BJ40" i="27"/>
  <c r="BI40" i="27"/>
  <c r="BH40" i="27"/>
  <c r="BG40" i="27"/>
  <c r="BF40" i="27"/>
  <c r="BK39" i="27"/>
  <c r="BJ39" i="27"/>
  <c r="BI39" i="27"/>
  <c r="BH39" i="27"/>
  <c r="BG39" i="27"/>
  <c r="BF39" i="27"/>
  <c r="BK38" i="27"/>
  <c r="BJ38" i="27"/>
  <c r="BI38" i="27"/>
  <c r="BH38" i="27"/>
  <c r="BG38" i="27"/>
  <c r="BF38" i="27"/>
  <c r="BK37" i="27"/>
  <c r="BJ37" i="27"/>
  <c r="BI37" i="27"/>
  <c r="BH37" i="27"/>
  <c r="BG37" i="27"/>
  <c r="BF37" i="27"/>
  <c r="BK36" i="27"/>
  <c r="BJ36" i="27"/>
  <c r="BI36" i="27"/>
  <c r="BH36" i="27"/>
  <c r="BG36" i="27"/>
  <c r="BF36" i="27"/>
  <c r="BK35" i="27"/>
  <c r="BJ35" i="27"/>
  <c r="BI35" i="27"/>
  <c r="BH35" i="27"/>
  <c r="BG35" i="27"/>
  <c r="BF35" i="27"/>
  <c r="BK34" i="27"/>
  <c r="BJ34" i="27"/>
  <c r="BI34" i="27"/>
  <c r="BH34" i="27"/>
  <c r="BG34" i="27"/>
  <c r="BF34" i="27"/>
  <c r="BK33" i="27"/>
  <c r="BJ33" i="27"/>
  <c r="BI33" i="27"/>
  <c r="BH33" i="27"/>
  <c r="BG33" i="27"/>
  <c r="BF33" i="27"/>
  <c r="BK32" i="27"/>
  <c r="BJ32" i="27"/>
  <c r="BI32" i="27"/>
  <c r="BH32" i="27"/>
  <c r="BG32" i="27"/>
  <c r="BF32" i="27"/>
  <c r="BK31" i="27"/>
  <c r="BJ31" i="27"/>
  <c r="BI31" i="27"/>
  <c r="BH31" i="27"/>
  <c r="BG31" i="27"/>
  <c r="BF31" i="27"/>
  <c r="BK30" i="27"/>
  <c r="BJ30" i="27"/>
  <c r="BI30" i="27"/>
  <c r="BH30" i="27"/>
  <c r="BG30" i="27"/>
  <c r="BF30" i="27"/>
  <c r="BK29" i="27"/>
  <c r="BJ29" i="27"/>
  <c r="BI29" i="27"/>
  <c r="BH29" i="27"/>
  <c r="BG29" i="27"/>
  <c r="BF29" i="27"/>
  <c r="BK28" i="27"/>
  <c r="BJ28" i="27"/>
  <c r="BI28" i="27"/>
  <c r="BH28" i="27"/>
  <c r="BG28" i="27"/>
  <c r="BF28" i="27"/>
  <c r="BK27" i="27"/>
  <c r="BJ27" i="27"/>
  <c r="BI27" i="27"/>
  <c r="BH27" i="27"/>
  <c r="BG27" i="27"/>
  <c r="BF27" i="27"/>
  <c r="BK26" i="27"/>
  <c r="BJ26" i="27"/>
  <c r="BI26" i="27"/>
  <c r="BH26" i="27"/>
  <c r="BG26" i="27"/>
  <c r="BF26" i="27"/>
  <c r="BK25" i="27"/>
  <c r="BJ25" i="27"/>
  <c r="BI25" i="27"/>
  <c r="BH25" i="27"/>
  <c r="BG25" i="27"/>
  <c r="BF25" i="27"/>
  <c r="BK24" i="27"/>
  <c r="BJ24" i="27"/>
  <c r="BI24" i="27"/>
  <c r="BH24" i="27"/>
  <c r="BG24" i="27"/>
  <c r="BF24" i="27"/>
  <c r="BK23" i="27"/>
  <c r="BJ23" i="27"/>
  <c r="BI23" i="27"/>
  <c r="BH23" i="27"/>
  <c r="BG23" i="27"/>
  <c r="BF23" i="27"/>
  <c r="BK22" i="27"/>
  <c r="BJ22" i="27"/>
  <c r="BI22" i="27"/>
  <c r="BH22" i="27"/>
  <c r="BG22" i="27"/>
  <c r="BF22" i="27"/>
  <c r="BK21" i="27"/>
  <c r="BJ21" i="27"/>
  <c r="BI21" i="27"/>
  <c r="BH21" i="27"/>
  <c r="BG21" i="27"/>
  <c r="BF21" i="27"/>
  <c r="BK20" i="27"/>
  <c r="BJ20" i="27"/>
  <c r="BI20" i="27"/>
  <c r="BH20" i="27"/>
  <c r="BG20" i="27"/>
  <c r="BF20" i="27"/>
  <c r="BK19" i="27"/>
  <c r="BJ19" i="27"/>
  <c r="BI19" i="27"/>
  <c r="BH19" i="27"/>
  <c r="BG19" i="27"/>
  <c r="BF19" i="27"/>
  <c r="BK18" i="27"/>
  <c r="BJ18" i="27"/>
  <c r="BI18" i="27"/>
  <c r="BH18" i="27"/>
  <c r="BG18" i="27"/>
  <c r="BF18" i="27"/>
  <c r="BK17" i="27"/>
  <c r="BJ17" i="27"/>
  <c r="BI17" i="27"/>
  <c r="BH17" i="27"/>
  <c r="BG17" i="27"/>
  <c r="BF17" i="27"/>
  <c r="BK16" i="27"/>
  <c r="BJ16" i="27"/>
  <c r="BI16" i="27"/>
  <c r="BH16" i="27"/>
  <c r="BG16" i="27"/>
  <c r="BF16" i="27"/>
  <c r="BK15" i="27"/>
  <c r="BJ15" i="27"/>
  <c r="BI15" i="27"/>
  <c r="BH15" i="27"/>
  <c r="BG15" i="27"/>
  <c r="BF15" i="27"/>
  <c r="BK14" i="27"/>
  <c r="BJ14" i="27"/>
  <c r="BI14" i="27"/>
  <c r="BH14" i="27"/>
  <c r="BG14" i="27"/>
  <c r="BF14" i="27"/>
  <c r="BK13" i="27"/>
  <c r="BJ13" i="27"/>
  <c r="BI13" i="27"/>
  <c r="BH13" i="27"/>
  <c r="BG13" i="27"/>
  <c r="BF13" i="27"/>
  <c r="BK12" i="27"/>
  <c r="BJ12" i="27"/>
  <c r="BI12" i="27"/>
  <c r="BH12" i="27"/>
  <c r="BG12" i="27"/>
  <c r="BF12" i="27"/>
  <c r="BK11" i="27"/>
  <c r="BJ11" i="27"/>
  <c r="BI11" i="27"/>
  <c r="BI10" i="27"/>
  <c r="BI99" i="27"/>
  <c r="BH11" i="27"/>
  <c r="BG11" i="27"/>
  <c r="BF11" i="27"/>
  <c r="BF10" i="27"/>
  <c r="BF99" i="27"/>
  <c r="BK10" i="27"/>
  <c r="BK99" i="27"/>
  <c r="BJ10" i="27"/>
  <c r="BH10" i="27"/>
  <c r="BH99" i="27"/>
  <c r="BG10" i="27"/>
  <c r="AM98" i="27"/>
  <c r="AL98" i="27"/>
  <c r="AK98" i="27"/>
  <c r="AJ98" i="27"/>
  <c r="AM97" i="27"/>
  <c r="AL97" i="27"/>
  <c r="AK97" i="27"/>
  <c r="AJ97" i="27"/>
  <c r="AM96" i="27"/>
  <c r="AL96" i="27"/>
  <c r="AK96" i="27"/>
  <c r="AJ96" i="27"/>
  <c r="AM95" i="27"/>
  <c r="AL95" i="27"/>
  <c r="AK95" i="27"/>
  <c r="AJ95" i="27"/>
  <c r="AM94" i="27"/>
  <c r="AL94" i="27"/>
  <c r="AK94" i="27"/>
  <c r="AJ94" i="27"/>
  <c r="AM93" i="27"/>
  <c r="AL93" i="27"/>
  <c r="AK93" i="27"/>
  <c r="AJ93" i="27"/>
  <c r="AM92" i="27"/>
  <c r="AL92" i="27"/>
  <c r="AK92" i="27"/>
  <c r="AJ92" i="27"/>
  <c r="AM91" i="27"/>
  <c r="AL91" i="27"/>
  <c r="AK91" i="27"/>
  <c r="AJ91" i="27"/>
  <c r="AM90" i="27"/>
  <c r="AL90" i="27"/>
  <c r="AK90" i="27"/>
  <c r="AJ90" i="27"/>
  <c r="AM89" i="27"/>
  <c r="AL89" i="27"/>
  <c r="AK89" i="27"/>
  <c r="AJ89" i="27"/>
  <c r="AM88" i="27"/>
  <c r="AL88" i="27"/>
  <c r="AK88" i="27"/>
  <c r="AJ88" i="27"/>
  <c r="AM87" i="27"/>
  <c r="AL87" i="27"/>
  <c r="AK87" i="27"/>
  <c r="AJ87" i="27"/>
  <c r="AM86" i="27"/>
  <c r="AL86" i="27"/>
  <c r="AK86" i="27"/>
  <c r="AJ86" i="27"/>
  <c r="AM85" i="27"/>
  <c r="AL85" i="27"/>
  <c r="AK85" i="27"/>
  <c r="AJ85" i="27"/>
  <c r="AM84" i="27"/>
  <c r="AL84" i="27"/>
  <c r="AK84" i="27"/>
  <c r="AJ84" i="27"/>
  <c r="AM83" i="27"/>
  <c r="AL83" i="27"/>
  <c r="AK83" i="27"/>
  <c r="AJ83" i="27"/>
  <c r="AM82" i="27"/>
  <c r="AL82" i="27"/>
  <c r="AK82" i="27"/>
  <c r="AJ82" i="27"/>
  <c r="AM81" i="27"/>
  <c r="AL81" i="27"/>
  <c r="AK81" i="27"/>
  <c r="AJ81" i="27"/>
  <c r="AM80" i="27"/>
  <c r="AL80" i="27"/>
  <c r="AK80" i="27"/>
  <c r="AJ80" i="27"/>
  <c r="AM79" i="27"/>
  <c r="AL79" i="27"/>
  <c r="AK79" i="27"/>
  <c r="AJ79" i="27"/>
  <c r="AM78" i="27"/>
  <c r="AL78" i="27"/>
  <c r="AK78" i="27"/>
  <c r="AJ78" i="27"/>
  <c r="AM77" i="27"/>
  <c r="AL77" i="27"/>
  <c r="AK77" i="27"/>
  <c r="AJ77" i="27"/>
  <c r="AM76" i="27"/>
  <c r="AL76" i="27"/>
  <c r="AK76" i="27"/>
  <c r="AJ76" i="27"/>
  <c r="AM75" i="27"/>
  <c r="AL75" i="27"/>
  <c r="AK75" i="27"/>
  <c r="AJ75" i="27"/>
  <c r="AM74" i="27"/>
  <c r="AL74" i="27"/>
  <c r="AK74" i="27"/>
  <c r="AJ74" i="27"/>
  <c r="AM73" i="27"/>
  <c r="AL73" i="27"/>
  <c r="AK73" i="27"/>
  <c r="AJ73" i="27"/>
  <c r="AM72" i="27"/>
  <c r="AL72" i="27"/>
  <c r="AK72" i="27"/>
  <c r="AJ72" i="27"/>
  <c r="AM71" i="27"/>
  <c r="AL71" i="27"/>
  <c r="AK71" i="27"/>
  <c r="AJ71" i="27"/>
  <c r="AM70" i="27"/>
  <c r="AL70" i="27"/>
  <c r="AK70" i="27"/>
  <c r="AJ70" i="27"/>
  <c r="AM69" i="27"/>
  <c r="AL69" i="27"/>
  <c r="AK69" i="27"/>
  <c r="AJ69" i="27"/>
  <c r="AM68" i="27"/>
  <c r="AL68" i="27"/>
  <c r="AK68" i="27"/>
  <c r="AJ68" i="27"/>
  <c r="AM67" i="27"/>
  <c r="AL67" i="27"/>
  <c r="N18" i="29"/>
  <c r="AK67" i="27"/>
  <c r="M18" i="29"/>
  <c r="AJ67" i="27"/>
  <c r="L18" i="29"/>
  <c r="AM66" i="27"/>
  <c r="AL66" i="27"/>
  <c r="AK66" i="27"/>
  <c r="AJ66" i="27"/>
  <c r="AM65" i="27"/>
  <c r="AL65" i="27"/>
  <c r="AK65" i="27"/>
  <c r="AJ65" i="27"/>
  <c r="AM63" i="27"/>
  <c r="AL63" i="27"/>
  <c r="AK63" i="27"/>
  <c r="AJ63" i="27"/>
  <c r="AM62" i="27"/>
  <c r="AL62" i="27"/>
  <c r="AK62" i="27"/>
  <c r="AJ62" i="27"/>
  <c r="AM61" i="27"/>
  <c r="AL61" i="27"/>
  <c r="AK61" i="27"/>
  <c r="AJ61" i="27"/>
  <c r="AM60" i="27"/>
  <c r="AL60" i="27"/>
  <c r="AK60" i="27"/>
  <c r="AJ60" i="27"/>
  <c r="AM59" i="27"/>
  <c r="AL59" i="27"/>
  <c r="AK59" i="27"/>
  <c r="AJ59" i="27"/>
  <c r="AM58" i="27"/>
  <c r="AL58" i="27"/>
  <c r="AK58" i="27"/>
  <c r="AJ58" i="27"/>
  <c r="AM57" i="27"/>
  <c r="AL57" i="27"/>
  <c r="AK57" i="27"/>
  <c r="AJ57" i="27"/>
  <c r="AM56" i="27"/>
  <c r="AL56" i="27"/>
  <c r="AK56" i="27"/>
  <c r="AJ56" i="27"/>
  <c r="AM55" i="27"/>
  <c r="AL55" i="27"/>
  <c r="AK55" i="27"/>
  <c r="AJ55" i="27"/>
  <c r="AM54" i="27"/>
  <c r="AL54" i="27"/>
  <c r="AK54" i="27"/>
  <c r="AJ54" i="27"/>
  <c r="AM53" i="27"/>
  <c r="AL53" i="27"/>
  <c r="AK53" i="27"/>
  <c r="AJ53" i="27"/>
  <c r="AM52" i="27"/>
  <c r="AL52" i="27"/>
  <c r="AK52" i="27"/>
  <c r="AJ52" i="27"/>
  <c r="AM51" i="27"/>
  <c r="AL51" i="27"/>
  <c r="AK51" i="27"/>
  <c r="AJ51" i="27"/>
  <c r="AM50" i="27"/>
  <c r="AL50" i="27"/>
  <c r="AK50" i="27"/>
  <c r="AJ50" i="27"/>
  <c r="AM49" i="27"/>
  <c r="AL49" i="27"/>
  <c r="AK49" i="27"/>
  <c r="AJ49" i="27"/>
  <c r="AM48" i="27"/>
  <c r="AL48" i="27"/>
  <c r="AK48" i="27"/>
  <c r="AJ48" i="27"/>
  <c r="AM47" i="27"/>
  <c r="AL47" i="27"/>
  <c r="AK47" i="27"/>
  <c r="AJ47" i="27"/>
  <c r="AM46" i="27"/>
  <c r="AL46" i="27"/>
  <c r="AK46" i="27"/>
  <c r="AJ46" i="27"/>
  <c r="AM45" i="27"/>
  <c r="AL45" i="27"/>
  <c r="AK45" i="27"/>
  <c r="AJ45" i="27"/>
  <c r="AM44" i="27"/>
  <c r="AL44" i="27"/>
  <c r="AK44" i="27"/>
  <c r="AJ44" i="27"/>
  <c r="AM43" i="27"/>
  <c r="AL43" i="27"/>
  <c r="AK43" i="27"/>
  <c r="AJ43" i="27"/>
  <c r="AM42" i="27"/>
  <c r="AL42" i="27"/>
  <c r="AK42" i="27"/>
  <c r="AJ42" i="27"/>
  <c r="AM41" i="27"/>
  <c r="AL41" i="27"/>
  <c r="AK41" i="27"/>
  <c r="AJ41" i="27"/>
  <c r="AM40" i="27"/>
  <c r="AL40" i="27"/>
  <c r="AK40" i="27"/>
  <c r="AJ40" i="27"/>
  <c r="AM39" i="27"/>
  <c r="AL39" i="27"/>
  <c r="AK39" i="27"/>
  <c r="AJ39" i="27"/>
  <c r="AM38" i="27"/>
  <c r="AL38" i="27"/>
  <c r="AK38" i="27"/>
  <c r="AJ38" i="27"/>
  <c r="AM37" i="27"/>
  <c r="AL37" i="27"/>
  <c r="AK37" i="27"/>
  <c r="AJ37" i="27"/>
  <c r="AM36" i="27"/>
  <c r="AL36" i="27"/>
  <c r="AK36" i="27"/>
  <c r="AJ36" i="27"/>
  <c r="AM35" i="27"/>
  <c r="AL35" i="27"/>
  <c r="AK35" i="27"/>
  <c r="AJ35" i="27"/>
  <c r="AM34" i="27"/>
  <c r="AL34" i="27"/>
  <c r="AK34" i="27"/>
  <c r="AJ34" i="27"/>
  <c r="AM33" i="27"/>
  <c r="AL33" i="27"/>
  <c r="AK33" i="27"/>
  <c r="AJ33" i="27"/>
  <c r="AM32" i="27"/>
  <c r="AL32" i="27"/>
  <c r="AK32" i="27"/>
  <c r="AJ32" i="27"/>
  <c r="AM31" i="27"/>
  <c r="AL31" i="27"/>
  <c r="AK31" i="27"/>
  <c r="AJ31" i="27"/>
  <c r="AM30" i="27"/>
  <c r="AL30" i="27"/>
  <c r="AK30" i="27"/>
  <c r="AJ30" i="27"/>
  <c r="AM29" i="27"/>
  <c r="AL29" i="27"/>
  <c r="AK29" i="27"/>
  <c r="AJ29" i="27"/>
  <c r="AM28" i="27"/>
  <c r="AL28" i="27"/>
  <c r="AK28" i="27"/>
  <c r="AJ28" i="27"/>
  <c r="AM27" i="27"/>
  <c r="AL27" i="27"/>
  <c r="AK27" i="27"/>
  <c r="AJ27" i="27"/>
  <c r="AM26" i="27"/>
  <c r="AL26" i="27"/>
  <c r="AK26" i="27"/>
  <c r="AJ26" i="27"/>
  <c r="AM25" i="27"/>
  <c r="AL25" i="27"/>
  <c r="AK25" i="27"/>
  <c r="AJ25" i="27"/>
  <c r="AM24" i="27"/>
  <c r="AL24" i="27"/>
  <c r="AK24" i="27"/>
  <c r="AJ24" i="27"/>
  <c r="AM23" i="27"/>
  <c r="AL23" i="27"/>
  <c r="AK23" i="27"/>
  <c r="AJ23" i="27"/>
  <c r="AM22" i="27"/>
  <c r="AL22" i="27"/>
  <c r="AK22" i="27"/>
  <c r="AJ22" i="27"/>
  <c r="AM21" i="27"/>
  <c r="AL21" i="27"/>
  <c r="AK21" i="27"/>
  <c r="AJ21" i="27"/>
  <c r="AM20" i="27"/>
  <c r="AL20" i="27"/>
  <c r="AK20" i="27"/>
  <c r="AJ20" i="27"/>
  <c r="AM19" i="27"/>
  <c r="AL19" i="27"/>
  <c r="AK19" i="27"/>
  <c r="AJ19" i="27"/>
  <c r="AM18" i="27"/>
  <c r="AL18" i="27"/>
  <c r="N20" i="30"/>
  <c r="AK18" i="27"/>
  <c r="AJ18" i="27"/>
  <c r="L20" i="30"/>
  <c r="AM17" i="27"/>
  <c r="AL17" i="27"/>
  <c r="AK17" i="27"/>
  <c r="AJ17" i="27"/>
  <c r="AM16" i="27"/>
  <c r="AL16" i="27"/>
  <c r="AK16" i="27"/>
  <c r="AJ16" i="27"/>
  <c r="AM15" i="27"/>
  <c r="O22" i="30"/>
  <c r="AL15" i="27"/>
  <c r="N22" i="30"/>
  <c r="AK15" i="27"/>
  <c r="M22" i="30"/>
  <c r="AJ15" i="27"/>
  <c r="L22" i="30"/>
  <c r="AM14" i="27"/>
  <c r="AL14" i="27"/>
  <c r="AK14" i="27"/>
  <c r="AJ14" i="27"/>
  <c r="AM13" i="27"/>
  <c r="AL13" i="27"/>
  <c r="AK13" i="27"/>
  <c r="AJ13" i="27"/>
  <c r="AM12" i="27"/>
  <c r="AL12" i="27"/>
  <c r="AK12" i="27"/>
  <c r="AJ12" i="27"/>
  <c r="AM11" i="27"/>
  <c r="AL11" i="27"/>
  <c r="AK11" i="27"/>
  <c r="AJ11" i="27"/>
  <c r="AM10" i="27"/>
  <c r="AL10" i="27"/>
  <c r="AK10" i="27"/>
  <c r="AK99" i="27"/>
  <c r="AJ10" i="27"/>
  <c r="AJ99" i="27"/>
  <c r="AI98" i="27"/>
  <c r="AI97" i="27"/>
  <c r="AI96" i="27"/>
  <c r="AI95" i="27"/>
  <c r="AI94" i="27"/>
  <c r="AI93" i="27"/>
  <c r="AI92" i="27"/>
  <c r="AI91" i="27"/>
  <c r="AI90" i="27"/>
  <c r="AI89" i="27"/>
  <c r="AI88" i="27"/>
  <c r="AI87" i="27"/>
  <c r="AI86" i="27"/>
  <c r="AI85" i="27"/>
  <c r="AI84" i="27"/>
  <c r="AI83" i="27"/>
  <c r="AI82" i="27"/>
  <c r="AI81" i="27"/>
  <c r="AI80" i="27"/>
  <c r="AI79" i="27"/>
  <c r="AI78" i="27"/>
  <c r="AI77" i="27"/>
  <c r="AI76" i="27"/>
  <c r="AI75" i="27"/>
  <c r="AI74" i="27"/>
  <c r="AI73" i="27"/>
  <c r="AI72" i="27"/>
  <c r="AI71" i="27"/>
  <c r="AI70" i="27"/>
  <c r="AI69" i="27"/>
  <c r="AI68" i="27"/>
  <c r="AI67" i="27"/>
  <c r="K18" i="29"/>
  <c r="AI66" i="27"/>
  <c r="AI65" i="27"/>
  <c r="AI63" i="27"/>
  <c r="AI62" i="27"/>
  <c r="AI61" i="27"/>
  <c r="AI60" i="27"/>
  <c r="AI59" i="27"/>
  <c r="AI58" i="27"/>
  <c r="AI57" i="27"/>
  <c r="AI56" i="27"/>
  <c r="AI55" i="27"/>
  <c r="AI54" i="27"/>
  <c r="AI53" i="27"/>
  <c r="AI52" i="27"/>
  <c r="AI51" i="27"/>
  <c r="AI50" i="27"/>
  <c r="AI49" i="27"/>
  <c r="AI48" i="27"/>
  <c r="AI47" i="27"/>
  <c r="AI46" i="27"/>
  <c r="AI45" i="27"/>
  <c r="AI44" i="27"/>
  <c r="AI43" i="27"/>
  <c r="AI42" i="27"/>
  <c r="AI41" i="27"/>
  <c r="AI40" i="27"/>
  <c r="AI39" i="27"/>
  <c r="AI38" i="27"/>
  <c r="AI37" i="27"/>
  <c r="AI36" i="27"/>
  <c r="AI35" i="27"/>
  <c r="AI34" i="27"/>
  <c r="AI33" i="27"/>
  <c r="AI32" i="27"/>
  <c r="AI31" i="27"/>
  <c r="AI30" i="27"/>
  <c r="AI29" i="27"/>
  <c r="AI28" i="27"/>
  <c r="AI27" i="27"/>
  <c r="AI26" i="27"/>
  <c r="AI25" i="27"/>
  <c r="AI24" i="27"/>
  <c r="AI23" i="27"/>
  <c r="AI22" i="27"/>
  <c r="AI21" i="27"/>
  <c r="AI20" i="27"/>
  <c r="AI19" i="27"/>
  <c r="AI18" i="27"/>
  <c r="K20" i="30"/>
  <c r="AI17" i="27"/>
  <c r="AI16" i="27"/>
  <c r="AI15" i="27"/>
  <c r="K22" i="30"/>
  <c r="AI14" i="27"/>
  <c r="AI13" i="27"/>
  <c r="AI12" i="27"/>
  <c r="AI11" i="27"/>
  <c r="AI10" i="27"/>
  <c r="AH98" i="27"/>
  <c r="AH97" i="27"/>
  <c r="AH96" i="27"/>
  <c r="AH95" i="27"/>
  <c r="AH94" i="27"/>
  <c r="AH93" i="27"/>
  <c r="AH92" i="27"/>
  <c r="AH91" i="27"/>
  <c r="AH90" i="27"/>
  <c r="AH89" i="27"/>
  <c r="AH88" i="27"/>
  <c r="AH87" i="27"/>
  <c r="AH86" i="27"/>
  <c r="AH85" i="27"/>
  <c r="AH84" i="27"/>
  <c r="AH83" i="27"/>
  <c r="AH82" i="27"/>
  <c r="AH81" i="27"/>
  <c r="AH80" i="27"/>
  <c r="AH79" i="27"/>
  <c r="AH78" i="27"/>
  <c r="AH77" i="27"/>
  <c r="AH76" i="27"/>
  <c r="AH75" i="27"/>
  <c r="AH74" i="27"/>
  <c r="AH73" i="27"/>
  <c r="AH72" i="27"/>
  <c r="AH71" i="27"/>
  <c r="AH70" i="27"/>
  <c r="AH69" i="27"/>
  <c r="AH68" i="27"/>
  <c r="AH67" i="27"/>
  <c r="J18" i="29"/>
  <c r="AH66" i="27"/>
  <c r="AH65" i="27"/>
  <c r="AH63" i="27"/>
  <c r="AH62" i="27"/>
  <c r="AH61" i="27"/>
  <c r="AH60" i="27"/>
  <c r="AH59" i="27"/>
  <c r="AH58" i="27"/>
  <c r="AH57" i="27"/>
  <c r="AH56" i="27"/>
  <c r="AH55" i="27"/>
  <c r="AH54" i="27"/>
  <c r="AH53" i="27"/>
  <c r="AH52" i="27"/>
  <c r="AH51" i="27"/>
  <c r="AH50" i="27"/>
  <c r="AH49" i="27"/>
  <c r="AH48" i="27"/>
  <c r="AH47" i="27"/>
  <c r="AH46" i="27"/>
  <c r="AH45" i="27"/>
  <c r="AH44" i="27"/>
  <c r="AH43" i="27"/>
  <c r="AH42" i="27"/>
  <c r="AH41" i="27"/>
  <c r="AH40" i="27"/>
  <c r="AH39" i="27"/>
  <c r="AH38" i="27"/>
  <c r="AH37" i="27"/>
  <c r="AH36" i="27"/>
  <c r="AH35" i="27"/>
  <c r="AH34" i="27"/>
  <c r="AH33" i="27"/>
  <c r="AH32" i="27"/>
  <c r="AH31" i="27"/>
  <c r="AH30" i="27"/>
  <c r="AH29" i="27"/>
  <c r="AH28" i="27"/>
  <c r="AH27" i="27"/>
  <c r="AH26" i="27"/>
  <c r="AH25" i="27"/>
  <c r="AH24" i="27"/>
  <c r="AH23" i="27"/>
  <c r="AH22" i="27"/>
  <c r="AH21" i="27"/>
  <c r="AH20" i="27"/>
  <c r="AH19" i="27"/>
  <c r="AH18" i="27"/>
  <c r="J20" i="30"/>
  <c r="AH17" i="27"/>
  <c r="AH16" i="27"/>
  <c r="AH15" i="27"/>
  <c r="J22" i="30"/>
  <c r="AH14" i="27"/>
  <c r="AH13" i="27"/>
  <c r="AH12" i="27"/>
  <c r="AH11" i="27"/>
  <c r="AH10" i="27"/>
  <c r="O99" i="27"/>
  <c r="BL99" i="27"/>
  <c r="N99" i="27"/>
  <c r="M99" i="27"/>
  <c r="L99" i="27"/>
  <c r="K99" i="27"/>
  <c r="J99" i="27"/>
  <c r="AY10" i="15"/>
  <c r="AZ10" i="15"/>
  <c r="BA10" i="15"/>
  <c r="AY11" i="15"/>
  <c r="AY12" i="15"/>
  <c r="AY13" i="15"/>
  <c r="AY14" i="15"/>
  <c r="AY15" i="15"/>
  <c r="AY16" i="15"/>
  <c r="AY17" i="15"/>
  <c r="AY18" i="15"/>
  <c r="AY19" i="15"/>
  <c r="AY20" i="15"/>
  <c r="AY21" i="15"/>
  <c r="AY22" i="15"/>
  <c r="AY23" i="15"/>
  <c r="AY24" i="15"/>
  <c r="AY25" i="15"/>
  <c r="AY26" i="15"/>
  <c r="AY27" i="15"/>
  <c r="AY28" i="15"/>
  <c r="AY29" i="15"/>
  <c r="AY30" i="15"/>
  <c r="AY31" i="15"/>
  <c r="AY32" i="15"/>
  <c r="AY33" i="15"/>
  <c r="AY34" i="15"/>
  <c r="AY35" i="15"/>
  <c r="AY36" i="15"/>
  <c r="AY37" i="15"/>
  <c r="AY38" i="15"/>
  <c r="AY39" i="15"/>
  <c r="AY40" i="15"/>
  <c r="AY41" i="15"/>
  <c r="AY42" i="15"/>
  <c r="AY43" i="15"/>
  <c r="AY44" i="15"/>
  <c r="AY45" i="15"/>
  <c r="AY46" i="15"/>
  <c r="AY47" i="15"/>
  <c r="AY48" i="15"/>
  <c r="AY49" i="15"/>
  <c r="AY50" i="15"/>
  <c r="AY51" i="15"/>
  <c r="AY52" i="15"/>
  <c r="AY53" i="15"/>
  <c r="AY54" i="15"/>
  <c r="AY55" i="15"/>
  <c r="AY56" i="15"/>
  <c r="AY57" i="15"/>
  <c r="AY58" i="15"/>
  <c r="AY59" i="15"/>
  <c r="AY60" i="15"/>
  <c r="AY61" i="15"/>
  <c r="AY62" i="15"/>
  <c r="AY63" i="15"/>
  <c r="AY65" i="15"/>
  <c r="AY66" i="15"/>
  <c r="AY67" i="15"/>
  <c r="AY68" i="15"/>
  <c r="AY69" i="15"/>
  <c r="AY70" i="15"/>
  <c r="AY71" i="15"/>
  <c r="AY72" i="15"/>
  <c r="AY73" i="15"/>
  <c r="AY74" i="15"/>
  <c r="AY75" i="15"/>
  <c r="AY76" i="15"/>
  <c r="AY77" i="15"/>
  <c r="AY78" i="15"/>
  <c r="AY79" i="15"/>
  <c r="AY80" i="15"/>
  <c r="AY81" i="15"/>
  <c r="AY82" i="15"/>
  <c r="AY83" i="15"/>
  <c r="AY84" i="15"/>
  <c r="AY85" i="15"/>
  <c r="AY86" i="15"/>
  <c r="AY87" i="15"/>
  <c r="AY88" i="15"/>
  <c r="AY89" i="15"/>
  <c r="AY90" i="15"/>
  <c r="AY91" i="15"/>
  <c r="AY92" i="15"/>
  <c r="AY93" i="15"/>
  <c r="AY94" i="15"/>
  <c r="AY95" i="15"/>
  <c r="AY96" i="15"/>
  <c r="AY97" i="15"/>
  <c r="AY98" i="15"/>
  <c r="AZ99" i="15"/>
  <c r="AZ11" i="15"/>
  <c r="BA11" i="15"/>
  <c r="AZ12" i="15"/>
  <c r="BA12" i="15"/>
  <c r="AZ13" i="15"/>
  <c r="BA13" i="15"/>
  <c r="BA14" i="15"/>
  <c r="BA15" i="15"/>
  <c r="BA16" i="15"/>
  <c r="BA17" i="15"/>
  <c r="BA18" i="15"/>
  <c r="BA19" i="15"/>
  <c r="BA20" i="15"/>
  <c r="BA21" i="15"/>
  <c r="BA22" i="15"/>
  <c r="BA23" i="15"/>
  <c r="BA24" i="15"/>
  <c r="BA25" i="15"/>
  <c r="BA26" i="15"/>
  <c r="BA27" i="15"/>
  <c r="BA28" i="15"/>
  <c r="BA29" i="15"/>
  <c r="BA30" i="15"/>
  <c r="BA31" i="15"/>
  <c r="BA32" i="15"/>
  <c r="BA33" i="15"/>
  <c r="BA34" i="15"/>
  <c r="BA35" i="15"/>
  <c r="BA36" i="15"/>
  <c r="BA37" i="15"/>
  <c r="BA38" i="15"/>
  <c r="BA39" i="15"/>
  <c r="BA40" i="15"/>
  <c r="BA41" i="15"/>
  <c r="BA42" i="15"/>
  <c r="BA43" i="15"/>
  <c r="BA44" i="15"/>
  <c r="BA45" i="15"/>
  <c r="BA46" i="15"/>
  <c r="BA47" i="15"/>
  <c r="BA48" i="15"/>
  <c r="BA49" i="15"/>
  <c r="BA50" i="15"/>
  <c r="BA51" i="15"/>
  <c r="BA52" i="15"/>
  <c r="BA53" i="15"/>
  <c r="BA54" i="15"/>
  <c r="BA55" i="15"/>
  <c r="BA56" i="15"/>
  <c r="BA57" i="15"/>
  <c r="BA58" i="15"/>
  <c r="BA59" i="15"/>
  <c r="BA60" i="15"/>
  <c r="BA61" i="15"/>
  <c r="BA62" i="15"/>
  <c r="BA63" i="15"/>
  <c r="BA65" i="15"/>
  <c r="BA66" i="15"/>
  <c r="BA67" i="15"/>
  <c r="BA68" i="15"/>
  <c r="BA69" i="15"/>
  <c r="BA70" i="15"/>
  <c r="BA71" i="15"/>
  <c r="BA72" i="15"/>
  <c r="BA73" i="15"/>
  <c r="BA74" i="15"/>
  <c r="BA75" i="15"/>
  <c r="BA76" i="15"/>
  <c r="BA77" i="15"/>
  <c r="BA78" i="15"/>
  <c r="BA79" i="15"/>
  <c r="BA80" i="15"/>
  <c r="BA81" i="15"/>
  <c r="BA82" i="15"/>
  <c r="BA83" i="15"/>
  <c r="BA84" i="15"/>
  <c r="BA85" i="15"/>
  <c r="BA86" i="15"/>
  <c r="BA87" i="15"/>
  <c r="BA88" i="15"/>
  <c r="BA89" i="15"/>
  <c r="BA90" i="15"/>
  <c r="BA91" i="15"/>
  <c r="BA92" i="15"/>
  <c r="BA93" i="15"/>
  <c r="BA94" i="15"/>
  <c r="BA95" i="15"/>
  <c r="BA96" i="15"/>
  <c r="BA97" i="15"/>
  <c r="BA98" i="15"/>
  <c r="BB99" i="15"/>
  <c r="AZ14" i="15"/>
  <c r="AZ15" i="15"/>
  <c r="AZ16" i="15"/>
  <c r="AZ17" i="15"/>
  <c r="AZ18" i="15"/>
  <c r="AZ19" i="15"/>
  <c r="AZ20" i="15"/>
  <c r="AZ21" i="15"/>
  <c r="AZ22" i="15"/>
  <c r="AZ23" i="15"/>
  <c r="AZ24" i="15"/>
  <c r="AZ25" i="15"/>
  <c r="AZ26" i="15"/>
  <c r="AZ27" i="15"/>
  <c r="AZ28" i="15"/>
  <c r="AZ29" i="15"/>
  <c r="AZ30" i="15"/>
  <c r="AZ31" i="15"/>
  <c r="AZ32" i="15"/>
  <c r="AZ33" i="15"/>
  <c r="AZ34" i="15"/>
  <c r="AZ35" i="15"/>
  <c r="AZ36" i="15"/>
  <c r="AZ37" i="15"/>
  <c r="AZ38" i="15"/>
  <c r="AZ39" i="15"/>
  <c r="AZ40" i="15"/>
  <c r="AZ41" i="15"/>
  <c r="AZ42" i="15"/>
  <c r="AZ43" i="15"/>
  <c r="AZ44" i="15"/>
  <c r="AZ45" i="15"/>
  <c r="AZ46" i="15"/>
  <c r="AZ47" i="15"/>
  <c r="AZ48" i="15"/>
  <c r="AZ49" i="15"/>
  <c r="AZ50" i="15"/>
  <c r="AZ51" i="15"/>
  <c r="AZ52" i="15"/>
  <c r="AZ53" i="15"/>
  <c r="AZ54" i="15"/>
  <c r="AZ55" i="15"/>
  <c r="AZ56" i="15"/>
  <c r="AZ57" i="15"/>
  <c r="AZ58" i="15"/>
  <c r="AZ59" i="15"/>
  <c r="AZ60" i="15"/>
  <c r="AZ61" i="15"/>
  <c r="AZ62" i="15"/>
  <c r="AZ63" i="15"/>
  <c r="AZ65" i="15"/>
  <c r="AZ66" i="15"/>
  <c r="AZ67" i="15"/>
  <c r="AZ68" i="15"/>
  <c r="AZ69" i="15"/>
  <c r="AZ70" i="15"/>
  <c r="AZ71" i="15"/>
  <c r="AZ72" i="15"/>
  <c r="AZ73" i="15"/>
  <c r="AZ74" i="15"/>
  <c r="AZ75" i="15"/>
  <c r="AZ76" i="15"/>
  <c r="AZ77" i="15"/>
  <c r="AZ78" i="15"/>
  <c r="AZ79" i="15"/>
  <c r="AZ80" i="15"/>
  <c r="AZ81" i="15"/>
  <c r="AZ82" i="15"/>
  <c r="AZ83" i="15"/>
  <c r="AZ84" i="15"/>
  <c r="AZ85" i="15"/>
  <c r="AZ86" i="15"/>
  <c r="AZ87" i="15"/>
  <c r="AZ88" i="15"/>
  <c r="AZ89" i="15"/>
  <c r="AZ90" i="15"/>
  <c r="AZ91" i="15"/>
  <c r="AZ92" i="15"/>
  <c r="AZ93" i="15"/>
  <c r="AZ94" i="15"/>
  <c r="AZ95" i="15"/>
  <c r="AZ96" i="15"/>
  <c r="AZ97" i="15"/>
  <c r="AZ98" i="15"/>
  <c r="AY10" i="27"/>
  <c r="AZ10" i="27"/>
  <c r="BA10" i="27"/>
  <c r="AY11" i="27"/>
  <c r="AZ11" i="27"/>
  <c r="BA11" i="27"/>
  <c r="AY12" i="27"/>
  <c r="AZ12" i="27"/>
  <c r="BA12" i="27"/>
  <c r="AY13" i="27"/>
  <c r="AZ13" i="27"/>
  <c r="BA13" i="27"/>
  <c r="AY14" i="27"/>
  <c r="AZ14" i="27"/>
  <c r="BA14" i="27"/>
  <c r="AY15" i="27"/>
  <c r="AZ15" i="27"/>
  <c r="BA15" i="27"/>
  <c r="AY16" i="27"/>
  <c r="AZ16" i="27"/>
  <c r="BA16" i="27"/>
  <c r="AY17" i="27"/>
  <c r="AZ17" i="27"/>
  <c r="BA17" i="27"/>
  <c r="AY18" i="27"/>
  <c r="AZ18" i="27"/>
  <c r="BA18" i="27"/>
  <c r="AY19" i="27"/>
  <c r="AZ19" i="27"/>
  <c r="BA19" i="27"/>
  <c r="AY20" i="27"/>
  <c r="AZ20" i="27"/>
  <c r="BA20" i="27"/>
  <c r="AY21" i="27"/>
  <c r="AZ21" i="27"/>
  <c r="BA21" i="27"/>
  <c r="AY22" i="27"/>
  <c r="AZ22" i="27"/>
  <c r="BA22" i="27"/>
  <c r="AY23" i="27"/>
  <c r="AZ23" i="27"/>
  <c r="BA23" i="27"/>
  <c r="AY24" i="27"/>
  <c r="AZ24" i="27"/>
  <c r="BA24" i="27"/>
  <c r="AY25" i="27"/>
  <c r="AZ25" i="27"/>
  <c r="BA25" i="27"/>
  <c r="AY26" i="27"/>
  <c r="AZ26" i="27"/>
  <c r="BA26" i="27"/>
  <c r="AY27" i="27"/>
  <c r="AZ27" i="27"/>
  <c r="BA27" i="27"/>
  <c r="AY28" i="27"/>
  <c r="AZ28" i="27"/>
  <c r="BA28" i="27"/>
  <c r="AY29" i="27"/>
  <c r="AZ29" i="27"/>
  <c r="BA29" i="27"/>
  <c r="AY30" i="27"/>
  <c r="AZ30" i="27"/>
  <c r="BA30" i="27"/>
  <c r="AY31" i="27"/>
  <c r="AZ31" i="27"/>
  <c r="BA31" i="27"/>
  <c r="AY32" i="27"/>
  <c r="AZ32" i="27"/>
  <c r="BA32" i="27"/>
  <c r="AY33" i="27"/>
  <c r="AZ33" i="27"/>
  <c r="BA33" i="27"/>
  <c r="AY34" i="27"/>
  <c r="AZ34" i="27"/>
  <c r="BA34" i="27"/>
  <c r="AY35" i="27"/>
  <c r="AZ35" i="27"/>
  <c r="BA35" i="27"/>
  <c r="AY36" i="27"/>
  <c r="AZ36" i="27"/>
  <c r="BA36" i="27"/>
  <c r="AY37" i="27"/>
  <c r="AZ37" i="27"/>
  <c r="BA37" i="27"/>
  <c r="AY38" i="27"/>
  <c r="AZ38" i="27"/>
  <c r="BA38" i="27"/>
  <c r="AY39" i="27"/>
  <c r="AZ39" i="27"/>
  <c r="BA39" i="27"/>
  <c r="AY40" i="27"/>
  <c r="AZ40" i="27"/>
  <c r="BA40" i="27"/>
  <c r="AY41" i="27"/>
  <c r="AZ41" i="27"/>
  <c r="BA41" i="27"/>
  <c r="AY42" i="27"/>
  <c r="AZ42" i="27"/>
  <c r="BA42" i="27"/>
  <c r="AY43" i="27"/>
  <c r="AZ43" i="27"/>
  <c r="BA43" i="27"/>
  <c r="AY44" i="27"/>
  <c r="AZ44" i="27"/>
  <c r="BA44" i="27"/>
  <c r="AY45" i="27"/>
  <c r="AZ45" i="27"/>
  <c r="BA45" i="27"/>
  <c r="AY46" i="27"/>
  <c r="AZ46" i="27"/>
  <c r="BA46" i="27"/>
  <c r="AY47" i="27"/>
  <c r="AZ47" i="27"/>
  <c r="BA47" i="27"/>
  <c r="AY48" i="27"/>
  <c r="AZ48" i="27"/>
  <c r="BA48" i="27"/>
  <c r="AY49" i="27"/>
  <c r="AZ49" i="27"/>
  <c r="BA49" i="27"/>
  <c r="AY50" i="27"/>
  <c r="AZ50" i="27"/>
  <c r="BA50" i="27"/>
  <c r="AY51" i="27"/>
  <c r="AZ51" i="27"/>
  <c r="BA51" i="27"/>
  <c r="AY52" i="27"/>
  <c r="AZ52" i="27"/>
  <c r="BA52" i="27"/>
  <c r="AY53" i="27"/>
  <c r="AZ53" i="27"/>
  <c r="BA53" i="27"/>
  <c r="AY54" i="27"/>
  <c r="AZ54" i="27"/>
  <c r="BA54" i="27"/>
  <c r="AY55" i="27"/>
  <c r="AZ55" i="27"/>
  <c r="BA55" i="27"/>
  <c r="AY56" i="27"/>
  <c r="AZ56" i="27"/>
  <c r="BA56" i="27"/>
  <c r="AY57" i="27"/>
  <c r="AZ57" i="27"/>
  <c r="BA57" i="27"/>
  <c r="AY58" i="27"/>
  <c r="AZ58" i="27"/>
  <c r="BA58" i="27"/>
  <c r="AY59" i="27"/>
  <c r="AZ59" i="27"/>
  <c r="BA59" i="27"/>
  <c r="AY60" i="27"/>
  <c r="AZ60" i="27"/>
  <c r="BA60" i="27"/>
  <c r="AY61" i="27"/>
  <c r="AZ61" i="27"/>
  <c r="BA61" i="27"/>
  <c r="AY62" i="27"/>
  <c r="AZ62" i="27"/>
  <c r="BA62" i="27"/>
  <c r="AY63" i="27"/>
  <c r="AZ63" i="27"/>
  <c r="BA63" i="27"/>
  <c r="AY65" i="27"/>
  <c r="AZ65" i="27"/>
  <c r="BA65" i="27"/>
  <c r="AY66" i="27"/>
  <c r="AZ66" i="27"/>
  <c r="BA66" i="27"/>
  <c r="AY67" i="27"/>
  <c r="AY72" i="27"/>
  <c r="C29" i="29"/>
  <c r="AZ67" i="27"/>
  <c r="AZ72" i="27"/>
  <c r="D29" i="29"/>
  <c r="BA67" i="27"/>
  <c r="AY68" i="27"/>
  <c r="AZ68" i="27"/>
  <c r="BA68" i="27"/>
  <c r="AY69" i="27"/>
  <c r="AZ69" i="27"/>
  <c r="BA69" i="27"/>
  <c r="AY70" i="27"/>
  <c r="AZ70" i="27"/>
  <c r="BA70" i="27"/>
  <c r="AY71" i="27"/>
  <c r="AZ71" i="27"/>
  <c r="BA71" i="27"/>
  <c r="BA72" i="27"/>
  <c r="AY73" i="27"/>
  <c r="AZ73" i="27"/>
  <c r="BA73" i="27"/>
  <c r="AY74" i="27"/>
  <c r="AZ74" i="27"/>
  <c r="BA74" i="27"/>
  <c r="AY75" i="27"/>
  <c r="AZ75" i="27"/>
  <c r="BA75" i="27"/>
  <c r="AY76" i="27"/>
  <c r="AZ76" i="27"/>
  <c r="BA76" i="27"/>
  <c r="AY77" i="27"/>
  <c r="AZ77" i="27"/>
  <c r="BA77" i="27"/>
  <c r="AY78" i="27"/>
  <c r="AZ78" i="27"/>
  <c r="BA78" i="27"/>
  <c r="AY79" i="27"/>
  <c r="AZ79" i="27"/>
  <c r="BA79" i="27"/>
  <c r="AY80" i="27"/>
  <c r="AZ80" i="27"/>
  <c r="BA80" i="27"/>
  <c r="AY81" i="27"/>
  <c r="AZ81" i="27"/>
  <c r="BA81" i="27"/>
  <c r="AY82" i="27"/>
  <c r="AZ82" i="27"/>
  <c r="BA82" i="27"/>
  <c r="AY83" i="27"/>
  <c r="AZ83" i="27"/>
  <c r="BA83" i="27"/>
  <c r="AY84" i="27"/>
  <c r="AZ84" i="27"/>
  <c r="BA84" i="27"/>
  <c r="AY85" i="27"/>
  <c r="AZ85" i="27"/>
  <c r="BA85" i="27"/>
  <c r="AY86" i="27"/>
  <c r="AZ86" i="27"/>
  <c r="BA86" i="27"/>
  <c r="AY87" i="27"/>
  <c r="AZ87" i="27"/>
  <c r="BA87" i="27"/>
  <c r="AY88" i="27"/>
  <c r="AZ88" i="27"/>
  <c r="BA88" i="27"/>
  <c r="AY89" i="27"/>
  <c r="AZ89" i="27"/>
  <c r="BA89" i="27"/>
  <c r="AY90" i="27"/>
  <c r="AZ90" i="27"/>
  <c r="BA90" i="27"/>
  <c r="AY91" i="27"/>
  <c r="AZ91" i="27"/>
  <c r="BA91" i="27"/>
  <c r="AY92" i="27"/>
  <c r="AZ92" i="27"/>
  <c r="BA92" i="27"/>
  <c r="AY93" i="27"/>
  <c r="AZ93" i="27"/>
  <c r="BA93" i="27"/>
  <c r="AY94" i="27"/>
  <c r="AZ94" i="27"/>
  <c r="BA94" i="27"/>
  <c r="AY95" i="27"/>
  <c r="AZ95" i="27"/>
  <c r="BA95" i="27"/>
  <c r="AY96" i="27"/>
  <c r="AZ96" i="27"/>
  <c r="BA96" i="27"/>
  <c r="AY97" i="27"/>
  <c r="AZ97" i="27"/>
  <c r="BA97" i="27"/>
  <c r="AY98" i="27"/>
  <c r="AZ98" i="27"/>
  <c r="BA98" i="27"/>
  <c r="J77" i="35"/>
  <c r="J82" i="31"/>
  <c r="J74" i="35"/>
  <c r="M19" i="30"/>
  <c r="J28" i="30"/>
  <c r="N28" i="30"/>
  <c r="J93" i="31"/>
  <c r="J72" i="35"/>
  <c r="O20" i="30"/>
  <c r="O38" i="30"/>
  <c r="J30" i="30"/>
  <c r="J61" i="35"/>
  <c r="M20" i="30"/>
  <c r="K19" i="30"/>
  <c r="O19" i="30"/>
  <c r="K28" i="30"/>
  <c r="O28" i="30"/>
  <c r="K30" i="30"/>
  <c r="K38" i="30"/>
  <c r="M21" i="30"/>
  <c r="N30" i="30"/>
  <c r="J94" i="31"/>
  <c r="J88" i="31"/>
  <c r="J97" i="31"/>
  <c r="J89" i="31"/>
  <c r="L19" i="30"/>
  <c r="L28" i="30"/>
  <c r="L30" i="30"/>
  <c r="N61" i="35"/>
  <c r="M61" i="35"/>
  <c r="O61" i="35"/>
  <c r="J95" i="31"/>
  <c r="J57" i="26"/>
  <c r="J67" i="35"/>
  <c r="J85" i="31"/>
  <c r="J98" i="31"/>
  <c r="J58" i="26"/>
  <c r="J68" i="35"/>
  <c r="J78" i="35"/>
  <c r="J64" i="35"/>
  <c r="J79" i="35"/>
  <c r="E23" i="29"/>
  <c r="L62" i="35"/>
  <c r="N57" i="26"/>
  <c r="N67" i="35"/>
  <c r="M54" i="26"/>
  <c r="M64" i="35"/>
  <c r="L55" i="26"/>
  <c r="N64" i="35"/>
  <c r="N74" i="35"/>
  <c r="M78" i="35"/>
  <c r="L96" i="31"/>
  <c r="M86" i="31"/>
  <c r="K76" i="35"/>
  <c r="N77" i="35"/>
  <c r="M100" i="31"/>
  <c r="M79" i="35"/>
  <c r="K67" i="35"/>
  <c r="K73" i="35"/>
  <c r="K88" i="31"/>
  <c r="K77" i="35"/>
  <c r="K66" i="35"/>
  <c r="K56" i="26"/>
  <c r="K74" i="35"/>
  <c r="K84" i="31"/>
  <c r="K63" i="35"/>
  <c r="K53" i="26"/>
  <c r="K96" i="31"/>
  <c r="K72" i="35"/>
  <c r="K93" i="31"/>
  <c r="L100" i="31"/>
  <c r="L87" i="31"/>
  <c r="L86" i="31"/>
  <c r="L52" i="26"/>
  <c r="L83" i="31"/>
  <c r="L99" i="31"/>
  <c r="L84" i="31"/>
  <c r="M65" i="35"/>
  <c r="M83" i="31"/>
  <c r="M62" i="35"/>
  <c r="M99" i="31"/>
  <c r="M98" i="31"/>
  <c r="M95" i="31"/>
  <c r="M75" i="35"/>
  <c r="M85" i="31"/>
  <c r="N79" i="35"/>
  <c r="N89" i="31"/>
  <c r="N68" i="35"/>
  <c r="N58" i="26"/>
  <c r="N97" i="31"/>
  <c r="N94" i="31"/>
  <c r="N78" i="35"/>
  <c r="N88" i="31"/>
  <c r="N98" i="31"/>
  <c r="N95" i="31"/>
  <c r="N85" i="31"/>
  <c r="N93" i="31"/>
  <c r="N72" i="35"/>
  <c r="N82" i="31"/>
  <c r="O72" i="35"/>
  <c r="O93" i="31"/>
  <c r="O82" i="31"/>
  <c r="O23" i="29"/>
  <c r="J83" i="31"/>
  <c r="L94" i="31"/>
  <c r="J99" i="31"/>
  <c r="M96" i="31"/>
  <c r="K98" i="31"/>
  <c r="L89" i="31"/>
  <c r="M82" i="31"/>
  <c r="M93" i="31"/>
  <c r="M72" i="35"/>
  <c r="K52" i="26"/>
  <c r="K62" i="35"/>
  <c r="J73" i="35"/>
  <c r="N73" i="35"/>
  <c r="J53" i="26"/>
  <c r="N53" i="26"/>
  <c r="J63" i="35"/>
  <c r="N63" i="35"/>
  <c r="M74" i="35"/>
  <c r="M57" i="26"/>
  <c r="M67" i="35"/>
  <c r="L54" i="26"/>
  <c r="K75" i="35"/>
  <c r="K55" i="26"/>
  <c r="K65" i="35"/>
  <c r="J76" i="35"/>
  <c r="N76" i="35"/>
  <c r="J56" i="26"/>
  <c r="N56" i="26"/>
  <c r="J66" i="35"/>
  <c r="N66" i="35"/>
  <c r="M77" i="35"/>
  <c r="M58" i="26"/>
  <c r="M68" i="35"/>
  <c r="C23" i="29"/>
  <c r="J23" i="29"/>
  <c r="N23" i="29"/>
  <c r="L34" i="29"/>
  <c r="K23" i="29"/>
  <c r="M34" i="29"/>
  <c r="N83" i="31"/>
  <c r="M84" i="31"/>
  <c r="K95" i="31"/>
  <c r="L88" i="31"/>
  <c r="N99" i="31"/>
  <c r="J86" i="31"/>
  <c r="N86" i="31"/>
  <c r="L97" i="31"/>
  <c r="M87" i="31"/>
  <c r="J100" i="31"/>
  <c r="N100" i="31"/>
  <c r="L82" i="31"/>
  <c r="L93" i="31"/>
  <c r="J62" i="35"/>
  <c r="N62" i="35"/>
  <c r="K83" i="31"/>
  <c r="M94" i="31"/>
  <c r="M73" i="35"/>
  <c r="M63" i="35"/>
  <c r="J84" i="31"/>
  <c r="N84" i="31"/>
  <c r="L95" i="31"/>
  <c r="L74" i="35"/>
  <c r="M88" i="31"/>
  <c r="K99" i="31"/>
  <c r="K78" i="35"/>
  <c r="L85" i="31"/>
  <c r="J96" i="31"/>
  <c r="N96" i="31"/>
  <c r="J75" i="35"/>
  <c r="N75" i="35"/>
  <c r="J65" i="35"/>
  <c r="N65" i="35"/>
  <c r="K86" i="31"/>
  <c r="M97" i="31"/>
  <c r="M76" i="35"/>
  <c r="M66" i="35"/>
  <c r="J87" i="31"/>
  <c r="N87" i="31"/>
  <c r="L98" i="31"/>
  <c r="L68" i="35"/>
  <c r="M89" i="31"/>
  <c r="K100" i="31"/>
  <c r="K79" i="35"/>
  <c r="O51" i="26"/>
  <c r="L29" i="29"/>
  <c r="L51" i="26"/>
  <c r="M29" i="29"/>
  <c r="M51" i="26"/>
  <c r="M52" i="26"/>
  <c r="L53" i="26"/>
  <c r="K57" i="26"/>
  <c r="J54" i="26"/>
  <c r="N54" i="26"/>
  <c r="M55" i="26"/>
  <c r="L56" i="26"/>
  <c r="E29" i="29"/>
  <c r="N29" i="29"/>
  <c r="L23" i="29"/>
  <c r="J34" i="29"/>
  <c r="N34" i="29"/>
  <c r="K51" i="26"/>
  <c r="J51" i="26"/>
  <c r="N51" i="26"/>
  <c r="J52" i="26"/>
  <c r="N52" i="26"/>
  <c r="M53" i="26"/>
  <c r="L57" i="26"/>
  <c r="K54" i="26"/>
  <c r="J55" i="26"/>
  <c r="N55" i="26"/>
  <c r="M56" i="26"/>
  <c r="L58" i="26"/>
  <c r="D23" i="29"/>
  <c r="O29" i="29"/>
  <c r="K34" i="29"/>
  <c r="O34" i="29"/>
  <c r="K17" i="29"/>
  <c r="O18" i="29"/>
  <c r="L40" i="29"/>
  <c r="J36" i="30"/>
  <c r="N36" i="30"/>
  <c r="M36" i="30"/>
  <c r="M40" i="29"/>
  <c r="K40" i="29"/>
  <c r="BG99" i="27"/>
  <c r="BI99" i="15"/>
  <c r="CF99" i="27"/>
  <c r="AM99" i="15"/>
  <c r="BG99" i="15"/>
  <c r="AM99" i="27"/>
  <c r="BK99" i="15"/>
  <c r="BA99" i="15"/>
  <c r="F67" i="35"/>
  <c r="C88" i="31"/>
  <c r="E99" i="31"/>
  <c r="F78" i="35"/>
  <c r="E78" i="35"/>
  <c r="D99" i="31"/>
  <c r="C57" i="26"/>
  <c r="F88" i="31"/>
  <c r="F99" i="31"/>
  <c r="D88" i="31"/>
  <c r="C67" i="35"/>
  <c r="D78" i="35"/>
  <c r="E67" i="35"/>
  <c r="C78" i="35"/>
  <c r="C99" i="31"/>
  <c r="E88" i="31"/>
  <c r="D57" i="26"/>
  <c r="F57" i="26"/>
  <c r="E57" i="26"/>
  <c r="Z10" i="15"/>
  <c r="AA10" i="15"/>
  <c r="AB10" i="15"/>
  <c r="AA11" i="15"/>
  <c r="AB11" i="15"/>
  <c r="AA12" i="15"/>
  <c r="AB12" i="15"/>
  <c r="Z13" i="15"/>
  <c r="AA13" i="15"/>
  <c r="AB13" i="15"/>
  <c r="Z14" i="15"/>
  <c r="AA14" i="15"/>
  <c r="AB14" i="15"/>
  <c r="AA15" i="15"/>
  <c r="AB15" i="15"/>
  <c r="D21" i="30"/>
  <c r="Z16" i="15"/>
  <c r="AA16" i="15"/>
  <c r="AB16" i="15"/>
  <c r="Z17" i="15"/>
  <c r="AA17" i="15"/>
  <c r="AB17" i="15"/>
  <c r="AA18" i="15"/>
  <c r="C19" i="30"/>
  <c r="AB18" i="15"/>
  <c r="D19" i="30"/>
  <c r="Z19" i="15"/>
  <c r="AA19" i="15"/>
  <c r="AB19" i="15"/>
  <c r="Z20" i="15"/>
  <c r="AA20" i="15"/>
  <c r="AB20" i="15"/>
  <c r="Z21" i="15"/>
  <c r="AA21" i="15"/>
  <c r="AB21" i="15"/>
  <c r="Z22" i="15"/>
  <c r="AA22" i="15"/>
  <c r="AB22" i="15"/>
  <c r="Z23" i="15"/>
  <c r="AA23" i="15"/>
  <c r="AB23" i="15"/>
  <c r="Z24" i="15"/>
  <c r="AA24" i="15"/>
  <c r="AB24" i="15"/>
  <c r="Z25" i="15"/>
  <c r="AA25" i="15"/>
  <c r="AB25" i="15"/>
  <c r="Z26" i="15"/>
  <c r="AA26" i="15"/>
  <c r="AB26" i="15"/>
  <c r="Z27" i="15"/>
  <c r="AA27" i="15"/>
  <c r="AB27" i="15"/>
  <c r="Z28" i="15"/>
  <c r="AA28" i="15"/>
  <c r="AB28" i="15"/>
  <c r="Z29" i="15"/>
  <c r="AA29" i="15"/>
  <c r="AB29" i="15"/>
  <c r="Z30" i="15"/>
  <c r="AA30" i="15"/>
  <c r="AB30" i="15"/>
  <c r="Z31" i="15"/>
  <c r="AA31" i="15"/>
  <c r="AB31" i="15"/>
  <c r="Z32" i="15"/>
  <c r="AA32" i="15"/>
  <c r="AB32" i="15"/>
  <c r="Z33" i="15"/>
  <c r="AA33" i="15"/>
  <c r="AB33" i="15"/>
  <c r="Z34" i="15"/>
  <c r="AA34" i="15"/>
  <c r="AB34" i="15"/>
  <c r="Z35" i="15"/>
  <c r="AA35" i="15"/>
  <c r="AB35" i="15"/>
  <c r="Z36" i="15"/>
  <c r="AA36" i="15"/>
  <c r="AB36" i="15"/>
  <c r="Z37" i="15"/>
  <c r="AA37" i="15"/>
  <c r="AB37" i="15"/>
  <c r="Z38" i="15"/>
  <c r="AA38" i="15"/>
  <c r="AB38" i="15"/>
  <c r="Z39" i="15"/>
  <c r="AA39" i="15"/>
  <c r="AB39" i="15"/>
  <c r="Z40" i="15"/>
  <c r="AA40" i="15"/>
  <c r="AB40" i="15"/>
  <c r="Z41" i="15"/>
  <c r="AA41" i="15"/>
  <c r="AB41" i="15"/>
  <c r="Z42" i="15"/>
  <c r="AA42" i="15"/>
  <c r="AB42" i="15"/>
  <c r="Z43" i="15"/>
  <c r="AA43" i="15"/>
  <c r="AB43" i="15"/>
  <c r="Z44" i="15"/>
  <c r="AA44" i="15"/>
  <c r="AB44" i="15"/>
  <c r="Z45" i="15"/>
  <c r="AA45" i="15"/>
  <c r="AB45" i="15"/>
  <c r="Z46" i="15"/>
  <c r="AA46" i="15"/>
  <c r="AB46" i="15"/>
  <c r="Z47" i="15"/>
  <c r="AA47" i="15"/>
  <c r="AB47" i="15"/>
  <c r="Z48" i="15"/>
  <c r="AA48" i="15"/>
  <c r="AB48" i="15"/>
  <c r="Z49" i="15"/>
  <c r="AA49" i="15"/>
  <c r="AB49" i="15"/>
  <c r="Z50" i="15"/>
  <c r="AA50" i="15"/>
  <c r="AB50" i="15"/>
  <c r="Z51" i="15"/>
  <c r="AA51" i="15"/>
  <c r="AB51" i="15"/>
  <c r="Z52" i="15"/>
  <c r="AA52" i="15"/>
  <c r="AB52" i="15"/>
  <c r="Z53" i="15"/>
  <c r="AA53" i="15"/>
  <c r="AB53" i="15"/>
  <c r="Z54" i="15"/>
  <c r="AA54" i="15"/>
  <c r="AB54" i="15"/>
  <c r="Z55" i="15"/>
  <c r="AA55" i="15"/>
  <c r="AB55" i="15"/>
  <c r="Z56" i="15"/>
  <c r="AA56" i="15"/>
  <c r="AB56" i="15"/>
  <c r="Z57" i="15"/>
  <c r="AA57" i="15"/>
  <c r="AB57" i="15"/>
  <c r="Z58" i="15"/>
  <c r="AA58" i="15"/>
  <c r="AB58" i="15"/>
  <c r="Z59" i="15"/>
  <c r="AA59" i="15"/>
  <c r="AB59" i="15"/>
  <c r="Z60" i="15"/>
  <c r="AA60" i="15"/>
  <c r="AB60" i="15"/>
  <c r="Z61" i="15"/>
  <c r="AA61" i="15"/>
  <c r="AB61" i="15"/>
  <c r="Z62" i="15"/>
  <c r="AA62" i="15"/>
  <c r="AB62" i="15"/>
  <c r="Z63" i="15"/>
  <c r="AA63" i="15"/>
  <c r="AB63" i="15"/>
  <c r="Z65" i="15"/>
  <c r="AA65" i="15"/>
  <c r="AB65" i="15"/>
  <c r="Z66" i="15"/>
  <c r="AA66" i="15"/>
  <c r="AB66" i="15"/>
  <c r="AA67" i="15"/>
  <c r="AB67" i="15"/>
  <c r="AB72" i="15"/>
  <c r="D17" i="29"/>
  <c r="Z68" i="15"/>
  <c r="AA68" i="15"/>
  <c r="AB68" i="15"/>
  <c r="Z69" i="15"/>
  <c r="AA69" i="15"/>
  <c r="AB69" i="15"/>
  <c r="Z70" i="15"/>
  <c r="AA70" i="15"/>
  <c r="AB70" i="15"/>
  <c r="Z71" i="15"/>
  <c r="AA71" i="15"/>
  <c r="AB71" i="15"/>
  <c r="AA72" i="15"/>
  <c r="Z73" i="15"/>
  <c r="AA73" i="15"/>
  <c r="AB73" i="15"/>
  <c r="Z74" i="15"/>
  <c r="AA74" i="15"/>
  <c r="AB74" i="15"/>
  <c r="Z75" i="15"/>
  <c r="AA75" i="15"/>
  <c r="AB75" i="15"/>
  <c r="Z76" i="15"/>
  <c r="AA76" i="15"/>
  <c r="AB76" i="15"/>
  <c r="Z77" i="15"/>
  <c r="AA77" i="15"/>
  <c r="AB77" i="15"/>
  <c r="Z78" i="15"/>
  <c r="AA78" i="15"/>
  <c r="AB78" i="15"/>
  <c r="Z79" i="15"/>
  <c r="AA79" i="15"/>
  <c r="AB79" i="15"/>
  <c r="Z80" i="15"/>
  <c r="AA80" i="15"/>
  <c r="AB80" i="15"/>
  <c r="Z81" i="15"/>
  <c r="AA81" i="15"/>
  <c r="AB81" i="15"/>
  <c r="Z82" i="15"/>
  <c r="AA82" i="15"/>
  <c r="AB82" i="15"/>
  <c r="Z83" i="15"/>
  <c r="AA83" i="15"/>
  <c r="AB83" i="15"/>
  <c r="Z84" i="15"/>
  <c r="AA84" i="15"/>
  <c r="AB84" i="15"/>
  <c r="Z85" i="15"/>
  <c r="AA85" i="15"/>
  <c r="AB85" i="15"/>
  <c r="Z86" i="15"/>
  <c r="AA86" i="15"/>
  <c r="AB86" i="15"/>
  <c r="Z87" i="15"/>
  <c r="AA87" i="15"/>
  <c r="AB87" i="15"/>
  <c r="Z88" i="15"/>
  <c r="AA88" i="15"/>
  <c r="AB88" i="15"/>
  <c r="Z89" i="15"/>
  <c r="AA89" i="15"/>
  <c r="AB89" i="15"/>
  <c r="Z90" i="15"/>
  <c r="AA90" i="15"/>
  <c r="AB90" i="15"/>
  <c r="Z91" i="15"/>
  <c r="AA91" i="15"/>
  <c r="AB91" i="15"/>
  <c r="Z92" i="15"/>
  <c r="AA92" i="15"/>
  <c r="AB92" i="15"/>
  <c r="Z93" i="15"/>
  <c r="AA93" i="15"/>
  <c r="AB93" i="15"/>
  <c r="Z94" i="15"/>
  <c r="AA94" i="15"/>
  <c r="AB94" i="15"/>
  <c r="Z95" i="15"/>
  <c r="AA95" i="15"/>
  <c r="AB95" i="15"/>
  <c r="Z96" i="15"/>
  <c r="AA96" i="15"/>
  <c r="AB96" i="15"/>
  <c r="Z97" i="15"/>
  <c r="AA97" i="15"/>
  <c r="AB97" i="15"/>
  <c r="Z98" i="15"/>
  <c r="AA98" i="15"/>
  <c r="AB98" i="15"/>
  <c r="A71" i="31"/>
  <c r="A40" i="26"/>
  <c r="A55" i="31"/>
  <c r="A54" i="31"/>
  <c r="A60" i="31"/>
  <c r="A37" i="30"/>
  <c r="A35" i="30"/>
  <c r="A29" i="30"/>
  <c r="A27" i="30"/>
  <c r="A38" i="30"/>
  <c r="A36" i="30"/>
  <c r="BX10" i="27"/>
  <c r="BY10" i="27"/>
  <c r="BZ10" i="27"/>
  <c r="CA10" i="27"/>
  <c r="CB10" i="27"/>
  <c r="CC10" i="27"/>
  <c r="CC11" i="27"/>
  <c r="CC12" i="27"/>
  <c r="CC13" i="27"/>
  <c r="CC14" i="27"/>
  <c r="CC15" i="27"/>
  <c r="CC16" i="27"/>
  <c r="CC17" i="27"/>
  <c r="CC18" i="27"/>
  <c r="CC19" i="27"/>
  <c r="CC20" i="27"/>
  <c r="CC21" i="27"/>
  <c r="CC22" i="27"/>
  <c r="CC23" i="27"/>
  <c r="CC24" i="27"/>
  <c r="CC25" i="27"/>
  <c r="CC26" i="27"/>
  <c r="CC27" i="27"/>
  <c r="CC28" i="27"/>
  <c r="CC29" i="27"/>
  <c r="CC30" i="27"/>
  <c r="CC31" i="27"/>
  <c r="CC32" i="27"/>
  <c r="CC33" i="27"/>
  <c r="CC34" i="27"/>
  <c r="CC35" i="27"/>
  <c r="CC36" i="27"/>
  <c r="CC37" i="27"/>
  <c r="CC38" i="27"/>
  <c r="CC39" i="27"/>
  <c r="CC40" i="27"/>
  <c r="CC41" i="27"/>
  <c r="CC42" i="27"/>
  <c r="CC43" i="27"/>
  <c r="CC44" i="27"/>
  <c r="CC45" i="27"/>
  <c r="CC46" i="27"/>
  <c r="CC47" i="27"/>
  <c r="CC48" i="27"/>
  <c r="CC49" i="27"/>
  <c r="CC50" i="27"/>
  <c r="CC51" i="27"/>
  <c r="CC52" i="27"/>
  <c r="CC53" i="27"/>
  <c r="CC54" i="27"/>
  <c r="CC55" i="27"/>
  <c r="CC56" i="27"/>
  <c r="CC57" i="27"/>
  <c r="CC58" i="27"/>
  <c r="CC59" i="27"/>
  <c r="CC60" i="27"/>
  <c r="CC61" i="27"/>
  <c r="CC62" i="27"/>
  <c r="CC63" i="27"/>
  <c r="CC65" i="27"/>
  <c r="CC66" i="27"/>
  <c r="CC67" i="27"/>
  <c r="CC68" i="27"/>
  <c r="CC69" i="27"/>
  <c r="CC70" i="27"/>
  <c r="CC71" i="27"/>
  <c r="CC72" i="27"/>
  <c r="CC73" i="27"/>
  <c r="CC74" i="27"/>
  <c r="CC75" i="27"/>
  <c r="CC76" i="27"/>
  <c r="CC77" i="27"/>
  <c r="CC78" i="27"/>
  <c r="CC79" i="27"/>
  <c r="CC80" i="27"/>
  <c r="CC81" i="27"/>
  <c r="CC82" i="27"/>
  <c r="CC83" i="27"/>
  <c r="CC84" i="27"/>
  <c r="CC85" i="27"/>
  <c r="CC86" i="27"/>
  <c r="CC87" i="27"/>
  <c r="CC88" i="27"/>
  <c r="CC89" i="27"/>
  <c r="CC90" i="27"/>
  <c r="CC91" i="27"/>
  <c r="CC92" i="27"/>
  <c r="CC93" i="27"/>
  <c r="CC94" i="27"/>
  <c r="CC95" i="27"/>
  <c r="CC96" i="27"/>
  <c r="CC97" i="27"/>
  <c r="CC98" i="27"/>
  <c r="CC99" i="27"/>
  <c r="BX11" i="27"/>
  <c r="BY11" i="27"/>
  <c r="BZ11" i="27"/>
  <c r="CA11" i="27"/>
  <c r="CB11" i="27"/>
  <c r="BX12" i="27"/>
  <c r="BY12" i="27"/>
  <c r="BZ12" i="27"/>
  <c r="CA12" i="27"/>
  <c r="CB12" i="27"/>
  <c r="BX13" i="27"/>
  <c r="BY13" i="27"/>
  <c r="BZ13" i="27"/>
  <c r="CA13" i="27"/>
  <c r="CB13" i="27"/>
  <c r="BX14" i="27"/>
  <c r="BY14" i="27"/>
  <c r="BZ14" i="27"/>
  <c r="CA14" i="27"/>
  <c r="CB14" i="27"/>
  <c r="BX15" i="27"/>
  <c r="D38" i="30"/>
  <c r="BY15" i="27"/>
  <c r="E38" i="30"/>
  <c r="BZ15" i="27"/>
  <c r="F38" i="30"/>
  <c r="CA15" i="27"/>
  <c r="G38" i="30"/>
  <c r="CB15" i="27"/>
  <c r="H38" i="30"/>
  <c r="I38" i="30"/>
  <c r="BX16" i="27"/>
  <c r="BY16" i="27"/>
  <c r="BZ16" i="27"/>
  <c r="CA16" i="27"/>
  <c r="CB16" i="27"/>
  <c r="BX17" i="27"/>
  <c r="BY17" i="27"/>
  <c r="BZ17" i="27"/>
  <c r="CA17" i="27"/>
  <c r="CB17" i="27"/>
  <c r="BX18" i="27"/>
  <c r="BY18" i="27"/>
  <c r="E36" i="30"/>
  <c r="BZ18" i="27"/>
  <c r="CA18" i="27"/>
  <c r="CB18" i="27"/>
  <c r="H36" i="30"/>
  <c r="I36" i="30"/>
  <c r="BX19" i="27"/>
  <c r="BY19" i="27"/>
  <c r="BZ19" i="27"/>
  <c r="CA19" i="27"/>
  <c r="CB19" i="27"/>
  <c r="BX20" i="27"/>
  <c r="BY20" i="27"/>
  <c r="BZ20" i="27"/>
  <c r="CA20" i="27"/>
  <c r="CB20" i="27"/>
  <c r="BX21" i="27"/>
  <c r="BY21" i="27"/>
  <c r="BZ21" i="27"/>
  <c r="CA21" i="27"/>
  <c r="CB21" i="27"/>
  <c r="BX22" i="27"/>
  <c r="BY22" i="27"/>
  <c r="BZ22" i="27"/>
  <c r="CA22" i="27"/>
  <c r="CB22" i="27"/>
  <c r="BX23" i="27"/>
  <c r="BY23" i="27"/>
  <c r="BZ23" i="27"/>
  <c r="CA23" i="27"/>
  <c r="CB23" i="27"/>
  <c r="BX24" i="27"/>
  <c r="BY24" i="27"/>
  <c r="BZ24" i="27"/>
  <c r="CA24" i="27"/>
  <c r="CB24" i="27"/>
  <c r="BX25" i="27"/>
  <c r="BY25" i="27"/>
  <c r="BZ25" i="27"/>
  <c r="CA25" i="27"/>
  <c r="CB25" i="27"/>
  <c r="BX26" i="27"/>
  <c r="BY26" i="27"/>
  <c r="BZ26" i="27"/>
  <c r="CA26" i="27"/>
  <c r="CB26" i="27"/>
  <c r="BX27" i="27"/>
  <c r="BY27" i="27"/>
  <c r="BZ27" i="27"/>
  <c r="CA27" i="27"/>
  <c r="CB27" i="27"/>
  <c r="BX28" i="27"/>
  <c r="BY28" i="27"/>
  <c r="BZ28" i="27"/>
  <c r="CA28" i="27"/>
  <c r="CB28" i="27"/>
  <c r="BX29" i="27"/>
  <c r="BY29" i="27"/>
  <c r="BZ29" i="27"/>
  <c r="CA29" i="27"/>
  <c r="CB29" i="27"/>
  <c r="BX30" i="27"/>
  <c r="BY30" i="27"/>
  <c r="BZ30" i="27"/>
  <c r="CA30" i="27"/>
  <c r="CB30" i="27"/>
  <c r="BX31" i="27"/>
  <c r="BY31" i="27"/>
  <c r="BZ31" i="27"/>
  <c r="CA31" i="27"/>
  <c r="CB31" i="27"/>
  <c r="BX32" i="27"/>
  <c r="BY32" i="27"/>
  <c r="BZ32" i="27"/>
  <c r="CA32" i="27"/>
  <c r="CB32" i="27"/>
  <c r="BX33" i="27"/>
  <c r="BY33" i="27"/>
  <c r="BZ33" i="27"/>
  <c r="CA33" i="27"/>
  <c r="CB33" i="27"/>
  <c r="BX34" i="27"/>
  <c r="BY34" i="27"/>
  <c r="BZ34" i="27"/>
  <c r="CA34" i="27"/>
  <c r="CB34" i="27"/>
  <c r="BX35" i="27"/>
  <c r="BY35" i="27"/>
  <c r="BZ35" i="27"/>
  <c r="CA35" i="27"/>
  <c r="CB35" i="27"/>
  <c r="BX36" i="27"/>
  <c r="BY36" i="27"/>
  <c r="BZ36" i="27"/>
  <c r="CA36" i="27"/>
  <c r="CB36" i="27"/>
  <c r="BX37" i="27"/>
  <c r="BY37" i="27"/>
  <c r="BZ37" i="27"/>
  <c r="CA37" i="27"/>
  <c r="CB37" i="27"/>
  <c r="BX38" i="27"/>
  <c r="BY38" i="27"/>
  <c r="BZ38" i="27"/>
  <c r="CA38" i="27"/>
  <c r="CB38" i="27"/>
  <c r="BX39" i="27"/>
  <c r="BY39" i="27"/>
  <c r="BZ39" i="27"/>
  <c r="CA39" i="27"/>
  <c r="CB39" i="27"/>
  <c r="BX40" i="27"/>
  <c r="BY40" i="27"/>
  <c r="BZ40" i="27"/>
  <c r="CA40" i="27"/>
  <c r="CB40" i="27"/>
  <c r="BX41" i="27"/>
  <c r="BY41" i="27"/>
  <c r="BZ41" i="27"/>
  <c r="CA41" i="27"/>
  <c r="CB41" i="27"/>
  <c r="BX42" i="27"/>
  <c r="BY42" i="27"/>
  <c r="BZ42" i="27"/>
  <c r="CA42" i="27"/>
  <c r="CB42" i="27"/>
  <c r="BX43" i="27"/>
  <c r="BY43" i="27"/>
  <c r="BZ43" i="27"/>
  <c r="CA43" i="27"/>
  <c r="CB43" i="27"/>
  <c r="BX44" i="27"/>
  <c r="BY44" i="27"/>
  <c r="BZ44" i="27"/>
  <c r="CA44" i="27"/>
  <c r="CB44" i="27"/>
  <c r="BX45" i="27"/>
  <c r="BY45" i="27"/>
  <c r="BZ45" i="27"/>
  <c r="CA45" i="27"/>
  <c r="CB45" i="27"/>
  <c r="BX46" i="27"/>
  <c r="BY46" i="27"/>
  <c r="BZ46" i="27"/>
  <c r="CA46" i="27"/>
  <c r="CB46" i="27"/>
  <c r="BX47" i="27"/>
  <c r="BY47" i="27"/>
  <c r="BZ47" i="27"/>
  <c r="CA47" i="27"/>
  <c r="CB47" i="27"/>
  <c r="BX48" i="27"/>
  <c r="BY48" i="27"/>
  <c r="BZ48" i="27"/>
  <c r="CA48" i="27"/>
  <c r="CB48" i="27"/>
  <c r="BX49" i="27"/>
  <c r="BY49" i="27"/>
  <c r="BZ49" i="27"/>
  <c r="CA49" i="27"/>
  <c r="CB49" i="27"/>
  <c r="BX50" i="27"/>
  <c r="BY50" i="27"/>
  <c r="BZ50" i="27"/>
  <c r="CA50" i="27"/>
  <c r="CB50" i="27"/>
  <c r="BX51" i="27"/>
  <c r="BY51" i="27"/>
  <c r="BZ51" i="27"/>
  <c r="CA51" i="27"/>
  <c r="CB51" i="27"/>
  <c r="BX52" i="27"/>
  <c r="BY52" i="27"/>
  <c r="BZ52" i="27"/>
  <c r="CA52" i="27"/>
  <c r="CB52" i="27"/>
  <c r="BX53" i="27"/>
  <c r="BY53" i="27"/>
  <c r="BZ53" i="27"/>
  <c r="CA53" i="27"/>
  <c r="CB53" i="27"/>
  <c r="BX54" i="27"/>
  <c r="BY54" i="27"/>
  <c r="BZ54" i="27"/>
  <c r="CA54" i="27"/>
  <c r="CB54" i="27"/>
  <c r="BX55" i="27"/>
  <c r="BY55" i="27"/>
  <c r="BZ55" i="27"/>
  <c r="CA55" i="27"/>
  <c r="CB55" i="27"/>
  <c r="BX56" i="27"/>
  <c r="BY56" i="27"/>
  <c r="BZ56" i="27"/>
  <c r="CA56" i="27"/>
  <c r="CB56" i="27"/>
  <c r="BX57" i="27"/>
  <c r="BY57" i="27"/>
  <c r="BZ57" i="27"/>
  <c r="CA57" i="27"/>
  <c r="CB57" i="27"/>
  <c r="BX58" i="27"/>
  <c r="BY58" i="27"/>
  <c r="BZ58" i="27"/>
  <c r="CA58" i="27"/>
  <c r="CB58" i="27"/>
  <c r="BX59" i="27"/>
  <c r="BY59" i="27"/>
  <c r="BZ59" i="27"/>
  <c r="CA59" i="27"/>
  <c r="CB59" i="27"/>
  <c r="BX60" i="27"/>
  <c r="BY60" i="27"/>
  <c r="BZ60" i="27"/>
  <c r="CA60" i="27"/>
  <c r="CB60" i="27"/>
  <c r="BX61" i="27"/>
  <c r="BY61" i="27"/>
  <c r="BZ61" i="27"/>
  <c r="CA61" i="27"/>
  <c r="CB61" i="27"/>
  <c r="BX62" i="27"/>
  <c r="BY62" i="27"/>
  <c r="BZ62" i="27"/>
  <c r="CA62" i="27"/>
  <c r="CB62" i="27"/>
  <c r="BX63" i="27"/>
  <c r="BY63" i="27"/>
  <c r="BZ63" i="27"/>
  <c r="CA63" i="27"/>
  <c r="CB63" i="27"/>
  <c r="BX65" i="27"/>
  <c r="BY65" i="27"/>
  <c r="BZ65" i="27"/>
  <c r="CA65" i="27"/>
  <c r="CB65" i="27"/>
  <c r="BX66" i="27"/>
  <c r="BY66" i="27"/>
  <c r="BZ66" i="27"/>
  <c r="CA66" i="27"/>
  <c r="CB66" i="27"/>
  <c r="BX67" i="27"/>
  <c r="BX72" i="27"/>
  <c r="D40" i="29"/>
  <c r="BY67" i="27"/>
  <c r="BZ67" i="27"/>
  <c r="BZ72" i="27"/>
  <c r="F40" i="29"/>
  <c r="CA67" i="27"/>
  <c r="CB67" i="27"/>
  <c r="CB72" i="27"/>
  <c r="H40" i="29"/>
  <c r="I40" i="29"/>
  <c r="BX68" i="27"/>
  <c r="BY68" i="27"/>
  <c r="BZ68" i="27"/>
  <c r="CA68" i="27"/>
  <c r="CB68" i="27"/>
  <c r="BX69" i="27"/>
  <c r="BY69" i="27"/>
  <c r="BZ69" i="27"/>
  <c r="CA69" i="27"/>
  <c r="CB69" i="27"/>
  <c r="BX70" i="27"/>
  <c r="BY70" i="27"/>
  <c r="BZ70" i="27"/>
  <c r="CA70" i="27"/>
  <c r="CB70" i="27"/>
  <c r="BX71" i="27"/>
  <c r="BY71" i="27"/>
  <c r="BZ71" i="27"/>
  <c r="CA71" i="27"/>
  <c r="CB71" i="27"/>
  <c r="BY72" i="27"/>
  <c r="CA72" i="27"/>
  <c r="BX73" i="27"/>
  <c r="BY73" i="27"/>
  <c r="BZ73" i="27"/>
  <c r="CA73" i="27"/>
  <c r="CB73" i="27"/>
  <c r="BX74" i="27"/>
  <c r="BY74" i="27"/>
  <c r="BZ74" i="27"/>
  <c r="CA74" i="27"/>
  <c r="CB74" i="27"/>
  <c r="BX75" i="27"/>
  <c r="BY75" i="27"/>
  <c r="BZ75" i="27"/>
  <c r="CA75" i="27"/>
  <c r="CB75" i="27"/>
  <c r="BX76" i="27"/>
  <c r="BY76" i="27"/>
  <c r="BZ76" i="27"/>
  <c r="CA76" i="27"/>
  <c r="CB76" i="27"/>
  <c r="BX77" i="27"/>
  <c r="BY77" i="27"/>
  <c r="BZ77" i="27"/>
  <c r="CA77" i="27"/>
  <c r="CB77" i="27"/>
  <c r="BX78" i="27"/>
  <c r="BY78" i="27"/>
  <c r="BZ78" i="27"/>
  <c r="CA78" i="27"/>
  <c r="CB78" i="27"/>
  <c r="BX79" i="27"/>
  <c r="BY79" i="27"/>
  <c r="BZ79" i="27"/>
  <c r="CA79" i="27"/>
  <c r="CB79" i="27"/>
  <c r="BX80" i="27"/>
  <c r="BY80" i="27"/>
  <c r="BZ80" i="27"/>
  <c r="CA80" i="27"/>
  <c r="CB80" i="27"/>
  <c r="BX81" i="27"/>
  <c r="BY81" i="27"/>
  <c r="BZ81" i="27"/>
  <c r="CA81" i="27"/>
  <c r="CB81" i="27"/>
  <c r="BX82" i="27"/>
  <c r="BY82" i="27"/>
  <c r="BZ82" i="27"/>
  <c r="CA82" i="27"/>
  <c r="CB82" i="27"/>
  <c r="BX83" i="27"/>
  <c r="BY83" i="27"/>
  <c r="BZ83" i="27"/>
  <c r="CA83" i="27"/>
  <c r="CB83" i="27"/>
  <c r="BX84" i="27"/>
  <c r="BY84" i="27"/>
  <c r="BZ84" i="27"/>
  <c r="CA84" i="27"/>
  <c r="CB84" i="27"/>
  <c r="BX85" i="27"/>
  <c r="BY85" i="27"/>
  <c r="BZ85" i="27"/>
  <c r="CA85" i="27"/>
  <c r="CB85" i="27"/>
  <c r="BX86" i="27"/>
  <c r="BY86" i="27"/>
  <c r="BZ86" i="27"/>
  <c r="CA86" i="27"/>
  <c r="CB86" i="27"/>
  <c r="BX87" i="27"/>
  <c r="BY87" i="27"/>
  <c r="BZ87" i="27"/>
  <c r="CA87" i="27"/>
  <c r="CB87" i="27"/>
  <c r="BX88" i="27"/>
  <c r="BY88" i="27"/>
  <c r="BZ88" i="27"/>
  <c r="CA88" i="27"/>
  <c r="CB88" i="27"/>
  <c r="BX89" i="27"/>
  <c r="BY89" i="27"/>
  <c r="BZ89" i="27"/>
  <c r="CA89" i="27"/>
  <c r="CB89" i="27"/>
  <c r="BX90" i="27"/>
  <c r="BY90" i="27"/>
  <c r="BZ90" i="27"/>
  <c r="CA90" i="27"/>
  <c r="CB90" i="27"/>
  <c r="BX91" i="27"/>
  <c r="BY91" i="27"/>
  <c r="BZ91" i="27"/>
  <c r="CA91" i="27"/>
  <c r="CB91" i="27"/>
  <c r="BX92" i="27"/>
  <c r="BY92" i="27"/>
  <c r="BZ92" i="27"/>
  <c r="CA92" i="27"/>
  <c r="CB92" i="27"/>
  <c r="BX93" i="27"/>
  <c r="BY93" i="27"/>
  <c r="BZ93" i="27"/>
  <c r="CA93" i="27"/>
  <c r="CB93" i="27"/>
  <c r="BX94" i="27"/>
  <c r="BY94" i="27"/>
  <c r="BZ94" i="27"/>
  <c r="CA94" i="27"/>
  <c r="CB94" i="27"/>
  <c r="BX95" i="27"/>
  <c r="BY95" i="27"/>
  <c r="BZ95" i="27"/>
  <c r="CA95" i="27"/>
  <c r="CB95" i="27"/>
  <c r="BX96" i="27"/>
  <c r="BY96" i="27"/>
  <c r="BZ96" i="27"/>
  <c r="CA96" i="27"/>
  <c r="CB96" i="27"/>
  <c r="BX97" i="27"/>
  <c r="BY97" i="27"/>
  <c r="BZ97" i="27"/>
  <c r="CA97" i="27"/>
  <c r="CB97" i="27"/>
  <c r="BX98" i="27"/>
  <c r="BY98" i="27"/>
  <c r="BZ98" i="27"/>
  <c r="BZ99" i="27"/>
  <c r="CA98" i="27"/>
  <c r="CB98" i="27"/>
  <c r="BW11" i="27"/>
  <c r="BW12" i="27"/>
  <c r="BW13" i="27"/>
  <c r="BW14" i="27"/>
  <c r="BW15" i="27"/>
  <c r="C38" i="30"/>
  <c r="BW16" i="27"/>
  <c r="BW17" i="27"/>
  <c r="BW18" i="27"/>
  <c r="BW19" i="27"/>
  <c r="BW20" i="27"/>
  <c r="BW21" i="27"/>
  <c r="BW22" i="27"/>
  <c r="BW23" i="27"/>
  <c r="BW24" i="27"/>
  <c r="BW25" i="27"/>
  <c r="BW26" i="27"/>
  <c r="BW27" i="27"/>
  <c r="BW28" i="27"/>
  <c r="BW29" i="27"/>
  <c r="BW30" i="27"/>
  <c r="BW31" i="27"/>
  <c r="BW32" i="27"/>
  <c r="BW33" i="27"/>
  <c r="BW34" i="27"/>
  <c r="BW35" i="27"/>
  <c r="BW36" i="27"/>
  <c r="BW37" i="27"/>
  <c r="BW38" i="27"/>
  <c r="BW39" i="27"/>
  <c r="BW40" i="27"/>
  <c r="BW41" i="27"/>
  <c r="BW42" i="27"/>
  <c r="BW43" i="27"/>
  <c r="BW44" i="27"/>
  <c r="BW45" i="27"/>
  <c r="BW46" i="27"/>
  <c r="BW47" i="27"/>
  <c r="BW48" i="27"/>
  <c r="BW49" i="27"/>
  <c r="BW50" i="27"/>
  <c r="BW51" i="27"/>
  <c r="BW52" i="27"/>
  <c r="BW53" i="27"/>
  <c r="BW54" i="27"/>
  <c r="BW55" i="27"/>
  <c r="BW56" i="27"/>
  <c r="BW57" i="27"/>
  <c r="BW58" i="27"/>
  <c r="BW59" i="27"/>
  <c r="BW60" i="27"/>
  <c r="BW61" i="27"/>
  <c r="BW62" i="27"/>
  <c r="BW63" i="27"/>
  <c r="BW65" i="27"/>
  <c r="BW66" i="27"/>
  <c r="BW67" i="27"/>
  <c r="BW68" i="27"/>
  <c r="BW69" i="27"/>
  <c r="BW70" i="27"/>
  <c r="BW71" i="27"/>
  <c r="BW72" i="27"/>
  <c r="BW73" i="27"/>
  <c r="BW74" i="27"/>
  <c r="BW75" i="27"/>
  <c r="BW76" i="27"/>
  <c r="BW77" i="27"/>
  <c r="BW78" i="27"/>
  <c r="BW79" i="27"/>
  <c r="BW80" i="27"/>
  <c r="BW81" i="27"/>
  <c r="BW82" i="27"/>
  <c r="BW83" i="27"/>
  <c r="BW84" i="27"/>
  <c r="BW85" i="27"/>
  <c r="BW86" i="27"/>
  <c r="BW87" i="27"/>
  <c r="BW88" i="27"/>
  <c r="BW89" i="27"/>
  <c r="BW90" i="27"/>
  <c r="BW91" i="27"/>
  <c r="BW92" i="27"/>
  <c r="BW93" i="27"/>
  <c r="BW94" i="27"/>
  <c r="BW95" i="27"/>
  <c r="BW96" i="27"/>
  <c r="BW97" i="27"/>
  <c r="BW98" i="27"/>
  <c r="BW10" i="27"/>
  <c r="BX10" i="15"/>
  <c r="BY10" i="15"/>
  <c r="BZ10" i="15"/>
  <c r="CA10" i="15"/>
  <c r="CB10" i="15"/>
  <c r="CC10" i="15"/>
  <c r="BX11" i="15"/>
  <c r="BY11" i="15"/>
  <c r="BZ11" i="15"/>
  <c r="CA11" i="15"/>
  <c r="CB11" i="15"/>
  <c r="CC11" i="15"/>
  <c r="BX12" i="15"/>
  <c r="BY12" i="15"/>
  <c r="BZ12" i="15"/>
  <c r="CA12" i="15"/>
  <c r="CB12" i="15"/>
  <c r="CC12" i="15"/>
  <c r="BX13" i="15"/>
  <c r="BY13" i="15"/>
  <c r="BZ13" i="15"/>
  <c r="CA13" i="15"/>
  <c r="CB13" i="15"/>
  <c r="CC13" i="15"/>
  <c r="BX14" i="15"/>
  <c r="BY14" i="15"/>
  <c r="BZ14" i="15"/>
  <c r="CA14" i="15"/>
  <c r="CB14" i="15"/>
  <c r="CC14" i="15"/>
  <c r="BX15" i="15"/>
  <c r="BY15" i="15"/>
  <c r="BZ15" i="15"/>
  <c r="CA15" i="15"/>
  <c r="CB15" i="15"/>
  <c r="CC15" i="15"/>
  <c r="BX16" i="15"/>
  <c r="BY16" i="15"/>
  <c r="BZ16" i="15"/>
  <c r="CA16" i="15"/>
  <c r="CB16" i="15"/>
  <c r="CC16" i="15"/>
  <c r="BX17" i="15"/>
  <c r="BY17" i="15"/>
  <c r="BZ17" i="15"/>
  <c r="CA17" i="15"/>
  <c r="CB17" i="15"/>
  <c r="CC17" i="15"/>
  <c r="BX18" i="15"/>
  <c r="BY18" i="15"/>
  <c r="BZ18" i="15"/>
  <c r="F28" i="30"/>
  <c r="CA18" i="15"/>
  <c r="CB18" i="15"/>
  <c r="CC18" i="15"/>
  <c r="I28" i="30"/>
  <c r="BX19" i="15"/>
  <c r="BY19" i="15"/>
  <c r="BZ19" i="15"/>
  <c r="CA19" i="15"/>
  <c r="CB19" i="15"/>
  <c r="CC19" i="15"/>
  <c r="BX20" i="15"/>
  <c r="BY20" i="15"/>
  <c r="BZ20" i="15"/>
  <c r="CA20" i="15"/>
  <c r="CB20" i="15"/>
  <c r="CC20" i="15"/>
  <c r="BX21" i="15"/>
  <c r="BY21" i="15"/>
  <c r="BZ21" i="15"/>
  <c r="CA21" i="15"/>
  <c r="CB21" i="15"/>
  <c r="CC21" i="15"/>
  <c r="BX22" i="15"/>
  <c r="BY22" i="15"/>
  <c r="BZ22" i="15"/>
  <c r="CA22" i="15"/>
  <c r="CB22" i="15"/>
  <c r="CC22" i="15"/>
  <c r="BX23" i="15"/>
  <c r="BY23" i="15"/>
  <c r="BZ23" i="15"/>
  <c r="CA23" i="15"/>
  <c r="CB23" i="15"/>
  <c r="CC23" i="15"/>
  <c r="BX24" i="15"/>
  <c r="BY24" i="15"/>
  <c r="BZ24" i="15"/>
  <c r="CA24" i="15"/>
  <c r="CB24" i="15"/>
  <c r="CC24" i="15"/>
  <c r="BX25" i="15"/>
  <c r="BY25" i="15"/>
  <c r="BZ25" i="15"/>
  <c r="CA25" i="15"/>
  <c r="CB25" i="15"/>
  <c r="CC25" i="15"/>
  <c r="BX26" i="15"/>
  <c r="BY26" i="15"/>
  <c r="BZ26" i="15"/>
  <c r="CA26" i="15"/>
  <c r="CB26" i="15"/>
  <c r="CC26" i="15"/>
  <c r="BX27" i="15"/>
  <c r="BY27" i="15"/>
  <c r="BZ27" i="15"/>
  <c r="CA27" i="15"/>
  <c r="CB27" i="15"/>
  <c r="CC27" i="15"/>
  <c r="BX28" i="15"/>
  <c r="BY28" i="15"/>
  <c r="BZ28" i="15"/>
  <c r="CA28" i="15"/>
  <c r="CB28" i="15"/>
  <c r="CC28" i="15"/>
  <c r="BX29" i="15"/>
  <c r="BY29" i="15"/>
  <c r="BZ29" i="15"/>
  <c r="CA29" i="15"/>
  <c r="CB29" i="15"/>
  <c r="CC29" i="15"/>
  <c r="BX30" i="15"/>
  <c r="BY30" i="15"/>
  <c r="BZ30" i="15"/>
  <c r="CA30" i="15"/>
  <c r="CB30" i="15"/>
  <c r="CC30" i="15"/>
  <c r="BX31" i="15"/>
  <c r="BY31" i="15"/>
  <c r="BZ31" i="15"/>
  <c r="CA31" i="15"/>
  <c r="CB31" i="15"/>
  <c r="CC31" i="15"/>
  <c r="BX32" i="15"/>
  <c r="BY32" i="15"/>
  <c r="BZ32" i="15"/>
  <c r="CA32" i="15"/>
  <c r="CB32" i="15"/>
  <c r="CC32" i="15"/>
  <c r="BX33" i="15"/>
  <c r="BY33" i="15"/>
  <c r="BZ33" i="15"/>
  <c r="CA33" i="15"/>
  <c r="CB33" i="15"/>
  <c r="CC33" i="15"/>
  <c r="BX34" i="15"/>
  <c r="BY34" i="15"/>
  <c r="BZ34" i="15"/>
  <c r="CA34" i="15"/>
  <c r="CB34" i="15"/>
  <c r="CC34" i="15"/>
  <c r="BX35" i="15"/>
  <c r="BY35" i="15"/>
  <c r="BZ35" i="15"/>
  <c r="CA35" i="15"/>
  <c r="CB35" i="15"/>
  <c r="CC35" i="15"/>
  <c r="BX36" i="15"/>
  <c r="BY36" i="15"/>
  <c r="BZ36" i="15"/>
  <c r="CA36" i="15"/>
  <c r="CB36" i="15"/>
  <c r="CC36" i="15"/>
  <c r="BX37" i="15"/>
  <c r="BY37" i="15"/>
  <c r="BZ37" i="15"/>
  <c r="CA37" i="15"/>
  <c r="CB37" i="15"/>
  <c r="CC37" i="15"/>
  <c r="BX38" i="15"/>
  <c r="BY38" i="15"/>
  <c r="BZ38" i="15"/>
  <c r="CA38" i="15"/>
  <c r="CB38" i="15"/>
  <c r="CC38" i="15"/>
  <c r="BX39" i="15"/>
  <c r="BY39" i="15"/>
  <c r="BZ39" i="15"/>
  <c r="CA39" i="15"/>
  <c r="CB39" i="15"/>
  <c r="CC39" i="15"/>
  <c r="BX40" i="15"/>
  <c r="BY40" i="15"/>
  <c r="BZ40" i="15"/>
  <c r="CA40" i="15"/>
  <c r="CB40" i="15"/>
  <c r="CC40" i="15"/>
  <c r="BX41" i="15"/>
  <c r="BY41" i="15"/>
  <c r="BZ41" i="15"/>
  <c r="CA41" i="15"/>
  <c r="CB41" i="15"/>
  <c r="CC41" i="15"/>
  <c r="BX42" i="15"/>
  <c r="BY42" i="15"/>
  <c r="BZ42" i="15"/>
  <c r="CA42" i="15"/>
  <c r="CB42" i="15"/>
  <c r="CC42" i="15"/>
  <c r="BX43" i="15"/>
  <c r="BY43" i="15"/>
  <c r="BZ43" i="15"/>
  <c r="CA43" i="15"/>
  <c r="CB43" i="15"/>
  <c r="CC43" i="15"/>
  <c r="BX44" i="15"/>
  <c r="BY44" i="15"/>
  <c r="BZ44" i="15"/>
  <c r="CA44" i="15"/>
  <c r="CB44" i="15"/>
  <c r="CC44" i="15"/>
  <c r="BX45" i="15"/>
  <c r="BY45" i="15"/>
  <c r="BZ45" i="15"/>
  <c r="CA45" i="15"/>
  <c r="CB45" i="15"/>
  <c r="CC45" i="15"/>
  <c r="BX46" i="15"/>
  <c r="BY46" i="15"/>
  <c r="BZ46" i="15"/>
  <c r="CA46" i="15"/>
  <c r="CB46" i="15"/>
  <c r="CC46" i="15"/>
  <c r="BX47" i="15"/>
  <c r="BY47" i="15"/>
  <c r="BZ47" i="15"/>
  <c r="CA47" i="15"/>
  <c r="CB47" i="15"/>
  <c r="CC47" i="15"/>
  <c r="BX48" i="15"/>
  <c r="BY48" i="15"/>
  <c r="BZ48" i="15"/>
  <c r="CA48" i="15"/>
  <c r="CB48" i="15"/>
  <c r="CC48" i="15"/>
  <c r="BX49" i="15"/>
  <c r="BY49" i="15"/>
  <c r="BZ49" i="15"/>
  <c r="CA49" i="15"/>
  <c r="CB49" i="15"/>
  <c r="CC49" i="15"/>
  <c r="BX50" i="15"/>
  <c r="BY50" i="15"/>
  <c r="BZ50" i="15"/>
  <c r="CA50" i="15"/>
  <c r="CB50" i="15"/>
  <c r="CC50" i="15"/>
  <c r="BX51" i="15"/>
  <c r="BY51" i="15"/>
  <c r="BZ51" i="15"/>
  <c r="CA51" i="15"/>
  <c r="CB51" i="15"/>
  <c r="CC51" i="15"/>
  <c r="BX52" i="15"/>
  <c r="BY52" i="15"/>
  <c r="BZ52" i="15"/>
  <c r="CA52" i="15"/>
  <c r="CB52" i="15"/>
  <c r="CC52" i="15"/>
  <c r="BX53" i="15"/>
  <c r="BY53" i="15"/>
  <c r="BZ53" i="15"/>
  <c r="CA53" i="15"/>
  <c r="CB53" i="15"/>
  <c r="CC53" i="15"/>
  <c r="BX54" i="15"/>
  <c r="BY54" i="15"/>
  <c r="BZ54" i="15"/>
  <c r="CA54" i="15"/>
  <c r="CB54" i="15"/>
  <c r="CC54" i="15"/>
  <c r="BX55" i="15"/>
  <c r="BY55" i="15"/>
  <c r="BZ55" i="15"/>
  <c r="CA55" i="15"/>
  <c r="CB55" i="15"/>
  <c r="CC55" i="15"/>
  <c r="BX56" i="15"/>
  <c r="BY56" i="15"/>
  <c r="BZ56" i="15"/>
  <c r="CA56" i="15"/>
  <c r="CB56" i="15"/>
  <c r="CC56" i="15"/>
  <c r="BX57" i="15"/>
  <c r="BY57" i="15"/>
  <c r="BZ57" i="15"/>
  <c r="CA57" i="15"/>
  <c r="CB57" i="15"/>
  <c r="CC57" i="15"/>
  <c r="BX58" i="15"/>
  <c r="BY58" i="15"/>
  <c r="BZ58" i="15"/>
  <c r="CA58" i="15"/>
  <c r="CB58" i="15"/>
  <c r="CC58" i="15"/>
  <c r="BX59" i="15"/>
  <c r="BY59" i="15"/>
  <c r="BZ59" i="15"/>
  <c r="CA59" i="15"/>
  <c r="CB59" i="15"/>
  <c r="CC59" i="15"/>
  <c r="BX60" i="15"/>
  <c r="BY60" i="15"/>
  <c r="BZ60" i="15"/>
  <c r="CA60" i="15"/>
  <c r="CB60" i="15"/>
  <c r="CC60" i="15"/>
  <c r="BX61" i="15"/>
  <c r="BY61" i="15"/>
  <c r="BZ61" i="15"/>
  <c r="CA61" i="15"/>
  <c r="CB61" i="15"/>
  <c r="CC61" i="15"/>
  <c r="BX62" i="15"/>
  <c r="BY62" i="15"/>
  <c r="BZ62" i="15"/>
  <c r="CA62" i="15"/>
  <c r="CB62" i="15"/>
  <c r="CC62" i="15"/>
  <c r="BX63" i="15"/>
  <c r="BY63" i="15"/>
  <c r="BZ63" i="15"/>
  <c r="CA63" i="15"/>
  <c r="CB63" i="15"/>
  <c r="CC63" i="15"/>
  <c r="BX65" i="15"/>
  <c r="BY65" i="15"/>
  <c r="BZ65" i="15"/>
  <c r="CA65" i="15"/>
  <c r="CB65" i="15"/>
  <c r="CC65" i="15"/>
  <c r="BX66" i="15"/>
  <c r="BY66" i="15"/>
  <c r="BZ66" i="15"/>
  <c r="CA66" i="15"/>
  <c r="CB66" i="15"/>
  <c r="CC66" i="15"/>
  <c r="BX67" i="15"/>
  <c r="BY67" i="15"/>
  <c r="BZ67" i="15"/>
  <c r="BZ72" i="15"/>
  <c r="F34" i="29"/>
  <c r="CA67" i="15"/>
  <c r="CB67" i="15"/>
  <c r="CC67" i="15"/>
  <c r="BX68" i="15"/>
  <c r="BY68" i="15"/>
  <c r="BZ68" i="15"/>
  <c r="CA68" i="15"/>
  <c r="CB68" i="15"/>
  <c r="CC68" i="15"/>
  <c r="BX69" i="15"/>
  <c r="BY69" i="15"/>
  <c r="BZ69" i="15"/>
  <c r="CA69" i="15"/>
  <c r="CB69" i="15"/>
  <c r="CC69" i="15"/>
  <c r="BX70" i="15"/>
  <c r="BY70" i="15"/>
  <c r="BZ70" i="15"/>
  <c r="CA70" i="15"/>
  <c r="CB70" i="15"/>
  <c r="CC70" i="15"/>
  <c r="BX71" i="15"/>
  <c r="BY71" i="15"/>
  <c r="BZ71" i="15"/>
  <c r="CA71" i="15"/>
  <c r="CB71" i="15"/>
  <c r="CC71" i="15"/>
  <c r="BX72" i="15"/>
  <c r="BY72" i="15"/>
  <c r="CA72" i="15"/>
  <c r="CB72" i="15"/>
  <c r="CC72" i="15"/>
  <c r="BX73" i="15"/>
  <c r="BY73" i="15"/>
  <c r="BZ73" i="15"/>
  <c r="CA73" i="15"/>
  <c r="CB73" i="15"/>
  <c r="CC73" i="15"/>
  <c r="BX74" i="15"/>
  <c r="BY74" i="15"/>
  <c r="BZ74" i="15"/>
  <c r="CA74" i="15"/>
  <c r="CB74" i="15"/>
  <c r="CC74" i="15"/>
  <c r="BX75" i="15"/>
  <c r="BY75" i="15"/>
  <c r="BZ75" i="15"/>
  <c r="CA75" i="15"/>
  <c r="CB75" i="15"/>
  <c r="CC75" i="15"/>
  <c r="BX76" i="15"/>
  <c r="BY76" i="15"/>
  <c r="BZ76" i="15"/>
  <c r="CA76" i="15"/>
  <c r="CB76" i="15"/>
  <c r="CC76" i="15"/>
  <c r="BX77" i="15"/>
  <c r="BY77" i="15"/>
  <c r="BZ77" i="15"/>
  <c r="CA77" i="15"/>
  <c r="CB77" i="15"/>
  <c r="CC77" i="15"/>
  <c r="BX78" i="15"/>
  <c r="BY78" i="15"/>
  <c r="BZ78" i="15"/>
  <c r="CA78" i="15"/>
  <c r="CB78" i="15"/>
  <c r="CC78" i="15"/>
  <c r="BX79" i="15"/>
  <c r="BY79" i="15"/>
  <c r="BZ79" i="15"/>
  <c r="CA79" i="15"/>
  <c r="CB79" i="15"/>
  <c r="CC79" i="15"/>
  <c r="BX80" i="15"/>
  <c r="BY80" i="15"/>
  <c r="BZ80" i="15"/>
  <c r="CA80" i="15"/>
  <c r="G28" i="30"/>
  <c r="CB80" i="15"/>
  <c r="CC80" i="15"/>
  <c r="BX81" i="15"/>
  <c r="BY81" i="15"/>
  <c r="BZ81" i="15"/>
  <c r="CA81" i="15"/>
  <c r="CB81" i="15"/>
  <c r="CC81" i="15"/>
  <c r="BX82" i="15"/>
  <c r="BY82" i="15"/>
  <c r="BZ82" i="15"/>
  <c r="CA82" i="15"/>
  <c r="CB82" i="15"/>
  <c r="CC82" i="15"/>
  <c r="BX83" i="15"/>
  <c r="BY83" i="15"/>
  <c r="BZ83" i="15"/>
  <c r="CA83" i="15"/>
  <c r="CB83" i="15"/>
  <c r="CC83" i="15"/>
  <c r="BX84" i="15"/>
  <c r="BY84" i="15"/>
  <c r="BZ84" i="15"/>
  <c r="CA84" i="15"/>
  <c r="CB84" i="15"/>
  <c r="CC84" i="15"/>
  <c r="BX85" i="15"/>
  <c r="BY85" i="15"/>
  <c r="BZ85" i="15"/>
  <c r="CA85" i="15"/>
  <c r="G34" i="29"/>
  <c r="CB85" i="15"/>
  <c r="CC85" i="15"/>
  <c r="BX86" i="15"/>
  <c r="BY86" i="15"/>
  <c r="BZ86" i="15"/>
  <c r="CA86" i="15"/>
  <c r="CB86" i="15"/>
  <c r="CC86" i="15"/>
  <c r="BX87" i="15"/>
  <c r="BY87" i="15"/>
  <c r="BZ87" i="15"/>
  <c r="CA87" i="15"/>
  <c r="CB87" i="15"/>
  <c r="CC87" i="15"/>
  <c r="BX88" i="15"/>
  <c r="BY88" i="15"/>
  <c r="BZ88" i="15"/>
  <c r="CA88" i="15"/>
  <c r="CB88" i="15"/>
  <c r="CC88" i="15"/>
  <c r="BX89" i="15"/>
  <c r="BY89" i="15"/>
  <c r="BZ89" i="15"/>
  <c r="CA89" i="15"/>
  <c r="CB89" i="15"/>
  <c r="CC89" i="15"/>
  <c r="BX90" i="15"/>
  <c r="BY90" i="15"/>
  <c r="BZ90" i="15"/>
  <c r="CA90" i="15"/>
  <c r="CB90" i="15"/>
  <c r="CC90" i="15"/>
  <c r="BX91" i="15"/>
  <c r="BY91" i="15"/>
  <c r="BZ91" i="15"/>
  <c r="CA91" i="15"/>
  <c r="CB91" i="15"/>
  <c r="CC91" i="15"/>
  <c r="BX92" i="15"/>
  <c r="BY92" i="15"/>
  <c r="BZ92" i="15"/>
  <c r="CA92" i="15"/>
  <c r="CB92" i="15"/>
  <c r="CC92" i="15"/>
  <c r="BX93" i="15"/>
  <c r="BY93" i="15"/>
  <c r="BZ93" i="15"/>
  <c r="CA93" i="15"/>
  <c r="CB93" i="15"/>
  <c r="CC93" i="15"/>
  <c r="BX94" i="15"/>
  <c r="BY94" i="15"/>
  <c r="BZ94" i="15"/>
  <c r="CA94" i="15"/>
  <c r="CB94" i="15"/>
  <c r="CC94" i="15"/>
  <c r="BX95" i="15"/>
  <c r="BY95" i="15"/>
  <c r="BZ95" i="15"/>
  <c r="CA95" i="15"/>
  <c r="CB95" i="15"/>
  <c r="CC95" i="15"/>
  <c r="BX96" i="15"/>
  <c r="BY96" i="15"/>
  <c r="BZ96" i="15"/>
  <c r="CA96" i="15"/>
  <c r="CB96" i="15"/>
  <c r="CC96" i="15"/>
  <c r="BX97" i="15"/>
  <c r="BY97" i="15"/>
  <c r="BZ97" i="15"/>
  <c r="CA97" i="15"/>
  <c r="CB97" i="15"/>
  <c r="CC97" i="15"/>
  <c r="BX98" i="15"/>
  <c r="D30" i="30"/>
  <c r="BY98" i="15"/>
  <c r="E30" i="30"/>
  <c r="BZ98" i="15"/>
  <c r="F30" i="30"/>
  <c r="CA98" i="15"/>
  <c r="G30" i="30"/>
  <c r="CB98" i="15"/>
  <c r="H30" i="30"/>
  <c r="CC98" i="15"/>
  <c r="I30" i="30"/>
  <c r="BW11" i="15"/>
  <c r="BW12" i="15"/>
  <c r="BW13" i="15"/>
  <c r="BW14" i="15"/>
  <c r="BW15" i="15"/>
  <c r="BW16" i="15"/>
  <c r="BW17" i="15"/>
  <c r="BW18" i="15"/>
  <c r="C28" i="30"/>
  <c r="BW19" i="15"/>
  <c r="BW20" i="15"/>
  <c r="BW21" i="15"/>
  <c r="BW22" i="15"/>
  <c r="BW23" i="15"/>
  <c r="BW24" i="15"/>
  <c r="BW25" i="15"/>
  <c r="BW26" i="15"/>
  <c r="BW27" i="15"/>
  <c r="BW28" i="15"/>
  <c r="BW29" i="15"/>
  <c r="BW30" i="15"/>
  <c r="BW31" i="15"/>
  <c r="BW32" i="15"/>
  <c r="BW33" i="15"/>
  <c r="BW34" i="15"/>
  <c r="BW35" i="15"/>
  <c r="BW36" i="15"/>
  <c r="BW37" i="15"/>
  <c r="BW38" i="15"/>
  <c r="BW39" i="15"/>
  <c r="BW40" i="15"/>
  <c r="BW41" i="15"/>
  <c r="BW42" i="15"/>
  <c r="BW43" i="15"/>
  <c r="BW44" i="15"/>
  <c r="BW45" i="15"/>
  <c r="BW46" i="15"/>
  <c r="BW47" i="15"/>
  <c r="BW48" i="15"/>
  <c r="BW49" i="15"/>
  <c r="BW50" i="15"/>
  <c r="BW51" i="15"/>
  <c r="BW52" i="15"/>
  <c r="BW53" i="15"/>
  <c r="BW54" i="15"/>
  <c r="BW55" i="15"/>
  <c r="BW56" i="15"/>
  <c r="BW57" i="15"/>
  <c r="BW58" i="15"/>
  <c r="BW59" i="15"/>
  <c r="BW60" i="15"/>
  <c r="BW61" i="15"/>
  <c r="BW62" i="15"/>
  <c r="BW63" i="15"/>
  <c r="BW65" i="15"/>
  <c r="BW66" i="15"/>
  <c r="BW67" i="15"/>
  <c r="BW68" i="15"/>
  <c r="BW69" i="15"/>
  <c r="BW70" i="15"/>
  <c r="BW71" i="15"/>
  <c r="BW72" i="15"/>
  <c r="BW73" i="15"/>
  <c r="BW74" i="15"/>
  <c r="BW75" i="15"/>
  <c r="BW76" i="15"/>
  <c r="BW77" i="15"/>
  <c r="BW78" i="15"/>
  <c r="BW79" i="15"/>
  <c r="BW80" i="15"/>
  <c r="BW81" i="15"/>
  <c r="BW82" i="15"/>
  <c r="BW83" i="15"/>
  <c r="BW84" i="15"/>
  <c r="BW85" i="15"/>
  <c r="BW86" i="15"/>
  <c r="BW87" i="15"/>
  <c r="BW88" i="15"/>
  <c r="BW89" i="15"/>
  <c r="BW90" i="15"/>
  <c r="BW91" i="15"/>
  <c r="BW92" i="15"/>
  <c r="BW93" i="15"/>
  <c r="BW94" i="15"/>
  <c r="BW95" i="15"/>
  <c r="BW96" i="15"/>
  <c r="BW97" i="15"/>
  <c r="BW98" i="15"/>
  <c r="BW10" i="15"/>
  <c r="A91" i="31"/>
  <c r="A22" i="30"/>
  <c r="A20" i="30"/>
  <c r="A15" i="30"/>
  <c r="A13" i="30"/>
  <c r="A49" i="26"/>
  <c r="F82" i="31"/>
  <c r="AA11" i="27"/>
  <c r="AB11" i="27"/>
  <c r="AC11" i="27"/>
  <c r="AD11" i="27"/>
  <c r="AE11" i="27"/>
  <c r="AF11" i="27"/>
  <c r="AG11" i="27"/>
  <c r="AA12" i="27"/>
  <c r="AB12" i="27"/>
  <c r="AC12" i="27"/>
  <c r="AD12" i="27"/>
  <c r="AE12" i="27"/>
  <c r="AF12" i="27"/>
  <c r="AG12" i="27"/>
  <c r="Z13" i="27"/>
  <c r="AA13" i="27"/>
  <c r="AB13" i="27"/>
  <c r="AC13" i="27"/>
  <c r="AD13" i="27"/>
  <c r="AE13" i="27"/>
  <c r="AF13" i="27"/>
  <c r="AG13" i="27"/>
  <c r="Z14" i="27"/>
  <c r="AA14" i="27"/>
  <c r="AB14" i="27"/>
  <c r="AC14" i="27"/>
  <c r="AD14" i="27"/>
  <c r="AE14" i="27"/>
  <c r="AF14" i="27"/>
  <c r="AG14" i="27"/>
  <c r="AA15" i="27"/>
  <c r="C22" i="30"/>
  <c r="AB15" i="27"/>
  <c r="D22" i="30"/>
  <c r="AC15" i="27"/>
  <c r="E22" i="30"/>
  <c r="AD15" i="27"/>
  <c r="F22" i="30"/>
  <c r="AE15" i="27"/>
  <c r="G22" i="30"/>
  <c r="AF15" i="27"/>
  <c r="H22" i="30"/>
  <c r="AG15" i="27"/>
  <c r="I22" i="30"/>
  <c r="Z16" i="27"/>
  <c r="AA16" i="27"/>
  <c r="AB16" i="27"/>
  <c r="AC16" i="27"/>
  <c r="AD16" i="27"/>
  <c r="AE16" i="27"/>
  <c r="AF16" i="27"/>
  <c r="AG16" i="27"/>
  <c r="Z17" i="27"/>
  <c r="AA17" i="27"/>
  <c r="AB17" i="27"/>
  <c r="AC17" i="27"/>
  <c r="AD17" i="27"/>
  <c r="AE17" i="27"/>
  <c r="AF17" i="27"/>
  <c r="AG17" i="27"/>
  <c r="AA18" i="27"/>
  <c r="C20" i="30"/>
  <c r="AB18" i="27"/>
  <c r="D20" i="30"/>
  <c r="AC18" i="27"/>
  <c r="AD18" i="27"/>
  <c r="F20" i="30"/>
  <c r="AE18" i="27"/>
  <c r="G20" i="30"/>
  <c r="AF18" i="27"/>
  <c r="H20" i="30"/>
  <c r="AG18" i="27"/>
  <c r="I20" i="30"/>
  <c r="Z19" i="27"/>
  <c r="AA19" i="27"/>
  <c r="AB19" i="27"/>
  <c r="AC19" i="27"/>
  <c r="AD19" i="27"/>
  <c r="AE19" i="27"/>
  <c r="AF19" i="27"/>
  <c r="AG19" i="27"/>
  <c r="Z20" i="27"/>
  <c r="AA20" i="27"/>
  <c r="AB20" i="27"/>
  <c r="AC20" i="27"/>
  <c r="AD20" i="27"/>
  <c r="AE20" i="27"/>
  <c r="AF20" i="27"/>
  <c r="AG20" i="27"/>
  <c r="Z21" i="27"/>
  <c r="AA21" i="27"/>
  <c r="AB21" i="27"/>
  <c r="AC21" i="27"/>
  <c r="AD21" i="27"/>
  <c r="AE21" i="27"/>
  <c r="AF21" i="27"/>
  <c r="AG21" i="27"/>
  <c r="Z22" i="27"/>
  <c r="AA22" i="27"/>
  <c r="AB22" i="27"/>
  <c r="AC22" i="27"/>
  <c r="AD22" i="27"/>
  <c r="AE22" i="27"/>
  <c r="AF22" i="27"/>
  <c r="AG22" i="27"/>
  <c r="Z23" i="27"/>
  <c r="AA23" i="27"/>
  <c r="AB23" i="27"/>
  <c r="AC23" i="27"/>
  <c r="AD23" i="27"/>
  <c r="AE23" i="27"/>
  <c r="AF23" i="27"/>
  <c r="AG23" i="27"/>
  <c r="Z24" i="27"/>
  <c r="AA24" i="27"/>
  <c r="AB24" i="27"/>
  <c r="AC24" i="27"/>
  <c r="AD24" i="27"/>
  <c r="AE24" i="27"/>
  <c r="AF24" i="27"/>
  <c r="AG24" i="27"/>
  <c r="Z25" i="27"/>
  <c r="AA25" i="27"/>
  <c r="AB25" i="27"/>
  <c r="AC25" i="27"/>
  <c r="AD25" i="27"/>
  <c r="AE25" i="27"/>
  <c r="AF25" i="27"/>
  <c r="AG25" i="27"/>
  <c r="Z26" i="27"/>
  <c r="AA26" i="27"/>
  <c r="AB26" i="27"/>
  <c r="AC26" i="27"/>
  <c r="AD26" i="27"/>
  <c r="AE26" i="27"/>
  <c r="AF26" i="27"/>
  <c r="AG26" i="27"/>
  <c r="Z27" i="27"/>
  <c r="AA27" i="27"/>
  <c r="AB27" i="27"/>
  <c r="AC27" i="27"/>
  <c r="AD27" i="27"/>
  <c r="AE27" i="27"/>
  <c r="AF27" i="27"/>
  <c r="AG27" i="27"/>
  <c r="Z28" i="27"/>
  <c r="AA28" i="27"/>
  <c r="AB28" i="27"/>
  <c r="AC28" i="27"/>
  <c r="AD28" i="27"/>
  <c r="AE28" i="27"/>
  <c r="AF28" i="27"/>
  <c r="AG28" i="27"/>
  <c r="Z29" i="27"/>
  <c r="AA29" i="27"/>
  <c r="AB29" i="27"/>
  <c r="AC29" i="27"/>
  <c r="AD29" i="27"/>
  <c r="AE29" i="27"/>
  <c r="AF29" i="27"/>
  <c r="AG29" i="27"/>
  <c r="Z30" i="27"/>
  <c r="AA30" i="27"/>
  <c r="AB30" i="27"/>
  <c r="AC30" i="27"/>
  <c r="AD30" i="27"/>
  <c r="AE30" i="27"/>
  <c r="AF30" i="27"/>
  <c r="AG30" i="27"/>
  <c r="Z31" i="27"/>
  <c r="AA31" i="27"/>
  <c r="AB31" i="27"/>
  <c r="AC31" i="27"/>
  <c r="AD31" i="27"/>
  <c r="AE31" i="27"/>
  <c r="AF31" i="27"/>
  <c r="AG31" i="27"/>
  <c r="Z32" i="27"/>
  <c r="AA32" i="27"/>
  <c r="AB32" i="27"/>
  <c r="AC32" i="27"/>
  <c r="AD32" i="27"/>
  <c r="AE32" i="27"/>
  <c r="AF32" i="27"/>
  <c r="AG32" i="27"/>
  <c r="Z33" i="27"/>
  <c r="AA33" i="27"/>
  <c r="AB33" i="27"/>
  <c r="AC33" i="27"/>
  <c r="AD33" i="27"/>
  <c r="AE33" i="27"/>
  <c r="AF33" i="27"/>
  <c r="AG33" i="27"/>
  <c r="Z34" i="27"/>
  <c r="AA34" i="27"/>
  <c r="AB34" i="27"/>
  <c r="AC34" i="27"/>
  <c r="AD34" i="27"/>
  <c r="AE34" i="27"/>
  <c r="AF34" i="27"/>
  <c r="AG34" i="27"/>
  <c r="Z35" i="27"/>
  <c r="AA35" i="27"/>
  <c r="AB35" i="27"/>
  <c r="AC35" i="27"/>
  <c r="AD35" i="27"/>
  <c r="AE35" i="27"/>
  <c r="AF35" i="27"/>
  <c r="AG35" i="27"/>
  <c r="Z36" i="27"/>
  <c r="AA36" i="27"/>
  <c r="AB36" i="27"/>
  <c r="AC36" i="27"/>
  <c r="AD36" i="27"/>
  <c r="AE36" i="27"/>
  <c r="AF36" i="27"/>
  <c r="AG36" i="27"/>
  <c r="Z37" i="27"/>
  <c r="AA37" i="27"/>
  <c r="AB37" i="27"/>
  <c r="AC37" i="27"/>
  <c r="AD37" i="27"/>
  <c r="AE37" i="27"/>
  <c r="AF37" i="27"/>
  <c r="AG37" i="27"/>
  <c r="Z38" i="27"/>
  <c r="AA38" i="27"/>
  <c r="AA51" i="27"/>
  <c r="AB38" i="27"/>
  <c r="AC38" i="27"/>
  <c r="AC51" i="27"/>
  <c r="AD38" i="27"/>
  <c r="AE38" i="27"/>
  <c r="AE51" i="27"/>
  <c r="AF38" i="27"/>
  <c r="AG38" i="27"/>
  <c r="AG51" i="27"/>
  <c r="Z39" i="27"/>
  <c r="AA39" i="27"/>
  <c r="AB39" i="27"/>
  <c r="AC39" i="27"/>
  <c r="AD39" i="27"/>
  <c r="AE39" i="27"/>
  <c r="AF39" i="27"/>
  <c r="AG39" i="27"/>
  <c r="Z40" i="27"/>
  <c r="AA40" i="27"/>
  <c r="AB40" i="27"/>
  <c r="AC40" i="27"/>
  <c r="AD40" i="27"/>
  <c r="AE40" i="27"/>
  <c r="AF40" i="27"/>
  <c r="AG40" i="27"/>
  <c r="Z41" i="27"/>
  <c r="AA41" i="27"/>
  <c r="AB41" i="27"/>
  <c r="AC41" i="27"/>
  <c r="AD41" i="27"/>
  <c r="AE41" i="27"/>
  <c r="AF41" i="27"/>
  <c r="AG41" i="27"/>
  <c r="Z42" i="27"/>
  <c r="AA42" i="27"/>
  <c r="AB42" i="27"/>
  <c r="AC42" i="27"/>
  <c r="AD42" i="27"/>
  <c r="AE42" i="27"/>
  <c r="AF42" i="27"/>
  <c r="AG42" i="27"/>
  <c r="Z43" i="27"/>
  <c r="AA43" i="27"/>
  <c r="AB43" i="27"/>
  <c r="AC43" i="27"/>
  <c r="AD43" i="27"/>
  <c r="AE43" i="27"/>
  <c r="AF43" i="27"/>
  <c r="AG43" i="27"/>
  <c r="Z44" i="27"/>
  <c r="AA44" i="27"/>
  <c r="AB44" i="27"/>
  <c r="AC44" i="27"/>
  <c r="AD44" i="27"/>
  <c r="AE44" i="27"/>
  <c r="AF44" i="27"/>
  <c r="AG44" i="27"/>
  <c r="Z45" i="27"/>
  <c r="AA45" i="27"/>
  <c r="AB45" i="27"/>
  <c r="AC45" i="27"/>
  <c r="AD45" i="27"/>
  <c r="AE45" i="27"/>
  <c r="AF45" i="27"/>
  <c r="AG45" i="27"/>
  <c r="Z46" i="27"/>
  <c r="AA46" i="27"/>
  <c r="AB46" i="27"/>
  <c r="AC46" i="27"/>
  <c r="AD46" i="27"/>
  <c r="AE46" i="27"/>
  <c r="AF46" i="27"/>
  <c r="AG46" i="27"/>
  <c r="Z47" i="27"/>
  <c r="AA47" i="27"/>
  <c r="AB47" i="27"/>
  <c r="AC47" i="27"/>
  <c r="AD47" i="27"/>
  <c r="AE47" i="27"/>
  <c r="AF47" i="27"/>
  <c r="AG47" i="27"/>
  <c r="Z48" i="27"/>
  <c r="AA48" i="27"/>
  <c r="AB48" i="27"/>
  <c r="AC48" i="27"/>
  <c r="AD48" i="27"/>
  <c r="AE48" i="27"/>
  <c r="AF48" i="27"/>
  <c r="AG48" i="27"/>
  <c r="Z49" i="27"/>
  <c r="AA49" i="27"/>
  <c r="AB49" i="27"/>
  <c r="AC49" i="27"/>
  <c r="AD49" i="27"/>
  <c r="AE49" i="27"/>
  <c r="AF49" i="27"/>
  <c r="AG49" i="27"/>
  <c r="Z50" i="27"/>
  <c r="AA50" i="27"/>
  <c r="AB50" i="27"/>
  <c r="AC50" i="27"/>
  <c r="AD50" i="27"/>
  <c r="AE50" i="27"/>
  <c r="AF50" i="27"/>
  <c r="AG50" i="27"/>
  <c r="Z51" i="27"/>
  <c r="AB51" i="27"/>
  <c r="AD51" i="27"/>
  <c r="AF51" i="27"/>
  <c r="Z52" i="27"/>
  <c r="AA52" i="27"/>
  <c r="AB52" i="27"/>
  <c r="AC52" i="27"/>
  <c r="AD52" i="27"/>
  <c r="AE52" i="27"/>
  <c r="AF52" i="27"/>
  <c r="AG52" i="27"/>
  <c r="Z53" i="27"/>
  <c r="AA53" i="27"/>
  <c r="AB53" i="27"/>
  <c r="AC53" i="27"/>
  <c r="AD53" i="27"/>
  <c r="AE53" i="27"/>
  <c r="AF53" i="27"/>
  <c r="AG53" i="27"/>
  <c r="Z54" i="27"/>
  <c r="AA54" i="27"/>
  <c r="AB54" i="27"/>
  <c r="AC54" i="27"/>
  <c r="AD54" i="27"/>
  <c r="AE54" i="27"/>
  <c r="AF54" i="27"/>
  <c r="AG54" i="27"/>
  <c r="Z55" i="27"/>
  <c r="AA55" i="27"/>
  <c r="AB55" i="27"/>
  <c r="AC55" i="27"/>
  <c r="AD55" i="27"/>
  <c r="AE55" i="27"/>
  <c r="AF55" i="27"/>
  <c r="AG55" i="27"/>
  <c r="Z56" i="27"/>
  <c r="AA56" i="27"/>
  <c r="AB56" i="27"/>
  <c r="AC56" i="27"/>
  <c r="AD56" i="27"/>
  <c r="AE56" i="27"/>
  <c r="AF56" i="27"/>
  <c r="AG56" i="27"/>
  <c r="Z57" i="27"/>
  <c r="AA57" i="27"/>
  <c r="AB57" i="27"/>
  <c r="AC57" i="27"/>
  <c r="AD57" i="27"/>
  <c r="AE57" i="27"/>
  <c r="AF57" i="27"/>
  <c r="AG57" i="27"/>
  <c r="Z58" i="27"/>
  <c r="AA58" i="27"/>
  <c r="AB58" i="27"/>
  <c r="AC58" i="27"/>
  <c r="AD58" i="27"/>
  <c r="AE58" i="27"/>
  <c r="AF58" i="27"/>
  <c r="AG58" i="27"/>
  <c r="Z59" i="27"/>
  <c r="AA59" i="27"/>
  <c r="AB59" i="27"/>
  <c r="AC59" i="27"/>
  <c r="AD59" i="27"/>
  <c r="AE59" i="27"/>
  <c r="AF59" i="27"/>
  <c r="AG59" i="27"/>
  <c r="Z60" i="27"/>
  <c r="AA60" i="27"/>
  <c r="AB60" i="27"/>
  <c r="AC60" i="27"/>
  <c r="AD60" i="27"/>
  <c r="AE60" i="27"/>
  <c r="AF60" i="27"/>
  <c r="AG60" i="27"/>
  <c r="Z61" i="27"/>
  <c r="AA61" i="27"/>
  <c r="AB61" i="27"/>
  <c r="AC61" i="27"/>
  <c r="AD61" i="27"/>
  <c r="AE61" i="27"/>
  <c r="AF61" i="27"/>
  <c r="AG61" i="27"/>
  <c r="Z62" i="27"/>
  <c r="AA62" i="27"/>
  <c r="AB62" i="27"/>
  <c r="AC62" i="27"/>
  <c r="AD62" i="27"/>
  <c r="AE62" i="27"/>
  <c r="AF62" i="27"/>
  <c r="AG62" i="27"/>
  <c r="Z63" i="27"/>
  <c r="AA63" i="27"/>
  <c r="AB63" i="27"/>
  <c r="AC63" i="27"/>
  <c r="AD63" i="27"/>
  <c r="AE63" i="27"/>
  <c r="AF63" i="27"/>
  <c r="AG63" i="27"/>
  <c r="Z65" i="27"/>
  <c r="AA65" i="27"/>
  <c r="AB65" i="27"/>
  <c r="AC65" i="27"/>
  <c r="AD65" i="27"/>
  <c r="AE65" i="27"/>
  <c r="AF65" i="27"/>
  <c r="AG65" i="27"/>
  <c r="Z66" i="27"/>
  <c r="AA66" i="27"/>
  <c r="AB66" i="27"/>
  <c r="AC66" i="27"/>
  <c r="AD66" i="27"/>
  <c r="AE66" i="27"/>
  <c r="AF66" i="27"/>
  <c r="AG66" i="27"/>
  <c r="AA67" i="27"/>
  <c r="AA72" i="27"/>
  <c r="C18" i="29"/>
  <c r="AB67" i="27"/>
  <c r="AC67" i="27"/>
  <c r="AC72" i="27"/>
  <c r="E18" i="29"/>
  <c r="AD67" i="27"/>
  <c r="AD72" i="27"/>
  <c r="F18" i="29"/>
  <c r="AE67" i="27"/>
  <c r="AF67" i="27"/>
  <c r="AF72" i="27"/>
  <c r="H18" i="29"/>
  <c r="AG67" i="27"/>
  <c r="AG72" i="27"/>
  <c r="I18" i="29"/>
  <c r="Z68" i="27"/>
  <c r="AA68" i="27"/>
  <c r="AB68" i="27"/>
  <c r="AC68" i="27"/>
  <c r="AD68" i="27"/>
  <c r="AE68" i="27"/>
  <c r="AF68" i="27"/>
  <c r="AG68" i="27"/>
  <c r="Z69" i="27"/>
  <c r="AA69" i="27"/>
  <c r="AB69" i="27"/>
  <c r="AC69" i="27"/>
  <c r="AD69" i="27"/>
  <c r="AE69" i="27"/>
  <c r="AF69" i="27"/>
  <c r="AG69" i="27"/>
  <c r="Z70" i="27"/>
  <c r="AA70" i="27"/>
  <c r="AB70" i="27"/>
  <c r="AC70" i="27"/>
  <c r="AD70" i="27"/>
  <c r="AE70" i="27"/>
  <c r="AF70" i="27"/>
  <c r="AG70" i="27"/>
  <c r="Z71" i="27"/>
  <c r="AA71" i="27"/>
  <c r="AB71" i="27"/>
  <c r="AC71" i="27"/>
  <c r="AD71" i="27"/>
  <c r="AE71" i="27"/>
  <c r="AF71" i="27"/>
  <c r="AG71" i="27"/>
  <c r="AB72" i="27"/>
  <c r="AE72" i="27"/>
  <c r="Z73" i="27"/>
  <c r="AA73" i="27"/>
  <c r="AB73" i="27"/>
  <c r="AC73" i="27"/>
  <c r="AD73" i="27"/>
  <c r="AE73" i="27"/>
  <c r="AF73" i="27"/>
  <c r="AG73" i="27"/>
  <c r="Z74" i="27"/>
  <c r="AA74" i="27"/>
  <c r="AB74" i="27"/>
  <c r="AC74" i="27"/>
  <c r="AD74" i="27"/>
  <c r="AE74" i="27"/>
  <c r="AF74" i="27"/>
  <c r="AG74" i="27"/>
  <c r="Z75" i="27"/>
  <c r="AA75" i="27"/>
  <c r="AB75" i="27"/>
  <c r="AC75" i="27"/>
  <c r="AD75" i="27"/>
  <c r="AE75" i="27"/>
  <c r="AF75" i="27"/>
  <c r="AG75" i="27"/>
  <c r="Z76" i="27"/>
  <c r="AA76" i="27"/>
  <c r="AB76" i="27"/>
  <c r="AC76" i="27"/>
  <c r="AD76" i="27"/>
  <c r="AE76" i="27"/>
  <c r="AF76" i="27"/>
  <c r="AG76" i="27"/>
  <c r="Z77" i="27"/>
  <c r="AA77" i="27"/>
  <c r="AB77" i="27"/>
  <c r="AC77" i="27"/>
  <c r="AD77" i="27"/>
  <c r="AE77" i="27"/>
  <c r="AF77" i="27"/>
  <c r="AG77" i="27"/>
  <c r="Z78" i="27"/>
  <c r="AA78" i="27"/>
  <c r="AB78" i="27"/>
  <c r="AC78" i="27"/>
  <c r="AD78" i="27"/>
  <c r="AE78" i="27"/>
  <c r="AF78" i="27"/>
  <c r="AG78" i="27"/>
  <c r="Z79" i="27"/>
  <c r="AA79" i="27"/>
  <c r="AB79" i="27"/>
  <c r="AC79" i="27"/>
  <c r="AD79" i="27"/>
  <c r="AE79" i="27"/>
  <c r="AF79" i="27"/>
  <c r="AG79" i="27"/>
  <c r="Z80" i="27"/>
  <c r="AA80" i="27"/>
  <c r="AB80" i="27"/>
  <c r="AC80" i="27"/>
  <c r="AD80" i="27"/>
  <c r="AE80" i="27"/>
  <c r="AF80" i="27"/>
  <c r="AG80" i="27"/>
  <c r="Z81" i="27"/>
  <c r="AA81" i="27"/>
  <c r="AB81" i="27"/>
  <c r="AC81" i="27"/>
  <c r="AD81" i="27"/>
  <c r="AE81" i="27"/>
  <c r="AF81" i="27"/>
  <c r="AG81" i="27"/>
  <c r="Z82" i="27"/>
  <c r="AA82" i="27"/>
  <c r="AB82" i="27"/>
  <c r="AC82" i="27"/>
  <c r="AD82" i="27"/>
  <c r="AE82" i="27"/>
  <c r="AF82" i="27"/>
  <c r="AG82" i="27"/>
  <c r="Z83" i="27"/>
  <c r="AA83" i="27"/>
  <c r="AB83" i="27"/>
  <c r="AC83" i="27"/>
  <c r="AD83" i="27"/>
  <c r="AE83" i="27"/>
  <c r="AF83" i="27"/>
  <c r="AG83" i="27"/>
  <c r="Z84" i="27"/>
  <c r="AA84" i="27"/>
  <c r="AB84" i="27"/>
  <c r="AC84" i="27"/>
  <c r="AD84" i="27"/>
  <c r="AE84" i="27"/>
  <c r="AF84" i="27"/>
  <c r="AG84" i="27"/>
  <c r="Z85" i="27"/>
  <c r="AA85" i="27"/>
  <c r="AB85" i="27"/>
  <c r="AC85" i="27"/>
  <c r="AD85" i="27"/>
  <c r="AE85" i="27"/>
  <c r="AF85" i="27"/>
  <c r="AG85" i="27"/>
  <c r="Z86" i="27"/>
  <c r="AA86" i="27"/>
  <c r="AB86" i="27"/>
  <c r="AC86" i="27"/>
  <c r="AD86" i="27"/>
  <c r="AE86" i="27"/>
  <c r="AF86" i="27"/>
  <c r="AG86" i="27"/>
  <c r="Z87" i="27"/>
  <c r="AA87" i="27"/>
  <c r="AB87" i="27"/>
  <c r="AC87" i="27"/>
  <c r="AD87" i="27"/>
  <c r="AE87" i="27"/>
  <c r="AF87" i="27"/>
  <c r="AG87" i="27"/>
  <c r="Z88" i="27"/>
  <c r="AA88" i="27"/>
  <c r="AB88" i="27"/>
  <c r="AC88" i="27"/>
  <c r="AD88" i="27"/>
  <c r="AE88" i="27"/>
  <c r="AF88" i="27"/>
  <c r="AG88" i="27"/>
  <c r="Z89" i="27"/>
  <c r="AA89" i="27"/>
  <c r="AB89" i="27"/>
  <c r="AC89" i="27"/>
  <c r="AD89" i="27"/>
  <c r="AE89" i="27"/>
  <c r="AF89" i="27"/>
  <c r="AG89" i="27"/>
  <c r="Z90" i="27"/>
  <c r="AA90" i="27"/>
  <c r="AB90" i="27"/>
  <c r="AC90" i="27"/>
  <c r="AD90" i="27"/>
  <c r="AE90" i="27"/>
  <c r="AF90" i="27"/>
  <c r="AG90" i="27"/>
  <c r="Z91" i="27"/>
  <c r="AA91" i="27"/>
  <c r="AB91" i="27"/>
  <c r="AC91" i="27"/>
  <c r="AD91" i="27"/>
  <c r="AE91" i="27"/>
  <c r="AF91" i="27"/>
  <c r="AG91" i="27"/>
  <c r="Z92" i="27"/>
  <c r="AA92" i="27"/>
  <c r="AB92" i="27"/>
  <c r="AC92" i="27"/>
  <c r="AD92" i="27"/>
  <c r="AE92" i="27"/>
  <c r="AF92" i="27"/>
  <c r="AG92" i="27"/>
  <c r="Z93" i="27"/>
  <c r="AA93" i="27"/>
  <c r="AB93" i="27"/>
  <c r="AC93" i="27"/>
  <c r="AD93" i="27"/>
  <c r="AE93" i="27"/>
  <c r="AF93" i="27"/>
  <c r="AG93" i="27"/>
  <c r="Z94" i="27"/>
  <c r="AA94" i="27"/>
  <c r="AB94" i="27"/>
  <c r="AC94" i="27"/>
  <c r="AD94" i="27"/>
  <c r="AE94" i="27"/>
  <c r="AF94" i="27"/>
  <c r="AG94" i="27"/>
  <c r="Z95" i="27"/>
  <c r="AA95" i="27"/>
  <c r="AB95" i="27"/>
  <c r="AC95" i="27"/>
  <c r="AD95" i="27"/>
  <c r="AE95" i="27"/>
  <c r="AF95" i="27"/>
  <c r="AG95" i="27"/>
  <c r="Z96" i="27"/>
  <c r="AA96" i="27"/>
  <c r="AB96" i="27"/>
  <c r="AC96" i="27"/>
  <c r="AD96" i="27"/>
  <c r="AE96" i="27"/>
  <c r="AF96" i="27"/>
  <c r="AG96" i="27"/>
  <c r="Z97" i="27"/>
  <c r="AA97" i="27"/>
  <c r="AB97" i="27"/>
  <c r="AC97" i="27"/>
  <c r="AD97" i="27"/>
  <c r="AE97" i="27"/>
  <c r="AF97" i="27"/>
  <c r="AG97" i="27"/>
  <c r="Z98" i="27"/>
  <c r="AA98" i="27"/>
  <c r="AB98" i="27"/>
  <c r="AC98" i="27"/>
  <c r="AD98" i="27"/>
  <c r="AE98" i="27"/>
  <c r="AF98" i="27"/>
  <c r="AG98" i="27"/>
  <c r="AA10" i="27"/>
  <c r="AB10" i="27"/>
  <c r="AC10" i="27"/>
  <c r="AD10" i="27"/>
  <c r="AE10" i="27"/>
  <c r="AF10" i="27"/>
  <c r="AG10" i="27"/>
  <c r="Z10" i="27"/>
  <c r="AC11" i="15"/>
  <c r="AD11" i="15"/>
  <c r="AE11" i="15"/>
  <c r="AF11" i="15"/>
  <c r="AG11" i="15"/>
  <c r="AC12" i="15"/>
  <c r="AD12" i="15"/>
  <c r="AE12" i="15"/>
  <c r="AF12" i="15"/>
  <c r="AG12" i="15"/>
  <c r="AC13" i="15"/>
  <c r="AD13" i="15"/>
  <c r="AE13" i="15"/>
  <c r="AF13" i="15"/>
  <c r="AG13" i="15"/>
  <c r="AC14" i="15"/>
  <c r="AD14" i="15"/>
  <c r="AE14" i="15"/>
  <c r="AF14" i="15"/>
  <c r="AG14" i="15"/>
  <c r="AC15" i="15"/>
  <c r="E21" i="30"/>
  <c r="AD15" i="15"/>
  <c r="AE15" i="15"/>
  <c r="G21" i="30"/>
  <c r="AF15" i="15"/>
  <c r="H21" i="30"/>
  <c r="AG15" i="15"/>
  <c r="I21" i="30"/>
  <c r="AC16" i="15"/>
  <c r="AD16" i="15"/>
  <c r="AE16" i="15"/>
  <c r="AF16" i="15"/>
  <c r="AG16" i="15"/>
  <c r="AC17" i="15"/>
  <c r="AD17" i="15"/>
  <c r="AE17" i="15"/>
  <c r="AF17" i="15"/>
  <c r="AG17" i="15"/>
  <c r="AC18" i="15"/>
  <c r="E19" i="30"/>
  <c r="AD18" i="15"/>
  <c r="F19" i="30"/>
  <c r="AE18" i="15"/>
  <c r="AF18" i="15"/>
  <c r="H19" i="30"/>
  <c r="AG18" i="15"/>
  <c r="I19" i="30"/>
  <c r="AC19" i="15"/>
  <c r="AD19" i="15"/>
  <c r="AE19" i="15"/>
  <c r="AF19" i="15"/>
  <c r="AG19" i="15"/>
  <c r="AC20" i="15"/>
  <c r="AD20" i="15"/>
  <c r="AE20" i="15"/>
  <c r="AF20" i="15"/>
  <c r="AG20" i="15"/>
  <c r="AC21" i="15"/>
  <c r="AD21" i="15"/>
  <c r="AE21" i="15"/>
  <c r="AF21" i="15"/>
  <c r="AG21" i="15"/>
  <c r="AC22" i="15"/>
  <c r="AD22" i="15"/>
  <c r="AE22" i="15"/>
  <c r="AF22" i="15"/>
  <c r="AG22" i="15"/>
  <c r="AC23" i="15"/>
  <c r="AD23" i="15"/>
  <c r="AE23" i="15"/>
  <c r="AF23" i="15"/>
  <c r="AG23" i="15"/>
  <c r="AC24" i="15"/>
  <c r="AD24" i="15"/>
  <c r="AE24" i="15"/>
  <c r="AF24" i="15"/>
  <c r="AG24" i="15"/>
  <c r="AC25" i="15"/>
  <c r="AD25" i="15"/>
  <c r="AE25" i="15"/>
  <c r="AF25" i="15"/>
  <c r="AG25" i="15"/>
  <c r="AC26" i="15"/>
  <c r="AD26" i="15"/>
  <c r="AE26" i="15"/>
  <c r="AF26" i="15"/>
  <c r="AG26" i="15"/>
  <c r="AC27" i="15"/>
  <c r="AD27" i="15"/>
  <c r="AE27" i="15"/>
  <c r="AF27" i="15"/>
  <c r="AG27" i="15"/>
  <c r="AC28" i="15"/>
  <c r="AD28" i="15"/>
  <c r="AE28" i="15"/>
  <c r="AF28" i="15"/>
  <c r="AG28" i="15"/>
  <c r="AC29" i="15"/>
  <c r="AD29" i="15"/>
  <c r="AE29" i="15"/>
  <c r="AF29" i="15"/>
  <c r="AG29" i="15"/>
  <c r="AC30" i="15"/>
  <c r="AD30" i="15"/>
  <c r="AE30" i="15"/>
  <c r="AF30" i="15"/>
  <c r="AG30" i="15"/>
  <c r="AC31" i="15"/>
  <c r="AD31" i="15"/>
  <c r="AE31" i="15"/>
  <c r="AF31" i="15"/>
  <c r="AG31" i="15"/>
  <c r="AC32" i="15"/>
  <c r="AD32" i="15"/>
  <c r="AE32" i="15"/>
  <c r="AF32" i="15"/>
  <c r="AG32" i="15"/>
  <c r="AC33" i="15"/>
  <c r="AD33" i="15"/>
  <c r="AE33" i="15"/>
  <c r="AF33" i="15"/>
  <c r="AG33" i="15"/>
  <c r="AC34" i="15"/>
  <c r="AD34" i="15"/>
  <c r="AE34" i="15"/>
  <c r="AF34" i="15"/>
  <c r="AG34" i="15"/>
  <c r="AC35" i="15"/>
  <c r="AD35" i="15"/>
  <c r="AE35" i="15"/>
  <c r="AF35" i="15"/>
  <c r="AG35" i="15"/>
  <c r="AC36" i="15"/>
  <c r="AD36" i="15"/>
  <c r="AE36" i="15"/>
  <c r="AF36" i="15"/>
  <c r="AG36" i="15"/>
  <c r="AC37" i="15"/>
  <c r="AD37" i="15"/>
  <c r="AE37" i="15"/>
  <c r="AF37" i="15"/>
  <c r="AG37" i="15"/>
  <c r="AC38" i="15"/>
  <c r="AC51" i="15"/>
  <c r="AD38" i="15"/>
  <c r="AD51" i="15"/>
  <c r="AE38" i="15"/>
  <c r="AE51" i="15"/>
  <c r="AF38" i="15"/>
  <c r="AF51" i="15"/>
  <c r="AG38" i="15"/>
  <c r="AG51" i="15"/>
  <c r="AC39" i="15"/>
  <c r="AD39" i="15"/>
  <c r="AE39" i="15"/>
  <c r="AF39" i="15"/>
  <c r="AG39" i="15"/>
  <c r="AC40" i="15"/>
  <c r="AD40" i="15"/>
  <c r="AE40" i="15"/>
  <c r="AF40" i="15"/>
  <c r="AG40" i="15"/>
  <c r="AC41" i="15"/>
  <c r="AD41" i="15"/>
  <c r="AE41" i="15"/>
  <c r="AF41" i="15"/>
  <c r="AG41" i="15"/>
  <c r="AC42" i="15"/>
  <c r="AD42" i="15"/>
  <c r="AE42" i="15"/>
  <c r="AF42" i="15"/>
  <c r="AG42" i="15"/>
  <c r="AC43" i="15"/>
  <c r="AD43" i="15"/>
  <c r="AE43" i="15"/>
  <c r="AF43" i="15"/>
  <c r="AG43" i="15"/>
  <c r="AC44" i="15"/>
  <c r="AD44" i="15"/>
  <c r="AE44" i="15"/>
  <c r="AF44" i="15"/>
  <c r="AG44" i="15"/>
  <c r="AC45" i="15"/>
  <c r="AD45" i="15"/>
  <c r="AE45" i="15"/>
  <c r="AF45" i="15"/>
  <c r="AG45" i="15"/>
  <c r="AC46" i="15"/>
  <c r="AD46" i="15"/>
  <c r="AE46" i="15"/>
  <c r="AF46" i="15"/>
  <c r="AG46" i="15"/>
  <c r="AC47" i="15"/>
  <c r="AD47" i="15"/>
  <c r="AE47" i="15"/>
  <c r="AF47" i="15"/>
  <c r="AG47" i="15"/>
  <c r="AC48" i="15"/>
  <c r="AD48" i="15"/>
  <c r="AE48" i="15"/>
  <c r="AF48" i="15"/>
  <c r="AG48" i="15"/>
  <c r="AC49" i="15"/>
  <c r="AD49" i="15"/>
  <c r="AE49" i="15"/>
  <c r="AF49" i="15"/>
  <c r="AG49" i="15"/>
  <c r="AC50" i="15"/>
  <c r="AD50" i="15"/>
  <c r="AE50" i="15"/>
  <c r="AF50" i="15"/>
  <c r="AG50" i="15"/>
  <c r="AC52" i="15"/>
  <c r="AD52" i="15"/>
  <c r="AE52" i="15"/>
  <c r="AF52" i="15"/>
  <c r="AG52" i="15"/>
  <c r="AC53" i="15"/>
  <c r="AD53" i="15"/>
  <c r="AE53" i="15"/>
  <c r="AF53" i="15"/>
  <c r="AG53" i="15"/>
  <c r="AC54" i="15"/>
  <c r="AD54" i="15"/>
  <c r="AE54" i="15"/>
  <c r="AF54" i="15"/>
  <c r="AG54" i="15"/>
  <c r="AC55" i="15"/>
  <c r="AD55" i="15"/>
  <c r="AE55" i="15"/>
  <c r="AF55" i="15"/>
  <c r="AG55" i="15"/>
  <c r="AC56" i="15"/>
  <c r="AD56" i="15"/>
  <c r="AE56" i="15"/>
  <c r="AF56" i="15"/>
  <c r="AG56" i="15"/>
  <c r="AC57" i="15"/>
  <c r="AD57" i="15"/>
  <c r="AE57" i="15"/>
  <c r="AF57" i="15"/>
  <c r="AG57" i="15"/>
  <c r="AC58" i="15"/>
  <c r="AD58" i="15"/>
  <c r="AE58" i="15"/>
  <c r="AF58" i="15"/>
  <c r="AG58" i="15"/>
  <c r="AC59" i="15"/>
  <c r="AD59" i="15"/>
  <c r="AE59" i="15"/>
  <c r="AF59" i="15"/>
  <c r="AG59" i="15"/>
  <c r="AC60" i="15"/>
  <c r="AD60" i="15"/>
  <c r="AE60" i="15"/>
  <c r="AF60" i="15"/>
  <c r="AG60" i="15"/>
  <c r="AC61" i="15"/>
  <c r="AD61" i="15"/>
  <c r="AE61" i="15"/>
  <c r="AF61" i="15"/>
  <c r="AG61" i="15"/>
  <c r="AC62" i="15"/>
  <c r="AD62" i="15"/>
  <c r="AE62" i="15"/>
  <c r="AF62" i="15"/>
  <c r="AG62" i="15"/>
  <c r="AC63" i="15"/>
  <c r="AD63" i="15"/>
  <c r="AE63" i="15"/>
  <c r="AF63" i="15"/>
  <c r="AG63" i="15"/>
  <c r="AC65" i="15"/>
  <c r="AD65" i="15"/>
  <c r="AE65" i="15"/>
  <c r="AF65" i="15"/>
  <c r="AG65" i="15"/>
  <c r="AC66" i="15"/>
  <c r="AD66" i="15"/>
  <c r="AE66" i="15"/>
  <c r="AF66" i="15"/>
  <c r="AG66" i="15"/>
  <c r="AC67" i="15"/>
  <c r="AC72" i="15"/>
  <c r="E17" i="29"/>
  <c r="AD67" i="15"/>
  <c r="AD72" i="15"/>
  <c r="F17" i="29"/>
  <c r="AE67" i="15"/>
  <c r="AF67" i="15"/>
  <c r="AF72" i="15"/>
  <c r="H17" i="29"/>
  <c r="AG67" i="15"/>
  <c r="AG72" i="15"/>
  <c r="I17" i="29"/>
  <c r="AC68" i="15"/>
  <c r="AD68" i="15"/>
  <c r="AE68" i="15"/>
  <c r="AF68" i="15"/>
  <c r="AG68" i="15"/>
  <c r="AC69" i="15"/>
  <c r="AD69" i="15"/>
  <c r="AE69" i="15"/>
  <c r="AF69" i="15"/>
  <c r="AG69" i="15"/>
  <c r="AC70" i="15"/>
  <c r="AD70" i="15"/>
  <c r="AE70" i="15"/>
  <c r="AF70" i="15"/>
  <c r="AG70" i="15"/>
  <c r="AC71" i="15"/>
  <c r="AD71" i="15"/>
  <c r="AE71" i="15"/>
  <c r="AF71" i="15"/>
  <c r="AG71" i="15"/>
  <c r="AE72" i="15"/>
  <c r="AC73" i="15"/>
  <c r="AD73" i="15"/>
  <c r="AE73" i="15"/>
  <c r="AF73" i="15"/>
  <c r="AG73" i="15"/>
  <c r="AC74" i="15"/>
  <c r="AD74" i="15"/>
  <c r="AE74" i="15"/>
  <c r="AF74" i="15"/>
  <c r="AG74" i="15"/>
  <c r="AC75" i="15"/>
  <c r="AD75" i="15"/>
  <c r="AE75" i="15"/>
  <c r="AF75" i="15"/>
  <c r="AG75" i="15"/>
  <c r="AC76" i="15"/>
  <c r="AD76" i="15"/>
  <c r="AE76" i="15"/>
  <c r="AF76" i="15"/>
  <c r="AG76" i="15"/>
  <c r="AC77" i="15"/>
  <c r="AD77" i="15"/>
  <c r="AE77" i="15"/>
  <c r="AF77" i="15"/>
  <c r="AG77" i="15"/>
  <c r="AC78" i="15"/>
  <c r="AD78" i="15"/>
  <c r="AE78" i="15"/>
  <c r="AF78" i="15"/>
  <c r="AG78" i="15"/>
  <c r="AC79" i="15"/>
  <c r="AD79" i="15"/>
  <c r="AE79" i="15"/>
  <c r="AF79" i="15"/>
  <c r="AG79" i="15"/>
  <c r="AC80" i="15"/>
  <c r="AD80" i="15"/>
  <c r="AE80" i="15"/>
  <c r="AF80" i="15"/>
  <c r="AG80" i="15"/>
  <c r="AC81" i="15"/>
  <c r="AD81" i="15"/>
  <c r="AE81" i="15"/>
  <c r="AF81" i="15"/>
  <c r="AG81" i="15"/>
  <c r="AC82" i="15"/>
  <c r="AD82" i="15"/>
  <c r="AE82" i="15"/>
  <c r="AF82" i="15"/>
  <c r="AG82" i="15"/>
  <c r="AC83" i="15"/>
  <c r="AD83" i="15"/>
  <c r="AE83" i="15"/>
  <c r="AF83" i="15"/>
  <c r="AG83" i="15"/>
  <c r="AC84" i="15"/>
  <c r="AD84" i="15"/>
  <c r="AE84" i="15"/>
  <c r="AF84" i="15"/>
  <c r="AG84" i="15"/>
  <c r="AC85" i="15"/>
  <c r="AD85" i="15"/>
  <c r="AE85" i="15"/>
  <c r="AF85" i="15"/>
  <c r="AG85" i="15"/>
  <c r="AC86" i="15"/>
  <c r="AD86" i="15"/>
  <c r="AE86" i="15"/>
  <c r="AF86" i="15"/>
  <c r="AG86" i="15"/>
  <c r="AC87" i="15"/>
  <c r="AD87" i="15"/>
  <c r="AE87" i="15"/>
  <c r="AF87" i="15"/>
  <c r="AG87" i="15"/>
  <c r="AC88" i="15"/>
  <c r="AD88" i="15"/>
  <c r="AE88" i="15"/>
  <c r="AF88" i="15"/>
  <c r="AG88" i="15"/>
  <c r="AC89" i="15"/>
  <c r="AD89" i="15"/>
  <c r="AE89" i="15"/>
  <c r="AF89" i="15"/>
  <c r="AG89" i="15"/>
  <c r="AC90" i="15"/>
  <c r="AD90" i="15"/>
  <c r="AE90" i="15"/>
  <c r="AF90" i="15"/>
  <c r="AG90" i="15"/>
  <c r="AC91" i="15"/>
  <c r="AD91" i="15"/>
  <c r="AE91" i="15"/>
  <c r="AF91" i="15"/>
  <c r="AG91" i="15"/>
  <c r="AC92" i="15"/>
  <c r="AD92" i="15"/>
  <c r="AE92" i="15"/>
  <c r="AF92" i="15"/>
  <c r="AG92" i="15"/>
  <c r="AC93" i="15"/>
  <c r="AD93" i="15"/>
  <c r="AE93" i="15"/>
  <c r="AF93" i="15"/>
  <c r="AG93" i="15"/>
  <c r="AC94" i="15"/>
  <c r="AD94" i="15"/>
  <c r="AE94" i="15"/>
  <c r="AF94" i="15"/>
  <c r="AG94" i="15"/>
  <c r="AC95" i="15"/>
  <c r="AD95" i="15"/>
  <c r="AE95" i="15"/>
  <c r="AF95" i="15"/>
  <c r="AG95" i="15"/>
  <c r="AC96" i="15"/>
  <c r="AD96" i="15"/>
  <c r="AE96" i="15"/>
  <c r="AF96" i="15"/>
  <c r="AG96" i="15"/>
  <c r="AC97" i="15"/>
  <c r="AD97" i="15"/>
  <c r="AE97" i="15"/>
  <c r="AF97" i="15"/>
  <c r="AG97" i="15"/>
  <c r="AC98" i="15"/>
  <c r="AD98" i="15"/>
  <c r="AE98" i="15"/>
  <c r="AF98" i="15"/>
  <c r="AG98" i="15"/>
  <c r="AC10" i="15"/>
  <c r="AD10" i="15"/>
  <c r="AE10" i="15"/>
  <c r="AF10" i="15"/>
  <c r="AG10" i="15"/>
  <c r="BB10" i="27"/>
  <c r="BC10" i="27"/>
  <c r="BD10" i="27"/>
  <c r="BE10" i="27"/>
  <c r="BB11" i="27"/>
  <c r="BC11" i="27"/>
  <c r="BD11" i="27"/>
  <c r="BE11" i="27"/>
  <c r="BB12" i="27"/>
  <c r="BC12" i="27"/>
  <c r="BD12" i="27"/>
  <c r="BE12" i="27"/>
  <c r="BB13" i="27"/>
  <c r="BC13" i="27"/>
  <c r="BD13" i="27"/>
  <c r="BE13" i="27"/>
  <c r="BB14" i="27"/>
  <c r="BC14" i="27"/>
  <c r="BD14" i="27"/>
  <c r="BE14" i="27"/>
  <c r="BB15" i="27"/>
  <c r="BC15" i="27"/>
  <c r="BD15" i="27"/>
  <c r="BE15" i="27"/>
  <c r="BB16" i="27"/>
  <c r="BC16" i="27"/>
  <c r="BD16" i="27"/>
  <c r="BE16" i="27"/>
  <c r="BB17" i="27"/>
  <c r="BC17" i="27"/>
  <c r="BD17" i="27"/>
  <c r="BE17" i="27"/>
  <c r="BB18" i="27"/>
  <c r="BC18" i="27"/>
  <c r="BD18" i="27"/>
  <c r="BE18" i="27"/>
  <c r="BB19" i="27"/>
  <c r="BC19" i="27"/>
  <c r="BD19" i="27"/>
  <c r="BE19" i="27"/>
  <c r="BB20" i="27"/>
  <c r="BC20" i="27"/>
  <c r="BD20" i="27"/>
  <c r="BE20" i="27"/>
  <c r="BB21" i="27"/>
  <c r="BC21" i="27"/>
  <c r="BD21" i="27"/>
  <c r="BE21" i="27"/>
  <c r="BB22" i="27"/>
  <c r="BC22" i="27"/>
  <c r="BD22" i="27"/>
  <c r="BE22" i="27"/>
  <c r="BB23" i="27"/>
  <c r="BC23" i="27"/>
  <c r="BD23" i="27"/>
  <c r="BE23" i="27"/>
  <c r="BB24" i="27"/>
  <c r="BC24" i="27"/>
  <c r="BD24" i="27"/>
  <c r="BE24" i="27"/>
  <c r="BB25" i="27"/>
  <c r="BC25" i="27"/>
  <c r="BD25" i="27"/>
  <c r="BE25" i="27"/>
  <c r="BB26" i="27"/>
  <c r="BC26" i="27"/>
  <c r="BD26" i="27"/>
  <c r="BE26" i="27"/>
  <c r="BB27" i="27"/>
  <c r="BC27" i="27"/>
  <c r="BD27" i="27"/>
  <c r="BE27" i="27"/>
  <c r="BB28" i="27"/>
  <c r="BC28" i="27"/>
  <c r="BD28" i="27"/>
  <c r="BE28" i="27"/>
  <c r="BB29" i="27"/>
  <c r="BC29" i="27"/>
  <c r="BD29" i="27"/>
  <c r="BE29" i="27"/>
  <c r="BB30" i="27"/>
  <c r="BC30" i="27"/>
  <c r="BD30" i="27"/>
  <c r="BE30" i="27"/>
  <c r="BB31" i="27"/>
  <c r="BC31" i="27"/>
  <c r="BD31" i="27"/>
  <c r="BE31" i="27"/>
  <c r="BB32" i="27"/>
  <c r="BC32" i="27"/>
  <c r="BD32" i="27"/>
  <c r="BE32" i="27"/>
  <c r="BB33" i="27"/>
  <c r="BC33" i="27"/>
  <c r="BD33" i="27"/>
  <c r="BE33" i="27"/>
  <c r="BB34" i="27"/>
  <c r="BC34" i="27"/>
  <c r="BD34" i="27"/>
  <c r="BE34" i="27"/>
  <c r="BB35" i="27"/>
  <c r="BC35" i="27"/>
  <c r="BD35" i="27"/>
  <c r="BE35" i="27"/>
  <c r="BB36" i="27"/>
  <c r="BC36" i="27"/>
  <c r="BD36" i="27"/>
  <c r="BE36" i="27"/>
  <c r="BB37" i="27"/>
  <c r="BC37" i="27"/>
  <c r="BD37" i="27"/>
  <c r="BE37" i="27"/>
  <c r="BB38" i="27"/>
  <c r="BC38" i="27"/>
  <c r="BD38" i="27"/>
  <c r="BE38" i="27"/>
  <c r="BB39" i="27"/>
  <c r="BC39" i="27"/>
  <c r="BD39" i="27"/>
  <c r="BE39" i="27"/>
  <c r="BB40" i="27"/>
  <c r="BC40" i="27"/>
  <c r="BD40" i="27"/>
  <c r="BE40" i="27"/>
  <c r="BB41" i="27"/>
  <c r="BC41" i="27"/>
  <c r="BD41" i="27"/>
  <c r="BE41" i="27"/>
  <c r="BB42" i="27"/>
  <c r="BC42" i="27"/>
  <c r="BD42" i="27"/>
  <c r="BE42" i="27"/>
  <c r="BB43" i="27"/>
  <c r="BC43" i="27"/>
  <c r="BD43" i="27"/>
  <c r="BE43" i="27"/>
  <c r="BB44" i="27"/>
  <c r="BC44" i="27"/>
  <c r="BD44" i="27"/>
  <c r="BE44" i="27"/>
  <c r="BB45" i="27"/>
  <c r="BC45" i="27"/>
  <c r="BD45" i="27"/>
  <c r="BE45" i="27"/>
  <c r="BB46" i="27"/>
  <c r="BC46" i="27"/>
  <c r="BD46" i="27"/>
  <c r="BE46" i="27"/>
  <c r="BB47" i="27"/>
  <c r="BC47" i="27"/>
  <c r="BD47" i="27"/>
  <c r="BE47" i="27"/>
  <c r="BB48" i="27"/>
  <c r="BC48" i="27"/>
  <c r="BD48" i="27"/>
  <c r="BE48" i="27"/>
  <c r="BB49" i="27"/>
  <c r="BC49" i="27"/>
  <c r="BD49" i="27"/>
  <c r="BE49" i="27"/>
  <c r="BB50" i="27"/>
  <c r="BC50" i="27"/>
  <c r="BD50" i="27"/>
  <c r="BE50" i="27"/>
  <c r="BB51" i="27"/>
  <c r="BC51" i="27"/>
  <c r="BD51" i="27"/>
  <c r="BE51" i="27"/>
  <c r="BB52" i="27"/>
  <c r="BC52" i="27"/>
  <c r="BD52" i="27"/>
  <c r="BE52" i="27"/>
  <c r="BB53" i="27"/>
  <c r="BC53" i="27"/>
  <c r="BD53" i="27"/>
  <c r="BE53" i="27"/>
  <c r="BB54" i="27"/>
  <c r="BC54" i="27"/>
  <c r="BD54" i="27"/>
  <c r="BE54" i="27"/>
  <c r="BB55" i="27"/>
  <c r="BC55" i="27"/>
  <c r="BD55" i="27"/>
  <c r="BE55" i="27"/>
  <c r="BB56" i="27"/>
  <c r="BC56" i="27"/>
  <c r="BD56" i="27"/>
  <c r="BE56" i="27"/>
  <c r="BB57" i="27"/>
  <c r="BC57" i="27"/>
  <c r="BD57" i="27"/>
  <c r="BE57" i="27"/>
  <c r="BB58" i="27"/>
  <c r="BC58" i="27"/>
  <c r="BD58" i="27"/>
  <c r="BE58" i="27"/>
  <c r="BB59" i="27"/>
  <c r="BC59" i="27"/>
  <c r="BD59" i="27"/>
  <c r="BE59" i="27"/>
  <c r="BB60" i="27"/>
  <c r="BC60" i="27"/>
  <c r="BD60" i="27"/>
  <c r="BE60" i="27"/>
  <c r="BB61" i="27"/>
  <c r="BC61" i="27"/>
  <c r="BD61" i="27"/>
  <c r="BE61" i="27"/>
  <c r="BB62" i="27"/>
  <c r="BC62" i="27"/>
  <c r="BD62" i="27"/>
  <c r="BE62" i="27"/>
  <c r="BB63" i="27"/>
  <c r="BC63" i="27"/>
  <c r="BD63" i="27"/>
  <c r="BE63" i="27"/>
  <c r="BB65" i="27"/>
  <c r="BC65" i="27"/>
  <c r="BD65" i="27"/>
  <c r="BE65" i="27"/>
  <c r="BB66" i="27"/>
  <c r="BC66" i="27"/>
  <c r="BD66" i="27"/>
  <c r="BE66" i="27"/>
  <c r="BB67" i="27"/>
  <c r="BC67" i="27"/>
  <c r="BC72" i="27"/>
  <c r="G29" i="29"/>
  <c r="BD67" i="27"/>
  <c r="BD72" i="27"/>
  <c r="H29" i="29"/>
  <c r="BE67" i="27"/>
  <c r="BE72" i="27"/>
  <c r="I29" i="29"/>
  <c r="BB68" i="27"/>
  <c r="BC68" i="27"/>
  <c r="BD68" i="27"/>
  <c r="BE68" i="27"/>
  <c r="BB69" i="27"/>
  <c r="BC69" i="27"/>
  <c r="BD69" i="27"/>
  <c r="BE69" i="27"/>
  <c r="BB70" i="27"/>
  <c r="BC70" i="27"/>
  <c r="BD70" i="27"/>
  <c r="BE70" i="27"/>
  <c r="BB71" i="27"/>
  <c r="BC71" i="27"/>
  <c r="BD71" i="27"/>
  <c r="BE71" i="27"/>
  <c r="BB72" i="27"/>
  <c r="BB73" i="27"/>
  <c r="BC73" i="27"/>
  <c r="BD73" i="27"/>
  <c r="BE73" i="27"/>
  <c r="BB74" i="27"/>
  <c r="BC74" i="27"/>
  <c r="BD74" i="27"/>
  <c r="BE74" i="27"/>
  <c r="BB75" i="27"/>
  <c r="BC75" i="27"/>
  <c r="BD75" i="27"/>
  <c r="BE75" i="27"/>
  <c r="BB76" i="27"/>
  <c r="BC76" i="27"/>
  <c r="BD76" i="27"/>
  <c r="BE76" i="27"/>
  <c r="BB77" i="27"/>
  <c r="BC77" i="27"/>
  <c r="BD77" i="27"/>
  <c r="BE77" i="27"/>
  <c r="BB78" i="27"/>
  <c r="BC78" i="27"/>
  <c r="BD78" i="27"/>
  <c r="BE78" i="27"/>
  <c r="BB79" i="27"/>
  <c r="BC79" i="27"/>
  <c r="BD79" i="27"/>
  <c r="BE79" i="27"/>
  <c r="BB80" i="27"/>
  <c r="F29" i="29"/>
  <c r="BC80" i="27"/>
  <c r="BD80" i="27"/>
  <c r="BD81" i="27"/>
  <c r="BD82" i="27"/>
  <c r="BD83" i="27"/>
  <c r="BD84" i="27"/>
  <c r="BD85" i="27"/>
  <c r="BD86" i="27"/>
  <c r="BD87" i="27"/>
  <c r="BD88" i="27"/>
  <c r="BD89" i="27"/>
  <c r="BD90" i="27"/>
  <c r="BD91" i="27"/>
  <c r="BD92" i="27"/>
  <c r="BD93" i="27"/>
  <c r="BD94" i="27"/>
  <c r="BD95" i="27"/>
  <c r="BD96" i="27"/>
  <c r="BD97" i="27"/>
  <c r="BD98" i="27"/>
  <c r="BD99" i="27"/>
  <c r="BE80" i="27"/>
  <c r="BB81" i="27"/>
  <c r="BC81" i="27"/>
  <c r="BE81" i="27"/>
  <c r="BB82" i="27"/>
  <c r="BC82" i="27"/>
  <c r="BE82" i="27"/>
  <c r="BB83" i="27"/>
  <c r="BC83" i="27"/>
  <c r="BE83" i="27"/>
  <c r="BB84" i="27"/>
  <c r="BC84" i="27"/>
  <c r="BE84" i="27"/>
  <c r="BB85" i="27"/>
  <c r="BC85" i="27"/>
  <c r="BE85" i="27"/>
  <c r="BB86" i="27"/>
  <c r="BC86" i="27"/>
  <c r="BE86" i="27"/>
  <c r="BB87" i="27"/>
  <c r="BC87" i="27"/>
  <c r="BE87" i="27"/>
  <c r="BB88" i="27"/>
  <c r="BC88" i="27"/>
  <c r="BE88" i="27"/>
  <c r="BB89" i="27"/>
  <c r="BC89" i="27"/>
  <c r="BE89" i="27"/>
  <c r="BB90" i="27"/>
  <c r="BC90" i="27"/>
  <c r="BE90" i="27"/>
  <c r="BB91" i="27"/>
  <c r="BC91" i="27"/>
  <c r="BE91" i="27"/>
  <c r="BB92" i="27"/>
  <c r="BC92" i="27"/>
  <c r="BE92" i="27"/>
  <c r="BB93" i="27"/>
  <c r="BC93" i="27"/>
  <c r="BE93" i="27"/>
  <c r="BB94" i="27"/>
  <c r="BC94" i="27"/>
  <c r="BE94" i="27"/>
  <c r="BB95" i="27"/>
  <c r="BC95" i="27"/>
  <c r="BE95" i="27"/>
  <c r="BB96" i="27"/>
  <c r="BC96" i="27"/>
  <c r="BE96" i="27"/>
  <c r="BB97" i="27"/>
  <c r="BC97" i="27"/>
  <c r="BE97" i="27"/>
  <c r="BB98" i="27"/>
  <c r="BC98" i="27"/>
  <c r="BE98" i="27"/>
  <c r="CM99" i="27"/>
  <c r="C99" i="27"/>
  <c r="D99" i="27"/>
  <c r="E99" i="27"/>
  <c r="F99" i="27"/>
  <c r="G99" i="27"/>
  <c r="H99" i="27"/>
  <c r="I99" i="27"/>
  <c r="BB10" i="15"/>
  <c r="BB11" i="15"/>
  <c r="BB12" i="15"/>
  <c r="BB13" i="15"/>
  <c r="BB14" i="15"/>
  <c r="BB15" i="15"/>
  <c r="BB16" i="15"/>
  <c r="BB17" i="15"/>
  <c r="BB18" i="15"/>
  <c r="BB19" i="15"/>
  <c r="BB20" i="15"/>
  <c r="BB21" i="15"/>
  <c r="BB22" i="15"/>
  <c r="BB23" i="15"/>
  <c r="BB24" i="15"/>
  <c r="BB25" i="15"/>
  <c r="BB26" i="15"/>
  <c r="BB27" i="15"/>
  <c r="BB28" i="15"/>
  <c r="BB29" i="15"/>
  <c r="BB30" i="15"/>
  <c r="BB31" i="15"/>
  <c r="BB32" i="15"/>
  <c r="BB33" i="15"/>
  <c r="BB34" i="15"/>
  <c r="BB35" i="15"/>
  <c r="BB36" i="15"/>
  <c r="BB37" i="15"/>
  <c r="BB38" i="15"/>
  <c r="BB39" i="15"/>
  <c r="BB40" i="15"/>
  <c r="BB41" i="15"/>
  <c r="BB42" i="15"/>
  <c r="BB43" i="15"/>
  <c r="BB44" i="15"/>
  <c r="BB45" i="15"/>
  <c r="BB46" i="15"/>
  <c r="BB47" i="15"/>
  <c r="BB48" i="15"/>
  <c r="BB49" i="15"/>
  <c r="BB50" i="15"/>
  <c r="BB51" i="15"/>
  <c r="BB52" i="15"/>
  <c r="BB53" i="15"/>
  <c r="BB54" i="15"/>
  <c r="BB55" i="15"/>
  <c r="BB56" i="15"/>
  <c r="BB57" i="15"/>
  <c r="BB58" i="15"/>
  <c r="BB59" i="15"/>
  <c r="BB60" i="15"/>
  <c r="BB61" i="15"/>
  <c r="BB62" i="15"/>
  <c r="BB63" i="15"/>
  <c r="BB65" i="15"/>
  <c r="BB66" i="15"/>
  <c r="BB67" i="15"/>
  <c r="BB68" i="15"/>
  <c r="BB69" i="15"/>
  <c r="BB70" i="15"/>
  <c r="BB71" i="15"/>
  <c r="BB72" i="15"/>
  <c r="BB73" i="15"/>
  <c r="BB74" i="15"/>
  <c r="BB75" i="15"/>
  <c r="BB76" i="15"/>
  <c r="BB77" i="15"/>
  <c r="BB78" i="15"/>
  <c r="BB79" i="15"/>
  <c r="BB80" i="15"/>
  <c r="BB81" i="15"/>
  <c r="BB82" i="15"/>
  <c r="BB83" i="15"/>
  <c r="BB84" i="15"/>
  <c r="BB85" i="15"/>
  <c r="BB86" i="15"/>
  <c r="BB87" i="15"/>
  <c r="BB88" i="15"/>
  <c r="BB89" i="15"/>
  <c r="BB90" i="15"/>
  <c r="BB91" i="15"/>
  <c r="BB92" i="15"/>
  <c r="BB93" i="15"/>
  <c r="BB94" i="15"/>
  <c r="BB95" i="15"/>
  <c r="BB96" i="15"/>
  <c r="BB97" i="15"/>
  <c r="BB98" i="15"/>
  <c r="BC99" i="15"/>
  <c r="BC10" i="15"/>
  <c r="BD10" i="15"/>
  <c r="BE10" i="15"/>
  <c r="BC11" i="15"/>
  <c r="BD11" i="15"/>
  <c r="BE11" i="15"/>
  <c r="BC12" i="15"/>
  <c r="BD12" i="15"/>
  <c r="BE12" i="15"/>
  <c r="BC13" i="15"/>
  <c r="BD13" i="15"/>
  <c r="BE13" i="15"/>
  <c r="BC14" i="15"/>
  <c r="BD14" i="15"/>
  <c r="BE14" i="15"/>
  <c r="BC15" i="15"/>
  <c r="BD15" i="15"/>
  <c r="BE15" i="15"/>
  <c r="BC16" i="15"/>
  <c r="BD16" i="15"/>
  <c r="BE16" i="15"/>
  <c r="BC17" i="15"/>
  <c r="BD17" i="15"/>
  <c r="BE17" i="15"/>
  <c r="BC18" i="15"/>
  <c r="BD18" i="15"/>
  <c r="BE18" i="15"/>
  <c r="BC19" i="15"/>
  <c r="BD19" i="15"/>
  <c r="BE19" i="15"/>
  <c r="BC20" i="15"/>
  <c r="BD20" i="15"/>
  <c r="BE20" i="15"/>
  <c r="BC21" i="15"/>
  <c r="BD21" i="15"/>
  <c r="BE21" i="15"/>
  <c r="BC22" i="15"/>
  <c r="BD22" i="15"/>
  <c r="BE22" i="15"/>
  <c r="BC23" i="15"/>
  <c r="BD23" i="15"/>
  <c r="BE23" i="15"/>
  <c r="BC24" i="15"/>
  <c r="BD24" i="15"/>
  <c r="BE24" i="15"/>
  <c r="BC25" i="15"/>
  <c r="BD25" i="15"/>
  <c r="BE25" i="15"/>
  <c r="BC26" i="15"/>
  <c r="BD26" i="15"/>
  <c r="BE26" i="15"/>
  <c r="BC27" i="15"/>
  <c r="BD27" i="15"/>
  <c r="BE27" i="15"/>
  <c r="BC28" i="15"/>
  <c r="BD28" i="15"/>
  <c r="BE28" i="15"/>
  <c r="BC29" i="15"/>
  <c r="BD29" i="15"/>
  <c r="BE29" i="15"/>
  <c r="BC30" i="15"/>
  <c r="BD30" i="15"/>
  <c r="BE30" i="15"/>
  <c r="BC31" i="15"/>
  <c r="BD31" i="15"/>
  <c r="BE31" i="15"/>
  <c r="BC32" i="15"/>
  <c r="BD32" i="15"/>
  <c r="BE32" i="15"/>
  <c r="BC33" i="15"/>
  <c r="BD33" i="15"/>
  <c r="BE33" i="15"/>
  <c r="BC34" i="15"/>
  <c r="BD34" i="15"/>
  <c r="BE34" i="15"/>
  <c r="BC35" i="15"/>
  <c r="BD35" i="15"/>
  <c r="BE35" i="15"/>
  <c r="BC36" i="15"/>
  <c r="BD36" i="15"/>
  <c r="BE36" i="15"/>
  <c r="BC37" i="15"/>
  <c r="BD37" i="15"/>
  <c r="BE37" i="15"/>
  <c r="BC38" i="15"/>
  <c r="BD38" i="15"/>
  <c r="BE38" i="15"/>
  <c r="BC39" i="15"/>
  <c r="BD39" i="15"/>
  <c r="BE39" i="15"/>
  <c r="BC40" i="15"/>
  <c r="BD40" i="15"/>
  <c r="BE40" i="15"/>
  <c r="BC41" i="15"/>
  <c r="BD41" i="15"/>
  <c r="BE41" i="15"/>
  <c r="BC42" i="15"/>
  <c r="BD42" i="15"/>
  <c r="BE42" i="15"/>
  <c r="BC43" i="15"/>
  <c r="BD43" i="15"/>
  <c r="BE43" i="15"/>
  <c r="BC44" i="15"/>
  <c r="BD44" i="15"/>
  <c r="BE44" i="15"/>
  <c r="BC45" i="15"/>
  <c r="BD45" i="15"/>
  <c r="BE45" i="15"/>
  <c r="BC46" i="15"/>
  <c r="BD46" i="15"/>
  <c r="BE46" i="15"/>
  <c r="BC47" i="15"/>
  <c r="BD47" i="15"/>
  <c r="BE47" i="15"/>
  <c r="BC48" i="15"/>
  <c r="BD48" i="15"/>
  <c r="BE48" i="15"/>
  <c r="BC49" i="15"/>
  <c r="BD49" i="15"/>
  <c r="BE49" i="15"/>
  <c r="BC50" i="15"/>
  <c r="BD50" i="15"/>
  <c r="BE50" i="15"/>
  <c r="BC51" i="15"/>
  <c r="BD51" i="15"/>
  <c r="BE51" i="15"/>
  <c r="BC52" i="15"/>
  <c r="BD52" i="15"/>
  <c r="BE52" i="15"/>
  <c r="BC53" i="15"/>
  <c r="BD53" i="15"/>
  <c r="BE53" i="15"/>
  <c r="BC54" i="15"/>
  <c r="BD54" i="15"/>
  <c r="BE54" i="15"/>
  <c r="BC55" i="15"/>
  <c r="BD55" i="15"/>
  <c r="BE55" i="15"/>
  <c r="BC56" i="15"/>
  <c r="BD56" i="15"/>
  <c r="BE56" i="15"/>
  <c r="BC57" i="15"/>
  <c r="BD57" i="15"/>
  <c r="BE57" i="15"/>
  <c r="BC58" i="15"/>
  <c r="BD58" i="15"/>
  <c r="BE58" i="15"/>
  <c r="BC59" i="15"/>
  <c r="BD59" i="15"/>
  <c r="BE59" i="15"/>
  <c r="BC60" i="15"/>
  <c r="BD60" i="15"/>
  <c r="BE60" i="15"/>
  <c r="BC61" i="15"/>
  <c r="BD61" i="15"/>
  <c r="BE61" i="15"/>
  <c r="BC62" i="15"/>
  <c r="BD62" i="15"/>
  <c r="BE62" i="15"/>
  <c r="BC63" i="15"/>
  <c r="BD63" i="15"/>
  <c r="BE63" i="15"/>
  <c r="BC65" i="15"/>
  <c r="BD65" i="15"/>
  <c r="BE65" i="15"/>
  <c r="BC66" i="15"/>
  <c r="BD66" i="15"/>
  <c r="BE66" i="15"/>
  <c r="F23" i="29"/>
  <c r="BC67" i="15"/>
  <c r="BD67" i="15"/>
  <c r="BD72" i="15"/>
  <c r="H23" i="29"/>
  <c r="BE67" i="15"/>
  <c r="BC68" i="15"/>
  <c r="BD68" i="15"/>
  <c r="BE68" i="15"/>
  <c r="BC69" i="15"/>
  <c r="BD69" i="15"/>
  <c r="BE69" i="15"/>
  <c r="BC70" i="15"/>
  <c r="BD70" i="15"/>
  <c r="BE70" i="15"/>
  <c r="BC71" i="15"/>
  <c r="BD71" i="15"/>
  <c r="BE71" i="15"/>
  <c r="BC72" i="15"/>
  <c r="BE72" i="15"/>
  <c r="BC73" i="15"/>
  <c r="BD73" i="15"/>
  <c r="BE73" i="15"/>
  <c r="BC74" i="15"/>
  <c r="BD74" i="15"/>
  <c r="BE74" i="15"/>
  <c r="BC75" i="15"/>
  <c r="BD75" i="15"/>
  <c r="BE75" i="15"/>
  <c r="BC76" i="15"/>
  <c r="BD76" i="15"/>
  <c r="BE76" i="15"/>
  <c r="BC77" i="15"/>
  <c r="BD77" i="15"/>
  <c r="BE77" i="15"/>
  <c r="BC78" i="15"/>
  <c r="BD78" i="15"/>
  <c r="BE78" i="15"/>
  <c r="BC79" i="15"/>
  <c r="BD79" i="15"/>
  <c r="BE79" i="15"/>
  <c r="BC80" i="15"/>
  <c r="BD80" i="15"/>
  <c r="BE80" i="15"/>
  <c r="BC81" i="15"/>
  <c r="BD81" i="15"/>
  <c r="BE81" i="15"/>
  <c r="BC82" i="15"/>
  <c r="BD82" i="15"/>
  <c r="BE82" i="15"/>
  <c r="BC83" i="15"/>
  <c r="BD83" i="15"/>
  <c r="BE83" i="15"/>
  <c r="BC84" i="15"/>
  <c r="BD84" i="15"/>
  <c r="BE84" i="15"/>
  <c r="BC85" i="15"/>
  <c r="G23" i="29"/>
  <c r="BD85" i="15"/>
  <c r="BE85" i="15"/>
  <c r="I23" i="29"/>
  <c r="BC86" i="15"/>
  <c r="BD86" i="15"/>
  <c r="BE86" i="15"/>
  <c r="BC87" i="15"/>
  <c r="BD87" i="15"/>
  <c r="BE87" i="15"/>
  <c r="BC88" i="15"/>
  <c r="BD88" i="15"/>
  <c r="BE88" i="15"/>
  <c r="BC89" i="15"/>
  <c r="BD89" i="15"/>
  <c r="BE89" i="15"/>
  <c r="BC90" i="15"/>
  <c r="BD90" i="15"/>
  <c r="BE90" i="15"/>
  <c r="BC91" i="15"/>
  <c r="BD91" i="15"/>
  <c r="BE91" i="15"/>
  <c r="BC92" i="15"/>
  <c r="BD92" i="15"/>
  <c r="BE92" i="15"/>
  <c r="BC93" i="15"/>
  <c r="BD93" i="15"/>
  <c r="BE93" i="15"/>
  <c r="BC94" i="15"/>
  <c r="BD94" i="15"/>
  <c r="BE94" i="15"/>
  <c r="BC95" i="15"/>
  <c r="BD95" i="15"/>
  <c r="BE95" i="15"/>
  <c r="BC96" i="15"/>
  <c r="BD96" i="15"/>
  <c r="BE96" i="15"/>
  <c r="BC97" i="15"/>
  <c r="BD97" i="15"/>
  <c r="BE97" i="15"/>
  <c r="BC98" i="15"/>
  <c r="BD99" i="15"/>
  <c r="BD98" i="15"/>
  <c r="BE98" i="15"/>
  <c r="CN99" i="15"/>
  <c r="C99" i="15"/>
  <c r="BX99" i="15"/>
  <c r="D99" i="15"/>
  <c r="E99" i="15"/>
  <c r="F99" i="15"/>
  <c r="G99" i="15"/>
  <c r="H99" i="15"/>
  <c r="CC99" i="15"/>
  <c r="I99" i="15"/>
  <c r="C30" i="30"/>
  <c r="H28" i="30"/>
  <c r="D28" i="30"/>
  <c r="F100" i="31"/>
  <c r="C98" i="31"/>
  <c r="I89" i="31"/>
  <c r="E89" i="31"/>
  <c r="F87" i="31"/>
  <c r="G86" i="31"/>
  <c r="C86" i="31"/>
  <c r="H85" i="31"/>
  <c r="D85" i="31"/>
  <c r="I88" i="31"/>
  <c r="H84" i="31"/>
  <c r="D84" i="31"/>
  <c r="H58" i="26"/>
  <c r="G100" i="31"/>
  <c r="D58" i="26"/>
  <c r="C100" i="31"/>
  <c r="I66" i="35"/>
  <c r="I56" i="26"/>
  <c r="H98" i="31"/>
  <c r="E66" i="35"/>
  <c r="E56" i="26"/>
  <c r="F65" i="35"/>
  <c r="F55" i="26"/>
  <c r="G64" i="35"/>
  <c r="G54" i="26"/>
  <c r="C64" i="35"/>
  <c r="C54" i="26"/>
  <c r="H57" i="26"/>
  <c r="G63" i="35"/>
  <c r="G53" i="26"/>
  <c r="C63" i="35"/>
  <c r="C53" i="26"/>
  <c r="F62" i="35"/>
  <c r="F52" i="26"/>
  <c r="E61" i="35"/>
  <c r="D93" i="31"/>
  <c r="G98" i="31"/>
  <c r="H97" i="31"/>
  <c r="D97" i="31"/>
  <c r="I96" i="31"/>
  <c r="E96" i="31"/>
  <c r="I95" i="31"/>
  <c r="E95" i="31"/>
  <c r="H94" i="31"/>
  <c r="D94" i="31"/>
  <c r="H93" i="31"/>
  <c r="C93" i="31"/>
  <c r="G83" i="31"/>
  <c r="C83" i="31"/>
  <c r="G82" i="31"/>
  <c r="F61" i="35"/>
  <c r="F51" i="26"/>
  <c r="E51" i="26"/>
  <c r="C84" i="31"/>
  <c r="F83" i="31"/>
  <c r="E82" i="31"/>
  <c r="H89" i="31"/>
  <c r="D89" i="31"/>
  <c r="I87" i="31"/>
  <c r="E87" i="31"/>
  <c r="F86" i="31"/>
  <c r="G85" i="31"/>
  <c r="C85" i="31"/>
  <c r="H88" i="31"/>
  <c r="G84" i="31"/>
  <c r="F21" i="30"/>
  <c r="E20" i="30"/>
  <c r="G19" i="30"/>
  <c r="I68" i="35"/>
  <c r="E68" i="35"/>
  <c r="I77" i="35"/>
  <c r="E77" i="35"/>
  <c r="G65" i="35"/>
  <c r="F76" i="35"/>
  <c r="C65" i="35"/>
  <c r="G75" i="35"/>
  <c r="C75" i="35"/>
  <c r="G74" i="35"/>
  <c r="C74" i="35"/>
  <c r="F73" i="35"/>
  <c r="F72" i="35"/>
  <c r="E72" i="35"/>
  <c r="E28" i="30"/>
  <c r="C21" i="30"/>
  <c r="G79" i="35"/>
  <c r="C79" i="35"/>
  <c r="D98" i="31"/>
  <c r="I76" i="35"/>
  <c r="I97" i="31"/>
  <c r="E76" i="35"/>
  <c r="E97" i="31"/>
  <c r="F75" i="35"/>
  <c r="F96" i="31"/>
  <c r="G78" i="35"/>
  <c r="G99" i="31"/>
  <c r="F74" i="35"/>
  <c r="F95" i="31"/>
  <c r="I73" i="35"/>
  <c r="I94" i="31"/>
  <c r="E73" i="35"/>
  <c r="E94" i="31"/>
  <c r="I72" i="35"/>
  <c r="I93" i="31"/>
  <c r="D56" i="26"/>
  <c r="I65" i="35"/>
  <c r="I55" i="26"/>
  <c r="E65" i="35"/>
  <c r="E55" i="26"/>
  <c r="F64" i="35"/>
  <c r="F54" i="26"/>
  <c r="G67" i="35"/>
  <c r="G57" i="26"/>
  <c r="F63" i="35"/>
  <c r="F53" i="26"/>
  <c r="I62" i="35"/>
  <c r="I52" i="26"/>
  <c r="E62" i="35"/>
  <c r="E52" i="26"/>
  <c r="I61" i="35"/>
  <c r="I51" i="26"/>
  <c r="D51" i="26"/>
  <c r="C34" i="29"/>
  <c r="C68" i="35"/>
  <c r="C58" i="26"/>
  <c r="H56" i="26"/>
  <c r="H100" i="31"/>
  <c r="F89" i="31"/>
  <c r="D100" i="31"/>
  <c r="I98" i="31"/>
  <c r="G87" i="31"/>
  <c r="F66" i="35"/>
  <c r="E98" i="31"/>
  <c r="C87" i="31"/>
  <c r="H86" i="31"/>
  <c r="F97" i="31"/>
  <c r="D86" i="31"/>
  <c r="I85" i="31"/>
  <c r="G96" i="31"/>
  <c r="E85" i="31"/>
  <c r="C96" i="31"/>
  <c r="I67" i="35"/>
  <c r="H99" i="31"/>
  <c r="I84" i="31"/>
  <c r="G95" i="31"/>
  <c r="E84" i="31"/>
  <c r="C95" i="31"/>
  <c r="H83" i="31"/>
  <c r="G62" i="35"/>
  <c r="F94" i="31"/>
  <c r="D83" i="31"/>
  <c r="C62" i="35"/>
  <c r="H82" i="31"/>
  <c r="G61" i="35"/>
  <c r="F93" i="31"/>
  <c r="E93" i="31"/>
  <c r="C82" i="31"/>
  <c r="G68" i="35"/>
  <c r="F79" i="35"/>
  <c r="G77" i="35"/>
  <c r="C77" i="35"/>
  <c r="I75" i="35"/>
  <c r="E75" i="35"/>
  <c r="I74" i="35"/>
  <c r="E74" i="35"/>
  <c r="H73" i="35"/>
  <c r="C72" i="35"/>
  <c r="G58" i="26"/>
  <c r="I79" i="35"/>
  <c r="I100" i="31"/>
  <c r="G89" i="31"/>
  <c r="F68" i="35"/>
  <c r="E79" i="35"/>
  <c r="E100" i="31"/>
  <c r="C89" i="31"/>
  <c r="H87" i="31"/>
  <c r="G66" i="35"/>
  <c r="F77" i="35"/>
  <c r="F98" i="31"/>
  <c r="D87" i="31"/>
  <c r="C66" i="35"/>
  <c r="I86" i="31"/>
  <c r="G76" i="35"/>
  <c r="G97" i="31"/>
  <c r="E86" i="31"/>
  <c r="C76" i="35"/>
  <c r="C97" i="31"/>
  <c r="I64" i="35"/>
  <c r="H96" i="31"/>
  <c r="F85" i="31"/>
  <c r="E64" i="35"/>
  <c r="D96" i="31"/>
  <c r="I78" i="35"/>
  <c r="I99" i="31"/>
  <c r="G88" i="31"/>
  <c r="I63" i="35"/>
  <c r="H95" i="31"/>
  <c r="F84" i="31"/>
  <c r="E63" i="35"/>
  <c r="D95" i="31"/>
  <c r="I83" i="31"/>
  <c r="H62" i="35"/>
  <c r="G73" i="35"/>
  <c r="G94" i="31"/>
  <c r="E83" i="31"/>
  <c r="D62" i="35"/>
  <c r="C73" i="35"/>
  <c r="C94" i="31"/>
  <c r="I82" i="31"/>
  <c r="H61" i="35"/>
  <c r="G72" i="35"/>
  <c r="G93" i="31"/>
  <c r="D82" i="31"/>
  <c r="C61" i="35"/>
  <c r="F58" i="26"/>
  <c r="G56" i="26"/>
  <c r="C56" i="26"/>
  <c r="H55" i="26"/>
  <c r="D55" i="26"/>
  <c r="I54" i="26"/>
  <c r="E54" i="26"/>
  <c r="I53" i="26"/>
  <c r="E53" i="26"/>
  <c r="H52" i="26"/>
  <c r="D52" i="26"/>
  <c r="H51" i="26"/>
  <c r="C51" i="26"/>
  <c r="I34" i="29"/>
  <c r="E34" i="29"/>
  <c r="D18" i="29"/>
  <c r="I58" i="26"/>
  <c r="E58" i="26"/>
  <c r="F56" i="26"/>
  <c r="G55" i="26"/>
  <c r="C55" i="26"/>
  <c r="H54" i="26"/>
  <c r="D54" i="26"/>
  <c r="I57" i="26"/>
  <c r="H53" i="26"/>
  <c r="D53" i="26"/>
  <c r="G52" i="26"/>
  <c r="C52" i="26"/>
  <c r="G51" i="26"/>
  <c r="H34" i="29"/>
  <c r="D34" i="29"/>
  <c r="C17" i="29"/>
  <c r="G18" i="29"/>
  <c r="G17" i="29"/>
  <c r="D36" i="30"/>
  <c r="C36" i="30"/>
  <c r="C40" i="29"/>
  <c r="G40" i="29"/>
  <c r="G36" i="30"/>
  <c r="F36" i="30"/>
  <c r="E40" i="29"/>
  <c r="CK99" i="15"/>
  <c r="CA99" i="15"/>
  <c r="BY99" i="15"/>
  <c r="CG99" i="15"/>
  <c r="CJ99" i="15"/>
  <c r="CE99" i="15"/>
  <c r="CI99" i="15"/>
  <c r="CH99" i="15"/>
  <c r="BC99" i="27"/>
  <c r="BE99" i="15"/>
  <c r="CB99" i="15"/>
  <c r="CD99" i="15"/>
  <c r="BF99" i="15"/>
  <c r="BZ99" i="15"/>
  <c r="A24" i="34"/>
  <c r="J12" i="34"/>
  <c r="J38" i="34"/>
  <c r="A19" i="34"/>
  <c r="O12" i="34"/>
  <c r="O26" i="34"/>
  <c r="A14" i="34"/>
  <c r="D12" i="34"/>
  <c r="D40" i="34"/>
  <c r="M12" i="34"/>
  <c r="M21" i="34"/>
  <c r="Q12" i="34"/>
  <c r="Q37" i="34"/>
  <c r="I12" i="34"/>
  <c r="I22" i="34"/>
  <c r="R12" i="34"/>
  <c r="R41" i="34"/>
  <c r="P12" i="34"/>
  <c r="P26" i="34"/>
  <c r="F12" i="34"/>
  <c r="F52" i="34"/>
  <c r="H12" i="34"/>
  <c r="C12" i="34"/>
  <c r="C51" i="34"/>
  <c r="A43" i="34"/>
  <c r="K12" i="34"/>
  <c r="K40" i="34"/>
  <c r="A34" i="34"/>
  <c r="A10" i="34"/>
  <c r="L12" i="34"/>
  <c r="N12" i="34"/>
  <c r="N51" i="34"/>
  <c r="G12" i="34"/>
  <c r="G49" i="34"/>
  <c r="E12" i="34"/>
  <c r="E22" i="34"/>
  <c r="A29" i="34"/>
  <c r="M39" i="34"/>
  <c r="I40" i="34"/>
  <c r="G31" i="34"/>
  <c r="M48" i="34"/>
  <c r="Q36" i="34"/>
  <c r="M41" i="34"/>
  <c r="M47" i="34"/>
  <c r="F37" i="34"/>
  <c r="L22" i="34"/>
  <c r="M22" i="34"/>
  <c r="G45" i="34"/>
  <c r="M40" i="34"/>
  <c r="P36" i="34"/>
  <c r="M36" i="34"/>
  <c r="S50" i="34"/>
  <c r="S27" i="34"/>
  <c r="S48" i="34"/>
  <c r="S45" i="34"/>
  <c r="S22" i="34"/>
  <c r="S46" i="34"/>
  <c r="S26" i="34"/>
  <c r="S41" i="34"/>
  <c r="S38" i="34"/>
  <c r="S49" i="34"/>
  <c r="S52" i="34"/>
  <c r="S31" i="34"/>
  <c r="S32" i="34"/>
  <c r="S47" i="34"/>
  <c r="S37" i="34"/>
  <c r="S40" i="34"/>
  <c r="S51" i="34"/>
  <c r="S36" i="34"/>
  <c r="Q22" i="34"/>
  <c r="Q26" i="34"/>
  <c r="P21" i="34"/>
  <c r="P47" i="34"/>
  <c r="L46" i="34"/>
  <c r="G39" i="34"/>
  <c r="L37" i="34"/>
  <c r="P49" i="34"/>
  <c r="F32" i="34"/>
  <c r="P41" i="34"/>
  <c r="P52" i="34"/>
  <c r="L48" i="34"/>
  <c r="FW206" i="28"/>
  <c r="T54" i="26"/>
  <c r="L39" i="34"/>
  <c r="L50" i="34"/>
  <c r="H40" i="34"/>
  <c r="D75" i="35"/>
  <c r="H75" i="35"/>
  <c r="D65" i="35"/>
  <c r="H65" i="35"/>
  <c r="D76" i="35"/>
  <c r="H63" i="35"/>
  <c r="H64" i="35"/>
  <c r="D66" i="35"/>
  <c r="D77" i="35"/>
  <c r="H78" i="35"/>
  <c r="D79" i="35"/>
  <c r="H67" i="35"/>
  <c r="CB99" i="27"/>
  <c r="BX99" i="27"/>
  <c r="L77" i="35"/>
  <c r="L78" i="35"/>
  <c r="L63" i="35"/>
  <c r="BA99" i="27"/>
  <c r="L23" i="35"/>
  <c r="L22" i="35"/>
  <c r="L54" i="35"/>
  <c r="L47" i="35"/>
  <c r="L31" i="35"/>
  <c r="H36" i="35"/>
  <c r="H54" i="35"/>
  <c r="H22" i="35"/>
  <c r="H46" i="35"/>
  <c r="H31" i="35"/>
  <c r="H55" i="35"/>
  <c r="D54" i="35"/>
  <c r="D37" i="35"/>
  <c r="D22" i="35"/>
  <c r="D46" i="35"/>
  <c r="D31" i="35"/>
  <c r="D55" i="35"/>
  <c r="N47" i="35"/>
  <c r="N36" i="35"/>
  <c r="N32" i="35"/>
  <c r="N45" i="35"/>
  <c r="N30" i="35"/>
  <c r="N29" i="35"/>
  <c r="J24" i="35"/>
  <c r="J32" i="35"/>
  <c r="J45" i="35"/>
  <c r="J37" i="35"/>
  <c r="J29" i="35"/>
  <c r="J57" i="35"/>
  <c r="F32" i="35"/>
  <c r="F25" i="35"/>
  <c r="F38" i="35"/>
  <c r="F37" i="35"/>
  <c r="F29" i="35"/>
  <c r="F57" i="35"/>
  <c r="R64" i="35"/>
  <c r="R75" i="35"/>
  <c r="R79" i="35"/>
  <c r="R77" i="35"/>
  <c r="R76" i="35"/>
  <c r="P25" i="35"/>
  <c r="P36" i="35"/>
  <c r="P44" i="35"/>
  <c r="P31" i="35"/>
  <c r="D16" i="34"/>
  <c r="CA70" i="10"/>
  <c r="CA45" i="10"/>
  <c r="CA47" i="10"/>
  <c r="CA97" i="10"/>
  <c r="CA54" i="10"/>
  <c r="CA94" i="10"/>
  <c r="CA38" i="10"/>
  <c r="CA77" i="10"/>
  <c r="CA49" i="10"/>
  <c r="CA25" i="10"/>
  <c r="CA92" i="10"/>
  <c r="CA46" i="10"/>
  <c r="CA37" i="10"/>
  <c r="CA50" i="10"/>
  <c r="CA85" i="10"/>
  <c r="CA55" i="10"/>
  <c r="CA10" i="10"/>
  <c r="CA33" i="10"/>
  <c r="CA31" i="10"/>
  <c r="CA27" i="10"/>
  <c r="R55" i="35"/>
  <c r="R57" i="35"/>
  <c r="R36" i="35"/>
  <c r="R47" i="35"/>
  <c r="R23" i="35"/>
  <c r="R32" i="35"/>
  <c r="CO78" i="10"/>
  <c r="CO29" i="10"/>
  <c r="CS9" i="10"/>
  <c r="W17" i="34"/>
  <c r="AE205" i="28"/>
  <c r="AF205" i="28"/>
  <c r="AL206" i="28"/>
  <c r="AL205" i="28"/>
  <c r="AA206" i="28"/>
  <c r="AA205" i="28"/>
  <c r="DW205" i="28"/>
  <c r="DX206" i="28"/>
  <c r="EC206" i="28"/>
  <c r="EG206" i="28"/>
  <c r="BC206" i="28"/>
  <c r="BC205" i="28"/>
  <c r="BI205" i="28"/>
  <c r="BI206" i="28"/>
  <c r="BW99" i="27"/>
  <c r="L49" i="34"/>
  <c r="CJ99" i="27"/>
  <c r="L51" i="34"/>
  <c r="H72" i="35"/>
  <c r="D63" i="35"/>
  <c r="H77" i="35"/>
  <c r="H68" i="35"/>
  <c r="BY99" i="27"/>
  <c r="L72" i="35"/>
  <c r="L79" i="35"/>
  <c r="L76" i="35"/>
  <c r="L65" i="35"/>
  <c r="L25" i="35"/>
  <c r="L48" i="35"/>
  <c r="L29" i="35"/>
  <c r="L36" i="35"/>
  <c r="H37" i="35"/>
  <c r="H57" i="35"/>
  <c r="H29" i="35"/>
  <c r="H25" i="35"/>
  <c r="H52" i="35"/>
  <c r="H38" i="35"/>
  <c r="D44" i="35"/>
  <c r="D29" i="35"/>
  <c r="D47" i="35"/>
  <c r="D25" i="35"/>
  <c r="D52" i="35"/>
  <c r="D38" i="35"/>
  <c r="R74" i="35"/>
  <c r="CA81" i="10"/>
  <c r="CA86" i="10"/>
  <c r="CA19" i="10"/>
  <c r="CA65" i="10"/>
  <c r="CA61" i="10"/>
  <c r="CA74" i="10"/>
  <c r="CA82" i="10"/>
  <c r="CA60" i="10"/>
  <c r="CA34" i="10"/>
  <c r="CA83" i="10"/>
  <c r="CA76" i="10"/>
  <c r="CA30" i="10"/>
  <c r="CA95" i="10"/>
  <c r="CA43" i="10"/>
  <c r="CA69" i="10"/>
  <c r="CA24" i="10"/>
  <c r="CA17" i="10"/>
  <c r="CA91" i="10"/>
  <c r="CA23" i="10"/>
  <c r="R45" i="35"/>
  <c r="R38" i="35"/>
  <c r="R56" i="35"/>
  <c r="R48" i="35"/>
  <c r="R22" i="35"/>
  <c r="R29" i="35"/>
  <c r="BO99" i="27"/>
  <c r="CO69" i="10"/>
  <c r="CO18" i="10"/>
  <c r="AC205" i="28"/>
  <c r="AK205" i="28"/>
  <c r="AK206" i="28"/>
  <c r="AO205" i="28"/>
  <c r="AO206" i="28"/>
  <c r="AQ205" i="28"/>
  <c r="DU205" i="28"/>
  <c r="DV206" i="28"/>
  <c r="EB205" i="28"/>
  <c r="EB206" i="28"/>
  <c r="EF205" i="28"/>
  <c r="EF206" i="28"/>
  <c r="BB206" i="28"/>
  <c r="BB205" i="28"/>
  <c r="BF206" i="28"/>
  <c r="BF205" i="28"/>
  <c r="BH205" i="28"/>
  <c r="BE99" i="27"/>
  <c r="L32" i="34"/>
  <c r="H76" i="35"/>
  <c r="D64" i="35"/>
  <c r="H66" i="35"/>
  <c r="G41" i="34"/>
  <c r="F48" i="34"/>
  <c r="L52" i="34"/>
  <c r="L27" i="34"/>
  <c r="Q45" i="34"/>
  <c r="I31" i="34"/>
  <c r="L36" i="34"/>
  <c r="L45" i="34"/>
  <c r="D74" i="35"/>
  <c r="H74" i="35"/>
  <c r="D73" i="35"/>
  <c r="D61" i="35"/>
  <c r="D72" i="35"/>
  <c r="H79" i="35"/>
  <c r="D68" i="35"/>
  <c r="D67" i="35"/>
  <c r="L67" i="35"/>
  <c r="L64" i="35"/>
  <c r="L73" i="35"/>
  <c r="L75" i="35"/>
  <c r="L66" i="35"/>
  <c r="L61" i="35"/>
  <c r="AZ99" i="27"/>
  <c r="AY99" i="27"/>
  <c r="BJ99" i="27"/>
  <c r="CH99" i="27"/>
  <c r="L37" i="35"/>
  <c r="L44" i="35"/>
  <c r="L53" i="35"/>
  <c r="H23" i="35"/>
  <c r="H30" i="35"/>
  <c r="H43" i="35"/>
  <c r="H32" i="35"/>
  <c r="H56" i="35"/>
  <c r="D43" i="35"/>
  <c r="D53" i="35"/>
  <c r="D36" i="35"/>
  <c r="D32" i="35"/>
  <c r="D56" i="35"/>
  <c r="N25" i="35"/>
  <c r="N38" i="35"/>
  <c r="N22" i="35"/>
  <c r="N31" i="35"/>
  <c r="N24" i="35"/>
  <c r="J25" i="35"/>
  <c r="J38" i="35"/>
  <c r="J56" i="35"/>
  <c r="J23" i="35"/>
  <c r="J47" i="35"/>
  <c r="F46" i="35"/>
  <c r="F31" i="35"/>
  <c r="F52" i="35"/>
  <c r="F23" i="35"/>
  <c r="F47" i="35"/>
  <c r="P73" i="35"/>
  <c r="P63" i="35"/>
  <c r="R73" i="35"/>
  <c r="R72" i="35"/>
  <c r="P72" i="35"/>
  <c r="P64" i="35"/>
  <c r="R65" i="35"/>
  <c r="P79" i="35"/>
  <c r="P77" i="35"/>
  <c r="P76" i="35"/>
  <c r="P46" i="35"/>
  <c r="P22" i="35"/>
  <c r="BN99" i="27"/>
  <c r="CA68" i="10"/>
  <c r="CA21" i="10"/>
  <c r="CA78" i="10"/>
  <c r="CA36" i="10"/>
  <c r="CA51" i="10"/>
  <c r="CA53" i="10"/>
  <c r="E18" i="35"/>
  <c r="CA66" i="10"/>
  <c r="CA64" i="10"/>
  <c r="CA18" i="10"/>
  <c r="CA67" i="10"/>
  <c r="CA59" i="10"/>
  <c r="CA14" i="10"/>
  <c r="CA79" i="10"/>
  <c r="CA39" i="10"/>
  <c r="CA88" i="10"/>
  <c r="CA42" i="10"/>
  <c r="CA13" i="10"/>
  <c r="CA75" i="10"/>
  <c r="R52" i="35"/>
  <c r="R54" i="35"/>
  <c r="R53" i="35"/>
  <c r="R37" i="35"/>
  <c r="R25" i="35"/>
  <c r="AQ99" i="15"/>
  <c r="BZ63" i="10"/>
  <c r="CA96" i="10"/>
  <c r="CA84" i="10"/>
  <c r="CA80" i="10"/>
  <c r="CA56" i="10"/>
  <c r="CA52" i="10"/>
  <c r="CA44" i="10"/>
  <c r="CA40" i="10"/>
  <c r="CA32" i="10"/>
  <c r="CA20" i="10"/>
  <c r="CA16" i="10"/>
  <c r="CN97" i="10"/>
  <c r="CN93" i="10"/>
  <c r="CN89" i="10"/>
  <c r="CN81" i="10"/>
  <c r="CN69" i="10"/>
  <c r="CN65" i="10"/>
  <c r="CN61" i="10"/>
  <c r="CN57" i="10"/>
  <c r="CN49" i="10"/>
  <c r="CN41" i="10"/>
  <c r="CN25" i="10"/>
  <c r="CN17" i="10"/>
  <c r="CN13" i="10"/>
  <c r="R17" i="34"/>
  <c r="CN9" i="10"/>
  <c r="R17" i="35"/>
  <c r="CO50" i="10"/>
  <c r="Z206" i="28"/>
  <c r="Z205" i="28"/>
  <c r="AC206" i="28"/>
  <c r="AJ206" i="28"/>
  <c r="AJ205" i="28"/>
  <c r="AN206" i="28"/>
  <c r="AN205" i="28"/>
  <c r="DT206" i="28"/>
  <c r="DZ205" i="28"/>
  <c r="EE206" i="28"/>
  <c r="EE205" i="28"/>
  <c r="EI206" i="28"/>
  <c r="EI205" i="28"/>
  <c r="DS206" i="28"/>
  <c r="DS205" i="28"/>
  <c r="BA206" i="28"/>
  <c r="BE206" i="28"/>
  <c r="BB99" i="27"/>
  <c r="CI99" i="27"/>
  <c r="CE99" i="27"/>
  <c r="CA99" i="27"/>
  <c r="CO13" i="10"/>
  <c r="CO21" i="10"/>
  <c r="CO33" i="10"/>
  <c r="CO41" i="10"/>
  <c r="CO53" i="10"/>
  <c r="S18" i="35"/>
  <c r="CO73" i="10"/>
  <c r="CO81" i="10"/>
  <c r="CO90" i="10"/>
  <c r="CO14" i="10"/>
  <c r="CO25" i="10"/>
  <c r="CO34" i="10"/>
  <c r="CO45" i="10"/>
  <c r="CO61" i="10"/>
  <c r="CO74" i="10"/>
  <c r="CO82" i="10"/>
  <c r="CO93" i="10"/>
  <c r="CO17" i="10"/>
  <c r="CO26" i="10"/>
  <c r="CO37" i="10"/>
  <c r="CO49" i="10"/>
  <c r="CO62" i="10"/>
  <c r="CO77" i="10"/>
  <c r="CO85" i="10"/>
  <c r="CO97" i="10"/>
  <c r="BY89" i="10"/>
  <c r="BY81" i="10"/>
  <c r="BY73" i="10"/>
  <c r="BY65" i="10"/>
  <c r="BY57" i="10"/>
  <c r="BY45" i="10"/>
  <c r="BY41" i="10"/>
  <c r="CO89" i="10"/>
  <c r="CO38" i="10"/>
  <c r="AG205" i="28"/>
  <c r="AG206" i="28"/>
  <c r="AM206" i="28"/>
  <c r="DY205" i="28"/>
  <c r="DZ206" i="28"/>
  <c r="ED206" i="28"/>
  <c r="ED205" i="28"/>
  <c r="EH206" i="28"/>
  <c r="DR206" i="28"/>
  <c r="DR205" i="28"/>
  <c r="AZ205" i="28"/>
  <c r="AZ206" i="28"/>
  <c r="BD205" i="28"/>
  <c r="BD206" i="28"/>
  <c r="BK206" i="28"/>
  <c r="BK205" i="28"/>
  <c r="R67" i="35"/>
  <c r="BY37" i="10"/>
  <c r="BY29" i="10"/>
  <c r="BY21" i="10"/>
  <c r="BY17" i="10"/>
  <c r="CA63" i="10"/>
  <c r="CK97" i="10"/>
  <c r="CK89" i="10"/>
  <c r="CK85" i="10"/>
  <c r="CK77" i="10"/>
  <c r="CK69" i="10"/>
  <c r="CK49" i="10"/>
  <c r="CK41" i="10"/>
  <c r="CK37" i="10"/>
  <c r="CK33" i="10"/>
  <c r="CL94" i="10"/>
  <c r="CL86" i="10"/>
  <c r="CL78" i="10"/>
  <c r="CL74" i="10"/>
  <c r="CL70" i="10"/>
  <c r="CL62" i="10"/>
  <c r="CL54" i="10"/>
  <c r="CL50" i="10"/>
  <c r="CL38" i="10"/>
  <c r="CL34" i="10"/>
  <c r="CL30" i="10"/>
  <c r="CL26" i="10"/>
  <c r="CL22" i="10"/>
  <c r="CL18" i="10"/>
  <c r="CL14" i="10"/>
  <c r="CL10" i="10"/>
  <c r="CM91" i="10"/>
  <c r="CM87" i="10"/>
  <c r="CM79" i="10"/>
  <c r="CM71" i="10"/>
  <c r="CM67" i="10"/>
  <c r="CM63" i="10"/>
  <c r="CM59" i="10"/>
  <c r="CM51" i="10"/>
  <c r="CM47" i="10"/>
  <c r="CM39" i="10"/>
  <c r="CM35" i="10"/>
  <c r="CM31" i="10"/>
  <c r="CM27" i="10"/>
  <c r="CM15" i="10"/>
  <c r="CM11" i="10"/>
  <c r="CN96" i="10"/>
  <c r="CN92" i="10"/>
  <c r="CN84" i="10"/>
  <c r="CN80" i="10"/>
  <c r="CN76" i="10"/>
  <c r="CN72" i="10"/>
  <c r="CN68" i="10"/>
  <c r="CN64" i="10"/>
  <c r="CN60" i="10"/>
  <c r="CN56" i="10"/>
  <c r="CN52" i="10"/>
  <c r="CN48" i="10"/>
  <c r="CN44" i="10"/>
  <c r="CN40" i="10"/>
  <c r="CN36" i="10"/>
  <c r="CN32" i="10"/>
  <c r="CN20" i="10"/>
  <c r="CN16" i="10"/>
  <c r="CN12" i="10"/>
  <c r="BM206" i="28"/>
  <c r="BN205" i="28"/>
  <c r="AX205" i="28"/>
  <c r="CF205" i="28"/>
  <c r="CG206" i="28"/>
  <c r="BW205" i="28"/>
  <c r="CX205" i="28"/>
  <c r="DB205" i="28"/>
  <c r="DG205" i="28"/>
  <c r="CZ206" i="28"/>
  <c r="EV205" i="28"/>
  <c r="FA205" i="28"/>
  <c r="FE205" i="28"/>
  <c r="ET206" i="28"/>
  <c r="EX206" i="28"/>
  <c r="FY205" i="28"/>
  <c r="GC205" i="28"/>
  <c r="GE206" i="28"/>
  <c r="GX205" i="28"/>
  <c r="HC205" i="28"/>
  <c r="GV206" i="28"/>
  <c r="GZ206" i="28"/>
  <c r="AT206" i="28"/>
  <c r="EK205" i="28"/>
  <c r="BR205" i="28"/>
  <c r="BQ206" i="28"/>
  <c r="BS206" i="28"/>
  <c r="CQ205" i="28"/>
  <c r="DN206" i="28"/>
  <c r="FH206" i="28"/>
  <c r="T52" i="26"/>
  <c r="V82" i="31"/>
  <c r="V84" i="31"/>
  <c r="CG76" i="10"/>
  <c r="CG68" i="10"/>
  <c r="CG60" i="10"/>
  <c r="CG56" i="10"/>
  <c r="CG52" i="10"/>
  <c r="CG40" i="10"/>
  <c r="CG20" i="10"/>
  <c r="CG16" i="10"/>
  <c r="CI94" i="10"/>
  <c r="CI90" i="10"/>
  <c r="CI82" i="10"/>
  <c r="CI78" i="10"/>
  <c r="CI74" i="10"/>
  <c r="CI70" i="10"/>
  <c r="CI62" i="10"/>
  <c r="CI54" i="10"/>
  <c r="CI38" i="10"/>
  <c r="CI26" i="10"/>
  <c r="CI22" i="10"/>
  <c r="CI18" i="10"/>
  <c r="CI14" i="10"/>
  <c r="CI10" i="10"/>
  <c r="CP53" i="10"/>
  <c r="T18" i="35"/>
  <c r="CR53" i="10"/>
  <c r="V18" i="35"/>
  <c r="K61" i="35"/>
  <c r="DV205" i="28"/>
  <c r="CC206" i="28"/>
  <c r="BV205" i="28"/>
  <c r="CY205" i="28"/>
  <c r="DE206" i="28"/>
  <c r="DI206" i="28"/>
  <c r="ES205" i="28"/>
  <c r="EW205" i="28"/>
  <c r="FC206" i="28"/>
  <c r="R62" i="35"/>
  <c r="FQ205" i="28"/>
  <c r="FU205" i="28"/>
  <c r="GD205" i="28"/>
  <c r="GA206" i="28"/>
  <c r="GT205" i="28"/>
  <c r="GY205" i="28"/>
  <c r="K58" i="26"/>
  <c r="AS205" i="28"/>
  <c r="EK206" i="28"/>
  <c r="EM206" i="28"/>
  <c r="BS205" i="28"/>
  <c r="CP206" i="28"/>
  <c r="DM205" i="28"/>
  <c r="W84" i="31"/>
  <c r="BY63" i="10"/>
  <c r="CD96" i="10"/>
  <c r="CD92" i="10"/>
  <c r="CD88" i="10"/>
  <c r="CD84" i="10"/>
  <c r="CD80" i="10"/>
  <c r="CD72" i="10"/>
  <c r="CD68" i="10"/>
  <c r="CD60" i="10"/>
  <c r="CD56" i="10"/>
  <c r="CD48" i="10"/>
  <c r="CD40" i="10"/>
  <c r="CD24" i="10"/>
  <c r="CD20" i="10"/>
  <c r="CE89" i="10"/>
  <c r="CE69" i="10"/>
  <c r="CE61" i="10"/>
  <c r="CE57" i="10"/>
  <c r="CE53" i="10"/>
  <c r="I18" i="35"/>
  <c r="CE37" i="10"/>
  <c r="CE29" i="10"/>
  <c r="CE17" i="10"/>
  <c r="CE13" i="10"/>
  <c r="R61" i="35"/>
  <c r="R53" i="26"/>
  <c r="BN206" i="28"/>
  <c r="CH205" i="28"/>
  <c r="CM205" i="28"/>
  <c r="CU205" i="28"/>
  <c r="ER205" i="28"/>
  <c r="GM205" i="28"/>
  <c r="AT205" i="28"/>
  <c r="EM205" i="28"/>
  <c r="FK206" i="28"/>
  <c r="T84" i="31"/>
  <c r="V74" i="35"/>
  <c r="V73" i="35"/>
  <c r="B83" i="31"/>
  <c r="B87" i="31"/>
  <c r="B22" i="35"/>
  <c r="B29" i="35"/>
  <c r="B36" i="35"/>
  <c r="B43" i="35"/>
  <c r="B47" i="35"/>
  <c r="B54" i="35"/>
  <c r="B61" i="35"/>
  <c r="B63" i="35"/>
  <c r="B65" i="35"/>
  <c r="B67" i="35"/>
  <c r="B72" i="35"/>
  <c r="B74" i="35"/>
  <c r="B76" i="35"/>
  <c r="B78" i="35"/>
  <c r="T54" i="31"/>
  <c r="IE18" i="22"/>
  <c r="IF17" i="22"/>
  <c r="IF21" i="22"/>
  <c r="IF27" i="22"/>
  <c r="IF32" i="22"/>
  <c r="IF37" i="22"/>
  <c r="IF42" i="22"/>
  <c r="IF48" i="22"/>
  <c r="IF52" i="22"/>
  <c r="IF57" i="22"/>
  <c r="IF66" i="22"/>
  <c r="IF71" i="22"/>
  <c r="IF78" i="22"/>
  <c r="IF87" i="22"/>
  <c r="IF92" i="22"/>
  <c r="IF97" i="22"/>
  <c r="HE17" i="22"/>
  <c r="HE21" i="22"/>
  <c r="HE27" i="22"/>
  <c r="HE32" i="22"/>
  <c r="HE37" i="22"/>
  <c r="HE42" i="22"/>
  <c r="HE48" i="22"/>
  <c r="HE52" i="22"/>
  <c r="HE57" i="22"/>
  <c r="HE66" i="22"/>
  <c r="HE71" i="22"/>
  <c r="HE78" i="22"/>
  <c r="HE87" i="22"/>
  <c r="HE92" i="22"/>
  <c r="HE97" i="22"/>
  <c r="V43" i="35"/>
  <c r="V45" i="35"/>
  <c r="V46" i="35"/>
  <c r="V47" i="35"/>
  <c r="IH17" i="22"/>
  <c r="IH21" i="22"/>
  <c r="IH27" i="22"/>
  <c r="IH32" i="22"/>
  <c r="IH37" i="22"/>
  <c r="IH42" i="22"/>
  <c r="IH48" i="22"/>
  <c r="IH52" i="22"/>
  <c r="IH57" i="22"/>
  <c r="IH66" i="22"/>
  <c r="IH71" i="22"/>
  <c r="IH78" i="22"/>
  <c r="IH87" i="22"/>
  <c r="IH92" i="22"/>
  <c r="IH97" i="22"/>
  <c r="HG17" i="22"/>
  <c r="HG21" i="22"/>
  <c r="HG27" i="22"/>
  <c r="HG32" i="22"/>
  <c r="HG37" i="22"/>
  <c r="HG42" i="22"/>
  <c r="HG48" i="22"/>
  <c r="HG52" i="22"/>
  <c r="HG57" i="22"/>
  <c r="HG66" i="22"/>
  <c r="HG71" i="22"/>
  <c r="HG78" i="22"/>
  <c r="HG87" i="22"/>
  <c r="HG92" i="22"/>
  <c r="HG97" i="22"/>
  <c r="BX9" i="10"/>
  <c r="B16" i="34"/>
  <c r="B23" i="35"/>
  <c r="B30" i="35"/>
  <c r="B37" i="35"/>
  <c r="B44" i="35"/>
  <c r="B48" i="35"/>
  <c r="B55" i="35"/>
  <c r="S47" i="26"/>
  <c r="S60" i="31"/>
  <c r="HC18" i="22"/>
  <c r="HC22" i="22"/>
  <c r="HC27" i="22"/>
  <c r="HC33" i="22"/>
  <c r="HC38" i="22"/>
  <c r="HC42" i="22"/>
  <c r="HC47" i="22"/>
  <c r="HC51" i="22"/>
  <c r="S38" i="26"/>
  <c r="HC55" i="22"/>
  <c r="HC64" i="22"/>
  <c r="HC69" i="22"/>
  <c r="HC101" i="22"/>
  <c r="IF18" i="22"/>
  <c r="IF22" i="22"/>
  <c r="IF28" i="22"/>
  <c r="IF33" i="22"/>
  <c r="IF38" i="22"/>
  <c r="IF44" i="22"/>
  <c r="IF49" i="22"/>
  <c r="IF53" i="22"/>
  <c r="IF58" i="22"/>
  <c r="IF67" i="22"/>
  <c r="IF73" i="22"/>
  <c r="IF80" i="22"/>
  <c r="IF88" i="22"/>
  <c r="IF93" i="22"/>
  <c r="IF101" i="22"/>
  <c r="HE18" i="22"/>
  <c r="HE22" i="22"/>
  <c r="HE28" i="22"/>
  <c r="HE33" i="22"/>
  <c r="HE38" i="22"/>
  <c r="HE44" i="22"/>
  <c r="HE49" i="22"/>
  <c r="HE53" i="22"/>
  <c r="HE58" i="22"/>
  <c r="HE67" i="22"/>
  <c r="HE73" i="22"/>
  <c r="HE80" i="22"/>
  <c r="HE88" i="22"/>
  <c r="HE93" i="22"/>
  <c r="HE101" i="22"/>
  <c r="IG18" i="22"/>
  <c r="IG22" i="22"/>
  <c r="IG28" i="22"/>
  <c r="IG33" i="22"/>
  <c r="IG38" i="22"/>
  <c r="IG44" i="22"/>
  <c r="IG49" i="22"/>
  <c r="IG53" i="22"/>
  <c r="IG58" i="22"/>
  <c r="IG67" i="22"/>
  <c r="IG73" i="22"/>
  <c r="IG80" i="22"/>
  <c r="IG88" i="22"/>
  <c r="IG93" i="22"/>
  <c r="IG101" i="22"/>
  <c r="HF18" i="22"/>
  <c r="HF22" i="22"/>
  <c r="HF28" i="22"/>
  <c r="HF33" i="22"/>
  <c r="HF38" i="22"/>
  <c r="HF44" i="22"/>
  <c r="HF49" i="22"/>
  <c r="HF53" i="22"/>
  <c r="HF58" i="22"/>
  <c r="HF67" i="22"/>
  <c r="HF73" i="22"/>
  <c r="HF80" i="22"/>
  <c r="HF88" i="22"/>
  <c r="HF93" i="22"/>
  <c r="HF101" i="22"/>
  <c r="IH18" i="22"/>
  <c r="IH22" i="22"/>
  <c r="IH28" i="22"/>
  <c r="IH33" i="22"/>
  <c r="IH38" i="22"/>
  <c r="IH44" i="22"/>
  <c r="IH49" i="22"/>
  <c r="IH53" i="22"/>
  <c r="IH58" i="22"/>
  <c r="IH67" i="22"/>
  <c r="IH73" i="22"/>
  <c r="IH80" i="22"/>
  <c r="IH88" i="22"/>
  <c r="IH93" i="22"/>
  <c r="IH101" i="22"/>
  <c r="HG18" i="22"/>
  <c r="HG22" i="22"/>
  <c r="HG28" i="22"/>
  <c r="HG33" i="22"/>
  <c r="HG38" i="22"/>
  <c r="HG44" i="22"/>
  <c r="HG49" i="22"/>
  <c r="HG53" i="22"/>
  <c r="HG58" i="22"/>
  <c r="HG67" i="22"/>
  <c r="HG73" i="22"/>
  <c r="HG80" i="22"/>
  <c r="HG88" i="22"/>
  <c r="HG93" i="22"/>
  <c r="HG101" i="22"/>
  <c r="L33" i="26"/>
  <c r="HW55" i="22"/>
  <c r="L56" i="35"/>
  <c r="M33" i="26"/>
  <c r="HX55" i="22"/>
  <c r="AK189" i="22"/>
  <c r="CG132" i="22"/>
  <c r="CG182" i="22"/>
  <c r="M54" i="35"/>
  <c r="M56" i="35"/>
  <c r="N59" i="31"/>
  <c r="GX17" i="22"/>
  <c r="AM176" i="22"/>
  <c r="AM185" i="22"/>
  <c r="AM202" i="22"/>
  <c r="AN147" i="22"/>
  <c r="AN170" i="22"/>
  <c r="HC19" i="22"/>
  <c r="HC24" i="22"/>
  <c r="HC28" i="22"/>
  <c r="HC97" i="22"/>
  <c r="HC102" i="22"/>
  <c r="IF19" i="22"/>
  <c r="IF24" i="22"/>
  <c r="IF29" i="22"/>
  <c r="IF34" i="22"/>
  <c r="IF40" i="22"/>
  <c r="IF46" i="22"/>
  <c r="IF50" i="22"/>
  <c r="IF55" i="22"/>
  <c r="IF63" i="22"/>
  <c r="IF69" i="22"/>
  <c r="IF74" i="22"/>
  <c r="IF81" i="22"/>
  <c r="IF90" i="22"/>
  <c r="IF94" i="22"/>
  <c r="IF102" i="22"/>
  <c r="HE19" i="22"/>
  <c r="HE24" i="22"/>
  <c r="HE29" i="22"/>
  <c r="HE34" i="22"/>
  <c r="HE40" i="22"/>
  <c r="HE46" i="22"/>
  <c r="HE50" i="22"/>
  <c r="HE55" i="22"/>
  <c r="HE63" i="22"/>
  <c r="HE69" i="22"/>
  <c r="HE74" i="22"/>
  <c r="HE81" i="22"/>
  <c r="HE90" i="22"/>
  <c r="HE94" i="22"/>
  <c r="HE102" i="22"/>
  <c r="IG19" i="22"/>
  <c r="IG24" i="22"/>
  <c r="IG29" i="22"/>
  <c r="IG34" i="22"/>
  <c r="IG40" i="22"/>
  <c r="IG46" i="22"/>
  <c r="IG50" i="22"/>
  <c r="IG55" i="22"/>
  <c r="IG63" i="22"/>
  <c r="IG69" i="22"/>
  <c r="IG74" i="22"/>
  <c r="IG81" i="22"/>
  <c r="IG90" i="22"/>
  <c r="IG94" i="22"/>
  <c r="IG102" i="22"/>
  <c r="HF19" i="22"/>
  <c r="HF24" i="22"/>
  <c r="HF29" i="22"/>
  <c r="HF34" i="22"/>
  <c r="HF40" i="22"/>
  <c r="HF46" i="22"/>
  <c r="HF50" i="22"/>
  <c r="HF55" i="22"/>
  <c r="HF63" i="22"/>
  <c r="HF69" i="22"/>
  <c r="HF74" i="22"/>
  <c r="HF81" i="22"/>
  <c r="HF90" i="22"/>
  <c r="HF94" i="22"/>
  <c r="HF102" i="22"/>
  <c r="IH19" i="22"/>
  <c r="IH24" i="22"/>
  <c r="IH29" i="22"/>
  <c r="IH34" i="22"/>
  <c r="IH40" i="22"/>
  <c r="IH46" i="22"/>
  <c r="IH50" i="22"/>
  <c r="IH55" i="22"/>
  <c r="IH63" i="22"/>
  <c r="IH69" i="22"/>
  <c r="IH74" i="22"/>
  <c r="IH81" i="22"/>
  <c r="IH90" i="22"/>
  <c r="IH94" i="22"/>
  <c r="IH102" i="22"/>
  <c r="HG19" i="22"/>
  <c r="HG24" i="22"/>
  <c r="HG29" i="22"/>
  <c r="HG34" i="22"/>
  <c r="HG40" i="22"/>
  <c r="HG46" i="22"/>
  <c r="HG50" i="22"/>
  <c r="HG55" i="22"/>
  <c r="HG63" i="22"/>
  <c r="HG69" i="22"/>
  <c r="HG74" i="22"/>
  <c r="HG81" i="22"/>
  <c r="HG90" i="22"/>
  <c r="HG94" i="22"/>
  <c r="HG102" i="22"/>
  <c r="L24" i="35"/>
  <c r="HW61" i="22"/>
  <c r="L55" i="35"/>
  <c r="O55" i="35"/>
  <c r="P33" i="26"/>
  <c r="IA55" i="22"/>
  <c r="P54" i="35"/>
  <c r="P55" i="35"/>
  <c r="P56" i="35"/>
  <c r="P57" i="35"/>
  <c r="AO203" i="22"/>
  <c r="Q59" i="31"/>
  <c r="HA17" i="22"/>
  <c r="R33" i="26"/>
  <c r="IC55" i="22"/>
  <c r="R38" i="26"/>
  <c r="HB55" i="22"/>
  <c r="IG20" i="22"/>
  <c r="IG26" i="22"/>
  <c r="IG31" i="22"/>
  <c r="IG36" i="22"/>
  <c r="IG41" i="22"/>
  <c r="IG47" i="22"/>
  <c r="IG51" i="22"/>
  <c r="IG56" i="22"/>
  <c r="IG64" i="22"/>
  <c r="IG70" i="22"/>
  <c r="IG77" i="22"/>
  <c r="IG82" i="22"/>
  <c r="IG91" i="22"/>
  <c r="IG96" i="22"/>
  <c r="IG105" i="22"/>
  <c r="HF20" i="22"/>
  <c r="HF26" i="22"/>
  <c r="HF31" i="22"/>
  <c r="HF36" i="22"/>
  <c r="HF41" i="22"/>
  <c r="HF47" i="22"/>
  <c r="HF51" i="22"/>
  <c r="HF56" i="22"/>
  <c r="HF64" i="22"/>
  <c r="HF70" i="22"/>
  <c r="HF77" i="22"/>
  <c r="HF82" i="22"/>
  <c r="HF91" i="22"/>
  <c r="HF96" i="22"/>
  <c r="HF105" i="22"/>
  <c r="IH20" i="22"/>
  <c r="IH26" i="22"/>
  <c r="IH31" i="22"/>
  <c r="IH36" i="22"/>
  <c r="IH41" i="22"/>
  <c r="IH47" i="22"/>
  <c r="IH51" i="22"/>
  <c r="IH56" i="22"/>
  <c r="IH64" i="22"/>
  <c r="IH70" i="22"/>
  <c r="IH77" i="22"/>
  <c r="IH82" i="22"/>
  <c r="IH91" i="22"/>
  <c r="IH96" i="22"/>
  <c r="IH105" i="22"/>
  <c r="HG20" i="22"/>
  <c r="HG26" i="22"/>
  <c r="HG31" i="22"/>
  <c r="HG36" i="22"/>
  <c r="HG41" i="22"/>
  <c r="HG47" i="22"/>
  <c r="HG51" i="22"/>
  <c r="HG56" i="22"/>
  <c r="HG64" i="22"/>
  <c r="HG70" i="22"/>
  <c r="HG77" i="22"/>
  <c r="HG82" i="22"/>
  <c r="HG91" i="22"/>
  <c r="HG96" i="22"/>
  <c r="HG105" i="22"/>
  <c r="K68" i="35"/>
  <c r="R63" i="35"/>
  <c r="DJ205" i="28"/>
  <c r="R88" i="31"/>
  <c r="R84" i="31"/>
  <c r="CG12" i="10"/>
  <c r="J51" i="34"/>
  <c r="O16" i="34"/>
  <c r="K16" i="34"/>
  <c r="CQ9" i="10"/>
  <c r="U17" i="34"/>
  <c r="R45" i="34"/>
  <c r="D48" i="34"/>
  <c r="G22" i="34"/>
  <c r="G36" i="34"/>
  <c r="E51" i="34"/>
  <c r="H41" i="34"/>
  <c r="S17" i="35"/>
  <c r="O17" i="34"/>
  <c r="T17" i="34"/>
  <c r="Q52" i="34"/>
  <c r="T17" i="35"/>
  <c r="AG99" i="15"/>
  <c r="AO99" i="27"/>
  <c r="AO99" i="15"/>
  <c r="W46" i="34"/>
  <c r="V47" i="34"/>
  <c r="N32" i="34"/>
  <c r="W48" i="34"/>
  <c r="AB99" i="15"/>
  <c r="AN99" i="15"/>
  <c r="U47" i="34"/>
  <c r="F27" i="34"/>
  <c r="F36" i="34"/>
  <c r="F47" i="34"/>
  <c r="Q38" i="34"/>
  <c r="Q47" i="34"/>
  <c r="E21" i="34"/>
  <c r="E49" i="34"/>
  <c r="C22" i="34"/>
  <c r="J21" i="34"/>
  <c r="J26" i="34"/>
  <c r="D32" i="34"/>
  <c r="AF99" i="15"/>
  <c r="AB99" i="27"/>
  <c r="AA99" i="15"/>
  <c r="AP99" i="15"/>
  <c r="T22" i="34"/>
  <c r="T37" i="34"/>
  <c r="T41" i="34"/>
  <c r="U46" i="34"/>
  <c r="E52" i="34"/>
  <c r="E16" i="34"/>
  <c r="T31" i="34"/>
  <c r="T38" i="34"/>
  <c r="T51" i="34"/>
  <c r="E41" i="34"/>
  <c r="C40" i="34"/>
  <c r="R51" i="34"/>
  <c r="F46" i="34"/>
  <c r="F39" i="34"/>
  <c r="D45" i="34"/>
  <c r="Q32" i="34"/>
  <c r="Q31" i="34"/>
  <c r="N37" i="34"/>
  <c r="C52" i="34"/>
  <c r="F41" i="34"/>
  <c r="J49" i="34"/>
  <c r="J46" i="34"/>
  <c r="F49" i="34"/>
  <c r="Q51" i="34"/>
  <c r="AD99" i="15"/>
  <c r="AE99" i="15"/>
  <c r="AC99" i="15"/>
  <c r="AE99" i="27"/>
  <c r="AA99" i="27"/>
  <c r="AG99" i="27"/>
  <c r="Z99" i="15"/>
  <c r="H16" i="34"/>
  <c r="N16" i="34"/>
  <c r="R16" i="34"/>
  <c r="T27" i="34"/>
  <c r="T32" i="34"/>
  <c r="T39" i="34"/>
  <c r="U48" i="34"/>
  <c r="U51" i="34"/>
  <c r="B36" i="34"/>
  <c r="B17" i="35"/>
  <c r="R36" i="34"/>
  <c r="D27" i="34"/>
  <c r="D37" i="34"/>
  <c r="E27" i="34"/>
  <c r="E32" i="34"/>
  <c r="C46" i="34"/>
  <c r="J50" i="34"/>
  <c r="J17" i="35"/>
  <c r="CP42" i="10"/>
  <c r="CS10" i="10"/>
  <c r="R49" i="34"/>
  <c r="D51" i="34"/>
  <c r="E47" i="34"/>
  <c r="E50" i="34"/>
  <c r="C41" i="34"/>
  <c r="J40" i="34"/>
  <c r="D52" i="34"/>
  <c r="R52" i="34"/>
  <c r="F31" i="34"/>
  <c r="F21" i="34"/>
  <c r="F26" i="34"/>
  <c r="D36" i="34"/>
  <c r="D22" i="34"/>
  <c r="D47" i="34"/>
  <c r="Q46" i="34"/>
  <c r="Q49" i="34"/>
  <c r="Q41" i="34"/>
  <c r="E36" i="34"/>
  <c r="N38" i="34"/>
  <c r="N31" i="34"/>
  <c r="E46" i="34"/>
  <c r="E37" i="34"/>
  <c r="C48" i="34"/>
  <c r="C36" i="34"/>
  <c r="C50" i="34"/>
  <c r="K26" i="34"/>
  <c r="R39" i="34"/>
  <c r="J32" i="34"/>
  <c r="Q27" i="34"/>
  <c r="J36" i="34"/>
  <c r="O37" i="34"/>
  <c r="G16" i="34"/>
  <c r="C17" i="35"/>
  <c r="CR12" i="10"/>
  <c r="U17" i="35"/>
  <c r="U16" i="34"/>
  <c r="CR9" i="10"/>
  <c r="V16" i="34"/>
  <c r="V17" i="34"/>
  <c r="AL99" i="27"/>
  <c r="F22" i="34"/>
  <c r="R21" i="34"/>
  <c r="D49" i="34"/>
  <c r="D26" i="34"/>
  <c r="D50" i="34"/>
  <c r="Q40" i="34"/>
  <c r="Q48" i="34"/>
  <c r="Q21" i="34"/>
  <c r="Q50" i="34"/>
  <c r="C38" i="34"/>
  <c r="C37" i="34"/>
  <c r="N49" i="34"/>
  <c r="E31" i="34"/>
  <c r="E48" i="34"/>
  <c r="C39" i="34"/>
  <c r="E26" i="34"/>
  <c r="C21" i="34"/>
  <c r="C45" i="34"/>
  <c r="C26" i="34"/>
  <c r="F40" i="34"/>
  <c r="J31" i="34"/>
  <c r="R32" i="34"/>
  <c r="R47" i="34"/>
  <c r="J22" i="34"/>
  <c r="F51" i="34"/>
  <c r="L31" i="34"/>
  <c r="O39" i="34"/>
  <c r="C47" i="34"/>
  <c r="M16" i="34"/>
  <c r="B45" i="34"/>
  <c r="B26" i="34"/>
  <c r="I45" i="34"/>
  <c r="G21" i="34"/>
  <c r="R37" i="34"/>
  <c r="J41" i="34"/>
  <c r="R26" i="34"/>
  <c r="I48" i="34"/>
  <c r="V22" i="34"/>
  <c r="V26" i="34"/>
  <c r="V27" i="34"/>
  <c r="V45" i="34"/>
  <c r="V49" i="34"/>
  <c r="V50" i="34"/>
  <c r="B31" i="34"/>
  <c r="B47" i="34"/>
  <c r="G47" i="34"/>
  <c r="I37" i="34"/>
  <c r="G46" i="34"/>
  <c r="E39" i="34"/>
  <c r="E40" i="34"/>
  <c r="I27" i="34"/>
  <c r="E45" i="34"/>
  <c r="E38" i="34"/>
  <c r="H39" i="34"/>
  <c r="C27" i="34"/>
  <c r="C32" i="34"/>
  <c r="C49" i="34"/>
  <c r="C31" i="34"/>
  <c r="G38" i="34"/>
  <c r="J39" i="34"/>
  <c r="R31" i="34"/>
  <c r="R27" i="34"/>
  <c r="K51" i="34"/>
  <c r="J52" i="34"/>
  <c r="K27" i="34"/>
  <c r="K52" i="34"/>
  <c r="J45" i="34"/>
  <c r="G52" i="34"/>
  <c r="J47" i="34"/>
  <c r="G50" i="34"/>
  <c r="D46" i="34"/>
  <c r="R46" i="34"/>
  <c r="Y22" i="34"/>
  <c r="V52" i="34"/>
  <c r="H45" i="34"/>
  <c r="G26" i="34"/>
  <c r="U52" i="34"/>
  <c r="B40" i="34"/>
  <c r="P39" i="34"/>
  <c r="P38" i="34"/>
  <c r="P51" i="34"/>
  <c r="P31" i="34"/>
  <c r="I38" i="34"/>
  <c r="I46" i="34"/>
  <c r="I49" i="34"/>
  <c r="I36" i="34"/>
  <c r="N45" i="34"/>
  <c r="N36" i="34"/>
  <c r="N26" i="34"/>
  <c r="N41" i="34"/>
  <c r="H21" i="34"/>
  <c r="H49" i="34"/>
  <c r="H46" i="34"/>
  <c r="M26" i="34"/>
  <c r="P22" i="34"/>
  <c r="P46" i="34"/>
  <c r="M38" i="34"/>
  <c r="H26" i="34"/>
  <c r="P50" i="34"/>
  <c r="M32" i="34"/>
  <c r="P45" i="34"/>
  <c r="M49" i="34"/>
  <c r="O32" i="34"/>
  <c r="O52" i="34"/>
  <c r="M46" i="34"/>
  <c r="F50" i="34"/>
  <c r="O27" i="34"/>
  <c r="P37" i="34"/>
  <c r="O22" i="34"/>
  <c r="R50" i="34"/>
  <c r="R22" i="34"/>
  <c r="F38" i="34"/>
  <c r="R48" i="34"/>
  <c r="Q39" i="34"/>
  <c r="B21" i="34"/>
  <c r="B38" i="34"/>
  <c r="B49" i="34"/>
  <c r="P32" i="34"/>
  <c r="P40" i="34"/>
  <c r="N47" i="34"/>
  <c r="I50" i="34"/>
  <c r="I32" i="34"/>
  <c r="I52" i="34"/>
  <c r="N46" i="34"/>
  <c r="N39" i="34"/>
  <c r="N40" i="34"/>
  <c r="H31" i="34"/>
  <c r="H27" i="34"/>
  <c r="H22" i="34"/>
  <c r="I41" i="34"/>
  <c r="N22" i="34"/>
  <c r="K49" i="34"/>
  <c r="M50" i="34"/>
  <c r="H32" i="34"/>
  <c r="K47" i="34"/>
  <c r="M45" i="34"/>
  <c r="O38" i="34"/>
  <c r="O46" i="34"/>
  <c r="O41" i="34"/>
  <c r="O51" i="34"/>
  <c r="O50" i="34"/>
  <c r="O49" i="34"/>
  <c r="I21" i="34"/>
  <c r="H38" i="34"/>
  <c r="H37" i="34"/>
  <c r="V46" i="34"/>
  <c r="W47" i="34"/>
  <c r="V48" i="34"/>
  <c r="T49" i="34"/>
  <c r="P27" i="34"/>
  <c r="P48" i="34"/>
  <c r="O48" i="34"/>
  <c r="I47" i="34"/>
  <c r="I39" i="34"/>
  <c r="I51" i="34"/>
  <c r="N48" i="34"/>
  <c r="N50" i="34"/>
  <c r="N52" i="34"/>
  <c r="N27" i="34"/>
  <c r="H51" i="34"/>
  <c r="H48" i="34"/>
  <c r="H50" i="34"/>
  <c r="K22" i="34"/>
  <c r="H36" i="34"/>
  <c r="H52" i="34"/>
  <c r="M37" i="34"/>
  <c r="M27" i="34"/>
  <c r="R40" i="34"/>
  <c r="M51" i="34"/>
  <c r="J37" i="34"/>
  <c r="M52" i="34"/>
  <c r="F45" i="34"/>
  <c r="M31" i="34"/>
  <c r="O21" i="34"/>
  <c r="O45" i="34"/>
  <c r="K46" i="34"/>
  <c r="O47" i="34"/>
  <c r="I26" i="34"/>
  <c r="N21" i="34"/>
  <c r="H47" i="34"/>
  <c r="R38" i="34"/>
  <c r="V17" i="35"/>
  <c r="W17" i="35"/>
  <c r="W16" i="34"/>
  <c r="L21" i="34"/>
  <c r="G48" i="34"/>
  <c r="D39" i="34"/>
  <c r="G51" i="34"/>
  <c r="J27" i="34"/>
  <c r="J48" i="34"/>
  <c r="B51" i="34"/>
  <c r="K39" i="34"/>
  <c r="K41" i="34"/>
  <c r="U21" i="34"/>
  <c r="U38" i="34"/>
  <c r="D31" i="34"/>
  <c r="D21" i="34"/>
  <c r="G37" i="34"/>
  <c r="AP99" i="27"/>
  <c r="AN99" i="27"/>
  <c r="U45" i="34"/>
  <c r="W45" i="34"/>
  <c r="U50" i="34"/>
  <c r="W50" i="34"/>
  <c r="B27" i="34"/>
  <c r="B37" i="34"/>
  <c r="B41" i="34"/>
  <c r="B48" i="34"/>
  <c r="B52" i="34"/>
  <c r="K21" i="34"/>
  <c r="K37" i="34"/>
  <c r="S21" i="34"/>
  <c r="L26" i="34"/>
  <c r="L40" i="34"/>
  <c r="L41" i="34"/>
  <c r="L47" i="34"/>
  <c r="D38" i="34"/>
  <c r="G40" i="34"/>
  <c r="G32" i="34"/>
  <c r="G27" i="34"/>
  <c r="D41" i="34"/>
  <c r="AF99" i="27"/>
  <c r="W52" i="34"/>
  <c r="K38" i="34"/>
  <c r="AD99" i="27"/>
  <c r="AC99" i="27"/>
  <c r="AH99" i="27"/>
  <c r="AI99" i="27"/>
  <c r="AQ99" i="27"/>
  <c r="B22" i="34"/>
  <c r="B32" i="34"/>
  <c r="B39" i="34"/>
  <c r="B46" i="34"/>
  <c r="Z99" i="27"/>
  <c r="L38" i="34"/>
  <c r="O31" i="34"/>
  <c r="T47" i="34"/>
  <c r="HB206" i="28"/>
  <c r="HB205" i="28"/>
  <c r="DJ206" i="28"/>
  <c r="CL206" i="28"/>
  <c r="GD206" i="28"/>
  <c r="FG206" i="28"/>
  <c r="FG205" i="28"/>
  <c r="AP205" i="28"/>
  <c r="AP206" i="28"/>
  <c r="EH205" i="28"/>
  <c r="T88" i="31"/>
  <c r="T87" i="31"/>
  <c r="T50" i="34"/>
  <c r="GF206" i="28"/>
  <c r="GF205" i="28"/>
  <c r="FI206" i="28"/>
  <c r="FI205" i="28"/>
  <c r="DL206" i="28"/>
  <c r="DL205" i="28"/>
  <c r="CN205" i="28"/>
  <c r="CN206" i="28"/>
  <c r="BP206" i="28"/>
  <c r="BP205" i="28"/>
  <c r="EJ206" i="28"/>
  <c r="EJ205" i="28"/>
  <c r="T48" i="34"/>
  <c r="T85" i="31"/>
  <c r="T45" i="34"/>
  <c r="T82" i="31"/>
  <c r="AR205" i="28"/>
  <c r="AR206" i="28"/>
  <c r="GU205" i="28"/>
  <c r="GU206" i="28"/>
  <c r="FW205" i="28"/>
  <c r="EZ206" i="28"/>
  <c r="EZ205" i="28"/>
  <c r="DC205" i="28"/>
  <c r="DC206" i="28"/>
  <c r="CE206" i="28"/>
  <c r="K50" i="34"/>
  <c r="K87" i="31"/>
  <c r="CE205" i="28"/>
  <c r="BG205" i="28"/>
  <c r="BG206" i="28"/>
  <c r="K45" i="34"/>
  <c r="K82" i="31"/>
  <c r="EA205" i="28"/>
  <c r="EA206" i="28"/>
  <c r="K48" i="34"/>
  <c r="K64" i="35"/>
  <c r="K85" i="31"/>
  <c r="AI205" i="28"/>
  <c r="AI206" i="28"/>
  <c r="BH134" i="22"/>
  <c r="BG135" i="22"/>
  <c r="BG153" i="22"/>
  <c r="BG175" i="22"/>
  <c r="BH182" i="22"/>
  <c r="BH203" i="22"/>
  <c r="CF138" i="22"/>
  <c r="CF147" i="22"/>
  <c r="CG151" i="22"/>
  <c r="CE153" i="22"/>
  <c r="CE171" i="22"/>
  <c r="CF188" i="22"/>
  <c r="CG196" i="22"/>
  <c r="L38" i="35"/>
  <c r="L46" i="35"/>
  <c r="L52" i="35"/>
  <c r="M44" i="35"/>
  <c r="M37" i="35"/>
  <c r="AJ153" i="22"/>
  <c r="L173" i="22"/>
  <c r="L154" i="22"/>
  <c r="L120" i="22"/>
  <c r="L29" i="30"/>
  <c r="AL143" i="22"/>
  <c r="AK176" i="22"/>
  <c r="M122" i="22"/>
  <c r="AK142" i="22"/>
  <c r="M138" i="22"/>
  <c r="HX17" i="22"/>
  <c r="BH126" i="22"/>
  <c r="BG127" i="22"/>
  <c r="BH130" i="22"/>
  <c r="BG131" i="22"/>
  <c r="BI136" i="22"/>
  <c r="BG149" i="22"/>
  <c r="BH174" i="22"/>
  <c r="BI182" i="22"/>
  <c r="CF117" i="22"/>
  <c r="CF122" i="22"/>
  <c r="CE123" i="22"/>
  <c r="CF126" i="22"/>
  <c r="CF130" i="22"/>
  <c r="CF134" i="22"/>
  <c r="CG140" i="22"/>
  <c r="CF143" i="22"/>
  <c r="CG147" i="22"/>
  <c r="CE149" i="22"/>
  <c r="CF160" i="22"/>
  <c r="CE166" i="22"/>
  <c r="CF192" i="22"/>
  <c r="M52" i="35"/>
  <c r="L164" i="22"/>
  <c r="L150" i="22"/>
  <c r="AJ120" i="22"/>
  <c r="M194" i="22"/>
  <c r="AJ195" i="22"/>
  <c r="K145" i="22"/>
  <c r="M126" i="22"/>
  <c r="BH122" i="22"/>
  <c r="BG145" i="22"/>
  <c r="BI153" i="22"/>
  <c r="BG157" i="22"/>
  <c r="BH170" i="22"/>
  <c r="BH192" i="22"/>
  <c r="CG153" i="22"/>
  <c r="M38" i="35"/>
  <c r="M22" i="35"/>
  <c r="L186" i="22"/>
  <c r="AK194" i="22"/>
  <c r="AK125" i="22"/>
  <c r="AJ127" i="22"/>
  <c r="AI135" i="22"/>
  <c r="K118" i="22"/>
  <c r="AJ118" i="22"/>
  <c r="K42" i="26"/>
  <c r="K153" i="22"/>
  <c r="K171" i="22"/>
  <c r="AJ171" i="22"/>
  <c r="AI171" i="22"/>
  <c r="AJ179" i="22"/>
  <c r="AI179" i="22"/>
  <c r="L73" i="31"/>
  <c r="L116" i="22"/>
  <c r="AK129" i="22"/>
  <c r="AJ129" i="22"/>
  <c r="AK137" i="22"/>
  <c r="L137" i="22"/>
  <c r="L146" i="22"/>
  <c r="AK146" i="22"/>
  <c r="AJ181" i="22"/>
  <c r="L181" i="22"/>
  <c r="L191" i="22"/>
  <c r="AK191" i="22"/>
  <c r="AJ202" i="22"/>
  <c r="AK202" i="22"/>
  <c r="L202" i="22"/>
  <c r="M117" i="22"/>
  <c r="AK164" i="22"/>
  <c r="M164" i="22"/>
  <c r="AK172" i="22"/>
  <c r="AK177" i="22"/>
  <c r="M22" i="29"/>
  <c r="M172" i="22"/>
  <c r="M33" i="29"/>
  <c r="AK180" i="22"/>
  <c r="M180" i="22"/>
  <c r="AK185" i="22"/>
  <c r="AL185" i="22"/>
  <c r="M185" i="22"/>
  <c r="AK199" i="22"/>
  <c r="M199" i="22"/>
  <c r="N115" i="22"/>
  <c r="AL124" i="22"/>
  <c r="N124" i="22"/>
  <c r="AL130" i="22"/>
  <c r="AM130" i="22"/>
  <c r="N130" i="22"/>
  <c r="AM147" i="22"/>
  <c r="AL147" i="22"/>
  <c r="AL151" i="22"/>
  <c r="N151" i="22"/>
  <c r="AL159" i="22"/>
  <c r="AM159" i="22"/>
  <c r="N159" i="22"/>
  <c r="AL168" i="22"/>
  <c r="N168" i="22"/>
  <c r="AL199" i="22"/>
  <c r="N199" i="22"/>
  <c r="BJ155" i="22"/>
  <c r="CH155" i="22"/>
  <c r="AM127" i="22"/>
  <c r="AN127" i="22"/>
  <c r="O127" i="22"/>
  <c r="AM136" i="22"/>
  <c r="AN136" i="22"/>
  <c r="O136" i="22"/>
  <c r="AM153" i="22"/>
  <c r="O153" i="22"/>
  <c r="AM157" i="22"/>
  <c r="AN157" i="22"/>
  <c r="AM168" i="22"/>
  <c r="O168" i="22"/>
  <c r="O189" i="22"/>
  <c r="AN189" i="22"/>
  <c r="AN193" i="22"/>
  <c r="AM193" i="22"/>
  <c r="P64" i="31"/>
  <c r="AN152" i="22"/>
  <c r="P152" i="22"/>
  <c r="AN175" i="22"/>
  <c r="P175" i="22"/>
  <c r="P186" i="22"/>
  <c r="AO186" i="22"/>
  <c r="P194" i="22"/>
  <c r="AO194" i="22"/>
  <c r="Q116" i="22"/>
  <c r="Q73" i="31"/>
  <c r="Q129" i="22"/>
  <c r="AP129" i="22"/>
  <c r="AP134" i="22"/>
  <c r="Q134" i="22"/>
  <c r="Q155" i="22"/>
  <c r="AP155" i="22"/>
  <c r="AO155" i="22"/>
  <c r="Q161" i="22"/>
  <c r="AO161" i="22"/>
  <c r="Q166" i="22"/>
  <c r="AO166" i="22"/>
  <c r="AP170" i="22"/>
  <c r="Q170" i="22"/>
  <c r="Q178" i="22"/>
  <c r="AO178" i="22"/>
  <c r="AP196" i="22"/>
  <c r="Q196" i="22"/>
  <c r="Q202" i="22"/>
  <c r="AO202" i="22"/>
  <c r="CF171" i="22"/>
  <c r="CF175" i="22"/>
  <c r="AL190" i="22"/>
  <c r="CI148" i="22"/>
  <c r="AM119" i="22"/>
  <c r="AN128" i="22"/>
  <c r="AM199" i="22"/>
  <c r="AO125" i="22"/>
  <c r="AO138" i="22"/>
  <c r="AO191" i="22"/>
  <c r="CK171" i="22"/>
  <c r="S28" i="29"/>
  <c r="S39" i="29"/>
  <c r="AP166" i="22"/>
  <c r="CL191" i="22"/>
  <c r="CM162" i="22"/>
  <c r="CM171" i="22"/>
  <c r="CM175" i="22"/>
  <c r="CM186" i="22"/>
  <c r="T38" i="26"/>
  <c r="U59" i="31"/>
  <c r="V59" i="31"/>
  <c r="W59" i="31"/>
  <c r="CG184" i="22"/>
  <c r="CM153" i="22"/>
  <c r="CM122" i="22"/>
  <c r="O40" i="34"/>
  <c r="BG137" i="22"/>
  <c r="BL171" i="22"/>
  <c r="BM172" i="22"/>
  <c r="Q39" i="29"/>
  <c r="BN191" i="22"/>
  <c r="CK118" i="22"/>
  <c r="CK123" i="22"/>
  <c r="P138" i="22"/>
  <c r="T35" i="30"/>
  <c r="BH171" i="22"/>
  <c r="BO186" i="22"/>
  <c r="HY18" i="22"/>
  <c r="BK176" i="22"/>
  <c r="BO162" i="22"/>
  <c r="AJ145" i="22"/>
  <c r="K32" i="34"/>
  <c r="K31" i="34"/>
  <c r="O36" i="34"/>
  <c r="HV17" i="22"/>
  <c r="HZ18" i="22"/>
  <c r="CI180" i="22"/>
  <c r="BO171" i="22"/>
  <c r="S39" i="34"/>
  <c r="K36" i="34"/>
  <c r="BH175" i="22"/>
  <c r="CK149" i="22"/>
  <c r="HW18" i="22"/>
  <c r="S46" i="35"/>
  <c r="BO175" i="22"/>
  <c r="CM131" i="22"/>
  <c r="AJ125" i="22"/>
  <c r="AJ133" i="22"/>
  <c r="AJ159" i="22"/>
  <c r="AJ168" i="22"/>
  <c r="AJ177" i="22"/>
  <c r="CF155" i="22"/>
  <c r="V37" i="30"/>
  <c r="U37" i="30"/>
  <c r="W37" i="30"/>
  <c r="T37" i="30"/>
  <c r="S37" i="30"/>
  <c r="K52" i="31"/>
  <c r="K22" i="35"/>
  <c r="CE115" i="22"/>
  <c r="BG115" i="22"/>
  <c r="CE119" i="22"/>
  <c r="BG119" i="22"/>
  <c r="CE124" i="22"/>
  <c r="BG124" i="22"/>
  <c r="CE128" i="22"/>
  <c r="BG128" i="22"/>
  <c r="CE132" i="22"/>
  <c r="BG132" i="22"/>
  <c r="CE142" i="22"/>
  <c r="CF142" i="22"/>
  <c r="CE146" i="22"/>
  <c r="CF146" i="22"/>
  <c r="CE150" i="22"/>
  <c r="CF150" i="22"/>
  <c r="CE154" i="22"/>
  <c r="CF154" i="22"/>
  <c r="CF158" i="22"/>
  <c r="BG158" i="22"/>
  <c r="CE158" i="22"/>
  <c r="CF162" i="22"/>
  <c r="CE162" i="22"/>
  <c r="BG162" i="22"/>
  <c r="CF167" i="22"/>
  <c r="CE167" i="22"/>
  <c r="CF172" i="22"/>
  <c r="L28" i="29"/>
  <c r="CE172" i="22"/>
  <c r="K28" i="29"/>
  <c r="K66" i="31"/>
  <c r="K45" i="35"/>
  <c r="K46" i="35"/>
  <c r="K67" i="31"/>
  <c r="K47" i="35"/>
  <c r="K68" i="31"/>
  <c r="AJ122" i="22"/>
  <c r="AK122" i="22"/>
  <c r="L122" i="22"/>
  <c r="AJ138" i="22"/>
  <c r="AK138" i="22"/>
  <c r="L138" i="22"/>
  <c r="AJ160" i="22"/>
  <c r="L160" i="22"/>
  <c r="AJ188" i="22"/>
  <c r="AK188" i="22"/>
  <c r="L188" i="22"/>
  <c r="CF118" i="22"/>
  <c r="BH118" i="22"/>
  <c r="CF123" i="22"/>
  <c r="BH123" i="22"/>
  <c r="L35" i="30"/>
  <c r="CG127" i="22"/>
  <c r="BH127" i="22"/>
  <c r="CF127" i="22"/>
  <c r="BH131" i="22"/>
  <c r="CG131" i="22"/>
  <c r="CF131" i="22"/>
  <c r="CF135" i="22"/>
  <c r="BH135" i="22"/>
  <c r="CG135" i="22"/>
  <c r="BH139" i="22"/>
  <c r="CG139" i="22"/>
  <c r="CF139" i="22"/>
  <c r="CG144" i="22"/>
  <c r="CF144" i="22"/>
  <c r="BH144" i="22"/>
  <c r="CG148" i="22"/>
  <c r="CF148" i="22"/>
  <c r="BH148" i="22"/>
  <c r="CG152" i="22"/>
  <c r="CF152" i="22"/>
  <c r="BH152" i="22"/>
  <c r="CG156" i="22"/>
  <c r="CF156" i="22"/>
  <c r="BH156" i="22"/>
  <c r="CG161" i="22"/>
  <c r="CF161" i="22"/>
  <c r="BH161" i="22"/>
  <c r="CG166" i="22"/>
  <c r="CF166" i="22"/>
  <c r="CF179" i="22"/>
  <c r="BH179" i="22"/>
  <c r="CG189" i="22"/>
  <c r="BH189" i="22"/>
  <c r="CF193" i="22"/>
  <c r="BH193" i="22"/>
  <c r="CG199" i="22"/>
  <c r="CF199" i="22"/>
  <c r="BH199" i="22"/>
  <c r="L66" i="31"/>
  <c r="L45" i="35"/>
  <c r="M54" i="31"/>
  <c r="HX18" i="22"/>
  <c r="M118" i="22"/>
  <c r="AK118" i="22"/>
  <c r="AL118" i="22"/>
  <c r="M127" i="22"/>
  <c r="AL127" i="22"/>
  <c r="AK127" i="22"/>
  <c r="M135" i="22"/>
  <c r="AK135" i="22"/>
  <c r="M144" i="22"/>
  <c r="AK144" i="22"/>
  <c r="M152" i="22"/>
  <c r="AK152" i="22"/>
  <c r="AK156" i="22"/>
  <c r="M156" i="22"/>
  <c r="AK186" i="22"/>
  <c r="AL186" i="22"/>
  <c r="M186" i="22"/>
  <c r="AK195" i="22"/>
  <c r="M195" i="22"/>
  <c r="M74" i="31"/>
  <c r="CG116" i="22"/>
  <c r="BI116" i="22"/>
  <c r="CG120" i="22"/>
  <c r="BI120" i="22"/>
  <c r="M37" i="30"/>
  <c r="CG125" i="22"/>
  <c r="BI125" i="22"/>
  <c r="CG129" i="22"/>
  <c r="BI129" i="22"/>
  <c r="CH129" i="22"/>
  <c r="CG133" i="22"/>
  <c r="CH133" i="22"/>
  <c r="BI133" i="22"/>
  <c r="CG137" i="22"/>
  <c r="BI137" i="22"/>
  <c r="CH137" i="22"/>
  <c r="CH142" i="22"/>
  <c r="CG142" i="22"/>
  <c r="BI142" i="22"/>
  <c r="CH146" i="22"/>
  <c r="CG146" i="22"/>
  <c r="BI146" i="22"/>
  <c r="CH150" i="22"/>
  <c r="CG150" i="22"/>
  <c r="BI150" i="22"/>
  <c r="CH154" i="22"/>
  <c r="CG154" i="22"/>
  <c r="BI154" i="22"/>
  <c r="CG158" i="22"/>
  <c r="CH158" i="22"/>
  <c r="BI158" i="22"/>
  <c r="CG162" i="22"/>
  <c r="CH162" i="22"/>
  <c r="BI162" i="22"/>
  <c r="CH171" i="22"/>
  <c r="CG171" i="22"/>
  <c r="BI171" i="22"/>
  <c r="CH175" i="22"/>
  <c r="CG175" i="22"/>
  <c r="BI175" i="22"/>
  <c r="CG179" i="22"/>
  <c r="CH179" i="22"/>
  <c r="CH188" i="22"/>
  <c r="BI188" i="22"/>
  <c r="CG188" i="22"/>
  <c r="CH203" i="22"/>
  <c r="BI203" i="22"/>
  <c r="CG203" i="22"/>
  <c r="N73" i="31"/>
  <c r="N116" i="22"/>
  <c r="AM148" i="22"/>
  <c r="N148" i="22"/>
  <c r="AL165" i="22"/>
  <c r="AL200" i="22"/>
  <c r="N74" i="31"/>
  <c r="CH116" i="22"/>
  <c r="BJ116" i="22"/>
  <c r="CH120" i="22"/>
  <c r="BJ120" i="22"/>
  <c r="N37" i="30"/>
  <c r="CI125" i="22"/>
  <c r="CH125" i="22"/>
  <c r="BJ125" i="22"/>
  <c r="CI131" i="22"/>
  <c r="CH131" i="22"/>
  <c r="BJ131" i="22"/>
  <c r="CI135" i="22"/>
  <c r="CH135" i="22"/>
  <c r="BJ135" i="22"/>
  <c r="CI139" i="22"/>
  <c r="CH139" i="22"/>
  <c r="BJ139" i="22"/>
  <c r="CI144" i="22"/>
  <c r="BJ144" i="22"/>
  <c r="CH148" i="22"/>
  <c r="BJ148" i="22"/>
  <c r="CI152" i="22"/>
  <c r="BJ152" i="22"/>
  <c r="CH156" i="22"/>
  <c r="CI156" i="22"/>
  <c r="CI165" i="22"/>
  <c r="BJ165" i="22"/>
  <c r="CI170" i="22"/>
  <c r="CH170" i="22"/>
  <c r="BJ170" i="22"/>
  <c r="CI174" i="22"/>
  <c r="CH174" i="22"/>
  <c r="BJ174" i="22"/>
  <c r="CH182" i="22"/>
  <c r="CI182" i="22"/>
  <c r="CI187" i="22"/>
  <c r="CH187" i="22"/>
  <c r="BJ187" i="22"/>
  <c r="CI191" i="22"/>
  <c r="BJ191" i="22"/>
  <c r="CH191" i="22"/>
  <c r="CI195" i="22"/>
  <c r="BJ195" i="22"/>
  <c r="CH195" i="22"/>
  <c r="CH200" i="22"/>
  <c r="CI200" i="22"/>
  <c r="O24" i="35"/>
  <c r="O115" i="22"/>
  <c r="O124" i="22"/>
  <c r="AM124" i="22"/>
  <c r="O132" i="22"/>
  <c r="AM132" i="22"/>
  <c r="AN132" i="22"/>
  <c r="O142" i="22"/>
  <c r="AM142" i="22"/>
  <c r="AN150" i="22"/>
  <c r="AM150" i="22"/>
  <c r="AM158" i="22"/>
  <c r="AN158" i="22"/>
  <c r="AN164" i="22"/>
  <c r="O164" i="22"/>
  <c r="AM173" i="22"/>
  <c r="AN173" i="22"/>
  <c r="AN186" i="22"/>
  <c r="O186" i="22"/>
  <c r="AN190" i="22"/>
  <c r="O190" i="22"/>
  <c r="AM194" i="22"/>
  <c r="AN194" i="22"/>
  <c r="CJ118" i="22"/>
  <c r="CI118" i="22"/>
  <c r="BK118" i="22"/>
  <c r="CJ123" i="22"/>
  <c r="CI123" i="22"/>
  <c r="BK123" i="22"/>
  <c r="O35" i="30"/>
  <c r="CJ131" i="22"/>
  <c r="BK131" i="22"/>
  <c r="CJ136" i="22"/>
  <c r="CI136" i="22"/>
  <c r="BK136" i="22"/>
  <c r="CJ140" i="22"/>
  <c r="CI140" i="22"/>
  <c r="CJ145" i="22"/>
  <c r="BK145" i="22"/>
  <c r="CI145" i="22"/>
  <c r="BK149" i="22"/>
  <c r="CI149" i="22"/>
  <c r="O43" i="26"/>
  <c r="BK153" i="22"/>
  <c r="CI153" i="22"/>
  <c r="CJ157" i="22"/>
  <c r="BK157" i="22"/>
  <c r="CJ162" i="22"/>
  <c r="BK162" i="22"/>
  <c r="CJ168" i="22"/>
  <c r="CI168" i="22"/>
  <c r="BK168" i="22"/>
  <c r="CJ172" i="22"/>
  <c r="P28" i="29"/>
  <c r="CI172" i="22"/>
  <c r="O28" i="29"/>
  <c r="CJ189" i="22"/>
  <c r="CI189" i="22"/>
  <c r="BK189" i="22"/>
  <c r="CJ193" i="22"/>
  <c r="BK193" i="22"/>
  <c r="CI193" i="22"/>
  <c r="CJ197" i="22"/>
  <c r="CI197" i="22"/>
  <c r="BK197" i="22"/>
  <c r="CJ202" i="22"/>
  <c r="CI202" i="22"/>
  <c r="P73" i="31"/>
  <c r="AO120" i="22"/>
  <c r="P120" i="22"/>
  <c r="P29" i="30"/>
  <c r="P134" i="22"/>
  <c r="AN134" i="22"/>
  <c r="P153" i="22"/>
  <c r="AN153" i="22"/>
  <c r="AO159" i="22"/>
  <c r="P159" i="22"/>
  <c r="P52" i="35"/>
  <c r="AO165" i="22"/>
  <c r="P165" i="22"/>
  <c r="P176" i="22"/>
  <c r="AN176" i="22"/>
  <c r="P187" i="22"/>
  <c r="AN187" i="22"/>
  <c r="P195" i="22"/>
  <c r="AO195" i="22"/>
  <c r="CK144" i="22"/>
  <c r="CJ144" i="22"/>
  <c r="P43" i="26"/>
  <c r="BL153" i="22"/>
  <c r="BL176" i="22"/>
  <c r="CJ176" i="22"/>
  <c r="IB18" i="22"/>
  <c r="Q54" i="31"/>
  <c r="AP126" i="22"/>
  <c r="Q126" i="22"/>
  <c r="Q130" i="22"/>
  <c r="AP130" i="22"/>
  <c r="Q144" i="22"/>
  <c r="AO144" i="22"/>
  <c r="Q148" i="22"/>
  <c r="AO148" i="22"/>
  <c r="AP162" i="22"/>
  <c r="AO162" i="22"/>
  <c r="Q192" i="22"/>
  <c r="AP192" i="22"/>
  <c r="AO192" i="22"/>
  <c r="CL145" i="22"/>
  <c r="CK145" i="22"/>
  <c r="Q43" i="26"/>
  <c r="CK153" i="22"/>
  <c r="BM164" i="22"/>
  <c r="CK164" i="22"/>
  <c r="CL176" i="22"/>
  <c r="BM176" i="22"/>
  <c r="BM189" i="22"/>
  <c r="CK189" i="22"/>
  <c r="BM193" i="22"/>
  <c r="CK193" i="22"/>
  <c r="CL203" i="22"/>
  <c r="CK203" i="22"/>
  <c r="BM203" i="22"/>
  <c r="BG142" i="22"/>
  <c r="BG146" i="22"/>
  <c r="BG150" i="22"/>
  <c r="BG154" i="22"/>
  <c r="BG176" i="22"/>
  <c r="CF119" i="22"/>
  <c r="CF128" i="22"/>
  <c r="CF132" i="22"/>
  <c r="CF115" i="22"/>
  <c r="CF137" i="22"/>
  <c r="CF176" i="22"/>
  <c r="R124" i="22"/>
  <c r="AP124" i="22"/>
  <c r="R153" i="22"/>
  <c r="R42" i="26"/>
  <c r="R187" i="22"/>
  <c r="AQ187" i="22"/>
  <c r="AQ195" i="22"/>
  <c r="AP195" i="22"/>
  <c r="CL117" i="22"/>
  <c r="BN117" i="22"/>
  <c r="CL124" i="22"/>
  <c r="CM124" i="22"/>
  <c r="BN124" i="22"/>
  <c r="CM128" i="22"/>
  <c r="CL128" i="22"/>
  <c r="CM132" i="22"/>
  <c r="CL132" i="22"/>
  <c r="BN132" i="22"/>
  <c r="CL139" i="22"/>
  <c r="CM139" i="22"/>
  <c r="CL161" i="22"/>
  <c r="BN161" i="22"/>
  <c r="CM161" i="22"/>
  <c r="CL166" i="22"/>
  <c r="BN166" i="22"/>
  <c r="CM166" i="22"/>
  <c r="CM173" i="22"/>
  <c r="CL173" i="22"/>
  <c r="BN179" i="22"/>
  <c r="CM179" i="22"/>
  <c r="CM187" i="22"/>
  <c r="BN187" i="22"/>
  <c r="CL187" i="22"/>
  <c r="BN195" i="22"/>
  <c r="CL195" i="22"/>
  <c r="BN200" i="22"/>
  <c r="CL200" i="22"/>
  <c r="S52" i="31"/>
  <c r="ID17" i="22"/>
  <c r="S22" i="35"/>
  <c r="S137" i="22"/>
  <c r="AQ137" i="22"/>
  <c r="S146" i="22"/>
  <c r="AQ146" i="22"/>
  <c r="S150" i="22"/>
  <c r="AQ150" i="22"/>
  <c r="AQ168" i="22"/>
  <c r="S168" i="22"/>
  <c r="S181" i="22"/>
  <c r="AQ181" i="22"/>
  <c r="S188" i="22"/>
  <c r="AQ188" i="22"/>
  <c r="S196" i="22"/>
  <c r="AQ196" i="22"/>
  <c r="S202" i="22"/>
  <c r="AQ202" i="22"/>
  <c r="BO117" i="22"/>
  <c r="CM117" i="22"/>
  <c r="BO145" i="22"/>
  <c r="CM145" i="22"/>
  <c r="BO149" i="22"/>
  <c r="CM149" i="22"/>
  <c r="S43" i="26"/>
  <c r="BO153" i="22"/>
  <c r="CM167" i="22"/>
  <c r="BO167" i="22"/>
  <c r="BO180" i="22"/>
  <c r="CM180" i="22"/>
  <c r="CM191" i="22"/>
  <c r="BO195" i="22"/>
  <c r="CM195" i="22"/>
  <c r="BO200" i="22"/>
  <c r="CM200" i="22"/>
  <c r="U64" i="31"/>
  <c r="U31" i="34"/>
  <c r="U36" i="34"/>
  <c r="U37" i="34"/>
  <c r="U32" i="34"/>
  <c r="U65" i="31"/>
  <c r="U45" i="35"/>
  <c r="U66" i="31"/>
  <c r="U46" i="35"/>
  <c r="U39" i="34"/>
  <c r="U47" i="35"/>
  <c r="U68" i="31"/>
  <c r="U40" i="34"/>
  <c r="U48" i="35"/>
  <c r="U41" i="34"/>
  <c r="U69" i="31"/>
  <c r="V44" i="35"/>
  <c r="V37" i="35"/>
  <c r="V48" i="35"/>
  <c r="Y36" i="34"/>
  <c r="W21" i="34"/>
  <c r="W52" i="31"/>
  <c r="R195" i="22"/>
  <c r="BO136" i="22"/>
  <c r="R43" i="26"/>
  <c r="BN139" i="22"/>
  <c r="CM126" i="22"/>
  <c r="BN128" i="22"/>
  <c r="CL179" i="22"/>
  <c r="U29" i="30"/>
  <c r="T29" i="30"/>
  <c r="V39" i="29"/>
  <c r="W39" i="29"/>
  <c r="U39" i="29"/>
  <c r="AI123" i="22"/>
  <c r="K123" i="22"/>
  <c r="K27" i="30"/>
  <c r="AJ123" i="22"/>
  <c r="AI131" i="22"/>
  <c r="K131" i="22"/>
  <c r="AJ131" i="22"/>
  <c r="AI140" i="22"/>
  <c r="K140" i="22"/>
  <c r="AI149" i="22"/>
  <c r="AJ149" i="22"/>
  <c r="K149" i="22"/>
  <c r="AJ157" i="22"/>
  <c r="AI157" i="22"/>
  <c r="AI166" i="22"/>
  <c r="AJ166" i="22"/>
  <c r="K166" i="22"/>
  <c r="K175" i="22"/>
  <c r="AJ175" i="22"/>
  <c r="BH155" i="22"/>
  <c r="AK168" i="22"/>
  <c r="AK159" i="22"/>
  <c r="AN125" i="22"/>
  <c r="AN129" i="22"/>
  <c r="AN144" i="22"/>
  <c r="AN149" i="22"/>
  <c r="AN171" i="22"/>
  <c r="AN191" i="22"/>
  <c r="AN200" i="22"/>
  <c r="CJ129" i="22"/>
  <c r="CJ134" i="22"/>
  <c r="CJ138" i="22"/>
  <c r="CJ149" i="22"/>
  <c r="CJ171" i="22"/>
  <c r="CJ180" i="22"/>
  <c r="AO179" i="22"/>
  <c r="CK127" i="22"/>
  <c r="CK172" i="22"/>
  <c r="Q28" i="29"/>
  <c r="AP149" i="22"/>
  <c r="AP161" i="22"/>
  <c r="AP173" i="22"/>
  <c r="AQ118" i="22"/>
  <c r="AQ127" i="22"/>
  <c r="AQ142" i="22"/>
  <c r="AQ154" i="22"/>
  <c r="AQ164" i="22"/>
  <c r="AQ176" i="22"/>
  <c r="AQ192" i="22"/>
  <c r="V29" i="30"/>
  <c r="K115" i="22"/>
  <c r="K36" i="35"/>
  <c r="K64" i="31"/>
  <c r="AJ119" i="22"/>
  <c r="AI119" i="22"/>
  <c r="K124" i="22"/>
  <c r="AJ124" i="22"/>
  <c r="AI124" i="22"/>
  <c r="AI128" i="22"/>
  <c r="K128" i="22"/>
  <c r="AJ128" i="22"/>
  <c r="AI132" i="22"/>
  <c r="AJ132" i="22"/>
  <c r="K132" i="22"/>
  <c r="AI137" i="22"/>
  <c r="AJ137" i="22"/>
  <c r="AI142" i="22"/>
  <c r="AJ142" i="22"/>
  <c r="AJ146" i="22"/>
  <c r="AI146" i="22"/>
  <c r="K150" i="22"/>
  <c r="AI150" i="22"/>
  <c r="AJ150" i="22"/>
  <c r="AI154" i="22"/>
  <c r="K154" i="22"/>
  <c r="AJ154" i="22"/>
  <c r="K158" i="22"/>
  <c r="AJ158" i="22"/>
  <c r="AI162" i="22"/>
  <c r="K162" i="22"/>
  <c r="AJ162" i="22"/>
  <c r="K167" i="22"/>
  <c r="AJ167" i="22"/>
  <c r="AJ172" i="22"/>
  <c r="L22" i="29"/>
  <c r="AI172" i="22"/>
  <c r="K22" i="29"/>
  <c r="K172" i="22"/>
  <c r="K33" i="29"/>
  <c r="AJ176" i="22"/>
  <c r="K176" i="22"/>
  <c r="K44" i="35"/>
  <c r="K37" i="35"/>
  <c r="K65" i="31"/>
  <c r="K69" i="31"/>
  <c r="K48" i="35"/>
  <c r="K59" i="31"/>
  <c r="L117" i="22"/>
  <c r="AK126" i="22"/>
  <c r="AJ126" i="22"/>
  <c r="L126" i="22"/>
  <c r="AK130" i="22"/>
  <c r="AJ130" i="22"/>
  <c r="AK134" i="22"/>
  <c r="L134" i="22"/>
  <c r="AJ134" i="22"/>
  <c r="AJ143" i="22"/>
  <c r="L143" i="22"/>
  <c r="AK143" i="22"/>
  <c r="AK147" i="22"/>
  <c r="AJ147" i="22"/>
  <c r="AK151" i="22"/>
  <c r="AJ151" i="22"/>
  <c r="L151" i="22"/>
  <c r="AK155" i="22"/>
  <c r="L155" i="22"/>
  <c r="AJ155" i="22"/>
  <c r="AJ165" i="22"/>
  <c r="L165" i="22"/>
  <c r="AK170" i="22"/>
  <c r="L170" i="22"/>
  <c r="L174" i="22"/>
  <c r="AJ174" i="22"/>
  <c r="AK174" i="22"/>
  <c r="AK178" i="22"/>
  <c r="AJ178" i="22"/>
  <c r="AJ182" i="22"/>
  <c r="L182" i="22"/>
  <c r="AK182" i="22"/>
  <c r="AJ192" i="22"/>
  <c r="AK192" i="22"/>
  <c r="L192" i="22"/>
  <c r="L196" i="22"/>
  <c r="AJ196" i="22"/>
  <c r="AK203" i="22"/>
  <c r="L203" i="22"/>
  <c r="L59" i="31"/>
  <c r="L38" i="26"/>
  <c r="AK123" i="22"/>
  <c r="AL123" i="22"/>
  <c r="M123" i="22"/>
  <c r="M27" i="30"/>
  <c r="AK131" i="22"/>
  <c r="M131" i="22"/>
  <c r="AK139" i="22"/>
  <c r="M139" i="22"/>
  <c r="AK148" i="22"/>
  <c r="M148" i="22"/>
  <c r="AK160" i="22"/>
  <c r="M160" i="22"/>
  <c r="AK165" i="22"/>
  <c r="AL169" i="22"/>
  <c r="AK169" i="22"/>
  <c r="AK173" i="22"/>
  <c r="M173" i="22"/>
  <c r="AL173" i="22"/>
  <c r="M181" i="22"/>
  <c r="AK181" i="22"/>
  <c r="AL181" i="22"/>
  <c r="AK190" i="22"/>
  <c r="M190" i="22"/>
  <c r="AK200" i="22"/>
  <c r="M200" i="22"/>
  <c r="CH167" i="22"/>
  <c r="CG167" i="22"/>
  <c r="CH193" i="22"/>
  <c r="CG193" i="22"/>
  <c r="CH197" i="22"/>
  <c r="CG197" i="22"/>
  <c r="N120" i="22"/>
  <c r="N29" i="30"/>
  <c r="AM120" i="22"/>
  <c r="AL125" i="22"/>
  <c r="N125" i="22"/>
  <c r="AM125" i="22"/>
  <c r="AM131" i="22"/>
  <c r="AL131" i="22"/>
  <c r="AM135" i="22"/>
  <c r="AL135" i="22"/>
  <c r="N135" i="22"/>
  <c r="AM139" i="22"/>
  <c r="AL139" i="22"/>
  <c r="AM144" i="22"/>
  <c r="AL144" i="22"/>
  <c r="N144" i="22"/>
  <c r="AL148" i="22"/>
  <c r="AM152" i="22"/>
  <c r="AL152" i="22"/>
  <c r="N152" i="22"/>
  <c r="AM156" i="22"/>
  <c r="AL156" i="22"/>
  <c r="AM160" i="22"/>
  <c r="AL160" i="22"/>
  <c r="N160" i="22"/>
  <c r="N165" i="22"/>
  <c r="AM165" i="22"/>
  <c r="AM170" i="22"/>
  <c r="AL170" i="22"/>
  <c r="N170" i="22"/>
  <c r="N174" i="22"/>
  <c r="AM174" i="22"/>
  <c r="AL178" i="22"/>
  <c r="AM178" i="22"/>
  <c r="N178" i="22"/>
  <c r="N182" i="22"/>
  <c r="AM182" i="22"/>
  <c r="AL187" i="22"/>
  <c r="N187" i="22"/>
  <c r="AM187" i="22"/>
  <c r="N191" i="22"/>
  <c r="AM191" i="22"/>
  <c r="AL195" i="22"/>
  <c r="N195" i="22"/>
  <c r="AM195" i="22"/>
  <c r="N200" i="22"/>
  <c r="AM200" i="22"/>
  <c r="CI160" i="22"/>
  <c r="CH160" i="22"/>
  <c r="N60" i="31"/>
  <c r="AM169" i="22"/>
  <c r="O169" i="22"/>
  <c r="Q122" i="22"/>
  <c r="AO122" i="22"/>
  <c r="Q139" i="22"/>
  <c r="AO139" i="22"/>
  <c r="Q167" i="22"/>
  <c r="AP167" i="22"/>
  <c r="Q188" i="22"/>
  <c r="AP188" i="22"/>
  <c r="AP203" i="22"/>
  <c r="Q203" i="22"/>
  <c r="AP128" i="22"/>
  <c r="AQ128" i="22"/>
  <c r="R139" i="22"/>
  <c r="AQ139" i="22"/>
  <c r="R166" i="22"/>
  <c r="AQ166" i="22"/>
  <c r="AP179" i="22"/>
  <c r="R191" i="22"/>
  <c r="AQ191" i="22"/>
  <c r="AP200" i="22"/>
  <c r="AQ200" i="22"/>
  <c r="AQ132" i="22"/>
  <c r="AQ172" i="22"/>
  <c r="S172" i="22"/>
  <c r="U22" i="35"/>
  <c r="U52" i="31"/>
  <c r="U43" i="35"/>
  <c r="U36" i="35"/>
  <c r="U44" i="35"/>
  <c r="U37" i="35"/>
  <c r="V22" i="35"/>
  <c r="V52" i="31"/>
  <c r="V21" i="34"/>
  <c r="V64" i="31"/>
  <c r="V36" i="34"/>
  <c r="V31" i="34"/>
  <c r="Y32" i="34"/>
  <c r="Y38" i="34"/>
  <c r="V65" i="31"/>
  <c r="V37" i="34"/>
  <c r="V32" i="34"/>
  <c r="V66" i="31"/>
  <c r="V38" i="34"/>
  <c r="V67" i="31"/>
  <c r="V39" i="34"/>
  <c r="V68" i="31"/>
  <c r="V40" i="34"/>
  <c r="Y41" i="34"/>
  <c r="V69" i="31"/>
  <c r="V41" i="34"/>
  <c r="W64" i="31"/>
  <c r="W36" i="34"/>
  <c r="W31" i="34"/>
  <c r="W43" i="35"/>
  <c r="W36" i="35"/>
  <c r="W65" i="31"/>
  <c r="W37" i="34"/>
  <c r="W32" i="34"/>
  <c r="W44" i="35"/>
  <c r="W37" i="35"/>
  <c r="W66" i="31"/>
  <c r="W38" i="34"/>
  <c r="W45" i="35"/>
  <c r="W67" i="31"/>
  <c r="W39" i="34"/>
  <c r="W46" i="35"/>
  <c r="W68" i="31"/>
  <c r="W40" i="34"/>
  <c r="W47" i="35"/>
  <c r="W69" i="31"/>
  <c r="W41" i="34"/>
  <c r="W48" i="35"/>
  <c r="O36" i="35"/>
  <c r="P24" i="35"/>
  <c r="P53" i="35"/>
  <c r="BM136" i="22"/>
  <c r="BL144" i="22"/>
  <c r="BM145" i="22"/>
  <c r="BM149" i="22"/>
  <c r="BM153" i="22"/>
  <c r="BL165" i="22"/>
  <c r="BM180" i="22"/>
  <c r="CJ116" i="22"/>
  <c r="CL118" i="22"/>
  <c r="CJ120" i="22"/>
  <c r="CL123" i="22"/>
  <c r="CJ125" i="22"/>
  <c r="CL153" i="22"/>
  <c r="CL164" i="22"/>
  <c r="CK176" i="22"/>
  <c r="CJ187" i="22"/>
  <c r="CL189" i="22"/>
  <c r="CJ191" i="22"/>
  <c r="CL193" i="22"/>
  <c r="CJ195" i="22"/>
  <c r="CJ200" i="22"/>
  <c r="AN199" i="22"/>
  <c r="AN159" i="22"/>
  <c r="AO149" i="22"/>
  <c r="P144" i="22"/>
  <c r="AN138" i="22"/>
  <c r="AO129" i="22"/>
  <c r="P125" i="22"/>
  <c r="AN120" i="22"/>
  <c r="AM186" i="22"/>
  <c r="AN137" i="22"/>
  <c r="AN119" i="22"/>
  <c r="P42" i="26"/>
  <c r="AM164" i="22"/>
  <c r="O154" i="22"/>
  <c r="O146" i="22"/>
  <c r="O137" i="22"/>
  <c r="O128" i="22"/>
  <c r="O119" i="22"/>
  <c r="AM190" i="22"/>
  <c r="P200" i="22"/>
  <c r="P191" i="22"/>
  <c r="P180" i="22"/>
  <c r="AO171" i="22"/>
  <c r="AN165" i="22"/>
  <c r="AO126" i="22"/>
  <c r="P54" i="31"/>
  <c r="AN181" i="22"/>
  <c r="O194" i="22"/>
  <c r="Q162" i="22"/>
  <c r="AP153" i="22"/>
  <c r="AQ124" i="22"/>
  <c r="Q171" i="22"/>
  <c r="R161" i="22"/>
  <c r="AP139" i="22"/>
  <c r="R200" i="22"/>
  <c r="R173" i="22"/>
  <c r="AQ179" i="22"/>
  <c r="Q152" i="22"/>
  <c r="O47" i="35"/>
  <c r="BM127" i="22"/>
  <c r="BM131" i="22"/>
  <c r="BL134" i="22"/>
  <c r="BL138" i="22"/>
  <c r="BL200" i="22"/>
  <c r="CK116" i="22"/>
  <c r="CK120" i="22"/>
  <c r="CK125" i="22"/>
  <c r="CK131" i="22"/>
  <c r="CK136" i="22"/>
  <c r="CK140" i="22"/>
  <c r="CJ159" i="22"/>
  <c r="CJ165" i="22"/>
  <c r="CK168" i="22"/>
  <c r="CK180" i="22"/>
  <c r="CK187" i="22"/>
  <c r="CK191" i="22"/>
  <c r="CK195" i="22"/>
  <c r="AO175" i="22"/>
  <c r="AO153" i="22"/>
  <c r="P149" i="22"/>
  <c r="AO134" i="22"/>
  <c r="P129" i="22"/>
  <c r="O64" i="31"/>
  <c r="O199" i="22"/>
  <c r="O173" i="22"/>
  <c r="AN203" i="22"/>
  <c r="AO152" i="22"/>
  <c r="AN142" i="22"/>
  <c r="AN124" i="22"/>
  <c r="O158" i="22"/>
  <c r="AM154" i="22"/>
  <c r="AM146" i="22"/>
  <c r="AM128" i="22"/>
  <c r="AO187" i="22"/>
  <c r="AN180" i="22"/>
  <c r="P171" i="22"/>
  <c r="AO130" i="22"/>
  <c r="AM181" i="22"/>
  <c r="R149" i="22"/>
  <c r="AP175" i="22"/>
  <c r="AP148" i="22"/>
  <c r="AP187" i="22"/>
  <c r="AQ149" i="22"/>
  <c r="AP132" i="22"/>
  <c r="Q197" i="22"/>
  <c r="Q135" i="22"/>
  <c r="W28" i="29"/>
  <c r="V28" i="29"/>
  <c r="U28" i="29"/>
  <c r="W35" i="30"/>
  <c r="V35" i="30"/>
  <c r="U35" i="30"/>
  <c r="O43" i="35"/>
  <c r="P39" i="35"/>
  <c r="P38" i="35"/>
  <c r="BL116" i="22"/>
  <c r="BL129" i="22"/>
  <c r="BL159" i="22"/>
  <c r="BM168" i="22"/>
  <c r="CJ153" i="22"/>
  <c r="Q38" i="26"/>
  <c r="P38" i="26"/>
  <c r="P60" i="31"/>
  <c r="P116" i="22"/>
  <c r="AO188" i="22"/>
  <c r="AO197" i="22"/>
  <c r="AO156" i="22"/>
  <c r="O150" i="22"/>
  <c r="O203" i="22"/>
  <c r="AN195" i="22"/>
  <c r="AO176" i="22"/>
  <c r="AO135" i="22"/>
  <c r="AP145" i="22"/>
  <c r="AQ173" i="22"/>
  <c r="AQ153" i="22"/>
  <c r="AP183" i="22"/>
  <c r="AP156" i="22"/>
  <c r="AP144" i="22"/>
  <c r="AP122" i="22"/>
  <c r="R128" i="22"/>
  <c r="Q183" i="22"/>
  <c r="AP191" i="22"/>
  <c r="AQ145" i="22"/>
  <c r="S123" i="22"/>
  <c r="W29" i="30"/>
  <c r="CL205" i="28"/>
  <c r="BM99" i="27"/>
  <c r="CK99" i="27"/>
  <c r="W27" i="30"/>
  <c r="V27" i="30"/>
  <c r="U27" i="30"/>
  <c r="S27" i="30"/>
  <c r="T27" i="30"/>
  <c r="U33" i="29"/>
  <c r="T33" i="29"/>
  <c r="W33" i="29"/>
  <c r="S33" i="29"/>
  <c r="V33" i="29"/>
  <c r="T22" i="29"/>
  <c r="W22" i="29"/>
  <c r="S22" i="29"/>
  <c r="V22" i="29"/>
  <c r="U22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test</author>
    <author>Stallmann, Judith I.</author>
  </authors>
  <commentList>
    <comment ref="R21" authorId="0" shapeId="0" xr:uid="{00000000-0006-0000-0D00-00000100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AP21" authorId="0" shapeId="0" xr:uid="{00000000-0006-0000-0D00-00000200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BN21" authorId="0" shapeId="0" xr:uid="{00000000-0006-0000-0D00-00000300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CL21" authorId="0" shapeId="0" xr:uid="{00000000-0006-0000-0D00-00000400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DJ21" authorId="0" shapeId="0" xr:uid="{00000000-0006-0000-0D00-00000500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EH21" authorId="0" shapeId="0" xr:uid="{00000000-0006-0000-0D00-00000600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FF21" authorId="0" shapeId="0" xr:uid="{00000000-0006-0000-0D00-00000700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GD21" authorId="0" shapeId="0" xr:uid="{00000000-0006-0000-0D00-00000800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K23" authorId="1" shapeId="0" xr:uid="{00000000-0006-0000-0D00-000009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L23" authorId="1" shapeId="0" xr:uid="{00000000-0006-0000-0D00-00000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M23" authorId="0" shapeId="0" xr:uid="{00000000-0006-0000-0D00-00000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23" authorId="0" shapeId="0" xr:uid="{00000000-0006-0000-0D00-00000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23" authorId="0" shapeId="0" xr:uid="{00000000-0006-0000-0D00-00000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23" authorId="0" shapeId="0" xr:uid="{00000000-0006-0000-0D00-00000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23" authorId="1" shapeId="0" xr:uid="{00000000-0006-0000-0D00-00000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R23" authorId="0" shapeId="0" xr:uid="{00000000-0006-0000-0D00-00001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23" authorId="0" shapeId="0" xr:uid="{00000000-0006-0000-0D00-00001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T23" authorId="0" shapeId="0" xr:uid="{00000000-0006-0000-0D00-00001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U23" authorId="1" shapeId="0" xr:uid="{00000000-0006-0000-0D00-00001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V23" authorId="1" shapeId="0" xr:uid="{00000000-0006-0000-0D00-00001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W23" authorId="1" shapeId="0" xr:uid="{00000000-0006-0000-0D00-000015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I23" authorId="1" shapeId="0" xr:uid="{00000000-0006-0000-0D00-000016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J23" authorId="1" shapeId="0" xr:uid="{00000000-0006-0000-0D00-00001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K23" authorId="0" shapeId="0" xr:uid="{00000000-0006-0000-0D00-00001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L23" authorId="0" shapeId="0" xr:uid="{00000000-0006-0000-0D00-00001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M23" authorId="0" shapeId="0" xr:uid="{00000000-0006-0000-0D00-00001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N23" authorId="0" shapeId="0" xr:uid="{00000000-0006-0000-0D00-00001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O23" authorId="1" shapeId="0" xr:uid="{00000000-0006-0000-0D00-00001C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P23" authorId="0" shapeId="0" xr:uid="{00000000-0006-0000-0D00-00001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Q23" authorId="0" shapeId="0" xr:uid="{00000000-0006-0000-0D00-00001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R23" authorId="0" shapeId="0" xr:uid="{00000000-0006-0000-0D00-00001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S23" authorId="1" shapeId="0" xr:uid="{00000000-0006-0000-0D00-00002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T23" authorId="1" shapeId="0" xr:uid="{00000000-0006-0000-0D00-00002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U23" authorId="1" shapeId="0" xr:uid="{00000000-0006-0000-0D00-000022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G23" authorId="1" shapeId="0" xr:uid="{00000000-0006-0000-0D00-00002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H23" authorId="1" shapeId="0" xr:uid="{00000000-0006-0000-0D00-00002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I23" authorId="0" shapeId="0" xr:uid="{00000000-0006-0000-0D00-00002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J23" authorId="0" shapeId="0" xr:uid="{00000000-0006-0000-0D00-00002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K23" authorId="0" shapeId="0" xr:uid="{00000000-0006-0000-0D00-00002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L23" authorId="0" shapeId="0" xr:uid="{00000000-0006-0000-0D00-00002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M23" authorId="1" shapeId="0" xr:uid="{00000000-0006-0000-0D00-000029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N23" authorId="0" shapeId="0" xr:uid="{00000000-0006-0000-0D00-00002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O23" authorId="0" shapeId="0" xr:uid="{00000000-0006-0000-0D00-00002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P23" authorId="0" shapeId="0" xr:uid="{00000000-0006-0000-0D00-00002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Q23" authorId="1" shapeId="0" xr:uid="{00000000-0006-0000-0D00-00002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R23" authorId="1" shapeId="0" xr:uid="{00000000-0006-0000-0D00-00002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S23" authorId="1" shapeId="0" xr:uid="{00000000-0006-0000-0D00-00002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E23" authorId="1" shapeId="0" xr:uid="{00000000-0006-0000-0D00-00003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F23" authorId="1" shapeId="0" xr:uid="{00000000-0006-0000-0D00-00003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G23" authorId="0" shapeId="0" xr:uid="{00000000-0006-0000-0D00-00003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H23" authorId="0" shapeId="0" xr:uid="{00000000-0006-0000-0D00-00003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I23" authorId="0" shapeId="0" xr:uid="{00000000-0006-0000-0D00-00003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J23" authorId="0" shapeId="0" xr:uid="{00000000-0006-0000-0D00-00003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K23" authorId="1" shapeId="0" xr:uid="{00000000-0006-0000-0D00-000036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L23" authorId="0" shapeId="0" xr:uid="{00000000-0006-0000-0D00-00003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M23" authorId="0" shapeId="0" xr:uid="{00000000-0006-0000-0D00-00003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N23" authorId="0" shapeId="0" xr:uid="{00000000-0006-0000-0D00-00003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O23" authorId="1" shapeId="0" xr:uid="{00000000-0006-0000-0D00-00003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P23" authorId="1" shapeId="0" xr:uid="{00000000-0006-0000-0D00-00003B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Q23" authorId="1" shapeId="0" xr:uid="{00000000-0006-0000-0D00-00003C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C23" authorId="1" shapeId="0" xr:uid="{00000000-0006-0000-0D00-00003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D23" authorId="1" shapeId="0" xr:uid="{00000000-0006-0000-0D00-00003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E23" authorId="0" shapeId="0" xr:uid="{00000000-0006-0000-0D00-00003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F23" authorId="0" shapeId="0" xr:uid="{00000000-0006-0000-0D00-00004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G23" authorId="0" shapeId="0" xr:uid="{00000000-0006-0000-0D00-00004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H23" authorId="0" shapeId="0" xr:uid="{00000000-0006-0000-0D00-00004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I23" authorId="1" shapeId="0" xr:uid="{00000000-0006-0000-0D00-00004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J23" authorId="0" shapeId="0" xr:uid="{00000000-0006-0000-0D00-00004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K23" authorId="0" shapeId="0" xr:uid="{00000000-0006-0000-0D00-00004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L23" authorId="0" shapeId="0" xr:uid="{00000000-0006-0000-0D00-00004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M23" authorId="1" shapeId="0" xr:uid="{00000000-0006-0000-0D00-00004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N23" authorId="1" shapeId="0" xr:uid="{00000000-0006-0000-0D00-000048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O23" authorId="1" shapeId="0" xr:uid="{00000000-0006-0000-0D00-000049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A23" authorId="1" shapeId="0" xr:uid="{00000000-0006-0000-0D00-00004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B23" authorId="1" shapeId="0" xr:uid="{00000000-0006-0000-0D00-00004B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C23" authorId="0" shapeId="0" xr:uid="{00000000-0006-0000-0D00-00004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D23" authorId="0" shapeId="0" xr:uid="{00000000-0006-0000-0D00-00004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E23" authorId="0" shapeId="0" xr:uid="{00000000-0006-0000-0D00-00004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F23" authorId="0" shapeId="0" xr:uid="{00000000-0006-0000-0D00-00004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G23" authorId="1" shapeId="0" xr:uid="{00000000-0006-0000-0D00-00005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H23" authorId="0" shapeId="0" xr:uid="{00000000-0006-0000-0D00-00005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I23" authorId="0" shapeId="0" xr:uid="{00000000-0006-0000-0D00-00005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J23" authorId="0" shapeId="0" xr:uid="{00000000-0006-0000-0D00-00005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K23" authorId="1" shapeId="0" xr:uid="{00000000-0006-0000-0D00-00005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L23" authorId="1" shapeId="0" xr:uid="{00000000-0006-0000-0D00-000055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M23" authorId="1" shapeId="0" xr:uid="{00000000-0006-0000-0D00-000056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Y23" authorId="1" shapeId="0" xr:uid="{00000000-0006-0000-0D00-00005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Z23" authorId="1" shapeId="0" xr:uid="{00000000-0006-0000-0D00-000058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A23" authorId="0" shapeId="0" xr:uid="{00000000-0006-0000-0D00-00005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B23" authorId="0" shapeId="0" xr:uid="{00000000-0006-0000-0D00-00005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C23" authorId="0" shapeId="0" xr:uid="{00000000-0006-0000-0D00-00005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D23" authorId="0" shapeId="0" xr:uid="{00000000-0006-0000-0D00-00005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E23" authorId="1" shapeId="0" xr:uid="{00000000-0006-0000-0D00-00005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F23" authorId="0" shapeId="0" xr:uid="{00000000-0006-0000-0D00-00005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G23" authorId="0" shapeId="0" xr:uid="{00000000-0006-0000-0D00-00005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H23" authorId="0" shapeId="0" xr:uid="{00000000-0006-0000-0D00-00006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I23" authorId="1" shapeId="0" xr:uid="{00000000-0006-0000-0D00-00006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J23" authorId="1" shapeId="0" xr:uid="{00000000-0006-0000-0D00-000062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K23" authorId="1" shapeId="0" xr:uid="{00000000-0006-0000-0D00-00006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W23" authorId="1" shapeId="0" xr:uid="{00000000-0006-0000-0D00-00006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X23" authorId="1" shapeId="0" xr:uid="{00000000-0006-0000-0D00-000065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Y23" authorId="0" shapeId="0" xr:uid="{00000000-0006-0000-0D00-00006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Z23" authorId="0" shapeId="0" xr:uid="{00000000-0006-0000-0D00-00006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A23" authorId="0" shapeId="0" xr:uid="{00000000-0006-0000-0D00-00006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B23" authorId="0" shapeId="0" xr:uid="{00000000-0006-0000-0D00-00006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C23" authorId="1" shapeId="0" xr:uid="{00000000-0006-0000-0D00-00006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GD23" authorId="0" shapeId="0" xr:uid="{00000000-0006-0000-0D00-00006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E23" authorId="0" shapeId="0" xr:uid="{00000000-0006-0000-0D00-00006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F23" authorId="0" shapeId="0" xr:uid="{00000000-0006-0000-0D00-00006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G23" authorId="1" shapeId="0" xr:uid="{00000000-0006-0000-0D00-00006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GH23" authorId="1" shapeId="0" xr:uid="{00000000-0006-0000-0D00-00006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GI23" authorId="1" shapeId="0" xr:uid="{00000000-0006-0000-0D00-00007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R24" authorId="0" shapeId="0" xr:uid="{00000000-0006-0000-0D00-000071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BP24" authorId="0" shapeId="0" xr:uid="{00000000-0006-0000-0D00-000072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CN24" authorId="0" shapeId="0" xr:uid="{00000000-0006-0000-0D00-000073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DL24" authorId="0" shapeId="0" xr:uid="{00000000-0006-0000-0D00-000074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EJ24" authorId="0" shapeId="0" xr:uid="{00000000-0006-0000-0D00-000075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FH24" authorId="0" shapeId="0" xr:uid="{00000000-0006-0000-0D00-000076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GF24" authorId="0" shapeId="0" xr:uid="{00000000-0006-0000-0D00-000077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R25" authorId="0" shapeId="0" xr:uid="{00000000-0006-0000-0D00-000078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AP25" authorId="0" shapeId="0" xr:uid="{00000000-0006-0000-0D00-000079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BN25" authorId="0" shapeId="0" xr:uid="{00000000-0006-0000-0D00-00007A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CL25" authorId="0" shapeId="0" xr:uid="{00000000-0006-0000-0D00-00007B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DJ25" authorId="0" shapeId="0" xr:uid="{00000000-0006-0000-0D00-00007C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EH25" authorId="0" shapeId="0" xr:uid="{00000000-0006-0000-0D00-00007D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FF25" authorId="0" shapeId="0" xr:uid="{00000000-0006-0000-0D00-00007E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GC25" authorId="1" shapeId="0" xr:uid="{00000000-0006-0000-0D00-00007F000000}">
      <text>
        <r>
          <rPr>
            <sz val="9"/>
            <color indexed="81"/>
            <rFont val="Tahoma"/>
            <charset val="1"/>
          </rPr>
          <t>Could not find tab 'GR Sum.' in source file.</t>
        </r>
      </text>
    </comment>
    <comment ref="GD25" authorId="0" shapeId="0" xr:uid="{00000000-0006-0000-0D00-000080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T26" authorId="0" shapeId="0" xr:uid="{00000000-0006-0000-0D00-000081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AR26" authorId="0" shapeId="0" xr:uid="{00000000-0006-0000-0D00-000082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BP26" authorId="0" shapeId="0" xr:uid="{00000000-0006-0000-0D00-000083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CN26" authorId="0" shapeId="0" xr:uid="{00000000-0006-0000-0D00-000084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DL26" authorId="0" shapeId="0" xr:uid="{00000000-0006-0000-0D00-000085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EJ26" authorId="0" shapeId="0" xr:uid="{00000000-0006-0000-0D00-000086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FH26" authorId="0" shapeId="0" xr:uid="{00000000-0006-0000-0D00-000087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GF26" authorId="0" shapeId="0" xr:uid="{00000000-0006-0000-0D00-000088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N29" authorId="0" shapeId="0" xr:uid="{00000000-0006-0000-0D00-000089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AL29" authorId="0" shapeId="0" xr:uid="{00000000-0006-0000-0D00-00008A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BJ29" authorId="0" shapeId="0" xr:uid="{00000000-0006-0000-0D00-00008B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CH29" authorId="0" shapeId="0" xr:uid="{00000000-0006-0000-0D00-00008C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DF29" authorId="0" shapeId="0" xr:uid="{00000000-0006-0000-0D00-00008D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ED29" authorId="0" shapeId="0" xr:uid="{00000000-0006-0000-0D00-00008E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FB29" authorId="0" shapeId="0" xr:uid="{00000000-0006-0000-0D00-00008F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FZ29" authorId="0" shapeId="0" xr:uid="{00000000-0006-0000-0D00-000090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GC29" authorId="1" shapeId="0" xr:uid="{00000000-0006-0000-0D00-000091000000}">
      <text>
        <r>
          <rPr>
            <sz val="9"/>
            <color indexed="81"/>
            <rFont val="Tahoma"/>
            <charset val="1"/>
          </rPr>
          <t>Could not find tab 'GR Sum.' in source file.</t>
        </r>
      </text>
    </comment>
    <comment ref="N30" authorId="0" shapeId="0" xr:uid="{00000000-0006-0000-0D00-000092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S30" authorId="0" shapeId="0" xr:uid="{00000000-0006-0000-0D00-000093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T30" authorId="0" shapeId="0" xr:uid="{00000000-0006-0000-0D00-000094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U30" authorId="1" shapeId="0" xr:uid="{00000000-0006-0000-0D00-000095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V30" authorId="1" shapeId="0" xr:uid="{00000000-0006-0000-0D00-000096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W30" authorId="1" shapeId="0" xr:uid="{00000000-0006-0000-0D00-000097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AL30" authorId="0" shapeId="0" xr:uid="{00000000-0006-0000-0D00-000098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AQ30" authorId="0" shapeId="0" xr:uid="{00000000-0006-0000-0D00-000099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AR30" authorId="0" shapeId="0" xr:uid="{00000000-0006-0000-0D00-00009A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AS30" authorId="1" shapeId="0" xr:uid="{00000000-0006-0000-0D00-00009B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AT30" authorId="1" shapeId="0" xr:uid="{00000000-0006-0000-0D00-00009C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AU30" authorId="1" shapeId="0" xr:uid="{00000000-0006-0000-0D00-00009D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BJ30" authorId="0" shapeId="0" xr:uid="{00000000-0006-0000-0D00-00009E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BO30" authorId="0" shapeId="0" xr:uid="{00000000-0006-0000-0D00-00009F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BP30" authorId="0" shapeId="0" xr:uid="{00000000-0006-0000-0D00-0000A0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BQ30" authorId="1" shapeId="0" xr:uid="{00000000-0006-0000-0D00-0000A1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BR30" authorId="1" shapeId="0" xr:uid="{00000000-0006-0000-0D00-0000A2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BS30" authorId="1" shapeId="0" xr:uid="{00000000-0006-0000-0D00-0000A3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CH30" authorId="0" shapeId="0" xr:uid="{00000000-0006-0000-0D00-0000A4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CM30" authorId="0" shapeId="0" xr:uid="{00000000-0006-0000-0D00-0000A5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CN30" authorId="0" shapeId="0" xr:uid="{00000000-0006-0000-0D00-0000A6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CO30" authorId="1" shapeId="0" xr:uid="{00000000-0006-0000-0D00-0000A7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CP30" authorId="1" shapeId="0" xr:uid="{00000000-0006-0000-0D00-0000A8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CQ30" authorId="1" shapeId="0" xr:uid="{00000000-0006-0000-0D00-0000A9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DF30" authorId="0" shapeId="0" xr:uid="{00000000-0006-0000-0D00-0000AA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DK30" authorId="0" shapeId="0" xr:uid="{00000000-0006-0000-0D00-0000AB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DL30" authorId="0" shapeId="0" xr:uid="{00000000-0006-0000-0D00-0000AC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DM30" authorId="1" shapeId="0" xr:uid="{00000000-0006-0000-0D00-0000AD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DN30" authorId="1" shapeId="0" xr:uid="{00000000-0006-0000-0D00-0000AE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DO30" authorId="1" shapeId="0" xr:uid="{00000000-0006-0000-0D00-0000AF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ED30" authorId="0" shapeId="0" xr:uid="{00000000-0006-0000-0D00-0000B0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EI30" authorId="0" shapeId="0" xr:uid="{00000000-0006-0000-0D00-0000B1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EJ30" authorId="0" shapeId="0" xr:uid="{00000000-0006-0000-0D00-0000B2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EK30" authorId="1" shapeId="0" xr:uid="{00000000-0006-0000-0D00-0000B3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EL30" authorId="1" shapeId="0" xr:uid="{00000000-0006-0000-0D00-0000B4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EM30" authorId="1" shapeId="0" xr:uid="{00000000-0006-0000-0D00-0000B5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B30" authorId="0" shapeId="0" xr:uid="{00000000-0006-0000-0D00-0000B6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FG30" authorId="0" shapeId="0" xr:uid="{00000000-0006-0000-0D00-0000B7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FH30" authorId="0" shapeId="0" xr:uid="{00000000-0006-0000-0D00-0000B8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FI30" authorId="1" shapeId="0" xr:uid="{00000000-0006-0000-0D00-0000B9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J30" authorId="1" shapeId="0" xr:uid="{00000000-0006-0000-0D00-0000BA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K30" authorId="1" shapeId="0" xr:uid="{00000000-0006-0000-0D00-0000BB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Z30" authorId="0" shapeId="0" xr:uid="{00000000-0006-0000-0D00-0000BC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GE30" authorId="0" shapeId="0" xr:uid="{00000000-0006-0000-0D00-0000BD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GF30" authorId="0" shapeId="0" xr:uid="{00000000-0006-0000-0D00-0000BE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GG30" authorId="1" shapeId="0" xr:uid="{00000000-0006-0000-0D00-0000BF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GH30" authorId="1" shapeId="0" xr:uid="{00000000-0006-0000-0D00-0000C0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GI30" authorId="1" shapeId="0" xr:uid="{00000000-0006-0000-0D00-0000C1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GC31" authorId="1" shapeId="0" xr:uid="{00000000-0006-0000-0D00-0000C2000000}">
      <text>
        <r>
          <rPr>
            <sz val="9"/>
            <color indexed="81"/>
            <rFont val="Tahoma"/>
            <charset val="1"/>
          </rPr>
          <t>Could not find tab 'GR Sum.' in source file.</t>
        </r>
      </text>
    </comment>
    <comment ref="GE31" authorId="0" shapeId="0" xr:uid="{00000000-0006-0000-0D00-0000C300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O35" authorId="0" shapeId="0" xr:uid="{00000000-0006-0000-0D00-0000C4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P35" authorId="0" shapeId="0" xr:uid="{00000000-0006-0000-0D00-0000C5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35" authorId="1" shapeId="0" xr:uid="{00000000-0006-0000-0D00-0000C6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R35" authorId="0" shapeId="0" xr:uid="{00000000-0006-0000-0D00-0000C7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35" authorId="0" shapeId="0" xr:uid="{00000000-0006-0000-0D00-0000C8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T35" authorId="0" shapeId="0" xr:uid="{00000000-0006-0000-0D00-0000C9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U35" authorId="1" shapeId="0" xr:uid="{00000000-0006-0000-0D00-0000CA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V35" authorId="1" shapeId="0" xr:uid="{00000000-0006-0000-0D00-0000CB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W35" authorId="1" shapeId="0" xr:uid="{00000000-0006-0000-0D00-0000CC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M35" authorId="0" shapeId="0" xr:uid="{00000000-0006-0000-0D00-0000CD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N35" authorId="0" shapeId="0" xr:uid="{00000000-0006-0000-0D00-0000CE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O35" authorId="1" shapeId="0" xr:uid="{00000000-0006-0000-0D00-0000CF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P35" authorId="0" shapeId="0" xr:uid="{00000000-0006-0000-0D00-0000D0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Q35" authorId="0" shapeId="0" xr:uid="{00000000-0006-0000-0D00-0000D1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R35" authorId="0" shapeId="0" xr:uid="{00000000-0006-0000-0D00-0000D2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S35" authorId="1" shapeId="0" xr:uid="{00000000-0006-0000-0D00-0000D3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T35" authorId="1" shapeId="0" xr:uid="{00000000-0006-0000-0D00-0000D4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U35" authorId="1" shapeId="0" xr:uid="{00000000-0006-0000-0D00-0000D5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K35" authorId="0" shapeId="0" xr:uid="{00000000-0006-0000-0D00-0000D6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L35" authorId="0" shapeId="0" xr:uid="{00000000-0006-0000-0D00-0000D7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M35" authorId="1" shapeId="0" xr:uid="{00000000-0006-0000-0D00-0000D8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N35" authorId="0" shapeId="0" xr:uid="{00000000-0006-0000-0D00-0000D9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O35" authorId="0" shapeId="0" xr:uid="{00000000-0006-0000-0D00-0000DA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P35" authorId="0" shapeId="0" xr:uid="{00000000-0006-0000-0D00-0000DB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Q35" authorId="1" shapeId="0" xr:uid="{00000000-0006-0000-0D00-0000DC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R35" authorId="1" shapeId="0" xr:uid="{00000000-0006-0000-0D00-0000DD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S35" authorId="1" shapeId="0" xr:uid="{00000000-0006-0000-0D00-0000DE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I35" authorId="0" shapeId="0" xr:uid="{00000000-0006-0000-0D00-0000DF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J35" authorId="0" shapeId="0" xr:uid="{00000000-0006-0000-0D00-0000E0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K35" authorId="1" shapeId="0" xr:uid="{00000000-0006-0000-0D00-0000E1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L35" authorId="0" shapeId="0" xr:uid="{00000000-0006-0000-0D00-0000E2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M35" authorId="0" shapeId="0" xr:uid="{00000000-0006-0000-0D00-0000E3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N35" authorId="0" shapeId="0" xr:uid="{00000000-0006-0000-0D00-0000E4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O35" authorId="1" shapeId="0" xr:uid="{00000000-0006-0000-0D00-0000E5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P35" authorId="1" shapeId="0" xr:uid="{00000000-0006-0000-0D00-0000E6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Q35" authorId="1" shapeId="0" xr:uid="{00000000-0006-0000-0D00-0000E7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G35" authorId="0" shapeId="0" xr:uid="{00000000-0006-0000-0D00-0000E8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H35" authorId="0" shapeId="0" xr:uid="{00000000-0006-0000-0D00-0000E9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I35" authorId="1" shapeId="0" xr:uid="{00000000-0006-0000-0D00-0000EA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J35" authorId="0" shapeId="0" xr:uid="{00000000-0006-0000-0D00-0000EB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K35" authorId="0" shapeId="0" xr:uid="{00000000-0006-0000-0D00-0000EC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L35" authorId="0" shapeId="0" xr:uid="{00000000-0006-0000-0D00-0000ED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M35" authorId="1" shapeId="0" xr:uid="{00000000-0006-0000-0D00-0000EE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N35" authorId="1" shapeId="0" xr:uid="{00000000-0006-0000-0D00-0000EF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O35" authorId="1" shapeId="0" xr:uid="{00000000-0006-0000-0D00-0000F0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E35" authorId="0" shapeId="0" xr:uid="{00000000-0006-0000-0D00-0000F1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F35" authorId="0" shapeId="0" xr:uid="{00000000-0006-0000-0D00-0000F2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G35" authorId="1" shapeId="0" xr:uid="{00000000-0006-0000-0D00-0000F3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H35" authorId="0" shapeId="0" xr:uid="{00000000-0006-0000-0D00-0000F4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I35" authorId="0" shapeId="0" xr:uid="{00000000-0006-0000-0D00-0000F5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J35" authorId="0" shapeId="0" xr:uid="{00000000-0006-0000-0D00-0000F6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K35" authorId="1" shapeId="0" xr:uid="{00000000-0006-0000-0D00-0000F7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L35" authorId="1" shapeId="0" xr:uid="{00000000-0006-0000-0D00-0000F8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M35" authorId="1" shapeId="0" xr:uid="{00000000-0006-0000-0D00-0000F9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C35" authorId="0" shapeId="0" xr:uid="{00000000-0006-0000-0D00-0000FA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D35" authorId="0" shapeId="0" xr:uid="{00000000-0006-0000-0D00-0000FB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E35" authorId="1" shapeId="0" xr:uid="{00000000-0006-0000-0D00-0000FC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F35" authorId="0" shapeId="0" xr:uid="{00000000-0006-0000-0D00-0000FD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G35" authorId="0" shapeId="0" xr:uid="{00000000-0006-0000-0D00-0000FE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H35" authorId="0" shapeId="0" xr:uid="{00000000-0006-0000-0D00-0000FF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I35" authorId="1" shapeId="0" xr:uid="{00000000-0006-0000-0D00-00000001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J35" authorId="1" shapeId="0" xr:uid="{00000000-0006-0000-0D00-00000101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K35" authorId="1" shapeId="0" xr:uid="{00000000-0006-0000-0D00-00000201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GA35" authorId="0" shapeId="0" xr:uid="{00000000-0006-0000-0D00-00000301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B35" authorId="0" shapeId="0" xr:uid="{00000000-0006-0000-0D00-00000401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C35" authorId="1" shapeId="0" xr:uid="{00000000-0006-0000-0D00-00000501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GD35" authorId="0" shapeId="0" xr:uid="{00000000-0006-0000-0D00-00000601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E35" authorId="0" shapeId="0" xr:uid="{00000000-0006-0000-0D00-00000701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F35" authorId="0" shapeId="0" xr:uid="{00000000-0006-0000-0D00-00000801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G35" authorId="1" shapeId="0" xr:uid="{00000000-0006-0000-0D00-00000901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GH35" authorId="1" shapeId="0" xr:uid="{00000000-0006-0000-0D00-00000A01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GI35" authorId="1" shapeId="0" xr:uid="{00000000-0006-0000-0D00-00000B01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R37" authorId="0" shapeId="0" xr:uid="{00000000-0006-0000-0D00-00000C01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AP37" authorId="0" shapeId="0" xr:uid="{00000000-0006-0000-0D00-00000D01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BN37" authorId="0" shapeId="0" xr:uid="{00000000-0006-0000-0D00-00000E01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CL37" authorId="0" shapeId="0" xr:uid="{00000000-0006-0000-0D00-00000F01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DJ37" authorId="0" shapeId="0" xr:uid="{00000000-0006-0000-0D00-00001001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EH37" authorId="0" shapeId="0" xr:uid="{00000000-0006-0000-0D00-00001101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FF37" authorId="0" shapeId="0" xr:uid="{00000000-0006-0000-0D00-00001201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GD37" authorId="0" shapeId="0" xr:uid="{00000000-0006-0000-0D00-00001301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R38" authorId="0" shapeId="0" xr:uid="{00000000-0006-0000-0D00-000014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T38" authorId="0" shapeId="0" xr:uid="{00000000-0006-0000-0D00-000015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AP38" authorId="0" shapeId="0" xr:uid="{00000000-0006-0000-0D00-000016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AR38" authorId="0" shapeId="0" xr:uid="{00000000-0006-0000-0D00-000017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BN38" authorId="0" shapeId="0" xr:uid="{00000000-0006-0000-0D00-000018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BP38" authorId="0" shapeId="0" xr:uid="{00000000-0006-0000-0D00-000019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CL38" authorId="0" shapeId="0" xr:uid="{00000000-0006-0000-0D00-00001A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CN38" authorId="0" shapeId="0" xr:uid="{00000000-0006-0000-0D00-00001B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DJ38" authorId="0" shapeId="0" xr:uid="{00000000-0006-0000-0D00-00001C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DL38" authorId="0" shapeId="0" xr:uid="{00000000-0006-0000-0D00-00001D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EH38" authorId="0" shapeId="0" xr:uid="{00000000-0006-0000-0D00-00001E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EJ38" authorId="0" shapeId="0" xr:uid="{00000000-0006-0000-0D00-00001F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FF38" authorId="0" shapeId="0" xr:uid="{00000000-0006-0000-0D00-000020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FH38" authorId="0" shapeId="0" xr:uid="{00000000-0006-0000-0D00-000021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GD38" authorId="0" shapeId="0" xr:uid="{00000000-0006-0000-0D00-000022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GF38" authorId="0" shapeId="0" xr:uid="{00000000-0006-0000-0D00-00002301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U39" authorId="1" shapeId="0" xr:uid="{00000000-0006-0000-0D00-000024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V39" authorId="1" shapeId="0" xr:uid="{00000000-0006-0000-0D00-000025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W39" authorId="1" shapeId="0" xr:uid="{00000000-0006-0000-0D00-000026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AS39" authorId="1" shapeId="0" xr:uid="{00000000-0006-0000-0D00-000027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AT39" authorId="1" shapeId="0" xr:uid="{00000000-0006-0000-0D00-000028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AU39" authorId="1" shapeId="0" xr:uid="{00000000-0006-0000-0D00-000029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BQ39" authorId="1" shapeId="0" xr:uid="{00000000-0006-0000-0D00-00002A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BR39" authorId="1" shapeId="0" xr:uid="{00000000-0006-0000-0D00-00002B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BS39" authorId="1" shapeId="0" xr:uid="{00000000-0006-0000-0D00-00002C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CO39" authorId="1" shapeId="0" xr:uid="{00000000-0006-0000-0D00-00002D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CP39" authorId="1" shapeId="0" xr:uid="{00000000-0006-0000-0D00-00002E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CQ39" authorId="1" shapeId="0" xr:uid="{00000000-0006-0000-0D00-00002F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DM39" authorId="1" shapeId="0" xr:uid="{00000000-0006-0000-0D00-000030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DN39" authorId="1" shapeId="0" xr:uid="{00000000-0006-0000-0D00-000031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DO39" authorId="1" shapeId="0" xr:uid="{00000000-0006-0000-0D00-000032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EK39" authorId="1" shapeId="0" xr:uid="{00000000-0006-0000-0D00-000033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EL39" authorId="1" shapeId="0" xr:uid="{00000000-0006-0000-0D00-000034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EM39" authorId="1" shapeId="0" xr:uid="{00000000-0006-0000-0D00-000035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FI39" authorId="1" shapeId="0" xr:uid="{00000000-0006-0000-0D00-000036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FJ39" authorId="1" shapeId="0" xr:uid="{00000000-0006-0000-0D00-000037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FK39" authorId="1" shapeId="0" xr:uid="{00000000-0006-0000-0D00-000038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GG39" authorId="1" shapeId="0" xr:uid="{00000000-0006-0000-0D00-000039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GH39" authorId="1" shapeId="0" xr:uid="{00000000-0006-0000-0D00-00003A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GI39" authorId="1" shapeId="0" xr:uid="{00000000-0006-0000-0D00-00003B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R42" authorId="0" shapeId="0" xr:uid="{00000000-0006-0000-0D00-00003C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AP42" authorId="0" shapeId="0" xr:uid="{00000000-0006-0000-0D00-00003D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BN42" authorId="0" shapeId="0" xr:uid="{00000000-0006-0000-0D00-00003E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CL42" authorId="0" shapeId="0" xr:uid="{00000000-0006-0000-0D00-00003F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DJ42" authorId="0" shapeId="0" xr:uid="{00000000-0006-0000-0D00-000040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EH42" authorId="0" shapeId="0" xr:uid="{00000000-0006-0000-0D00-000041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FF42" authorId="0" shapeId="0" xr:uid="{00000000-0006-0000-0D00-000042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GD42" authorId="0" shapeId="0" xr:uid="{00000000-0006-0000-0D00-000043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K43" authorId="1" shapeId="0" xr:uid="{00000000-0006-0000-0D00-000044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L43" authorId="1" shapeId="0" xr:uid="{00000000-0006-0000-0D00-000045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M43" authorId="0" shapeId="0" xr:uid="{00000000-0006-0000-0D00-00004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43" authorId="0" shapeId="0" xr:uid="{00000000-0006-0000-0D00-000047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43" authorId="0" shapeId="0" xr:uid="{00000000-0006-0000-0D00-000048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43" authorId="0" shapeId="0" xr:uid="{00000000-0006-0000-0D00-000049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43" authorId="1" shapeId="0" xr:uid="{00000000-0006-0000-0D00-00004A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R43" authorId="0" shapeId="0" xr:uid="{00000000-0006-0000-0D00-00004B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43" authorId="0" shapeId="0" xr:uid="{00000000-0006-0000-0D00-00004C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T43" authorId="0" shapeId="0" xr:uid="{00000000-0006-0000-0D00-00004D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U43" authorId="1" shapeId="0" xr:uid="{00000000-0006-0000-0D00-00004E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V43" authorId="1" shapeId="0" xr:uid="{00000000-0006-0000-0D00-00004F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W43" authorId="1" shapeId="0" xr:uid="{00000000-0006-0000-0D00-000050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I43" authorId="1" shapeId="0" xr:uid="{00000000-0006-0000-0D00-000051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J43" authorId="1" shapeId="0" xr:uid="{00000000-0006-0000-0D00-000052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K43" authorId="0" shapeId="0" xr:uid="{00000000-0006-0000-0D00-000053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L43" authorId="0" shapeId="0" xr:uid="{00000000-0006-0000-0D00-000054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M43" authorId="0" shapeId="0" xr:uid="{00000000-0006-0000-0D00-000055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N43" authorId="0" shapeId="0" xr:uid="{00000000-0006-0000-0D00-00005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O43" authorId="1" shapeId="0" xr:uid="{00000000-0006-0000-0D00-000057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P43" authorId="0" shapeId="0" xr:uid="{00000000-0006-0000-0D00-000058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Q43" authorId="0" shapeId="0" xr:uid="{00000000-0006-0000-0D00-000059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R43" authorId="0" shapeId="0" xr:uid="{00000000-0006-0000-0D00-00005A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S43" authorId="1" shapeId="0" xr:uid="{00000000-0006-0000-0D00-00005B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T43" authorId="1" shapeId="0" xr:uid="{00000000-0006-0000-0D00-00005C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U43" authorId="1" shapeId="0" xr:uid="{00000000-0006-0000-0D00-00005D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G43" authorId="1" shapeId="0" xr:uid="{00000000-0006-0000-0D00-00005E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H43" authorId="1" shapeId="0" xr:uid="{00000000-0006-0000-0D00-00005F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I43" authorId="0" shapeId="0" xr:uid="{00000000-0006-0000-0D00-000060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J43" authorId="0" shapeId="0" xr:uid="{00000000-0006-0000-0D00-000061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K43" authorId="0" shapeId="0" xr:uid="{00000000-0006-0000-0D00-000062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L43" authorId="0" shapeId="0" xr:uid="{00000000-0006-0000-0D00-000063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M43" authorId="1" shapeId="0" xr:uid="{00000000-0006-0000-0D00-000064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N43" authorId="0" shapeId="0" xr:uid="{00000000-0006-0000-0D00-000065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O43" authorId="0" shapeId="0" xr:uid="{00000000-0006-0000-0D00-00006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P43" authorId="0" shapeId="0" xr:uid="{00000000-0006-0000-0D00-000067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Q43" authorId="1" shapeId="0" xr:uid="{00000000-0006-0000-0D00-000068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R43" authorId="1" shapeId="0" xr:uid="{00000000-0006-0000-0D00-000069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S43" authorId="1" shapeId="0" xr:uid="{00000000-0006-0000-0D00-00006A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E43" authorId="1" shapeId="0" xr:uid="{00000000-0006-0000-0D00-00006B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F43" authorId="1" shapeId="0" xr:uid="{00000000-0006-0000-0D00-00006C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G43" authorId="0" shapeId="0" xr:uid="{00000000-0006-0000-0D00-00006D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H43" authorId="0" shapeId="0" xr:uid="{00000000-0006-0000-0D00-00006E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I43" authorId="0" shapeId="0" xr:uid="{00000000-0006-0000-0D00-00006F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J43" authorId="0" shapeId="0" xr:uid="{00000000-0006-0000-0D00-000070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K43" authorId="1" shapeId="0" xr:uid="{00000000-0006-0000-0D00-000071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L43" authorId="0" shapeId="0" xr:uid="{00000000-0006-0000-0D00-000072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M43" authorId="0" shapeId="0" xr:uid="{00000000-0006-0000-0D00-000073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N43" authorId="0" shapeId="0" xr:uid="{00000000-0006-0000-0D00-000074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O43" authorId="1" shapeId="0" xr:uid="{00000000-0006-0000-0D00-000075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P43" authorId="1" shapeId="0" xr:uid="{00000000-0006-0000-0D00-000076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Q43" authorId="1" shapeId="0" xr:uid="{00000000-0006-0000-0D00-000077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C43" authorId="1" shapeId="0" xr:uid="{00000000-0006-0000-0D00-000078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D43" authorId="1" shapeId="0" xr:uid="{00000000-0006-0000-0D00-000079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E43" authorId="0" shapeId="0" xr:uid="{00000000-0006-0000-0D00-00007A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F43" authorId="0" shapeId="0" xr:uid="{00000000-0006-0000-0D00-00007B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G43" authorId="0" shapeId="0" xr:uid="{00000000-0006-0000-0D00-00007C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H43" authorId="0" shapeId="0" xr:uid="{00000000-0006-0000-0D00-00007D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I43" authorId="1" shapeId="0" xr:uid="{00000000-0006-0000-0D00-00007E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J43" authorId="0" shapeId="0" xr:uid="{00000000-0006-0000-0D00-00007F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K43" authorId="0" shapeId="0" xr:uid="{00000000-0006-0000-0D00-000080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L43" authorId="0" shapeId="0" xr:uid="{00000000-0006-0000-0D00-000081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M43" authorId="1" shapeId="0" xr:uid="{00000000-0006-0000-0D00-000082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N43" authorId="1" shapeId="0" xr:uid="{00000000-0006-0000-0D00-000083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O43" authorId="1" shapeId="0" xr:uid="{00000000-0006-0000-0D00-000084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A43" authorId="1" shapeId="0" xr:uid="{00000000-0006-0000-0D00-000085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B43" authorId="1" shapeId="0" xr:uid="{00000000-0006-0000-0D00-000086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C43" authorId="0" shapeId="0" xr:uid="{00000000-0006-0000-0D00-000087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D43" authorId="0" shapeId="0" xr:uid="{00000000-0006-0000-0D00-000088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E43" authorId="0" shapeId="0" xr:uid="{00000000-0006-0000-0D00-000089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F43" authorId="0" shapeId="0" xr:uid="{00000000-0006-0000-0D00-00008A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G43" authorId="1" shapeId="0" xr:uid="{00000000-0006-0000-0D00-00008B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H43" authorId="0" shapeId="0" xr:uid="{00000000-0006-0000-0D00-00008C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I43" authorId="0" shapeId="0" xr:uid="{00000000-0006-0000-0D00-00008D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J43" authorId="0" shapeId="0" xr:uid="{00000000-0006-0000-0D00-00008E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K43" authorId="1" shapeId="0" xr:uid="{00000000-0006-0000-0D00-00008F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L43" authorId="1" shapeId="0" xr:uid="{00000000-0006-0000-0D00-000090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M43" authorId="1" shapeId="0" xr:uid="{00000000-0006-0000-0D00-000091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Y43" authorId="1" shapeId="0" xr:uid="{00000000-0006-0000-0D00-000092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Z43" authorId="1" shapeId="0" xr:uid="{00000000-0006-0000-0D00-000093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A43" authorId="0" shapeId="0" xr:uid="{00000000-0006-0000-0D00-000094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B43" authorId="0" shapeId="0" xr:uid="{00000000-0006-0000-0D00-000095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C43" authorId="0" shapeId="0" xr:uid="{00000000-0006-0000-0D00-00009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D43" authorId="0" shapeId="0" xr:uid="{00000000-0006-0000-0D00-000097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E43" authorId="1" shapeId="0" xr:uid="{00000000-0006-0000-0D00-000098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F43" authorId="0" shapeId="0" xr:uid="{00000000-0006-0000-0D00-000099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G43" authorId="0" shapeId="0" xr:uid="{00000000-0006-0000-0D00-00009A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H43" authorId="0" shapeId="0" xr:uid="{00000000-0006-0000-0D00-00009B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I43" authorId="1" shapeId="0" xr:uid="{00000000-0006-0000-0D00-00009C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J43" authorId="1" shapeId="0" xr:uid="{00000000-0006-0000-0D00-00009D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K43" authorId="1" shapeId="0" xr:uid="{00000000-0006-0000-0D00-00009E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W43" authorId="1" shapeId="0" xr:uid="{00000000-0006-0000-0D00-00009F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X43" authorId="1" shapeId="0" xr:uid="{00000000-0006-0000-0D00-0000A0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Y43" authorId="0" shapeId="0" xr:uid="{00000000-0006-0000-0D00-0000A1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Z43" authorId="0" shapeId="0" xr:uid="{00000000-0006-0000-0D00-0000A2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A43" authorId="0" shapeId="0" xr:uid="{00000000-0006-0000-0D00-0000A3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B43" authorId="0" shapeId="0" xr:uid="{00000000-0006-0000-0D00-0000A4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C43" authorId="1" shapeId="0" xr:uid="{00000000-0006-0000-0D00-0000A5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GD43" authorId="0" shapeId="0" xr:uid="{00000000-0006-0000-0D00-0000A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E43" authorId="0" shapeId="0" xr:uid="{00000000-0006-0000-0D00-0000A7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F43" authorId="0" shapeId="0" xr:uid="{00000000-0006-0000-0D00-0000A8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G43" authorId="1" shapeId="0" xr:uid="{00000000-0006-0000-0D00-0000A9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GH43" authorId="1" shapeId="0" xr:uid="{00000000-0006-0000-0D00-0000AA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GI43" authorId="1" shapeId="0" xr:uid="{00000000-0006-0000-0D00-0000AB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P45" authorId="0" shapeId="0" xr:uid="{00000000-0006-0000-0D00-0000AC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T45" authorId="0" shapeId="0" xr:uid="{00000000-0006-0000-0D00-0000AD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U45" authorId="1" shapeId="0" xr:uid="{00000000-0006-0000-0D00-0000AE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V45" authorId="1" shapeId="0" xr:uid="{00000000-0006-0000-0D00-0000AF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W45" authorId="1" shapeId="0" xr:uid="{00000000-0006-0000-0D00-0000B0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AN45" authorId="0" shapeId="0" xr:uid="{00000000-0006-0000-0D00-0000B1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AR45" authorId="0" shapeId="0" xr:uid="{00000000-0006-0000-0D00-0000B2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AS45" authorId="1" shapeId="0" xr:uid="{00000000-0006-0000-0D00-0000B3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AT45" authorId="1" shapeId="0" xr:uid="{00000000-0006-0000-0D00-0000B4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AU45" authorId="1" shapeId="0" xr:uid="{00000000-0006-0000-0D00-0000B5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BL45" authorId="0" shapeId="0" xr:uid="{00000000-0006-0000-0D00-0000B6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BP45" authorId="0" shapeId="0" xr:uid="{00000000-0006-0000-0D00-0000B7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BQ45" authorId="1" shapeId="0" xr:uid="{00000000-0006-0000-0D00-0000B8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BR45" authorId="1" shapeId="0" xr:uid="{00000000-0006-0000-0D00-0000B9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BS45" authorId="1" shapeId="0" xr:uid="{00000000-0006-0000-0D00-0000BA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CJ45" authorId="0" shapeId="0" xr:uid="{00000000-0006-0000-0D00-0000BB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CN45" authorId="0" shapeId="0" xr:uid="{00000000-0006-0000-0D00-0000BC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CO45" authorId="1" shapeId="0" xr:uid="{00000000-0006-0000-0D00-0000BD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CP45" authorId="1" shapeId="0" xr:uid="{00000000-0006-0000-0D00-0000BE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CQ45" authorId="1" shapeId="0" xr:uid="{00000000-0006-0000-0D00-0000BF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DH45" authorId="0" shapeId="0" xr:uid="{00000000-0006-0000-0D00-0000C0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DL45" authorId="0" shapeId="0" xr:uid="{00000000-0006-0000-0D00-0000C1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DM45" authorId="1" shapeId="0" xr:uid="{00000000-0006-0000-0D00-0000C2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DN45" authorId="1" shapeId="0" xr:uid="{00000000-0006-0000-0D00-0000C3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DO45" authorId="1" shapeId="0" xr:uid="{00000000-0006-0000-0D00-0000C4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EF45" authorId="0" shapeId="0" xr:uid="{00000000-0006-0000-0D00-0000C5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EJ45" authorId="0" shapeId="0" xr:uid="{00000000-0006-0000-0D00-0000C6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EK45" authorId="1" shapeId="0" xr:uid="{00000000-0006-0000-0D00-0000C7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EL45" authorId="1" shapeId="0" xr:uid="{00000000-0006-0000-0D00-0000C8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EM45" authorId="1" shapeId="0" xr:uid="{00000000-0006-0000-0D00-0000C9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D45" authorId="0" shapeId="0" xr:uid="{00000000-0006-0000-0D00-0000CA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FH45" authorId="0" shapeId="0" xr:uid="{00000000-0006-0000-0D00-0000CB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FI45" authorId="1" shapeId="0" xr:uid="{00000000-0006-0000-0D00-0000CC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J45" authorId="1" shapeId="0" xr:uid="{00000000-0006-0000-0D00-0000CD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K45" authorId="1" shapeId="0" xr:uid="{00000000-0006-0000-0D00-0000CE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W45" authorId="1" shapeId="0" xr:uid="{00000000-0006-0000-0D00-0000CF010000}">
      <text>
        <r>
          <rPr>
            <sz val="9"/>
            <color indexed="81"/>
            <rFont val="Tahoma"/>
            <charset val="1"/>
          </rPr>
          <t>Could not find tab 'GR Sum.' in source file.</t>
        </r>
      </text>
    </comment>
    <comment ref="GB45" authorId="0" shapeId="0" xr:uid="{00000000-0006-0000-0D00-0000D0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GF45" authorId="0" shapeId="0" xr:uid="{00000000-0006-0000-0D00-0000D1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GG45" authorId="1" shapeId="0" xr:uid="{00000000-0006-0000-0D00-0000D2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GH45" authorId="1" shapeId="0" xr:uid="{00000000-0006-0000-0D00-0000D3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GI45" authorId="1" shapeId="0" xr:uid="{00000000-0006-0000-0D00-0000D4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P50" authorId="0" shapeId="0" xr:uid="{00000000-0006-0000-0D00-0000D501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AN50" authorId="0" shapeId="0" xr:uid="{00000000-0006-0000-0D00-0000D601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BL50" authorId="0" shapeId="0" xr:uid="{00000000-0006-0000-0D00-0000D701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CJ50" authorId="0" shapeId="0" xr:uid="{00000000-0006-0000-0D00-0000D801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DH50" authorId="0" shapeId="0" xr:uid="{00000000-0006-0000-0D00-0000D901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EF50" authorId="0" shapeId="0" xr:uid="{00000000-0006-0000-0D00-0000DA01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FD50" authorId="0" shapeId="0" xr:uid="{00000000-0006-0000-0D00-0000DB01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GB50" authorId="0" shapeId="0" xr:uid="{00000000-0006-0000-0D00-0000DC01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U54" authorId="1" shapeId="0" xr:uid="{00000000-0006-0000-0D00-0000DD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V54" authorId="1" shapeId="0" xr:uid="{00000000-0006-0000-0D00-0000DE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W54" authorId="1" shapeId="0" xr:uid="{00000000-0006-0000-0D00-0000DF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AS54" authorId="1" shapeId="0" xr:uid="{00000000-0006-0000-0D00-0000E0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AT54" authorId="1" shapeId="0" xr:uid="{00000000-0006-0000-0D00-0000E1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AU54" authorId="1" shapeId="0" xr:uid="{00000000-0006-0000-0D00-0000E2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BQ54" authorId="1" shapeId="0" xr:uid="{00000000-0006-0000-0D00-0000E3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BR54" authorId="1" shapeId="0" xr:uid="{00000000-0006-0000-0D00-0000E4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BS54" authorId="1" shapeId="0" xr:uid="{00000000-0006-0000-0D00-0000E5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CO54" authorId="1" shapeId="0" xr:uid="{00000000-0006-0000-0D00-0000E6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CP54" authorId="1" shapeId="0" xr:uid="{00000000-0006-0000-0D00-0000E7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CQ54" authorId="1" shapeId="0" xr:uid="{00000000-0006-0000-0D00-0000E8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DM54" authorId="1" shapeId="0" xr:uid="{00000000-0006-0000-0D00-0000E9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DN54" authorId="1" shapeId="0" xr:uid="{00000000-0006-0000-0D00-0000EA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DO54" authorId="1" shapeId="0" xr:uid="{00000000-0006-0000-0D00-0000EB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EK54" authorId="1" shapeId="0" xr:uid="{00000000-0006-0000-0D00-0000EC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EL54" authorId="1" shapeId="0" xr:uid="{00000000-0006-0000-0D00-0000ED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EM54" authorId="1" shapeId="0" xr:uid="{00000000-0006-0000-0D00-0000EE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FI54" authorId="1" shapeId="0" xr:uid="{00000000-0006-0000-0D00-0000EF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FJ54" authorId="1" shapeId="0" xr:uid="{00000000-0006-0000-0D00-0000F0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FK54" authorId="1" shapeId="0" xr:uid="{00000000-0006-0000-0D00-0000F1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GG54" authorId="1" shapeId="0" xr:uid="{00000000-0006-0000-0D00-0000F2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GH54" authorId="1" shapeId="0" xr:uid="{00000000-0006-0000-0D00-0000F3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GI54" authorId="1" shapeId="0" xr:uid="{00000000-0006-0000-0D00-0000F4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S58" authorId="0" shapeId="0" xr:uid="{00000000-0006-0000-0D00-0000F5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T58" authorId="0" shapeId="0" xr:uid="{00000000-0006-0000-0D00-0000F6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AQ58" authorId="0" shapeId="0" xr:uid="{00000000-0006-0000-0D00-0000F7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AR58" authorId="0" shapeId="0" xr:uid="{00000000-0006-0000-0D00-0000F8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BO58" authorId="0" shapeId="0" xr:uid="{00000000-0006-0000-0D00-0000F9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BP58" authorId="0" shapeId="0" xr:uid="{00000000-0006-0000-0D00-0000FA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CM58" authorId="0" shapeId="0" xr:uid="{00000000-0006-0000-0D00-0000FB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CN58" authorId="0" shapeId="0" xr:uid="{00000000-0006-0000-0D00-0000FC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DK58" authorId="0" shapeId="0" xr:uid="{00000000-0006-0000-0D00-0000FD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DL58" authorId="0" shapeId="0" xr:uid="{00000000-0006-0000-0D00-0000FE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EI58" authorId="0" shapeId="0" xr:uid="{00000000-0006-0000-0D00-0000FF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EJ58" authorId="0" shapeId="0" xr:uid="{00000000-0006-0000-0D00-00000002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FG58" authorId="0" shapeId="0" xr:uid="{00000000-0006-0000-0D00-00000102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FH58" authorId="0" shapeId="0" xr:uid="{00000000-0006-0000-0D00-00000202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GE58" authorId="0" shapeId="0" xr:uid="{00000000-0006-0000-0D00-00000302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GF58" authorId="0" shapeId="0" xr:uid="{00000000-0006-0000-0D00-00000402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P59" authorId="0" shapeId="0" xr:uid="{00000000-0006-0000-0D00-000005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Q59" authorId="1" shapeId="0" xr:uid="{00000000-0006-0000-0D00-000006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R59" authorId="0" shapeId="0" xr:uid="{00000000-0006-0000-0D00-000007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S59" authorId="0" shapeId="0" xr:uid="{00000000-0006-0000-0D00-000008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T59" authorId="0" shapeId="0" xr:uid="{00000000-0006-0000-0D00-000009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U59" authorId="1" shapeId="0" xr:uid="{00000000-0006-0000-0D00-00000A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V59" authorId="1" shapeId="0" xr:uid="{00000000-0006-0000-0D00-00000B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W59" authorId="1" shapeId="0" xr:uid="{00000000-0006-0000-0D00-00000C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N59" authorId="0" shapeId="0" xr:uid="{00000000-0006-0000-0D00-00000D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O59" authorId="1" shapeId="0" xr:uid="{00000000-0006-0000-0D00-00000E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P59" authorId="0" shapeId="0" xr:uid="{00000000-0006-0000-0D00-00000F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Q59" authorId="0" shapeId="0" xr:uid="{00000000-0006-0000-0D00-000010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R59" authorId="0" shapeId="0" xr:uid="{00000000-0006-0000-0D00-000011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S59" authorId="1" shapeId="0" xr:uid="{00000000-0006-0000-0D00-000012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T59" authorId="1" shapeId="0" xr:uid="{00000000-0006-0000-0D00-000013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U59" authorId="1" shapeId="0" xr:uid="{00000000-0006-0000-0D00-000014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L59" authorId="0" shapeId="0" xr:uid="{00000000-0006-0000-0D00-000015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M59" authorId="1" shapeId="0" xr:uid="{00000000-0006-0000-0D00-000016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N59" authorId="0" shapeId="0" xr:uid="{00000000-0006-0000-0D00-000017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O59" authorId="0" shapeId="0" xr:uid="{00000000-0006-0000-0D00-000018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P59" authorId="0" shapeId="0" xr:uid="{00000000-0006-0000-0D00-000019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Q59" authorId="1" shapeId="0" xr:uid="{00000000-0006-0000-0D00-00001A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R59" authorId="1" shapeId="0" xr:uid="{00000000-0006-0000-0D00-00001B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S59" authorId="1" shapeId="0" xr:uid="{00000000-0006-0000-0D00-00001C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J59" authorId="0" shapeId="0" xr:uid="{00000000-0006-0000-0D00-00001D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K59" authorId="1" shapeId="0" xr:uid="{00000000-0006-0000-0D00-00001E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L59" authorId="0" shapeId="0" xr:uid="{00000000-0006-0000-0D00-00001F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M59" authorId="0" shapeId="0" xr:uid="{00000000-0006-0000-0D00-000020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N59" authorId="0" shapeId="0" xr:uid="{00000000-0006-0000-0D00-000021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O59" authorId="1" shapeId="0" xr:uid="{00000000-0006-0000-0D00-000022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P59" authorId="1" shapeId="0" xr:uid="{00000000-0006-0000-0D00-000023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Q59" authorId="1" shapeId="0" xr:uid="{00000000-0006-0000-0D00-000024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H59" authorId="0" shapeId="0" xr:uid="{00000000-0006-0000-0D00-000025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I59" authorId="1" shapeId="0" xr:uid="{00000000-0006-0000-0D00-000026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J59" authorId="0" shapeId="0" xr:uid="{00000000-0006-0000-0D00-000027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K59" authorId="0" shapeId="0" xr:uid="{00000000-0006-0000-0D00-000028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L59" authorId="0" shapeId="0" xr:uid="{00000000-0006-0000-0D00-000029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M59" authorId="1" shapeId="0" xr:uid="{00000000-0006-0000-0D00-00002A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N59" authorId="1" shapeId="0" xr:uid="{00000000-0006-0000-0D00-00002B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O59" authorId="1" shapeId="0" xr:uid="{00000000-0006-0000-0D00-00002C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F59" authorId="0" shapeId="0" xr:uid="{00000000-0006-0000-0D00-00002D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G59" authorId="1" shapeId="0" xr:uid="{00000000-0006-0000-0D00-00002E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H59" authorId="0" shapeId="0" xr:uid="{00000000-0006-0000-0D00-00002F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I59" authorId="0" shapeId="0" xr:uid="{00000000-0006-0000-0D00-000030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J59" authorId="0" shapeId="0" xr:uid="{00000000-0006-0000-0D00-000031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K59" authorId="1" shapeId="0" xr:uid="{00000000-0006-0000-0D00-000032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L59" authorId="1" shapeId="0" xr:uid="{00000000-0006-0000-0D00-000033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M59" authorId="1" shapeId="0" xr:uid="{00000000-0006-0000-0D00-000034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D59" authorId="0" shapeId="0" xr:uid="{00000000-0006-0000-0D00-000035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E59" authorId="1" shapeId="0" xr:uid="{00000000-0006-0000-0D00-000036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F59" authorId="0" shapeId="0" xr:uid="{00000000-0006-0000-0D00-000037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G59" authorId="0" shapeId="0" xr:uid="{00000000-0006-0000-0D00-000038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H59" authorId="0" shapeId="0" xr:uid="{00000000-0006-0000-0D00-000039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I59" authorId="1" shapeId="0" xr:uid="{00000000-0006-0000-0D00-00003A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J59" authorId="1" shapeId="0" xr:uid="{00000000-0006-0000-0D00-00003B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K59" authorId="1" shapeId="0" xr:uid="{00000000-0006-0000-0D00-00003C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GB59" authorId="0" shapeId="0" xr:uid="{00000000-0006-0000-0D00-00003D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GC59" authorId="1" shapeId="0" xr:uid="{00000000-0006-0000-0D00-00003E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GD59" authorId="0" shapeId="0" xr:uid="{00000000-0006-0000-0D00-00003F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GE59" authorId="0" shapeId="0" xr:uid="{00000000-0006-0000-0D00-000040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GF59" authorId="0" shapeId="0" xr:uid="{00000000-0006-0000-0D00-000041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GG59" authorId="1" shapeId="0" xr:uid="{00000000-0006-0000-0D00-000042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GH59" authorId="1" shapeId="0" xr:uid="{00000000-0006-0000-0D00-000043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GI59" authorId="1" shapeId="0" xr:uid="{00000000-0006-0000-0D00-000044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P60" authorId="0" shapeId="0" xr:uid="{00000000-0006-0000-0D00-000045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R60" authorId="0" shapeId="0" xr:uid="{00000000-0006-0000-0D00-000046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S60" authorId="0" shapeId="0" xr:uid="{00000000-0006-0000-0D00-000047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U60" authorId="1" shapeId="0" xr:uid="{00000000-0006-0000-0D00-000048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V60" authorId="1" shapeId="0" xr:uid="{00000000-0006-0000-0D00-000049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W60" authorId="1" shapeId="0" xr:uid="{00000000-0006-0000-0D00-00004A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AN60" authorId="0" shapeId="0" xr:uid="{00000000-0006-0000-0D00-00004B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AP60" authorId="0" shapeId="0" xr:uid="{00000000-0006-0000-0D00-00004C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AQ60" authorId="0" shapeId="0" xr:uid="{00000000-0006-0000-0D00-00004D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AS60" authorId="1" shapeId="0" xr:uid="{00000000-0006-0000-0D00-00004E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AT60" authorId="1" shapeId="0" xr:uid="{00000000-0006-0000-0D00-00004F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AU60" authorId="1" shapeId="0" xr:uid="{00000000-0006-0000-0D00-000050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BL60" authorId="0" shapeId="0" xr:uid="{00000000-0006-0000-0D00-000051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BN60" authorId="0" shapeId="0" xr:uid="{00000000-0006-0000-0D00-000052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BO60" authorId="0" shapeId="0" xr:uid="{00000000-0006-0000-0D00-000053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BQ60" authorId="1" shapeId="0" xr:uid="{00000000-0006-0000-0D00-000054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BR60" authorId="1" shapeId="0" xr:uid="{00000000-0006-0000-0D00-000055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BS60" authorId="1" shapeId="0" xr:uid="{00000000-0006-0000-0D00-000056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CJ60" authorId="0" shapeId="0" xr:uid="{00000000-0006-0000-0D00-000057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CL60" authorId="0" shapeId="0" xr:uid="{00000000-0006-0000-0D00-000058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CM60" authorId="0" shapeId="0" xr:uid="{00000000-0006-0000-0D00-000059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CO60" authorId="1" shapeId="0" xr:uid="{00000000-0006-0000-0D00-00005A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CP60" authorId="1" shapeId="0" xr:uid="{00000000-0006-0000-0D00-00005B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CQ60" authorId="1" shapeId="0" xr:uid="{00000000-0006-0000-0D00-00005C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DH60" authorId="0" shapeId="0" xr:uid="{00000000-0006-0000-0D00-00005D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DJ60" authorId="0" shapeId="0" xr:uid="{00000000-0006-0000-0D00-00005E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DK60" authorId="0" shapeId="0" xr:uid="{00000000-0006-0000-0D00-00005F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DM60" authorId="1" shapeId="0" xr:uid="{00000000-0006-0000-0D00-000060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DN60" authorId="1" shapeId="0" xr:uid="{00000000-0006-0000-0D00-000061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DO60" authorId="1" shapeId="0" xr:uid="{00000000-0006-0000-0D00-000062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EF60" authorId="0" shapeId="0" xr:uid="{00000000-0006-0000-0D00-000063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EH60" authorId="0" shapeId="0" xr:uid="{00000000-0006-0000-0D00-000064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EI60" authorId="0" shapeId="0" xr:uid="{00000000-0006-0000-0D00-000065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EK60" authorId="1" shapeId="0" xr:uid="{00000000-0006-0000-0D00-000066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EL60" authorId="1" shapeId="0" xr:uid="{00000000-0006-0000-0D00-000067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EM60" authorId="1" shapeId="0" xr:uid="{00000000-0006-0000-0D00-000068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FD60" authorId="0" shapeId="0" xr:uid="{00000000-0006-0000-0D00-000069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FF60" authorId="0" shapeId="0" xr:uid="{00000000-0006-0000-0D00-00006A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FG60" authorId="0" shapeId="0" xr:uid="{00000000-0006-0000-0D00-00006B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FI60" authorId="1" shapeId="0" xr:uid="{00000000-0006-0000-0D00-00006C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FJ60" authorId="1" shapeId="0" xr:uid="{00000000-0006-0000-0D00-00006D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FK60" authorId="1" shapeId="0" xr:uid="{00000000-0006-0000-0D00-00006E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GB60" authorId="0" shapeId="0" xr:uid="{00000000-0006-0000-0D00-00006F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GD60" authorId="0" shapeId="0" xr:uid="{00000000-0006-0000-0D00-000070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GE60" authorId="0" shapeId="0" xr:uid="{00000000-0006-0000-0D00-000071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GG60" authorId="1" shapeId="0" xr:uid="{00000000-0006-0000-0D00-000072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GH60" authorId="1" shapeId="0" xr:uid="{00000000-0006-0000-0D00-000073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GI60" authorId="1" shapeId="0" xr:uid="{00000000-0006-0000-0D00-000074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R61" authorId="0" shapeId="0" xr:uid="{00000000-0006-0000-0D00-000075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S61" authorId="0" shapeId="0" xr:uid="{00000000-0006-0000-0D00-000076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T61" authorId="0" shapeId="0" xr:uid="{00000000-0006-0000-0D00-000077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U61" authorId="1" shapeId="0" xr:uid="{00000000-0006-0000-0D00-000078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V61" authorId="1" shapeId="0" xr:uid="{00000000-0006-0000-0D00-000079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W61" authorId="1" shapeId="0" xr:uid="{00000000-0006-0000-0D00-00007A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AP61" authorId="0" shapeId="0" xr:uid="{00000000-0006-0000-0D00-00007B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AQ61" authorId="0" shapeId="0" xr:uid="{00000000-0006-0000-0D00-00007C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AR61" authorId="0" shapeId="0" xr:uid="{00000000-0006-0000-0D00-00007D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AS61" authorId="1" shapeId="0" xr:uid="{00000000-0006-0000-0D00-00007E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AT61" authorId="1" shapeId="0" xr:uid="{00000000-0006-0000-0D00-00007F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AU61" authorId="1" shapeId="0" xr:uid="{00000000-0006-0000-0D00-000080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BN61" authorId="0" shapeId="0" xr:uid="{00000000-0006-0000-0D00-000081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BO61" authorId="0" shapeId="0" xr:uid="{00000000-0006-0000-0D00-000082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BP61" authorId="0" shapeId="0" xr:uid="{00000000-0006-0000-0D00-000083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BQ61" authorId="1" shapeId="0" xr:uid="{00000000-0006-0000-0D00-000084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BR61" authorId="1" shapeId="0" xr:uid="{00000000-0006-0000-0D00-000085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BS61" authorId="1" shapeId="0" xr:uid="{00000000-0006-0000-0D00-000086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CL61" authorId="0" shapeId="0" xr:uid="{00000000-0006-0000-0D00-000087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CM61" authorId="0" shapeId="0" xr:uid="{00000000-0006-0000-0D00-000088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CN61" authorId="0" shapeId="0" xr:uid="{00000000-0006-0000-0D00-000089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CO61" authorId="1" shapeId="0" xr:uid="{00000000-0006-0000-0D00-00008A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CP61" authorId="1" shapeId="0" xr:uid="{00000000-0006-0000-0D00-00008B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CQ61" authorId="1" shapeId="0" xr:uid="{00000000-0006-0000-0D00-00008C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DJ61" authorId="0" shapeId="0" xr:uid="{00000000-0006-0000-0D00-00008D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DK61" authorId="0" shapeId="0" xr:uid="{00000000-0006-0000-0D00-00008E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DL61" authorId="0" shapeId="0" xr:uid="{00000000-0006-0000-0D00-00008F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DM61" authorId="1" shapeId="0" xr:uid="{00000000-0006-0000-0D00-000090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DN61" authorId="1" shapeId="0" xr:uid="{00000000-0006-0000-0D00-000091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DO61" authorId="1" shapeId="0" xr:uid="{00000000-0006-0000-0D00-000092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EH61" authorId="0" shapeId="0" xr:uid="{00000000-0006-0000-0D00-000093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EI61" authorId="0" shapeId="0" xr:uid="{00000000-0006-0000-0D00-000094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EJ61" authorId="0" shapeId="0" xr:uid="{00000000-0006-0000-0D00-000095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EK61" authorId="1" shapeId="0" xr:uid="{00000000-0006-0000-0D00-000096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EL61" authorId="1" shapeId="0" xr:uid="{00000000-0006-0000-0D00-000097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EM61" authorId="1" shapeId="0" xr:uid="{00000000-0006-0000-0D00-000098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FF61" authorId="0" shapeId="0" xr:uid="{00000000-0006-0000-0D00-000099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FG61" authorId="0" shapeId="0" xr:uid="{00000000-0006-0000-0D00-00009A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FH61" authorId="0" shapeId="0" xr:uid="{00000000-0006-0000-0D00-00009B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FI61" authorId="1" shapeId="0" xr:uid="{00000000-0006-0000-0D00-00009C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FJ61" authorId="1" shapeId="0" xr:uid="{00000000-0006-0000-0D00-00009D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FK61" authorId="1" shapeId="0" xr:uid="{00000000-0006-0000-0D00-00009E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GD61" authorId="0" shapeId="0" xr:uid="{00000000-0006-0000-0D00-00009F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GE61" authorId="0" shapeId="0" xr:uid="{00000000-0006-0000-0D00-0000A0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GF61" authorId="0" shapeId="0" xr:uid="{00000000-0006-0000-0D00-0000A1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GG61" authorId="1" shapeId="0" xr:uid="{00000000-0006-0000-0D00-0000A2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GH61" authorId="1" shapeId="0" xr:uid="{00000000-0006-0000-0D00-0000A3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GI61" authorId="1" shapeId="0" xr:uid="{00000000-0006-0000-0D00-0000A4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O62" authorId="0" shapeId="0" xr:uid="{00000000-0006-0000-0D00-0000A5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P62" authorId="0" shapeId="0" xr:uid="{00000000-0006-0000-0D00-0000A6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Q62" authorId="1" shapeId="0" xr:uid="{00000000-0006-0000-0D00-0000A7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R62" authorId="0" shapeId="0" xr:uid="{00000000-0006-0000-0D00-0000A8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T62" authorId="0" shapeId="0" xr:uid="{00000000-0006-0000-0D00-0000A9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U62" authorId="1" shapeId="0" xr:uid="{00000000-0006-0000-0D00-0000AA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V62" authorId="1" shapeId="0" xr:uid="{00000000-0006-0000-0D00-0000AB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W62" authorId="1" shapeId="0" xr:uid="{00000000-0006-0000-0D00-0000AC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M62" authorId="0" shapeId="0" xr:uid="{00000000-0006-0000-0D00-0000AD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N62" authorId="0" shapeId="0" xr:uid="{00000000-0006-0000-0D00-0000AE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O62" authorId="1" shapeId="0" xr:uid="{00000000-0006-0000-0D00-0000AF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P62" authorId="0" shapeId="0" xr:uid="{00000000-0006-0000-0D00-0000B0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R62" authorId="0" shapeId="0" xr:uid="{00000000-0006-0000-0D00-0000B1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S62" authorId="1" shapeId="0" xr:uid="{00000000-0006-0000-0D00-0000B2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T62" authorId="1" shapeId="0" xr:uid="{00000000-0006-0000-0D00-0000B3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U62" authorId="1" shapeId="0" xr:uid="{00000000-0006-0000-0D00-0000B4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K62" authorId="0" shapeId="0" xr:uid="{00000000-0006-0000-0D00-0000B5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L62" authorId="0" shapeId="0" xr:uid="{00000000-0006-0000-0D00-0000B6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M62" authorId="1" shapeId="0" xr:uid="{00000000-0006-0000-0D00-0000B7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N62" authorId="0" shapeId="0" xr:uid="{00000000-0006-0000-0D00-0000B8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P62" authorId="0" shapeId="0" xr:uid="{00000000-0006-0000-0D00-0000B9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Q62" authorId="1" shapeId="0" xr:uid="{00000000-0006-0000-0D00-0000BA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R62" authorId="1" shapeId="0" xr:uid="{00000000-0006-0000-0D00-0000BB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S62" authorId="1" shapeId="0" xr:uid="{00000000-0006-0000-0D00-0000BC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I62" authorId="0" shapeId="0" xr:uid="{00000000-0006-0000-0D00-0000BD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J62" authorId="0" shapeId="0" xr:uid="{00000000-0006-0000-0D00-0000BE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K62" authorId="1" shapeId="0" xr:uid="{00000000-0006-0000-0D00-0000BF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L62" authorId="0" shapeId="0" xr:uid="{00000000-0006-0000-0D00-0000C0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N62" authorId="0" shapeId="0" xr:uid="{00000000-0006-0000-0D00-0000C1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O62" authorId="1" shapeId="0" xr:uid="{00000000-0006-0000-0D00-0000C2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P62" authorId="1" shapeId="0" xr:uid="{00000000-0006-0000-0D00-0000C3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Q62" authorId="1" shapeId="0" xr:uid="{00000000-0006-0000-0D00-0000C4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G62" authorId="0" shapeId="0" xr:uid="{00000000-0006-0000-0D00-0000C5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H62" authorId="0" shapeId="0" xr:uid="{00000000-0006-0000-0D00-0000C6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I62" authorId="1" shapeId="0" xr:uid="{00000000-0006-0000-0D00-0000C7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J62" authorId="0" shapeId="0" xr:uid="{00000000-0006-0000-0D00-0000C8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L62" authorId="0" shapeId="0" xr:uid="{00000000-0006-0000-0D00-0000C9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M62" authorId="1" shapeId="0" xr:uid="{00000000-0006-0000-0D00-0000CA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N62" authorId="1" shapeId="0" xr:uid="{00000000-0006-0000-0D00-0000CB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O62" authorId="1" shapeId="0" xr:uid="{00000000-0006-0000-0D00-0000CC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E62" authorId="0" shapeId="0" xr:uid="{00000000-0006-0000-0D00-0000CD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F62" authorId="0" shapeId="0" xr:uid="{00000000-0006-0000-0D00-0000CE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G62" authorId="1" shapeId="0" xr:uid="{00000000-0006-0000-0D00-0000CF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H62" authorId="0" shapeId="0" xr:uid="{00000000-0006-0000-0D00-0000D0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J62" authorId="0" shapeId="0" xr:uid="{00000000-0006-0000-0D00-0000D1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K62" authorId="1" shapeId="0" xr:uid="{00000000-0006-0000-0D00-0000D2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L62" authorId="1" shapeId="0" xr:uid="{00000000-0006-0000-0D00-0000D3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M62" authorId="1" shapeId="0" xr:uid="{00000000-0006-0000-0D00-0000D4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C62" authorId="0" shapeId="0" xr:uid="{00000000-0006-0000-0D00-0000D5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D62" authorId="0" shapeId="0" xr:uid="{00000000-0006-0000-0D00-0000D6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E62" authorId="1" shapeId="0" xr:uid="{00000000-0006-0000-0D00-0000D7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F62" authorId="0" shapeId="0" xr:uid="{00000000-0006-0000-0D00-0000D8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H62" authorId="0" shapeId="0" xr:uid="{00000000-0006-0000-0D00-0000D9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I62" authorId="1" shapeId="0" xr:uid="{00000000-0006-0000-0D00-0000DA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J62" authorId="1" shapeId="0" xr:uid="{00000000-0006-0000-0D00-0000DB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K62" authorId="1" shapeId="0" xr:uid="{00000000-0006-0000-0D00-0000DC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GA62" authorId="0" shapeId="0" xr:uid="{00000000-0006-0000-0D00-0000DD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B62" authorId="0" shapeId="0" xr:uid="{00000000-0006-0000-0D00-0000DE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C62" authorId="1" shapeId="0" xr:uid="{00000000-0006-0000-0D00-0000DF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GD62" authorId="0" shapeId="0" xr:uid="{00000000-0006-0000-0D00-0000E0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E62" authorId="0" shapeId="0" xr:uid="{00000000-0006-0000-0D00-0000E102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GF62" authorId="0" shapeId="0" xr:uid="{00000000-0006-0000-0D00-0000E2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G62" authorId="1" shapeId="0" xr:uid="{00000000-0006-0000-0D00-0000E3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GH62" authorId="1" shapeId="0" xr:uid="{00000000-0006-0000-0D00-0000E4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GI62" authorId="1" shapeId="0" xr:uid="{00000000-0006-0000-0D00-0000E5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K65" authorId="1" shapeId="0" xr:uid="{00000000-0006-0000-0D00-0000E6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L65" authorId="1" shapeId="0" xr:uid="{00000000-0006-0000-0D00-0000E7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M65" authorId="0" shapeId="0" xr:uid="{00000000-0006-0000-0D00-0000E8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65" authorId="0" shapeId="0" xr:uid="{00000000-0006-0000-0D00-0000E9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65" authorId="0" shapeId="0" xr:uid="{00000000-0006-0000-0D00-0000EA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65" authorId="0" shapeId="0" xr:uid="{00000000-0006-0000-0D00-0000EB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65" authorId="1" shapeId="0" xr:uid="{00000000-0006-0000-0D00-0000EC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R65" authorId="0" shapeId="0" xr:uid="{00000000-0006-0000-0D00-0000ED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65" authorId="0" shapeId="0" xr:uid="{00000000-0006-0000-0D00-0000EE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T65" authorId="0" shapeId="0" xr:uid="{00000000-0006-0000-0D00-0000EF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U65" authorId="1" shapeId="0" xr:uid="{00000000-0006-0000-0D00-0000F0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V65" authorId="1" shapeId="0" xr:uid="{00000000-0006-0000-0D00-0000F1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W65" authorId="1" shapeId="0" xr:uid="{00000000-0006-0000-0D00-0000F2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I65" authorId="1" shapeId="0" xr:uid="{00000000-0006-0000-0D00-0000F3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J65" authorId="1" shapeId="0" xr:uid="{00000000-0006-0000-0D00-0000F4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K65" authorId="0" shapeId="0" xr:uid="{00000000-0006-0000-0D00-0000F5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L65" authorId="0" shapeId="0" xr:uid="{00000000-0006-0000-0D00-0000F6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M65" authorId="0" shapeId="0" xr:uid="{00000000-0006-0000-0D00-0000F7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N65" authorId="0" shapeId="0" xr:uid="{00000000-0006-0000-0D00-0000F8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O65" authorId="1" shapeId="0" xr:uid="{00000000-0006-0000-0D00-0000F9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P65" authorId="0" shapeId="0" xr:uid="{00000000-0006-0000-0D00-0000FA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Q65" authorId="0" shapeId="0" xr:uid="{00000000-0006-0000-0D00-0000FB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R65" authorId="0" shapeId="0" xr:uid="{00000000-0006-0000-0D00-0000FC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S65" authorId="1" shapeId="0" xr:uid="{00000000-0006-0000-0D00-0000FD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T65" authorId="1" shapeId="0" xr:uid="{00000000-0006-0000-0D00-0000FE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U65" authorId="1" shapeId="0" xr:uid="{00000000-0006-0000-0D00-0000FF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G65" authorId="1" shapeId="0" xr:uid="{00000000-0006-0000-0D00-000000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H65" authorId="1" shapeId="0" xr:uid="{00000000-0006-0000-0D00-000001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I65" authorId="0" shapeId="0" xr:uid="{00000000-0006-0000-0D00-000002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J65" authorId="0" shapeId="0" xr:uid="{00000000-0006-0000-0D00-000003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K65" authorId="0" shapeId="0" xr:uid="{00000000-0006-0000-0D00-000004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L65" authorId="0" shapeId="0" xr:uid="{00000000-0006-0000-0D00-000005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M65" authorId="1" shapeId="0" xr:uid="{00000000-0006-0000-0D00-000006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N65" authorId="0" shapeId="0" xr:uid="{00000000-0006-0000-0D00-000007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O65" authorId="0" shapeId="0" xr:uid="{00000000-0006-0000-0D00-000008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P65" authorId="0" shapeId="0" xr:uid="{00000000-0006-0000-0D00-000009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Q65" authorId="1" shapeId="0" xr:uid="{00000000-0006-0000-0D00-00000A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R65" authorId="1" shapeId="0" xr:uid="{00000000-0006-0000-0D00-00000B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S65" authorId="1" shapeId="0" xr:uid="{00000000-0006-0000-0D00-00000C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E65" authorId="1" shapeId="0" xr:uid="{00000000-0006-0000-0D00-00000D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F65" authorId="1" shapeId="0" xr:uid="{00000000-0006-0000-0D00-00000E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G65" authorId="0" shapeId="0" xr:uid="{00000000-0006-0000-0D00-00000F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H65" authorId="0" shapeId="0" xr:uid="{00000000-0006-0000-0D00-000010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I65" authorId="0" shapeId="0" xr:uid="{00000000-0006-0000-0D00-000011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J65" authorId="0" shapeId="0" xr:uid="{00000000-0006-0000-0D00-000012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K65" authorId="1" shapeId="0" xr:uid="{00000000-0006-0000-0D00-000013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L65" authorId="0" shapeId="0" xr:uid="{00000000-0006-0000-0D00-000014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M65" authorId="0" shapeId="0" xr:uid="{00000000-0006-0000-0D00-000015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N65" authorId="0" shapeId="0" xr:uid="{00000000-0006-0000-0D00-000016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O65" authorId="1" shapeId="0" xr:uid="{00000000-0006-0000-0D00-000017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P65" authorId="1" shapeId="0" xr:uid="{00000000-0006-0000-0D00-000018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Q65" authorId="1" shapeId="0" xr:uid="{00000000-0006-0000-0D00-000019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C65" authorId="1" shapeId="0" xr:uid="{00000000-0006-0000-0D00-00001A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D65" authorId="1" shapeId="0" xr:uid="{00000000-0006-0000-0D00-00001B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E65" authorId="0" shapeId="0" xr:uid="{00000000-0006-0000-0D00-00001C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F65" authorId="0" shapeId="0" xr:uid="{00000000-0006-0000-0D00-00001D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G65" authorId="0" shapeId="0" xr:uid="{00000000-0006-0000-0D00-00001E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H65" authorId="0" shapeId="0" xr:uid="{00000000-0006-0000-0D00-00001F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I65" authorId="1" shapeId="0" xr:uid="{00000000-0006-0000-0D00-000020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J65" authorId="0" shapeId="0" xr:uid="{00000000-0006-0000-0D00-000021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K65" authorId="0" shapeId="0" xr:uid="{00000000-0006-0000-0D00-000022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L65" authorId="0" shapeId="0" xr:uid="{00000000-0006-0000-0D00-000023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M65" authorId="1" shapeId="0" xr:uid="{00000000-0006-0000-0D00-000024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N65" authorId="1" shapeId="0" xr:uid="{00000000-0006-0000-0D00-000025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O65" authorId="1" shapeId="0" xr:uid="{00000000-0006-0000-0D00-000026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A65" authorId="1" shapeId="0" xr:uid="{00000000-0006-0000-0D00-000027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B65" authorId="1" shapeId="0" xr:uid="{00000000-0006-0000-0D00-000028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C65" authorId="0" shapeId="0" xr:uid="{00000000-0006-0000-0D00-000029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D65" authorId="0" shapeId="0" xr:uid="{00000000-0006-0000-0D00-00002A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E65" authorId="0" shapeId="0" xr:uid="{00000000-0006-0000-0D00-00002B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F65" authorId="0" shapeId="0" xr:uid="{00000000-0006-0000-0D00-00002C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G65" authorId="1" shapeId="0" xr:uid="{00000000-0006-0000-0D00-00002D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H65" authorId="0" shapeId="0" xr:uid="{00000000-0006-0000-0D00-00002E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I65" authorId="0" shapeId="0" xr:uid="{00000000-0006-0000-0D00-00002F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J65" authorId="0" shapeId="0" xr:uid="{00000000-0006-0000-0D00-000030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K65" authorId="1" shapeId="0" xr:uid="{00000000-0006-0000-0D00-000031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L65" authorId="1" shapeId="0" xr:uid="{00000000-0006-0000-0D00-000032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M65" authorId="1" shapeId="0" xr:uid="{00000000-0006-0000-0D00-000033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Y65" authorId="1" shapeId="0" xr:uid="{00000000-0006-0000-0D00-000034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Z65" authorId="1" shapeId="0" xr:uid="{00000000-0006-0000-0D00-000035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A65" authorId="0" shapeId="0" xr:uid="{00000000-0006-0000-0D00-000036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B65" authorId="0" shapeId="0" xr:uid="{00000000-0006-0000-0D00-000037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C65" authorId="0" shapeId="0" xr:uid="{00000000-0006-0000-0D00-000038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D65" authorId="0" shapeId="0" xr:uid="{00000000-0006-0000-0D00-000039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E65" authorId="1" shapeId="0" xr:uid="{00000000-0006-0000-0D00-00003A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F65" authorId="0" shapeId="0" xr:uid="{00000000-0006-0000-0D00-00003B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G65" authorId="0" shapeId="0" xr:uid="{00000000-0006-0000-0D00-00003C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H65" authorId="0" shapeId="0" xr:uid="{00000000-0006-0000-0D00-00003D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I65" authorId="1" shapeId="0" xr:uid="{00000000-0006-0000-0D00-00003E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J65" authorId="1" shapeId="0" xr:uid="{00000000-0006-0000-0D00-00003F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K65" authorId="1" shapeId="0" xr:uid="{00000000-0006-0000-0D00-000040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W65" authorId="1" shapeId="0" xr:uid="{00000000-0006-0000-0D00-000041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X65" authorId="1" shapeId="0" xr:uid="{00000000-0006-0000-0D00-000042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Y65" authorId="0" shapeId="0" xr:uid="{00000000-0006-0000-0D00-000043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Z65" authorId="0" shapeId="0" xr:uid="{00000000-0006-0000-0D00-000044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A65" authorId="0" shapeId="0" xr:uid="{00000000-0006-0000-0D00-000045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B65" authorId="0" shapeId="0" xr:uid="{00000000-0006-0000-0D00-000046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C65" authorId="1" shapeId="0" xr:uid="{00000000-0006-0000-0D00-000047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GD65" authorId="0" shapeId="0" xr:uid="{00000000-0006-0000-0D00-000048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E65" authorId="0" shapeId="0" xr:uid="{00000000-0006-0000-0D00-000049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F65" authorId="0" shapeId="0" xr:uid="{00000000-0006-0000-0D00-00004A03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G65" authorId="1" shapeId="0" xr:uid="{00000000-0006-0000-0D00-00004B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GH65" authorId="1" shapeId="0" xr:uid="{00000000-0006-0000-0D00-00004C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GI65" authorId="1" shapeId="0" xr:uid="{00000000-0006-0000-0D00-00004D03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O68" authorId="0" shapeId="0" xr:uid="{00000000-0006-0000-0D00-00004E03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AM68" authorId="0" shapeId="0" xr:uid="{00000000-0006-0000-0D00-00004F03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BK68" authorId="0" shapeId="0" xr:uid="{00000000-0006-0000-0D00-00005003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CI68" authorId="0" shapeId="0" xr:uid="{00000000-0006-0000-0D00-00005103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DG68" authorId="0" shapeId="0" xr:uid="{00000000-0006-0000-0D00-00005203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EE68" authorId="0" shapeId="0" xr:uid="{00000000-0006-0000-0D00-00005303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FC68" authorId="0" shapeId="0" xr:uid="{00000000-0006-0000-0D00-00005403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GA68" authorId="0" shapeId="0" xr:uid="{00000000-0006-0000-0D00-00005503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P69" authorId="0" shapeId="0" xr:uid="{00000000-0006-0000-0D00-000056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AN69" authorId="0" shapeId="0" xr:uid="{00000000-0006-0000-0D00-000057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BL69" authorId="0" shapeId="0" xr:uid="{00000000-0006-0000-0D00-000058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CJ69" authorId="0" shapeId="0" xr:uid="{00000000-0006-0000-0D00-000059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DH69" authorId="0" shapeId="0" xr:uid="{00000000-0006-0000-0D00-00005A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EF69" authorId="0" shapeId="0" xr:uid="{00000000-0006-0000-0D00-00005B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FD69" authorId="0" shapeId="0" xr:uid="{00000000-0006-0000-0D00-00005C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GB69" authorId="0" shapeId="0" xr:uid="{00000000-0006-0000-0D00-00005D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R70" authorId="0" shapeId="0" xr:uid="{00000000-0006-0000-0D00-00005E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AP70" authorId="0" shapeId="0" xr:uid="{00000000-0006-0000-0D00-00005F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BN70" authorId="0" shapeId="0" xr:uid="{00000000-0006-0000-0D00-000060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CL70" authorId="0" shapeId="0" xr:uid="{00000000-0006-0000-0D00-000061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DJ70" authorId="0" shapeId="0" xr:uid="{00000000-0006-0000-0D00-000062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EH70" authorId="0" shapeId="0" xr:uid="{00000000-0006-0000-0D00-000063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FF70" authorId="0" shapeId="0" xr:uid="{00000000-0006-0000-0D00-000064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GD70" authorId="0" shapeId="0" xr:uid="{00000000-0006-0000-0D00-000065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K71" authorId="1" shapeId="0" xr:uid="{00000000-0006-0000-0D00-000066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L71" authorId="1" shapeId="0" xr:uid="{00000000-0006-0000-0D00-000067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N71" authorId="0" shapeId="0" xr:uid="{00000000-0006-0000-0D00-000068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P71" authorId="0" shapeId="0" xr:uid="{00000000-0006-0000-0D00-000069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R71" authorId="0" shapeId="0" xr:uid="{00000000-0006-0000-0D00-00006A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AI71" authorId="1" shapeId="0" xr:uid="{00000000-0006-0000-0D00-00006B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AJ71" authorId="1" shapeId="0" xr:uid="{00000000-0006-0000-0D00-00006C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AL71" authorId="0" shapeId="0" xr:uid="{00000000-0006-0000-0D00-00006D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AN71" authorId="0" shapeId="0" xr:uid="{00000000-0006-0000-0D00-00006E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AP71" authorId="0" shapeId="0" xr:uid="{00000000-0006-0000-0D00-00006F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BG71" authorId="1" shapeId="0" xr:uid="{00000000-0006-0000-0D00-000070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BH71" authorId="1" shapeId="0" xr:uid="{00000000-0006-0000-0D00-000071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BJ71" authorId="0" shapeId="0" xr:uid="{00000000-0006-0000-0D00-000072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BL71" authorId="0" shapeId="0" xr:uid="{00000000-0006-0000-0D00-000073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BN71" authorId="0" shapeId="0" xr:uid="{00000000-0006-0000-0D00-000074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CE71" authorId="1" shapeId="0" xr:uid="{00000000-0006-0000-0D00-000075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CF71" authorId="1" shapeId="0" xr:uid="{00000000-0006-0000-0D00-000076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CH71" authorId="0" shapeId="0" xr:uid="{00000000-0006-0000-0D00-000077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CJ71" authorId="0" shapeId="0" xr:uid="{00000000-0006-0000-0D00-000078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CL71" authorId="0" shapeId="0" xr:uid="{00000000-0006-0000-0D00-000079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DC71" authorId="1" shapeId="0" xr:uid="{00000000-0006-0000-0D00-00007A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DD71" authorId="1" shapeId="0" xr:uid="{00000000-0006-0000-0D00-00007B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DF71" authorId="0" shapeId="0" xr:uid="{00000000-0006-0000-0D00-00007C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DH71" authorId="0" shapeId="0" xr:uid="{00000000-0006-0000-0D00-00007D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DJ71" authorId="0" shapeId="0" xr:uid="{00000000-0006-0000-0D00-00007E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A71" authorId="1" shapeId="0" xr:uid="{00000000-0006-0000-0D00-00007F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EB71" authorId="1" shapeId="0" xr:uid="{00000000-0006-0000-0D00-000080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ED71" authorId="0" shapeId="0" xr:uid="{00000000-0006-0000-0D00-000081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F71" authorId="0" shapeId="0" xr:uid="{00000000-0006-0000-0D00-000082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H71" authorId="0" shapeId="0" xr:uid="{00000000-0006-0000-0D00-000083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Y71" authorId="1" shapeId="0" xr:uid="{00000000-0006-0000-0D00-000084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EZ71" authorId="1" shapeId="0" xr:uid="{00000000-0006-0000-0D00-000085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FB71" authorId="0" shapeId="0" xr:uid="{00000000-0006-0000-0D00-000086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FD71" authorId="0" shapeId="0" xr:uid="{00000000-0006-0000-0D00-000087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FF71" authorId="0" shapeId="0" xr:uid="{00000000-0006-0000-0D00-000088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FW71" authorId="1" shapeId="0" xr:uid="{00000000-0006-0000-0D00-000089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FX71" authorId="1" shapeId="0" xr:uid="{00000000-0006-0000-0D00-00008A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FZ71" authorId="0" shapeId="0" xr:uid="{00000000-0006-0000-0D00-00008B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GB71" authorId="0" shapeId="0" xr:uid="{00000000-0006-0000-0D00-00008C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GD71" authorId="0" shapeId="0" xr:uid="{00000000-0006-0000-0D00-00008D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U72" authorId="1" shapeId="0" xr:uid="{00000000-0006-0000-0D00-00008E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V72" authorId="1" shapeId="0" xr:uid="{00000000-0006-0000-0D00-00008F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W72" authorId="1" shapeId="0" xr:uid="{00000000-0006-0000-0D00-000090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AS72" authorId="1" shapeId="0" xr:uid="{00000000-0006-0000-0D00-000091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AT72" authorId="1" shapeId="0" xr:uid="{00000000-0006-0000-0D00-000092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AU72" authorId="1" shapeId="0" xr:uid="{00000000-0006-0000-0D00-000093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BQ72" authorId="1" shapeId="0" xr:uid="{00000000-0006-0000-0D00-000094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BR72" authorId="1" shapeId="0" xr:uid="{00000000-0006-0000-0D00-000095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BS72" authorId="1" shapeId="0" xr:uid="{00000000-0006-0000-0D00-000096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CO72" authorId="1" shapeId="0" xr:uid="{00000000-0006-0000-0D00-000097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CP72" authorId="1" shapeId="0" xr:uid="{00000000-0006-0000-0D00-000098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CQ72" authorId="1" shapeId="0" xr:uid="{00000000-0006-0000-0D00-000099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DM72" authorId="1" shapeId="0" xr:uid="{00000000-0006-0000-0D00-00009A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DN72" authorId="1" shapeId="0" xr:uid="{00000000-0006-0000-0D00-00009B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DO72" authorId="1" shapeId="0" xr:uid="{00000000-0006-0000-0D00-00009C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EK72" authorId="1" shapeId="0" xr:uid="{00000000-0006-0000-0D00-00009D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EL72" authorId="1" shapeId="0" xr:uid="{00000000-0006-0000-0D00-00009E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EM72" authorId="1" shapeId="0" xr:uid="{00000000-0006-0000-0D00-00009F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FI72" authorId="1" shapeId="0" xr:uid="{00000000-0006-0000-0D00-0000A0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FJ72" authorId="1" shapeId="0" xr:uid="{00000000-0006-0000-0D00-0000A1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FK72" authorId="1" shapeId="0" xr:uid="{00000000-0006-0000-0D00-0000A2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GE72" authorId="0" shapeId="0" xr:uid="{00000000-0006-0000-0D00-0000A303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GG72" authorId="1" shapeId="0" xr:uid="{00000000-0006-0000-0D00-0000A4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GH72" authorId="1" shapeId="0" xr:uid="{00000000-0006-0000-0D00-0000A5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GI72" authorId="1" shapeId="0" xr:uid="{00000000-0006-0000-0D00-0000A6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R74" authorId="0" shapeId="0" xr:uid="{00000000-0006-0000-0D00-0000A7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AP74" authorId="0" shapeId="0" xr:uid="{00000000-0006-0000-0D00-0000A8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BN74" authorId="0" shapeId="0" xr:uid="{00000000-0006-0000-0D00-0000A9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CL74" authorId="0" shapeId="0" xr:uid="{00000000-0006-0000-0D00-0000AA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DJ74" authorId="0" shapeId="0" xr:uid="{00000000-0006-0000-0D00-0000AB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EH74" authorId="0" shapeId="0" xr:uid="{00000000-0006-0000-0D00-0000AC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FF74" authorId="0" shapeId="0" xr:uid="{00000000-0006-0000-0D00-0000AD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GD74" authorId="0" shapeId="0" xr:uid="{00000000-0006-0000-0D00-0000AE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U75" authorId="1" shapeId="0" xr:uid="{00000000-0006-0000-0D00-0000AF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V75" authorId="1" shapeId="0" xr:uid="{00000000-0006-0000-0D00-0000B0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W75" authorId="1" shapeId="0" xr:uid="{00000000-0006-0000-0D00-0000B1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AS75" authorId="1" shapeId="0" xr:uid="{00000000-0006-0000-0D00-0000B2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AT75" authorId="1" shapeId="0" xr:uid="{00000000-0006-0000-0D00-0000B3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AU75" authorId="1" shapeId="0" xr:uid="{00000000-0006-0000-0D00-0000B4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BQ75" authorId="1" shapeId="0" xr:uid="{00000000-0006-0000-0D00-0000B5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BR75" authorId="1" shapeId="0" xr:uid="{00000000-0006-0000-0D00-0000B6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BS75" authorId="1" shapeId="0" xr:uid="{00000000-0006-0000-0D00-0000B7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CO75" authorId="1" shapeId="0" xr:uid="{00000000-0006-0000-0D00-0000B8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CP75" authorId="1" shapeId="0" xr:uid="{00000000-0006-0000-0D00-0000B9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CQ75" authorId="1" shapeId="0" xr:uid="{00000000-0006-0000-0D00-0000BA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DM75" authorId="1" shapeId="0" xr:uid="{00000000-0006-0000-0D00-0000BB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DN75" authorId="1" shapeId="0" xr:uid="{00000000-0006-0000-0D00-0000BC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DO75" authorId="1" shapeId="0" xr:uid="{00000000-0006-0000-0D00-0000BD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EK75" authorId="1" shapeId="0" xr:uid="{00000000-0006-0000-0D00-0000BE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EL75" authorId="1" shapeId="0" xr:uid="{00000000-0006-0000-0D00-0000BF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EM75" authorId="1" shapeId="0" xr:uid="{00000000-0006-0000-0D00-0000C0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FI75" authorId="1" shapeId="0" xr:uid="{00000000-0006-0000-0D00-0000C1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FJ75" authorId="1" shapeId="0" xr:uid="{00000000-0006-0000-0D00-0000C2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FK75" authorId="1" shapeId="0" xr:uid="{00000000-0006-0000-0D00-0000C3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GD75" authorId="0" shapeId="0" xr:uid="{00000000-0006-0000-0D00-0000C403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GE75" authorId="0" shapeId="0" xr:uid="{00000000-0006-0000-0D00-0000C503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GG75" authorId="1" shapeId="0" xr:uid="{00000000-0006-0000-0D00-0000C6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GH75" authorId="1" shapeId="0" xr:uid="{00000000-0006-0000-0D00-0000C7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GI75" authorId="1" shapeId="0" xr:uid="{00000000-0006-0000-0D00-0000C8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P76" authorId="0" shapeId="0" xr:uid="{00000000-0006-0000-0D00-0000C9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R76" authorId="0" shapeId="0" xr:uid="{00000000-0006-0000-0D00-0000CA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T76" authorId="0" shapeId="0" xr:uid="{00000000-0006-0000-0D00-0000CB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U76" authorId="1" shapeId="0" xr:uid="{00000000-0006-0000-0D00-0000CC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V76" authorId="1" shapeId="0" xr:uid="{00000000-0006-0000-0D00-0000CD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W76" authorId="1" shapeId="0" xr:uid="{00000000-0006-0000-0D00-0000CE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AN76" authorId="0" shapeId="0" xr:uid="{00000000-0006-0000-0D00-0000CF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AP76" authorId="0" shapeId="0" xr:uid="{00000000-0006-0000-0D00-0000D0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AR76" authorId="0" shapeId="0" xr:uid="{00000000-0006-0000-0D00-0000D1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AS76" authorId="1" shapeId="0" xr:uid="{00000000-0006-0000-0D00-0000D2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AT76" authorId="1" shapeId="0" xr:uid="{00000000-0006-0000-0D00-0000D3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AU76" authorId="1" shapeId="0" xr:uid="{00000000-0006-0000-0D00-0000D4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BL76" authorId="0" shapeId="0" xr:uid="{00000000-0006-0000-0D00-0000D5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BN76" authorId="0" shapeId="0" xr:uid="{00000000-0006-0000-0D00-0000D6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BP76" authorId="0" shapeId="0" xr:uid="{00000000-0006-0000-0D00-0000D7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BQ76" authorId="1" shapeId="0" xr:uid="{00000000-0006-0000-0D00-0000D8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BR76" authorId="1" shapeId="0" xr:uid="{00000000-0006-0000-0D00-0000D9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BS76" authorId="1" shapeId="0" xr:uid="{00000000-0006-0000-0D00-0000DA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CJ76" authorId="0" shapeId="0" xr:uid="{00000000-0006-0000-0D00-0000DB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CL76" authorId="0" shapeId="0" xr:uid="{00000000-0006-0000-0D00-0000DC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CN76" authorId="0" shapeId="0" xr:uid="{00000000-0006-0000-0D00-0000DD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CO76" authorId="1" shapeId="0" xr:uid="{00000000-0006-0000-0D00-0000DE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CP76" authorId="1" shapeId="0" xr:uid="{00000000-0006-0000-0D00-0000DF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CQ76" authorId="1" shapeId="0" xr:uid="{00000000-0006-0000-0D00-0000E0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DH76" authorId="0" shapeId="0" xr:uid="{00000000-0006-0000-0D00-0000E1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DJ76" authorId="0" shapeId="0" xr:uid="{00000000-0006-0000-0D00-0000E2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DL76" authorId="0" shapeId="0" xr:uid="{00000000-0006-0000-0D00-0000E3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DM76" authorId="1" shapeId="0" xr:uid="{00000000-0006-0000-0D00-0000E4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DN76" authorId="1" shapeId="0" xr:uid="{00000000-0006-0000-0D00-0000E5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DO76" authorId="1" shapeId="0" xr:uid="{00000000-0006-0000-0D00-0000E6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EF76" authorId="0" shapeId="0" xr:uid="{00000000-0006-0000-0D00-0000E7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EH76" authorId="0" shapeId="0" xr:uid="{00000000-0006-0000-0D00-0000E8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EJ76" authorId="0" shapeId="0" xr:uid="{00000000-0006-0000-0D00-0000E9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EK76" authorId="1" shapeId="0" xr:uid="{00000000-0006-0000-0D00-0000EA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EL76" authorId="1" shapeId="0" xr:uid="{00000000-0006-0000-0D00-0000EB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EM76" authorId="1" shapeId="0" xr:uid="{00000000-0006-0000-0D00-0000EC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FD76" authorId="0" shapeId="0" xr:uid="{00000000-0006-0000-0D00-0000ED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FF76" authorId="0" shapeId="0" xr:uid="{00000000-0006-0000-0D00-0000EE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FH76" authorId="0" shapeId="0" xr:uid="{00000000-0006-0000-0D00-0000EF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FI76" authorId="1" shapeId="0" xr:uid="{00000000-0006-0000-0D00-0000F0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FJ76" authorId="1" shapeId="0" xr:uid="{00000000-0006-0000-0D00-0000F1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FK76" authorId="1" shapeId="0" xr:uid="{00000000-0006-0000-0D00-0000F2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GB76" authorId="0" shapeId="0" xr:uid="{00000000-0006-0000-0D00-0000F3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GD76" authorId="0" shapeId="0" xr:uid="{00000000-0006-0000-0D00-0000F4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GF76" authorId="0" shapeId="0" xr:uid="{00000000-0006-0000-0D00-0000F5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GG76" authorId="1" shapeId="0" xr:uid="{00000000-0006-0000-0D00-0000F6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GH76" authorId="1" shapeId="0" xr:uid="{00000000-0006-0000-0D00-0000F7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GI76" authorId="1" shapeId="0" xr:uid="{00000000-0006-0000-0D00-0000F8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R79" authorId="0" shapeId="0" xr:uid="{00000000-0006-0000-0D00-0000F9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S79" authorId="0" shapeId="0" xr:uid="{00000000-0006-0000-0D00-0000FA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T79" authorId="0" shapeId="0" xr:uid="{00000000-0006-0000-0D00-0000FB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U79" authorId="1" shapeId="0" xr:uid="{00000000-0006-0000-0D00-0000FC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V79" authorId="1" shapeId="0" xr:uid="{00000000-0006-0000-0D00-0000FD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W79" authorId="1" shapeId="0" xr:uid="{00000000-0006-0000-0D00-0000FE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AP79" authorId="0" shapeId="0" xr:uid="{00000000-0006-0000-0D00-0000FF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AQ79" authorId="0" shapeId="0" xr:uid="{00000000-0006-0000-0D00-000000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AR79" authorId="0" shapeId="0" xr:uid="{00000000-0006-0000-0D00-000001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AS79" authorId="1" shapeId="0" xr:uid="{00000000-0006-0000-0D00-000002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AT79" authorId="1" shapeId="0" xr:uid="{00000000-0006-0000-0D00-000003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AU79" authorId="1" shapeId="0" xr:uid="{00000000-0006-0000-0D00-000004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BN79" authorId="0" shapeId="0" xr:uid="{00000000-0006-0000-0D00-000005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BO79" authorId="0" shapeId="0" xr:uid="{00000000-0006-0000-0D00-000006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BP79" authorId="0" shapeId="0" xr:uid="{00000000-0006-0000-0D00-000007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BQ79" authorId="1" shapeId="0" xr:uid="{00000000-0006-0000-0D00-000008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BR79" authorId="1" shapeId="0" xr:uid="{00000000-0006-0000-0D00-000009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BS79" authorId="1" shapeId="0" xr:uid="{00000000-0006-0000-0D00-00000A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CL79" authorId="0" shapeId="0" xr:uid="{00000000-0006-0000-0D00-00000B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CM79" authorId="0" shapeId="0" xr:uid="{00000000-0006-0000-0D00-00000C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CN79" authorId="0" shapeId="0" xr:uid="{00000000-0006-0000-0D00-00000D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CO79" authorId="1" shapeId="0" xr:uid="{00000000-0006-0000-0D00-00000E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CP79" authorId="1" shapeId="0" xr:uid="{00000000-0006-0000-0D00-00000F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CQ79" authorId="1" shapeId="0" xr:uid="{00000000-0006-0000-0D00-000010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DJ79" authorId="0" shapeId="0" xr:uid="{00000000-0006-0000-0D00-000011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DK79" authorId="0" shapeId="0" xr:uid="{00000000-0006-0000-0D00-000012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DL79" authorId="0" shapeId="0" xr:uid="{00000000-0006-0000-0D00-000013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DM79" authorId="1" shapeId="0" xr:uid="{00000000-0006-0000-0D00-000014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DN79" authorId="1" shapeId="0" xr:uid="{00000000-0006-0000-0D00-000015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DO79" authorId="1" shapeId="0" xr:uid="{00000000-0006-0000-0D00-000016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EH79" authorId="0" shapeId="0" xr:uid="{00000000-0006-0000-0D00-000017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EI79" authorId="0" shapeId="0" xr:uid="{00000000-0006-0000-0D00-000018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EJ79" authorId="0" shapeId="0" xr:uid="{00000000-0006-0000-0D00-000019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EK79" authorId="1" shapeId="0" xr:uid="{00000000-0006-0000-0D00-00001A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EL79" authorId="1" shapeId="0" xr:uid="{00000000-0006-0000-0D00-00001B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EM79" authorId="1" shapeId="0" xr:uid="{00000000-0006-0000-0D00-00001C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FF79" authorId="0" shapeId="0" xr:uid="{00000000-0006-0000-0D00-00001D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FG79" authorId="0" shapeId="0" xr:uid="{00000000-0006-0000-0D00-00001E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FH79" authorId="0" shapeId="0" xr:uid="{00000000-0006-0000-0D00-00001F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FI79" authorId="1" shapeId="0" xr:uid="{00000000-0006-0000-0D00-000020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FJ79" authorId="1" shapeId="0" xr:uid="{00000000-0006-0000-0D00-000021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FK79" authorId="1" shapeId="0" xr:uid="{00000000-0006-0000-0D00-000022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GD79" authorId="0" shapeId="0" xr:uid="{00000000-0006-0000-0D00-000023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GE79" authorId="0" shapeId="0" xr:uid="{00000000-0006-0000-0D00-000024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GF79" authorId="0" shapeId="0" xr:uid="{00000000-0006-0000-0D00-00002504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GG79" authorId="1" shapeId="0" xr:uid="{00000000-0006-0000-0D00-000026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GH79" authorId="1" shapeId="0" xr:uid="{00000000-0006-0000-0D00-000027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GI79" authorId="1" shapeId="0" xr:uid="{00000000-0006-0000-0D00-00002804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R83" authorId="0" shapeId="0" xr:uid="{00000000-0006-0000-0D00-00002904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U83" authorId="1" shapeId="0" xr:uid="{00000000-0006-0000-0D00-00002A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V83" authorId="1" shapeId="0" xr:uid="{00000000-0006-0000-0D00-00002B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W83" authorId="1" shapeId="0" xr:uid="{00000000-0006-0000-0D00-00002C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AP83" authorId="0" shapeId="0" xr:uid="{00000000-0006-0000-0D00-00002D04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AS83" authorId="1" shapeId="0" xr:uid="{00000000-0006-0000-0D00-00002E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AT83" authorId="1" shapeId="0" xr:uid="{00000000-0006-0000-0D00-00002F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AU83" authorId="1" shapeId="0" xr:uid="{00000000-0006-0000-0D00-000030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BN83" authorId="0" shapeId="0" xr:uid="{00000000-0006-0000-0D00-00003104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BQ83" authorId="1" shapeId="0" xr:uid="{00000000-0006-0000-0D00-000032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BR83" authorId="1" shapeId="0" xr:uid="{00000000-0006-0000-0D00-000033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BS83" authorId="1" shapeId="0" xr:uid="{00000000-0006-0000-0D00-000034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CL83" authorId="0" shapeId="0" xr:uid="{00000000-0006-0000-0D00-00003504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CO83" authorId="1" shapeId="0" xr:uid="{00000000-0006-0000-0D00-000036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CP83" authorId="1" shapeId="0" xr:uid="{00000000-0006-0000-0D00-000037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CQ83" authorId="1" shapeId="0" xr:uid="{00000000-0006-0000-0D00-000038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DJ83" authorId="0" shapeId="0" xr:uid="{00000000-0006-0000-0D00-00003904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DM83" authorId="1" shapeId="0" xr:uid="{00000000-0006-0000-0D00-00003A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DN83" authorId="1" shapeId="0" xr:uid="{00000000-0006-0000-0D00-00003B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DO83" authorId="1" shapeId="0" xr:uid="{00000000-0006-0000-0D00-00003C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H83" authorId="0" shapeId="0" xr:uid="{00000000-0006-0000-0D00-00003D04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EK83" authorId="1" shapeId="0" xr:uid="{00000000-0006-0000-0D00-00003E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L83" authorId="1" shapeId="0" xr:uid="{00000000-0006-0000-0D00-00003F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M83" authorId="1" shapeId="0" xr:uid="{00000000-0006-0000-0D00-000040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FF83" authorId="0" shapeId="0" xr:uid="{00000000-0006-0000-0D00-00004104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FI83" authorId="1" shapeId="0" xr:uid="{00000000-0006-0000-0D00-000042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FJ83" authorId="1" shapeId="0" xr:uid="{00000000-0006-0000-0D00-000043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FK83" authorId="1" shapeId="0" xr:uid="{00000000-0006-0000-0D00-000044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GD83" authorId="0" shapeId="0" xr:uid="{00000000-0006-0000-0D00-00004504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GG83" authorId="1" shapeId="0" xr:uid="{00000000-0006-0000-0D00-000046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GH83" authorId="1" shapeId="0" xr:uid="{00000000-0006-0000-0D00-000047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GI83" authorId="1" shapeId="0" xr:uid="{00000000-0006-0000-0D00-00004804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P84" authorId="0" shapeId="0" xr:uid="{00000000-0006-0000-0D00-000049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R84" authorId="0" shapeId="0" xr:uid="{00000000-0006-0000-0D00-00004A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T84" authorId="0" shapeId="0" xr:uid="{00000000-0006-0000-0D00-00004B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U84" authorId="1" shapeId="0" xr:uid="{00000000-0006-0000-0D00-00004C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V84" authorId="1" shapeId="0" xr:uid="{00000000-0006-0000-0D00-00004D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W84" authorId="1" shapeId="0" xr:uid="{00000000-0006-0000-0D00-00004E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AN84" authorId="0" shapeId="0" xr:uid="{00000000-0006-0000-0D00-00004F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AP84" authorId="0" shapeId="0" xr:uid="{00000000-0006-0000-0D00-000050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AR84" authorId="0" shapeId="0" xr:uid="{00000000-0006-0000-0D00-000051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AS84" authorId="1" shapeId="0" xr:uid="{00000000-0006-0000-0D00-000052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AT84" authorId="1" shapeId="0" xr:uid="{00000000-0006-0000-0D00-000053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AU84" authorId="1" shapeId="0" xr:uid="{00000000-0006-0000-0D00-000054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BL84" authorId="0" shapeId="0" xr:uid="{00000000-0006-0000-0D00-000055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BN84" authorId="0" shapeId="0" xr:uid="{00000000-0006-0000-0D00-000056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BP84" authorId="0" shapeId="0" xr:uid="{00000000-0006-0000-0D00-000057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BQ84" authorId="1" shapeId="0" xr:uid="{00000000-0006-0000-0D00-000058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BR84" authorId="1" shapeId="0" xr:uid="{00000000-0006-0000-0D00-000059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BS84" authorId="1" shapeId="0" xr:uid="{00000000-0006-0000-0D00-00005A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CJ84" authorId="0" shapeId="0" xr:uid="{00000000-0006-0000-0D00-00005B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CL84" authorId="0" shapeId="0" xr:uid="{00000000-0006-0000-0D00-00005C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CN84" authorId="0" shapeId="0" xr:uid="{00000000-0006-0000-0D00-00005D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CO84" authorId="1" shapeId="0" xr:uid="{00000000-0006-0000-0D00-00005E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CP84" authorId="1" shapeId="0" xr:uid="{00000000-0006-0000-0D00-00005F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CQ84" authorId="1" shapeId="0" xr:uid="{00000000-0006-0000-0D00-000060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DH84" authorId="0" shapeId="0" xr:uid="{00000000-0006-0000-0D00-000061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DJ84" authorId="0" shapeId="0" xr:uid="{00000000-0006-0000-0D00-000062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DL84" authorId="0" shapeId="0" xr:uid="{00000000-0006-0000-0D00-000063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DM84" authorId="1" shapeId="0" xr:uid="{00000000-0006-0000-0D00-000064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DN84" authorId="1" shapeId="0" xr:uid="{00000000-0006-0000-0D00-000065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DO84" authorId="1" shapeId="0" xr:uid="{00000000-0006-0000-0D00-000066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EF84" authorId="0" shapeId="0" xr:uid="{00000000-0006-0000-0D00-000067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EH84" authorId="0" shapeId="0" xr:uid="{00000000-0006-0000-0D00-000068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EJ84" authorId="0" shapeId="0" xr:uid="{00000000-0006-0000-0D00-000069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EK84" authorId="1" shapeId="0" xr:uid="{00000000-0006-0000-0D00-00006A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EL84" authorId="1" shapeId="0" xr:uid="{00000000-0006-0000-0D00-00006B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EM84" authorId="1" shapeId="0" xr:uid="{00000000-0006-0000-0D00-00006C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FD84" authorId="0" shapeId="0" xr:uid="{00000000-0006-0000-0D00-00006D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FF84" authorId="0" shapeId="0" xr:uid="{00000000-0006-0000-0D00-00006E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FH84" authorId="0" shapeId="0" xr:uid="{00000000-0006-0000-0D00-00006F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FI84" authorId="1" shapeId="0" xr:uid="{00000000-0006-0000-0D00-000070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FJ84" authorId="1" shapeId="0" xr:uid="{00000000-0006-0000-0D00-000071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FK84" authorId="1" shapeId="0" xr:uid="{00000000-0006-0000-0D00-000072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GB84" authorId="0" shapeId="0" xr:uid="{00000000-0006-0000-0D00-000073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GD84" authorId="0" shapeId="0" xr:uid="{00000000-0006-0000-0D00-000074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GF84" authorId="0" shapeId="0" xr:uid="{00000000-0006-0000-0D00-000075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GG84" authorId="1" shapeId="0" xr:uid="{00000000-0006-0000-0D00-000076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GH84" authorId="1" shapeId="0" xr:uid="{00000000-0006-0000-0D00-000077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GI84" authorId="1" shapeId="0" xr:uid="{00000000-0006-0000-0D00-000078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L85" authorId="1" shapeId="0" xr:uid="{00000000-0006-0000-0D00-000079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M85" authorId="0" shapeId="0" xr:uid="{00000000-0006-0000-0D00-00007A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85" authorId="0" shapeId="0" xr:uid="{00000000-0006-0000-0D00-00007B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85" authorId="0" shapeId="0" xr:uid="{00000000-0006-0000-0D00-00007C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85" authorId="0" shapeId="0" xr:uid="{00000000-0006-0000-0D00-00007D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85" authorId="0" shapeId="0" xr:uid="{00000000-0006-0000-0D00-00007E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85" authorId="0" shapeId="0" xr:uid="{00000000-0006-0000-0D00-00007F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T85" authorId="0" shapeId="0" xr:uid="{00000000-0006-0000-0D00-000080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U85" authorId="1" shapeId="0" xr:uid="{00000000-0006-0000-0D00-000081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V85" authorId="1" shapeId="0" xr:uid="{00000000-0006-0000-0D00-000082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W85" authorId="1" shapeId="0" xr:uid="{00000000-0006-0000-0D00-000083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J85" authorId="1" shapeId="0" xr:uid="{00000000-0006-0000-0D00-000084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K85" authorId="0" shapeId="0" xr:uid="{00000000-0006-0000-0D00-000085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L85" authorId="0" shapeId="0" xr:uid="{00000000-0006-0000-0D00-000086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M85" authorId="0" shapeId="0" xr:uid="{00000000-0006-0000-0D00-000087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N85" authorId="0" shapeId="0" xr:uid="{00000000-0006-0000-0D00-000088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P85" authorId="0" shapeId="0" xr:uid="{00000000-0006-0000-0D00-000089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Q85" authorId="0" shapeId="0" xr:uid="{00000000-0006-0000-0D00-00008A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R85" authorId="0" shapeId="0" xr:uid="{00000000-0006-0000-0D00-00008B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S85" authorId="1" shapeId="0" xr:uid="{00000000-0006-0000-0D00-00008C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T85" authorId="1" shapeId="0" xr:uid="{00000000-0006-0000-0D00-00008D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U85" authorId="1" shapeId="0" xr:uid="{00000000-0006-0000-0D00-00008E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H85" authorId="1" shapeId="0" xr:uid="{00000000-0006-0000-0D00-00008F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I85" authorId="0" shapeId="0" xr:uid="{00000000-0006-0000-0D00-000090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J85" authorId="0" shapeId="0" xr:uid="{00000000-0006-0000-0D00-000091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K85" authorId="0" shapeId="0" xr:uid="{00000000-0006-0000-0D00-000092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L85" authorId="0" shapeId="0" xr:uid="{00000000-0006-0000-0D00-000093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N85" authorId="0" shapeId="0" xr:uid="{00000000-0006-0000-0D00-000094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O85" authorId="0" shapeId="0" xr:uid="{00000000-0006-0000-0D00-000095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P85" authorId="0" shapeId="0" xr:uid="{00000000-0006-0000-0D00-000096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Q85" authorId="1" shapeId="0" xr:uid="{00000000-0006-0000-0D00-000097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R85" authorId="1" shapeId="0" xr:uid="{00000000-0006-0000-0D00-000098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S85" authorId="1" shapeId="0" xr:uid="{00000000-0006-0000-0D00-000099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F85" authorId="1" shapeId="0" xr:uid="{00000000-0006-0000-0D00-00009A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G85" authorId="0" shapeId="0" xr:uid="{00000000-0006-0000-0D00-00009B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H85" authorId="0" shapeId="0" xr:uid="{00000000-0006-0000-0D00-00009C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I85" authorId="0" shapeId="0" xr:uid="{00000000-0006-0000-0D00-00009D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J85" authorId="0" shapeId="0" xr:uid="{00000000-0006-0000-0D00-00009E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L85" authorId="0" shapeId="0" xr:uid="{00000000-0006-0000-0D00-00009F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M85" authorId="0" shapeId="0" xr:uid="{00000000-0006-0000-0D00-0000A0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N85" authorId="0" shapeId="0" xr:uid="{00000000-0006-0000-0D00-0000A1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O85" authorId="1" shapeId="0" xr:uid="{00000000-0006-0000-0D00-0000A2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P85" authorId="1" shapeId="0" xr:uid="{00000000-0006-0000-0D00-0000A3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Q85" authorId="1" shapeId="0" xr:uid="{00000000-0006-0000-0D00-0000A4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D85" authorId="1" shapeId="0" xr:uid="{00000000-0006-0000-0D00-0000A5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E85" authorId="0" shapeId="0" xr:uid="{00000000-0006-0000-0D00-0000A6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F85" authorId="0" shapeId="0" xr:uid="{00000000-0006-0000-0D00-0000A7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G85" authorId="0" shapeId="0" xr:uid="{00000000-0006-0000-0D00-0000A8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H85" authorId="0" shapeId="0" xr:uid="{00000000-0006-0000-0D00-0000A9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J85" authorId="0" shapeId="0" xr:uid="{00000000-0006-0000-0D00-0000AA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K85" authorId="0" shapeId="0" xr:uid="{00000000-0006-0000-0D00-0000AB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L85" authorId="0" shapeId="0" xr:uid="{00000000-0006-0000-0D00-0000AC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M85" authorId="1" shapeId="0" xr:uid="{00000000-0006-0000-0D00-0000AD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N85" authorId="1" shapeId="0" xr:uid="{00000000-0006-0000-0D00-0000AE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O85" authorId="1" shapeId="0" xr:uid="{00000000-0006-0000-0D00-0000AF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B85" authorId="1" shapeId="0" xr:uid="{00000000-0006-0000-0D00-0000B0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C85" authorId="0" shapeId="0" xr:uid="{00000000-0006-0000-0D00-0000B1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D85" authorId="0" shapeId="0" xr:uid="{00000000-0006-0000-0D00-0000B2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E85" authorId="0" shapeId="0" xr:uid="{00000000-0006-0000-0D00-0000B3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F85" authorId="0" shapeId="0" xr:uid="{00000000-0006-0000-0D00-0000B4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H85" authorId="0" shapeId="0" xr:uid="{00000000-0006-0000-0D00-0000B5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I85" authorId="0" shapeId="0" xr:uid="{00000000-0006-0000-0D00-0000B6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J85" authorId="0" shapeId="0" xr:uid="{00000000-0006-0000-0D00-0000B7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K85" authorId="1" shapeId="0" xr:uid="{00000000-0006-0000-0D00-0000B8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L85" authorId="1" shapeId="0" xr:uid="{00000000-0006-0000-0D00-0000B9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M85" authorId="1" shapeId="0" xr:uid="{00000000-0006-0000-0D00-0000BA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Z85" authorId="1" shapeId="0" xr:uid="{00000000-0006-0000-0D00-0000BB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A85" authorId="0" shapeId="0" xr:uid="{00000000-0006-0000-0D00-0000BC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B85" authorId="0" shapeId="0" xr:uid="{00000000-0006-0000-0D00-0000BD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C85" authorId="0" shapeId="0" xr:uid="{00000000-0006-0000-0D00-0000BE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D85" authorId="0" shapeId="0" xr:uid="{00000000-0006-0000-0D00-0000BF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F85" authorId="0" shapeId="0" xr:uid="{00000000-0006-0000-0D00-0000C0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G85" authorId="0" shapeId="0" xr:uid="{00000000-0006-0000-0D00-0000C1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H85" authorId="0" shapeId="0" xr:uid="{00000000-0006-0000-0D00-0000C2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I85" authorId="1" shapeId="0" xr:uid="{00000000-0006-0000-0D00-0000C3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J85" authorId="1" shapeId="0" xr:uid="{00000000-0006-0000-0D00-0000C4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K85" authorId="1" shapeId="0" xr:uid="{00000000-0006-0000-0D00-0000C5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X85" authorId="1" shapeId="0" xr:uid="{00000000-0006-0000-0D00-0000C6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Y85" authorId="0" shapeId="0" xr:uid="{00000000-0006-0000-0D00-0000C7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Z85" authorId="0" shapeId="0" xr:uid="{00000000-0006-0000-0D00-0000C8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A85" authorId="0" shapeId="0" xr:uid="{00000000-0006-0000-0D00-0000C9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B85" authorId="0" shapeId="0" xr:uid="{00000000-0006-0000-0D00-0000CA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D85" authorId="0" shapeId="0" xr:uid="{00000000-0006-0000-0D00-0000CB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E85" authorId="0" shapeId="0" xr:uid="{00000000-0006-0000-0D00-0000CC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F85" authorId="0" shapeId="0" xr:uid="{00000000-0006-0000-0D00-0000CD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G85" authorId="1" shapeId="0" xr:uid="{00000000-0006-0000-0D00-0000CE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GH85" authorId="1" shapeId="0" xr:uid="{00000000-0006-0000-0D00-0000CF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GI85" authorId="1" shapeId="0" xr:uid="{00000000-0006-0000-0D00-0000D0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P86" authorId="0" shapeId="0" xr:uid="{00000000-0006-0000-0D00-0000D1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Q86" authorId="1" shapeId="0" xr:uid="{00000000-0006-0000-0D00-0000D2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R86" authorId="0" shapeId="0" xr:uid="{00000000-0006-0000-0D00-0000D3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S86" authorId="0" shapeId="0" xr:uid="{00000000-0006-0000-0D00-0000D4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T86" authorId="0" shapeId="0" xr:uid="{00000000-0006-0000-0D00-0000D5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U86" authorId="1" shapeId="0" xr:uid="{00000000-0006-0000-0D00-0000D6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V86" authorId="1" shapeId="0" xr:uid="{00000000-0006-0000-0D00-0000D7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W86" authorId="1" shapeId="0" xr:uid="{00000000-0006-0000-0D00-0000D8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N86" authorId="0" shapeId="0" xr:uid="{00000000-0006-0000-0D00-0000D9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O86" authorId="1" shapeId="0" xr:uid="{00000000-0006-0000-0D00-0000DA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P86" authorId="0" shapeId="0" xr:uid="{00000000-0006-0000-0D00-0000DB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Q86" authorId="0" shapeId="0" xr:uid="{00000000-0006-0000-0D00-0000DC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R86" authorId="0" shapeId="0" xr:uid="{00000000-0006-0000-0D00-0000DD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S86" authorId="1" shapeId="0" xr:uid="{00000000-0006-0000-0D00-0000DE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T86" authorId="1" shapeId="0" xr:uid="{00000000-0006-0000-0D00-0000DF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U86" authorId="1" shapeId="0" xr:uid="{00000000-0006-0000-0D00-0000E0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L86" authorId="0" shapeId="0" xr:uid="{00000000-0006-0000-0D00-0000E1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M86" authorId="1" shapeId="0" xr:uid="{00000000-0006-0000-0D00-0000E2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N86" authorId="0" shapeId="0" xr:uid="{00000000-0006-0000-0D00-0000E3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O86" authorId="0" shapeId="0" xr:uid="{00000000-0006-0000-0D00-0000E4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P86" authorId="0" shapeId="0" xr:uid="{00000000-0006-0000-0D00-0000E5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Q86" authorId="1" shapeId="0" xr:uid="{00000000-0006-0000-0D00-0000E6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R86" authorId="1" shapeId="0" xr:uid="{00000000-0006-0000-0D00-0000E7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S86" authorId="1" shapeId="0" xr:uid="{00000000-0006-0000-0D00-0000E8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J86" authorId="0" shapeId="0" xr:uid="{00000000-0006-0000-0D00-0000E9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K86" authorId="1" shapeId="0" xr:uid="{00000000-0006-0000-0D00-0000EA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L86" authorId="0" shapeId="0" xr:uid="{00000000-0006-0000-0D00-0000EB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M86" authorId="0" shapeId="0" xr:uid="{00000000-0006-0000-0D00-0000EC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N86" authorId="0" shapeId="0" xr:uid="{00000000-0006-0000-0D00-0000ED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O86" authorId="1" shapeId="0" xr:uid="{00000000-0006-0000-0D00-0000EE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P86" authorId="1" shapeId="0" xr:uid="{00000000-0006-0000-0D00-0000EF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Q86" authorId="1" shapeId="0" xr:uid="{00000000-0006-0000-0D00-0000F0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H86" authorId="0" shapeId="0" xr:uid="{00000000-0006-0000-0D00-0000F1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I86" authorId="1" shapeId="0" xr:uid="{00000000-0006-0000-0D00-0000F2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J86" authorId="0" shapeId="0" xr:uid="{00000000-0006-0000-0D00-0000F3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K86" authorId="0" shapeId="0" xr:uid="{00000000-0006-0000-0D00-0000F4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L86" authorId="0" shapeId="0" xr:uid="{00000000-0006-0000-0D00-0000F5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M86" authorId="1" shapeId="0" xr:uid="{00000000-0006-0000-0D00-0000F6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N86" authorId="1" shapeId="0" xr:uid="{00000000-0006-0000-0D00-0000F7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O86" authorId="1" shapeId="0" xr:uid="{00000000-0006-0000-0D00-0000F8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F86" authorId="0" shapeId="0" xr:uid="{00000000-0006-0000-0D00-0000F9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G86" authorId="1" shapeId="0" xr:uid="{00000000-0006-0000-0D00-0000FA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H86" authorId="0" shapeId="0" xr:uid="{00000000-0006-0000-0D00-0000FB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I86" authorId="0" shapeId="0" xr:uid="{00000000-0006-0000-0D00-0000FC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J86" authorId="0" shapeId="0" xr:uid="{00000000-0006-0000-0D00-0000FD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K86" authorId="1" shapeId="0" xr:uid="{00000000-0006-0000-0D00-0000FE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L86" authorId="1" shapeId="0" xr:uid="{00000000-0006-0000-0D00-0000FF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M86" authorId="1" shapeId="0" xr:uid="{00000000-0006-0000-0D00-00000005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D86" authorId="0" shapeId="0" xr:uid="{00000000-0006-0000-0D00-00000105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E86" authorId="1" shapeId="0" xr:uid="{00000000-0006-0000-0D00-00000205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F86" authorId="0" shapeId="0" xr:uid="{00000000-0006-0000-0D00-00000305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G86" authorId="0" shapeId="0" xr:uid="{00000000-0006-0000-0D00-00000405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H86" authorId="0" shapeId="0" xr:uid="{00000000-0006-0000-0D00-00000505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I86" authorId="1" shapeId="0" xr:uid="{00000000-0006-0000-0D00-00000605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J86" authorId="1" shapeId="0" xr:uid="{00000000-0006-0000-0D00-00000705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K86" authorId="1" shapeId="0" xr:uid="{00000000-0006-0000-0D00-00000805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GB86" authorId="0" shapeId="0" xr:uid="{00000000-0006-0000-0D00-00000905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GC86" authorId="1" shapeId="0" xr:uid="{00000000-0006-0000-0D00-00000A05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GD86" authorId="0" shapeId="0" xr:uid="{00000000-0006-0000-0D00-00000B05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GE86" authorId="0" shapeId="0" xr:uid="{00000000-0006-0000-0D00-00000C05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GF86" authorId="0" shapeId="0" xr:uid="{00000000-0006-0000-0D00-00000D05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GG86" authorId="1" shapeId="0" xr:uid="{00000000-0006-0000-0D00-00000E05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GH86" authorId="1" shapeId="0" xr:uid="{00000000-0006-0000-0D00-00000F05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GI86" authorId="1" shapeId="0" xr:uid="{00000000-0006-0000-0D00-00001005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S89" authorId="0" shapeId="0" xr:uid="{00000000-0006-0000-0D00-000011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T89" authorId="0" shapeId="0" xr:uid="{00000000-0006-0000-0D00-000012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U89" authorId="1" shapeId="0" xr:uid="{00000000-0006-0000-0D00-000013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V89" authorId="1" shapeId="0" xr:uid="{00000000-0006-0000-0D00-000014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W89" authorId="1" shapeId="0" xr:uid="{00000000-0006-0000-0D00-000015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AQ89" authorId="0" shapeId="0" xr:uid="{00000000-0006-0000-0D00-000016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AR89" authorId="0" shapeId="0" xr:uid="{00000000-0006-0000-0D00-000017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AS89" authorId="1" shapeId="0" xr:uid="{00000000-0006-0000-0D00-000018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AT89" authorId="1" shapeId="0" xr:uid="{00000000-0006-0000-0D00-000019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AU89" authorId="1" shapeId="0" xr:uid="{00000000-0006-0000-0D00-00001A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BO89" authorId="0" shapeId="0" xr:uid="{00000000-0006-0000-0D00-00001B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BP89" authorId="0" shapeId="0" xr:uid="{00000000-0006-0000-0D00-00001C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BQ89" authorId="1" shapeId="0" xr:uid="{00000000-0006-0000-0D00-00001D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BR89" authorId="1" shapeId="0" xr:uid="{00000000-0006-0000-0D00-00001E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BS89" authorId="1" shapeId="0" xr:uid="{00000000-0006-0000-0D00-00001F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CM89" authorId="0" shapeId="0" xr:uid="{00000000-0006-0000-0D00-000020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CN89" authorId="0" shapeId="0" xr:uid="{00000000-0006-0000-0D00-000021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CO89" authorId="1" shapeId="0" xr:uid="{00000000-0006-0000-0D00-000022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CP89" authorId="1" shapeId="0" xr:uid="{00000000-0006-0000-0D00-000023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CQ89" authorId="1" shapeId="0" xr:uid="{00000000-0006-0000-0D00-000024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DK89" authorId="0" shapeId="0" xr:uid="{00000000-0006-0000-0D00-000025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DL89" authorId="0" shapeId="0" xr:uid="{00000000-0006-0000-0D00-000026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DM89" authorId="1" shapeId="0" xr:uid="{00000000-0006-0000-0D00-000027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DN89" authorId="1" shapeId="0" xr:uid="{00000000-0006-0000-0D00-000028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DO89" authorId="1" shapeId="0" xr:uid="{00000000-0006-0000-0D00-000029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EI89" authorId="0" shapeId="0" xr:uid="{00000000-0006-0000-0D00-00002A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EJ89" authorId="0" shapeId="0" xr:uid="{00000000-0006-0000-0D00-00002B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EK89" authorId="1" shapeId="0" xr:uid="{00000000-0006-0000-0D00-00002C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EL89" authorId="1" shapeId="0" xr:uid="{00000000-0006-0000-0D00-00002D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EM89" authorId="1" shapeId="0" xr:uid="{00000000-0006-0000-0D00-00002E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FG89" authorId="0" shapeId="0" xr:uid="{00000000-0006-0000-0D00-00002F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FH89" authorId="0" shapeId="0" xr:uid="{00000000-0006-0000-0D00-000030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FI89" authorId="1" shapeId="0" xr:uid="{00000000-0006-0000-0D00-000031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FJ89" authorId="1" shapeId="0" xr:uid="{00000000-0006-0000-0D00-000032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FK89" authorId="1" shapeId="0" xr:uid="{00000000-0006-0000-0D00-000033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GE89" authorId="0" shapeId="0" xr:uid="{00000000-0006-0000-0D00-000034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GF89" authorId="0" shapeId="0" xr:uid="{00000000-0006-0000-0D00-00003505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GG89" authorId="1" shapeId="0" xr:uid="{00000000-0006-0000-0D00-000036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GH89" authorId="1" shapeId="0" xr:uid="{00000000-0006-0000-0D00-000037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GI89" authorId="1" shapeId="0" xr:uid="{00000000-0006-0000-0D00-00003805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T93" authorId="0" shapeId="0" xr:uid="{00000000-0006-0000-0D00-00003905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AR93" authorId="0" shapeId="0" xr:uid="{00000000-0006-0000-0D00-00003A05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BP93" authorId="0" shapeId="0" xr:uid="{00000000-0006-0000-0D00-00003B05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CN93" authorId="0" shapeId="0" xr:uid="{00000000-0006-0000-0D00-00003C05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DL93" authorId="0" shapeId="0" xr:uid="{00000000-0006-0000-0D00-00003D05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EJ93" authorId="0" shapeId="0" xr:uid="{00000000-0006-0000-0D00-00003E05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FH93" authorId="0" shapeId="0" xr:uid="{00000000-0006-0000-0D00-00003F05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GF93" authorId="0" shapeId="0" xr:uid="{00000000-0006-0000-0D00-00004005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M94" authorId="0" shapeId="0" xr:uid="{00000000-0006-0000-0D00-00004105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AK94" authorId="0" shapeId="0" xr:uid="{00000000-0006-0000-0D00-00004205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BI94" authorId="0" shapeId="0" xr:uid="{00000000-0006-0000-0D00-00004305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CG94" authorId="0" shapeId="0" xr:uid="{00000000-0006-0000-0D00-00004405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DE94" authorId="0" shapeId="0" xr:uid="{00000000-0006-0000-0D00-00004505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EC94" authorId="0" shapeId="0" xr:uid="{00000000-0006-0000-0D00-00004605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FA94" authorId="0" shapeId="0" xr:uid="{00000000-0006-0000-0D00-00004705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FY94" authorId="0" shapeId="0" xr:uid="{00000000-0006-0000-0D00-00004805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U95" authorId="1" shapeId="0" xr:uid="{00000000-0006-0000-0D00-000049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V95" authorId="1" shapeId="0" xr:uid="{00000000-0006-0000-0D00-00004A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W95" authorId="1" shapeId="0" xr:uid="{00000000-0006-0000-0D00-00004B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AS95" authorId="1" shapeId="0" xr:uid="{00000000-0006-0000-0D00-00004C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AT95" authorId="1" shapeId="0" xr:uid="{00000000-0006-0000-0D00-00004D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AU95" authorId="1" shapeId="0" xr:uid="{00000000-0006-0000-0D00-00004E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BQ95" authorId="1" shapeId="0" xr:uid="{00000000-0006-0000-0D00-00004F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BR95" authorId="1" shapeId="0" xr:uid="{00000000-0006-0000-0D00-000050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BS95" authorId="1" shapeId="0" xr:uid="{00000000-0006-0000-0D00-000051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CO95" authorId="1" shapeId="0" xr:uid="{00000000-0006-0000-0D00-000052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CP95" authorId="1" shapeId="0" xr:uid="{00000000-0006-0000-0D00-000053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CQ95" authorId="1" shapeId="0" xr:uid="{00000000-0006-0000-0D00-000054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DM95" authorId="1" shapeId="0" xr:uid="{00000000-0006-0000-0D00-000055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DN95" authorId="1" shapeId="0" xr:uid="{00000000-0006-0000-0D00-000056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DO95" authorId="1" shapeId="0" xr:uid="{00000000-0006-0000-0D00-000057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EK95" authorId="1" shapeId="0" xr:uid="{00000000-0006-0000-0D00-000058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EL95" authorId="1" shapeId="0" xr:uid="{00000000-0006-0000-0D00-000059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EM95" authorId="1" shapeId="0" xr:uid="{00000000-0006-0000-0D00-00005A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FI95" authorId="1" shapeId="0" xr:uid="{00000000-0006-0000-0D00-00005B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FJ95" authorId="1" shapeId="0" xr:uid="{00000000-0006-0000-0D00-00005C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FK95" authorId="1" shapeId="0" xr:uid="{00000000-0006-0000-0D00-00005D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GG95" authorId="1" shapeId="0" xr:uid="{00000000-0006-0000-0D00-00005E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GH95" authorId="1" shapeId="0" xr:uid="{00000000-0006-0000-0D00-00005F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GI95" authorId="1" shapeId="0" xr:uid="{00000000-0006-0000-0D00-00006005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GE96" authorId="0" shapeId="0" xr:uid="{00000000-0006-0000-0D00-00006105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Q97" authorId="1" shapeId="0" xr:uid="{00000000-0006-0000-0D00-00006205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AO97" authorId="1" shapeId="0" xr:uid="{00000000-0006-0000-0D00-00006305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BM97" authorId="1" shapeId="0" xr:uid="{00000000-0006-0000-0D00-00006405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CK97" authorId="1" shapeId="0" xr:uid="{00000000-0006-0000-0D00-00006505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DI97" authorId="1" shapeId="0" xr:uid="{00000000-0006-0000-0D00-00006605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EG97" authorId="1" shapeId="0" xr:uid="{00000000-0006-0000-0D00-00006705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FE97" authorId="1" shapeId="0" xr:uid="{00000000-0006-0000-0D00-00006805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GC97" authorId="1" shapeId="0" xr:uid="{00000000-0006-0000-0D00-00006905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U98" authorId="1" shapeId="0" xr:uid="{00000000-0006-0000-0D00-00006A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V98" authorId="1" shapeId="0" xr:uid="{00000000-0006-0000-0D00-00006B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W98" authorId="1" shapeId="0" xr:uid="{00000000-0006-0000-0D00-00006C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AS98" authorId="1" shapeId="0" xr:uid="{00000000-0006-0000-0D00-00006D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AT98" authorId="1" shapeId="0" xr:uid="{00000000-0006-0000-0D00-00006E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AU98" authorId="1" shapeId="0" xr:uid="{00000000-0006-0000-0D00-00006F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BQ98" authorId="1" shapeId="0" xr:uid="{00000000-0006-0000-0D00-000070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BR98" authorId="1" shapeId="0" xr:uid="{00000000-0006-0000-0D00-000071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BS98" authorId="1" shapeId="0" xr:uid="{00000000-0006-0000-0D00-000072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CO98" authorId="1" shapeId="0" xr:uid="{00000000-0006-0000-0D00-000073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CP98" authorId="1" shapeId="0" xr:uid="{00000000-0006-0000-0D00-000074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CQ98" authorId="1" shapeId="0" xr:uid="{00000000-0006-0000-0D00-000075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DM98" authorId="1" shapeId="0" xr:uid="{00000000-0006-0000-0D00-000076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DN98" authorId="1" shapeId="0" xr:uid="{00000000-0006-0000-0D00-000077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DO98" authorId="1" shapeId="0" xr:uid="{00000000-0006-0000-0D00-000078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EK98" authorId="1" shapeId="0" xr:uid="{00000000-0006-0000-0D00-000079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EL98" authorId="1" shapeId="0" xr:uid="{00000000-0006-0000-0D00-00007A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EM98" authorId="1" shapeId="0" xr:uid="{00000000-0006-0000-0D00-00007B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FI98" authorId="1" shapeId="0" xr:uid="{00000000-0006-0000-0D00-00007C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FJ98" authorId="1" shapeId="0" xr:uid="{00000000-0006-0000-0D00-00007D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FK98" authorId="1" shapeId="0" xr:uid="{00000000-0006-0000-0D00-00007E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GG98" authorId="1" shapeId="0" xr:uid="{00000000-0006-0000-0D00-00007F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GH98" authorId="1" shapeId="0" xr:uid="{00000000-0006-0000-0D00-000080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GI98" authorId="1" shapeId="0" xr:uid="{00000000-0006-0000-0D00-00008105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T99" authorId="0" shapeId="0" xr:uid="{00000000-0006-0000-0D00-00008205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AR99" authorId="0" shapeId="0" xr:uid="{00000000-0006-0000-0D00-00008305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BP99" authorId="0" shapeId="0" xr:uid="{00000000-0006-0000-0D00-00008405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CN99" authorId="0" shapeId="0" xr:uid="{00000000-0006-0000-0D00-00008505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DL99" authorId="0" shapeId="0" xr:uid="{00000000-0006-0000-0D00-00008605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EJ99" authorId="0" shapeId="0" xr:uid="{00000000-0006-0000-0D00-00008705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FH99" authorId="0" shapeId="0" xr:uid="{00000000-0006-0000-0D00-00008805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GF99" authorId="0" shapeId="0" xr:uid="{00000000-0006-0000-0D00-00008905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K100" authorId="1" shapeId="0" xr:uid="{00000000-0006-0000-0D00-00008A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L100" authorId="1" shapeId="0" xr:uid="{00000000-0006-0000-0D00-00008B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M100" authorId="0" shapeId="0" xr:uid="{00000000-0006-0000-0D00-00008C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100" authorId="0" shapeId="0" xr:uid="{00000000-0006-0000-0D00-00008D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100" authorId="0" shapeId="0" xr:uid="{00000000-0006-0000-0D00-00008E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100" authorId="0" shapeId="0" xr:uid="{00000000-0006-0000-0D00-00008F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Q100" authorId="1" shapeId="0" xr:uid="{00000000-0006-0000-0D00-000090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R100" authorId="0" shapeId="0" xr:uid="{00000000-0006-0000-0D00-000091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100" authorId="0" shapeId="0" xr:uid="{00000000-0006-0000-0D00-000092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T100" authorId="0" shapeId="0" xr:uid="{00000000-0006-0000-0D00-000093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U100" authorId="1" shapeId="0" xr:uid="{00000000-0006-0000-0D00-000094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V100" authorId="1" shapeId="0" xr:uid="{00000000-0006-0000-0D00-000095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W100" authorId="1" shapeId="0" xr:uid="{00000000-0006-0000-0D00-000096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I100" authorId="1" shapeId="0" xr:uid="{00000000-0006-0000-0D00-000097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J100" authorId="1" shapeId="0" xr:uid="{00000000-0006-0000-0D00-000098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K100" authorId="0" shapeId="0" xr:uid="{00000000-0006-0000-0D00-000099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L100" authorId="0" shapeId="0" xr:uid="{00000000-0006-0000-0D00-00009A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M100" authorId="0" shapeId="0" xr:uid="{00000000-0006-0000-0D00-00009B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N100" authorId="0" shapeId="0" xr:uid="{00000000-0006-0000-0D00-00009C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O100" authorId="1" shapeId="0" xr:uid="{00000000-0006-0000-0D00-00009D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P100" authorId="0" shapeId="0" xr:uid="{00000000-0006-0000-0D00-00009E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Q100" authorId="0" shapeId="0" xr:uid="{00000000-0006-0000-0D00-00009F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R100" authorId="0" shapeId="0" xr:uid="{00000000-0006-0000-0D00-0000A0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S100" authorId="1" shapeId="0" xr:uid="{00000000-0006-0000-0D00-0000A1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T100" authorId="1" shapeId="0" xr:uid="{00000000-0006-0000-0D00-0000A2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U100" authorId="1" shapeId="0" xr:uid="{00000000-0006-0000-0D00-0000A3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G100" authorId="1" shapeId="0" xr:uid="{00000000-0006-0000-0D00-0000A4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H100" authorId="1" shapeId="0" xr:uid="{00000000-0006-0000-0D00-0000A5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I100" authorId="0" shapeId="0" xr:uid="{00000000-0006-0000-0D00-0000A6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J100" authorId="0" shapeId="0" xr:uid="{00000000-0006-0000-0D00-0000A7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K100" authorId="0" shapeId="0" xr:uid="{00000000-0006-0000-0D00-0000A8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L100" authorId="0" shapeId="0" xr:uid="{00000000-0006-0000-0D00-0000A9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M100" authorId="1" shapeId="0" xr:uid="{00000000-0006-0000-0D00-0000AA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N100" authorId="0" shapeId="0" xr:uid="{00000000-0006-0000-0D00-0000AB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O100" authorId="0" shapeId="0" xr:uid="{00000000-0006-0000-0D00-0000AC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P100" authorId="0" shapeId="0" xr:uid="{00000000-0006-0000-0D00-0000AD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Q100" authorId="1" shapeId="0" xr:uid="{00000000-0006-0000-0D00-0000AE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R100" authorId="1" shapeId="0" xr:uid="{00000000-0006-0000-0D00-0000AF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S100" authorId="1" shapeId="0" xr:uid="{00000000-0006-0000-0D00-0000B0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E100" authorId="1" shapeId="0" xr:uid="{00000000-0006-0000-0D00-0000B1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F100" authorId="1" shapeId="0" xr:uid="{00000000-0006-0000-0D00-0000B2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G100" authorId="0" shapeId="0" xr:uid="{00000000-0006-0000-0D00-0000B3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H100" authorId="0" shapeId="0" xr:uid="{00000000-0006-0000-0D00-0000B4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I100" authorId="0" shapeId="0" xr:uid="{00000000-0006-0000-0D00-0000B5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J100" authorId="0" shapeId="0" xr:uid="{00000000-0006-0000-0D00-0000B6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K100" authorId="1" shapeId="0" xr:uid="{00000000-0006-0000-0D00-0000B7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L100" authorId="0" shapeId="0" xr:uid="{00000000-0006-0000-0D00-0000B8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M100" authorId="0" shapeId="0" xr:uid="{00000000-0006-0000-0D00-0000B9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N100" authorId="0" shapeId="0" xr:uid="{00000000-0006-0000-0D00-0000BA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O100" authorId="1" shapeId="0" xr:uid="{00000000-0006-0000-0D00-0000BB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P100" authorId="1" shapeId="0" xr:uid="{00000000-0006-0000-0D00-0000BC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Q100" authorId="1" shapeId="0" xr:uid="{00000000-0006-0000-0D00-0000BD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C100" authorId="1" shapeId="0" xr:uid="{00000000-0006-0000-0D00-0000BE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D100" authorId="1" shapeId="0" xr:uid="{00000000-0006-0000-0D00-0000BF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E100" authorId="0" shapeId="0" xr:uid="{00000000-0006-0000-0D00-0000C0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F100" authorId="0" shapeId="0" xr:uid="{00000000-0006-0000-0D00-0000C1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G100" authorId="0" shapeId="0" xr:uid="{00000000-0006-0000-0D00-0000C2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H100" authorId="0" shapeId="0" xr:uid="{00000000-0006-0000-0D00-0000C3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I100" authorId="1" shapeId="0" xr:uid="{00000000-0006-0000-0D00-0000C4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J100" authorId="0" shapeId="0" xr:uid="{00000000-0006-0000-0D00-0000C5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K100" authorId="0" shapeId="0" xr:uid="{00000000-0006-0000-0D00-0000C6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L100" authorId="0" shapeId="0" xr:uid="{00000000-0006-0000-0D00-0000C7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M100" authorId="1" shapeId="0" xr:uid="{00000000-0006-0000-0D00-0000C8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N100" authorId="1" shapeId="0" xr:uid="{00000000-0006-0000-0D00-0000C9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O100" authorId="1" shapeId="0" xr:uid="{00000000-0006-0000-0D00-0000CA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A100" authorId="1" shapeId="0" xr:uid="{00000000-0006-0000-0D00-0000CB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B100" authorId="1" shapeId="0" xr:uid="{00000000-0006-0000-0D00-0000CC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C100" authorId="0" shapeId="0" xr:uid="{00000000-0006-0000-0D00-0000CD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D100" authorId="0" shapeId="0" xr:uid="{00000000-0006-0000-0D00-0000CE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E100" authorId="0" shapeId="0" xr:uid="{00000000-0006-0000-0D00-0000CF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F100" authorId="0" shapeId="0" xr:uid="{00000000-0006-0000-0D00-0000D0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G100" authorId="1" shapeId="0" xr:uid="{00000000-0006-0000-0D00-0000D1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H100" authorId="0" shapeId="0" xr:uid="{00000000-0006-0000-0D00-0000D2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I100" authorId="0" shapeId="0" xr:uid="{00000000-0006-0000-0D00-0000D3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J100" authorId="0" shapeId="0" xr:uid="{00000000-0006-0000-0D00-0000D4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K100" authorId="1" shapeId="0" xr:uid="{00000000-0006-0000-0D00-0000D5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L100" authorId="1" shapeId="0" xr:uid="{00000000-0006-0000-0D00-0000D6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M100" authorId="1" shapeId="0" xr:uid="{00000000-0006-0000-0D00-0000D7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Y100" authorId="1" shapeId="0" xr:uid="{00000000-0006-0000-0D00-0000D8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Z100" authorId="1" shapeId="0" xr:uid="{00000000-0006-0000-0D00-0000D9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A100" authorId="0" shapeId="0" xr:uid="{00000000-0006-0000-0D00-0000DA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B100" authorId="0" shapeId="0" xr:uid="{00000000-0006-0000-0D00-0000DB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C100" authorId="0" shapeId="0" xr:uid="{00000000-0006-0000-0D00-0000DC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D100" authorId="0" shapeId="0" xr:uid="{00000000-0006-0000-0D00-0000DD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E100" authorId="1" shapeId="0" xr:uid="{00000000-0006-0000-0D00-0000DE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F100" authorId="0" shapeId="0" xr:uid="{00000000-0006-0000-0D00-0000DF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G100" authorId="0" shapeId="0" xr:uid="{00000000-0006-0000-0D00-0000E0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H100" authorId="0" shapeId="0" xr:uid="{00000000-0006-0000-0D00-0000E1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I100" authorId="1" shapeId="0" xr:uid="{00000000-0006-0000-0D00-0000E2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J100" authorId="1" shapeId="0" xr:uid="{00000000-0006-0000-0D00-0000E3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K100" authorId="1" shapeId="0" xr:uid="{00000000-0006-0000-0D00-0000E4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W100" authorId="1" shapeId="0" xr:uid="{00000000-0006-0000-0D00-0000E5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X100" authorId="1" shapeId="0" xr:uid="{00000000-0006-0000-0D00-0000E6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Y100" authorId="0" shapeId="0" xr:uid="{00000000-0006-0000-0D00-0000E7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Z100" authorId="0" shapeId="0" xr:uid="{00000000-0006-0000-0D00-0000E8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A100" authorId="0" shapeId="0" xr:uid="{00000000-0006-0000-0D00-0000E9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B100" authorId="0" shapeId="0" xr:uid="{00000000-0006-0000-0D00-0000EA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C100" authorId="1" shapeId="0" xr:uid="{00000000-0006-0000-0D00-0000EB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GD100" authorId="0" shapeId="0" xr:uid="{00000000-0006-0000-0D00-0000EC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E100" authorId="0" shapeId="0" xr:uid="{00000000-0006-0000-0D00-0000ED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F100" authorId="0" shapeId="0" xr:uid="{00000000-0006-0000-0D00-0000EE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G100" authorId="1" shapeId="0" xr:uid="{00000000-0006-0000-0D00-0000EF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GH100" authorId="1" shapeId="0" xr:uid="{00000000-0006-0000-0D00-0000F0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GI100" authorId="1" shapeId="0" xr:uid="{00000000-0006-0000-0D00-0000F1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K103" authorId="1" shapeId="0" xr:uid="{00000000-0006-0000-0D00-0000F2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L103" authorId="1" shapeId="0" xr:uid="{00000000-0006-0000-0D00-0000F3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M103" authorId="0" shapeId="0" xr:uid="{00000000-0006-0000-0D00-0000F4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103" authorId="0" shapeId="0" xr:uid="{00000000-0006-0000-0D00-0000F505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P103" authorId="0" shapeId="0" xr:uid="{00000000-0006-0000-0D00-0000F6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Q103" authorId="1" shapeId="0" xr:uid="{00000000-0006-0000-0D00-0000F7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R103" authorId="0" shapeId="0" xr:uid="{00000000-0006-0000-0D00-0000F8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S103" authorId="0" shapeId="0" xr:uid="{00000000-0006-0000-0D00-0000F9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T103" authorId="0" shapeId="0" xr:uid="{00000000-0006-0000-0D00-0000FA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U103" authorId="1" shapeId="0" xr:uid="{00000000-0006-0000-0D00-0000FB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V103" authorId="1" shapeId="0" xr:uid="{00000000-0006-0000-0D00-0000FC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W103" authorId="1" shapeId="0" xr:uid="{00000000-0006-0000-0D00-0000FD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I103" authorId="1" shapeId="0" xr:uid="{00000000-0006-0000-0D00-0000FE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J103" authorId="1" shapeId="0" xr:uid="{00000000-0006-0000-0D00-0000FF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K103" authorId="0" shapeId="0" xr:uid="{00000000-0006-0000-0D00-000000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L103" authorId="0" shapeId="0" xr:uid="{00000000-0006-0000-0D00-00000106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AN103" authorId="0" shapeId="0" xr:uid="{00000000-0006-0000-0D00-000002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O103" authorId="1" shapeId="0" xr:uid="{00000000-0006-0000-0D00-000003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P103" authorId="0" shapeId="0" xr:uid="{00000000-0006-0000-0D00-000004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Q103" authorId="0" shapeId="0" xr:uid="{00000000-0006-0000-0D00-000005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R103" authorId="0" shapeId="0" xr:uid="{00000000-0006-0000-0D00-000006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S103" authorId="1" shapeId="0" xr:uid="{00000000-0006-0000-0D00-000007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T103" authorId="1" shapeId="0" xr:uid="{00000000-0006-0000-0D00-000008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U103" authorId="1" shapeId="0" xr:uid="{00000000-0006-0000-0D00-000009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G103" authorId="1" shapeId="0" xr:uid="{00000000-0006-0000-0D00-00000A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H103" authorId="1" shapeId="0" xr:uid="{00000000-0006-0000-0D00-00000B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I103" authorId="0" shapeId="0" xr:uid="{00000000-0006-0000-0D00-00000C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J103" authorId="0" shapeId="0" xr:uid="{00000000-0006-0000-0D00-00000D06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BL103" authorId="0" shapeId="0" xr:uid="{00000000-0006-0000-0D00-00000E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M103" authorId="1" shapeId="0" xr:uid="{00000000-0006-0000-0D00-00000F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N103" authorId="0" shapeId="0" xr:uid="{00000000-0006-0000-0D00-000010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O103" authorId="0" shapeId="0" xr:uid="{00000000-0006-0000-0D00-000011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P103" authorId="0" shapeId="0" xr:uid="{00000000-0006-0000-0D00-000012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Q103" authorId="1" shapeId="0" xr:uid="{00000000-0006-0000-0D00-000013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R103" authorId="1" shapeId="0" xr:uid="{00000000-0006-0000-0D00-000014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S103" authorId="1" shapeId="0" xr:uid="{00000000-0006-0000-0D00-000015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E103" authorId="1" shapeId="0" xr:uid="{00000000-0006-0000-0D00-000016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F103" authorId="1" shapeId="0" xr:uid="{00000000-0006-0000-0D00-000017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G103" authorId="0" shapeId="0" xr:uid="{00000000-0006-0000-0D00-000018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H103" authorId="0" shapeId="0" xr:uid="{00000000-0006-0000-0D00-00001906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CJ103" authorId="0" shapeId="0" xr:uid="{00000000-0006-0000-0D00-00001A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K103" authorId="1" shapeId="0" xr:uid="{00000000-0006-0000-0D00-00001B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L103" authorId="0" shapeId="0" xr:uid="{00000000-0006-0000-0D00-00001C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M103" authorId="0" shapeId="0" xr:uid="{00000000-0006-0000-0D00-00001D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N103" authorId="0" shapeId="0" xr:uid="{00000000-0006-0000-0D00-00001E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O103" authorId="1" shapeId="0" xr:uid="{00000000-0006-0000-0D00-00001F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P103" authorId="1" shapeId="0" xr:uid="{00000000-0006-0000-0D00-000020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Q103" authorId="1" shapeId="0" xr:uid="{00000000-0006-0000-0D00-000021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C103" authorId="1" shapeId="0" xr:uid="{00000000-0006-0000-0D00-000022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D103" authorId="1" shapeId="0" xr:uid="{00000000-0006-0000-0D00-000023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E103" authorId="0" shapeId="0" xr:uid="{00000000-0006-0000-0D00-000024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F103" authorId="0" shapeId="0" xr:uid="{00000000-0006-0000-0D00-00002506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DH103" authorId="0" shapeId="0" xr:uid="{00000000-0006-0000-0D00-000026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I103" authorId="1" shapeId="0" xr:uid="{00000000-0006-0000-0D00-000027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J103" authorId="0" shapeId="0" xr:uid="{00000000-0006-0000-0D00-000028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K103" authorId="0" shapeId="0" xr:uid="{00000000-0006-0000-0D00-000029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L103" authorId="0" shapeId="0" xr:uid="{00000000-0006-0000-0D00-00002A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M103" authorId="1" shapeId="0" xr:uid="{00000000-0006-0000-0D00-00002B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N103" authorId="1" shapeId="0" xr:uid="{00000000-0006-0000-0D00-00002C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O103" authorId="1" shapeId="0" xr:uid="{00000000-0006-0000-0D00-00002D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A103" authorId="1" shapeId="0" xr:uid="{00000000-0006-0000-0D00-00002E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B103" authorId="1" shapeId="0" xr:uid="{00000000-0006-0000-0D00-00002F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C103" authorId="0" shapeId="0" xr:uid="{00000000-0006-0000-0D00-000030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D103" authorId="0" shapeId="0" xr:uid="{00000000-0006-0000-0D00-00003106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EF103" authorId="0" shapeId="0" xr:uid="{00000000-0006-0000-0D00-000032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G103" authorId="1" shapeId="0" xr:uid="{00000000-0006-0000-0D00-000033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H103" authorId="0" shapeId="0" xr:uid="{00000000-0006-0000-0D00-000034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I103" authorId="0" shapeId="0" xr:uid="{00000000-0006-0000-0D00-000035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J103" authorId="0" shapeId="0" xr:uid="{00000000-0006-0000-0D00-000036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K103" authorId="1" shapeId="0" xr:uid="{00000000-0006-0000-0D00-000037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L103" authorId="1" shapeId="0" xr:uid="{00000000-0006-0000-0D00-000038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M103" authorId="1" shapeId="0" xr:uid="{00000000-0006-0000-0D00-000039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Y103" authorId="1" shapeId="0" xr:uid="{00000000-0006-0000-0D00-00003A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Z103" authorId="1" shapeId="0" xr:uid="{00000000-0006-0000-0D00-00003B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A103" authorId="0" shapeId="0" xr:uid="{00000000-0006-0000-0D00-00003C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B103" authorId="0" shapeId="0" xr:uid="{00000000-0006-0000-0D00-00003D060000}">
      <text>
        <r>
          <rPr>
            <sz val="9"/>
            <color indexed="81"/>
            <rFont val="Tahoma"/>
            <family val="2"/>
          </rPr>
          <t>Could not find tab 'GR R' in source file.</t>
        </r>
      </text>
    </comment>
    <comment ref="FD103" authorId="0" shapeId="0" xr:uid="{00000000-0006-0000-0D00-00003E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E103" authorId="1" shapeId="0" xr:uid="{00000000-0006-0000-0D00-00003F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F103" authorId="0" shapeId="0" xr:uid="{00000000-0006-0000-0D00-000040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G103" authorId="0" shapeId="0" xr:uid="{00000000-0006-0000-0D00-000041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H103" authorId="0" shapeId="0" xr:uid="{00000000-0006-0000-0D00-000042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I103" authorId="1" shapeId="0" xr:uid="{00000000-0006-0000-0D00-000043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J103" authorId="1" shapeId="0" xr:uid="{00000000-0006-0000-0D00-000044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K103" authorId="1" shapeId="0" xr:uid="{00000000-0006-0000-0D00-000045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W103" authorId="1" shapeId="0" xr:uid="{00000000-0006-0000-0D00-000046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X103" authorId="1" shapeId="0" xr:uid="{00000000-0006-0000-0D00-000047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Y103" authorId="0" shapeId="0" xr:uid="{00000000-0006-0000-0D00-000048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Z103" authorId="0" shapeId="0" xr:uid="{00000000-0006-0000-0D00-000049060000}">
      <text>
        <r>
          <rPr>
            <sz val="9"/>
            <color indexed="81"/>
            <rFont val="Tahoma"/>
            <family val="2"/>
          </rPr>
          <t>Could not find tab 'GR Sum.' in source file.</t>
        </r>
      </text>
    </comment>
    <comment ref="GB103" authorId="0" shapeId="0" xr:uid="{00000000-0006-0000-0D00-00004A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C103" authorId="1" shapeId="0" xr:uid="{00000000-0006-0000-0D00-00004B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GD103" authorId="0" shapeId="0" xr:uid="{00000000-0006-0000-0D00-00004C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E103" authorId="0" shapeId="0" xr:uid="{00000000-0006-0000-0D00-00004D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F103" authorId="0" shapeId="0" xr:uid="{00000000-0006-0000-0D00-00004E06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G103" authorId="1" shapeId="0" xr:uid="{00000000-0006-0000-0D00-00004F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GH103" authorId="1" shapeId="0" xr:uid="{00000000-0006-0000-0D00-000050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GI103" authorId="1" shapeId="0" xr:uid="{00000000-0006-0000-0D00-00005106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test</author>
    <author>Stallmann, Judith I.</author>
  </authors>
  <commentList>
    <comment ref="IV18" authorId="0" shapeId="0" xr:uid="{00000000-0006-0000-0E00-000001000000}">
      <text>
        <r>
          <rPr>
            <sz val="9"/>
            <color indexed="81"/>
            <rFont val="Tahoma"/>
            <family val="2"/>
          </rPr>
          <t>Could not find source file for Adair county.</t>
        </r>
      </text>
    </comment>
    <comment ref="IW18" authorId="0" shapeId="0" xr:uid="{00000000-0006-0000-0E00-000002000000}">
      <text>
        <r>
          <rPr>
            <sz val="9"/>
            <color indexed="81"/>
            <rFont val="Tahoma"/>
            <family val="2"/>
          </rPr>
          <t>Could not find source file for Adair county.</t>
        </r>
      </text>
    </comment>
    <comment ref="IX18" authorId="1" shapeId="0" xr:uid="{00000000-0006-0000-0E00-000003000000}">
      <text>
        <r>
          <rPr>
            <sz val="9"/>
            <color indexed="81"/>
            <rFont val="Tahoma"/>
            <family val="2"/>
          </rPr>
          <t>Could not find source file for Adair county.</t>
        </r>
      </text>
    </comment>
    <comment ref="IY18" authorId="0" shapeId="0" xr:uid="{00000000-0006-0000-0E00-000004000000}">
      <text>
        <r>
          <rPr>
            <sz val="9"/>
            <color indexed="81"/>
            <rFont val="Tahoma"/>
            <family val="2"/>
          </rPr>
          <t>Could not find source file for Adair county.</t>
        </r>
      </text>
    </comment>
    <comment ref="IZ18" authorId="1" shapeId="0" xr:uid="{00000000-0006-0000-0E00-000005000000}">
      <text>
        <r>
          <rPr>
            <sz val="9"/>
            <color indexed="81"/>
            <rFont val="Tahoma"/>
            <family val="2"/>
          </rPr>
          <t>Could not find source file for Adair county.</t>
        </r>
      </text>
    </comment>
    <comment ref="JA18" authorId="1" shapeId="0" xr:uid="{00000000-0006-0000-0E00-000006000000}">
      <text>
        <r>
          <rPr>
            <sz val="9"/>
            <color indexed="81"/>
            <rFont val="Tahoma"/>
            <charset val="1"/>
          </rPr>
          <t>Could not find source file for Adair county.</t>
        </r>
      </text>
    </comment>
    <comment ref="JB18" authorId="1" shapeId="0" xr:uid="{00000000-0006-0000-0E00-000007000000}">
      <text>
        <r>
          <rPr>
            <sz val="9"/>
            <color indexed="81"/>
            <rFont val="Tahoma"/>
            <charset val="1"/>
          </rPr>
          <t>Could not find source file for Adair county.</t>
        </r>
      </text>
    </comment>
    <comment ref="JC18" authorId="1" shapeId="0" xr:uid="{00000000-0006-0000-0E00-000008000000}">
      <text>
        <r>
          <rPr>
            <sz val="9"/>
            <color indexed="81"/>
            <rFont val="Tahoma"/>
            <charset val="1"/>
          </rPr>
          <t>Could not find source file for Adair county.</t>
        </r>
      </text>
    </comment>
    <comment ref="IV19" authorId="0" shapeId="0" xr:uid="{00000000-0006-0000-0E00-000009000000}">
      <text>
        <r>
          <rPr>
            <sz val="9"/>
            <color indexed="81"/>
            <rFont val="Tahoma"/>
            <family val="2"/>
          </rPr>
          <t>Could not find source file for Andrew county.</t>
        </r>
      </text>
    </comment>
    <comment ref="IW19" authorId="0" shapeId="0" xr:uid="{00000000-0006-0000-0E00-00000A000000}">
      <text>
        <r>
          <rPr>
            <sz val="9"/>
            <color indexed="81"/>
            <rFont val="Tahoma"/>
            <family val="2"/>
          </rPr>
          <t>Could not find source file for Andrew county.</t>
        </r>
      </text>
    </comment>
    <comment ref="IX19" authorId="1" shapeId="0" xr:uid="{00000000-0006-0000-0E00-00000B000000}">
      <text>
        <r>
          <rPr>
            <sz val="9"/>
            <color indexed="81"/>
            <rFont val="Tahoma"/>
            <family val="2"/>
          </rPr>
          <t>Could not find source file for Andrew county.</t>
        </r>
      </text>
    </comment>
    <comment ref="IY19" authorId="0" shapeId="0" xr:uid="{00000000-0006-0000-0E00-00000C000000}">
      <text>
        <r>
          <rPr>
            <sz val="9"/>
            <color indexed="81"/>
            <rFont val="Tahoma"/>
            <family val="2"/>
          </rPr>
          <t>Could not find source file for Andrew county.</t>
        </r>
      </text>
    </comment>
    <comment ref="IZ19" authorId="1" shapeId="0" xr:uid="{00000000-0006-0000-0E00-00000D000000}">
      <text>
        <r>
          <rPr>
            <sz val="9"/>
            <color indexed="81"/>
            <rFont val="Tahoma"/>
            <family val="2"/>
          </rPr>
          <t>Could not find source file for Andrew county.</t>
        </r>
      </text>
    </comment>
    <comment ref="JA19" authorId="1" shapeId="0" xr:uid="{00000000-0006-0000-0E00-00000E000000}">
      <text>
        <r>
          <rPr>
            <sz val="9"/>
            <color indexed="81"/>
            <rFont val="Tahoma"/>
            <charset val="1"/>
          </rPr>
          <t>Could not find source file for Andrew county.</t>
        </r>
      </text>
    </comment>
    <comment ref="JB19" authorId="1" shapeId="0" xr:uid="{00000000-0006-0000-0E00-00000F000000}">
      <text>
        <r>
          <rPr>
            <sz val="9"/>
            <color indexed="81"/>
            <rFont val="Tahoma"/>
            <charset val="1"/>
          </rPr>
          <t>Could not find source file for Andrew county.</t>
        </r>
      </text>
    </comment>
    <comment ref="JC19" authorId="1" shapeId="0" xr:uid="{00000000-0006-0000-0E00-000010000000}">
      <text>
        <r>
          <rPr>
            <sz val="9"/>
            <color indexed="81"/>
            <rFont val="Tahoma"/>
            <charset val="1"/>
          </rPr>
          <t>Could not find source file for Andrew county.</t>
        </r>
      </text>
    </comment>
    <comment ref="IV20" authorId="0" shapeId="0" xr:uid="{00000000-0006-0000-0E00-000011000000}">
      <text>
        <r>
          <rPr>
            <sz val="9"/>
            <color indexed="81"/>
            <rFont val="Tahoma"/>
            <family val="2"/>
          </rPr>
          <t>Could not find source file for Atchison county.</t>
        </r>
      </text>
    </comment>
    <comment ref="IW20" authorId="0" shapeId="0" xr:uid="{00000000-0006-0000-0E00-000012000000}">
      <text>
        <r>
          <rPr>
            <sz val="9"/>
            <color indexed="81"/>
            <rFont val="Tahoma"/>
            <family val="2"/>
          </rPr>
          <t>Could not find source file for Atchison county.</t>
        </r>
      </text>
    </comment>
    <comment ref="IX20" authorId="1" shapeId="0" xr:uid="{00000000-0006-0000-0E00-000013000000}">
      <text>
        <r>
          <rPr>
            <sz val="9"/>
            <color indexed="81"/>
            <rFont val="Tahoma"/>
            <family val="2"/>
          </rPr>
          <t>Could not find source file for Atchison county.</t>
        </r>
      </text>
    </comment>
    <comment ref="IY20" authorId="0" shapeId="0" xr:uid="{00000000-0006-0000-0E00-000014000000}">
      <text>
        <r>
          <rPr>
            <sz val="9"/>
            <color indexed="81"/>
            <rFont val="Tahoma"/>
            <family val="2"/>
          </rPr>
          <t>Could not find source file for Atchison county.</t>
        </r>
      </text>
    </comment>
    <comment ref="IZ20" authorId="1" shapeId="0" xr:uid="{00000000-0006-0000-0E00-000015000000}">
      <text>
        <r>
          <rPr>
            <sz val="9"/>
            <color indexed="81"/>
            <rFont val="Tahoma"/>
            <family val="2"/>
          </rPr>
          <t>Could not find source file for Atchison county.</t>
        </r>
      </text>
    </comment>
    <comment ref="JA20" authorId="1" shapeId="0" xr:uid="{00000000-0006-0000-0E00-000016000000}">
      <text>
        <r>
          <rPr>
            <sz val="9"/>
            <color indexed="81"/>
            <rFont val="Tahoma"/>
            <charset val="1"/>
          </rPr>
          <t>Could not find source file for Atchison county.</t>
        </r>
      </text>
    </comment>
    <comment ref="JB20" authorId="1" shapeId="0" xr:uid="{00000000-0006-0000-0E00-000017000000}">
      <text>
        <r>
          <rPr>
            <sz val="9"/>
            <color indexed="81"/>
            <rFont val="Tahoma"/>
            <charset val="1"/>
          </rPr>
          <t>Could not find source file for Atchison county.</t>
        </r>
      </text>
    </comment>
    <comment ref="JC20" authorId="1" shapeId="0" xr:uid="{00000000-0006-0000-0E00-000018000000}">
      <text>
        <r>
          <rPr>
            <sz val="9"/>
            <color indexed="81"/>
            <rFont val="Tahoma"/>
            <charset val="1"/>
          </rPr>
          <t>Could not find source file for Atchison county.</t>
        </r>
      </text>
    </comment>
    <comment ref="IV21" authorId="0" shapeId="0" xr:uid="{00000000-0006-0000-0E00-000019000000}">
      <text>
        <r>
          <rPr>
            <sz val="9"/>
            <color indexed="81"/>
            <rFont val="Tahoma"/>
            <family val="2"/>
          </rPr>
          <t>Could not find source file for Audrain county.</t>
        </r>
      </text>
    </comment>
    <comment ref="IW21" authorId="0" shapeId="0" xr:uid="{00000000-0006-0000-0E00-00001A000000}">
      <text>
        <r>
          <rPr>
            <sz val="9"/>
            <color indexed="81"/>
            <rFont val="Tahoma"/>
            <family val="2"/>
          </rPr>
          <t>Could not find source file for Audrain county.</t>
        </r>
      </text>
    </comment>
    <comment ref="IX21" authorId="1" shapeId="0" xr:uid="{00000000-0006-0000-0E00-00001B000000}">
      <text>
        <r>
          <rPr>
            <sz val="9"/>
            <color indexed="81"/>
            <rFont val="Tahoma"/>
            <family val="2"/>
          </rPr>
          <t>Could not find source file for Audrain county.</t>
        </r>
      </text>
    </comment>
    <comment ref="IY21" authorId="0" shapeId="0" xr:uid="{00000000-0006-0000-0E00-00001C000000}">
      <text>
        <r>
          <rPr>
            <sz val="9"/>
            <color indexed="81"/>
            <rFont val="Tahoma"/>
            <family val="2"/>
          </rPr>
          <t>Could not find source file for Audrain county.</t>
        </r>
      </text>
    </comment>
    <comment ref="IZ21" authorId="1" shapeId="0" xr:uid="{00000000-0006-0000-0E00-00001D000000}">
      <text>
        <r>
          <rPr>
            <sz val="9"/>
            <color indexed="81"/>
            <rFont val="Tahoma"/>
            <family val="2"/>
          </rPr>
          <t>Could not find source file for Audrain county.</t>
        </r>
      </text>
    </comment>
    <comment ref="JA21" authorId="1" shapeId="0" xr:uid="{00000000-0006-0000-0E00-00001E000000}">
      <text>
        <r>
          <rPr>
            <sz val="9"/>
            <color indexed="81"/>
            <rFont val="Tahoma"/>
            <charset val="1"/>
          </rPr>
          <t>Could not find source file for Audrain county.</t>
        </r>
      </text>
    </comment>
    <comment ref="JB21" authorId="1" shapeId="0" xr:uid="{00000000-0006-0000-0E00-00001F000000}">
      <text>
        <r>
          <rPr>
            <sz val="9"/>
            <color indexed="81"/>
            <rFont val="Tahoma"/>
            <charset val="1"/>
          </rPr>
          <t>Could not find source file for Audrain county.</t>
        </r>
      </text>
    </comment>
    <comment ref="JC21" authorId="1" shapeId="0" xr:uid="{00000000-0006-0000-0E00-000020000000}">
      <text>
        <r>
          <rPr>
            <sz val="9"/>
            <color indexed="81"/>
            <rFont val="Tahoma"/>
            <charset val="1"/>
          </rPr>
          <t>Could not find source file for Audrain county.</t>
        </r>
      </text>
    </comment>
    <comment ref="R22" authorId="1" shapeId="0" xr:uid="{00000000-0006-0000-0E00-000021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AP22" authorId="1" shapeId="0" xr:uid="{00000000-0006-0000-0E00-000022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BN22" authorId="1" shapeId="0" xr:uid="{00000000-0006-0000-0E00-000023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CL22" authorId="1" shapeId="0" xr:uid="{00000000-0006-0000-0E00-000024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DJ22" authorId="1" shapeId="0" xr:uid="{00000000-0006-0000-0E00-000025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EH22" authorId="1" shapeId="0" xr:uid="{00000000-0006-0000-0E00-000026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FF22" authorId="1" shapeId="0" xr:uid="{00000000-0006-0000-0E00-000027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GD22" authorId="1" shapeId="0" xr:uid="{00000000-0006-0000-0E00-000028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HB22" authorId="1" shapeId="0" xr:uid="{00000000-0006-0000-0E00-000029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HZ22" authorId="1" shapeId="0" xr:uid="{00000000-0006-0000-0E00-00002A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IV22" authorId="0" shapeId="0" xr:uid="{00000000-0006-0000-0E00-00002B000000}">
      <text>
        <r>
          <rPr>
            <sz val="9"/>
            <color indexed="81"/>
            <rFont val="Tahoma"/>
            <family val="2"/>
          </rPr>
          <t>Could not find source file for Barry county.</t>
        </r>
      </text>
    </comment>
    <comment ref="IW22" authorId="0" shapeId="0" xr:uid="{00000000-0006-0000-0E00-00002C000000}">
      <text>
        <r>
          <rPr>
            <sz val="9"/>
            <color indexed="81"/>
            <rFont val="Tahoma"/>
            <family val="2"/>
          </rPr>
          <t>Could not find source file for Barry county.</t>
        </r>
      </text>
    </comment>
    <comment ref="IX22" authorId="1" shapeId="0" xr:uid="{00000000-0006-0000-0E00-00002D000000}">
      <text>
        <r>
          <rPr>
            <sz val="9"/>
            <color indexed="81"/>
            <rFont val="Tahoma"/>
            <family val="2"/>
          </rPr>
          <t>Could not find source file for Barry county.</t>
        </r>
      </text>
    </comment>
    <comment ref="IY22" authorId="0" shapeId="0" xr:uid="{00000000-0006-0000-0E00-00002E000000}">
      <text>
        <r>
          <rPr>
            <sz val="9"/>
            <color indexed="81"/>
            <rFont val="Tahoma"/>
            <family val="2"/>
          </rPr>
          <t>Could not find source file for Barry county.</t>
        </r>
      </text>
    </comment>
    <comment ref="IZ22" authorId="1" shapeId="0" xr:uid="{00000000-0006-0000-0E00-00002F000000}">
      <text>
        <r>
          <rPr>
            <sz val="9"/>
            <color indexed="81"/>
            <rFont val="Tahoma"/>
            <family val="2"/>
          </rPr>
          <t>Could not find source file for Barry county.</t>
        </r>
      </text>
    </comment>
    <comment ref="JA22" authorId="1" shapeId="0" xr:uid="{00000000-0006-0000-0E00-000030000000}">
      <text>
        <r>
          <rPr>
            <sz val="9"/>
            <color indexed="81"/>
            <rFont val="Tahoma"/>
            <charset val="1"/>
          </rPr>
          <t>Could not find source file for Barry county.</t>
        </r>
      </text>
    </comment>
    <comment ref="JB22" authorId="1" shapeId="0" xr:uid="{00000000-0006-0000-0E00-000031000000}">
      <text>
        <r>
          <rPr>
            <sz val="9"/>
            <color indexed="81"/>
            <rFont val="Tahoma"/>
            <charset val="1"/>
          </rPr>
          <t>Could not find source file for Barry county.</t>
        </r>
      </text>
    </comment>
    <comment ref="JC22" authorId="1" shapeId="0" xr:uid="{00000000-0006-0000-0E00-000032000000}">
      <text>
        <r>
          <rPr>
            <sz val="9"/>
            <color indexed="81"/>
            <rFont val="Tahoma"/>
            <charset val="1"/>
          </rPr>
          <t>Could not find source file for Barry county.</t>
        </r>
      </text>
    </comment>
    <comment ref="JV22" authorId="1" shapeId="0" xr:uid="{00000000-0006-0000-0E00-000033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KT22" authorId="1" shapeId="0" xr:uid="{00000000-0006-0000-0E00-000034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LR22" authorId="1" shapeId="0" xr:uid="{00000000-0006-0000-0E00-000035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MP22" authorId="1" shapeId="0" xr:uid="{00000000-0006-0000-0E00-000036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NN22" authorId="1" shapeId="0" xr:uid="{00000000-0006-0000-0E00-000037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OL22" authorId="1" shapeId="0" xr:uid="{00000000-0006-0000-0E00-000038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PJ22" authorId="1" shapeId="0" xr:uid="{00000000-0006-0000-0E00-000039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QH22" authorId="1" shapeId="0" xr:uid="{00000000-0006-0000-0E00-00003A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RF22" authorId="1" shapeId="0" xr:uid="{00000000-0006-0000-0E00-00003B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SD22" authorId="1" shapeId="0" xr:uid="{00000000-0006-0000-0E00-00003C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IV23" authorId="0" shapeId="0" xr:uid="{00000000-0006-0000-0E00-00003D000000}">
      <text>
        <r>
          <rPr>
            <sz val="9"/>
            <color indexed="81"/>
            <rFont val="Tahoma"/>
            <family val="2"/>
          </rPr>
          <t>Could not find source file for Barton county.</t>
        </r>
      </text>
    </comment>
    <comment ref="IW23" authorId="0" shapeId="0" xr:uid="{00000000-0006-0000-0E00-00003E000000}">
      <text>
        <r>
          <rPr>
            <sz val="9"/>
            <color indexed="81"/>
            <rFont val="Tahoma"/>
            <family val="2"/>
          </rPr>
          <t>Could not find source file for Barton county.</t>
        </r>
      </text>
    </comment>
    <comment ref="IX23" authorId="1" shapeId="0" xr:uid="{00000000-0006-0000-0E00-00003F000000}">
      <text>
        <r>
          <rPr>
            <sz val="9"/>
            <color indexed="81"/>
            <rFont val="Tahoma"/>
            <family val="2"/>
          </rPr>
          <t>Could not find source file for Barton county.</t>
        </r>
      </text>
    </comment>
    <comment ref="IY23" authorId="0" shapeId="0" xr:uid="{00000000-0006-0000-0E00-000040000000}">
      <text>
        <r>
          <rPr>
            <sz val="9"/>
            <color indexed="81"/>
            <rFont val="Tahoma"/>
            <family val="2"/>
          </rPr>
          <t>Could not find source file for Barton county.</t>
        </r>
      </text>
    </comment>
    <comment ref="IZ23" authorId="1" shapeId="0" xr:uid="{00000000-0006-0000-0E00-000041000000}">
      <text>
        <r>
          <rPr>
            <sz val="9"/>
            <color indexed="81"/>
            <rFont val="Tahoma"/>
            <family val="2"/>
          </rPr>
          <t>Could not find source file for Barton county.</t>
        </r>
      </text>
    </comment>
    <comment ref="JA23" authorId="1" shapeId="0" xr:uid="{00000000-0006-0000-0E00-000042000000}">
      <text>
        <r>
          <rPr>
            <sz val="9"/>
            <color indexed="81"/>
            <rFont val="Tahoma"/>
            <charset val="1"/>
          </rPr>
          <t>Could not find source file for Barton county.</t>
        </r>
      </text>
    </comment>
    <comment ref="JB23" authorId="1" shapeId="0" xr:uid="{00000000-0006-0000-0E00-000043000000}">
      <text>
        <r>
          <rPr>
            <sz val="9"/>
            <color indexed="81"/>
            <rFont val="Tahoma"/>
            <charset val="1"/>
          </rPr>
          <t>Could not find source file for Barton county.</t>
        </r>
      </text>
    </comment>
    <comment ref="JC23" authorId="1" shapeId="0" xr:uid="{00000000-0006-0000-0E00-000044000000}">
      <text>
        <r>
          <rPr>
            <sz val="9"/>
            <color indexed="81"/>
            <rFont val="Tahoma"/>
            <charset val="1"/>
          </rPr>
          <t>Could not find source file for Barton county.</t>
        </r>
      </text>
    </comment>
    <comment ref="K24" authorId="1" shapeId="0" xr:uid="{00000000-0006-0000-0E00-000045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L24" authorId="1" shapeId="0" xr:uid="{00000000-0006-0000-0E00-000046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M24" authorId="0" shapeId="0" xr:uid="{00000000-0006-0000-0E00-00004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24" authorId="0" shapeId="0" xr:uid="{00000000-0006-0000-0E00-00004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24" authorId="0" shapeId="0" xr:uid="{00000000-0006-0000-0E00-00004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24" authorId="0" shapeId="0" xr:uid="{00000000-0006-0000-0E00-00004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24" authorId="0" shapeId="0" xr:uid="{00000000-0006-0000-0E00-00004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24" authorId="1" shapeId="0" xr:uid="{00000000-0006-0000-0E00-00004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24" authorId="0" shapeId="0" xr:uid="{00000000-0006-0000-0E00-00004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T24" authorId="1" shapeId="0" xr:uid="{00000000-0006-0000-0E00-00004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U24" authorId="1" shapeId="0" xr:uid="{00000000-0006-0000-0E00-00004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V24" authorId="1" shapeId="0" xr:uid="{00000000-0006-0000-0E00-00005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W24" authorId="1" shapeId="0" xr:uid="{00000000-0006-0000-0E00-00005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I24" authorId="1" shapeId="0" xr:uid="{00000000-0006-0000-0E00-000052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J24" authorId="1" shapeId="0" xr:uid="{00000000-0006-0000-0E00-00005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K24" authorId="0" shapeId="0" xr:uid="{00000000-0006-0000-0E00-00005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L24" authorId="0" shapeId="0" xr:uid="{00000000-0006-0000-0E00-00005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M24" authorId="0" shapeId="0" xr:uid="{00000000-0006-0000-0E00-00005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N24" authorId="0" shapeId="0" xr:uid="{00000000-0006-0000-0E00-00005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O24" authorId="0" shapeId="0" xr:uid="{00000000-0006-0000-0E00-00005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P24" authorId="1" shapeId="0" xr:uid="{00000000-0006-0000-0E00-00005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Q24" authorId="0" shapeId="0" xr:uid="{00000000-0006-0000-0E00-00005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R24" authorId="1" shapeId="0" xr:uid="{00000000-0006-0000-0E00-00005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S24" authorId="1" shapeId="0" xr:uid="{00000000-0006-0000-0E00-00005C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T24" authorId="1" shapeId="0" xr:uid="{00000000-0006-0000-0E00-00005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U24" authorId="1" shapeId="0" xr:uid="{00000000-0006-0000-0E00-00005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G24" authorId="1" shapeId="0" xr:uid="{00000000-0006-0000-0E00-00005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H24" authorId="1" shapeId="0" xr:uid="{00000000-0006-0000-0E00-00006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I24" authorId="0" shapeId="0" xr:uid="{00000000-0006-0000-0E00-00006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J24" authorId="0" shapeId="0" xr:uid="{00000000-0006-0000-0E00-00006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K24" authorId="0" shapeId="0" xr:uid="{00000000-0006-0000-0E00-00006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L24" authorId="0" shapeId="0" xr:uid="{00000000-0006-0000-0E00-00006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M24" authorId="0" shapeId="0" xr:uid="{00000000-0006-0000-0E00-00006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N24" authorId="1" shapeId="0" xr:uid="{00000000-0006-0000-0E00-00006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O24" authorId="0" shapeId="0" xr:uid="{00000000-0006-0000-0E00-00006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P24" authorId="1" shapeId="0" xr:uid="{00000000-0006-0000-0E00-00006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Q24" authorId="1" shapeId="0" xr:uid="{00000000-0006-0000-0E00-000069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R24" authorId="1" shapeId="0" xr:uid="{00000000-0006-0000-0E00-00006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S24" authorId="1" shapeId="0" xr:uid="{00000000-0006-0000-0E00-00006B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E24" authorId="1" shapeId="0" xr:uid="{00000000-0006-0000-0E00-00006C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F24" authorId="1" shapeId="0" xr:uid="{00000000-0006-0000-0E00-00006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G24" authorId="0" shapeId="0" xr:uid="{00000000-0006-0000-0E00-00006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H24" authorId="0" shapeId="0" xr:uid="{00000000-0006-0000-0E00-00006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I24" authorId="0" shapeId="0" xr:uid="{00000000-0006-0000-0E00-00007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J24" authorId="0" shapeId="0" xr:uid="{00000000-0006-0000-0E00-00007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K24" authorId="0" shapeId="0" xr:uid="{00000000-0006-0000-0E00-00007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L24" authorId="1" shapeId="0" xr:uid="{00000000-0006-0000-0E00-00007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M24" authorId="0" shapeId="0" xr:uid="{00000000-0006-0000-0E00-00007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N24" authorId="1" shapeId="0" xr:uid="{00000000-0006-0000-0E00-00007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O24" authorId="1" shapeId="0" xr:uid="{00000000-0006-0000-0E00-000076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P24" authorId="1" shapeId="0" xr:uid="{00000000-0006-0000-0E00-00007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Q24" authorId="1" shapeId="0" xr:uid="{00000000-0006-0000-0E00-000078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C24" authorId="1" shapeId="0" xr:uid="{00000000-0006-0000-0E00-000079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D24" authorId="1" shapeId="0" xr:uid="{00000000-0006-0000-0E00-00007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E24" authorId="0" shapeId="0" xr:uid="{00000000-0006-0000-0E00-00007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F24" authorId="0" shapeId="0" xr:uid="{00000000-0006-0000-0E00-00007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G24" authorId="0" shapeId="0" xr:uid="{00000000-0006-0000-0E00-00007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H24" authorId="0" shapeId="0" xr:uid="{00000000-0006-0000-0E00-00007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I24" authorId="0" shapeId="0" xr:uid="{00000000-0006-0000-0E00-00007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J24" authorId="1" shapeId="0" xr:uid="{00000000-0006-0000-0E00-00008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K24" authorId="0" shapeId="0" xr:uid="{00000000-0006-0000-0E00-00008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L24" authorId="1" shapeId="0" xr:uid="{00000000-0006-0000-0E00-00008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M24" authorId="1" shapeId="0" xr:uid="{00000000-0006-0000-0E00-00008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N24" authorId="1" shapeId="0" xr:uid="{00000000-0006-0000-0E00-00008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O24" authorId="1" shapeId="0" xr:uid="{00000000-0006-0000-0E00-000085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A24" authorId="1" shapeId="0" xr:uid="{00000000-0006-0000-0E00-000086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B24" authorId="1" shapeId="0" xr:uid="{00000000-0006-0000-0E00-00008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C24" authorId="0" shapeId="0" xr:uid="{00000000-0006-0000-0E00-00008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D24" authorId="0" shapeId="0" xr:uid="{00000000-0006-0000-0E00-00008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E24" authorId="0" shapeId="0" xr:uid="{00000000-0006-0000-0E00-00008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F24" authorId="0" shapeId="0" xr:uid="{00000000-0006-0000-0E00-00008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G24" authorId="0" shapeId="0" xr:uid="{00000000-0006-0000-0E00-00008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H24" authorId="1" shapeId="0" xr:uid="{00000000-0006-0000-0E00-00008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I24" authorId="0" shapeId="0" xr:uid="{00000000-0006-0000-0E00-00008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J24" authorId="1" shapeId="0" xr:uid="{00000000-0006-0000-0E00-00008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K24" authorId="1" shapeId="0" xr:uid="{00000000-0006-0000-0E00-00009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L24" authorId="1" shapeId="0" xr:uid="{00000000-0006-0000-0E00-00009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M24" authorId="1" shapeId="0" xr:uid="{00000000-0006-0000-0E00-000092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Y24" authorId="1" shapeId="0" xr:uid="{00000000-0006-0000-0E00-00009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Z24" authorId="1" shapeId="0" xr:uid="{00000000-0006-0000-0E00-00009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A24" authorId="0" shapeId="0" xr:uid="{00000000-0006-0000-0E00-00009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B24" authorId="0" shapeId="0" xr:uid="{00000000-0006-0000-0E00-00009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C24" authorId="0" shapeId="0" xr:uid="{00000000-0006-0000-0E00-00009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D24" authorId="0" shapeId="0" xr:uid="{00000000-0006-0000-0E00-00009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E24" authorId="0" shapeId="0" xr:uid="{00000000-0006-0000-0E00-00009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F24" authorId="1" shapeId="0" xr:uid="{00000000-0006-0000-0E00-00009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G24" authorId="0" shapeId="0" xr:uid="{00000000-0006-0000-0E00-00009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H24" authorId="1" shapeId="0" xr:uid="{00000000-0006-0000-0E00-00009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I24" authorId="1" shapeId="0" xr:uid="{00000000-0006-0000-0E00-00009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J24" authorId="1" shapeId="0" xr:uid="{00000000-0006-0000-0E00-00009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K24" authorId="1" shapeId="0" xr:uid="{00000000-0006-0000-0E00-00009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W24" authorId="1" shapeId="0" xr:uid="{00000000-0006-0000-0E00-0000A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X24" authorId="1" shapeId="0" xr:uid="{00000000-0006-0000-0E00-0000A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Y24" authorId="0" shapeId="0" xr:uid="{00000000-0006-0000-0E00-0000A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Z24" authorId="0" shapeId="0" xr:uid="{00000000-0006-0000-0E00-0000A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A24" authorId="0" shapeId="0" xr:uid="{00000000-0006-0000-0E00-0000A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B24" authorId="0" shapeId="0" xr:uid="{00000000-0006-0000-0E00-0000A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C24" authorId="0" shapeId="0" xr:uid="{00000000-0006-0000-0E00-0000A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D24" authorId="1" shapeId="0" xr:uid="{00000000-0006-0000-0E00-0000A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E24" authorId="0" shapeId="0" xr:uid="{00000000-0006-0000-0E00-0000A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F24" authorId="1" shapeId="0" xr:uid="{00000000-0006-0000-0E00-0000A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G24" authorId="1" shapeId="0" xr:uid="{00000000-0006-0000-0E00-0000A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GH24" authorId="1" shapeId="0" xr:uid="{00000000-0006-0000-0E00-0000AB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GI24" authorId="1" shapeId="0" xr:uid="{00000000-0006-0000-0E00-0000AC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GU24" authorId="1" shapeId="0" xr:uid="{00000000-0006-0000-0E00-0000A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GV24" authorId="1" shapeId="0" xr:uid="{00000000-0006-0000-0E00-0000A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GW24" authorId="0" shapeId="0" xr:uid="{00000000-0006-0000-0E00-0000A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X24" authorId="0" shapeId="0" xr:uid="{00000000-0006-0000-0E00-0000B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Y24" authorId="0" shapeId="0" xr:uid="{00000000-0006-0000-0E00-0000B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GZ24" authorId="0" shapeId="0" xr:uid="{00000000-0006-0000-0E00-0000B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A24" authorId="0" shapeId="0" xr:uid="{00000000-0006-0000-0E00-0000B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B24" authorId="1" shapeId="0" xr:uid="{00000000-0006-0000-0E00-0000B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C24" authorId="0" shapeId="0" xr:uid="{00000000-0006-0000-0E00-0000B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D24" authorId="1" shapeId="0" xr:uid="{00000000-0006-0000-0E00-0000B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E24" authorId="1" shapeId="0" xr:uid="{00000000-0006-0000-0E00-0000B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HF24" authorId="1" shapeId="0" xr:uid="{00000000-0006-0000-0E00-0000B8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HG24" authorId="1" shapeId="0" xr:uid="{00000000-0006-0000-0E00-0000B9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HS24" authorId="1" shapeId="0" xr:uid="{00000000-0006-0000-0E00-0000B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HT24" authorId="1" shapeId="0" xr:uid="{00000000-0006-0000-0E00-0000BB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HU24" authorId="0" shapeId="0" xr:uid="{00000000-0006-0000-0E00-0000B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V24" authorId="0" shapeId="0" xr:uid="{00000000-0006-0000-0E00-0000B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W24" authorId="0" shapeId="0" xr:uid="{00000000-0006-0000-0E00-0000B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X24" authorId="0" shapeId="0" xr:uid="{00000000-0006-0000-0E00-0000B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Y24" authorId="0" shapeId="0" xr:uid="{00000000-0006-0000-0E00-0000C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HZ24" authorId="1" shapeId="0" xr:uid="{00000000-0006-0000-0E00-0000C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A24" authorId="0" shapeId="0" xr:uid="{00000000-0006-0000-0E00-0000C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B24" authorId="1" shapeId="0" xr:uid="{00000000-0006-0000-0E00-0000C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C24" authorId="1" shapeId="0" xr:uid="{00000000-0006-0000-0E00-0000C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ID24" authorId="1" shapeId="0" xr:uid="{00000000-0006-0000-0E00-0000C5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IE24" authorId="1" shapeId="0" xr:uid="{00000000-0006-0000-0E00-0000C6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IQ24" authorId="1" shapeId="0" xr:uid="{00000000-0006-0000-0E00-0000C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IR24" authorId="1" shapeId="0" xr:uid="{00000000-0006-0000-0E00-0000C8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IS24" authorId="0" shapeId="0" xr:uid="{00000000-0006-0000-0E00-0000C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T24" authorId="0" shapeId="0" xr:uid="{00000000-0006-0000-0E00-0000C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U24" authorId="0" shapeId="0" xr:uid="{00000000-0006-0000-0E00-0000C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V24" authorId="0" shapeId="0" xr:uid="{00000000-0006-0000-0E00-0000C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W24" authorId="0" shapeId="0" xr:uid="{00000000-0006-0000-0E00-0000C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X24" authorId="1" shapeId="0" xr:uid="{00000000-0006-0000-0E00-0000C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Y24" authorId="0" shapeId="0" xr:uid="{00000000-0006-0000-0E00-0000C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IZ24" authorId="1" shapeId="0" xr:uid="{00000000-0006-0000-0E00-0000D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JA24" authorId="1" shapeId="0" xr:uid="{00000000-0006-0000-0E00-0000D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JB24" authorId="1" shapeId="0" xr:uid="{00000000-0006-0000-0E00-0000D2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JC24" authorId="1" shapeId="0" xr:uid="{00000000-0006-0000-0E00-0000D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JO24" authorId="1" shapeId="0" xr:uid="{00000000-0006-0000-0E00-0000D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JP24" authorId="1" shapeId="0" xr:uid="{00000000-0006-0000-0E00-0000D5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JQ24" authorId="0" shapeId="0" xr:uid="{00000000-0006-0000-0E00-0000D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JR24" authorId="0" shapeId="0" xr:uid="{00000000-0006-0000-0E00-0000D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JS24" authorId="0" shapeId="0" xr:uid="{00000000-0006-0000-0E00-0000D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JT24" authorId="0" shapeId="0" xr:uid="{00000000-0006-0000-0E00-0000D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JU24" authorId="0" shapeId="0" xr:uid="{00000000-0006-0000-0E00-0000D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JV24" authorId="1" shapeId="0" xr:uid="{00000000-0006-0000-0E00-0000D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JW24" authorId="0" shapeId="0" xr:uid="{00000000-0006-0000-0E00-0000D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JX24" authorId="1" shapeId="0" xr:uid="{00000000-0006-0000-0E00-0000D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JY24" authorId="1" shapeId="0" xr:uid="{00000000-0006-0000-0E00-0000D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JZ24" authorId="1" shapeId="0" xr:uid="{00000000-0006-0000-0E00-0000D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KA24" authorId="1" shapeId="0" xr:uid="{00000000-0006-0000-0E00-0000E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KM24" authorId="1" shapeId="0" xr:uid="{00000000-0006-0000-0E00-0000E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KN24" authorId="1" shapeId="0" xr:uid="{00000000-0006-0000-0E00-0000E2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KO24" authorId="0" shapeId="0" xr:uid="{00000000-0006-0000-0E00-0000E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KP24" authorId="0" shapeId="0" xr:uid="{00000000-0006-0000-0E00-0000E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KQ24" authorId="0" shapeId="0" xr:uid="{00000000-0006-0000-0E00-0000E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KR24" authorId="0" shapeId="0" xr:uid="{00000000-0006-0000-0E00-0000E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KS24" authorId="0" shapeId="0" xr:uid="{00000000-0006-0000-0E00-0000E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KT24" authorId="1" shapeId="0" xr:uid="{00000000-0006-0000-0E00-0000E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KU24" authorId="0" shapeId="0" xr:uid="{00000000-0006-0000-0E00-0000E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KV24" authorId="1" shapeId="0" xr:uid="{00000000-0006-0000-0E00-0000E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KW24" authorId="1" shapeId="0" xr:uid="{00000000-0006-0000-0E00-0000EB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KX24" authorId="1" shapeId="0" xr:uid="{00000000-0006-0000-0E00-0000EC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KY24" authorId="1" shapeId="0" xr:uid="{00000000-0006-0000-0E00-0000E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LK24" authorId="1" shapeId="0" xr:uid="{00000000-0006-0000-0E00-0000E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LL24" authorId="1" shapeId="0" xr:uid="{00000000-0006-0000-0E00-0000E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LM24" authorId="0" shapeId="0" xr:uid="{00000000-0006-0000-0E00-0000F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LN24" authorId="0" shapeId="0" xr:uid="{00000000-0006-0000-0E00-0000F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LO24" authorId="0" shapeId="0" xr:uid="{00000000-0006-0000-0E00-0000F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LP24" authorId="0" shapeId="0" xr:uid="{00000000-0006-0000-0E00-0000F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LQ24" authorId="0" shapeId="0" xr:uid="{00000000-0006-0000-0E00-0000F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LR24" authorId="1" shapeId="0" xr:uid="{00000000-0006-0000-0E00-0000F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LS24" authorId="0" shapeId="0" xr:uid="{00000000-0006-0000-0E00-0000F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LT24" authorId="1" shapeId="0" xr:uid="{00000000-0006-0000-0E00-0000F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LU24" authorId="1" shapeId="0" xr:uid="{00000000-0006-0000-0E00-0000F8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LV24" authorId="1" shapeId="0" xr:uid="{00000000-0006-0000-0E00-0000F9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LW24" authorId="1" shapeId="0" xr:uid="{00000000-0006-0000-0E00-0000F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MI24" authorId="1" shapeId="0" xr:uid="{00000000-0006-0000-0E00-0000FB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MJ24" authorId="1" shapeId="0" xr:uid="{00000000-0006-0000-0E00-0000FC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MK24" authorId="0" shapeId="0" xr:uid="{00000000-0006-0000-0E00-0000F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ML24" authorId="0" shapeId="0" xr:uid="{00000000-0006-0000-0E00-0000F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MM24" authorId="0" shapeId="0" xr:uid="{00000000-0006-0000-0E00-0000F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MN24" authorId="0" shapeId="0" xr:uid="{00000000-0006-0000-0E00-000000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MO24" authorId="0" shapeId="0" xr:uid="{00000000-0006-0000-0E00-000001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MP24" authorId="1" shapeId="0" xr:uid="{00000000-0006-0000-0E00-000002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MQ24" authorId="0" shapeId="0" xr:uid="{00000000-0006-0000-0E00-000003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MR24" authorId="1" shapeId="0" xr:uid="{00000000-0006-0000-0E00-000004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MS24" authorId="1" shapeId="0" xr:uid="{00000000-0006-0000-0E00-000005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MT24" authorId="1" shapeId="0" xr:uid="{00000000-0006-0000-0E00-000006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MU24" authorId="1" shapeId="0" xr:uid="{00000000-0006-0000-0E00-000007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NG24" authorId="1" shapeId="0" xr:uid="{00000000-0006-0000-0E00-000008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NH24" authorId="1" shapeId="0" xr:uid="{00000000-0006-0000-0E00-000009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NI24" authorId="0" shapeId="0" xr:uid="{00000000-0006-0000-0E00-00000A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J24" authorId="0" shapeId="0" xr:uid="{00000000-0006-0000-0E00-00000B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K24" authorId="0" shapeId="0" xr:uid="{00000000-0006-0000-0E00-00000C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L24" authorId="0" shapeId="0" xr:uid="{00000000-0006-0000-0E00-00000D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M24" authorId="0" shapeId="0" xr:uid="{00000000-0006-0000-0E00-00000E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N24" authorId="1" shapeId="0" xr:uid="{00000000-0006-0000-0E00-00000F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O24" authorId="0" shapeId="0" xr:uid="{00000000-0006-0000-0E00-000010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P24" authorId="1" shapeId="0" xr:uid="{00000000-0006-0000-0E00-000011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Q24" authorId="1" shapeId="0" xr:uid="{00000000-0006-0000-0E00-000012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NR24" authorId="1" shapeId="0" xr:uid="{00000000-0006-0000-0E00-000013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NS24" authorId="1" shapeId="0" xr:uid="{00000000-0006-0000-0E00-000014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OE24" authorId="1" shapeId="0" xr:uid="{00000000-0006-0000-0E00-000015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OF24" authorId="1" shapeId="0" xr:uid="{00000000-0006-0000-0E00-000016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OG24" authorId="0" shapeId="0" xr:uid="{00000000-0006-0000-0E00-000017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H24" authorId="0" shapeId="0" xr:uid="{00000000-0006-0000-0E00-000018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I24" authorId="0" shapeId="0" xr:uid="{00000000-0006-0000-0E00-000019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J24" authorId="0" shapeId="0" xr:uid="{00000000-0006-0000-0E00-00001A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K24" authorId="0" shapeId="0" xr:uid="{00000000-0006-0000-0E00-00001B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L24" authorId="1" shapeId="0" xr:uid="{00000000-0006-0000-0E00-00001C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M24" authorId="0" shapeId="0" xr:uid="{00000000-0006-0000-0E00-00001D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N24" authorId="1" shapeId="0" xr:uid="{00000000-0006-0000-0E00-00001E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O24" authorId="1" shapeId="0" xr:uid="{00000000-0006-0000-0E00-00001F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OP24" authorId="1" shapeId="0" xr:uid="{00000000-0006-0000-0E00-000020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OQ24" authorId="1" shapeId="0" xr:uid="{00000000-0006-0000-0E00-000021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PC24" authorId="1" shapeId="0" xr:uid="{00000000-0006-0000-0E00-000022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PD24" authorId="1" shapeId="0" xr:uid="{00000000-0006-0000-0E00-000023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PE24" authorId="0" shapeId="0" xr:uid="{00000000-0006-0000-0E00-000024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F24" authorId="0" shapeId="0" xr:uid="{00000000-0006-0000-0E00-000025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G24" authorId="0" shapeId="0" xr:uid="{00000000-0006-0000-0E00-000026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H24" authorId="0" shapeId="0" xr:uid="{00000000-0006-0000-0E00-000027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I24" authorId="0" shapeId="0" xr:uid="{00000000-0006-0000-0E00-000028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J24" authorId="1" shapeId="0" xr:uid="{00000000-0006-0000-0E00-000029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K24" authorId="0" shapeId="0" xr:uid="{00000000-0006-0000-0E00-00002A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L24" authorId="1" shapeId="0" xr:uid="{00000000-0006-0000-0E00-00002B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M24" authorId="1" shapeId="0" xr:uid="{00000000-0006-0000-0E00-00002C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PN24" authorId="1" shapeId="0" xr:uid="{00000000-0006-0000-0E00-00002D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PO24" authorId="1" shapeId="0" xr:uid="{00000000-0006-0000-0E00-00002E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QA24" authorId="1" shapeId="0" xr:uid="{00000000-0006-0000-0E00-00002F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QB24" authorId="1" shapeId="0" xr:uid="{00000000-0006-0000-0E00-000030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QC24" authorId="0" shapeId="0" xr:uid="{00000000-0006-0000-0E00-000031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D24" authorId="0" shapeId="0" xr:uid="{00000000-0006-0000-0E00-000032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E24" authorId="0" shapeId="0" xr:uid="{00000000-0006-0000-0E00-000033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F24" authorId="0" shapeId="0" xr:uid="{00000000-0006-0000-0E00-000034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G24" authorId="0" shapeId="0" xr:uid="{00000000-0006-0000-0E00-000035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H24" authorId="1" shapeId="0" xr:uid="{00000000-0006-0000-0E00-000036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I24" authorId="0" shapeId="0" xr:uid="{00000000-0006-0000-0E00-000037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J24" authorId="1" shapeId="0" xr:uid="{00000000-0006-0000-0E00-000038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K24" authorId="1" shapeId="0" xr:uid="{00000000-0006-0000-0E00-000039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QL24" authorId="1" shapeId="0" xr:uid="{00000000-0006-0000-0E00-00003A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QM24" authorId="1" shapeId="0" xr:uid="{00000000-0006-0000-0E00-00003B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QY24" authorId="1" shapeId="0" xr:uid="{00000000-0006-0000-0E00-00003C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QZ24" authorId="1" shapeId="0" xr:uid="{00000000-0006-0000-0E00-00003D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RA24" authorId="0" shapeId="0" xr:uid="{00000000-0006-0000-0E00-00003E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B24" authorId="0" shapeId="0" xr:uid="{00000000-0006-0000-0E00-00003F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C24" authorId="0" shapeId="0" xr:uid="{00000000-0006-0000-0E00-000040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D24" authorId="0" shapeId="0" xr:uid="{00000000-0006-0000-0E00-000041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E24" authorId="0" shapeId="0" xr:uid="{00000000-0006-0000-0E00-000042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F24" authorId="1" shapeId="0" xr:uid="{00000000-0006-0000-0E00-000043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G24" authorId="0" shapeId="0" xr:uid="{00000000-0006-0000-0E00-000044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H24" authorId="1" shapeId="0" xr:uid="{00000000-0006-0000-0E00-000045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I24" authorId="1" shapeId="0" xr:uid="{00000000-0006-0000-0E00-000046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RJ24" authorId="1" shapeId="0" xr:uid="{00000000-0006-0000-0E00-000047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RK24" authorId="1" shapeId="0" xr:uid="{00000000-0006-0000-0E00-000048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RW24" authorId="1" shapeId="0" xr:uid="{00000000-0006-0000-0E00-000049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RX24" authorId="1" shapeId="0" xr:uid="{00000000-0006-0000-0E00-00004A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RY24" authorId="0" shapeId="0" xr:uid="{00000000-0006-0000-0E00-00004B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Z24" authorId="0" shapeId="0" xr:uid="{00000000-0006-0000-0E00-00004C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A24" authorId="0" shapeId="0" xr:uid="{00000000-0006-0000-0E00-00004D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B24" authorId="0" shapeId="0" xr:uid="{00000000-0006-0000-0E00-00004E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C24" authorId="0" shapeId="0" xr:uid="{00000000-0006-0000-0E00-00004F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D24" authorId="1" shapeId="0" xr:uid="{00000000-0006-0000-0E00-000050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E24" authorId="0" shapeId="0" xr:uid="{00000000-0006-0000-0E00-000051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F24" authorId="1" shapeId="0" xr:uid="{00000000-0006-0000-0E00-00005201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G24" authorId="1" shapeId="0" xr:uid="{00000000-0006-0000-0E00-000053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SH24" authorId="1" shapeId="0" xr:uid="{00000000-0006-0000-0E00-000054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SI24" authorId="1" shapeId="0" xr:uid="{00000000-0006-0000-0E00-00005501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IV25" authorId="0" shapeId="0" xr:uid="{00000000-0006-0000-0E00-000056010000}">
      <text>
        <r>
          <rPr>
            <sz val="9"/>
            <color indexed="81"/>
            <rFont val="Tahoma"/>
            <family val="2"/>
          </rPr>
          <t>Could not find source file for Benton county.</t>
        </r>
      </text>
    </comment>
    <comment ref="IW25" authorId="0" shapeId="0" xr:uid="{00000000-0006-0000-0E00-000057010000}">
      <text>
        <r>
          <rPr>
            <sz val="9"/>
            <color indexed="81"/>
            <rFont val="Tahoma"/>
            <family val="2"/>
          </rPr>
          <t>Could not find source file for Benton county.</t>
        </r>
      </text>
    </comment>
    <comment ref="IX25" authorId="1" shapeId="0" xr:uid="{00000000-0006-0000-0E00-000058010000}">
      <text>
        <r>
          <rPr>
            <sz val="9"/>
            <color indexed="81"/>
            <rFont val="Tahoma"/>
            <family val="2"/>
          </rPr>
          <t>Could not find source file for Benton county.</t>
        </r>
      </text>
    </comment>
    <comment ref="IY25" authorId="0" shapeId="0" xr:uid="{00000000-0006-0000-0E00-000059010000}">
      <text>
        <r>
          <rPr>
            <sz val="9"/>
            <color indexed="81"/>
            <rFont val="Tahoma"/>
            <family val="2"/>
          </rPr>
          <t>Could not find source file for Benton county.</t>
        </r>
      </text>
    </comment>
    <comment ref="IZ25" authorId="1" shapeId="0" xr:uid="{00000000-0006-0000-0E00-00005A010000}">
      <text>
        <r>
          <rPr>
            <sz val="9"/>
            <color indexed="81"/>
            <rFont val="Tahoma"/>
            <family val="2"/>
          </rPr>
          <t>Could not find source file for Benton county.</t>
        </r>
      </text>
    </comment>
    <comment ref="JA25" authorId="1" shapeId="0" xr:uid="{00000000-0006-0000-0E00-00005B010000}">
      <text>
        <r>
          <rPr>
            <sz val="9"/>
            <color indexed="81"/>
            <rFont val="Tahoma"/>
            <charset val="1"/>
          </rPr>
          <t>Could not find source file for Benton county.</t>
        </r>
      </text>
    </comment>
    <comment ref="JB25" authorId="1" shapeId="0" xr:uid="{00000000-0006-0000-0E00-00005C010000}">
      <text>
        <r>
          <rPr>
            <sz val="9"/>
            <color indexed="81"/>
            <rFont val="Tahoma"/>
            <charset val="1"/>
          </rPr>
          <t>Could not find source file for Benton county.</t>
        </r>
      </text>
    </comment>
    <comment ref="JC25" authorId="1" shapeId="0" xr:uid="{00000000-0006-0000-0E00-00005D010000}">
      <text>
        <r>
          <rPr>
            <sz val="9"/>
            <color indexed="81"/>
            <rFont val="Tahoma"/>
            <charset val="1"/>
          </rPr>
          <t>Could not find source file for Benton county.</t>
        </r>
      </text>
    </comment>
    <comment ref="R26" authorId="1" shapeId="0" xr:uid="{00000000-0006-0000-0E00-00005E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AP26" authorId="1" shapeId="0" xr:uid="{00000000-0006-0000-0E00-00005F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BN26" authorId="1" shapeId="0" xr:uid="{00000000-0006-0000-0E00-000060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CL26" authorId="1" shapeId="0" xr:uid="{00000000-0006-0000-0E00-000061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DJ26" authorId="1" shapeId="0" xr:uid="{00000000-0006-0000-0E00-000062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EH26" authorId="1" shapeId="0" xr:uid="{00000000-0006-0000-0E00-000063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FF26" authorId="1" shapeId="0" xr:uid="{00000000-0006-0000-0E00-000064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GD26" authorId="1" shapeId="0" xr:uid="{00000000-0006-0000-0E00-000065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HB26" authorId="1" shapeId="0" xr:uid="{00000000-0006-0000-0E00-000066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HZ26" authorId="1" shapeId="0" xr:uid="{00000000-0006-0000-0E00-000067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IV26" authorId="0" shapeId="0" xr:uid="{00000000-0006-0000-0E00-000068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IW26" authorId="0" shapeId="0" xr:uid="{00000000-0006-0000-0E00-000069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IX26" authorId="1" shapeId="0" xr:uid="{00000000-0006-0000-0E00-00006A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IY26" authorId="0" shapeId="0" xr:uid="{00000000-0006-0000-0E00-00006B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IZ26" authorId="1" shapeId="0" xr:uid="{00000000-0006-0000-0E00-00006C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JA26" authorId="1" shapeId="0" xr:uid="{00000000-0006-0000-0E00-00006D010000}">
      <text>
        <r>
          <rPr>
            <sz val="9"/>
            <color indexed="81"/>
            <rFont val="Tahoma"/>
            <charset val="1"/>
          </rPr>
          <t>Could not find source file for Bollinger county.</t>
        </r>
      </text>
    </comment>
    <comment ref="JB26" authorId="1" shapeId="0" xr:uid="{00000000-0006-0000-0E00-00006E010000}">
      <text>
        <r>
          <rPr>
            <sz val="9"/>
            <color indexed="81"/>
            <rFont val="Tahoma"/>
            <charset val="1"/>
          </rPr>
          <t>Could not find source file for Bollinger county.</t>
        </r>
      </text>
    </comment>
    <comment ref="JC26" authorId="1" shapeId="0" xr:uid="{00000000-0006-0000-0E00-00006F010000}">
      <text>
        <r>
          <rPr>
            <sz val="9"/>
            <color indexed="81"/>
            <rFont val="Tahoma"/>
            <charset val="1"/>
          </rPr>
          <t>Could not find source file for Bollinger county.</t>
        </r>
      </text>
    </comment>
    <comment ref="JV26" authorId="1" shapeId="0" xr:uid="{00000000-0006-0000-0E00-000070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KT26" authorId="1" shapeId="0" xr:uid="{00000000-0006-0000-0E00-000071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LR26" authorId="1" shapeId="0" xr:uid="{00000000-0006-0000-0E00-000072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MP26" authorId="1" shapeId="0" xr:uid="{00000000-0006-0000-0E00-000073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NN26" authorId="1" shapeId="0" xr:uid="{00000000-0006-0000-0E00-000074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OL26" authorId="1" shapeId="0" xr:uid="{00000000-0006-0000-0E00-000075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PJ26" authorId="1" shapeId="0" xr:uid="{00000000-0006-0000-0E00-000076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QH26" authorId="1" shapeId="0" xr:uid="{00000000-0006-0000-0E00-000077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RF26" authorId="1" shapeId="0" xr:uid="{00000000-0006-0000-0E00-000078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SD26" authorId="1" shapeId="0" xr:uid="{00000000-0006-0000-0E00-00007901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T27" authorId="1" shapeId="0" xr:uid="{00000000-0006-0000-0E00-00007A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AR27" authorId="1" shapeId="0" xr:uid="{00000000-0006-0000-0E00-00007B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BP27" authorId="1" shapeId="0" xr:uid="{00000000-0006-0000-0E00-00007C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CN27" authorId="1" shapeId="0" xr:uid="{00000000-0006-0000-0E00-00007D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DL27" authorId="1" shapeId="0" xr:uid="{00000000-0006-0000-0E00-00007E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EJ27" authorId="1" shapeId="0" xr:uid="{00000000-0006-0000-0E00-00007F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FH27" authorId="1" shapeId="0" xr:uid="{00000000-0006-0000-0E00-000080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GF27" authorId="1" shapeId="0" xr:uid="{00000000-0006-0000-0E00-000081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HD27" authorId="1" shapeId="0" xr:uid="{00000000-0006-0000-0E00-000082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IB27" authorId="1" shapeId="0" xr:uid="{00000000-0006-0000-0E00-000083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IV27" authorId="0" shapeId="0" xr:uid="{00000000-0006-0000-0E00-000084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IW27" authorId="0" shapeId="0" xr:uid="{00000000-0006-0000-0E00-000085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IX27" authorId="1" shapeId="0" xr:uid="{00000000-0006-0000-0E00-000086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IY27" authorId="0" shapeId="0" xr:uid="{00000000-0006-0000-0E00-000087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IZ27" authorId="1" shapeId="0" xr:uid="{00000000-0006-0000-0E00-000088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JA27" authorId="1" shapeId="0" xr:uid="{00000000-0006-0000-0E00-000089010000}">
      <text>
        <r>
          <rPr>
            <sz val="9"/>
            <color indexed="81"/>
            <rFont val="Tahoma"/>
            <charset val="1"/>
          </rPr>
          <t>Could not find source file for Butler county.</t>
        </r>
      </text>
    </comment>
    <comment ref="JB27" authorId="1" shapeId="0" xr:uid="{00000000-0006-0000-0E00-00008A010000}">
      <text>
        <r>
          <rPr>
            <sz val="9"/>
            <color indexed="81"/>
            <rFont val="Tahoma"/>
            <charset val="1"/>
          </rPr>
          <t>Could not find source file for Butler county.</t>
        </r>
      </text>
    </comment>
    <comment ref="JC27" authorId="1" shapeId="0" xr:uid="{00000000-0006-0000-0E00-00008B010000}">
      <text>
        <r>
          <rPr>
            <sz val="9"/>
            <color indexed="81"/>
            <rFont val="Tahoma"/>
            <charset val="1"/>
          </rPr>
          <t>Could not find source file for Butler county.</t>
        </r>
      </text>
    </comment>
    <comment ref="JX27" authorId="1" shapeId="0" xr:uid="{00000000-0006-0000-0E00-00008C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KV27" authorId="1" shapeId="0" xr:uid="{00000000-0006-0000-0E00-00008D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LT27" authorId="1" shapeId="0" xr:uid="{00000000-0006-0000-0E00-00008E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MR27" authorId="1" shapeId="0" xr:uid="{00000000-0006-0000-0E00-00008F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NP27" authorId="1" shapeId="0" xr:uid="{00000000-0006-0000-0E00-000090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ON27" authorId="1" shapeId="0" xr:uid="{00000000-0006-0000-0E00-000091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PL27" authorId="1" shapeId="0" xr:uid="{00000000-0006-0000-0E00-000092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QJ27" authorId="1" shapeId="0" xr:uid="{00000000-0006-0000-0E00-000093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RH27" authorId="1" shapeId="0" xr:uid="{00000000-0006-0000-0E00-000094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SF27" authorId="1" shapeId="0" xr:uid="{00000000-0006-0000-0E00-00009501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IV28" authorId="0" shapeId="0" xr:uid="{00000000-0006-0000-0E00-000096010000}">
      <text>
        <r>
          <rPr>
            <sz val="9"/>
            <color indexed="81"/>
            <rFont val="Tahoma"/>
            <family val="2"/>
          </rPr>
          <t>Could not find source file for Caldwell county.</t>
        </r>
      </text>
    </comment>
    <comment ref="IW28" authorId="0" shapeId="0" xr:uid="{00000000-0006-0000-0E00-000097010000}">
      <text>
        <r>
          <rPr>
            <sz val="9"/>
            <color indexed="81"/>
            <rFont val="Tahoma"/>
            <family val="2"/>
          </rPr>
          <t>Could not find source file for Caldwell county.</t>
        </r>
      </text>
    </comment>
    <comment ref="IX28" authorId="1" shapeId="0" xr:uid="{00000000-0006-0000-0E00-000098010000}">
      <text>
        <r>
          <rPr>
            <sz val="9"/>
            <color indexed="81"/>
            <rFont val="Tahoma"/>
            <family val="2"/>
          </rPr>
          <t>Could not find source file for Caldwell county.</t>
        </r>
      </text>
    </comment>
    <comment ref="IY28" authorId="0" shapeId="0" xr:uid="{00000000-0006-0000-0E00-000099010000}">
      <text>
        <r>
          <rPr>
            <sz val="9"/>
            <color indexed="81"/>
            <rFont val="Tahoma"/>
            <family val="2"/>
          </rPr>
          <t>Could not find source file for Caldwell county.</t>
        </r>
      </text>
    </comment>
    <comment ref="IZ28" authorId="1" shapeId="0" xr:uid="{00000000-0006-0000-0E00-00009A010000}">
      <text>
        <r>
          <rPr>
            <sz val="9"/>
            <color indexed="81"/>
            <rFont val="Tahoma"/>
            <family val="2"/>
          </rPr>
          <t>Could not find source file for Caldwell county.</t>
        </r>
      </text>
    </comment>
    <comment ref="JA28" authorId="1" shapeId="0" xr:uid="{00000000-0006-0000-0E00-00009B010000}">
      <text>
        <r>
          <rPr>
            <sz val="9"/>
            <color indexed="81"/>
            <rFont val="Tahoma"/>
            <charset val="1"/>
          </rPr>
          <t>Could not find source file for Caldwell county.</t>
        </r>
      </text>
    </comment>
    <comment ref="JB28" authorId="1" shapeId="0" xr:uid="{00000000-0006-0000-0E00-00009C010000}">
      <text>
        <r>
          <rPr>
            <sz val="9"/>
            <color indexed="81"/>
            <rFont val="Tahoma"/>
            <charset val="1"/>
          </rPr>
          <t>Could not find source file for Caldwell county.</t>
        </r>
      </text>
    </comment>
    <comment ref="JC28" authorId="1" shapeId="0" xr:uid="{00000000-0006-0000-0E00-00009D010000}">
      <text>
        <r>
          <rPr>
            <sz val="9"/>
            <color indexed="81"/>
            <rFont val="Tahoma"/>
            <charset val="1"/>
          </rPr>
          <t>Could not find source file for Caldwell county.</t>
        </r>
      </text>
    </comment>
    <comment ref="IV29" authorId="0" shapeId="0" xr:uid="{00000000-0006-0000-0E00-00009E010000}">
      <text>
        <r>
          <rPr>
            <sz val="9"/>
            <color indexed="81"/>
            <rFont val="Tahoma"/>
            <family val="2"/>
          </rPr>
          <t>Could not find source file for Carroll county.</t>
        </r>
      </text>
    </comment>
    <comment ref="IW29" authorId="0" shapeId="0" xr:uid="{00000000-0006-0000-0E00-00009F010000}">
      <text>
        <r>
          <rPr>
            <sz val="9"/>
            <color indexed="81"/>
            <rFont val="Tahoma"/>
            <family val="2"/>
          </rPr>
          <t>Could not find source file for Carroll county.</t>
        </r>
      </text>
    </comment>
    <comment ref="IX29" authorId="1" shapeId="0" xr:uid="{00000000-0006-0000-0E00-0000A0010000}">
      <text>
        <r>
          <rPr>
            <sz val="9"/>
            <color indexed="81"/>
            <rFont val="Tahoma"/>
            <family val="2"/>
          </rPr>
          <t>Could not find source file for Carroll county.</t>
        </r>
      </text>
    </comment>
    <comment ref="IY29" authorId="0" shapeId="0" xr:uid="{00000000-0006-0000-0E00-0000A1010000}">
      <text>
        <r>
          <rPr>
            <sz val="9"/>
            <color indexed="81"/>
            <rFont val="Tahoma"/>
            <family val="2"/>
          </rPr>
          <t>Could not find source file for Carroll county.</t>
        </r>
      </text>
    </comment>
    <comment ref="IZ29" authorId="1" shapeId="0" xr:uid="{00000000-0006-0000-0E00-0000A2010000}">
      <text>
        <r>
          <rPr>
            <sz val="9"/>
            <color indexed="81"/>
            <rFont val="Tahoma"/>
            <family val="2"/>
          </rPr>
          <t>Could not find source file for Carroll county.</t>
        </r>
      </text>
    </comment>
    <comment ref="JA29" authorId="1" shapeId="0" xr:uid="{00000000-0006-0000-0E00-0000A3010000}">
      <text>
        <r>
          <rPr>
            <sz val="9"/>
            <color indexed="81"/>
            <rFont val="Tahoma"/>
            <charset val="1"/>
          </rPr>
          <t>Could not find source file for Carroll county.</t>
        </r>
      </text>
    </comment>
    <comment ref="JB29" authorId="1" shapeId="0" xr:uid="{00000000-0006-0000-0E00-0000A4010000}">
      <text>
        <r>
          <rPr>
            <sz val="9"/>
            <color indexed="81"/>
            <rFont val="Tahoma"/>
            <charset val="1"/>
          </rPr>
          <t>Could not find source file for Carroll county.</t>
        </r>
      </text>
    </comment>
    <comment ref="JC29" authorId="1" shapeId="0" xr:uid="{00000000-0006-0000-0E00-0000A5010000}">
      <text>
        <r>
          <rPr>
            <sz val="9"/>
            <color indexed="81"/>
            <rFont val="Tahoma"/>
            <charset val="1"/>
          </rPr>
          <t>Could not find source file for Carroll county.</t>
        </r>
      </text>
    </comment>
    <comment ref="N30" authorId="0" shapeId="0" xr:uid="{00000000-0006-0000-0E00-0000A6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AL30" authorId="0" shapeId="0" xr:uid="{00000000-0006-0000-0E00-0000A7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BJ30" authorId="0" shapeId="0" xr:uid="{00000000-0006-0000-0E00-0000A8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CH30" authorId="0" shapeId="0" xr:uid="{00000000-0006-0000-0E00-0000A9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DF30" authorId="0" shapeId="0" xr:uid="{00000000-0006-0000-0E00-0000AA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ED30" authorId="0" shapeId="0" xr:uid="{00000000-0006-0000-0E00-0000AB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FB30" authorId="0" shapeId="0" xr:uid="{00000000-0006-0000-0E00-0000AC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FZ30" authorId="0" shapeId="0" xr:uid="{00000000-0006-0000-0E00-0000AD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GX30" authorId="0" shapeId="0" xr:uid="{00000000-0006-0000-0E00-0000AE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HV30" authorId="0" shapeId="0" xr:uid="{00000000-0006-0000-0E00-0000AF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IT30" authorId="0" shapeId="0" xr:uid="{00000000-0006-0000-0E00-0000B0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IV30" authorId="0" shapeId="0" xr:uid="{00000000-0006-0000-0E00-0000B1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IW30" authorId="0" shapeId="0" xr:uid="{00000000-0006-0000-0E00-0000B2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IX30" authorId="1" shapeId="0" xr:uid="{00000000-0006-0000-0E00-0000B3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IY30" authorId="0" shapeId="0" xr:uid="{00000000-0006-0000-0E00-0000B4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IZ30" authorId="1" shapeId="0" xr:uid="{00000000-0006-0000-0E00-0000B5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JA30" authorId="1" shapeId="0" xr:uid="{00000000-0006-0000-0E00-0000B6010000}">
      <text>
        <r>
          <rPr>
            <sz val="9"/>
            <color indexed="81"/>
            <rFont val="Tahoma"/>
            <charset val="1"/>
          </rPr>
          <t>Could not find source file for Carter county.</t>
        </r>
      </text>
    </comment>
    <comment ref="JB30" authorId="1" shapeId="0" xr:uid="{00000000-0006-0000-0E00-0000B7010000}">
      <text>
        <r>
          <rPr>
            <sz val="9"/>
            <color indexed="81"/>
            <rFont val="Tahoma"/>
            <charset val="1"/>
          </rPr>
          <t>Could not find source file for Carter county.</t>
        </r>
      </text>
    </comment>
    <comment ref="JC30" authorId="1" shapeId="0" xr:uid="{00000000-0006-0000-0E00-0000B8010000}">
      <text>
        <r>
          <rPr>
            <sz val="9"/>
            <color indexed="81"/>
            <rFont val="Tahoma"/>
            <charset val="1"/>
          </rPr>
          <t>Could not find source file for Carter county.</t>
        </r>
      </text>
    </comment>
    <comment ref="JR30" authorId="0" shapeId="0" xr:uid="{00000000-0006-0000-0E00-0000B9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KP30" authorId="0" shapeId="0" xr:uid="{00000000-0006-0000-0E00-0000BA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LN30" authorId="0" shapeId="0" xr:uid="{00000000-0006-0000-0E00-0000BB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ML30" authorId="0" shapeId="0" xr:uid="{00000000-0006-0000-0E00-0000BC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NJ30" authorId="0" shapeId="0" xr:uid="{00000000-0006-0000-0E00-0000BD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OH30" authorId="0" shapeId="0" xr:uid="{00000000-0006-0000-0E00-0000BE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PF30" authorId="0" shapeId="0" xr:uid="{00000000-0006-0000-0E00-0000BF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QD30" authorId="0" shapeId="0" xr:uid="{00000000-0006-0000-0E00-0000C0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RB30" authorId="0" shapeId="0" xr:uid="{00000000-0006-0000-0E00-0000C1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RZ30" authorId="0" shapeId="0" xr:uid="{00000000-0006-0000-0E00-0000C201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N31" authorId="0" shapeId="0" xr:uid="{00000000-0006-0000-0E00-0000C3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S31" authorId="0" shapeId="0" xr:uid="{00000000-0006-0000-0E00-0000C4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U31" authorId="1" shapeId="0" xr:uid="{00000000-0006-0000-0E00-0000C5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V31" authorId="1" shapeId="0" xr:uid="{00000000-0006-0000-0E00-0000C6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W31" authorId="1" shapeId="0" xr:uid="{00000000-0006-0000-0E00-0000C7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AL31" authorId="0" shapeId="0" xr:uid="{00000000-0006-0000-0E00-0000C8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AQ31" authorId="0" shapeId="0" xr:uid="{00000000-0006-0000-0E00-0000C9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AS31" authorId="1" shapeId="0" xr:uid="{00000000-0006-0000-0E00-0000CA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AT31" authorId="1" shapeId="0" xr:uid="{00000000-0006-0000-0E00-0000CB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AU31" authorId="1" shapeId="0" xr:uid="{00000000-0006-0000-0E00-0000CC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BJ31" authorId="0" shapeId="0" xr:uid="{00000000-0006-0000-0E00-0000CD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BO31" authorId="0" shapeId="0" xr:uid="{00000000-0006-0000-0E00-0000CE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BQ31" authorId="1" shapeId="0" xr:uid="{00000000-0006-0000-0E00-0000CF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BR31" authorId="1" shapeId="0" xr:uid="{00000000-0006-0000-0E00-0000D0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BS31" authorId="1" shapeId="0" xr:uid="{00000000-0006-0000-0E00-0000D1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CH31" authorId="0" shapeId="0" xr:uid="{00000000-0006-0000-0E00-0000D2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CM31" authorId="0" shapeId="0" xr:uid="{00000000-0006-0000-0E00-0000D3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CO31" authorId="1" shapeId="0" xr:uid="{00000000-0006-0000-0E00-0000D4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CP31" authorId="1" shapeId="0" xr:uid="{00000000-0006-0000-0E00-0000D5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CQ31" authorId="1" shapeId="0" xr:uid="{00000000-0006-0000-0E00-0000D6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DF31" authorId="0" shapeId="0" xr:uid="{00000000-0006-0000-0E00-0000D7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DK31" authorId="0" shapeId="0" xr:uid="{00000000-0006-0000-0E00-0000D8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DM31" authorId="1" shapeId="0" xr:uid="{00000000-0006-0000-0E00-0000D9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DN31" authorId="1" shapeId="0" xr:uid="{00000000-0006-0000-0E00-0000DA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DO31" authorId="1" shapeId="0" xr:uid="{00000000-0006-0000-0E00-0000DB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ED31" authorId="0" shapeId="0" xr:uid="{00000000-0006-0000-0E00-0000DC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EI31" authorId="0" shapeId="0" xr:uid="{00000000-0006-0000-0E00-0000DD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EK31" authorId="1" shapeId="0" xr:uid="{00000000-0006-0000-0E00-0000DE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EL31" authorId="1" shapeId="0" xr:uid="{00000000-0006-0000-0E00-0000DF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EM31" authorId="1" shapeId="0" xr:uid="{00000000-0006-0000-0E00-0000E0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B31" authorId="0" shapeId="0" xr:uid="{00000000-0006-0000-0E00-0000E1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FG31" authorId="0" shapeId="0" xr:uid="{00000000-0006-0000-0E00-0000E2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FI31" authorId="1" shapeId="0" xr:uid="{00000000-0006-0000-0E00-0000E3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J31" authorId="1" shapeId="0" xr:uid="{00000000-0006-0000-0E00-0000E4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K31" authorId="1" shapeId="0" xr:uid="{00000000-0006-0000-0E00-0000E5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Z31" authorId="0" shapeId="0" xr:uid="{00000000-0006-0000-0E00-0000E6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GE31" authorId="0" shapeId="0" xr:uid="{00000000-0006-0000-0E00-0000E7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GG31" authorId="1" shapeId="0" xr:uid="{00000000-0006-0000-0E00-0000E8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GH31" authorId="1" shapeId="0" xr:uid="{00000000-0006-0000-0E00-0000E9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GI31" authorId="1" shapeId="0" xr:uid="{00000000-0006-0000-0E00-0000EA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GX31" authorId="0" shapeId="0" xr:uid="{00000000-0006-0000-0E00-0000EB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HC31" authorId="0" shapeId="0" xr:uid="{00000000-0006-0000-0E00-0000EC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HE31" authorId="1" shapeId="0" xr:uid="{00000000-0006-0000-0E00-0000ED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HF31" authorId="1" shapeId="0" xr:uid="{00000000-0006-0000-0E00-0000EE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HG31" authorId="1" shapeId="0" xr:uid="{00000000-0006-0000-0E00-0000EF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HV31" authorId="0" shapeId="0" xr:uid="{00000000-0006-0000-0E00-0000F0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IA31" authorId="0" shapeId="0" xr:uid="{00000000-0006-0000-0E00-0000F1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IC31" authorId="1" shapeId="0" xr:uid="{00000000-0006-0000-0E00-0000F2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ID31" authorId="1" shapeId="0" xr:uid="{00000000-0006-0000-0E00-0000F3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IE31" authorId="1" shapeId="0" xr:uid="{00000000-0006-0000-0E00-0000F4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IT31" authorId="0" shapeId="0" xr:uid="{00000000-0006-0000-0E00-0000F5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IV31" authorId="0" shapeId="0" xr:uid="{00000000-0006-0000-0E00-0000F6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IW31" authorId="0" shapeId="0" xr:uid="{00000000-0006-0000-0E00-0000F7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IX31" authorId="1" shapeId="0" xr:uid="{00000000-0006-0000-0E00-0000F8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IY31" authorId="0" shapeId="0" xr:uid="{00000000-0006-0000-0E00-0000F9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IZ31" authorId="1" shapeId="0" xr:uid="{00000000-0006-0000-0E00-0000FA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JA31" authorId="1" shapeId="0" xr:uid="{00000000-0006-0000-0E00-0000FB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JB31" authorId="1" shapeId="0" xr:uid="{00000000-0006-0000-0E00-0000FC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JC31" authorId="1" shapeId="0" xr:uid="{00000000-0006-0000-0E00-0000FD01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JR31" authorId="0" shapeId="0" xr:uid="{00000000-0006-0000-0E00-0000FE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JW31" authorId="0" shapeId="0" xr:uid="{00000000-0006-0000-0E00-0000FF01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JY31" authorId="1" shapeId="0" xr:uid="{00000000-0006-0000-0E00-000000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JZ31" authorId="1" shapeId="0" xr:uid="{00000000-0006-0000-0E00-000001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KA31" authorId="1" shapeId="0" xr:uid="{00000000-0006-0000-0E00-000002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KP31" authorId="0" shapeId="0" xr:uid="{00000000-0006-0000-0E00-000003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KU31" authorId="0" shapeId="0" xr:uid="{00000000-0006-0000-0E00-000004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KW31" authorId="1" shapeId="0" xr:uid="{00000000-0006-0000-0E00-000005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KX31" authorId="1" shapeId="0" xr:uid="{00000000-0006-0000-0E00-000006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KY31" authorId="1" shapeId="0" xr:uid="{00000000-0006-0000-0E00-000007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LN31" authorId="0" shapeId="0" xr:uid="{00000000-0006-0000-0E00-000008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LS31" authorId="0" shapeId="0" xr:uid="{00000000-0006-0000-0E00-000009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LU31" authorId="1" shapeId="0" xr:uid="{00000000-0006-0000-0E00-00000A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LV31" authorId="1" shapeId="0" xr:uid="{00000000-0006-0000-0E00-00000B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LW31" authorId="1" shapeId="0" xr:uid="{00000000-0006-0000-0E00-00000C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ML31" authorId="0" shapeId="0" xr:uid="{00000000-0006-0000-0E00-00000D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MQ31" authorId="0" shapeId="0" xr:uid="{00000000-0006-0000-0E00-00000E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MS31" authorId="1" shapeId="0" xr:uid="{00000000-0006-0000-0E00-00000F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MT31" authorId="1" shapeId="0" xr:uid="{00000000-0006-0000-0E00-000010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MU31" authorId="1" shapeId="0" xr:uid="{00000000-0006-0000-0E00-000011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NJ31" authorId="0" shapeId="0" xr:uid="{00000000-0006-0000-0E00-000012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NO31" authorId="0" shapeId="0" xr:uid="{00000000-0006-0000-0E00-000013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NQ31" authorId="1" shapeId="0" xr:uid="{00000000-0006-0000-0E00-000014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NR31" authorId="1" shapeId="0" xr:uid="{00000000-0006-0000-0E00-000015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NS31" authorId="1" shapeId="0" xr:uid="{00000000-0006-0000-0E00-000016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OH31" authorId="0" shapeId="0" xr:uid="{00000000-0006-0000-0E00-000017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OM31" authorId="0" shapeId="0" xr:uid="{00000000-0006-0000-0E00-000018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OO31" authorId="1" shapeId="0" xr:uid="{00000000-0006-0000-0E00-000019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OP31" authorId="1" shapeId="0" xr:uid="{00000000-0006-0000-0E00-00001A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OQ31" authorId="1" shapeId="0" xr:uid="{00000000-0006-0000-0E00-00001B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PF31" authorId="0" shapeId="0" xr:uid="{00000000-0006-0000-0E00-00001C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PK31" authorId="0" shapeId="0" xr:uid="{00000000-0006-0000-0E00-00001D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PM31" authorId="1" shapeId="0" xr:uid="{00000000-0006-0000-0E00-00001E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PN31" authorId="1" shapeId="0" xr:uid="{00000000-0006-0000-0E00-00001F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PO31" authorId="1" shapeId="0" xr:uid="{00000000-0006-0000-0E00-000020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QD31" authorId="0" shapeId="0" xr:uid="{00000000-0006-0000-0E00-000021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QI31" authorId="0" shapeId="0" xr:uid="{00000000-0006-0000-0E00-000022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QK31" authorId="1" shapeId="0" xr:uid="{00000000-0006-0000-0E00-000023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QL31" authorId="1" shapeId="0" xr:uid="{00000000-0006-0000-0E00-000024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QM31" authorId="1" shapeId="0" xr:uid="{00000000-0006-0000-0E00-000025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RB31" authorId="0" shapeId="0" xr:uid="{00000000-0006-0000-0E00-000026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RG31" authorId="0" shapeId="0" xr:uid="{00000000-0006-0000-0E00-000027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RI31" authorId="1" shapeId="0" xr:uid="{00000000-0006-0000-0E00-000028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RJ31" authorId="1" shapeId="0" xr:uid="{00000000-0006-0000-0E00-000029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RK31" authorId="1" shapeId="0" xr:uid="{00000000-0006-0000-0E00-00002A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RZ31" authorId="0" shapeId="0" xr:uid="{00000000-0006-0000-0E00-00002B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SE31" authorId="0" shapeId="0" xr:uid="{00000000-0006-0000-0E00-00002C02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SG31" authorId="1" shapeId="0" xr:uid="{00000000-0006-0000-0E00-00002D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SH31" authorId="1" shapeId="0" xr:uid="{00000000-0006-0000-0E00-00002E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SI31" authorId="1" shapeId="0" xr:uid="{00000000-0006-0000-0E00-00002F02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IV32" authorId="0" shapeId="0" xr:uid="{00000000-0006-0000-0E00-000030020000}">
      <text>
        <r>
          <rPr>
            <sz val="9"/>
            <color indexed="81"/>
            <rFont val="Tahoma"/>
            <family val="2"/>
          </rPr>
          <t>Could not find source file for Chariton county.</t>
        </r>
      </text>
    </comment>
    <comment ref="IW32" authorId="0" shapeId="0" xr:uid="{00000000-0006-0000-0E00-000031020000}">
      <text>
        <r>
          <rPr>
            <sz val="9"/>
            <color indexed="81"/>
            <rFont val="Tahoma"/>
            <family val="2"/>
          </rPr>
          <t>Could not find source file for Chariton county.</t>
        </r>
      </text>
    </comment>
    <comment ref="IX32" authorId="1" shapeId="0" xr:uid="{00000000-0006-0000-0E00-000032020000}">
      <text>
        <r>
          <rPr>
            <sz val="9"/>
            <color indexed="81"/>
            <rFont val="Tahoma"/>
            <family val="2"/>
          </rPr>
          <t>Could not find source file for Chariton county.</t>
        </r>
      </text>
    </comment>
    <comment ref="IY32" authorId="0" shapeId="0" xr:uid="{00000000-0006-0000-0E00-000033020000}">
      <text>
        <r>
          <rPr>
            <sz val="9"/>
            <color indexed="81"/>
            <rFont val="Tahoma"/>
            <family val="2"/>
          </rPr>
          <t>Could not find source file for Chariton county.</t>
        </r>
      </text>
    </comment>
    <comment ref="IZ32" authorId="1" shapeId="0" xr:uid="{00000000-0006-0000-0E00-000034020000}">
      <text>
        <r>
          <rPr>
            <sz val="9"/>
            <color indexed="81"/>
            <rFont val="Tahoma"/>
            <family val="2"/>
          </rPr>
          <t>Could not find source file for Chariton county.</t>
        </r>
      </text>
    </comment>
    <comment ref="JA32" authorId="1" shapeId="0" xr:uid="{00000000-0006-0000-0E00-000035020000}">
      <text>
        <r>
          <rPr>
            <sz val="9"/>
            <color indexed="81"/>
            <rFont val="Tahoma"/>
            <charset val="1"/>
          </rPr>
          <t>Could not find source file for Chariton county.</t>
        </r>
      </text>
    </comment>
    <comment ref="JB32" authorId="1" shapeId="0" xr:uid="{00000000-0006-0000-0E00-000036020000}">
      <text>
        <r>
          <rPr>
            <sz val="9"/>
            <color indexed="81"/>
            <rFont val="Tahoma"/>
            <charset val="1"/>
          </rPr>
          <t>Could not find source file for Chariton county.</t>
        </r>
      </text>
    </comment>
    <comment ref="JC32" authorId="1" shapeId="0" xr:uid="{00000000-0006-0000-0E00-000037020000}">
      <text>
        <r>
          <rPr>
            <sz val="9"/>
            <color indexed="81"/>
            <rFont val="Tahoma"/>
            <charset val="1"/>
          </rPr>
          <t>Could not find source file for Chariton county.</t>
        </r>
      </text>
    </comment>
    <comment ref="IV33" authorId="0" shapeId="0" xr:uid="{00000000-0006-0000-0E00-000038020000}">
      <text>
        <r>
          <rPr>
            <sz val="9"/>
            <color indexed="81"/>
            <rFont val="Tahoma"/>
            <family val="2"/>
          </rPr>
          <t>Could not find source file for Clark county.</t>
        </r>
      </text>
    </comment>
    <comment ref="IW33" authorId="0" shapeId="0" xr:uid="{00000000-0006-0000-0E00-000039020000}">
      <text>
        <r>
          <rPr>
            <sz val="9"/>
            <color indexed="81"/>
            <rFont val="Tahoma"/>
            <family val="2"/>
          </rPr>
          <t>Could not find source file for Clark county.</t>
        </r>
      </text>
    </comment>
    <comment ref="IX33" authorId="1" shapeId="0" xr:uid="{00000000-0006-0000-0E00-00003A020000}">
      <text>
        <r>
          <rPr>
            <sz val="9"/>
            <color indexed="81"/>
            <rFont val="Tahoma"/>
            <family val="2"/>
          </rPr>
          <t>Could not find source file for Clark county.</t>
        </r>
      </text>
    </comment>
    <comment ref="IY33" authorId="0" shapeId="0" xr:uid="{00000000-0006-0000-0E00-00003B020000}">
      <text>
        <r>
          <rPr>
            <sz val="9"/>
            <color indexed="81"/>
            <rFont val="Tahoma"/>
            <family val="2"/>
          </rPr>
          <t>Could not find source file for Clark county.</t>
        </r>
      </text>
    </comment>
    <comment ref="IZ33" authorId="1" shapeId="0" xr:uid="{00000000-0006-0000-0E00-00003C020000}">
      <text>
        <r>
          <rPr>
            <sz val="9"/>
            <color indexed="81"/>
            <rFont val="Tahoma"/>
            <family val="2"/>
          </rPr>
          <t>Could not find source file for Clark county.</t>
        </r>
      </text>
    </comment>
    <comment ref="JA33" authorId="1" shapeId="0" xr:uid="{00000000-0006-0000-0E00-00003D020000}">
      <text>
        <r>
          <rPr>
            <sz val="9"/>
            <color indexed="81"/>
            <rFont val="Tahoma"/>
            <charset val="1"/>
          </rPr>
          <t>Could not find source file for Clark county.</t>
        </r>
      </text>
    </comment>
    <comment ref="JB33" authorId="1" shapeId="0" xr:uid="{00000000-0006-0000-0E00-00003E020000}">
      <text>
        <r>
          <rPr>
            <sz val="9"/>
            <color indexed="81"/>
            <rFont val="Tahoma"/>
            <charset val="1"/>
          </rPr>
          <t>Could not find source file for Clark county.</t>
        </r>
      </text>
    </comment>
    <comment ref="JC33" authorId="1" shapeId="0" xr:uid="{00000000-0006-0000-0E00-00003F020000}">
      <text>
        <r>
          <rPr>
            <sz val="9"/>
            <color indexed="81"/>
            <rFont val="Tahoma"/>
            <charset val="1"/>
          </rPr>
          <t>Could not find source file for Clark county.</t>
        </r>
      </text>
    </comment>
    <comment ref="IV34" authorId="0" shapeId="0" xr:uid="{00000000-0006-0000-0E00-000040020000}">
      <text>
        <r>
          <rPr>
            <sz val="9"/>
            <color indexed="81"/>
            <rFont val="Tahoma"/>
            <family val="2"/>
          </rPr>
          <t>Could not find source file for Clinton county.</t>
        </r>
      </text>
    </comment>
    <comment ref="IW34" authorId="0" shapeId="0" xr:uid="{00000000-0006-0000-0E00-000041020000}">
      <text>
        <r>
          <rPr>
            <sz val="9"/>
            <color indexed="81"/>
            <rFont val="Tahoma"/>
            <family val="2"/>
          </rPr>
          <t>Could not find source file for Clinton county.</t>
        </r>
      </text>
    </comment>
    <comment ref="IX34" authorId="1" shapeId="0" xr:uid="{00000000-0006-0000-0E00-000042020000}">
      <text>
        <r>
          <rPr>
            <sz val="9"/>
            <color indexed="81"/>
            <rFont val="Tahoma"/>
            <family val="2"/>
          </rPr>
          <t>Could not find source file for Clinton county.</t>
        </r>
      </text>
    </comment>
    <comment ref="IY34" authorId="0" shapeId="0" xr:uid="{00000000-0006-0000-0E00-000043020000}">
      <text>
        <r>
          <rPr>
            <sz val="9"/>
            <color indexed="81"/>
            <rFont val="Tahoma"/>
            <family val="2"/>
          </rPr>
          <t>Could not find source file for Clinton county.</t>
        </r>
      </text>
    </comment>
    <comment ref="IZ34" authorId="1" shapeId="0" xr:uid="{00000000-0006-0000-0E00-000044020000}">
      <text>
        <r>
          <rPr>
            <sz val="9"/>
            <color indexed="81"/>
            <rFont val="Tahoma"/>
            <family val="2"/>
          </rPr>
          <t>Could not find source file for Clinton county.</t>
        </r>
      </text>
    </comment>
    <comment ref="JA34" authorId="1" shapeId="0" xr:uid="{00000000-0006-0000-0E00-000045020000}">
      <text>
        <r>
          <rPr>
            <sz val="9"/>
            <color indexed="81"/>
            <rFont val="Tahoma"/>
            <charset val="1"/>
          </rPr>
          <t>Could not find source file for Clinton county.</t>
        </r>
      </text>
    </comment>
    <comment ref="JB34" authorId="1" shapeId="0" xr:uid="{00000000-0006-0000-0E00-000046020000}">
      <text>
        <r>
          <rPr>
            <sz val="9"/>
            <color indexed="81"/>
            <rFont val="Tahoma"/>
            <charset val="1"/>
          </rPr>
          <t>Could not find source file for Clinton county.</t>
        </r>
      </text>
    </comment>
    <comment ref="JC34" authorId="1" shapeId="0" xr:uid="{00000000-0006-0000-0E00-000047020000}">
      <text>
        <r>
          <rPr>
            <sz val="9"/>
            <color indexed="81"/>
            <rFont val="Tahoma"/>
            <charset val="1"/>
          </rPr>
          <t>Could not find source file for Clinton county.</t>
        </r>
      </text>
    </comment>
    <comment ref="IV35" authorId="0" shapeId="0" xr:uid="{00000000-0006-0000-0E00-000048020000}">
      <text>
        <r>
          <rPr>
            <sz val="9"/>
            <color indexed="81"/>
            <rFont val="Tahoma"/>
            <family val="2"/>
          </rPr>
          <t>Could not find source file for Cooper county.</t>
        </r>
      </text>
    </comment>
    <comment ref="IW35" authorId="0" shapeId="0" xr:uid="{00000000-0006-0000-0E00-000049020000}">
      <text>
        <r>
          <rPr>
            <sz val="9"/>
            <color indexed="81"/>
            <rFont val="Tahoma"/>
            <family val="2"/>
          </rPr>
          <t>Could not find source file for Cooper county.</t>
        </r>
      </text>
    </comment>
    <comment ref="IX35" authorId="1" shapeId="0" xr:uid="{00000000-0006-0000-0E00-00004A020000}">
      <text>
        <r>
          <rPr>
            <sz val="9"/>
            <color indexed="81"/>
            <rFont val="Tahoma"/>
            <family val="2"/>
          </rPr>
          <t>Could not find source file for Cooper county.</t>
        </r>
      </text>
    </comment>
    <comment ref="IY35" authorId="0" shapeId="0" xr:uid="{00000000-0006-0000-0E00-00004B020000}">
      <text>
        <r>
          <rPr>
            <sz val="9"/>
            <color indexed="81"/>
            <rFont val="Tahoma"/>
            <family val="2"/>
          </rPr>
          <t>Could not find source file for Cooper county.</t>
        </r>
      </text>
    </comment>
    <comment ref="IZ35" authorId="1" shapeId="0" xr:uid="{00000000-0006-0000-0E00-00004C020000}">
      <text>
        <r>
          <rPr>
            <sz val="9"/>
            <color indexed="81"/>
            <rFont val="Tahoma"/>
            <family val="2"/>
          </rPr>
          <t>Could not find source file for Cooper county.</t>
        </r>
      </text>
    </comment>
    <comment ref="JA35" authorId="1" shapeId="0" xr:uid="{00000000-0006-0000-0E00-00004D020000}">
      <text>
        <r>
          <rPr>
            <sz val="9"/>
            <color indexed="81"/>
            <rFont val="Tahoma"/>
            <charset val="1"/>
          </rPr>
          <t>Could not find source file for Cooper county.</t>
        </r>
      </text>
    </comment>
    <comment ref="JB35" authorId="1" shapeId="0" xr:uid="{00000000-0006-0000-0E00-00004E020000}">
      <text>
        <r>
          <rPr>
            <sz val="9"/>
            <color indexed="81"/>
            <rFont val="Tahoma"/>
            <charset val="1"/>
          </rPr>
          <t>Could not find source file for Cooper county.</t>
        </r>
      </text>
    </comment>
    <comment ref="JC35" authorId="1" shapeId="0" xr:uid="{00000000-0006-0000-0E00-00004F020000}">
      <text>
        <r>
          <rPr>
            <sz val="9"/>
            <color indexed="81"/>
            <rFont val="Tahoma"/>
            <charset val="1"/>
          </rPr>
          <t>Could not find source file for Cooper county.</t>
        </r>
      </text>
    </comment>
    <comment ref="O36" authorId="0" shapeId="0" xr:uid="{00000000-0006-0000-0E00-000050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P36" authorId="0" shapeId="0" xr:uid="{00000000-0006-0000-0E00-000051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36" authorId="0" shapeId="0" xr:uid="{00000000-0006-0000-0E00-000052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R36" authorId="1" shapeId="0" xr:uid="{00000000-0006-0000-0E00-000053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36" authorId="0" shapeId="0" xr:uid="{00000000-0006-0000-0E00-000054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T36" authorId="1" shapeId="0" xr:uid="{00000000-0006-0000-0E00-000055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U36" authorId="1" shapeId="0" xr:uid="{00000000-0006-0000-0E00-000056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V36" authorId="1" shapeId="0" xr:uid="{00000000-0006-0000-0E00-000057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W36" authorId="1" shapeId="0" xr:uid="{00000000-0006-0000-0E00-000058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M36" authorId="0" shapeId="0" xr:uid="{00000000-0006-0000-0E00-000059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N36" authorId="0" shapeId="0" xr:uid="{00000000-0006-0000-0E00-00005A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O36" authorId="0" shapeId="0" xr:uid="{00000000-0006-0000-0E00-00005B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P36" authorId="1" shapeId="0" xr:uid="{00000000-0006-0000-0E00-00005C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Q36" authorId="0" shapeId="0" xr:uid="{00000000-0006-0000-0E00-00005D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R36" authorId="1" shapeId="0" xr:uid="{00000000-0006-0000-0E00-00005E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S36" authorId="1" shapeId="0" xr:uid="{00000000-0006-0000-0E00-00005F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T36" authorId="1" shapeId="0" xr:uid="{00000000-0006-0000-0E00-000060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U36" authorId="1" shapeId="0" xr:uid="{00000000-0006-0000-0E00-000061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K36" authorId="0" shapeId="0" xr:uid="{00000000-0006-0000-0E00-000062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L36" authorId="0" shapeId="0" xr:uid="{00000000-0006-0000-0E00-000063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M36" authorId="0" shapeId="0" xr:uid="{00000000-0006-0000-0E00-000064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N36" authorId="1" shapeId="0" xr:uid="{00000000-0006-0000-0E00-000065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O36" authorId="0" shapeId="0" xr:uid="{00000000-0006-0000-0E00-000066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P36" authorId="1" shapeId="0" xr:uid="{00000000-0006-0000-0E00-000067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Q36" authorId="1" shapeId="0" xr:uid="{00000000-0006-0000-0E00-000068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R36" authorId="1" shapeId="0" xr:uid="{00000000-0006-0000-0E00-000069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S36" authorId="1" shapeId="0" xr:uid="{00000000-0006-0000-0E00-00006A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I36" authorId="0" shapeId="0" xr:uid="{00000000-0006-0000-0E00-00006B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J36" authorId="0" shapeId="0" xr:uid="{00000000-0006-0000-0E00-00006C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K36" authorId="0" shapeId="0" xr:uid="{00000000-0006-0000-0E00-00006D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L36" authorId="1" shapeId="0" xr:uid="{00000000-0006-0000-0E00-00006E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M36" authorId="0" shapeId="0" xr:uid="{00000000-0006-0000-0E00-00006F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N36" authorId="1" shapeId="0" xr:uid="{00000000-0006-0000-0E00-000070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O36" authorId="1" shapeId="0" xr:uid="{00000000-0006-0000-0E00-000071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P36" authorId="1" shapeId="0" xr:uid="{00000000-0006-0000-0E00-000072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Q36" authorId="1" shapeId="0" xr:uid="{00000000-0006-0000-0E00-000073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G36" authorId="0" shapeId="0" xr:uid="{00000000-0006-0000-0E00-000074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H36" authorId="0" shapeId="0" xr:uid="{00000000-0006-0000-0E00-000075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I36" authorId="0" shapeId="0" xr:uid="{00000000-0006-0000-0E00-000076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J36" authorId="1" shapeId="0" xr:uid="{00000000-0006-0000-0E00-000077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K36" authorId="0" shapeId="0" xr:uid="{00000000-0006-0000-0E00-000078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L36" authorId="1" shapeId="0" xr:uid="{00000000-0006-0000-0E00-000079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M36" authorId="1" shapeId="0" xr:uid="{00000000-0006-0000-0E00-00007A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N36" authorId="1" shapeId="0" xr:uid="{00000000-0006-0000-0E00-00007B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O36" authorId="1" shapeId="0" xr:uid="{00000000-0006-0000-0E00-00007C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E36" authorId="0" shapeId="0" xr:uid="{00000000-0006-0000-0E00-00007D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F36" authorId="0" shapeId="0" xr:uid="{00000000-0006-0000-0E00-00007E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G36" authorId="0" shapeId="0" xr:uid="{00000000-0006-0000-0E00-00007F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H36" authorId="1" shapeId="0" xr:uid="{00000000-0006-0000-0E00-000080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I36" authorId="0" shapeId="0" xr:uid="{00000000-0006-0000-0E00-000081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J36" authorId="1" shapeId="0" xr:uid="{00000000-0006-0000-0E00-000082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K36" authorId="1" shapeId="0" xr:uid="{00000000-0006-0000-0E00-000083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L36" authorId="1" shapeId="0" xr:uid="{00000000-0006-0000-0E00-000084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M36" authorId="1" shapeId="0" xr:uid="{00000000-0006-0000-0E00-000085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C36" authorId="0" shapeId="0" xr:uid="{00000000-0006-0000-0E00-000086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D36" authorId="0" shapeId="0" xr:uid="{00000000-0006-0000-0E00-000087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E36" authorId="0" shapeId="0" xr:uid="{00000000-0006-0000-0E00-000088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F36" authorId="1" shapeId="0" xr:uid="{00000000-0006-0000-0E00-000089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G36" authorId="0" shapeId="0" xr:uid="{00000000-0006-0000-0E00-00008A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H36" authorId="1" shapeId="0" xr:uid="{00000000-0006-0000-0E00-00008B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I36" authorId="1" shapeId="0" xr:uid="{00000000-0006-0000-0E00-00008C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J36" authorId="1" shapeId="0" xr:uid="{00000000-0006-0000-0E00-00008D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K36" authorId="1" shapeId="0" xr:uid="{00000000-0006-0000-0E00-00008E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GA36" authorId="0" shapeId="0" xr:uid="{00000000-0006-0000-0E00-00008F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B36" authorId="0" shapeId="0" xr:uid="{00000000-0006-0000-0E00-000090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C36" authorId="0" shapeId="0" xr:uid="{00000000-0006-0000-0E00-000091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D36" authorId="1" shapeId="0" xr:uid="{00000000-0006-0000-0E00-000092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E36" authorId="0" shapeId="0" xr:uid="{00000000-0006-0000-0E00-000093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F36" authorId="1" shapeId="0" xr:uid="{00000000-0006-0000-0E00-000094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G36" authorId="1" shapeId="0" xr:uid="{00000000-0006-0000-0E00-000095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GH36" authorId="1" shapeId="0" xr:uid="{00000000-0006-0000-0E00-000096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GI36" authorId="1" shapeId="0" xr:uid="{00000000-0006-0000-0E00-000097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GY36" authorId="0" shapeId="0" xr:uid="{00000000-0006-0000-0E00-000098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GZ36" authorId="0" shapeId="0" xr:uid="{00000000-0006-0000-0E00-000099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HA36" authorId="0" shapeId="0" xr:uid="{00000000-0006-0000-0E00-00009A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HB36" authorId="1" shapeId="0" xr:uid="{00000000-0006-0000-0E00-00009B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HC36" authorId="0" shapeId="0" xr:uid="{00000000-0006-0000-0E00-00009C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HD36" authorId="1" shapeId="0" xr:uid="{00000000-0006-0000-0E00-00009D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HE36" authorId="1" shapeId="0" xr:uid="{00000000-0006-0000-0E00-00009E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HF36" authorId="1" shapeId="0" xr:uid="{00000000-0006-0000-0E00-00009F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HG36" authorId="1" shapeId="0" xr:uid="{00000000-0006-0000-0E00-0000A0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HW36" authorId="0" shapeId="0" xr:uid="{00000000-0006-0000-0E00-0000A1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HX36" authorId="0" shapeId="0" xr:uid="{00000000-0006-0000-0E00-0000A2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HY36" authorId="0" shapeId="0" xr:uid="{00000000-0006-0000-0E00-0000A3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HZ36" authorId="1" shapeId="0" xr:uid="{00000000-0006-0000-0E00-0000A4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IA36" authorId="0" shapeId="0" xr:uid="{00000000-0006-0000-0E00-0000A5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IB36" authorId="1" shapeId="0" xr:uid="{00000000-0006-0000-0E00-0000A6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IC36" authorId="1" shapeId="0" xr:uid="{00000000-0006-0000-0E00-0000A7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ID36" authorId="1" shapeId="0" xr:uid="{00000000-0006-0000-0E00-0000A8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IE36" authorId="1" shapeId="0" xr:uid="{00000000-0006-0000-0E00-0000A9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IU36" authorId="0" shapeId="0" xr:uid="{00000000-0006-0000-0E00-0000AA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IV36" authorId="0" shapeId="0" xr:uid="{00000000-0006-0000-0E00-0000AB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IW36" authorId="0" shapeId="0" xr:uid="{00000000-0006-0000-0E00-0000AC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IX36" authorId="1" shapeId="0" xr:uid="{00000000-0006-0000-0E00-0000AD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IY36" authorId="0" shapeId="0" xr:uid="{00000000-0006-0000-0E00-0000AE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IZ36" authorId="1" shapeId="0" xr:uid="{00000000-0006-0000-0E00-0000AF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JA36" authorId="1" shapeId="0" xr:uid="{00000000-0006-0000-0E00-0000B0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JB36" authorId="1" shapeId="0" xr:uid="{00000000-0006-0000-0E00-0000B1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JC36" authorId="1" shapeId="0" xr:uid="{00000000-0006-0000-0E00-0000B2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JS36" authorId="0" shapeId="0" xr:uid="{00000000-0006-0000-0E00-0000B3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JT36" authorId="0" shapeId="0" xr:uid="{00000000-0006-0000-0E00-0000B4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JU36" authorId="0" shapeId="0" xr:uid="{00000000-0006-0000-0E00-0000B5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JV36" authorId="1" shapeId="0" xr:uid="{00000000-0006-0000-0E00-0000B6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JW36" authorId="0" shapeId="0" xr:uid="{00000000-0006-0000-0E00-0000B7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JX36" authorId="1" shapeId="0" xr:uid="{00000000-0006-0000-0E00-0000B8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JY36" authorId="1" shapeId="0" xr:uid="{00000000-0006-0000-0E00-0000B9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JZ36" authorId="1" shapeId="0" xr:uid="{00000000-0006-0000-0E00-0000BA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KA36" authorId="1" shapeId="0" xr:uid="{00000000-0006-0000-0E00-0000BB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KQ36" authorId="0" shapeId="0" xr:uid="{00000000-0006-0000-0E00-0000BC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KR36" authorId="0" shapeId="0" xr:uid="{00000000-0006-0000-0E00-0000BD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KS36" authorId="0" shapeId="0" xr:uid="{00000000-0006-0000-0E00-0000BE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KT36" authorId="1" shapeId="0" xr:uid="{00000000-0006-0000-0E00-0000BF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KU36" authorId="0" shapeId="0" xr:uid="{00000000-0006-0000-0E00-0000C0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KV36" authorId="1" shapeId="0" xr:uid="{00000000-0006-0000-0E00-0000C1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KW36" authorId="1" shapeId="0" xr:uid="{00000000-0006-0000-0E00-0000C2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KX36" authorId="1" shapeId="0" xr:uid="{00000000-0006-0000-0E00-0000C3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KY36" authorId="1" shapeId="0" xr:uid="{00000000-0006-0000-0E00-0000C4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LO36" authorId="0" shapeId="0" xr:uid="{00000000-0006-0000-0E00-0000C5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LP36" authorId="0" shapeId="0" xr:uid="{00000000-0006-0000-0E00-0000C6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LQ36" authorId="0" shapeId="0" xr:uid="{00000000-0006-0000-0E00-0000C7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LR36" authorId="1" shapeId="0" xr:uid="{00000000-0006-0000-0E00-0000C8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LS36" authorId="0" shapeId="0" xr:uid="{00000000-0006-0000-0E00-0000C9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LT36" authorId="1" shapeId="0" xr:uid="{00000000-0006-0000-0E00-0000CA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LU36" authorId="1" shapeId="0" xr:uid="{00000000-0006-0000-0E00-0000CB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LV36" authorId="1" shapeId="0" xr:uid="{00000000-0006-0000-0E00-0000CC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LW36" authorId="1" shapeId="0" xr:uid="{00000000-0006-0000-0E00-0000CD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MM36" authorId="0" shapeId="0" xr:uid="{00000000-0006-0000-0E00-0000CE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MN36" authorId="0" shapeId="0" xr:uid="{00000000-0006-0000-0E00-0000CF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MO36" authorId="0" shapeId="0" xr:uid="{00000000-0006-0000-0E00-0000D0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MP36" authorId="1" shapeId="0" xr:uid="{00000000-0006-0000-0E00-0000D1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MQ36" authorId="0" shapeId="0" xr:uid="{00000000-0006-0000-0E00-0000D2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MR36" authorId="1" shapeId="0" xr:uid="{00000000-0006-0000-0E00-0000D3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MS36" authorId="1" shapeId="0" xr:uid="{00000000-0006-0000-0E00-0000D4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MT36" authorId="1" shapeId="0" xr:uid="{00000000-0006-0000-0E00-0000D5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MU36" authorId="1" shapeId="0" xr:uid="{00000000-0006-0000-0E00-0000D6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NK36" authorId="0" shapeId="0" xr:uid="{00000000-0006-0000-0E00-0000D7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NL36" authorId="0" shapeId="0" xr:uid="{00000000-0006-0000-0E00-0000D8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NM36" authorId="0" shapeId="0" xr:uid="{00000000-0006-0000-0E00-0000D9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NN36" authorId="1" shapeId="0" xr:uid="{00000000-0006-0000-0E00-0000DA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NO36" authorId="0" shapeId="0" xr:uid="{00000000-0006-0000-0E00-0000DB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NP36" authorId="1" shapeId="0" xr:uid="{00000000-0006-0000-0E00-0000DC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NQ36" authorId="1" shapeId="0" xr:uid="{00000000-0006-0000-0E00-0000DD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NR36" authorId="1" shapeId="0" xr:uid="{00000000-0006-0000-0E00-0000DE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NS36" authorId="1" shapeId="0" xr:uid="{00000000-0006-0000-0E00-0000DF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OI36" authorId="0" shapeId="0" xr:uid="{00000000-0006-0000-0E00-0000E0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OJ36" authorId="0" shapeId="0" xr:uid="{00000000-0006-0000-0E00-0000E1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OK36" authorId="0" shapeId="0" xr:uid="{00000000-0006-0000-0E00-0000E2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OL36" authorId="1" shapeId="0" xr:uid="{00000000-0006-0000-0E00-0000E3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OM36" authorId="0" shapeId="0" xr:uid="{00000000-0006-0000-0E00-0000E4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ON36" authorId="1" shapeId="0" xr:uid="{00000000-0006-0000-0E00-0000E5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OO36" authorId="1" shapeId="0" xr:uid="{00000000-0006-0000-0E00-0000E6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OP36" authorId="1" shapeId="0" xr:uid="{00000000-0006-0000-0E00-0000E7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OQ36" authorId="1" shapeId="0" xr:uid="{00000000-0006-0000-0E00-0000E8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PG36" authorId="0" shapeId="0" xr:uid="{00000000-0006-0000-0E00-0000E9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PH36" authorId="0" shapeId="0" xr:uid="{00000000-0006-0000-0E00-0000EA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PI36" authorId="0" shapeId="0" xr:uid="{00000000-0006-0000-0E00-0000EB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PJ36" authorId="1" shapeId="0" xr:uid="{00000000-0006-0000-0E00-0000EC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PK36" authorId="0" shapeId="0" xr:uid="{00000000-0006-0000-0E00-0000ED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PL36" authorId="1" shapeId="0" xr:uid="{00000000-0006-0000-0E00-0000EE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PM36" authorId="1" shapeId="0" xr:uid="{00000000-0006-0000-0E00-0000EF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PN36" authorId="1" shapeId="0" xr:uid="{00000000-0006-0000-0E00-0000F0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PO36" authorId="1" shapeId="0" xr:uid="{00000000-0006-0000-0E00-0000F1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QE36" authorId="0" shapeId="0" xr:uid="{00000000-0006-0000-0E00-0000F2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F36" authorId="0" shapeId="0" xr:uid="{00000000-0006-0000-0E00-0000F3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G36" authorId="0" shapeId="0" xr:uid="{00000000-0006-0000-0E00-0000F4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H36" authorId="1" shapeId="0" xr:uid="{00000000-0006-0000-0E00-0000F5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I36" authorId="0" shapeId="0" xr:uid="{00000000-0006-0000-0E00-0000F6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J36" authorId="1" shapeId="0" xr:uid="{00000000-0006-0000-0E00-0000F7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K36" authorId="1" shapeId="0" xr:uid="{00000000-0006-0000-0E00-0000F8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QL36" authorId="1" shapeId="0" xr:uid="{00000000-0006-0000-0E00-0000F9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QM36" authorId="1" shapeId="0" xr:uid="{00000000-0006-0000-0E00-0000FA02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RC36" authorId="0" shapeId="0" xr:uid="{00000000-0006-0000-0E00-0000FB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RD36" authorId="0" shapeId="0" xr:uid="{00000000-0006-0000-0E00-0000FC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RE36" authorId="0" shapeId="0" xr:uid="{00000000-0006-0000-0E00-0000FD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RF36" authorId="1" shapeId="0" xr:uid="{00000000-0006-0000-0E00-0000FE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RG36" authorId="0" shapeId="0" xr:uid="{00000000-0006-0000-0E00-0000FF02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RH36" authorId="1" shapeId="0" xr:uid="{00000000-0006-0000-0E00-00000003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RI36" authorId="1" shapeId="0" xr:uid="{00000000-0006-0000-0E00-00000103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RJ36" authorId="1" shapeId="0" xr:uid="{00000000-0006-0000-0E00-00000203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RK36" authorId="1" shapeId="0" xr:uid="{00000000-0006-0000-0E00-00000303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SA36" authorId="0" shapeId="0" xr:uid="{00000000-0006-0000-0E00-00000403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B36" authorId="0" shapeId="0" xr:uid="{00000000-0006-0000-0E00-00000503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C36" authorId="0" shapeId="0" xr:uid="{00000000-0006-0000-0E00-00000603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D36" authorId="1" shapeId="0" xr:uid="{00000000-0006-0000-0E00-00000703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E36" authorId="0" shapeId="0" xr:uid="{00000000-0006-0000-0E00-00000803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F36" authorId="1" shapeId="0" xr:uid="{00000000-0006-0000-0E00-00000903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G36" authorId="1" shapeId="0" xr:uid="{00000000-0006-0000-0E00-00000A03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SH36" authorId="1" shapeId="0" xr:uid="{00000000-0006-0000-0E00-00000B03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SI36" authorId="1" shapeId="0" xr:uid="{00000000-0006-0000-0E00-00000C03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IV37" authorId="0" shapeId="0" xr:uid="{00000000-0006-0000-0E00-00000D030000}">
      <text>
        <r>
          <rPr>
            <sz val="9"/>
            <color indexed="81"/>
            <rFont val="Tahoma"/>
            <family val="2"/>
          </rPr>
          <t>Could not find source file for Dade county.</t>
        </r>
      </text>
    </comment>
    <comment ref="IW37" authorId="0" shapeId="0" xr:uid="{00000000-0006-0000-0E00-00000E030000}">
      <text>
        <r>
          <rPr>
            <sz val="9"/>
            <color indexed="81"/>
            <rFont val="Tahoma"/>
            <family val="2"/>
          </rPr>
          <t>Could not find source file for Dade county.</t>
        </r>
      </text>
    </comment>
    <comment ref="IX37" authorId="1" shapeId="0" xr:uid="{00000000-0006-0000-0E00-00000F030000}">
      <text>
        <r>
          <rPr>
            <sz val="9"/>
            <color indexed="81"/>
            <rFont val="Tahoma"/>
            <family val="2"/>
          </rPr>
          <t>Could not find source file for Dade county.</t>
        </r>
      </text>
    </comment>
    <comment ref="IY37" authorId="0" shapeId="0" xr:uid="{00000000-0006-0000-0E00-000010030000}">
      <text>
        <r>
          <rPr>
            <sz val="9"/>
            <color indexed="81"/>
            <rFont val="Tahoma"/>
            <family val="2"/>
          </rPr>
          <t>Could not find source file for Dade county.</t>
        </r>
      </text>
    </comment>
    <comment ref="IZ37" authorId="1" shapeId="0" xr:uid="{00000000-0006-0000-0E00-000011030000}">
      <text>
        <r>
          <rPr>
            <sz val="9"/>
            <color indexed="81"/>
            <rFont val="Tahoma"/>
            <family val="2"/>
          </rPr>
          <t>Could not find source file for Dade county.</t>
        </r>
      </text>
    </comment>
    <comment ref="JA37" authorId="1" shapeId="0" xr:uid="{00000000-0006-0000-0E00-000012030000}">
      <text>
        <r>
          <rPr>
            <sz val="9"/>
            <color indexed="81"/>
            <rFont val="Tahoma"/>
            <charset val="1"/>
          </rPr>
          <t>Could not find source file for Dade county.</t>
        </r>
      </text>
    </comment>
    <comment ref="JB37" authorId="1" shapeId="0" xr:uid="{00000000-0006-0000-0E00-000013030000}">
      <text>
        <r>
          <rPr>
            <sz val="9"/>
            <color indexed="81"/>
            <rFont val="Tahoma"/>
            <charset val="1"/>
          </rPr>
          <t>Could not find source file for Dade county.</t>
        </r>
      </text>
    </comment>
    <comment ref="JC37" authorId="1" shapeId="0" xr:uid="{00000000-0006-0000-0E00-000014030000}">
      <text>
        <r>
          <rPr>
            <sz val="9"/>
            <color indexed="81"/>
            <rFont val="Tahoma"/>
            <charset val="1"/>
          </rPr>
          <t>Could not find source file for Dade county.</t>
        </r>
      </text>
    </comment>
    <comment ref="R38" authorId="1" shapeId="0" xr:uid="{00000000-0006-0000-0E00-000015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AP38" authorId="1" shapeId="0" xr:uid="{00000000-0006-0000-0E00-000016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BN38" authorId="1" shapeId="0" xr:uid="{00000000-0006-0000-0E00-000017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CL38" authorId="1" shapeId="0" xr:uid="{00000000-0006-0000-0E00-000018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DJ38" authorId="1" shapeId="0" xr:uid="{00000000-0006-0000-0E00-000019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EH38" authorId="1" shapeId="0" xr:uid="{00000000-0006-0000-0E00-00001A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FF38" authorId="1" shapeId="0" xr:uid="{00000000-0006-0000-0E00-00001B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GD38" authorId="1" shapeId="0" xr:uid="{00000000-0006-0000-0E00-00001C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HB38" authorId="1" shapeId="0" xr:uid="{00000000-0006-0000-0E00-00001D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HZ38" authorId="1" shapeId="0" xr:uid="{00000000-0006-0000-0E00-00001E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IV38" authorId="0" shapeId="0" xr:uid="{00000000-0006-0000-0E00-00001F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IW38" authorId="0" shapeId="0" xr:uid="{00000000-0006-0000-0E00-000020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IX38" authorId="1" shapeId="0" xr:uid="{00000000-0006-0000-0E00-000021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IY38" authorId="0" shapeId="0" xr:uid="{00000000-0006-0000-0E00-000022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IZ38" authorId="1" shapeId="0" xr:uid="{00000000-0006-0000-0E00-000023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JA38" authorId="1" shapeId="0" xr:uid="{00000000-0006-0000-0E00-000024030000}">
      <text>
        <r>
          <rPr>
            <sz val="9"/>
            <color indexed="81"/>
            <rFont val="Tahoma"/>
            <charset val="1"/>
          </rPr>
          <t>Could not find source file for Dallas county.</t>
        </r>
      </text>
    </comment>
    <comment ref="JB38" authorId="1" shapeId="0" xr:uid="{00000000-0006-0000-0E00-000025030000}">
      <text>
        <r>
          <rPr>
            <sz val="9"/>
            <color indexed="81"/>
            <rFont val="Tahoma"/>
            <charset val="1"/>
          </rPr>
          <t>Could not find source file for Dallas county.</t>
        </r>
      </text>
    </comment>
    <comment ref="JC38" authorId="1" shapeId="0" xr:uid="{00000000-0006-0000-0E00-000026030000}">
      <text>
        <r>
          <rPr>
            <sz val="9"/>
            <color indexed="81"/>
            <rFont val="Tahoma"/>
            <charset val="1"/>
          </rPr>
          <t>Could not find source file for Dallas county.</t>
        </r>
      </text>
    </comment>
    <comment ref="JV38" authorId="1" shapeId="0" xr:uid="{00000000-0006-0000-0E00-000027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KT38" authorId="1" shapeId="0" xr:uid="{00000000-0006-0000-0E00-000028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LR38" authorId="1" shapeId="0" xr:uid="{00000000-0006-0000-0E00-000029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MP38" authorId="1" shapeId="0" xr:uid="{00000000-0006-0000-0E00-00002A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NN38" authorId="1" shapeId="0" xr:uid="{00000000-0006-0000-0E00-00002B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OL38" authorId="1" shapeId="0" xr:uid="{00000000-0006-0000-0E00-00002C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PJ38" authorId="1" shapeId="0" xr:uid="{00000000-0006-0000-0E00-00002D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QH38" authorId="1" shapeId="0" xr:uid="{00000000-0006-0000-0E00-00002E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RF38" authorId="1" shapeId="0" xr:uid="{00000000-0006-0000-0E00-00002F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SD38" authorId="1" shapeId="0" xr:uid="{00000000-0006-0000-0E00-00003003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R39" authorId="1" shapeId="0" xr:uid="{00000000-0006-0000-0E00-000031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T39" authorId="1" shapeId="0" xr:uid="{00000000-0006-0000-0E00-000032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AP39" authorId="1" shapeId="0" xr:uid="{00000000-0006-0000-0E00-000033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AR39" authorId="1" shapeId="0" xr:uid="{00000000-0006-0000-0E00-000034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BN39" authorId="1" shapeId="0" xr:uid="{00000000-0006-0000-0E00-000035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BP39" authorId="1" shapeId="0" xr:uid="{00000000-0006-0000-0E00-000036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CL39" authorId="1" shapeId="0" xr:uid="{00000000-0006-0000-0E00-000037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CN39" authorId="1" shapeId="0" xr:uid="{00000000-0006-0000-0E00-000038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DJ39" authorId="1" shapeId="0" xr:uid="{00000000-0006-0000-0E00-000039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DL39" authorId="1" shapeId="0" xr:uid="{00000000-0006-0000-0E00-00003A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EH39" authorId="1" shapeId="0" xr:uid="{00000000-0006-0000-0E00-00003B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EJ39" authorId="1" shapeId="0" xr:uid="{00000000-0006-0000-0E00-00003C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FF39" authorId="1" shapeId="0" xr:uid="{00000000-0006-0000-0E00-00003D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FH39" authorId="1" shapeId="0" xr:uid="{00000000-0006-0000-0E00-00003E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GD39" authorId="1" shapeId="0" xr:uid="{00000000-0006-0000-0E00-00003F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GF39" authorId="1" shapeId="0" xr:uid="{00000000-0006-0000-0E00-000040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HB39" authorId="1" shapeId="0" xr:uid="{00000000-0006-0000-0E00-000041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HD39" authorId="1" shapeId="0" xr:uid="{00000000-0006-0000-0E00-000042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HZ39" authorId="1" shapeId="0" xr:uid="{00000000-0006-0000-0E00-000043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IB39" authorId="1" shapeId="0" xr:uid="{00000000-0006-0000-0E00-000044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IV39" authorId="0" shapeId="0" xr:uid="{00000000-0006-0000-0E00-000045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IW39" authorId="0" shapeId="0" xr:uid="{00000000-0006-0000-0E00-000046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IX39" authorId="1" shapeId="0" xr:uid="{00000000-0006-0000-0E00-000047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IY39" authorId="0" shapeId="0" xr:uid="{00000000-0006-0000-0E00-000048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IZ39" authorId="1" shapeId="0" xr:uid="{00000000-0006-0000-0E00-000049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JA39" authorId="1" shapeId="0" xr:uid="{00000000-0006-0000-0E00-00004A030000}">
      <text>
        <r>
          <rPr>
            <sz val="9"/>
            <color indexed="81"/>
            <rFont val="Tahoma"/>
            <charset val="1"/>
          </rPr>
          <t>Could not find source file for Daviess county.</t>
        </r>
      </text>
    </comment>
    <comment ref="JB39" authorId="1" shapeId="0" xr:uid="{00000000-0006-0000-0E00-00004B030000}">
      <text>
        <r>
          <rPr>
            <sz val="9"/>
            <color indexed="81"/>
            <rFont val="Tahoma"/>
            <charset val="1"/>
          </rPr>
          <t>Could not find source file for Daviess county.</t>
        </r>
      </text>
    </comment>
    <comment ref="JC39" authorId="1" shapeId="0" xr:uid="{00000000-0006-0000-0E00-00004C030000}">
      <text>
        <r>
          <rPr>
            <sz val="9"/>
            <color indexed="81"/>
            <rFont val="Tahoma"/>
            <charset val="1"/>
          </rPr>
          <t>Could not find source file for Daviess county.</t>
        </r>
      </text>
    </comment>
    <comment ref="JV39" authorId="1" shapeId="0" xr:uid="{00000000-0006-0000-0E00-00004D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JX39" authorId="1" shapeId="0" xr:uid="{00000000-0006-0000-0E00-00004E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KT39" authorId="1" shapeId="0" xr:uid="{00000000-0006-0000-0E00-00004F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KV39" authorId="1" shapeId="0" xr:uid="{00000000-0006-0000-0E00-000050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LR39" authorId="1" shapeId="0" xr:uid="{00000000-0006-0000-0E00-000051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LT39" authorId="1" shapeId="0" xr:uid="{00000000-0006-0000-0E00-000052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MP39" authorId="1" shapeId="0" xr:uid="{00000000-0006-0000-0E00-000053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MR39" authorId="1" shapeId="0" xr:uid="{00000000-0006-0000-0E00-000054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NN39" authorId="1" shapeId="0" xr:uid="{00000000-0006-0000-0E00-000055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NP39" authorId="1" shapeId="0" xr:uid="{00000000-0006-0000-0E00-000056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OL39" authorId="1" shapeId="0" xr:uid="{00000000-0006-0000-0E00-000057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ON39" authorId="1" shapeId="0" xr:uid="{00000000-0006-0000-0E00-000058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PJ39" authorId="1" shapeId="0" xr:uid="{00000000-0006-0000-0E00-000059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PL39" authorId="1" shapeId="0" xr:uid="{00000000-0006-0000-0E00-00005A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QH39" authorId="1" shapeId="0" xr:uid="{00000000-0006-0000-0E00-00005B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QJ39" authorId="1" shapeId="0" xr:uid="{00000000-0006-0000-0E00-00005C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RF39" authorId="1" shapeId="0" xr:uid="{00000000-0006-0000-0E00-00005D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RH39" authorId="1" shapeId="0" xr:uid="{00000000-0006-0000-0E00-00005E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SD39" authorId="1" shapeId="0" xr:uid="{00000000-0006-0000-0E00-00005F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SF39" authorId="1" shapeId="0" xr:uid="{00000000-0006-0000-0E00-00006003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U40" authorId="1" shapeId="0" xr:uid="{00000000-0006-0000-0E00-000061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V40" authorId="1" shapeId="0" xr:uid="{00000000-0006-0000-0E00-000062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W40" authorId="1" shapeId="0" xr:uid="{00000000-0006-0000-0E00-000063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AS40" authorId="1" shapeId="0" xr:uid="{00000000-0006-0000-0E00-000064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AT40" authorId="1" shapeId="0" xr:uid="{00000000-0006-0000-0E00-000065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AU40" authorId="1" shapeId="0" xr:uid="{00000000-0006-0000-0E00-000066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BQ40" authorId="1" shapeId="0" xr:uid="{00000000-0006-0000-0E00-000067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BR40" authorId="1" shapeId="0" xr:uid="{00000000-0006-0000-0E00-000068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BS40" authorId="1" shapeId="0" xr:uid="{00000000-0006-0000-0E00-000069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CO40" authorId="1" shapeId="0" xr:uid="{00000000-0006-0000-0E00-00006A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CP40" authorId="1" shapeId="0" xr:uid="{00000000-0006-0000-0E00-00006B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CQ40" authorId="1" shapeId="0" xr:uid="{00000000-0006-0000-0E00-00006C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DM40" authorId="1" shapeId="0" xr:uid="{00000000-0006-0000-0E00-00006D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DN40" authorId="1" shapeId="0" xr:uid="{00000000-0006-0000-0E00-00006E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DO40" authorId="1" shapeId="0" xr:uid="{00000000-0006-0000-0E00-00006F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EK40" authorId="1" shapeId="0" xr:uid="{00000000-0006-0000-0E00-000070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EL40" authorId="1" shapeId="0" xr:uid="{00000000-0006-0000-0E00-000071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EM40" authorId="1" shapeId="0" xr:uid="{00000000-0006-0000-0E00-000072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FI40" authorId="1" shapeId="0" xr:uid="{00000000-0006-0000-0E00-000073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FJ40" authorId="1" shapeId="0" xr:uid="{00000000-0006-0000-0E00-000074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FK40" authorId="1" shapeId="0" xr:uid="{00000000-0006-0000-0E00-000075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GG40" authorId="1" shapeId="0" xr:uid="{00000000-0006-0000-0E00-000076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GH40" authorId="1" shapeId="0" xr:uid="{00000000-0006-0000-0E00-000077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GI40" authorId="1" shapeId="0" xr:uid="{00000000-0006-0000-0E00-000078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HE40" authorId="1" shapeId="0" xr:uid="{00000000-0006-0000-0E00-000079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HF40" authorId="1" shapeId="0" xr:uid="{00000000-0006-0000-0E00-00007A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HG40" authorId="1" shapeId="0" xr:uid="{00000000-0006-0000-0E00-00007B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IC40" authorId="1" shapeId="0" xr:uid="{00000000-0006-0000-0E00-00007C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ID40" authorId="1" shapeId="0" xr:uid="{00000000-0006-0000-0E00-00007D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IE40" authorId="1" shapeId="0" xr:uid="{00000000-0006-0000-0E00-00007E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IV40" authorId="0" shapeId="0" xr:uid="{00000000-0006-0000-0E00-00007F030000}">
      <text>
        <r>
          <rPr>
            <sz val="9"/>
            <color indexed="81"/>
            <rFont val="Tahoma"/>
            <family val="2"/>
          </rPr>
          <t>Could not find source file for DeKalb county.</t>
        </r>
      </text>
    </comment>
    <comment ref="IW40" authorId="0" shapeId="0" xr:uid="{00000000-0006-0000-0E00-000080030000}">
      <text>
        <r>
          <rPr>
            <sz val="9"/>
            <color indexed="81"/>
            <rFont val="Tahoma"/>
            <family val="2"/>
          </rPr>
          <t>Could not find source file for DeKalb county.</t>
        </r>
      </text>
    </comment>
    <comment ref="IX40" authorId="1" shapeId="0" xr:uid="{00000000-0006-0000-0E00-000081030000}">
      <text>
        <r>
          <rPr>
            <sz val="9"/>
            <color indexed="81"/>
            <rFont val="Tahoma"/>
            <family val="2"/>
          </rPr>
          <t>Could not find source file for DeKalb county.</t>
        </r>
      </text>
    </comment>
    <comment ref="IY40" authorId="0" shapeId="0" xr:uid="{00000000-0006-0000-0E00-000082030000}">
      <text>
        <r>
          <rPr>
            <sz val="9"/>
            <color indexed="81"/>
            <rFont val="Tahoma"/>
            <family val="2"/>
          </rPr>
          <t>Could not find source file for DeKalb county.</t>
        </r>
      </text>
    </comment>
    <comment ref="IZ40" authorId="1" shapeId="0" xr:uid="{00000000-0006-0000-0E00-000083030000}">
      <text>
        <r>
          <rPr>
            <sz val="9"/>
            <color indexed="81"/>
            <rFont val="Tahoma"/>
            <family val="2"/>
          </rPr>
          <t>Could not find source file for DeKalb county.</t>
        </r>
      </text>
    </comment>
    <comment ref="JA40" authorId="1" shapeId="0" xr:uid="{00000000-0006-0000-0E00-000084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JB40" authorId="1" shapeId="0" xr:uid="{00000000-0006-0000-0E00-000085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JC40" authorId="1" shapeId="0" xr:uid="{00000000-0006-0000-0E00-000086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JY40" authorId="1" shapeId="0" xr:uid="{00000000-0006-0000-0E00-000087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JZ40" authorId="1" shapeId="0" xr:uid="{00000000-0006-0000-0E00-000088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KA40" authorId="1" shapeId="0" xr:uid="{00000000-0006-0000-0E00-000089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KW40" authorId="1" shapeId="0" xr:uid="{00000000-0006-0000-0E00-00008A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KX40" authorId="1" shapeId="0" xr:uid="{00000000-0006-0000-0E00-00008B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KY40" authorId="1" shapeId="0" xr:uid="{00000000-0006-0000-0E00-00008C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LU40" authorId="1" shapeId="0" xr:uid="{00000000-0006-0000-0E00-00008D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LV40" authorId="1" shapeId="0" xr:uid="{00000000-0006-0000-0E00-00008E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LW40" authorId="1" shapeId="0" xr:uid="{00000000-0006-0000-0E00-00008F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MS40" authorId="1" shapeId="0" xr:uid="{00000000-0006-0000-0E00-000090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MT40" authorId="1" shapeId="0" xr:uid="{00000000-0006-0000-0E00-000091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MU40" authorId="1" shapeId="0" xr:uid="{00000000-0006-0000-0E00-000092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NQ40" authorId="1" shapeId="0" xr:uid="{00000000-0006-0000-0E00-000093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NR40" authorId="1" shapeId="0" xr:uid="{00000000-0006-0000-0E00-000094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NS40" authorId="1" shapeId="0" xr:uid="{00000000-0006-0000-0E00-000095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OO40" authorId="1" shapeId="0" xr:uid="{00000000-0006-0000-0E00-000096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OP40" authorId="1" shapeId="0" xr:uid="{00000000-0006-0000-0E00-000097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OQ40" authorId="1" shapeId="0" xr:uid="{00000000-0006-0000-0E00-000098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PM40" authorId="1" shapeId="0" xr:uid="{00000000-0006-0000-0E00-000099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PN40" authorId="1" shapeId="0" xr:uid="{00000000-0006-0000-0E00-00009A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PO40" authorId="1" shapeId="0" xr:uid="{00000000-0006-0000-0E00-00009B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QK40" authorId="1" shapeId="0" xr:uid="{00000000-0006-0000-0E00-00009C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QL40" authorId="1" shapeId="0" xr:uid="{00000000-0006-0000-0E00-00009D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QM40" authorId="1" shapeId="0" xr:uid="{00000000-0006-0000-0E00-00009E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RI40" authorId="1" shapeId="0" xr:uid="{00000000-0006-0000-0E00-00009F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RJ40" authorId="1" shapeId="0" xr:uid="{00000000-0006-0000-0E00-0000A0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RK40" authorId="1" shapeId="0" xr:uid="{00000000-0006-0000-0E00-0000A1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SG40" authorId="1" shapeId="0" xr:uid="{00000000-0006-0000-0E00-0000A2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SH40" authorId="1" shapeId="0" xr:uid="{00000000-0006-0000-0E00-0000A3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SI40" authorId="1" shapeId="0" xr:uid="{00000000-0006-0000-0E00-0000A403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IV41" authorId="0" shapeId="0" xr:uid="{00000000-0006-0000-0E00-0000A5030000}">
      <text>
        <r>
          <rPr>
            <sz val="9"/>
            <color indexed="81"/>
            <rFont val="Tahoma"/>
            <family val="2"/>
          </rPr>
          <t>Could not find source file for Dent county.</t>
        </r>
      </text>
    </comment>
    <comment ref="IW41" authorId="0" shapeId="0" xr:uid="{00000000-0006-0000-0E00-0000A6030000}">
      <text>
        <r>
          <rPr>
            <sz val="9"/>
            <color indexed="81"/>
            <rFont val="Tahoma"/>
            <family val="2"/>
          </rPr>
          <t>Could not find source file for Dent county.</t>
        </r>
      </text>
    </comment>
    <comment ref="IX41" authorId="1" shapeId="0" xr:uid="{00000000-0006-0000-0E00-0000A7030000}">
      <text>
        <r>
          <rPr>
            <sz val="9"/>
            <color indexed="81"/>
            <rFont val="Tahoma"/>
            <family val="2"/>
          </rPr>
          <t>Could not find source file for Dent county.</t>
        </r>
      </text>
    </comment>
    <comment ref="IY41" authorId="0" shapeId="0" xr:uid="{00000000-0006-0000-0E00-0000A8030000}">
      <text>
        <r>
          <rPr>
            <sz val="9"/>
            <color indexed="81"/>
            <rFont val="Tahoma"/>
            <family val="2"/>
          </rPr>
          <t>Could not find source file for Dent county.</t>
        </r>
      </text>
    </comment>
    <comment ref="IZ41" authorId="1" shapeId="0" xr:uid="{00000000-0006-0000-0E00-0000A9030000}">
      <text>
        <r>
          <rPr>
            <sz val="9"/>
            <color indexed="81"/>
            <rFont val="Tahoma"/>
            <family val="2"/>
          </rPr>
          <t>Could not find source file for Dent county.</t>
        </r>
      </text>
    </comment>
    <comment ref="JA41" authorId="1" shapeId="0" xr:uid="{00000000-0006-0000-0E00-0000AA030000}">
      <text>
        <r>
          <rPr>
            <sz val="9"/>
            <color indexed="81"/>
            <rFont val="Tahoma"/>
            <charset val="1"/>
          </rPr>
          <t>Could not find source file for Dent county.</t>
        </r>
      </text>
    </comment>
    <comment ref="JB41" authorId="1" shapeId="0" xr:uid="{00000000-0006-0000-0E00-0000AB030000}">
      <text>
        <r>
          <rPr>
            <sz val="9"/>
            <color indexed="81"/>
            <rFont val="Tahoma"/>
            <charset val="1"/>
          </rPr>
          <t>Could not find source file for Dent county.</t>
        </r>
      </text>
    </comment>
    <comment ref="JC41" authorId="1" shapeId="0" xr:uid="{00000000-0006-0000-0E00-0000AC030000}">
      <text>
        <r>
          <rPr>
            <sz val="9"/>
            <color indexed="81"/>
            <rFont val="Tahoma"/>
            <charset val="1"/>
          </rPr>
          <t>Could not find source file for Dent county.</t>
        </r>
      </text>
    </comment>
    <comment ref="IV42" authorId="0" shapeId="0" xr:uid="{00000000-0006-0000-0E00-0000AD030000}">
      <text>
        <r>
          <rPr>
            <sz val="9"/>
            <color indexed="81"/>
            <rFont val="Tahoma"/>
            <family val="2"/>
          </rPr>
          <t>Could not find source file for Douglas county.</t>
        </r>
      </text>
    </comment>
    <comment ref="IW42" authorId="0" shapeId="0" xr:uid="{00000000-0006-0000-0E00-0000AE030000}">
      <text>
        <r>
          <rPr>
            <sz val="9"/>
            <color indexed="81"/>
            <rFont val="Tahoma"/>
            <family val="2"/>
          </rPr>
          <t>Could not find source file for Douglas county.</t>
        </r>
      </text>
    </comment>
    <comment ref="IX42" authorId="1" shapeId="0" xr:uid="{00000000-0006-0000-0E00-0000AF030000}">
      <text>
        <r>
          <rPr>
            <sz val="9"/>
            <color indexed="81"/>
            <rFont val="Tahoma"/>
            <family val="2"/>
          </rPr>
          <t>Could not find source file for Douglas county.</t>
        </r>
      </text>
    </comment>
    <comment ref="IY42" authorId="0" shapeId="0" xr:uid="{00000000-0006-0000-0E00-0000B0030000}">
      <text>
        <r>
          <rPr>
            <sz val="9"/>
            <color indexed="81"/>
            <rFont val="Tahoma"/>
            <family val="2"/>
          </rPr>
          <t>Could not find source file for Douglas county.</t>
        </r>
      </text>
    </comment>
    <comment ref="IZ42" authorId="1" shapeId="0" xr:uid="{00000000-0006-0000-0E00-0000B1030000}">
      <text>
        <r>
          <rPr>
            <sz val="9"/>
            <color indexed="81"/>
            <rFont val="Tahoma"/>
            <family val="2"/>
          </rPr>
          <t>Could not find source file for Douglas county.</t>
        </r>
      </text>
    </comment>
    <comment ref="JA42" authorId="1" shapeId="0" xr:uid="{00000000-0006-0000-0E00-0000B2030000}">
      <text>
        <r>
          <rPr>
            <sz val="9"/>
            <color indexed="81"/>
            <rFont val="Tahoma"/>
            <charset val="1"/>
          </rPr>
          <t>Could not find source file for Douglas county.</t>
        </r>
      </text>
    </comment>
    <comment ref="JB42" authorId="1" shapeId="0" xr:uid="{00000000-0006-0000-0E00-0000B3030000}">
      <text>
        <r>
          <rPr>
            <sz val="9"/>
            <color indexed="81"/>
            <rFont val="Tahoma"/>
            <charset val="1"/>
          </rPr>
          <t>Could not find source file for Douglas county.</t>
        </r>
      </text>
    </comment>
    <comment ref="JC42" authorId="1" shapeId="0" xr:uid="{00000000-0006-0000-0E00-0000B4030000}">
      <text>
        <r>
          <rPr>
            <sz val="9"/>
            <color indexed="81"/>
            <rFont val="Tahoma"/>
            <charset val="1"/>
          </rPr>
          <t>Could not find source file for Douglas county.</t>
        </r>
      </text>
    </comment>
    <comment ref="R43" authorId="1" shapeId="0" xr:uid="{00000000-0006-0000-0E00-0000B5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AP43" authorId="1" shapeId="0" xr:uid="{00000000-0006-0000-0E00-0000B6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BN43" authorId="1" shapeId="0" xr:uid="{00000000-0006-0000-0E00-0000B7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CL43" authorId="1" shapeId="0" xr:uid="{00000000-0006-0000-0E00-0000B8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DJ43" authorId="1" shapeId="0" xr:uid="{00000000-0006-0000-0E00-0000B9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EH43" authorId="1" shapeId="0" xr:uid="{00000000-0006-0000-0E00-0000BA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FF43" authorId="1" shapeId="0" xr:uid="{00000000-0006-0000-0E00-0000BB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GD43" authorId="1" shapeId="0" xr:uid="{00000000-0006-0000-0E00-0000BC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HB43" authorId="1" shapeId="0" xr:uid="{00000000-0006-0000-0E00-0000BD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HZ43" authorId="1" shapeId="0" xr:uid="{00000000-0006-0000-0E00-0000BE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IV43" authorId="0" shapeId="0" xr:uid="{00000000-0006-0000-0E00-0000BF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IW43" authorId="0" shapeId="0" xr:uid="{00000000-0006-0000-0E00-0000C0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IX43" authorId="1" shapeId="0" xr:uid="{00000000-0006-0000-0E00-0000C1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IY43" authorId="0" shapeId="0" xr:uid="{00000000-0006-0000-0E00-0000C2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IZ43" authorId="1" shapeId="0" xr:uid="{00000000-0006-0000-0E00-0000C3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JA43" authorId="1" shapeId="0" xr:uid="{00000000-0006-0000-0E00-0000C4030000}">
      <text>
        <r>
          <rPr>
            <sz val="9"/>
            <color indexed="81"/>
            <rFont val="Tahoma"/>
            <charset val="1"/>
          </rPr>
          <t>Could not find source file for Dunklin county.</t>
        </r>
      </text>
    </comment>
    <comment ref="JB43" authorId="1" shapeId="0" xr:uid="{00000000-0006-0000-0E00-0000C5030000}">
      <text>
        <r>
          <rPr>
            <sz val="9"/>
            <color indexed="81"/>
            <rFont val="Tahoma"/>
            <charset val="1"/>
          </rPr>
          <t>Could not find source file for Dunklin county.</t>
        </r>
      </text>
    </comment>
    <comment ref="JC43" authorId="1" shapeId="0" xr:uid="{00000000-0006-0000-0E00-0000C6030000}">
      <text>
        <r>
          <rPr>
            <sz val="9"/>
            <color indexed="81"/>
            <rFont val="Tahoma"/>
            <charset val="1"/>
          </rPr>
          <t>Could not find source file for Dunklin county.</t>
        </r>
      </text>
    </comment>
    <comment ref="JV43" authorId="1" shapeId="0" xr:uid="{00000000-0006-0000-0E00-0000C7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KT43" authorId="1" shapeId="0" xr:uid="{00000000-0006-0000-0E00-0000C8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LR43" authorId="1" shapeId="0" xr:uid="{00000000-0006-0000-0E00-0000C9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MP43" authorId="1" shapeId="0" xr:uid="{00000000-0006-0000-0E00-0000CA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NN43" authorId="1" shapeId="0" xr:uid="{00000000-0006-0000-0E00-0000CB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OL43" authorId="1" shapeId="0" xr:uid="{00000000-0006-0000-0E00-0000CC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PJ43" authorId="1" shapeId="0" xr:uid="{00000000-0006-0000-0E00-0000CD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QH43" authorId="1" shapeId="0" xr:uid="{00000000-0006-0000-0E00-0000CE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RF43" authorId="1" shapeId="0" xr:uid="{00000000-0006-0000-0E00-0000CF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SD43" authorId="1" shapeId="0" xr:uid="{00000000-0006-0000-0E00-0000D003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K44" authorId="1" shapeId="0" xr:uid="{00000000-0006-0000-0E00-0000D1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L44" authorId="1" shapeId="0" xr:uid="{00000000-0006-0000-0E00-0000D2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M44" authorId="0" shapeId="0" xr:uid="{00000000-0006-0000-0E00-0000D3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44" authorId="0" shapeId="0" xr:uid="{00000000-0006-0000-0E00-0000D4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44" authorId="0" shapeId="0" xr:uid="{00000000-0006-0000-0E00-0000D5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44" authorId="0" shapeId="0" xr:uid="{00000000-0006-0000-0E00-0000D6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44" authorId="0" shapeId="0" xr:uid="{00000000-0006-0000-0E00-0000D7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44" authorId="1" shapeId="0" xr:uid="{00000000-0006-0000-0E00-0000D8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44" authorId="0" shapeId="0" xr:uid="{00000000-0006-0000-0E00-0000D9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T44" authorId="1" shapeId="0" xr:uid="{00000000-0006-0000-0E00-0000DA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U44" authorId="1" shapeId="0" xr:uid="{00000000-0006-0000-0E00-0000DB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V44" authorId="1" shapeId="0" xr:uid="{00000000-0006-0000-0E00-0000DC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W44" authorId="1" shapeId="0" xr:uid="{00000000-0006-0000-0E00-0000DD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I44" authorId="1" shapeId="0" xr:uid="{00000000-0006-0000-0E00-0000DE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J44" authorId="1" shapeId="0" xr:uid="{00000000-0006-0000-0E00-0000DF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K44" authorId="0" shapeId="0" xr:uid="{00000000-0006-0000-0E00-0000E0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L44" authorId="0" shapeId="0" xr:uid="{00000000-0006-0000-0E00-0000E1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M44" authorId="0" shapeId="0" xr:uid="{00000000-0006-0000-0E00-0000E2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N44" authorId="0" shapeId="0" xr:uid="{00000000-0006-0000-0E00-0000E3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O44" authorId="0" shapeId="0" xr:uid="{00000000-0006-0000-0E00-0000E4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P44" authorId="1" shapeId="0" xr:uid="{00000000-0006-0000-0E00-0000E5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Q44" authorId="0" shapeId="0" xr:uid="{00000000-0006-0000-0E00-0000E6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R44" authorId="1" shapeId="0" xr:uid="{00000000-0006-0000-0E00-0000E7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S44" authorId="1" shapeId="0" xr:uid="{00000000-0006-0000-0E00-0000E8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T44" authorId="1" shapeId="0" xr:uid="{00000000-0006-0000-0E00-0000E9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U44" authorId="1" shapeId="0" xr:uid="{00000000-0006-0000-0E00-0000EA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G44" authorId="1" shapeId="0" xr:uid="{00000000-0006-0000-0E00-0000EB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H44" authorId="1" shapeId="0" xr:uid="{00000000-0006-0000-0E00-0000EC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I44" authorId="0" shapeId="0" xr:uid="{00000000-0006-0000-0E00-0000ED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J44" authorId="0" shapeId="0" xr:uid="{00000000-0006-0000-0E00-0000EE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K44" authorId="0" shapeId="0" xr:uid="{00000000-0006-0000-0E00-0000EF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L44" authorId="0" shapeId="0" xr:uid="{00000000-0006-0000-0E00-0000F0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M44" authorId="0" shapeId="0" xr:uid="{00000000-0006-0000-0E00-0000F1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N44" authorId="1" shapeId="0" xr:uid="{00000000-0006-0000-0E00-0000F2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O44" authorId="0" shapeId="0" xr:uid="{00000000-0006-0000-0E00-0000F3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P44" authorId="1" shapeId="0" xr:uid="{00000000-0006-0000-0E00-0000F4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Q44" authorId="1" shapeId="0" xr:uid="{00000000-0006-0000-0E00-0000F5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R44" authorId="1" shapeId="0" xr:uid="{00000000-0006-0000-0E00-0000F6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S44" authorId="1" shapeId="0" xr:uid="{00000000-0006-0000-0E00-0000F7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E44" authorId="1" shapeId="0" xr:uid="{00000000-0006-0000-0E00-0000F8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F44" authorId="1" shapeId="0" xr:uid="{00000000-0006-0000-0E00-0000F903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G44" authorId="0" shapeId="0" xr:uid="{00000000-0006-0000-0E00-0000FA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H44" authorId="0" shapeId="0" xr:uid="{00000000-0006-0000-0E00-0000FB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I44" authorId="0" shapeId="0" xr:uid="{00000000-0006-0000-0E00-0000FC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J44" authorId="0" shapeId="0" xr:uid="{00000000-0006-0000-0E00-0000FD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K44" authorId="0" shapeId="0" xr:uid="{00000000-0006-0000-0E00-0000FE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L44" authorId="1" shapeId="0" xr:uid="{00000000-0006-0000-0E00-0000FF03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M44" authorId="0" shapeId="0" xr:uid="{00000000-0006-0000-0E00-000000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N44" authorId="1" shapeId="0" xr:uid="{00000000-0006-0000-0E00-000001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O44" authorId="1" shapeId="0" xr:uid="{00000000-0006-0000-0E00-000002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P44" authorId="1" shapeId="0" xr:uid="{00000000-0006-0000-0E00-000003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Q44" authorId="1" shapeId="0" xr:uid="{00000000-0006-0000-0E00-000004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C44" authorId="1" shapeId="0" xr:uid="{00000000-0006-0000-0E00-000005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D44" authorId="1" shapeId="0" xr:uid="{00000000-0006-0000-0E00-000006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E44" authorId="0" shapeId="0" xr:uid="{00000000-0006-0000-0E00-000007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F44" authorId="0" shapeId="0" xr:uid="{00000000-0006-0000-0E00-000008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G44" authorId="0" shapeId="0" xr:uid="{00000000-0006-0000-0E00-000009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H44" authorId="0" shapeId="0" xr:uid="{00000000-0006-0000-0E00-00000A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I44" authorId="0" shapeId="0" xr:uid="{00000000-0006-0000-0E00-00000B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J44" authorId="1" shapeId="0" xr:uid="{00000000-0006-0000-0E00-00000C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K44" authorId="0" shapeId="0" xr:uid="{00000000-0006-0000-0E00-00000D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L44" authorId="1" shapeId="0" xr:uid="{00000000-0006-0000-0E00-00000E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M44" authorId="1" shapeId="0" xr:uid="{00000000-0006-0000-0E00-00000F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N44" authorId="1" shapeId="0" xr:uid="{00000000-0006-0000-0E00-000010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O44" authorId="1" shapeId="0" xr:uid="{00000000-0006-0000-0E00-000011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A44" authorId="1" shapeId="0" xr:uid="{00000000-0006-0000-0E00-000012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B44" authorId="1" shapeId="0" xr:uid="{00000000-0006-0000-0E00-000013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C44" authorId="0" shapeId="0" xr:uid="{00000000-0006-0000-0E00-000014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D44" authorId="0" shapeId="0" xr:uid="{00000000-0006-0000-0E00-000015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E44" authorId="0" shapeId="0" xr:uid="{00000000-0006-0000-0E00-000016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F44" authorId="0" shapeId="0" xr:uid="{00000000-0006-0000-0E00-000017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G44" authorId="0" shapeId="0" xr:uid="{00000000-0006-0000-0E00-000018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H44" authorId="1" shapeId="0" xr:uid="{00000000-0006-0000-0E00-000019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I44" authorId="0" shapeId="0" xr:uid="{00000000-0006-0000-0E00-00001A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J44" authorId="1" shapeId="0" xr:uid="{00000000-0006-0000-0E00-00001B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K44" authorId="1" shapeId="0" xr:uid="{00000000-0006-0000-0E00-00001C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L44" authorId="1" shapeId="0" xr:uid="{00000000-0006-0000-0E00-00001D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M44" authorId="1" shapeId="0" xr:uid="{00000000-0006-0000-0E00-00001E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Y44" authorId="1" shapeId="0" xr:uid="{00000000-0006-0000-0E00-00001F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Z44" authorId="1" shapeId="0" xr:uid="{00000000-0006-0000-0E00-000020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A44" authorId="0" shapeId="0" xr:uid="{00000000-0006-0000-0E00-000021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B44" authorId="0" shapeId="0" xr:uid="{00000000-0006-0000-0E00-000022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C44" authorId="0" shapeId="0" xr:uid="{00000000-0006-0000-0E00-000023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D44" authorId="0" shapeId="0" xr:uid="{00000000-0006-0000-0E00-000024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E44" authorId="0" shapeId="0" xr:uid="{00000000-0006-0000-0E00-000025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F44" authorId="1" shapeId="0" xr:uid="{00000000-0006-0000-0E00-000026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G44" authorId="0" shapeId="0" xr:uid="{00000000-0006-0000-0E00-000027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H44" authorId="1" shapeId="0" xr:uid="{00000000-0006-0000-0E00-000028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I44" authorId="1" shapeId="0" xr:uid="{00000000-0006-0000-0E00-000029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J44" authorId="1" shapeId="0" xr:uid="{00000000-0006-0000-0E00-00002A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K44" authorId="1" shapeId="0" xr:uid="{00000000-0006-0000-0E00-00002B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W44" authorId="1" shapeId="0" xr:uid="{00000000-0006-0000-0E00-00002C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X44" authorId="1" shapeId="0" xr:uid="{00000000-0006-0000-0E00-00002D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Y44" authorId="0" shapeId="0" xr:uid="{00000000-0006-0000-0E00-00002E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Z44" authorId="0" shapeId="0" xr:uid="{00000000-0006-0000-0E00-00002F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A44" authorId="0" shapeId="0" xr:uid="{00000000-0006-0000-0E00-000030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B44" authorId="0" shapeId="0" xr:uid="{00000000-0006-0000-0E00-000031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C44" authorId="0" shapeId="0" xr:uid="{00000000-0006-0000-0E00-000032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D44" authorId="1" shapeId="0" xr:uid="{00000000-0006-0000-0E00-000033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E44" authorId="0" shapeId="0" xr:uid="{00000000-0006-0000-0E00-000034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F44" authorId="1" shapeId="0" xr:uid="{00000000-0006-0000-0E00-000035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G44" authorId="1" shapeId="0" xr:uid="{00000000-0006-0000-0E00-000036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GH44" authorId="1" shapeId="0" xr:uid="{00000000-0006-0000-0E00-000037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GI44" authorId="1" shapeId="0" xr:uid="{00000000-0006-0000-0E00-000038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GU44" authorId="1" shapeId="0" xr:uid="{00000000-0006-0000-0E00-000039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GV44" authorId="1" shapeId="0" xr:uid="{00000000-0006-0000-0E00-00003A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GW44" authorId="0" shapeId="0" xr:uid="{00000000-0006-0000-0E00-00003B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X44" authorId="0" shapeId="0" xr:uid="{00000000-0006-0000-0E00-00003C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Y44" authorId="0" shapeId="0" xr:uid="{00000000-0006-0000-0E00-00003D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GZ44" authorId="0" shapeId="0" xr:uid="{00000000-0006-0000-0E00-00003E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A44" authorId="0" shapeId="0" xr:uid="{00000000-0006-0000-0E00-00003F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B44" authorId="1" shapeId="0" xr:uid="{00000000-0006-0000-0E00-000040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C44" authorId="0" shapeId="0" xr:uid="{00000000-0006-0000-0E00-000041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D44" authorId="1" shapeId="0" xr:uid="{00000000-0006-0000-0E00-000042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E44" authorId="1" shapeId="0" xr:uid="{00000000-0006-0000-0E00-000043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HF44" authorId="1" shapeId="0" xr:uid="{00000000-0006-0000-0E00-000044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HG44" authorId="1" shapeId="0" xr:uid="{00000000-0006-0000-0E00-000045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HS44" authorId="1" shapeId="0" xr:uid="{00000000-0006-0000-0E00-000046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HT44" authorId="1" shapeId="0" xr:uid="{00000000-0006-0000-0E00-000047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HU44" authorId="0" shapeId="0" xr:uid="{00000000-0006-0000-0E00-000048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V44" authorId="0" shapeId="0" xr:uid="{00000000-0006-0000-0E00-000049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W44" authorId="0" shapeId="0" xr:uid="{00000000-0006-0000-0E00-00004A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X44" authorId="0" shapeId="0" xr:uid="{00000000-0006-0000-0E00-00004B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Y44" authorId="0" shapeId="0" xr:uid="{00000000-0006-0000-0E00-00004C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HZ44" authorId="1" shapeId="0" xr:uid="{00000000-0006-0000-0E00-00004D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A44" authorId="0" shapeId="0" xr:uid="{00000000-0006-0000-0E00-00004E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B44" authorId="1" shapeId="0" xr:uid="{00000000-0006-0000-0E00-00004F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C44" authorId="1" shapeId="0" xr:uid="{00000000-0006-0000-0E00-000050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ID44" authorId="1" shapeId="0" xr:uid="{00000000-0006-0000-0E00-000051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IE44" authorId="1" shapeId="0" xr:uid="{00000000-0006-0000-0E00-000052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IQ44" authorId="1" shapeId="0" xr:uid="{00000000-0006-0000-0E00-000053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IR44" authorId="1" shapeId="0" xr:uid="{00000000-0006-0000-0E00-000054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IS44" authorId="0" shapeId="0" xr:uid="{00000000-0006-0000-0E00-000055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T44" authorId="0" shapeId="0" xr:uid="{00000000-0006-0000-0E00-000056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U44" authorId="0" shapeId="0" xr:uid="{00000000-0006-0000-0E00-000057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V44" authorId="0" shapeId="0" xr:uid="{00000000-0006-0000-0E00-000058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W44" authorId="0" shapeId="0" xr:uid="{00000000-0006-0000-0E00-000059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X44" authorId="1" shapeId="0" xr:uid="{00000000-0006-0000-0E00-00005A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Y44" authorId="0" shapeId="0" xr:uid="{00000000-0006-0000-0E00-00005B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IZ44" authorId="1" shapeId="0" xr:uid="{00000000-0006-0000-0E00-00005C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JA44" authorId="1" shapeId="0" xr:uid="{00000000-0006-0000-0E00-00005D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JB44" authorId="1" shapeId="0" xr:uid="{00000000-0006-0000-0E00-00005E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JC44" authorId="1" shapeId="0" xr:uid="{00000000-0006-0000-0E00-00005F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JO44" authorId="1" shapeId="0" xr:uid="{00000000-0006-0000-0E00-000060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JP44" authorId="1" shapeId="0" xr:uid="{00000000-0006-0000-0E00-000061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JQ44" authorId="0" shapeId="0" xr:uid="{00000000-0006-0000-0E00-000062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JR44" authorId="0" shapeId="0" xr:uid="{00000000-0006-0000-0E00-000063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JS44" authorId="0" shapeId="0" xr:uid="{00000000-0006-0000-0E00-000064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JT44" authorId="0" shapeId="0" xr:uid="{00000000-0006-0000-0E00-000065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JU44" authorId="0" shapeId="0" xr:uid="{00000000-0006-0000-0E00-000066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JV44" authorId="1" shapeId="0" xr:uid="{00000000-0006-0000-0E00-000067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JW44" authorId="0" shapeId="0" xr:uid="{00000000-0006-0000-0E00-000068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JX44" authorId="1" shapeId="0" xr:uid="{00000000-0006-0000-0E00-000069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JY44" authorId="1" shapeId="0" xr:uid="{00000000-0006-0000-0E00-00006A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JZ44" authorId="1" shapeId="0" xr:uid="{00000000-0006-0000-0E00-00006B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KA44" authorId="1" shapeId="0" xr:uid="{00000000-0006-0000-0E00-00006C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KM44" authorId="1" shapeId="0" xr:uid="{00000000-0006-0000-0E00-00006D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KN44" authorId="1" shapeId="0" xr:uid="{00000000-0006-0000-0E00-00006E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KO44" authorId="0" shapeId="0" xr:uid="{00000000-0006-0000-0E00-00006F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KP44" authorId="0" shapeId="0" xr:uid="{00000000-0006-0000-0E00-000070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KQ44" authorId="0" shapeId="0" xr:uid="{00000000-0006-0000-0E00-000071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KR44" authorId="0" shapeId="0" xr:uid="{00000000-0006-0000-0E00-000072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KS44" authorId="0" shapeId="0" xr:uid="{00000000-0006-0000-0E00-000073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KT44" authorId="1" shapeId="0" xr:uid="{00000000-0006-0000-0E00-000074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KU44" authorId="0" shapeId="0" xr:uid="{00000000-0006-0000-0E00-000075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KV44" authorId="1" shapeId="0" xr:uid="{00000000-0006-0000-0E00-000076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KW44" authorId="1" shapeId="0" xr:uid="{00000000-0006-0000-0E00-000077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KX44" authorId="1" shapeId="0" xr:uid="{00000000-0006-0000-0E00-000078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KY44" authorId="1" shapeId="0" xr:uid="{00000000-0006-0000-0E00-000079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LK44" authorId="1" shapeId="0" xr:uid="{00000000-0006-0000-0E00-00007A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LL44" authorId="1" shapeId="0" xr:uid="{00000000-0006-0000-0E00-00007B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LM44" authorId="0" shapeId="0" xr:uid="{00000000-0006-0000-0E00-00007C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LN44" authorId="0" shapeId="0" xr:uid="{00000000-0006-0000-0E00-00007D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LO44" authorId="0" shapeId="0" xr:uid="{00000000-0006-0000-0E00-00007E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LP44" authorId="0" shapeId="0" xr:uid="{00000000-0006-0000-0E00-00007F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LQ44" authorId="0" shapeId="0" xr:uid="{00000000-0006-0000-0E00-000080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LR44" authorId="1" shapeId="0" xr:uid="{00000000-0006-0000-0E00-000081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LS44" authorId="0" shapeId="0" xr:uid="{00000000-0006-0000-0E00-000082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LT44" authorId="1" shapeId="0" xr:uid="{00000000-0006-0000-0E00-000083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LU44" authorId="1" shapeId="0" xr:uid="{00000000-0006-0000-0E00-000084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LV44" authorId="1" shapeId="0" xr:uid="{00000000-0006-0000-0E00-000085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LW44" authorId="1" shapeId="0" xr:uid="{00000000-0006-0000-0E00-000086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MI44" authorId="1" shapeId="0" xr:uid="{00000000-0006-0000-0E00-000087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MJ44" authorId="1" shapeId="0" xr:uid="{00000000-0006-0000-0E00-000088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MK44" authorId="0" shapeId="0" xr:uid="{00000000-0006-0000-0E00-000089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ML44" authorId="0" shapeId="0" xr:uid="{00000000-0006-0000-0E00-00008A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MM44" authorId="0" shapeId="0" xr:uid="{00000000-0006-0000-0E00-00008B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MN44" authorId="0" shapeId="0" xr:uid="{00000000-0006-0000-0E00-00008C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MO44" authorId="0" shapeId="0" xr:uid="{00000000-0006-0000-0E00-00008D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MP44" authorId="1" shapeId="0" xr:uid="{00000000-0006-0000-0E00-00008E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MQ44" authorId="0" shapeId="0" xr:uid="{00000000-0006-0000-0E00-00008F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MR44" authorId="1" shapeId="0" xr:uid="{00000000-0006-0000-0E00-000090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MS44" authorId="1" shapeId="0" xr:uid="{00000000-0006-0000-0E00-000091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MT44" authorId="1" shapeId="0" xr:uid="{00000000-0006-0000-0E00-000092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MU44" authorId="1" shapeId="0" xr:uid="{00000000-0006-0000-0E00-000093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NG44" authorId="1" shapeId="0" xr:uid="{00000000-0006-0000-0E00-000094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NH44" authorId="1" shapeId="0" xr:uid="{00000000-0006-0000-0E00-000095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NI44" authorId="0" shapeId="0" xr:uid="{00000000-0006-0000-0E00-000096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J44" authorId="0" shapeId="0" xr:uid="{00000000-0006-0000-0E00-000097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K44" authorId="0" shapeId="0" xr:uid="{00000000-0006-0000-0E00-000098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L44" authorId="0" shapeId="0" xr:uid="{00000000-0006-0000-0E00-000099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M44" authorId="0" shapeId="0" xr:uid="{00000000-0006-0000-0E00-00009A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N44" authorId="1" shapeId="0" xr:uid="{00000000-0006-0000-0E00-00009B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O44" authorId="0" shapeId="0" xr:uid="{00000000-0006-0000-0E00-00009C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P44" authorId="1" shapeId="0" xr:uid="{00000000-0006-0000-0E00-00009D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Q44" authorId="1" shapeId="0" xr:uid="{00000000-0006-0000-0E00-00009E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NR44" authorId="1" shapeId="0" xr:uid="{00000000-0006-0000-0E00-00009F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NS44" authorId="1" shapeId="0" xr:uid="{00000000-0006-0000-0E00-0000A0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OE44" authorId="1" shapeId="0" xr:uid="{00000000-0006-0000-0E00-0000A1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OF44" authorId="1" shapeId="0" xr:uid="{00000000-0006-0000-0E00-0000A2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OG44" authorId="0" shapeId="0" xr:uid="{00000000-0006-0000-0E00-0000A3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H44" authorId="0" shapeId="0" xr:uid="{00000000-0006-0000-0E00-0000A4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I44" authorId="0" shapeId="0" xr:uid="{00000000-0006-0000-0E00-0000A5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J44" authorId="0" shapeId="0" xr:uid="{00000000-0006-0000-0E00-0000A6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K44" authorId="0" shapeId="0" xr:uid="{00000000-0006-0000-0E00-0000A7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L44" authorId="1" shapeId="0" xr:uid="{00000000-0006-0000-0E00-0000A8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M44" authorId="0" shapeId="0" xr:uid="{00000000-0006-0000-0E00-0000A9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N44" authorId="1" shapeId="0" xr:uid="{00000000-0006-0000-0E00-0000AA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O44" authorId="1" shapeId="0" xr:uid="{00000000-0006-0000-0E00-0000AB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OP44" authorId="1" shapeId="0" xr:uid="{00000000-0006-0000-0E00-0000AC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OQ44" authorId="1" shapeId="0" xr:uid="{00000000-0006-0000-0E00-0000AD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PC44" authorId="1" shapeId="0" xr:uid="{00000000-0006-0000-0E00-0000AE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PD44" authorId="1" shapeId="0" xr:uid="{00000000-0006-0000-0E00-0000AF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PE44" authorId="0" shapeId="0" xr:uid="{00000000-0006-0000-0E00-0000B0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F44" authorId="0" shapeId="0" xr:uid="{00000000-0006-0000-0E00-0000B1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G44" authorId="0" shapeId="0" xr:uid="{00000000-0006-0000-0E00-0000B2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H44" authorId="0" shapeId="0" xr:uid="{00000000-0006-0000-0E00-0000B3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I44" authorId="0" shapeId="0" xr:uid="{00000000-0006-0000-0E00-0000B4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J44" authorId="1" shapeId="0" xr:uid="{00000000-0006-0000-0E00-0000B5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K44" authorId="0" shapeId="0" xr:uid="{00000000-0006-0000-0E00-0000B6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L44" authorId="1" shapeId="0" xr:uid="{00000000-0006-0000-0E00-0000B7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M44" authorId="1" shapeId="0" xr:uid="{00000000-0006-0000-0E00-0000B8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PN44" authorId="1" shapeId="0" xr:uid="{00000000-0006-0000-0E00-0000B9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PO44" authorId="1" shapeId="0" xr:uid="{00000000-0006-0000-0E00-0000BA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QA44" authorId="1" shapeId="0" xr:uid="{00000000-0006-0000-0E00-0000BB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QB44" authorId="1" shapeId="0" xr:uid="{00000000-0006-0000-0E00-0000BC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QC44" authorId="0" shapeId="0" xr:uid="{00000000-0006-0000-0E00-0000BD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D44" authorId="0" shapeId="0" xr:uid="{00000000-0006-0000-0E00-0000BE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E44" authorId="0" shapeId="0" xr:uid="{00000000-0006-0000-0E00-0000BF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F44" authorId="0" shapeId="0" xr:uid="{00000000-0006-0000-0E00-0000C0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G44" authorId="0" shapeId="0" xr:uid="{00000000-0006-0000-0E00-0000C1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H44" authorId="1" shapeId="0" xr:uid="{00000000-0006-0000-0E00-0000C2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I44" authorId="0" shapeId="0" xr:uid="{00000000-0006-0000-0E00-0000C3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J44" authorId="1" shapeId="0" xr:uid="{00000000-0006-0000-0E00-0000C4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K44" authorId="1" shapeId="0" xr:uid="{00000000-0006-0000-0E00-0000C5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QL44" authorId="1" shapeId="0" xr:uid="{00000000-0006-0000-0E00-0000C6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QM44" authorId="1" shapeId="0" xr:uid="{00000000-0006-0000-0E00-0000C7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QY44" authorId="1" shapeId="0" xr:uid="{00000000-0006-0000-0E00-0000C8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QZ44" authorId="1" shapeId="0" xr:uid="{00000000-0006-0000-0E00-0000C9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RA44" authorId="0" shapeId="0" xr:uid="{00000000-0006-0000-0E00-0000CA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B44" authorId="0" shapeId="0" xr:uid="{00000000-0006-0000-0E00-0000CB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C44" authorId="0" shapeId="0" xr:uid="{00000000-0006-0000-0E00-0000CC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D44" authorId="0" shapeId="0" xr:uid="{00000000-0006-0000-0E00-0000CD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E44" authorId="0" shapeId="0" xr:uid="{00000000-0006-0000-0E00-0000CE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F44" authorId="1" shapeId="0" xr:uid="{00000000-0006-0000-0E00-0000CF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G44" authorId="0" shapeId="0" xr:uid="{00000000-0006-0000-0E00-0000D0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H44" authorId="1" shapeId="0" xr:uid="{00000000-0006-0000-0E00-0000D1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I44" authorId="1" shapeId="0" xr:uid="{00000000-0006-0000-0E00-0000D2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RJ44" authorId="1" shapeId="0" xr:uid="{00000000-0006-0000-0E00-0000D3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RK44" authorId="1" shapeId="0" xr:uid="{00000000-0006-0000-0E00-0000D4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RW44" authorId="1" shapeId="0" xr:uid="{00000000-0006-0000-0E00-0000D5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RX44" authorId="1" shapeId="0" xr:uid="{00000000-0006-0000-0E00-0000D6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RY44" authorId="0" shapeId="0" xr:uid="{00000000-0006-0000-0E00-0000D7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Z44" authorId="0" shapeId="0" xr:uid="{00000000-0006-0000-0E00-0000D8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A44" authorId="0" shapeId="0" xr:uid="{00000000-0006-0000-0E00-0000D9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B44" authorId="0" shapeId="0" xr:uid="{00000000-0006-0000-0E00-0000DA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C44" authorId="0" shapeId="0" xr:uid="{00000000-0006-0000-0E00-0000DB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D44" authorId="1" shapeId="0" xr:uid="{00000000-0006-0000-0E00-0000DC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E44" authorId="0" shapeId="0" xr:uid="{00000000-0006-0000-0E00-0000DD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F44" authorId="1" shapeId="0" xr:uid="{00000000-0006-0000-0E00-0000DE04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G44" authorId="1" shapeId="0" xr:uid="{00000000-0006-0000-0E00-0000DF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SH44" authorId="1" shapeId="0" xr:uid="{00000000-0006-0000-0E00-0000E0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SI44" authorId="1" shapeId="0" xr:uid="{00000000-0006-0000-0E00-0000E104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IV45" authorId="0" shapeId="0" xr:uid="{00000000-0006-0000-0E00-0000E2040000}">
      <text>
        <r>
          <rPr>
            <sz val="9"/>
            <color indexed="81"/>
            <rFont val="Tahoma"/>
            <family val="2"/>
          </rPr>
          <t>Could not find source file for Gentry county.</t>
        </r>
      </text>
    </comment>
    <comment ref="IW45" authorId="0" shapeId="0" xr:uid="{00000000-0006-0000-0E00-0000E3040000}">
      <text>
        <r>
          <rPr>
            <sz val="9"/>
            <color indexed="81"/>
            <rFont val="Tahoma"/>
            <family val="2"/>
          </rPr>
          <t>Could not find source file for Gentry county.</t>
        </r>
      </text>
    </comment>
    <comment ref="IX45" authorId="1" shapeId="0" xr:uid="{00000000-0006-0000-0E00-0000E4040000}">
      <text>
        <r>
          <rPr>
            <sz val="9"/>
            <color indexed="81"/>
            <rFont val="Tahoma"/>
            <family val="2"/>
          </rPr>
          <t>Could not find source file for Gentry county.</t>
        </r>
      </text>
    </comment>
    <comment ref="IY45" authorId="0" shapeId="0" xr:uid="{00000000-0006-0000-0E00-0000E5040000}">
      <text>
        <r>
          <rPr>
            <sz val="9"/>
            <color indexed="81"/>
            <rFont val="Tahoma"/>
            <family val="2"/>
          </rPr>
          <t>Could not find source file for Gentry county.</t>
        </r>
      </text>
    </comment>
    <comment ref="IZ45" authorId="1" shapeId="0" xr:uid="{00000000-0006-0000-0E00-0000E6040000}">
      <text>
        <r>
          <rPr>
            <sz val="9"/>
            <color indexed="81"/>
            <rFont val="Tahoma"/>
            <family val="2"/>
          </rPr>
          <t>Could not find source file for Gentry county.</t>
        </r>
      </text>
    </comment>
    <comment ref="JA45" authorId="1" shapeId="0" xr:uid="{00000000-0006-0000-0E00-0000E7040000}">
      <text>
        <r>
          <rPr>
            <sz val="9"/>
            <color indexed="81"/>
            <rFont val="Tahoma"/>
            <charset val="1"/>
          </rPr>
          <t>Could not find source file for Gentry county.</t>
        </r>
      </text>
    </comment>
    <comment ref="JB45" authorId="1" shapeId="0" xr:uid="{00000000-0006-0000-0E00-0000E8040000}">
      <text>
        <r>
          <rPr>
            <sz val="9"/>
            <color indexed="81"/>
            <rFont val="Tahoma"/>
            <charset val="1"/>
          </rPr>
          <t>Could not find source file for Gentry county.</t>
        </r>
      </text>
    </comment>
    <comment ref="JC45" authorId="1" shapeId="0" xr:uid="{00000000-0006-0000-0E00-0000E9040000}">
      <text>
        <r>
          <rPr>
            <sz val="9"/>
            <color indexed="81"/>
            <rFont val="Tahoma"/>
            <charset val="1"/>
          </rPr>
          <t>Could not find source file for Gentry county.</t>
        </r>
      </text>
    </comment>
    <comment ref="P46" authorId="0" shapeId="0" xr:uid="{00000000-0006-0000-0E00-0000EA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T46" authorId="1" shapeId="0" xr:uid="{00000000-0006-0000-0E00-0000EB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U46" authorId="1" shapeId="0" xr:uid="{00000000-0006-0000-0E00-0000EC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V46" authorId="1" shapeId="0" xr:uid="{00000000-0006-0000-0E00-0000ED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W46" authorId="1" shapeId="0" xr:uid="{00000000-0006-0000-0E00-0000EE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AN46" authorId="0" shapeId="0" xr:uid="{00000000-0006-0000-0E00-0000EF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AR46" authorId="1" shapeId="0" xr:uid="{00000000-0006-0000-0E00-0000F0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AS46" authorId="1" shapeId="0" xr:uid="{00000000-0006-0000-0E00-0000F1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AT46" authorId="1" shapeId="0" xr:uid="{00000000-0006-0000-0E00-0000F2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AU46" authorId="1" shapeId="0" xr:uid="{00000000-0006-0000-0E00-0000F3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BL46" authorId="0" shapeId="0" xr:uid="{00000000-0006-0000-0E00-0000F4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BP46" authorId="1" shapeId="0" xr:uid="{00000000-0006-0000-0E00-0000F5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BQ46" authorId="1" shapeId="0" xr:uid="{00000000-0006-0000-0E00-0000F6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BR46" authorId="1" shapeId="0" xr:uid="{00000000-0006-0000-0E00-0000F7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BS46" authorId="1" shapeId="0" xr:uid="{00000000-0006-0000-0E00-0000F8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CJ46" authorId="0" shapeId="0" xr:uid="{00000000-0006-0000-0E00-0000F9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CN46" authorId="1" shapeId="0" xr:uid="{00000000-0006-0000-0E00-0000FA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CO46" authorId="1" shapeId="0" xr:uid="{00000000-0006-0000-0E00-0000FB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CP46" authorId="1" shapeId="0" xr:uid="{00000000-0006-0000-0E00-0000FC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CQ46" authorId="1" shapeId="0" xr:uid="{00000000-0006-0000-0E00-0000FD04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DH46" authorId="0" shapeId="0" xr:uid="{00000000-0006-0000-0E00-0000FE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DL46" authorId="1" shapeId="0" xr:uid="{00000000-0006-0000-0E00-0000FF04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DM46" authorId="1" shapeId="0" xr:uid="{00000000-0006-0000-0E00-000000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DN46" authorId="1" shapeId="0" xr:uid="{00000000-0006-0000-0E00-000001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DO46" authorId="1" shapeId="0" xr:uid="{00000000-0006-0000-0E00-000002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EF46" authorId="0" shapeId="0" xr:uid="{00000000-0006-0000-0E00-000003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EJ46" authorId="1" shapeId="0" xr:uid="{00000000-0006-0000-0E00-000004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EK46" authorId="1" shapeId="0" xr:uid="{00000000-0006-0000-0E00-000005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EL46" authorId="1" shapeId="0" xr:uid="{00000000-0006-0000-0E00-000006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EM46" authorId="1" shapeId="0" xr:uid="{00000000-0006-0000-0E00-000007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D46" authorId="0" shapeId="0" xr:uid="{00000000-0006-0000-0E00-000008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FH46" authorId="1" shapeId="0" xr:uid="{00000000-0006-0000-0E00-000009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FI46" authorId="1" shapeId="0" xr:uid="{00000000-0006-0000-0E00-00000A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J46" authorId="1" shapeId="0" xr:uid="{00000000-0006-0000-0E00-00000B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K46" authorId="1" shapeId="0" xr:uid="{00000000-0006-0000-0E00-00000C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GB46" authorId="0" shapeId="0" xr:uid="{00000000-0006-0000-0E00-00000D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GF46" authorId="1" shapeId="0" xr:uid="{00000000-0006-0000-0E00-00000E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GG46" authorId="1" shapeId="0" xr:uid="{00000000-0006-0000-0E00-00000F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GH46" authorId="1" shapeId="0" xr:uid="{00000000-0006-0000-0E00-000010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GI46" authorId="1" shapeId="0" xr:uid="{00000000-0006-0000-0E00-000011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GZ46" authorId="0" shapeId="0" xr:uid="{00000000-0006-0000-0E00-000012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HD46" authorId="1" shapeId="0" xr:uid="{00000000-0006-0000-0E00-000013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HE46" authorId="1" shapeId="0" xr:uid="{00000000-0006-0000-0E00-000014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HF46" authorId="1" shapeId="0" xr:uid="{00000000-0006-0000-0E00-000015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HG46" authorId="1" shapeId="0" xr:uid="{00000000-0006-0000-0E00-000016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HX46" authorId="0" shapeId="0" xr:uid="{00000000-0006-0000-0E00-000017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IB46" authorId="1" shapeId="0" xr:uid="{00000000-0006-0000-0E00-000018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IC46" authorId="1" shapeId="0" xr:uid="{00000000-0006-0000-0E00-000019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ID46" authorId="1" shapeId="0" xr:uid="{00000000-0006-0000-0E00-00001A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IE46" authorId="1" shapeId="0" xr:uid="{00000000-0006-0000-0E00-00001B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IV46" authorId="0" shapeId="0" xr:uid="{00000000-0006-0000-0E00-00001C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IW46" authorId="0" shapeId="0" xr:uid="{00000000-0006-0000-0E00-00001D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IX46" authorId="1" shapeId="0" xr:uid="{00000000-0006-0000-0E00-00001E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IY46" authorId="0" shapeId="0" xr:uid="{00000000-0006-0000-0E00-00001F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IZ46" authorId="1" shapeId="0" xr:uid="{00000000-0006-0000-0E00-000020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JA46" authorId="1" shapeId="0" xr:uid="{00000000-0006-0000-0E00-000021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JB46" authorId="1" shapeId="0" xr:uid="{00000000-0006-0000-0E00-000022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JC46" authorId="1" shapeId="0" xr:uid="{00000000-0006-0000-0E00-000023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JT46" authorId="0" shapeId="0" xr:uid="{00000000-0006-0000-0E00-000024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JX46" authorId="1" shapeId="0" xr:uid="{00000000-0006-0000-0E00-000025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JY46" authorId="1" shapeId="0" xr:uid="{00000000-0006-0000-0E00-000026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JZ46" authorId="1" shapeId="0" xr:uid="{00000000-0006-0000-0E00-000027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KA46" authorId="1" shapeId="0" xr:uid="{00000000-0006-0000-0E00-000028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KR46" authorId="0" shapeId="0" xr:uid="{00000000-0006-0000-0E00-000029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KV46" authorId="1" shapeId="0" xr:uid="{00000000-0006-0000-0E00-00002A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KW46" authorId="1" shapeId="0" xr:uid="{00000000-0006-0000-0E00-00002B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KX46" authorId="1" shapeId="0" xr:uid="{00000000-0006-0000-0E00-00002C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KY46" authorId="1" shapeId="0" xr:uid="{00000000-0006-0000-0E00-00002D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LP46" authorId="0" shapeId="0" xr:uid="{00000000-0006-0000-0E00-00002E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LT46" authorId="1" shapeId="0" xr:uid="{00000000-0006-0000-0E00-00002F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LU46" authorId="1" shapeId="0" xr:uid="{00000000-0006-0000-0E00-000030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LV46" authorId="1" shapeId="0" xr:uid="{00000000-0006-0000-0E00-000031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LW46" authorId="1" shapeId="0" xr:uid="{00000000-0006-0000-0E00-000032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MN46" authorId="0" shapeId="0" xr:uid="{00000000-0006-0000-0E00-000033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MR46" authorId="1" shapeId="0" xr:uid="{00000000-0006-0000-0E00-000034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MS46" authorId="1" shapeId="0" xr:uid="{00000000-0006-0000-0E00-000035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MT46" authorId="1" shapeId="0" xr:uid="{00000000-0006-0000-0E00-000036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MU46" authorId="1" shapeId="0" xr:uid="{00000000-0006-0000-0E00-000037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NL46" authorId="0" shapeId="0" xr:uid="{00000000-0006-0000-0E00-000038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NP46" authorId="1" shapeId="0" xr:uid="{00000000-0006-0000-0E00-000039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NQ46" authorId="1" shapeId="0" xr:uid="{00000000-0006-0000-0E00-00003A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NR46" authorId="1" shapeId="0" xr:uid="{00000000-0006-0000-0E00-00003B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NS46" authorId="1" shapeId="0" xr:uid="{00000000-0006-0000-0E00-00003C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OJ46" authorId="0" shapeId="0" xr:uid="{00000000-0006-0000-0E00-00003D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ON46" authorId="1" shapeId="0" xr:uid="{00000000-0006-0000-0E00-00003E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OO46" authorId="1" shapeId="0" xr:uid="{00000000-0006-0000-0E00-00003F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OP46" authorId="1" shapeId="0" xr:uid="{00000000-0006-0000-0E00-000040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OQ46" authorId="1" shapeId="0" xr:uid="{00000000-0006-0000-0E00-000041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PH46" authorId="0" shapeId="0" xr:uid="{00000000-0006-0000-0E00-000042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PL46" authorId="1" shapeId="0" xr:uid="{00000000-0006-0000-0E00-000043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PM46" authorId="1" shapeId="0" xr:uid="{00000000-0006-0000-0E00-000044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PN46" authorId="1" shapeId="0" xr:uid="{00000000-0006-0000-0E00-000045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PO46" authorId="1" shapeId="0" xr:uid="{00000000-0006-0000-0E00-000046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QF46" authorId="0" shapeId="0" xr:uid="{00000000-0006-0000-0E00-000047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QJ46" authorId="1" shapeId="0" xr:uid="{00000000-0006-0000-0E00-000048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QK46" authorId="1" shapeId="0" xr:uid="{00000000-0006-0000-0E00-000049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QL46" authorId="1" shapeId="0" xr:uid="{00000000-0006-0000-0E00-00004A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QM46" authorId="1" shapeId="0" xr:uid="{00000000-0006-0000-0E00-00004B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RD46" authorId="0" shapeId="0" xr:uid="{00000000-0006-0000-0E00-00004C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RH46" authorId="1" shapeId="0" xr:uid="{00000000-0006-0000-0E00-00004D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RI46" authorId="1" shapeId="0" xr:uid="{00000000-0006-0000-0E00-00004E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RJ46" authorId="1" shapeId="0" xr:uid="{00000000-0006-0000-0E00-00004F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RK46" authorId="1" shapeId="0" xr:uid="{00000000-0006-0000-0E00-000050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SB46" authorId="0" shapeId="0" xr:uid="{00000000-0006-0000-0E00-000051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SF46" authorId="1" shapeId="0" xr:uid="{00000000-0006-0000-0E00-00005205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SG46" authorId="1" shapeId="0" xr:uid="{00000000-0006-0000-0E00-000053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SH46" authorId="1" shapeId="0" xr:uid="{00000000-0006-0000-0E00-000054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SI46" authorId="1" shapeId="0" xr:uid="{00000000-0006-0000-0E00-00005505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IV47" authorId="0" shapeId="0" xr:uid="{00000000-0006-0000-0E00-000056050000}">
      <text>
        <r>
          <rPr>
            <sz val="9"/>
            <color indexed="81"/>
            <rFont val="Tahoma"/>
            <family val="2"/>
          </rPr>
          <t>Could not find source file for Harrison county.</t>
        </r>
      </text>
    </comment>
    <comment ref="IW47" authorId="0" shapeId="0" xr:uid="{00000000-0006-0000-0E00-000057050000}">
      <text>
        <r>
          <rPr>
            <sz val="9"/>
            <color indexed="81"/>
            <rFont val="Tahoma"/>
            <family val="2"/>
          </rPr>
          <t>Could not find source file for Harrison county.</t>
        </r>
      </text>
    </comment>
    <comment ref="IX47" authorId="1" shapeId="0" xr:uid="{00000000-0006-0000-0E00-000058050000}">
      <text>
        <r>
          <rPr>
            <sz val="9"/>
            <color indexed="81"/>
            <rFont val="Tahoma"/>
            <family val="2"/>
          </rPr>
          <t>Could not find source file for Harrison county.</t>
        </r>
      </text>
    </comment>
    <comment ref="IY47" authorId="0" shapeId="0" xr:uid="{00000000-0006-0000-0E00-000059050000}">
      <text>
        <r>
          <rPr>
            <sz val="9"/>
            <color indexed="81"/>
            <rFont val="Tahoma"/>
            <family val="2"/>
          </rPr>
          <t>Could not find source file for Harrison county.</t>
        </r>
      </text>
    </comment>
    <comment ref="IZ47" authorId="1" shapeId="0" xr:uid="{00000000-0006-0000-0E00-00005A050000}">
      <text>
        <r>
          <rPr>
            <sz val="9"/>
            <color indexed="81"/>
            <rFont val="Tahoma"/>
            <family val="2"/>
          </rPr>
          <t>Could not find source file for Harrison county.</t>
        </r>
      </text>
    </comment>
    <comment ref="JA47" authorId="1" shapeId="0" xr:uid="{00000000-0006-0000-0E00-00005B050000}">
      <text>
        <r>
          <rPr>
            <sz val="9"/>
            <color indexed="81"/>
            <rFont val="Tahoma"/>
            <charset val="1"/>
          </rPr>
          <t>Could not find source file for Harrison county.</t>
        </r>
      </text>
    </comment>
    <comment ref="JB47" authorId="1" shapeId="0" xr:uid="{00000000-0006-0000-0E00-00005C050000}">
      <text>
        <r>
          <rPr>
            <sz val="9"/>
            <color indexed="81"/>
            <rFont val="Tahoma"/>
            <charset val="1"/>
          </rPr>
          <t>Could not find source file for Harrison county.</t>
        </r>
      </text>
    </comment>
    <comment ref="JC47" authorId="1" shapeId="0" xr:uid="{00000000-0006-0000-0E00-00005D050000}">
      <text>
        <r>
          <rPr>
            <sz val="9"/>
            <color indexed="81"/>
            <rFont val="Tahoma"/>
            <charset val="1"/>
          </rPr>
          <t>Could not find source file for Harrison county.</t>
        </r>
      </text>
    </comment>
    <comment ref="IV48" authorId="0" shapeId="0" xr:uid="{00000000-0006-0000-0E00-00005E050000}">
      <text>
        <r>
          <rPr>
            <sz val="9"/>
            <color indexed="81"/>
            <rFont val="Tahoma"/>
            <family val="2"/>
          </rPr>
          <t>Could not find source file for Henry county.</t>
        </r>
      </text>
    </comment>
    <comment ref="IW48" authorId="0" shapeId="0" xr:uid="{00000000-0006-0000-0E00-00005F050000}">
      <text>
        <r>
          <rPr>
            <sz val="9"/>
            <color indexed="81"/>
            <rFont val="Tahoma"/>
            <family val="2"/>
          </rPr>
          <t>Could not find source file for Henry county.</t>
        </r>
      </text>
    </comment>
    <comment ref="IX48" authorId="1" shapeId="0" xr:uid="{00000000-0006-0000-0E00-000060050000}">
      <text>
        <r>
          <rPr>
            <sz val="9"/>
            <color indexed="81"/>
            <rFont val="Tahoma"/>
            <family val="2"/>
          </rPr>
          <t>Could not find source file for Henry county.</t>
        </r>
      </text>
    </comment>
    <comment ref="IY48" authorId="0" shapeId="0" xr:uid="{00000000-0006-0000-0E00-000061050000}">
      <text>
        <r>
          <rPr>
            <sz val="9"/>
            <color indexed="81"/>
            <rFont val="Tahoma"/>
            <family val="2"/>
          </rPr>
          <t>Could not find source file for Henry county.</t>
        </r>
      </text>
    </comment>
    <comment ref="IZ48" authorId="1" shapeId="0" xr:uid="{00000000-0006-0000-0E00-000062050000}">
      <text>
        <r>
          <rPr>
            <sz val="9"/>
            <color indexed="81"/>
            <rFont val="Tahoma"/>
            <family val="2"/>
          </rPr>
          <t>Could not find source file for Henry county.</t>
        </r>
      </text>
    </comment>
    <comment ref="JA48" authorId="1" shapeId="0" xr:uid="{00000000-0006-0000-0E00-000063050000}">
      <text>
        <r>
          <rPr>
            <sz val="9"/>
            <color indexed="81"/>
            <rFont val="Tahoma"/>
            <charset val="1"/>
          </rPr>
          <t>Could not find source file for Henry county.</t>
        </r>
      </text>
    </comment>
    <comment ref="JB48" authorId="1" shapeId="0" xr:uid="{00000000-0006-0000-0E00-000064050000}">
      <text>
        <r>
          <rPr>
            <sz val="9"/>
            <color indexed="81"/>
            <rFont val="Tahoma"/>
            <charset val="1"/>
          </rPr>
          <t>Could not find source file for Henry county.</t>
        </r>
      </text>
    </comment>
    <comment ref="JC48" authorId="1" shapeId="0" xr:uid="{00000000-0006-0000-0E00-000065050000}">
      <text>
        <r>
          <rPr>
            <sz val="9"/>
            <color indexed="81"/>
            <rFont val="Tahoma"/>
            <charset val="1"/>
          </rPr>
          <t>Could not find source file for Henry county.</t>
        </r>
      </text>
    </comment>
    <comment ref="IV49" authorId="0" shapeId="0" xr:uid="{00000000-0006-0000-0E00-000066050000}">
      <text>
        <r>
          <rPr>
            <sz val="9"/>
            <color indexed="81"/>
            <rFont val="Tahoma"/>
            <family val="2"/>
          </rPr>
          <t>Could not find source file for Hickory county.</t>
        </r>
      </text>
    </comment>
    <comment ref="IW49" authorId="0" shapeId="0" xr:uid="{00000000-0006-0000-0E00-000067050000}">
      <text>
        <r>
          <rPr>
            <sz val="9"/>
            <color indexed="81"/>
            <rFont val="Tahoma"/>
            <family val="2"/>
          </rPr>
          <t>Could not find source file for Hickory county.</t>
        </r>
      </text>
    </comment>
    <comment ref="IX49" authorId="1" shapeId="0" xr:uid="{00000000-0006-0000-0E00-000068050000}">
      <text>
        <r>
          <rPr>
            <sz val="9"/>
            <color indexed="81"/>
            <rFont val="Tahoma"/>
            <family val="2"/>
          </rPr>
          <t>Could not find source file for Hickory county.</t>
        </r>
      </text>
    </comment>
    <comment ref="IY49" authorId="0" shapeId="0" xr:uid="{00000000-0006-0000-0E00-000069050000}">
      <text>
        <r>
          <rPr>
            <sz val="9"/>
            <color indexed="81"/>
            <rFont val="Tahoma"/>
            <family val="2"/>
          </rPr>
          <t>Could not find source file for Hickory county.</t>
        </r>
      </text>
    </comment>
    <comment ref="IZ49" authorId="1" shapeId="0" xr:uid="{00000000-0006-0000-0E00-00006A050000}">
      <text>
        <r>
          <rPr>
            <sz val="9"/>
            <color indexed="81"/>
            <rFont val="Tahoma"/>
            <family val="2"/>
          </rPr>
          <t>Could not find source file for Hickory county.</t>
        </r>
      </text>
    </comment>
    <comment ref="JA49" authorId="1" shapeId="0" xr:uid="{00000000-0006-0000-0E00-00006B050000}">
      <text>
        <r>
          <rPr>
            <sz val="9"/>
            <color indexed="81"/>
            <rFont val="Tahoma"/>
            <charset val="1"/>
          </rPr>
          <t>Could not find source file for Hickory county.</t>
        </r>
      </text>
    </comment>
    <comment ref="JB49" authorId="1" shapeId="0" xr:uid="{00000000-0006-0000-0E00-00006C050000}">
      <text>
        <r>
          <rPr>
            <sz val="9"/>
            <color indexed="81"/>
            <rFont val="Tahoma"/>
            <charset val="1"/>
          </rPr>
          <t>Could not find source file for Hickory county.</t>
        </r>
      </text>
    </comment>
    <comment ref="JC49" authorId="1" shapeId="0" xr:uid="{00000000-0006-0000-0E00-00006D050000}">
      <text>
        <r>
          <rPr>
            <sz val="9"/>
            <color indexed="81"/>
            <rFont val="Tahoma"/>
            <charset val="1"/>
          </rPr>
          <t>Could not find source file for Hickory county.</t>
        </r>
      </text>
    </comment>
    <comment ref="IV50" authorId="0" shapeId="0" xr:uid="{00000000-0006-0000-0E00-00006E050000}">
      <text>
        <r>
          <rPr>
            <sz val="9"/>
            <color indexed="81"/>
            <rFont val="Tahoma"/>
            <family val="2"/>
          </rPr>
          <t>Could not find source file for Holt county.</t>
        </r>
      </text>
    </comment>
    <comment ref="IW50" authorId="0" shapeId="0" xr:uid="{00000000-0006-0000-0E00-00006F050000}">
      <text>
        <r>
          <rPr>
            <sz val="9"/>
            <color indexed="81"/>
            <rFont val="Tahoma"/>
            <family val="2"/>
          </rPr>
          <t>Could not find source file for Holt county.</t>
        </r>
      </text>
    </comment>
    <comment ref="IX50" authorId="1" shapeId="0" xr:uid="{00000000-0006-0000-0E00-000070050000}">
      <text>
        <r>
          <rPr>
            <sz val="9"/>
            <color indexed="81"/>
            <rFont val="Tahoma"/>
            <family val="2"/>
          </rPr>
          <t>Could not find source file for Holt county.</t>
        </r>
      </text>
    </comment>
    <comment ref="IY50" authorId="0" shapeId="0" xr:uid="{00000000-0006-0000-0E00-000071050000}">
      <text>
        <r>
          <rPr>
            <sz val="9"/>
            <color indexed="81"/>
            <rFont val="Tahoma"/>
            <family val="2"/>
          </rPr>
          <t>Could not find source file for Holt county.</t>
        </r>
      </text>
    </comment>
    <comment ref="IZ50" authorId="1" shapeId="0" xr:uid="{00000000-0006-0000-0E00-000072050000}">
      <text>
        <r>
          <rPr>
            <sz val="9"/>
            <color indexed="81"/>
            <rFont val="Tahoma"/>
            <family val="2"/>
          </rPr>
          <t>Could not find source file for Holt county.</t>
        </r>
      </text>
    </comment>
    <comment ref="JA50" authorId="1" shapeId="0" xr:uid="{00000000-0006-0000-0E00-000073050000}">
      <text>
        <r>
          <rPr>
            <sz val="9"/>
            <color indexed="81"/>
            <rFont val="Tahoma"/>
            <charset val="1"/>
          </rPr>
          <t>Could not find source file for Holt county.</t>
        </r>
      </text>
    </comment>
    <comment ref="JB50" authorId="1" shapeId="0" xr:uid="{00000000-0006-0000-0E00-000074050000}">
      <text>
        <r>
          <rPr>
            <sz val="9"/>
            <color indexed="81"/>
            <rFont val="Tahoma"/>
            <charset val="1"/>
          </rPr>
          <t>Could not find source file for Holt county.</t>
        </r>
      </text>
    </comment>
    <comment ref="JC50" authorId="1" shapeId="0" xr:uid="{00000000-0006-0000-0E00-000075050000}">
      <text>
        <r>
          <rPr>
            <sz val="9"/>
            <color indexed="81"/>
            <rFont val="Tahoma"/>
            <charset val="1"/>
          </rPr>
          <t>Could not find source file for Holt county.</t>
        </r>
      </text>
    </comment>
    <comment ref="P51" authorId="0" shapeId="0" xr:uid="{00000000-0006-0000-0E00-000076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AN51" authorId="0" shapeId="0" xr:uid="{00000000-0006-0000-0E00-000077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BL51" authorId="0" shapeId="0" xr:uid="{00000000-0006-0000-0E00-000078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CJ51" authorId="0" shapeId="0" xr:uid="{00000000-0006-0000-0E00-000079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DH51" authorId="0" shapeId="0" xr:uid="{00000000-0006-0000-0E00-00007A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EF51" authorId="0" shapeId="0" xr:uid="{00000000-0006-0000-0E00-00007B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FD51" authorId="0" shapeId="0" xr:uid="{00000000-0006-0000-0E00-00007C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GB51" authorId="0" shapeId="0" xr:uid="{00000000-0006-0000-0E00-00007D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GZ51" authorId="0" shapeId="0" xr:uid="{00000000-0006-0000-0E00-00007E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HX51" authorId="0" shapeId="0" xr:uid="{00000000-0006-0000-0E00-00007F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IV51" authorId="0" shapeId="0" xr:uid="{00000000-0006-0000-0E00-000080050000}">
      <text>
        <r>
          <rPr>
            <sz val="9"/>
            <color indexed="81"/>
            <rFont val="Tahoma"/>
            <family val="2"/>
          </rPr>
          <t>Could not find source file for Howard county.</t>
        </r>
      </text>
    </comment>
    <comment ref="IW51" authorId="0" shapeId="0" xr:uid="{00000000-0006-0000-0E00-000081050000}">
      <text>
        <r>
          <rPr>
            <sz val="9"/>
            <color indexed="81"/>
            <rFont val="Tahoma"/>
            <family val="2"/>
          </rPr>
          <t>Could not find source file for Howard county.</t>
        </r>
      </text>
    </comment>
    <comment ref="IX51" authorId="1" shapeId="0" xr:uid="{00000000-0006-0000-0E00-000082050000}">
      <text>
        <r>
          <rPr>
            <sz val="9"/>
            <color indexed="81"/>
            <rFont val="Tahoma"/>
            <family val="2"/>
          </rPr>
          <t>Could not find source file for Howard county.</t>
        </r>
      </text>
    </comment>
    <comment ref="IY51" authorId="0" shapeId="0" xr:uid="{00000000-0006-0000-0E00-000083050000}">
      <text>
        <r>
          <rPr>
            <sz val="9"/>
            <color indexed="81"/>
            <rFont val="Tahoma"/>
            <family val="2"/>
          </rPr>
          <t>Could not find source file for Howard county.</t>
        </r>
      </text>
    </comment>
    <comment ref="IZ51" authorId="1" shapeId="0" xr:uid="{00000000-0006-0000-0E00-000084050000}">
      <text>
        <r>
          <rPr>
            <sz val="9"/>
            <color indexed="81"/>
            <rFont val="Tahoma"/>
            <family val="2"/>
          </rPr>
          <t>Could not find source file for Howard county.</t>
        </r>
      </text>
    </comment>
    <comment ref="JA51" authorId="1" shapeId="0" xr:uid="{00000000-0006-0000-0E00-000085050000}">
      <text>
        <r>
          <rPr>
            <sz val="9"/>
            <color indexed="81"/>
            <rFont val="Tahoma"/>
            <charset val="1"/>
          </rPr>
          <t>Could not find source file for Howard county.</t>
        </r>
      </text>
    </comment>
    <comment ref="JB51" authorId="1" shapeId="0" xr:uid="{00000000-0006-0000-0E00-000086050000}">
      <text>
        <r>
          <rPr>
            <sz val="9"/>
            <color indexed="81"/>
            <rFont val="Tahoma"/>
            <charset val="1"/>
          </rPr>
          <t>Could not find source file for Howard county.</t>
        </r>
      </text>
    </comment>
    <comment ref="JC51" authorId="1" shapeId="0" xr:uid="{00000000-0006-0000-0E00-000087050000}">
      <text>
        <r>
          <rPr>
            <sz val="9"/>
            <color indexed="81"/>
            <rFont val="Tahoma"/>
            <charset val="1"/>
          </rPr>
          <t>Could not find source file for Howard county.</t>
        </r>
      </text>
    </comment>
    <comment ref="JT51" authorId="0" shapeId="0" xr:uid="{00000000-0006-0000-0E00-000088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KR51" authorId="0" shapeId="0" xr:uid="{00000000-0006-0000-0E00-000089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LP51" authorId="0" shapeId="0" xr:uid="{00000000-0006-0000-0E00-00008A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MN51" authorId="0" shapeId="0" xr:uid="{00000000-0006-0000-0E00-00008B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NL51" authorId="0" shapeId="0" xr:uid="{00000000-0006-0000-0E00-00008C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OJ51" authorId="0" shapeId="0" xr:uid="{00000000-0006-0000-0E00-00008D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PH51" authorId="0" shapeId="0" xr:uid="{00000000-0006-0000-0E00-00008E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QF51" authorId="0" shapeId="0" xr:uid="{00000000-0006-0000-0E00-00008F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RD51" authorId="0" shapeId="0" xr:uid="{00000000-0006-0000-0E00-000090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SB51" authorId="0" shapeId="0" xr:uid="{00000000-0006-0000-0E00-00009105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IV52" authorId="0" shapeId="0" xr:uid="{00000000-0006-0000-0E00-000092050000}">
      <text>
        <r>
          <rPr>
            <sz val="9"/>
            <color indexed="81"/>
            <rFont val="Tahoma"/>
            <family val="2"/>
          </rPr>
          <t>Could not find source file for Howell county.</t>
        </r>
      </text>
    </comment>
    <comment ref="IW52" authorId="0" shapeId="0" xr:uid="{00000000-0006-0000-0E00-000093050000}">
      <text>
        <r>
          <rPr>
            <sz val="9"/>
            <color indexed="81"/>
            <rFont val="Tahoma"/>
            <family val="2"/>
          </rPr>
          <t>Could not find source file for Howell county.</t>
        </r>
      </text>
    </comment>
    <comment ref="IX52" authorId="1" shapeId="0" xr:uid="{00000000-0006-0000-0E00-000094050000}">
      <text>
        <r>
          <rPr>
            <sz val="9"/>
            <color indexed="81"/>
            <rFont val="Tahoma"/>
            <family val="2"/>
          </rPr>
          <t>Could not find source file for Howell county.</t>
        </r>
      </text>
    </comment>
    <comment ref="IY52" authorId="0" shapeId="0" xr:uid="{00000000-0006-0000-0E00-000095050000}">
      <text>
        <r>
          <rPr>
            <sz val="9"/>
            <color indexed="81"/>
            <rFont val="Tahoma"/>
            <family val="2"/>
          </rPr>
          <t>Could not find source file for Howell county.</t>
        </r>
      </text>
    </comment>
    <comment ref="IZ52" authorId="1" shapeId="0" xr:uid="{00000000-0006-0000-0E00-000096050000}">
      <text>
        <r>
          <rPr>
            <sz val="9"/>
            <color indexed="81"/>
            <rFont val="Tahoma"/>
            <family val="2"/>
          </rPr>
          <t>Could not find source file for Howell county.</t>
        </r>
      </text>
    </comment>
    <comment ref="JA52" authorId="1" shapeId="0" xr:uid="{00000000-0006-0000-0E00-000097050000}">
      <text>
        <r>
          <rPr>
            <sz val="9"/>
            <color indexed="81"/>
            <rFont val="Tahoma"/>
            <charset val="1"/>
          </rPr>
          <t>Could not find source file for Howell county.</t>
        </r>
      </text>
    </comment>
    <comment ref="JB52" authorId="1" shapeId="0" xr:uid="{00000000-0006-0000-0E00-000098050000}">
      <text>
        <r>
          <rPr>
            <sz val="9"/>
            <color indexed="81"/>
            <rFont val="Tahoma"/>
            <charset val="1"/>
          </rPr>
          <t>Could not find source file for Howell county.</t>
        </r>
      </text>
    </comment>
    <comment ref="JC52" authorId="1" shapeId="0" xr:uid="{00000000-0006-0000-0E00-000099050000}">
      <text>
        <r>
          <rPr>
            <sz val="9"/>
            <color indexed="81"/>
            <rFont val="Tahoma"/>
            <charset val="1"/>
          </rPr>
          <t>Could not find source file for Howell county.</t>
        </r>
      </text>
    </comment>
    <comment ref="IV53" authorId="0" shapeId="0" xr:uid="{00000000-0006-0000-0E00-00009A050000}">
      <text>
        <r>
          <rPr>
            <sz val="9"/>
            <color indexed="81"/>
            <rFont val="Tahoma"/>
            <family val="2"/>
          </rPr>
          <t>Could not find source file for Iron county.</t>
        </r>
      </text>
    </comment>
    <comment ref="IW53" authorId="0" shapeId="0" xr:uid="{00000000-0006-0000-0E00-00009B050000}">
      <text>
        <r>
          <rPr>
            <sz val="9"/>
            <color indexed="81"/>
            <rFont val="Tahoma"/>
            <family val="2"/>
          </rPr>
          <t>Could not find source file for Iron county.</t>
        </r>
      </text>
    </comment>
    <comment ref="IX53" authorId="1" shapeId="0" xr:uid="{00000000-0006-0000-0E00-00009C050000}">
      <text>
        <r>
          <rPr>
            <sz val="9"/>
            <color indexed="81"/>
            <rFont val="Tahoma"/>
            <family val="2"/>
          </rPr>
          <t>Could not find source file for Iron county.</t>
        </r>
      </text>
    </comment>
    <comment ref="IY53" authorId="0" shapeId="0" xr:uid="{00000000-0006-0000-0E00-00009D050000}">
      <text>
        <r>
          <rPr>
            <sz val="9"/>
            <color indexed="81"/>
            <rFont val="Tahoma"/>
            <family val="2"/>
          </rPr>
          <t>Could not find source file for Iron county.</t>
        </r>
      </text>
    </comment>
    <comment ref="IZ53" authorId="1" shapeId="0" xr:uid="{00000000-0006-0000-0E00-00009E050000}">
      <text>
        <r>
          <rPr>
            <sz val="9"/>
            <color indexed="81"/>
            <rFont val="Tahoma"/>
            <family val="2"/>
          </rPr>
          <t>Could not find source file for Iron county.</t>
        </r>
      </text>
    </comment>
    <comment ref="JA53" authorId="1" shapeId="0" xr:uid="{00000000-0006-0000-0E00-00009F050000}">
      <text>
        <r>
          <rPr>
            <sz val="9"/>
            <color indexed="81"/>
            <rFont val="Tahoma"/>
            <charset val="1"/>
          </rPr>
          <t>Could not find source file for Iron county.</t>
        </r>
      </text>
    </comment>
    <comment ref="JB53" authorId="1" shapeId="0" xr:uid="{00000000-0006-0000-0E00-0000A0050000}">
      <text>
        <r>
          <rPr>
            <sz val="9"/>
            <color indexed="81"/>
            <rFont val="Tahoma"/>
            <charset val="1"/>
          </rPr>
          <t>Could not find source file for Iron county.</t>
        </r>
      </text>
    </comment>
    <comment ref="JC53" authorId="1" shapeId="0" xr:uid="{00000000-0006-0000-0E00-0000A1050000}">
      <text>
        <r>
          <rPr>
            <sz val="9"/>
            <color indexed="81"/>
            <rFont val="Tahoma"/>
            <charset val="1"/>
          </rPr>
          <t>Could not find source file for Iron county.</t>
        </r>
      </text>
    </comment>
    <comment ref="IV54" authorId="0" shapeId="0" xr:uid="{00000000-0006-0000-0E00-0000A2050000}">
      <text>
        <r>
          <rPr>
            <sz val="9"/>
            <color indexed="81"/>
            <rFont val="Tahoma"/>
            <family val="2"/>
          </rPr>
          <t>Could not find source file for Knox county.</t>
        </r>
      </text>
    </comment>
    <comment ref="IW54" authorId="0" shapeId="0" xr:uid="{00000000-0006-0000-0E00-0000A3050000}">
      <text>
        <r>
          <rPr>
            <sz val="9"/>
            <color indexed="81"/>
            <rFont val="Tahoma"/>
            <family val="2"/>
          </rPr>
          <t>Could not find source file for Knox county.</t>
        </r>
      </text>
    </comment>
    <comment ref="IX54" authorId="1" shapeId="0" xr:uid="{00000000-0006-0000-0E00-0000A4050000}">
      <text>
        <r>
          <rPr>
            <sz val="9"/>
            <color indexed="81"/>
            <rFont val="Tahoma"/>
            <family val="2"/>
          </rPr>
          <t>Could not find source file for Knox county.</t>
        </r>
      </text>
    </comment>
    <comment ref="IY54" authorId="0" shapeId="0" xr:uid="{00000000-0006-0000-0E00-0000A5050000}">
      <text>
        <r>
          <rPr>
            <sz val="9"/>
            <color indexed="81"/>
            <rFont val="Tahoma"/>
            <family val="2"/>
          </rPr>
          <t>Could not find source file for Knox county.</t>
        </r>
      </text>
    </comment>
    <comment ref="IZ54" authorId="1" shapeId="0" xr:uid="{00000000-0006-0000-0E00-0000A6050000}">
      <text>
        <r>
          <rPr>
            <sz val="9"/>
            <color indexed="81"/>
            <rFont val="Tahoma"/>
            <family val="2"/>
          </rPr>
          <t>Could not find source file for Knox county.</t>
        </r>
      </text>
    </comment>
    <comment ref="JA54" authorId="1" shapeId="0" xr:uid="{00000000-0006-0000-0E00-0000A7050000}">
      <text>
        <r>
          <rPr>
            <sz val="9"/>
            <color indexed="81"/>
            <rFont val="Tahoma"/>
            <charset val="1"/>
          </rPr>
          <t>Could not find source file for Knox county.</t>
        </r>
      </text>
    </comment>
    <comment ref="JB54" authorId="1" shapeId="0" xr:uid="{00000000-0006-0000-0E00-0000A8050000}">
      <text>
        <r>
          <rPr>
            <sz val="9"/>
            <color indexed="81"/>
            <rFont val="Tahoma"/>
            <charset val="1"/>
          </rPr>
          <t>Could not find source file for Knox county.</t>
        </r>
      </text>
    </comment>
    <comment ref="JC54" authorId="1" shapeId="0" xr:uid="{00000000-0006-0000-0E00-0000A9050000}">
      <text>
        <r>
          <rPr>
            <sz val="9"/>
            <color indexed="81"/>
            <rFont val="Tahoma"/>
            <charset val="1"/>
          </rPr>
          <t>Could not find source file for Knox county.</t>
        </r>
      </text>
    </comment>
    <comment ref="U55" authorId="1" shapeId="0" xr:uid="{00000000-0006-0000-0E00-0000AA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V55" authorId="1" shapeId="0" xr:uid="{00000000-0006-0000-0E00-0000AB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W55" authorId="1" shapeId="0" xr:uid="{00000000-0006-0000-0E00-0000AC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AS55" authorId="1" shapeId="0" xr:uid="{00000000-0006-0000-0E00-0000AD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AT55" authorId="1" shapeId="0" xr:uid="{00000000-0006-0000-0E00-0000AE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AU55" authorId="1" shapeId="0" xr:uid="{00000000-0006-0000-0E00-0000AF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BQ55" authorId="1" shapeId="0" xr:uid="{00000000-0006-0000-0E00-0000B0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BR55" authorId="1" shapeId="0" xr:uid="{00000000-0006-0000-0E00-0000B1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BS55" authorId="1" shapeId="0" xr:uid="{00000000-0006-0000-0E00-0000B2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CO55" authorId="1" shapeId="0" xr:uid="{00000000-0006-0000-0E00-0000B3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CP55" authorId="1" shapeId="0" xr:uid="{00000000-0006-0000-0E00-0000B4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CQ55" authorId="1" shapeId="0" xr:uid="{00000000-0006-0000-0E00-0000B5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DM55" authorId="1" shapeId="0" xr:uid="{00000000-0006-0000-0E00-0000B6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DN55" authorId="1" shapeId="0" xr:uid="{00000000-0006-0000-0E00-0000B7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DO55" authorId="1" shapeId="0" xr:uid="{00000000-0006-0000-0E00-0000B8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EK55" authorId="1" shapeId="0" xr:uid="{00000000-0006-0000-0E00-0000B9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EL55" authorId="1" shapeId="0" xr:uid="{00000000-0006-0000-0E00-0000BA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EM55" authorId="1" shapeId="0" xr:uid="{00000000-0006-0000-0E00-0000BB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FI55" authorId="1" shapeId="0" xr:uid="{00000000-0006-0000-0E00-0000BC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FJ55" authorId="1" shapeId="0" xr:uid="{00000000-0006-0000-0E00-0000BD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FK55" authorId="1" shapeId="0" xr:uid="{00000000-0006-0000-0E00-0000BE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GG55" authorId="1" shapeId="0" xr:uid="{00000000-0006-0000-0E00-0000BF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GH55" authorId="1" shapeId="0" xr:uid="{00000000-0006-0000-0E00-0000C0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GI55" authorId="1" shapeId="0" xr:uid="{00000000-0006-0000-0E00-0000C1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HE55" authorId="1" shapeId="0" xr:uid="{00000000-0006-0000-0E00-0000C2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HF55" authorId="1" shapeId="0" xr:uid="{00000000-0006-0000-0E00-0000C3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HG55" authorId="1" shapeId="0" xr:uid="{00000000-0006-0000-0E00-0000C4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IC55" authorId="1" shapeId="0" xr:uid="{00000000-0006-0000-0E00-0000C5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ID55" authorId="1" shapeId="0" xr:uid="{00000000-0006-0000-0E00-0000C6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IE55" authorId="1" shapeId="0" xr:uid="{00000000-0006-0000-0E00-0000C7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IV55" authorId="0" shapeId="0" xr:uid="{00000000-0006-0000-0E00-0000C8050000}">
      <text>
        <r>
          <rPr>
            <sz val="9"/>
            <color indexed="81"/>
            <rFont val="Tahoma"/>
            <family val="2"/>
          </rPr>
          <t>Could not find source file for Laclede county.</t>
        </r>
      </text>
    </comment>
    <comment ref="IW55" authorId="0" shapeId="0" xr:uid="{00000000-0006-0000-0E00-0000C9050000}">
      <text>
        <r>
          <rPr>
            <sz val="9"/>
            <color indexed="81"/>
            <rFont val="Tahoma"/>
            <family val="2"/>
          </rPr>
          <t>Could not find source file for Laclede county.</t>
        </r>
      </text>
    </comment>
    <comment ref="IX55" authorId="1" shapeId="0" xr:uid="{00000000-0006-0000-0E00-0000CA050000}">
      <text>
        <r>
          <rPr>
            <sz val="9"/>
            <color indexed="81"/>
            <rFont val="Tahoma"/>
            <family val="2"/>
          </rPr>
          <t>Could not find source file for Laclede county.</t>
        </r>
      </text>
    </comment>
    <comment ref="IY55" authorId="0" shapeId="0" xr:uid="{00000000-0006-0000-0E00-0000CB050000}">
      <text>
        <r>
          <rPr>
            <sz val="9"/>
            <color indexed="81"/>
            <rFont val="Tahoma"/>
            <family val="2"/>
          </rPr>
          <t>Could not find source file for Laclede county.</t>
        </r>
      </text>
    </comment>
    <comment ref="IZ55" authorId="1" shapeId="0" xr:uid="{00000000-0006-0000-0E00-0000CC050000}">
      <text>
        <r>
          <rPr>
            <sz val="9"/>
            <color indexed="81"/>
            <rFont val="Tahoma"/>
            <family val="2"/>
          </rPr>
          <t>Could not find source file for Laclede county.</t>
        </r>
      </text>
    </comment>
    <comment ref="JA55" authorId="1" shapeId="0" xr:uid="{00000000-0006-0000-0E00-0000CD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JB55" authorId="1" shapeId="0" xr:uid="{00000000-0006-0000-0E00-0000CE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JC55" authorId="1" shapeId="0" xr:uid="{00000000-0006-0000-0E00-0000CF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JY55" authorId="1" shapeId="0" xr:uid="{00000000-0006-0000-0E00-0000D0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JZ55" authorId="1" shapeId="0" xr:uid="{00000000-0006-0000-0E00-0000D1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KA55" authorId="1" shapeId="0" xr:uid="{00000000-0006-0000-0E00-0000D2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KW55" authorId="1" shapeId="0" xr:uid="{00000000-0006-0000-0E00-0000D3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KX55" authorId="1" shapeId="0" xr:uid="{00000000-0006-0000-0E00-0000D4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KY55" authorId="1" shapeId="0" xr:uid="{00000000-0006-0000-0E00-0000D5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LU55" authorId="1" shapeId="0" xr:uid="{00000000-0006-0000-0E00-0000D6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LV55" authorId="1" shapeId="0" xr:uid="{00000000-0006-0000-0E00-0000D7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LW55" authorId="1" shapeId="0" xr:uid="{00000000-0006-0000-0E00-0000D8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MS55" authorId="1" shapeId="0" xr:uid="{00000000-0006-0000-0E00-0000D9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MT55" authorId="1" shapeId="0" xr:uid="{00000000-0006-0000-0E00-0000DA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MU55" authorId="1" shapeId="0" xr:uid="{00000000-0006-0000-0E00-0000DB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NQ55" authorId="1" shapeId="0" xr:uid="{00000000-0006-0000-0E00-0000DC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NR55" authorId="1" shapeId="0" xr:uid="{00000000-0006-0000-0E00-0000DD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NS55" authorId="1" shapeId="0" xr:uid="{00000000-0006-0000-0E00-0000DE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OO55" authorId="1" shapeId="0" xr:uid="{00000000-0006-0000-0E00-0000DF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OP55" authorId="1" shapeId="0" xr:uid="{00000000-0006-0000-0E00-0000E0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OQ55" authorId="1" shapeId="0" xr:uid="{00000000-0006-0000-0E00-0000E1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PM55" authorId="1" shapeId="0" xr:uid="{00000000-0006-0000-0E00-0000E2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PN55" authorId="1" shapeId="0" xr:uid="{00000000-0006-0000-0E00-0000E3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PO55" authorId="1" shapeId="0" xr:uid="{00000000-0006-0000-0E00-0000E4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QK55" authorId="1" shapeId="0" xr:uid="{00000000-0006-0000-0E00-0000E5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QL55" authorId="1" shapeId="0" xr:uid="{00000000-0006-0000-0E00-0000E6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QM55" authorId="1" shapeId="0" xr:uid="{00000000-0006-0000-0E00-0000E7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RI55" authorId="1" shapeId="0" xr:uid="{00000000-0006-0000-0E00-0000E8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RJ55" authorId="1" shapeId="0" xr:uid="{00000000-0006-0000-0E00-0000E9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RK55" authorId="1" shapeId="0" xr:uid="{00000000-0006-0000-0E00-0000EA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SG55" authorId="1" shapeId="0" xr:uid="{00000000-0006-0000-0E00-0000EB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SH55" authorId="1" shapeId="0" xr:uid="{00000000-0006-0000-0E00-0000EC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SI55" authorId="1" shapeId="0" xr:uid="{00000000-0006-0000-0E00-0000ED05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IV56" authorId="0" shapeId="0" xr:uid="{00000000-0006-0000-0E00-0000EE050000}">
      <text>
        <r>
          <rPr>
            <sz val="9"/>
            <color indexed="81"/>
            <rFont val="Tahoma"/>
            <family val="2"/>
          </rPr>
          <t>Could not find source file for Lawrence county.</t>
        </r>
      </text>
    </comment>
    <comment ref="IW56" authorId="0" shapeId="0" xr:uid="{00000000-0006-0000-0E00-0000EF050000}">
      <text>
        <r>
          <rPr>
            <sz val="9"/>
            <color indexed="81"/>
            <rFont val="Tahoma"/>
            <family val="2"/>
          </rPr>
          <t>Could not find source file for Lawrence county.</t>
        </r>
      </text>
    </comment>
    <comment ref="IX56" authorId="1" shapeId="0" xr:uid="{00000000-0006-0000-0E00-0000F0050000}">
      <text>
        <r>
          <rPr>
            <sz val="9"/>
            <color indexed="81"/>
            <rFont val="Tahoma"/>
            <family val="2"/>
          </rPr>
          <t>Could not find source file for Lawrence county.</t>
        </r>
      </text>
    </comment>
    <comment ref="IY56" authorId="0" shapeId="0" xr:uid="{00000000-0006-0000-0E00-0000F1050000}">
      <text>
        <r>
          <rPr>
            <sz val="9"/>
            <color indexed="81"/>
            <rFont val="Tahoma"/>
            <family val="2"/>
          </rPr>
          <t>Could not find source file for Lawrence county.</t>
        </r>
      </text>
    </comment>
    <comment ref="IZ56" authorId="1" shapeId="0" xr:uid="{00000000-0006-0000-0E00-0000F2050000}">
      <text>
        <r>
          <rPr>
            <sz val="9"/>
            <color indexed="81"/>
            <rFont val="Tahoma"/>
            <family val="2"/>
          </rPr>
          <t>Could not find source file for Lawrence county.</t>
        </r>
      </text>
    </comment>
    <comment ref="JA56" authorId="1" shapeId="0" xr:uid="{00000000-0006-0000-0E00-0000F3050000}">
      <text>
        <r>
          <rPr>
            <sz val="9"/>
            <color indexed="81"/>
            <rFont val="Tahoma"/>
            <charset val="1"/>
          </rPr>
          <t>Could not find source file for Lawrence county.</t>
        </r>
      </text>
    </comment>
    <comment ref="JB56" authorId="1" shapeId="0" xr:uid="{00000000-0006-0000-0E00-0000F4050000}">
      <text>
        <r>
          <rPr>
            <sz val="9"/>
            <color indexed="81"/>
            <rFont val="Tahoma"/>
            <charset val="1"/>
          </rPr>
          <t>Could not find source file for Lawrence county.</t>
        </r>
      </text>
    </comment>
    <comment ref="JC56" authorId="1" shapeId="0" xr:uid="{00000000-0006-0000-0E00-0000F5050000}">
      <text>
        <r>
          <rPr>
            <sz val="9"/>
            <color indexed="81"/>
            <rFont val="Tahoma"/>
            <charset val="1"/>
          </rPr>
          <t>Could not find source file for Lawrence county.</t>
        </r>
      </text>
    </comment>
    <comment ref="IV57" authorId="0" shapeId="0" xr:uid="{00000000-0006-0000-0E00-0000F6050000}">
      <text>
        <r>
          <rPr>
            <sz val="9"/>
            <color indexed="81"/>
            <rFont val="Tahoma"/>
            <family val="2"/>
          </rPr>
          <t>Could not find source file for Lewis county.</t>
        </r>
      </text>
    </comment>
    <comment ref="IW57" authorId="0" shapeId="0" xr:uid="{00000000-0006-0000-0E00-0000F7050000}">
      <text>
        <r>
          <rPr>
            <sz val="9"/>
            <color indexed="81"/>
            <rFont val="Tahoma"/>
            <family val="2"/>
          </rPr>
          <t>Could not find source file for Lewis county.</t>
        </r>
      </text>
    </comment>
    <comment ref="IX57" authorId="1" shapeId="0" xr:uid="{00000000-0006-0000-0E00-0000F8050000}">
      <text>
        <r>
          <rPr>
            <sz val="9"/>
            <color indexed="81"/>
            <rFont val="Tahoma"/>
            <family val="2"/>
          </rPr>
          <t>Could not find source file for Lewis county.</t>
        </r>
      </text>
    </comment>
    <comment ref="IY57" authorId="0" shapeId="0" xr:uid="{00000000-0006-0000-0E00-0000F9050000}">
      <text>
        <r>
          <rPr>
            <sz val="9"/>
            <color indexed="81"/>
            <rFont val="Tahoma"/>
            <family val="2"/>
          </rPr>
          <t>Could not find source file for Lewis county.</t>
        </r>
      </text>
    </comment>
    <comment ref="IZ57" authorId="1" shapeId="0" xr:uid="{00000000-0006-0000-0E00-0000FA050000}">
      <text>
        <r>
          <rPr>
            <sz val="9"/>
            <color indexed="81"/>
            <rFont val="Tahoma"/>
            <family val="2"/>
          </rPr>
          <t>Could not find source file for Lewis county.</t>
        </r>
      </text>
    </comment>
    <comment ref="JA57" authorId="1" shapeId="0" xr:uid="{00000000-0006-0000-0E00-0000FB050000}">
      <text>
        <r>
          <rPr>
            <sz val="9"/>
            <color indexed="81"/>
            <rFont val="Tahoma"/>
            <charset val="1"/>
          </rPr>
          <t>Could not find source file for Lewis county.</t>
        </r>
      </text>
    </comment>
    <comment ref="JB57" authorId="1" shapeId="0" xr:uid="{00000000-0006-0000-0E00-0000FC050000}">
      <text>
        <r>
          <rPr>
            <sz val="9"/>
            <color indexed="81"/>
            <rFont val="Tahoma"/>
            <charset val="1"/>
          </rPr>
          <t>Could not find source file for Lewis county.</t>
        </r>
      </text>
    </comment>
    <comment ref="JC57" authorId="1" shapeId="0" xr:uid="{00000000-0006-0000-0E00-0000FD050000}">
      <text>
        <r>
          <rPr>
            <sz val="9"/>
            <color indexed="81"/>
            <rFont val="Tahoma"/>
            <charset val="1"/>
          </rPr>
          <t>Could not find source file for Lewis county.</t>
        </r>
      </text>
    </comment>
    <comment ref="IV58" authorId="0" shapeId="0" xr:uid="{00000000-0006-0000-0E00-0000FE050000}">
      <text>
        <r>
          <rPr>
            <sz val="9"/>
            <color indexed="81"/>
            <rFont val="Tahoma"/>
            <family val="2"/>
          </rPr>
          <t>Could not find source file for Linn county.</t>
        </r>
      </text>
    </comment>
    <comment ref="IW58" authorId="0" shapeId="0" xr:uid="{00000000-0006-0000-0E00-0000FF050000}">
      <text>
        <r>
          <rPr>
            <sz val="9"/>
            <color indexed="81"/>
            <rFont val="Tahoma"/>
            <family val="2"/>
          </rPr>
          <t>Could not find source file for Linn county.</t>
        </r>
      </text>
    </comment>
    <comment ref="IX58" authorId="1" shapeId="0" xr:uid="{00000000-0006-0000-0E00-000000060000}">
      <text>
        <r>
          <rPr>
            <sz val="9"/>
            <color indexed="81"/>
            <rFont val="Tahoma"/>
            <family val="2"/>
          </rPr>
          <t>Could not find source file for Linn county.</t>
        </r>
      </text>
    </comment>
    <comment ref="IY58" authorId="0" shapeId="0" xr:uid="{00000000-0006-0000-0E00-000001060000}">
      <text>
        <r>
          <rPr>
            <sz val="9"/>
            <color indexed="81"/>
            <rFont val="Tahoma"/>
            <family val="2"/>
          </rPr>
          <t>Could not find source file for Linn county.</t>
        </r>
      </text>
    </comment>
    <comment ref="IZ58" authorId="1" shapeId="0" xr:uid="{00000000-0006-0000-0E00-000002060000}">
      <text>
        <r>
          <rPr>
            <sz val="9"/>
            <color indexed="81"/>
            <rFont val="Tahoma"/>
            <family val="2"/>
          </rPr>
          <t>Could not find source file for Linn county.</t>
        </r>
      </text>
    </comment>
    <comment ref="JA58" authorId="1" shapeId="0" xr:uid="{00000000-0006-0000-0E00-000003060000}">
      <text>
        <r>
          <rPr>
            <sz val="9"/>
            <color indexed="81"/>
            <rFont val="Tahoma"/>
            <charset val="1"/>
          </rPr>
          <t>Could not find source file for Linn county.</t>
        </r>
      </text>
    </comment>
    <comment ref="JB58" authorId="1" shapeId="0" xr:uid="{00000000-0006-0000-0E00-000004060000}">
      <text>
        <r>
          <rPr>
            <sz val="9"/>
            <color indexed="81"/>
            <rFont val="Tahoma"/>
            <charset val="1"/>
          </rPr>
          <t>Could not find source file for Linn county.</t>
        </r>
      </text>
    </comment>
    <comment ref="JC58" authorId="1" shapeId="0" xr:uid="{00000000-0006-0000-0E00-000005060000}">
      <text>
        <r>
          <rPr>
            <sz val="9"/>
            <color indexed="81"/>
            <rFont val="Tahoma"/>
            <charset val="1"/>
          </rPr>
          <t>Could not find source file for Linn county.</t>
        </r>
      </text>
    </comment>
    <comment ref="S59" authorId="0" shapeId="0" xr:uid="{00000000-0006-0000-0E00-000006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T59" authorId="1" shapeId="0" xr:uid="{00000000-0006-0000-0E00-000007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AQ59" authorId="0" shapeId="0" xr:uid="{00000000-0006-0000-0E00-000008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AR59" authorId="1" shapeId="0" xr:uid="{00000000-0006-0000-0E00-000009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BO59" authorId="0" shapeId="0" xr:uid="{00000000-0006-0000-0E00-00000A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BP59" authorId="1" shapeId="0" xr:uid="{00000000-0006-0000-0E00-00000B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CM59" authorId="0" shapeId="0" xr:uid="{00000000-0006-0000-0E00-00000C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CN59" authorId="1" shapeId="0" xr:uid="{00000000-0006-0000-0E00-00000D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DK59" authorId="0" shapeId="0" xr:uid="{00000000-0006-0000-0E00-00000E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DL59" authorId="1" shapeId="0" xr:uid="{00000000-0006-0000-0E00-00000F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EI59" authorId="0" shapeId="0" xr:uid="{00000000-0006-0000-0E00-000010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EJ59" authorId="1" shapeId="0" xr:uid="{00000000-0006-0000-0E00-000011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FG59" authorId="0" shapeId="0" xr:uid="{00000000-0006-0000-0E00-000012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FH59" authorId="1" shapeId="0" xr:uid="{00000000-0006-0000-0E00-000013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GE59" authorId="0" shapeId="0" xr:uid="{00000000-0006-0000-0E00-000014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GF59" authorId="1" shapeId="0" xr:uid="{00000000-0006-0000-0E00-000015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HC59" authorId="0" shapeId="0" xr:uid="{00000000-0006-0000-0E00-000016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HD59" authorId="1" shapeId="0" xr:uid="{00000000-0006-0000-0E00-000017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IA59" authorId="0" shapeId="0" xr:uid="{00000000-0006-0000-0E00-000018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IB59" authorId="1" shapeId="0" xr:uid="{00000000-0006-0000-0E00-000019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IV59" authorId="0" shapeId="0" xr:uid="{00000000-0006-0000-0E00-00001A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IW59" authorId="0" shapeId="0" xr:uid="{00000000-0006-0000-0E00-00001B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IX59" authorId="1" shapeId="0" xr:uid="{00000000-0006-0000-0E00-00001C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IY59" authorId="0" shapeId="0" xr:uid="{00000000-0006-0000-0E00-00001D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IZ59" authorId="1" shapeId="0" xr:uid="{00000000-0006-0000-0E00-00001E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JA59" authorId="1" shapeId="0" xr:uid="{00000000-0006-0000-0E00-00001F060000}">
      <text>
        <r>
          <rPr>
            <sz val="9"/>
            <color indexed="81"/>
            <rFont val="Tahoma"/>
            <charset val="1"/>
          </rPr>
          <t>Could not find source file for Livingston county.</t>
        </r>
      </text>
    </comment>
    <comment ref="JB59" authorId="1" shapeId="0" xr:uid="{00000000-0006-0000-0E00-000020060000}">
      <text>
        <r>
          <rPr>
            <sz val="9"/>
            <color indexed="81"/>
            <rFont val="Tahoma"/>
            <charset val="1"/>
          </rPr>
          <t>Could not find source file for Livingston county.</t>
        </r>
      </text>
    </comment>
    <comment ref="JC59" authorId="1" shapeId="0" xr:uid="{00000000-0006-0000-0E00-000021060000}">
      <text>
        <r>
          <rPr>
            <sz val="9"/>
            <color indexed="81"/>
            <rFont val="Tahoma"/>
            <charset val="1"/>
          </rPr>
          <t>Could not find source file for Livingston county.</t>
        </r>
      </text>
    </comment>
    <comment ref="JW59" authorId="0" shapeId="0" xr:uid="{00000000-0006-0000-0E00-000022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JX59" authorId="1" shapeId="0" xr:uid="{00000000-0006-0000-0E00-000023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KU59" authorId="0" shapeId="0" xr:uid="{00000000-0006-0000-0E00-000024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KV59" authorId="1" shapeId="0" xr:uid="{00000000-0006-0000-0E00-000025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LS59" authorId="0" shapeId="0" xr:uid="{00000000-0006-0000-0E00-000026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LT59" authorId="1" shapeId="0" xr:uid="{00000000-0006-0000-0E00-000027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MQ59" authorId="0" shapeId="0" xr:uid="{00000000-0006-0000-0E00-000028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MR59" authorId="1" shapeId="0" xr:uid="{00000000-0006-0000-0E00-000029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NO59" authorId="0" shapeId="0" xr:uid="{00000000-0006-0000-0E00-00002A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NP59" authorId="1" shapeId="0" xr:uid="{00000000-0006-0000-0E00-00002B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OM59" authorId="0" shapeId="0" xr:uid="{00000000-0006-0000-0E00-00002C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ON59" authorId="1" shapeId="0" xr:uid="{00000000-0006-0000-0E00-00002D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PK59" authorId="0" shapeId="0" xr:uid="{00000000-0006-0000-0E00-00002E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PL59" authorId="1" shapeId="0" xr:uid="{00000000-0006-0000-0E00-00002F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QI59" authorId="0" shapeId="0" xr:uid="{00000000-0006-0000-0E00-000030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QJ59" authorId="1" shapeId="0" xr:uid="{00000000-0006-0000-0E00-000031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RG59" authorId="0" shapeId="0" xr:uid="{00000000-0006-0000-0E00-000032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RH59" authorId="1" shapeId="0" xr:uid="{00000000-0006-0000-0E00-000033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SE59" authorId="0" shapeId="0" xr:uid="{00000000-0006-0000-0E00-00003406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SF59" authorId="1" shapeId="0" xr:uid="{00000000-0006-0000-0E00-00003506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P60" authorId="0" shapeId="0" xr:uid="{00000000-0006-0000-0E00-00003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Q60" authorId="0" shapeId="0" xr:uid="{00000000-0006-0000-0E00-00003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R60" authorId="1" shapeId="0" xr:uid="{00000000-0006-0000-0E00-00003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S60" authorId="0" shapeId="0" xr:uid="{00000000-0006-0000-0E00-00003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T60" authorId="1" shapeId="0" xr:uid="{00000000-0006-0000-0E00-00003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U60" authorId="1" shapeId="0" xr:uid="{00000000-0006-0000-0E00-00003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V60" authorId="1" shapeId="0" xr:uid="{00000000-0006-0000-0E00-00003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W60" authorId="1" shapeId="0" xr:uid="{00000000-0006-0000-0E00-00003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N60" authorId="0" shapeId="0" xr:uid="{00000000-0006-0000-0E00-00003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O60" authorId="0" shapeId="0" xr:uid="{00000000-0006-0000-0E00-00003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P60" authorId="1" shapeId="0" xr:uid="{00000000-0006-0000-0E00-00004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Q60" authorId="0" shapeId="0" xr:uid="{00000000-0006-0000-0E00-00004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R60" authorId="1" shapeId="0" xr:uid="{00000000-0006-0000-0E00-00004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S60" authorId="1" shapeId="0" xr:uid="{00000000-0006-0000-0E00-00004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T60" authorId="1" shapeId="0" xr:uid="{00000000-0006-0000-0E00-00004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U60" authorId="1" shapeId="0" xr:uid="{00000000-0006-0000-0E00-00004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L60" authorId="0" shapeId="0" xr:uid="{00000000-0006-0000-0E00-00004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M60" authorId="0" shapeId="0" xr:uid="{00000000-0006-0000-0E00-00004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N60" authorId="1" shapeId="0" xr:uid="{00000000-0006-0000-0E00-00004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O60" authorId="0" shapeId="0" xr:uid="{00000000-0006-0000-0E00-00004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P60" authorId="1" shapeId="0" xr:uid="{00000000-0006-0000-0E00-00004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Q60" authorId="1" shapeId="0" xr:uid="{00000000-0006-0000-0E00-00004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R60" authorId="1" shapeId="0" xr:uid="{00000000-0006-0000-0E00-00004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S60" authorId="1" shapeId="0" xr:uid="{00000000-0006-0000-0E00-00004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J60" authorId="0" shapeId="0" xr:uid="{00000000-0006-0000-0E00-00004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K60" authorId="0" shapeId="0" xr:uid="{00000000-0006-0000-0E00-00004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L60" authorId="1" shapeId="0" xr:uid="{00000000-0006-0000-0E00-00005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M60" authorId="0" shapeId="0" xr:uid="{00000000-0006-0000-0E00-00005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N60" authorId="1" shapeId="0" xr:uid="{00000000-0006-0000-0E00-00005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O60" authorId="1" shapeId="0" xr:uid="{00000000-0006-0000-0E00-00005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P60" authorId="1" shapeId="0" xr:uid="{00000000-0006-0000-0E00-00005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Q60" authorId="1" shapeId="0" xr:uid="{00000000-0006-0000-0E00-00005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H60" authorId="0" shapeId="0" xr:uid="{00000000-0006-0000-0E00-00005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I60" authorId="0" shapeId="0" xr:uid="{00000000-0006-0000-0E00-00005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J60" authorId="1" shapeId="0" xr:uid="{00000000-0006-0000-0E00-00005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K60" authorId="0" shapeId="0" xr:uid="{00000000-0006-0000-0E00-00005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L60" authorId="1" shapeId="0" xr:uid="{00000000-0006-0000-0E00-00005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M60" authorId="1" shapeId="0" xr:uid="{00000000-0006-0000-0E00-00005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N60" authorId="1" shapeId="0" xr:uid="{00000000-0006-0000-0E00-00005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O60" authorId="1" shapeId="0" xr:uid="{00000000-0006-0000-0E00-00005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F60" authorId="0" shapeId="0" xr:uid="{00000000-0006-0000-0E00-00005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G60" authorId="0" shapeId="0" xr:uid="{00000000-0006-0000-0E00-00005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H60" authorId="1" shapeId="0" xr:uid="{00000000-0006-0000-0E00-00006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I60" authorId="0" shapeId="0" xr:uid="{00000000-0006-0000-0E00-00006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J60" authorId="1" shapeId="0" xr:uid="{00000000-0006-0000-0E00-00006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K60" authorId="1" shapeId="0" xr:uid="{00000000-0006-0000-0E00-00006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L60" authorId="1" shapeId="0" xr:uid="{00000000-0006-0000-0E00-00006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M60" authorId="1" shapeId="0" xr:uid="{00000000-0006-0000-0E00-00006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D60" authorId="0" shapeId="0" xr:uid="{00000000-0006-0000-0E00-00006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E60" authorId="0" shapeId="0" xr:uid="{00000000-0006-0000-0E00-00006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F60" authorId="1" shapeId="0" xr:uid="{00000000-0006-0000-0E00-00006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G60" authorId="0" shapeId="0" xr:uid="{00000000-0006-0000-0E00-00006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H60" authorId="1" shapeId="0" xr:uid="{00000000-0006-0000-0E00-00006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I60" authorId="1" shapeId="0" xr:uid="{00000000-0006-0000-0E00-00006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J60" authorId="1" shapeId="0" xr:uid="{00000000-0006-0000-0E00-00006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K60" authorId="1" shapeId="0" xr:uid="{00000000-0006-0000-0E00-00006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GB60" authorId="0" shapeId="0" xr:uid="{00000000-0006-0000-0E00-00006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GC60" authorId="0" shapeId="0" xr:uid="{00000000-0006-0000-0E00-00006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GD60" authorId="1" shapeId="0" xr:uid="{00000000-0006-0000-0E00-00007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GE60" authorId="0" shapeId="0" xr:uid="{00000000-0006-0000-0E00-00007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GF60" authorId="1" shapeId="0" xr:uid="{00000000-0006-0000-0E00-00007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GG60" authorId="1" shapeId="0" xr:uid="{00000000-0006-0000-0E00-00007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GH60" authorId="1" shapeId="0" xr:uid="{00000000-0006-0000-0E00-00007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GI60" authorId="1" shapeId="0" xr:uid="{00000000-0006-0000-0E00-00007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GZ60" authorId="0" shapeId="0" xr:uid="{00000000-0006-0000-0E00-00007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HA60" authorId="0" shapeId="0" xr:uid="{00000000-0006-0000-0E00-00007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HB60" authorId="1" shapeId="0" xr:uid="{00000000-0006-0000-0E00-00007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HC60" authorId="0" shapeId="0" xr:uid="{00000000-0006-0000-0E00-00007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HD60" authorId="1" shapeId="0" xr:uid="{00000000-0006-0000-0E00-00007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HE60" authorId="1" shapeId="0" xr:uid="{00000000-0006-0000-0E00-00007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HF60" authorId="1" shapeId="0" xr:uid="{00000000-0006-0000-0E00-00007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HG60" authorId="1" shapeId="0" xr:uid="{00000000-0006-0000-0E00-00007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HX60" authorId="0" shapeId="0" xr:uid="{00000000-0006-0000-0E00-00007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HY60" authorId="0" shapeId="0" xr:uid="{00000000-0006-0000-0E00-00007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HZ60" authorId="1" shapeId="0" xr:uid="{00000000-0006-0000-0E00-00008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IA60" authorId="0" shapeId="0" xr:uid="{00000000-0006-0000-0E00-00008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IB60" authorId="1" shapeId="0" xr:uid="{00000000-0006-0000-0E00-00008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IC60" authorId="1" shapeId="0" xr:uid="{00000000-0006-0000-0E00-00008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ID60" authorId="1" shapeId="0" xr:uid="{00000000-0006-0000-0E00-00008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IE60" authorId="1" shapeId="0" xr:uid="{00000000-0006-0000-0E00-00008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IV60" authorId="0" shapeId="0" xr:uid="{00000000-0006-0000-0E00-00008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IW60" authorId="0" shapeId="0" xr:uid="{00000000-0006-0000-0E00-00008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IX60" authorId="1" shapeId="0" xr:uid="{00000000-0006-0000-0E00-00008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IY60" authorId="0" shapeId="0" xr:uid="{00000000-0006-0000-0E00-00008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IZ60" authorId="1" shapeId="0" xr:uid="{00000000-0006-0000-0E00-00008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JA60" authorId="1" shapeId="0" xr:uid="{00000000-0006-0000-0E00-00008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JB60" authorId="1" shapeId="0" xr:uid="{00000000-0006-0000-0E00-00008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JC60" authorId="1" shapeId="0" xr:uid="{00000000-0006-0000-0E00-00008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JT60" authorId="0" shapeId="0" xr:uid="{00000000-0006-0000-0E00-00008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JU60" authorId="0" shapeId="0" xr:uid="{00000000-0006-0000-0E00-00008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JV60" authorId="1" shapeId="0" xr:uid="{00000000-0006-0000-0E00-00009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JW60" authorId="0" shapeId="0" xr:uid="{00000000-0006-0000-0E00-00009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JX60" authorId="1" shapeId="0" xr:uid="{00000000-0006-0000-0E00-00009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JY60" authorId="1" shapeId="0" xr:uid="{00000000-0006-0000-0E00-00009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JZ60" authorId="1" shapeId="0" xr:uid="{00000000-0006-0000-0E00-00009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KA60" authorId="1" shapeId="0" xr:uid="{00000000-0006-0000-0E00-00009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KR60" authorId="0" shapeId="0" xr:uid="{00000000-0006-0000-0E00-00009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KS60" authorId="0" shapeId="0" xr:uid="{00000000-0006-0000-0E00-00009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KT60" authorId="1" shapeId="0" xr:uid="{00000000-0006-0000-0E00-00009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KU60" authorId="0" shapeId="0" xr:uid="{00000000-0006-0000-0E00-00009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KV60" authorId="1" shapeId="0" xr:uid="{00000000-0006-0000-0E00-00009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KW60" authorId="1" shapeId="0" xr:uid="{00000000-0006-0000-0E00-00009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KX60" authorId="1" shapeId="0" xr:uid="{00000000-0006-0000-0E00-00009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KY60" authorId="1" shapeId="0" xr:uid="{00000000-0006-0000-0E00-00009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LP60" authorId="0" shapeId="0" xr:uid="{00000000-0006-0000-0E00-00009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LQ60" authorId="0" shapeId="0" xr:uid="{00000000-0006-0000-0E00-00009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LR60" authorId="1" shapeId="0" xr:uid="{00000000-0006-0000-0E00-0000A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LS60" authorId="0" shapeId="0" xr:uid="{00000000-0006-0000-0E00-0000A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LT60" authorId="1" shapeId="0" xr:uid="{00000000-0006-0000-0E00-0000A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LU60" authorId="1" shapeId="0" xr:uid="{00000000-0006-0000-0E00-0000A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LV60" authorId="1" shapeId="0" xr:uid="{00000000-0006-0000-0E00-0000A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LW60" authorId="1" shapeId="0" xr:uid="{00000000-0006-0000-0E00-0000A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MN60" authorId="0" shapeId="0" xr:uid="{00000000-0006-0000-0E00-0000A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MO60" authorId="0" shapeId="0" xr:uid="{00000000-0006-0000-0E00-0000A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MP60" authorId="1" shapeId="0" xr:uid="{00000000-0006-0000-0E00-0000A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MQ60" authorId="0" shapeId="0" xr:uid="{00000000-0006-0000-0E00-0000A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MR60" authorId="1" shapeId="0" xr:uid="{00000000-0006-0000-0E00-0000A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MS60" authorId="1" shapeId="0" xr:uid="{00000000-0006-0000-0E00-0000A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MT60" authorId="1" shapeId="0" xr:uid="{00000000-0006-0000-0E00-0000A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MU60" authorId="1" shapeId="0" xr:uid="{00000000-0006-0000-0E00-0000A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NL60" authorId="0" shapeId="0" xr:uid="{00000000-0006-0000-0E00-0000A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NM60" authorId="0" shapeId="0" xr:uid="{00000000-0006-0000-0E00-0000A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NN60" authorId="1" shapeId="0" xr:uid="{00000000-0006-0000-0E00-0000B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NO60" authorId="0" shapeId="0" xr:uid="{00000000-0006-0000-0E00-0000B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NP60" authorId="1" shapeId="0" xr:uid="{00000000-0006-0000-0E00-0000B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NQ60" authorId="1" shapeId="0" xr:uid="{00000000-0006-0000-0E00-0000B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NR60" authorId="1" shapeId="0" xr:uid="{00000000-0006-0000-0E00-0000B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NS60" authorId="1" shapeId="0" xr:uid="{00000000-0006-0000-0E00-0000B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OJ60" authorId="0" shapeId="0" xr:uid="{00000000-0006-0000-0E00-0000B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OK60" authorId="0" shapeId="0" xr:uid="{00000000-0006-0000-0E00-0000B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OL60" authorId="1" shapeId="0" xr:uid="{00000000-0006-0000-0E00-0000B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OM60" authorId="0" shapeId="0" xr:uid="{00000000-0006-0000-0E00-0000B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ON60" authorId="1" shapeId="0" xr:uid="{00000000-0006-0000-0E00-0000B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OO60" authorId="1" shapeId="0" xr:uid="{00000000-0006-0000-0E00-0000B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OP60" authorId="1" shapeId="0" xr:uid="{00000000-0006-0000-0E00-0000B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OQ60" authorId="1" shapeId="0" xr:uid="{00000000-0006-0000-0E00-0000B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PH60" authorId="0" shapeId="0" xr:uid="{00000000-0006-0000-0E00-0000B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PI60" authorId="0" shapeId="0" xr:uid="{00000000-0006-0000-0E00-0000B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PJ60" authorId="1" shapeId="0" xr:uid="{00000000-0006-0000-0E00-0000C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PK60" authorId="0" shapeId="0" xr:uid="{00000000-0006-0000-0E00-0000C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PL60" authorId="1" shapeId="0" xr:uid="{00000000-0006-0000-0E00-0000C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PM60" authorId="1" shapeId="0" xr:uid="{00000000-0006-0000-0E00-0000C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PN60" authorId="1" shapeId="0" xr:uid="{00000000-0006-0000-0E00-0000C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PO60" authorId="1" shapeId="0" xr:uid="{00000000-0006-0000-0E00-0000C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QF60" authorId="0" shapeId="0" xr:uid="{00000000-0006-0000-0E00-0000C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QG60" authorId="0" shapeId="0" xr:uid="{00000000-0006-0000-0E00-0000C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QH60" authorId="1" shapeId="0" xr:uid="{00000000-0006-0000-0E00-0000C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QI60" authorId="0" shapeId="0" xr:uid="{00000000-0006-0000-0E00-0000C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QJ60" authorId="1" shapeId="0" xr:uid="{00000000-0006-0000-0E00-0000C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QK60" authorId="1" shapeId="0" xr:uid="{00000000-0006-0000-0E00-0000C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QL60" authorId="1" shapeId="0" xr:uid="{00000000-0006-0000-0E00-0000C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QM60" authorId="1" shapeId="0" xr:uid="{00000000-0006-0000-0E00-0000C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RD60" authorId="0" shapeId="0" xr:uid="{00000000-0006-0000-0E00-0000CE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RE60" authorId="0" shapeId="0" xr:uid="{00000000-0006-0000-0E00-0000CF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RF60" authorId="1" shapeId="0" xr:uid="{00000000-0006-0000-0E00-0000D0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RG60" authorId="0" shapeId="0" xr:uid="{00000000-0006-0000-0E00-0000D1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RH60" authorId="1" shapeId="0" xr:uid="{00000000-0006-0000-0E00-0000D2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RI60" authorId="1" shapeId="0" xr:uid="{00000000-0006-0000-0E00-0000D3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RJ60" authorId="1" shapeId="0" xr:uid="{00000000-0006-0000-0E00-0000D4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RK60" authorId="1" shapeId="0" xr:uid="{00000000-0006-0000-0E00-0000D5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SB60" authorId="0" shapeId="0" xr:uid="{00000000-0006-0000-0E00-0000D6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SC60" authorId="0" shapeId="0" xr:uid="{00000000-0006-0000-0E00-0000D7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SD60" authorId="1" shapeId="0" xr:uid="{00000000-0006-0000-0E00-0000D8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SE60" authorId="0" shapeId="0" xr:uid="{00000000-0006-0000-0E00-0000D9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SF60" authorId="1" shapeId="0" xr:uid="{00000000-0006-0000-0E00-0000DA06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SG60" authorId="1" shapeId="0" xr:uid="{00000000-0006-0000-0E00-0000DB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SH60" authorId="1" shapeId="0" xr:uid="{00000000-0006-0000-0E00-0000DC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SI60" authorId="1" shapeId="0" xr:uid="{00000000-0006-0000-0E00-0000DD06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P61" authorId="0" shapeId="0" xr:uid="{00000000-0006-0000-0E00-0000DE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R61" authorId="1" shapeId="0" xr:uid="{00000000-0006-0000-0E00-0000DF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S61" authorId="0" shapeId="0" xr:uid="{00000000-0006-0000-0E00-0000E0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U61" authorId="1" shapeId="0" xr:uid="{00000000-0006-0000-0E00-0000E1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V61" authorId="1" shapeId="0" xr:uid="{00000000-0006-0000-0E00-0000E2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W61" authorId="1" shapeId="0" xr:uid="{00000000-0006-0000-0E00-0000E3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AN61" authorId="0" shapeId="0" xr:uid="{00000000-0006-0000-0E00-0000E4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AP61" authorId="1" shapeId="0" xr:uid="{00000000-0006-0000-0E00-0000E5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AQ61" authorId="0" shapeId="0" xr:uid="{00000000-0006-0000-0E00-0000E6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AS61" authorId="1" shapeId="0" xr:uid="{00000000-0006-0000-0E00-0000E7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AT61" authorId="1" shapeId="0" xr:uid="{00000000-0006-0000-0E00-0000E8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AU61" authorId="1" shapeId="0" xr:uid="{00000000-0006-0000-0E00-0000E9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BL61" authorId="0" shapeId="0" xr:uid="{00000000-0006-0000-0E00-0000EA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BN61" authorId="1" shapeId="0" xr:uid="{00000000-0006-0000-0E00-0000EB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BO61" authorId="0" shapeId="0" xr:uid="{00000000-0006-0000-0E00-0000EC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BQ61" authorId="1" shapeId="0" xr:uid="{00000000-0006-0000-0E00-0000ED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BR61" authorId="1" shapeId="0" xr:uid="{00000000-0006-0000-0E00-0000EE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BS61" authorId="1" shapeId="0" xr:uid="{00000000-0006-0000-0E00-0000EF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CJ61" authorId="0" shapeId="0" xr:uid="{00000000-0006-0000-0E00-0000F0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CL61" authorId="1" shapeId="0" xr:uid="{00000000-0006-0000-0E00-0000F1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CM61" authorId="0" shapeId="0" xr:uid="{00000000-0006-0000-0E00-0000F2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CO61" authorId="1" shapeId="0" xr:uid="{00000000-0006-0000-0E00-0000F3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CP61" authorId="1" shapeId="0" xr:uid="{00000000-0006-0000-0E00-0000F4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CQ61" authorId="1" shapeId="0" xr:uid="{00000000-0006-0000-0E00-0000F5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DH61" authorId="0" shapeId="0" xr:uid="{00000000-0006-0000-0E00-0000F6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DJ61" authorId="1" shapeId="0" xr:uid="{00000000-0006-0000-0E00-0000F7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DK61" authorId="0" shapeId="0" xr:uid="{00000000-0006-0000-0E00-0000F8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DM61" authorId="1" shapeId="0" xr:uid="{00000000-0006-0000-0E00-0000F9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DN61" authorId="1" shapeId="0" xr:uid="{00000000-0006-0000-0E00-0000FA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DO61" authorId="1" shapeId="0" xr:uid="{00000000-0006-0000-0E00-0000FB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EF61" authorId="0" shapeId="0" xr:uid="{00000000-0006-0000-0E00-0000FC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EH61" authorId="1" shapeId="0" xr:uid="{00000000-0006-0000-0E00-0000FD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EI61" authorId="0" shapeId="0" xr:uid="{00000000-0006-0000-0E00-0000FE06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EK61" authorId="1" shapeId="0" xr:uid="{00000000-0006-0000-0E00-0000FF06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EL61" authorId="1" shapeId="0" xr:uid="{00000000-0006-0000-0E00-000000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EM61" authorId="1" shapeId="0" xr:uid="{00000000-0006-0000-0E00-000001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FD61" authorId="0" shapeId="0" xr:uid="{00000000-0006-0000-0E00-000002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FF61" authorId="1" shapeId="0" xr:uid="{00000000-0006-0000-0E00-000003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FG61" authorId="0" shapeId="0" xr:uid="{00000000-0006-0000-0E00-000004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FI61" authorId="1" shapeId="0" xr:uid="{00000000-0006-0000-0E00-000005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FJ61" authorId="1" shapeId="0" xr:uid="{00000000-0006-0000-0E00-000006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FK61" authorId="1" shapeId="0" xr:uid="{00000000-0006-0000-0E00-000007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GB61" authorId="0" shapeId="0" xr:uid="{00000000-0006-0000-0E00-000008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GD61" authorId="1" shapeId="0" xr:uid="{00000000-0006-0000-0E00-000009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GE61" authorId="0" shapeId="0" xr:uid="{00000000-0006-0000-0E00-00000A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GG61" authorId="1" shapeId="0" xr:uid="{00000000-0006-0000-0E00-00000B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GH61" authorId="1" shapeId="0" xr:uid="{00000000-0006-0000-0E00-00000C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GI61" authorId="1" shapeId="0" xr:uid="{00000000-0006-0000-0E00-00000D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GZ61" authorId="0" shapeId="0" xr:uid="{00000000-0006-0000-0E00-00000E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HB61" authorId="1" shapeId="0" xr:uid="{00000000-0006-0000-0E00-00000F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HC61" authorId="0" shapeId="0" xr:uid="{00000000-0006-0000-0E00-000010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HE61" authorId="1" shapeId="0" xr:uid="{00000000-0006-0000-0E00-000011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HF61" authorId="1" shapeId="0" xr:uid="{00000000-0006-0000-0E00-000012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HG61" authorId="1" shapeId="0" xr:uid="{00000000-0006-0000-0E00-000013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HX61" authorId="0" shapeId="0" xr:uid="{00000000-0006-0000-0E00-000014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HZ61" authorId="1" shapeId="0" xr:uid="{00000000-0006-0000-0E00-000015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IA61" authorId="0" shapeId="0" xr:uid="{00000000-0006-0000-0E00-000016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IC61" authorId="1" shapeId="0" xr:uid="{00000000-0006-0000-0E00-000017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ID61" authorId="1" shapeId="0" xr:uid="{00000000-0006-0000-0E00-000018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IE61" authorId="1" shapeId="0" xr:uid="{00000000-0006-0000-0E00-000019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IV61" authorId="0" shapeId="0" xr:uid="{00000000-0006-0000-0E00-00001A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IW61" authorId="0" shapeId="0" xr:uid="{00000000-0006-0000-0E00-00001B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IX61" authorId="1" shapeId="0" xr:uid="{00000000-0006-0000-0E00-00001C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IY61" authorId="0" shapeId="0" xr:uid="{00000000-0006-0000-0E00-00001D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IZ61" authorId="1" shapeId="0" xr:uid="{00000000-0006-0000-0E00-00001E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JA61" authorId="1" shapeId="0" xr:uid="{00000000-0006-0000-0E00-00001F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JB61" authorId="1" shapeId="0" xr:uid="{00000000-0006-0000-0E00-000020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JC61" authorId="1" shapeId="0" xr:uid="{00000000-0006-0000-0E00-000021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JT61" authorId="0" shapeId="0" xr:uid="{00000000-0006-0000-0E00-000022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JV61" authorId="1" shapeId="0" xr:uid="{00000000-0006-0000-0E00-000023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JW61" authorId="0" shapeId="0" xr:uid="{00000000-0006-0000-0E00-000024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JY61" authorId="1" shapeId="0" xr:uid="{00000000-0006-0000-0E00-000025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JZ61" authorId="1" shapeId="0" xr:uid="{00000000-0006-0000-0E00-000026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KA61" authorId="1" shapeId="0" xr:uid="{00000000-0006-0000-0E00-000027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KR61" authorId="0" shapeId="0" xr:uid="{00000000-0006-0000-0E00-000028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KT61" authorId="1" shapeId="0" xr:uid="{00000000-0006-0000-0E00-000029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KU61" authorId="0" shapeId="0" xr:uid="{00000000-0006-0000-0E00-00002A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KW61" authorId="1" shapeId="0" xr:uid="{00000000-0006-0000-0E00-00002B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KX61" authorId="1" shapeId="0" xr:uid="{00000000-0006-0000-0E00-00002C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KY61" authorId="1" shapeId="0" xr:uid="{00000000-0006-0000-0E00-00002D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LP61" authorId="0" shapeId="0" xr:uid="{00000000-0006-0000-0E00-00002E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LR61" authorId="1" shapeId="0" xr:uid="{00000000-0006-0000-0E00-00002F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LS61" authorId="0" shapeId="0" xr:uid="{00000000-0006-0000-0E00-000030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LU61" authorId="1" shapeId="0" xr:uid="{00000000-0006-0000-0E00-000031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LV61" authorId="1" shapeId="0" xr:uid="{00000000-0006-0000-0E00-000032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LW61" authorId="1" shapeId="0" xr:uid="{00000000-0006-0000-0E00-000033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MN61" authorId="0" shapeId="0" xr:uid="{00000000-0006-0000-0E00-000034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MP61" authorId="1" shapeId="0" xr:uid="{00000000-0006-0000-0E00-000035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MQ61" authorId="0" shapeId="0" xr:uid="{00000000-0006-0000-0E00-000036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MS61" authorId="1" shapeId="0" xr:uid="{00000000-0006-0000-0E00-000037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MT61" authorId="1" shapeId="0" xr:uid="{00000000-0006-0000-0E00-000038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MU61" authorId="1" shapeId="0" xr:uid="{00000000-0006-0000-0E00-000039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NL61" authorId="0" shapeId="0" xr:uid="{00000000-0006-0000-0E00-00003A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NN61" authorId="1" shapeId="0" xr:uid="{00000000-0006-0000-0E00-00003B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NO61" authorId="0" shapeId="0" xr:uid="{00000000-0006-0000-0E00-00003C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NQ61" authorId="1" shapeId="0" xr:uid="{00000000-0006-0000-0E00-00003D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NR61" authorId="1" shapeId="0" xr:uid="{00000000-0006-0000-0E00-00003E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NS61" authorId="1" shapeId="0" xr:uid="{00000000-0006-0000-0E00-00003F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OJ61" authorId="0" shapeId="0" xr:uid="{00000000-0006-0000-0E00-000040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OL61" authorId="1" shapeId="0" xr:uid="{00000000-0006-0000-0E00-000041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OM61" authorId="0" shapeId="0" xr:uid="{00000000-0006-0000-0E00-000042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OO61" authorId="1" shapeId="0" xr:uid="{00000000-0006-0000-0E00-000043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OP61" authorId="1" shapeId="0" xr:uid="{00000000-0006-0000-0E00-000044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OQ61" authorId="1" shapeId="0" xr:uid="{00000000-0006-0000-0E00-000045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PH61" authorId="0" shapeId="0" xr:uid="{00000000-0006-0000-0E00-000046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PJ61" authorId="1" shapeId="0" xr:uid="{00000000-0006-0000-0E00-000047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PK61" authorId="0" shapeId="0" xr:uid="{00000000-0006-0000-0E00-000048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PM61" authorId="1" shapeId="0" xr:uid="{00000000-0006-0000-0E00-000049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PN61" authorId="1" shapeId="0" xr:uid="{00000000-0006-0000-0E00-00004A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PO61" authorId="1" shapeId="0" xr:uid="{00000000-0006-0000-0E00-00004B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QF61" authorId="0" shapeId="0" xr:uid="{00000000-0006-0000-0E00-00004C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QH61" authorId="1" shapeId="0" xr:uid="{00000000-0006-0000-0E00-00004D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QI61" authorId="0" shapeId="0" xr:uid="{00000000-0006-0000-0E00-00004E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QK61" authorId="1" shapeId="0" xr:uid="{00000000-0006-0000-0E00-00004F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QL61" authorId="1" shapeId="0" xr:uid="{00000000-0006-0000-0E00-000050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QM61" authorId="1" shapeId="0" xr:uid="{00000000-0006-0000-0E00-000051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RD61" authorId="0" shapeId="0" xr:uid="{00000000-0006-0000-0E00-000052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RF61" authorId="1" shapeId="0" xr:uid="{00000000-0006-0000-0E00-000053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RG61" authorId="0" shapeId="0" xr:uid="{00000000-0006-0000-0E00-000054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RI61" authorId="1" shapeId="0" xr:uid="{00000000-0006-0000-0E00-000055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RJ61" authorId="1" shapeId="0" xr:uid="{00000000-0006-0000-0E00-000056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RK61" authorId="1" shapeId="0" xr:uid="{00000000-0006-0000-0E00-000057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SB61" authorId="0" shapeId="0" xr:uid="{00000000-0006-0000-0E00-000058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SD61" authorId="1" shapeId="0" xr:uid="{00000000-0006-0000-0E00-000059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SE61" authorId="0" shapeId="0" xr:uid="{00000000-0006-0000-0E00-00005A07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SG61" authorId="1" shapeId="0" xr:uid="{00000000-0006-0000-0E00-00005B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SH61" authorId="1" shapeId="0" xr:uid="{00000000-0006-0000-0E00-00005C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SI61" authorId="1" shapeId="0" xr:uid="{00000000-0006-0000-0E00-00005D07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R62" authorId="1" shapeId="0" xr:uid="{00000000-0006-0000-0E00-00005E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S62" authorId="0" shapeId="0" xr:uid="{00000000-0006-0000-0E00-00005F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T62" authorId="1" shapeId="0" xr:uid="{00000000-0006-0000-0E00-000060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U62" authorId="1" shapeId="0" xr:uid="{00000000-0006-0000-0E00-000061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V62" authorId="1" shapeId="0" xr:uid="{00000000-0006-0000-0E00-000062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W62" authorId="1" shapeId="0" xr:uid="{00000000-0006-0000-0E00-000063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AP62" authorId="1" shapeId="0" xr:uid="{00000000-0006-0000-0E00-000064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AQ62" authorId="0" shapeId="0" xr:uid="{00000000-0006-0000-0E00-000065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AR62" authorId="1" shapeId="0" xr:uid="{00000000-0006-0000-0E00-000066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AS62" authorId="1" shapeId="0" xr:uid="{00000000-0006-0000-0E00-000067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AT62" authorId="1" shapeId="0" xr:uid="{00000000-0006-0000-0E00-000068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AU62" authorId="1" shapeId="0" xr:uid="{00000000-0006-0000-0E00-000069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BN62" authorId="1" shapeId="0" xr:uid="{00000000-0006-0000-0E00-00006A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BO62" authorId="0" shapeId="0" xr:uid="{00000000-0006-0000-0E00-00006B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BP62" authorId="1" shapeId="0" xr:uid="{00000000-0006-0000-0E00-00006C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BQ62" authorId="1" shapeId="0" xr:uid="{00000000-0006-0000-0E00-00006D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BR62" authorId="1" shapeId="0" xr:uid="{00000000-0006-0000-0E00-00006E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BS62" authorId="1" shapeId="0" xr:uid="{00000000-0006-0000-0E00-00006F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CL62" authorId="1" shapeId="0" xr:uid="{00000000-0006-0000-0E00-000070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CM62" authorId="0" shapeId="0" xr:uid="{00000000-0006-0000-0E00-000071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CN62" authorId="1" shapeId="0" xr:uid="{00000000-0006-0000-0E00-000072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CO62" authorId="1" shapeId="0" xr:uid="{00000000-0006-0000-0E00-000073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CP62" authorId="1" shapeId="0" xr:uid="{00000000-0006-0000-0E00-000074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CQ62" authorId="1" shapeId="0" xr:uid="{00000000-0006-0000-0E00-000075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DJ62" authorId="1" shapeId="0" xr:uid="{00000000-0006-0000-0E00-000076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DK62" authorId="0" shapeId="0" xr:uid="{00000000-0006-0000-0E00-000077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DL62" authorId="1" shapeId="0" xr:uid="{00000000-0006-0000-0E00-000078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DM62" authorId="1" shapeId="0" xr:uid="{00000000-0006-0000-0E00-000079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DN62" authorId="1" shapeId="0" xr:uid="{00000000-0006-0000-0E00-00007A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DO62" authorId="1" shapeId="0" xr:uid="{00000000-0006-0000-0E00-00007B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EH62" authorId="1" shapeId="0" xr:uid="{00000000-0006-0000-0E00-00007C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EI62" authorId="0" shapeId="0" xr:uid="{00000000-0006-0000-0E00-00007D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EJ62" authorId="1" shapeId="0" xr:uid="{00000000-0006-0000-0E00-00007E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EK62" authorId="1" shapeId="0" xr:uid="{00000000-0006-0000-0E00-00007F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EL62" authorId="1" shapeId="0" xr:uid="{00000000-0006-0000-0E00-000080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EM62" authorId="1" shapeId="0" xr:uid="{00000000-0006-0000-0E00-000081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FF62" authorId="1" shapeId="0" xr:uid="{00000000-0006-0000-0E00-000082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FG62" authorId="0" shapeId="0" xr:uid="{00000000-0006-0000-0E00-000083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FH62" authorId="1" shapeId="0" xr:uid="{00000000-0006-0000-0E00-000084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FI62" authorId="1" shapeId="0" xr:uid="{00000000-0006-0000-0E00-000085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FJ62" authorId="1" shapeId="0" xr:uid="{00000000-0006-0000-0E00-000086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FK62" authorId="1" shapeId="0" xr:uid="{00000000-0006-0000-0E00-000087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GD62" authorId="1" shapeId="0" xr:uid="{00000000-0006-0000-0E00-000088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GE62" authorId="0" shapeId="0" xr:uid="{00000000-0006-0000-0E00-000089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GF62" authorId="1" shapeId="0" xr:uid="{00000000-0006-0000-0E00-00008A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GG62" authorId="1" shapeId="0" xr:uid="{00000000-0006-0000-0E00-00008B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GH62" authorId="1" shapeId="0" xr:uid="{00000000-0006-0000-0E00-00008C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GI62" authorId="1" shapeId="0" xr:uid="{00000000-0006-0000-0E00-00008D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HB62" authorId="1" shapeId="0" xr:uid="{00000000-0006-0000-0E00-00008E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HC62" authorId="0" shapeId="0" xr:uid="{00000000-0006-0000-0E00-00008F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HD62" authorId="1" shapeId="0" xr:uid="{00000000-0006-0000-0E00-000090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HE62" authorId="1" shapeId="0" xr:uid="{00000000-0006-0000-0E00-000091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HF62" authorId="1" shapeId="0" xr:uid="{00000000-0006-0000-0E00-000092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HG62" authorId="1" shapeId="0" xr:uid="{00000000-0006-0000-0E00-000093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HZ62" authorId="1" shapeId="0" xr:uid="{00000000-0006-0000-0E00-000094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IA62" authorId="0" shapeId="0" xr:uid="{00000000-0006-0000-0E00-000095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IB62" authorId="1" shapeId="0" xr:uid="{00000000-0006-0000-0E00-000096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IC62" authorId="1" shapeId="0" xr:uid="{00000000-0006-0000-0E00-000097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ID62" authorId="1" shapeId="0" xr:uid="{00000000-0006-0000-0E00-000098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IE62" authorId="1" shapeId="0" xr:uid="{00000000-0006-0000-0E00-000099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IV62" authorId="0" shapeId="0" xr:uid="{00000000-0006-0000-0E00-00009A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IW62" authorId="0" shapeId="0" xr:uid="{00000000-0006-0000-0E00-00009B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IX62" authorId="1" shapeId="0" xr:uid="{00000000-0006-0000-0E00-00009C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IY62" authorId="0" shapeId="0" xr:uid="{00000000-0006-0000-0E00-00009D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IZ62" authorId="1" shapeId="0" xr:uid="{00000000-0006-0000-0E00-00009E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JA62" authorId="1" shapeId="0" xr:uid="{00000000-0006-0000-0E00-00009F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JB62" authorId="1" shapeId="0" xr:uid="{00000000-0006-0000-0E00-0000A0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JC62" authorId="1" shapeId="0" xr:uid="{00000000-0006-0000-0E00-0000A1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JV62" authorId="1" shapeId="0" xr:uid="{00000000-0006-0000-0E00-0000A2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JW62" authorId="0" shapeId="0" xr:uid="{00000000-0006-0000-0E00-0000A3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JX62" authorId="1" shapeId="0" xr:uid="{00000000-0006-0000-0E00-0000A4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JY62" authorId="1" shapeId="0" xr:uid="{00000000-0006-0000-0E00-0000A5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JZ62" authorId="1" shapeId="0" xr:uid="{00000000-0006-0000-0E00-0000A6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KA62" authorId="1" shapeId="0" xr:uid="{00000000-0006-0000-0E00-0000A7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KT62" authorId="1" shapeId="0" xr:uid="{00000000-0006-0000-0E00-0000A8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KU62" authorId="0" shapeId="0" xr:uid="{00000000-0006-0000-0E00-0000A9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KV62" authorId="1" shapeId="0" xr:uid="{00000000-0006-0000-0E00-0000AA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KW62" authorId="1" shapeId="0" xr:uid="{00000000-0006-0000-0E00-0000AB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KX62" authorId="1" shapeId="0" xr:uid="{00000000-0006-0000-0E00-0000AC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KY62" authorId="1" shapeId="0" xr:uid="{00000000-0006-0000-0E00-0000AD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LR62" authorId="1" shapeId="0" xr:uid="{00000000-0006-0000-0E00-0000AE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LS62" authorId="0" shapeId="0" xr:uid="{00000000-0006-0000-0E00-0000AF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LT62" authorId="1" shapeId="0" xr:uid="{00000000-0006-0000-0E00-0000B0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LU62" authorId="1" shapeId="0" xr:uid="{00000000-0006-0000-0E00-0000B1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LV62" authorId="1" shapeId="0" xr:uid="{00000000-0006-0000-0E00-0000B2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LW62" authorId="1" shapeId="0" xr:uid="{00000000-0006-0000-0E00-0000B3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MP62" authorId="1" shapeId="0" xr:uid="{00000000-0006-0000-0E00-0000B4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MQ62" authorId="0" shapeId="0" xr:uid="{00000000-0006-0000-0E00-0000B5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MR62" authorId="1" shapeId="0" xr:uid="{00000000-0006-0000-0E00-0000B6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MS62" authorId="1" shapeId="0" xr:uid="{00000000-0006-0000-0E00-0000B7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MT62" authorId="1" shapeId="0" xr:uid="{00000000-0006-0000-0E00-0000B8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MU62" authorId="1" shapeId="0" xr:uid="{00000000-0006-0000-0E00-0000B9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NN62" authorId="1" shapeId="0" xr:uid="{00000000-0006-0000-0E00-0000BA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NO62" authorId="0" shapeId="0" xr:uid="{00000000-0006-0000-0E00-0000BB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NP62" authorId="1" shapeId="0" xr:uid="{00000000-0006-0000-0E00-0000BC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NQ62" authorId="1" shapeId="0" xr:uid="{00000000-0006-0000-0E00-0000BD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NR62" authorId="1" shapeId="0" xr:uid="{00000000-0006-0000-0E00-0000BE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NS62" authorId="1" shapeId="0" xr:uid="{00000000-0006-0000-0E00-0000BF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OL62" authorId="1" shapeId="0" xr:uid="{00000000-0006-0000-0E00-0000C0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OM62" authorId="0" shapeId="0" xr:uid="{00000000-0006-0000-0E00-0000C1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ON62" authorId="1" shapeId="0" xr:uid="{00000000-0006-0000-0E00-0000C2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OO62" authorId="1" shapeId="0" xr:uid="{00000000-0006-0000-0E00-0000C3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OP62" authorId="1" shapeId="0" xr:uid="{00000000-0006-0000-0E00-0000C4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OQ62" authorId="1" shapeId="0" xr:uid="{00000000-0006-0000-0E00-0000C5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PJ62" authorId="1" shapeId="0" xr:uid="{00000000-0006-0000-0E00-0000C6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PK62" authorId="0" shapeId="0" xr:uid="{00000000-0006-0000-0E00-0000C7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PL62" authorId="1" shapeId="0" xr:uid="{00000000-0006-0000-0E00-0000C8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PM62" authorId="1" shapeId="0" xr:uid="{00000000-0006-0000-0E00-0000C9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PN62" authorId="1" shapeId="0" xr:uid="{00000000-0006-0000-0E00-0000CA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PO62" authorId="1" shapeId="0" xr:uid="{00000000-0006-0000-0E00-0000CB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QH62" authorId="1" shapeId="0" xr:uid="{00000000-0006-0000-0E00-0000CC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QI62" authorId="0" shapeId="0" xr:uid="{00000000-0006-0000-0E00-0000CD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QJ62" authorId="1" shapeId="0" xr:uid="{00000000-0006-0000-0E00-0000CE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QK62" authorId="1" shapeId="0" xr:uid="{00000000-0006-0000-0E00-0000CF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QL62" authorId="1" shapeId="0" xr:uid="{00000000-0006-0000-0E00-0000D0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QM62" authorId="1" shapeId="0" xr:uid="{00000000-0006-0000-0E00-0000D1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RF62" authorId="1" shapeId="0" xr:uid="{00000000-0006-0000-0E00-0000D2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RG62" authorId="0" shapeId="0" xr:uid="{00000000-0006-0000-0E00-0000D3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RH62" authorId="1" shapeId="0" xr:uid="{00000000-0006-0000-0E00-0000D4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RI62" authorId="1" shapeId="0" xr:uid="{00000000-0006-0000-0E00-0000D5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RJ62" authorId="1" shapeId="0" xr:uid="{00000000-0006-0000-0E00-0000D6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RK62" authorId="1" shapeId="0" xr:uid="{00000000-0006-0000-0E00-0000D7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SD62" authorId="1" shapeId="0" xr:uid="{00000000-0006-0000-0E00-0000D8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SE62" authorId="0" shapeId="0" xr:uid="{00000000-0006-0000-0E00-0000D9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SF62" authorId="1" shapeId="0" xr:uid="{00000000-0006-0000-0E00-0000DA07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SG62" authorId="1" shapeId="0" xr:uid="{00000000-0006-0000-0E00-0000DB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SH62" authorId="1" shapeId="0" xr:uid="{00000000-0006-0000-0E00-0000DC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SI62" authorId="1" shapeId="0" xr:uid="{00000000-0006-0000-0E00-0000DD07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O63" authorId="0" shapeId="0" xr:uid="{00000000-0006-0000-0E00-0000DE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P63" authorId="0" shapeId="0" xr:uid="{00000000-0006-0000-0E00-0000DF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Q63" authorId="0" shapeId="0" xr:uid="{00000000-0006-0000-0E00-0000E0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R63" authorId="1" shapeId="0" xr:uid="{00000000-0006-0000-0E00-0000E1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T63" authorId="1" shapeId="0" xr:uid="{00000000-0006-0000-0E00-0000E2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U63" authorId="1" shapeId="0" xr:uid="{00000000-0006-0000-0E00-0000E3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V63" authorId="1" shapeId="0" xr:uid="{00000000-0006-0000-0E00-0000E4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W63" authorId="1" shapeId="0" xr:uid="{00000000-0006-0000-0E00-0000E5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M63" authorId="0" shapeId="0" xr:uid="{00000000-0006-0000-0E00-0000E6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N63" authorId="0" shapeId="0" xr:uid="{00000000-0006-0000-0E00-0000E7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O63" authorId="0" shapeId="0" xr:uid="{00000000-0006-0000-0E00-0000E8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P63" authorId="1" shapeId="0" xr:uid="{00000000-0006-0000-0E00-0000E9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R63" authorId="1" shapeId="0" xr:uid="{00000000-0006-0000-0E00-0000EA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S63" authorId="1" shapeId="0" xr:uid="{00000000-0006-0000-0E00-0000EB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T63" authorId="1" shapeId="0" xr:uid="{00000000-0006-0000-0E00-0000EC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U63" authorId="1" shapeId="0" xr:uid="{00000000-0006-0000-0E00-0000ED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K63" authorId="0" shapeId="0" xr:uid="{00000000-0006-0000-0E00-0000EE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L63" authorId="0" shapeId="0" xr:uid="{00000000-0006-0000-0E00-0000EF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M63" authorId="0" shapeId="0" xr:uid="{00000000-0006-0000-0E00-0000F0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N63" authorId="1" shapeId="0" xr:uid="{00000000-0006-0000-0E00-0000F1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P63" authorId="1" shapeId="0" xr:uid="{00000000-0006-0000-0E00-0000F2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Q63" authorId="1" shapeId="0" xr:uid="{00000000-0006-0000-0E00-0000F3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R63" authorId="1" shapeId="0" xr:uid="{00000000-0006-0000-0E00-0000F4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S63" authorId="1" shapeId="0" xr:uid="{00000000-0006-0000-0E00-0000F5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I63" authorId="0" shapeId="0" xr:uid="{00000000-0006-0000-0E00-0000F6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J63" authorId="0" shapeId="0" xr:uid="{00000000-0006-0000-0E00-0000F7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K63" authorId="0" shapeId="0" xr:uid="{00000000-0006-0000-0E00-0000F8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L63" authorId="1" shapeId="0" xr:uid="{00000000-0006-0000-0E00-0000F9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N63" authorId="1" shapeId="0" xr:uid="{00000000-0006-0000-0E00-0000FA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O63" authorId="1" shapeId="0" xr:uid="{00000000-0006-0000-0E00-0000FB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P63" authorId="1" shapeId="0" xr:uid="{00000000-0006-0000-0E00-0000FC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Q63" authorId="1" shapeId="0" xr:uid="{00000000-0006-0000-0E00-0000FD07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G63" authorId="0" shapeId="0" xr:uid="{00000000-0006-0000-0E00-0000FE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H63" authorId="0" shapeId="0" xr:uid="{00000000-0006-0000-0E00-0000FF07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I63" authorId="0" shapeId="0" xr:uid="{00000000-0006-0000-0E00-000000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J63" authorId="1" shapeId="0" xr:uid="{00000000-0006-0000-0E00-000001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L63" authorId="1" shapeId="0" xr:uid="{00000000-0006-0000-0E00-000002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M63" authorId="1" shapeId="0" xr:uid="{00000000-0006-0000-0E00-000003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N63" authorId="1" shapeId="0" xr:uid="{00000000-0006-0000-0E00-000004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O63" authorId="1" shapeId="0" xr:uid="{00000000-0006-0000-0E00-000005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E63" authorId="0" shapeId="0" xr:uid="{00000000-0006-0000-0E00-000006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F63" authorId="0" shapeId="0" xr:uid="{00000000-0006-0000-0E00-000007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G63" authorId="0" shapeId="0" xr:uid="{00000000-0006-0000-0E00-000008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H63" authorId="1" shapeId="0" xr:uid="{00000000-0006-0000-0E00-000009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J63" authorId="1" shapeId="0" xr:uid="{00000000-0006-0000-0E00-00000A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K63" authorId="1" shapeId="0" xr:uid="{00000000-0006-0000-0E00-00000B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L63" authorId="1" shapeId="0" xr:uid="{00000000-0006-0000-0E00-00000C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M63" authorId="1" shapeId="0" xr:uid="{00000000-0006-0000-0E00-00000D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C63" authorId="0" shapeId="0" xr:uid="{00000000-0006-0000-0E00-00000E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D63" authorId="0" shapeId="0" xr:uid="{00000000-0006-0000-0E00-00000F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E63" authorId="0" shapeId="0" xr:uid="{00000000-0006-0000-0E00-000010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F63" authorId="1" shapeId="0" xr:uid="{00000000-0006-0000-0E00-000011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H63" authorId="1" shapeId="0" xr:uid="{00000000-0006-0000-0E00-000012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I63" authorId="1" shapeId="0" xr:uid="{00000000-0006-0000-0E00-000013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J63" authorId="1" shapeId="0" xr:uid="{00000000-0006-0000-0E00-000014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K63" authorId="1" shapeId="0" xr:uid="{00000000-0006-0000-0E00-000015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GA63" authorId="0" shapeId="0" xr:uid="{00000000-0006-0000-0E00-000016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B63" authorId="0" shapeId="0" xr:uid="{00000000-0006-0000-0E00-000017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C63" authorId="0" shapeId="0" xr:uid="{00000000-0006-0000-0E00-000018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D63" authorId="1" shapeId="0" xr:uid="{00000000-0006-0000-0E00-000019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F63" authorId="1" shapeId="0" xr:uid="{00000000-0006-0000-0E00-00001A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G63" authorId="1" shapeId="0" xr:uid="{00000000-0006-0000-0E00-00001B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GH63" authorId="1" shapeId="0" xr:uid="{00000000-0006-0000-0E00-00001C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GI63" authorId="1" shapeId="0" xr:uid="{00000000-0006-0000-0E00-00001D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GY63" authorId="0" shapeId="0" xr:uid="{00000000-0006-0000-0E00-00001E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GZ63" authorId="0" shapeId="0" xr:uid="{00000000-0006-0000-0E00-00001F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HA63" authorId="0" shapeId="0" xr:uid="{00000000-0006-0000-0E00-000020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HB63" authorId="1" shapeId="0" xr:uid="{00000000-0006-0000-0E00-000021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HD63" authorId="1" shapeId="0" xr:uid="{00000000-0006-0000-0E00-000022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HE63" authorId="1" shapeId="0" xr:uid="{00000000-0006-0000-0E00-000023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HF63" authorId="1" shapeId="0" xr:uid="{00000000-0006-0000-0E00-000024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HG63" authorId="1" shapeId="0" xr:uid="{00000000-0006-0000-0E00-000025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HW63" authorId="0" shapeId="0" xr:uid="{00000000-0006-0000-0E00-000026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HX63" authorId="0" shapeId="0" xr:uid="{00000000-0006-0000-0E00-000027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HY63" authorId="0" shapeId="0" xr:uid="{00000000-0006-0000-0E00-000028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HZ63" authorId="1" shapeId="0" xr:uid="{00000000-0006-0000-0E00-000029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IB63" authorId="1" shapeId="0" xr:uid="{00000000-0006-0000-0E00-00002A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IC63" authorId="1" shapeId="0" xr:uid="{00000000-0006-0000-0E00-00002B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ID63" authorId="1" shapeId="0" xr:uid="{00000000-0006-0000-0E00-00002C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IE63" authorId="1" shapeId="0" xr:uid="{00000000-0006-0000-0E00-00002D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IU63" authorId="0" shapeId="0" xr:uid="{00000000-0006-0000-0E00-00002E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IV63" authorId="0" shapeId="0" xr:uid="{00000000-0006-0000-0E00-00002F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IW63" authorId="0" shapeId="0" xr:uid="{00000000-0006-0000-0E00-000030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IX63" authorId="1" shapeId="0" xr:uid="{00000000-0006-0000-0E00-000031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IY63" authorId="0" shapeId="0" xr:uid="{00000000-0006-0000-0E00-000032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IZ63" authorId="1" shapeId="0" xr:uid="{00000000-0006-0000-0E00-000033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JA63" authorId="1" shapeId="0" xr:uid="{00000000-0006-0000-0E00-000034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JB63" authorId="1" shapeId="0" xr:uid="{00000000-0006-0000-0E00-000035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JC63" authorId="1" shapeId="0" xr:uid="{00000000-0006-0000-0E00-000036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JS63" authorId="0" shapeId="0" xr:uid="{00000000-0006-0000-0E00-000037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JT63" authorId="0" shapeId="0" xr:uid="{00000000-0006-0000-0E00-000038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JU63" authorId="0" shapeId="0" xr:uid="{00000000-0006-0000-0E00-000039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JV63" authorId="1" shapeId="0" xr:uid="{00000000-0006-0000-0E00-00003A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JX63" authorId="1" shapeId="0" xr:uid="{00000000-0006-0000-0E00-00003B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JY63" authorId="1" shapeId="0" xr:uid="{00000000-0006-0000-0E00-00003C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JZ63" authorId="1" shapeId="0" xr:uid="{00000000-0006-0000-0E00-00003D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KA63" authorId="1" shapeId="0" xr:uid="{00000000-0006-0000-0E00-00003E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KQ63" authorId="0" shapeId="0" xr:uid="{00000000-0006-0000-0E00-00003F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KR63" authorId="0" shapeId="0" xr:uid="{00000000-0006-0000-0E00-000040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KS63" authorId="0" shapeId="0" xr:uid="{00000000-0006-0000-0E00-000041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KT63" authorId="1" shapeId="0" xr:uid="{00000000-0006-0000-0E00-000042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KV63" authorId="1" shapeId="0" xr:uid="{00000000-0006-0000-0E00-000043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KW63" authorId="1" shapeId="0" xr:uid="{00000000-0006-0000-0E00-000044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KX63" authorId="1" shapeId="0" xr:uid="{00000000-0006-0000-0E00-000045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KY63" authorId="1" shapeId="0" xr:uid="{00000000-0006-0000-0E00-000046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LO63" authorId="0" shapeId="0" xr:uid="{00000000-0006-0000-0E00-000047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LP63" authorId="0" shapeId="0" xr:uid="{00000000-0006-0000-0E00-000048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LQ63" authorId="0" shapeId="0" xr:uid="{00000000-0006-0000-0E00-000049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LR63" authorId="1" shapeId="0" xr:uid="{00000000-0006-0000-0E00-00004A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LT63" authorId="1" shapeId="0" xr:uid="{00000000-0006-0000-0E00-00004B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LU63" authorId="1" shapeId="0" xr:uid="{00000000-0006-0000-0E00-00004C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LV63" authorId="1" shapeId="0" xr:uid="{00000000-0006-0000-0E00-00004D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LW63" authorId="1" shapeId="0" xr:uid="{00000000-0006-0000-0E00-00004E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MM63" authorId="0" shapeId="0" xr:uid="{00000000-0006-0000-0E00-00004F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MN63" authorId="0" shapeId="0" xr:uid="{00000000-0006-0000-0E00-000050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MO63" authorId="0" shapeId="0" xr:uid="{00000000-0006-0000-0E00-000051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MP63" authorId="1" shapeId="0" xr:uid="{00000000-0006-0000-0E00-000052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MR63" authorId="1" shapeId="0" xr:uid="{00000000-0006-0000-0E00-000053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MS63" authorId="1" shapeId="0" xr:uid="{00000000-0006-0000-0E00-000054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MT63" authorId="1" shapeId="0" xr:uid="{00000000-0006-0000-0E00-000055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MU63" authorId="1" shapeId="0" xr:uid="{00000000-0006-0000-0E00-000056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NK63" authorId="0" shapeId="0" xr:uid="{00000000-0006-0000-0E00-000057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NL63" authorId="0" shapeId="0" xr:uid="{00000000-0006-0000-0E00-000058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NM63" authorId="0" shapeId="0" xr:uid="{00000000-0006-0000-0E00-000059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NN63" authorId="1" shapeId="0" xr:uid="{00000000-0006-0000-0E00-00005A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NP63" authorId="1" shapeId="0" xr:uid="{00000000-0006-0000-0E00-00005B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NQ63" authorId="1" shapeId="0" xr:uid="{00000000-0006-0000-0E00-00005C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NR63" authorId="1" shapeId="0" xr:uid="{00000000-0006-0000-0E00-00005D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NS63" authorId="1" shapeId="0" xr:uid="{00000000-0006-0000-0E00-00005E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OI63" authorId="0" shapeId="0" xr:uid="{00000000-0006-0000-0E00-00005F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OJ63" authorId="0" shapeId="0" xr:uid="{00000000-0006-0000-0E00-000060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OK63" authorId="0" shapeId="0" xr:uid="{00000000-0006-0000-0E00-000061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OL63" authorId="1" shapeId="0" xr:uid="{00000000-0006-0000-0E00-000062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ON63" authorId="1" shapeId="0" xr:uid="{00000000-0006-0000-0E00-000063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OO63" authorId="1" shapeId="0" xr:uid="{00000000-0006-0000-0E00-000064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OP63" authorId="1" shapeId="0" xr:uid="{00000000-0006-0000-0E00-000065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OQ63" authorId="1" shapeId="0" xr:uid="{00000000-0006-0000-0E00-000066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PG63" authorId="0" shapeId="0" xr:uid="{00000000-0006-0000-0E00-000067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PH63" authorId="0" shapeId="0" xr:uid="{00000000-0006-0000-0E00-000068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PI63" authorId="0" shapeId="0" xr:uid="{00000000-0006-0000-0E00-000069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PJ63" authorId="1" shapeId="0" xr:uid="{00000000-0006-0000-0E00-00006A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PL63" authorId="1" shapeId="0" xr:uid="{00000000-0006-0000-0E00-00006B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PM63" authorId="1" shapeId="0" xr:uid="{00000000-0006-0000-0E00-00006C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PN63" authorId="1" shapeId="0" xr:uid="{00000000-0006-0000-0E00-00006D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PO63" authorId="1" shapeId="0" xr:uid="{00000000-0006-0000-0E00-00006E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QE63" authorId="0" shapeId="0" xr:uid="{00000000-0006-0000-0E00-00006F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QF63" authorId="0" shapeId="0" xr:uid="{00000000-0006-0000-0E00-000070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QG63" authorId="0" shapeId="0" xr:uid="{00000000-0006-0000-0E00-000071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QH63" authorId="1" shapeId="0" xr:uid="{00000000-0006-0000-0E00-000072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QJ63" authorId="1" shapeId="0" xr:uid="{00000000-0006-0000-0E00-000073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QK63" authorId="1" shapeId="0" xr:uid="{00000000-0006-0000-0E00-000074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QL63" authorId="1" shapeId="0" xr:uid="{00000000-0006-0000-0E00-000075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QM63" authorId="1" shapeId="0" xr:uid="{00000000-0006-0000-0E00-000076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RC63" authorId="0" shapeId="0" xr:uid="{00000000-0006-0000-0E00-000077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RD63" authorId="0" shapeId="0" xr:uid="{00000000-0006-0000-0E00-000078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RE63" authorId="0" shapeId="0" xr:uid="{00000000-0006-0000-0E00-000079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RF63" authorId="1" shapeId="0" xr:uid="{00000000-0006-0000-0E00-00007A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RH63" authorId="1" shapeId="0" xr:uid="{00000000-0006-0000-0E00-00007B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RI63" authorId="1" shapeId="0" xr:uid="{00000000-0006-0000-0E00-00007C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RJ63" authorId="1" shapeId="0" xr:uid="{00000000-0006-0000-0E00-00007D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RK63" authorId="1" shapeId="0" xr:uid="{00000000-0006-0000-0E00-00007E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SA63" authorId="0" shapeId="0" xr:uid="{00000000-0006-0000-0E00-00007F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SB63" authorId="0" shapeId="0" xr:uid="{00000000-0006-0000-0E00-000080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SC63" authorId="0" shapeId="0" xr:uid="{00000000-0006-0000-0E00-000081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SD63" authorId="1" shapeId="0" xr:uid="{00000000-0006-0000-0E00-000082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SF63" authorId="1" shapeId="0" xr:uid="{00000000-0006-0000-0E00-00008308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SG63" authorId="1" shapeId="0" xr:uid="{00000000-0006-0000-0E00-000084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SH63" authorId="1" shapeId="0" xr:uid="{00000000-0006-0000-0E00-000085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SI63" authorId="1" shapeId="0" xr:uid="{00000000-0006-0000-0E00-00008608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IV64" authorId="0" shapeId="0" xr:uid="{00000000-0006-0000-0E00-000087080000}">
      <text>
        <r>
          <rPr>
            <sz val="9"/>
            <color indexed="81"/>
            <rFont val="Tahoma"/>
            <family val="2"/>
          </rPr>
          <t>Could not find source file for McDonald county.</t>
        </r>
      </text>
    </comment>
    <comment ref="IW64" authorId="0" shapeId="0" xr:uid="{00000000-0006-0000-0E00-000088080000}">
      <text>
        <r>
          <rPr>
            <sz val="9"/>
            <color indexed="81"/>
            <rFont val="Tahoma"/>
            <family val="2"/>
          </rPr>
          <t>Could not find source file for McDonald county.</t>
        </r>
      </text>
    </comment>
    <comment ref="IX64" authorId="1" shapeId="0" xr:uid="{00000000-0006-0000-0E00-000089080000}">
      <text>
        <r>
          <rPr>
            <sz val="9"/>
            <color indexed="81"/>
            <rFont val="Tahoma"/>
            <family val="2"/>
          </rPr>
          <t>Could not find source file for McDonald county.</t>
        </r>
      </text>
    </comment>
    <comment ref="IY64" authorId="0" shapeId="0" xr:uid="{00000000-0006-0000-0E00-00008A080000}">
      <text>
        <r>
          <rPr>
            <sz val="9"/>
            <color indexed="81"/>
            <rFont val="Tahoma"/>
            <family val="2"/>
          </rPr>
          <t>Could not find source file for McDonald county.</t>
        </r>
      </text>
    </comment>
    <comment ref="IZ64" authorId="1" shapeId="0" xr:uid="{00000000-0006-0000-0E00-00008B080000}">
      <text>
        <r>
          <rPr>
            <sz val="9"/>
            <color indexed="81"/>
            <rFont val="Tahoma"/>
            <family val="2"/>
          </rPr>
          <t>Could not find source file for McDonald county.</t>
        </r>
      </text>
    </comment>
    <comment ref="JA64" authorId="1" shapeId="0" xr:uid="{00000000-0006-0000-0E00-00008C080000}">
      <text>
        <r>
          <rPr>
            <sz val="9"/>
            <color indexed="81"/>
            <rFont val="Tahoma"/>
            <charset val="1"/>
          </rPr>
          <t>Could not find source file for McDonald county.</t>
        </r>
      </text>
    </comment>
    <comment ref="JB64" authorId="1" shapeId="0" xr:uid="{00000000-0006-0000-0E00-00008D080000}">
      <text>
        <r>
          <rPr>
            <sz val="9"/>
            <color indexed="81"/>
            <rFont val="Tahoma"/>
            <charset val="1"/>
          </rPr>
          <t>Could not find source file for McDonald county.</t>
        </r>
      </text>
    </comment>
    <comment ref="JC64" authorId="1" shapeId="0" xr:uid="{00000000-0006-0000-0E00-00008E080000}">
      <text>
        <r>
          <rPr>
            <sz val="9"/>
            <color indexed="81"/>
            <rFont val="Tahoma"/>
            <charset val="1"/>
          </rPr>
          <t>Could not find source file for McDonald county.</t>
        </r>
      </text>
    </comment>
    <comment ref="IV65" authorId="0" shapeId="0" xr:uid="{00000000-0006-0000-0E00-00008F080000}">
      <text>
        <r>
          <rPr>
            <sz val="9"/>
            <color indexed="81"/>
            <rFont val="Tahoma"/>
            <family val="2"/>
          </rPr>
          <t>Could not find source file for Mercer county.</t>
        </r>
      </text>
    </comment>
    <comment ref="IW65" authorId="0" shapeId="0" xr:uid="{00000000-0006-0000-0E00-000090080000}">
      <text>
        <r>
          <rPr>
            <sz val="9"/>
            <color indexed="81"/>
            <rFont val="Tahoma"/>
            <family val="2"/>
          </rPr>
          <t>Could not find source file for Mercer county.</t>
        </r>
      </text>
    </comment>
    <comment ref="IX65" authorId="1" shapeId="0" xr:uid="{00000000-0006-0000-0E00-000091080000}">
      <text>
        <r>
          <rPr>
            <sz val="9"/>
            <color indexed="81"/>
            <rFont val="Tahoma"/>
            <family val="2"/>
          </rPr>
          <t>Could not find source file for Mercer county.</t>
        </r>
      </text>
    </comment>
    <comment ref="IY65" authorId="0" shapeId="0" xr:uid="{00000000-0006-0000-0E00-000092080000}">
      <text>
        <r>
          <rPr>
            <sz val="9"/>
            <color indexed="81"/>
            <rFont val="Tahoma"/>
            <family val="2"/>
          </rPr>
          <t>Could not find source file for Mercer county.</t>
        </r>
      </text>
    </comment>
    <comment ref="IZ65" authorId="1" shapeId="0" xr:uid="{00000000-0006-0000-0E00-000093080000}">
      <text>
        <r>
          <rPr>
            <sz val="9"/>
            <color indexed="81"/>
            <rFont val="Tahoma"/>
            <family val="2"/>
          </rPr>
          <t>Could not find source file for Mercer county.</t>
        </r>
      </text>
    </comment>
    <comment ref="JA65" authorId="1" shapeId="0" xr:uid="{00000000-0006-0000-0E00-000094080000}">
      <text>
        <r>
          <rPr>
            <sz val="9"/>
            <color indexed="81"/>
            <rFont val="Tahoma"/>
            <charset val="1"/>
          </rPr>
          <t>Could not find source file for Mercer county.</t>
        </r>
      </text>
    </comment>
    <comment ref="JB65" authorId="1" shapeId="0" xr:uid="{00000000-0006-0000-0E00-000095080000}">
      <text>
        <r>
          <rPr>
            <sz val="9"/>
            <color indexed="81"/>
            <rFont val="Tahoma"/>
            <charset val="1"/>
          </rPr>
          <t>Could not find source file for Mercer county.</t>
        </r>
      </text>
    </comment>
    <comment ref="JC65" authorId="1" shapeId="0" xr:uid="{00000000-0006-0000-0E00-000096080000}">
      <text>
        <r>
          <rPr>
            <sz val="9"/>
            <color indexed="81"/>
            <rFont val="Tahoma"/>
            <charset val="1"/>
          </rPr>
          <t>Could not find source file for Mercer county.</t>
        </r>
      </text>
    </comment>
    <comment ref="K66" authorId="1" shapeId="0" xr:uid="{00000000-0006-0000-0E00-000097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L66" authorId="1" shapeId="0" xr:uid="{00000000-0006-0000-0E00-000098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M66" authorId="0" shapeId="0" xr:uid="{00000000-0006-0000-0E00-000099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66" authorId="0" shapeId="0" xr:uid="{00000000-0006-0000-0E00-00009A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66" authorId="0" shapeId="0" xr:uid="{00000000-0006-0000-0E00-00009B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66" authorId="0" shapeId="0" xr:uid="{00000000-0006-0000-0E00-00009C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66" authorId="0" shapeId="0" xr:uid="{00000000-0006-0000-0E00-00009D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66" authorId="1" shapeId="0" xr:uid="{00000000-0006-0000-0E00-00009E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66" authorId="0" shapeId="0" xr:uid="{00000000-0006-0000-0E00-00009F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T66" authorId="1" shapeId="0" xr:uid="{00000000-0006-0000-0E00-0000A0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U66" authorId="1" shapeId="0" xr:uid="{00000000-0006-0000-0E00-0000A1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V66" authorId="1" shapeId="0" xr:uid="{00000000-0006-0000-0E00-0000A2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W66" authorId="1" shapeId="0" xr:uid="{00000000-0006-0000-0E00-0000A3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I66" authorId="1" shapeId="0" xr:uid="{00000000-0006-0000-0E00-0000A4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J66" authorId="1" shapeId="0" xr:uid="{00000000-0006-0000-0E00-0000A5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K66" authorId="0" shapeId="0" xr:uid="{00000000-0006-0000-0E00-0000A6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L66" authorId="0" shapeId="0" xr:uid="{00000000-0006-0000-0E00-0000A7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M66" authorId="0" shapeId="0" xr:uid="{00000000-0006-0000-0E00-0000A8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N66" authorId="0" shapeId="0" xr:uid="{00000000-0006-0000-0E00-0000A9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O66" authorId="0" shapeId="0" xr:uid="{00000000-0006-0000-0E00-0000AA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P66" authorId="1" shapeId="0" xr:uid="{00000000-0006-0000-0E00-0000AB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Q66" authorId="0" shapeId="0" xr:uid="{00000000-0006-0000-0E00-0000AC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R66" authorId="1" shapeId="0" xr:uid="{00000000-0006-0000-0E00-0000AD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S66" authorId="1" shapeId="0" xr:uid="{00000000-0006-0000-0E00-0000AE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T66" authorId="1" shapeId="0" xr:uid="{00000000-0006-0000-0E00-0000AF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U66" authorId="1" shapeId="0" xr:uid="{00000000-0006-0000-0E00-0000B0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G66" authorId="1" shapeId="0" xr:uid="{00000000-0006-0000-0E00-0000B1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H66" authorId="1" shapeId="0" xr:uid="{00000000-0006-0000-0E00-0000B2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I66" authorId="0" shapeId="0" xr:uid="{00000000-0006-0000-0E00-0000B3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J66" authorId="0" shapeId="0" xr:uid="{00000000-0006-0000-0E00-0000B4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K66" authorId="0" shapeId="0" xr:uid="{00000000-0006-0000-0E00-0000B5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L66" authorId="0" shapeId="0" xr:uid="{00000000-0006-0000-0E00-0000B6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M66" authorId="0" shapeId="0" xr:uid="{00000000-0006-0000-0E00-0000B7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N66" authorId="1" shapeId="0" xr:uid="{00000000-0006-0000-0E00-0000B8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O66" authorId="0" shapeId="0" xr:uid="{00000000-0006-0000-0E00-0000B9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P66" authorId="1" shapeId="0" xr:uid="{00000000-0006-0000-0E00-0000BA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Q66" authorId="1" shapeId="0" xr:uid="{00000000-0006-0000-0E00-0000BB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R66" authorId="1" shapeId="0" xr:uid="{00000000-0006-0000-0E00-0000BC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S66" authorId="1" shapeId="0" xr:uid="{00000000-0006-0000-0E00-0000BD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E66" authorId="1" shapeId="0" xr:uid="{00000000-0006-0000-0E00-0000BE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F66" authorId="1" shapeId="0" xr:uid="{00000000-0006-0000-0E00-0000BF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G66" authorId="0" shapeId="0" xr:uid="{00000000-0006-0000-0E00-0000C0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H66" authorId="0" shapeId="0" xr:uid="{00000000-0006-0000-0E00-0000C1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I66" authorId="0" shapeId="0" xr:uid="{00000000-0006-0000-0E00-0000C2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J66" authorId="0" shapeId="0" xr:uid="{00000000-0006-0000-0E00-0000C3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K66" authorId="0" shapeId="0" xr:uid="{00000000-0006-0000-0E00-0000C4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L66" authorId="1" shapeId="0" xr:uid="{00000000-0006-0000-0E00-0000C5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M66" authorId="0" shapeId="0" xr:uid="{00000000-0006-0000-0E00-0000C6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N66" authorId="1" shapeId="0" xr:uid="{00000000-0006-0000-0E00-0000C7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O66" authorId="1" shapeId="0" xr:uid="{00000000-0006-0000-0E00-0000C8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P66" authorId="1" shapeId="0" xr:uid="{00000000-0006-0000-0E00-0000C9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Q66" authorId="1" shapeId="0" xr:uid="{00000000-0006-0000-0E00-0000CA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C66" authorId="1" shapeId="0" xr:uid="{00000000-0006-0000-0E00-0000CB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D66" authorId="1" shapeId="0" xr:uid="{00000000-0006-0000-0E00-0000CC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E66" authorId="0" shapeId="0" xr:uid="{00000000-0006-0000-0E00-0000CD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F66" authorId="0" shapeId="0" xr:uid="{00000000-0006-0000-0E00-0000CE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G66" authorId="0" shapeId="0" xr:uid="{00000000-0006-0000-0E00-0000CF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H66" authorId="0" shapeId="0" xr:uid="{00000000-0006-0000-0E00-0000D0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I66" authorId="0" shapeId="0" xr:uid="{00000000-0006-0000-0E00-0000D1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J66" authorId="1" shapeId="0" xr:uid="{00000000-0006-0000-0E00-0000D2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K66" authorId="0" shapeId="0" xr:uid="{00000000-0006-0000-0E00-0000D3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L66" authorId="1" shapeId="0" xr:uid="{00000000-0006-0000-0E00-0000D4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M66" authorId="1" shapeId="0" xr:uid="{00000000-0006-0000-0E00-0000D5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N66" authorId="1" shapeId="0" xr:uid="{00000000-0006-0000-0E00-0000D6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O66" authorId="1" shapeId="0" xr:uid="{00000000-0006-0000-0E00-0000D7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A66" authorId="1" shapeId="0" xr:uid="{00000000-0006-0000-0E00-0000D8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B66" authorId="1" shapeId="0" xr:uid="{00000000-0006-0000-0E00-0000D9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C66" authorId="0" shapeId="0" xr:uid="{00000000-0006-0000-0E00-0000DA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D66" authorId="0" shapeId="0" xr:uid="{00000000-0006-0000-0E00-0000DB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E66" authorId="0" shapeId="0" xr:uid="{00000000-0006-0000-0E00-0000DC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F66" authorId="0" shapeId="0" xr:uid="{00000000-0006-0000-0E00-0000DD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G66" authorId="0" shapeId="0" xr:uid="{00000000-0006-0000-0E00-0000DE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H66" authorId="1" shapeId="0" xr:uid="{00000000-0006-0000-0E00-0000DF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I66" authorId="0" shapeId="0" xr:uid="{00000000-0006-0000-0E00-0000E0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J66" authorId="1" shapeId="0" xr:uid="{00000000-0006-0000-0E00-0000E1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K66" authorId="1" shapeId="0" xr:uid="{00000000-0006-0000-0E00-0000E2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L66" authorId="1" shapeId="0" xr:uid="{00000000-0006-0000-0E00-0000E3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M66" authorId="1" shapeId="0" xr:uid="{00000000-0006-0000-0E00-0000E4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Y66" authorId="1" shapeId="0" xr:uid="{00000000-0006-0000-0E00-0000E5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Z66" authorId="1" shapeId="0" xr:uid="{00000000-0006-0000-0E00-0000E6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A66" authorId="0" shapeId="0" xr:uid="{00000000-0006-0000-0E00-0000E7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B66" authorId="0" shapeId="0" xr:uid="{00000000-0006-0000-0E00-0000E8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C66" authorId="0" shapeId="0" xr:uid="{00000000-0006-0000-0E00-0000E9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D66" authorId="0" shapeId="0" xr:uid="{00000000-0006-0000-0E00-0000EA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E66" authorId="0" shapeId="0" xr:uid="{00000000-0006-0000-0E00-0000EB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F66" authorId="1" shapeId="0" xr:uid="{00000000-0006-0000-0E00-0000EC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G66" authorId="0" shapeId="0" xr:uid="{00000000-0006-0000-0E00-0000ED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H66" authorId="1" shapeId="0" xr:uid="{00000000-0006-0000-0E00-0000EE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I66" authorId="1" shapeId="0" xr:uid="{00000000-0006-0000-0E00-0000EF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J66" authorId="1" shapeId="0" xr:uid="{00000000-0006-0000-0E00-0000F0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K66" authorId="1" shapeId="0" xr:uid="{00000000-0006-0000-0E00-0000F1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W66" authorId="1" shapeId="0" xr:uid="{00000000-0006-0000-0E00-0000F2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X66" authorId="1" shapeId="0" xr:uid="{00000000-0006-0000-0E00-0000F3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Y66" authorId="0" shapeId="0" xr:uid="{00000000-0006-0000-0E00-0000F4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Z66" authorId="0" shapeId="0" xr:uid="{00000000-0006-0000-0E00-0000F5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A66" authorId="0" shapeId="0" xr:uid="{00000000-0006-0000-0E00-0000F6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B66" authorId="0" shapeId="0" xr:uid="{00000000-0006-0000-0E00-0000F7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C66" authorId="0" shapeId="0" xr:uid="{00000000-0006-0000-0E00-0000F8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D66" authorId="1" shapeId="0" xr:uid="{00000000-0006-0000-0E00-0000F9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E66" authorId="0" shapeId="0" xr:uid="{00000000-0006-0000-0E00-0000FA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F66" authorId="1" shapeId="0" xr:uid="{00000000-0006-0000-0E00-0000FB08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G66" authorId="1" shapeId="0" xr:uid="{00000000-0006-0000-0E00-0000FC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GH66" authorId="1" shapeId="0" xr:uid="{00000000-0006-0000-0E00-0000FD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GI66" authorId="1" shapeId="0" xr:uid="{00000000-0006-0000-0E00-0000FE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GU66" authorId="1" shapeId="0" xr:uid="{00000000-0006-0000-0E00-0000FF08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GV66" authorId="1" shapeId="0" xr:uid="{00000000-0006-0000-0E00-000000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GW66" authorId="0" shapeId="0" xr:uid="{00000000-0006-0000-0E00-000001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X66" authorId="0" shapeId="0" xr:uid="{00000000-0006-0000-0E00-000002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Y66" authorId="0" shapeId="0" xr:uid="{00000000-0006-0000-0E00-000003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GZ66" authorId="0" shapeId="0" xr:uid="{00000000-0006-0000-0E00-000004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A66" authorId="0" shapeId="0" xr:uid="{00000000-0006-0000-0E00-000005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B66" authorId="1" shapeId="0" xr:uid="{00000000-0006-0000-0E00-000006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C66" authorId="0" shapeId="0" xr:uid="{00000000-0006-0000-0E00-000007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D66" authorId="1" shapeId="0" xr:uid="{00000000-0006-0000-0E00-000008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E66" authorId="1" shapeId="0" xr:uid="{00000000-0006-0000-0E00-000009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HF66" authorId="1" shapeId="0" xr:uid="{00000000-0006-0000-0E00-00000A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HG66" authorId="1" shapeId="0" xr:uid="{00000000-0006-0000-0E00-00000B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HS66" authorId="1" shapeId="0" xr:uid="{00000000-0006-0000-0E00-00000C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HT66" authorId="1" shapeId="0" xr:uid="{00000000-0006-0000-0E00-00000D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HU66" authorId="0" shapeId="0" xr:uid="{00000000-0006-0000-0E00-00000E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V66" authorId="0" shapeId="0" xr:uid="{00000000-0006-0000-0E00-00000F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W66" authorId="0" shapeId="0" xr:uid="{00000000-0006-0000-0E00-000010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X66" authorId="0" shapeId="0" xr:uid="{00000000-0006-0000-0E00-000011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Y66" authorId="0" shapeId="0" xr:uid="{00000000-0006-0000-0E00-000012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HZ66" authorId="1" shapeId="0" xr:uid="{00000000-0006-0000-0E00-000013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A66" authorId="0" shapeId="0" xr:uid="{00000000-0006-0000-0E00-000014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B66" authorId="1" shapeId="0" xr:uid="{00000000-0006-0000-0E00-000015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C66" authorId="1" shapeId="0" xr:uid="{00000000-0006-0000-0E00-000016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ID66" authorId="1" shapeId="0" xr:uid="{00000000-0006-0000-0E00-000017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IE66" authorId="1" shapeId="0" xr:uid="{00000000-0006-0000-0E00-000018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IQ66" authorId="1" shapeId="0" xr:uid="{00000000-0006-0000-0E00-000019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IR66" authorId="1" shapeId="0" xr:uid="{00000000-0006-0000-0E00-00001A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IS66" authorId="0" shapeId="0" xr:uid="{00000000-0006-0000-0E00-00001B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T66" authorId="0" shapeId="0" xr:uid="{00000000-0006-0000-0E00-00001C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U66" authorId="0" shapeId="0" xr:uid="{00000000-0006-0000-0E00-00001D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V66" authorId="0" shapeId="0" xr:uid="{00000000-0006-0000-0E00-00001E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W66" authorId="0" shapeId="0" xr:uid="{00000000-0006-0000-0E00-00001F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X66" authorId="1" shapeId="0" xr:uid="{00000000-0006-0000-0E00-000020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Y66" authorId="0" shapeId="0" xr:uid="{00000000-0006-0000-0E00-000021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IZ66" authorId="1" shapeId="0" xr:uid="{00000000-0006-0000-0E00-000022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JA66" authorId="1" shapeId="0" xr:uid="{00000000-0006-0000-0E00-000023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JB66" authorId="1" shapeId="0" xr:uid="{00000000-0006-0000-0E00-000024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JC66" authorId="1" shapeId="0" xr:uid="{00000000-0006-0000-0E00-000025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JO66" authorId="1" shapeId="0" xr:uid="{00000000-0006-0000-0E00-000026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JP66" authorId="1" shapeId="0" xr:uid="{00000000-0006-0000-0E00-000027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JQ66" authorId="0" shapeId="0" xr:uid="{00000000-0006-0000-0E00-000028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JR66" authorId="0" shapeId="0" xr:uid="{00000000-0006-0000-0E00-000029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JS66" authorId="0" shapeId="0" xr:uid="{00000000-0006-0000-0E00-00002A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JT66" authorId="0" shapeId="0" xr:uid="{00000000-0006-0000-0E00-00002B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JU66" authorId="0" shapeId="0" xr:uid="{00000000-0006-0000-0E00-00002C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JV66" authorId="1" shapeId="0" xr:uid="{00000000-0006-0000-0E00-00002D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JW66" authorId="0" shapeId="0" xr:uid="{00000000-0006-0000-0E00-00002E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JX66" authorId="1" shapeId="0" xr:uid="{00000000-0006-0000-0E00-00002F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JY66" authorId="1" shapeId="0" xr:uid="{00000000-0006-0000-0E00-000030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JZ66" authorId="1" shapeId="0" xr:uid="{00000000-0006-0000-0E00-000031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KA66" authorId="1" shapeId="0" xr:uid="{00000000-0006-0000-0E00-000032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KM66" authorId="1" shapeId="0" xr:uid="{00000000-0006-0000-0E00-000033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KN66" authorId="1" shapeId="0" xr:uid="{00000000-0006-0000-0E00-000034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KO66" authorId="0" shapeId="0" xr:uid="{00000000-0006-0000-0E00-000035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KP66" authorId="0" shapeId="0" xr:uid="{00000000-0006-0000-0E00-000036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KQ66" authorId="0" shapeId="0" xr:uid="{00000000-0006-0000-0E00-000037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KR66" authorId="0" shapeId="0" xr:uid="{00000000-0006-0000-0E00-000038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KS66" authorId="0" shapeId="0" xr:uid="{00000000-0006-0000-0E00-000039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KT66" authorId="1" shapeId="0" xr:uid="{00000000-0006-0000-0E00-00003A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KU66" authorId="0" shapeId="0" xr:uid="{00000000-0006-0000-0E00-00003B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KV66" authorId="1" shapeId="0" xr:uid="{00000000-0006-0000-0E00-00003C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KW66" authorId="1" shapeId="0" xr:uid="{00000000-0006-0000-0E00-00003D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KX66" authorId="1" shapeId="0" xr:uid="{00000000-0006-0000-0E00-00003E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KY66" authorId="1" shapeId="0" xr:uid="{00000000-0006-0000-0E00-00003F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LK66" authorId="1" shapeId="0" xr:uid="{00000000-0006-0000-0E00-000040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LL66" authorId="1" shapeId="0" xr:uid="{00000000-0006-0000-0E00-000041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LM66" authorId="0" shapeId="0" xr:uid="{00000000-0006-0000-0E00-000042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LN66" authorId="0" shapeId="0" xr:uid="{00000000-0006-0000-0E00-000043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LO66" authorId="0" shapeId="0" xr:uid="{00000000-0006-0000-0E00-000044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LP66" authorId="0" shapeId="0" xr:uid="{00000000-0006-0000-0E00-000045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LQ66" authorId="0" shapeId="0" xr:uid="{00000000-0006-0000-0E00-000046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LR66" authorId="1" shapeId="0" xr:uid="{00000000-0006-0000-0E00-000047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LS66" authorId="0" shapeId="0" xr:uid="{00000000-0006-0000-0E00-000048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LT66" authorId="1" shapeId="0" xr:uid="{00000000-0006-0000-0E00-000049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LU66" authorId="1" shapeId="0" xr:uid="{00000000-0006-0000-0E00-00004A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LV66" authorId="1" shapeId="0" xr:uid="{00000000-0006-0000-0E00-00004B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LW66" authorId="1" shapeId="0" xr:uid="{00000000-0006-0000-0E00-00004C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MI66" authorId="1" shapeId="0" xr:uid="{00000000-0006-0000-0E00-00004D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MJ66" authorId="1" shapeId="0" xr:uid="{00000000-0006-0000-0E00-00004E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MK66" authorId="0" shapeId="0" xr:uid="{00000000-0006-0000-0E00-00004F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ML66" authorId="0" shapeId="0" xr:uid="{00000000-0006-0000-0E00-000050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MM66" authorId="0" shapeId="0" xr:uid="{00000000-0006-0000-0E00-000051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MN66" authorId="0" shapeId="0" xr:uid="{00000000-0006-0000-0E00-000052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MO66" authorId="0" shapeId="0" xr:uid="{00000000-0006-0000-0E00-000053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MP66" authorId="1" shapeId="0" xr:uid="{00000000-0006-0000-0E00-000054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MQ66" authorId="0" shapeId="0" xr:uid="{00000000-0006-0000-0E00-000055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MR66" authorId="1" shapeId="0" xr:uid="{00000000-0006-0000-0E00-000056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MS66" authorId="1" shapeId="0" xr:uid="{00000000-0006-0000-0E00-000057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MT66" authorId="1" shapeId="0" xr:uid="{00000000-0006-0000-0E00-000058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MU66" authorId="1" shapeId="0" xr:uid="{00000000-0006-0000-0E00-000059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NG66" authorId="1" shapeId="0" xr:uid="{00000000-0006-0000-0E00-00005A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NH66" authorId="1" shapeId="0" xr:uid="{00000000-0006-0000-0E00-00005B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NI66" authorId="0" shapeId="0" xr:uid="{00000000-0006-0000-0E00-00005C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J66" authorId="0" shapeId="0" xr:uid="{00000000-0006-0000-0E00-00005D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K66" authorId="0" shapeId="0" xr:uid="{00000000-0006-0000-0E00-00005E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L66" authorId="0" shapeId="0" xr:uid="{00000000-0006-0000-0E00-00005F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M66" authorId="0" shapeId="0" xr:uid="{00000000-0006-0000-0E00-000060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N66" authorId="1" shapeId="0" xr:uid="{00000000-0006-0000-0E00-000061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O66" authorId="0" shapeId="0" xr:uid="{00000000-0006-0000-0E00-000062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P66" authorId="1" shapeId="0" xr:uid="{00000000-0006-0000-0E00-000063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Q66" authorId="1" shapeId="0" xr:uid="{00000000-0006-0000-0E00-000064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NR66" authorId="1" shapeId="0" xr:uid="{00000000-0006-0000-0E00-000065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NS66" authorId="1" shapeId="0" xr:uid="{00000000-0006-0000-0E00-000066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OE66" authorId="1" shapeId="0" xr:uid="{00000000-0006-0000-0E00-000067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OF66" authorId="1" shapeId="0" xr:uid="{00000000-0006-0000-0E00-000068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OG66" authorId="0" shapeId="0" xr:uid="{00000000-0006-0000-0E00-000069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H66" authorId="0" shapeId="0" xr:uid="{00000000-0006-0000-0E00-00006A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I66" authorId="0" shapeId="0" xr:uid="{00000000-0006-0000-0E00-00006B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J66" authorId="0" shapeId="0" xr:uid="{00000000-0006-0000-0E00-00006C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K66" authorId="0" shapeId="0" xr:uid="{00000000-0006-0000-0E00-00006D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L66" authorId="1" shapeId="0" xr:uid="{00000000-0006-0000-0E00-00006E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M66" authorId="0" shapeId="0" xr:uid="{00000000-0006-0000-0E00-00006F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N66" authorId="1" shapeId="0" xr:uid="{00000000-0006-0000-0E00-000070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O66" authorId="1" shapeId="0" xr:uid="{00000000-0006-0000-0E00-000071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OP66" authorId="1" shapeId="0" xr:uid="{00000000-0006-0000-0E00-000072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OQ66" authorId="1" shapeId="0" xr:uid="{00000000-0006-0000-0E00-000073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PC66" authorId="1" shapeId="0" xr:uid="{00000000-0006-0000-0E00-000074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PD66" authorId="1" shapeId="0" xr:uid="{00000000-0006-0000-0E00-000075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PE66" authorId="0" shapeId="0" xr:uid="{00000000-0006-0000-0E00-000076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F66" authorId="0" shapeId="0" xr:uid="{00000000-0006-0000-0E00-000077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G66" authorId="0" shapeId="0" xr:uid="{00000000-0006-0000-0E00-000078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H66" authorId="0" shapeId="0" xr:uid="{00000000-0006-0000-0E00-000079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I66" authorId="0" shapeId="0" xr:uid="{00000000-0006-0000-0E00-00007A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J66" authorId="1" shapeId="0" xr:uid="{00000000-0006-0000-0E00-00007B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K66" authorId="0" shapeId="0" xr:uid="{00000000-0006-0000-0E00-00007C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L66" authorId="1" shapeId="0" xr:uid="{00000000-0006-0000-0E00-00007D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M66" authorId="1" shapeId="0" xr:uid="{00000000-0006-0000-0E00-00007E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PN66" authorId="1" shapeId="0" xr:uid="{00000000-0006-0000-0E00-00007F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PO66" authorId="1" shapeId="0" xr:uid="{00000000-0006-0000-0E00-000080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QA66" authorId="1" shapeId="0" xr:uid="{00000000-0006-0000-0E00-000081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QB66" authorId="1" shapeId="0" xr:uid="{00000000-0006-0000-0E00-000082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QC66" authorId="0" shapeId="0" xr:uid="{00000000-0006-0000-0E00-000083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D66" authorId="0" shapeId="0" xr:uid="{00000000-0006-0000-0E00-000084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E66" authorId="0" shapeId="0" xr:uid="{00000000-0006-0000-0E00-000085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F66" authorId="0" shapeId="0" xr:uid="{00000000-0006-0000-0E00-000086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G66" authorId="0" shapeId="0" xr:uid="{00000000-0006-0000-0E00-000087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H66" authorId="1" shapeId="0" xr:uid="{00000000-0006-0000-0E00-000088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I66" authorId="0" shapeId="0" xr:uid="{00000000-0006-0000-0E00-000089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J66" authorId="1" shapeId="0" xr:uid="{00000000-0006-0000-0E00-00008A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K66" authorId="1" shapeId="0" xr:uid="{00000000-0006-0000-0E00-00008B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QL66" authorId="1" shapeId="0" xr:uid="{00000000-0006-0000-0E00-00008C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QM66" authorId="1" shapeId="0" xr:uid="{00000000-0006-0000-0E00-00008D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QY66" authorId="1" shapeId="0" xr:uid="{00000000-0006-0000-0E00-00008E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QZ66" authorId="1" shapeId="0" xr:uid="{00000000-0006-0000-0E00-00008F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RA66" authorId="0" shapeId="0" xr:uid="{00000000-0006-0000-0E00-000090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B66" authorId="0" shapeId="0" xr:uid="{00000000-0006-0000-0E00-000091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C66" authorId="0" shapeId="0" xr:uid="{00000000-0006-0000-0E00-000092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D66" authorId="0" shapeId="0" xr:uid="{00000000-0006-0000-0E00-000093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E66" authorId="0" shapeId="0" xr:uid="{00000000-0006-0000-0E00-000094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F66" authorId="1" shapeId="0" xr:uid="{00000000-0006-0000-0E00-000095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G66" authorId="0" shapeId="0" xr:uid="{00000000-0006-0000-0E00-000096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H66" authorId="1" shapeId="0" xr:uid="{00000000-0006-0000-0E00-000097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I66" authorId="1" shapeId="0" xr:uid="{00000000-0006-0000-0E00-000098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RJ66" authorId="1" shapeId="0" xr:uid="{00000000-0006-0000-0E00-000099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RK66" authorId="1" shapeId="0" xr:uid="{00000000-0006-0000-0E00-00009A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RW66" authorId="1" shapeId="0" xr:uid="{00000000-0006-0000-0E00-00009B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RX66" authorId="1" shapeId="0" xr:uid="{00000000-0006-0000-0E00-00009C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RY66" authorId="0" shapeId="0" xr:uid="{00000000-0006-0000-0E00-00009D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Z66" authorId="0" shapeId="0" xr:uid="{00000000-0006-0000-0E00-00009E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A66" authorId="0" shapeId="0" xr:uid="{00000000-0006-0000-0E00-00009F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B66" authorId="0" shapeId="0" xr:uid="{00000000-0006-0000-0E00-0000A0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C66" authorId="0" shapeId="0" xr:uid="{00000000-0006-0000-0E00-0000A1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D66" authorId="1" shapeId="0" xr:uid="{00000000-0006-0000-0E00-0000A2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E66" authorId="0" shapeId="0" xr:uid="{00000000-0006-0000-0E00-0000A3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F66" authorId="1" shapeId="0" xr:uid="{00000000-0006-0000-0E00-0000A409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G66" authorId="1" shapeId="0" xr:uid="{00000000-0006-0000-0E00-0000A5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SH66" authorId="1" shapeId="0" xr:uid="{00000000-0006-0000-0E00-0000A6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SI66" authorId="1" shapeId="0" xr:uid="{00000000-0006-0000-0E00-0000A709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IV67" authorId="0" shapeId="0" xr:uid="{00000000-0006-0000-0E00-0000A8090000}">
      <text>
        <r>
          <rPr>
            <sz val="9"/>
            <color indexed="81"/>
            <rFont val="Tahoma"/>
            <family val="2"/>
          </rPr>
          <t>Could not find source file for Mississippi county.</t>
        </r>
      </text>
    </comment>
    <comment ref="IW67" authorId="0" shapeId="0" xr:uid="{00000000-0006-0000-0E00-0000A9090000}">
      <text>
        <r>
          <rPr>
            <sz val="9"/>
            <color indexed="81"/>
            <rFont val="Tahoma"/>
            <family val="2"/>
          </rPr>
          <t>Could not find source file for Mississippi county.</t>
        </r>
      </text>
    </comment>
    <comment ref="IX67" authorId="1" shapeId="0" xr:uid="{00000000-0006-0000-0E00-0000AA090000}">
      <text>
        <r>
          <rPr>
            <sz val="9"/>
            <color indexed="81"/>
            <rFont val="Tahoma"/>
            <family val="2"/>
          </rPr>
          <t>Could not find source file for Mississippi county.</t>
        </r>
      </text>
    </comment>
    <comment ref="IY67" authorId="0" shapeId="0" xr:uid="{00000000-0006-0000-0E00-0000AB090000}">
      <text>
        <r>
          <rPr>
            <sz val="9"/>
            <color indexed="81"/>
            <rFont val="Tahoma"/>
            <family val="2"/>
          </rPr>
          <t>Could not find source file for Mississippi county.</t>
        </r>
      </text>
    </comment>
    <comment ref="IZ67" authorId="1" shapeId="0" xr:uid="{00000000-0006-0000-0E00-0000AC090000}">
      <text>
        <r>
          <rPr>
            <sz val="9"/>
            <color indexed="81"/>
            <rFont val="Tahoma"/>
            <family val="2"/>
          </rPr>
          <t>Could not find source file for Mississippi county.</t>
        </r>
      </text>
    </comment>
    <comment ref="JA67" authorId="1" shapeId="0" xr:uid="{00000000-0006-0000-0E00-0000AD090000}">
      <text>
        <r>
          <rPr>
            <sz val="9"/>
            <color indexed="81"/>
            <rFont val="Tahoma"/>
            <charset val="1"/>
          </rPr>
          <t>Could not find source file for Mississippi county.</t>
        </r>
      </text>
    </comment>
    <comment ref="JB67" authorId="1" shapeId="0" xr:uid="{00000000-0006-0000-0E00-0000AE090000}">
      <text>
        <r>
          <rPr>
            <sz val="9"/>
            <color indexed="81"/>
            <rFont val="Tahoma"/>
            <charset val="1"/>
          </rPr>
          <t>Could not find source file for Mississippi county.</t>
        </r>
      </text>
    </comment>
    <comment ref="JC67" authorId="1" shapeId="0" xr:uid="{00000000-0006-0000-0E00-0000AF090000}">
      <text>
        <r>
          <rPr>
            <sz val="9"/>
            <color indexed="81"/>
            <rFont val="Tahoma"/>
            <charset val="1"/>
          </rPr>
          <t>Could not find source file for Mississippi county.</t>
        </r>
      </text>
    </comment>
    <comment ref="IV68" authorId="0" shapeId="0" xr:uid="{00000000-0006-0000-0E00-0000B0090000}">
      <text>
        <r>
          <rPr>
            <sz val="9"/>
            <color indexed="81"/>
            <rFont val="Tahoma"/>
            <family val="2"/>
          </rPr>
          <t>Could not find source file for Moniteau county.</t>
        </r>
      </text>
    </comment>
    <comment ref="IW68" authorId="0" shapeId="0" xr:uid="{00000000-0006-0000-0E00-0000B1090000}">
      <text>
        <r>
          <rPr>
            <sz val="9"/>
            <color indexed="81"/>
            <rFont val="Tahoma"/>
            <family val="2"/>
          </rPr>
          <t>Could not find source file for Moniteau county.</t>
        </r>
      </text>
    </comment>
    <comment ref="IX68" authorId="1" shapeId="0" xr:uid="{00000000-0006-0000-0E00-0000B2090000}">
      <text>
        <r>
          <rPr>
            <sz val="9"/>
            <color indexed="81"/>
            <rFont val="Tahoma"/>
            <family val="2"/>
          </rPr>
          <t>Could not find source file for Moniteau county.</t>
        </r>
      </text>
    </comment>
    <comment ref="IY68" authorId="0" shapeId="0" xr:uid="{00000000-0006-0000-0E00-0000B3090000}">
      <text>
        <r>
          <rPr>
            <sz val="9"/>
            <color indexed="81"/>
            <rFont val="Tahoma"/>
            <family val="2"/>
          </rPr>
          <t>Could not find source file for Moniteau county.</t>
        </r>
      </text>
    </comment>
    <comment ref="IZ68" authorId="1" shapeId="0" xr:uid="{00000000-0006-0000-0E00-0000B4090000}">
      <text>
        <r>
          <rPr>
            <sz val="9"/>
            <color indexed="81"/>
            <rFont val="Tahoma"/>
            <family val="2"/>
          </rPr>
          <t>Could not find source file for Moniteau county.</t>
        </r>
      </text>
    </comment>
    <comment ref="JA68" authorId="1" shapeId="0" xr:uid="{00000000-0006-0000-0E00-0000B5090000}">
      <text>
        <r>
          <rPr>
            <sz val="9"/>
            <color indexed="81"/>
            <rFont val="Tahoma"/>
            <charset val="1"/>
          </rPr>
          <t>Could not find source file for Moniteau county.</t>
        </r>
      </text>
    </comment>
    <comment ref="JB68" authorId="1" shapeId="0" xr:uid="{00000000-0006-0000-0E00-0000B6090000}">
      <text>
        <r>
          <rPr>
            <sz val="9"/>
            <color indexed="81"/>
            <rFont val="Tahoma"/>
            <charset val="1"/>
          </rPr>
          <t>Could not find source file for Moniteau county.</t>
        </r>
      </text>
    </comment>
    <comment ref="JC68" authorId="1" shapeId="0" xr:uid="{00000000-0006-0000-0E00-0000B7090000}">
      <text>
        <r>
          <rPr>
            <sz val="9"/>
            <color indexed="81"/>
            <rFont val="Tahoma"/>
            <charset val="1"/>
          </rPr>
          <t>Could not find source file for Moniteau county.</t>
        </r>
      </text>
    </comment>
    <comment ref="O69" authorId="0" shapeId="0" xr:uid="{00000000-0006-0000-0E00-0000B8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AM69" authorId="0" shapeId="0" xr:uid="{00000000-0006-0000-0E00-0000B9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BK69" authorId="0" shapeId="0" xr:uid="{00000000-0006-0000-0E00-0000BA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CI69" authorId="0" shapeId="0" xr:uid="{00000000-0006-0000-0E00-0000BB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DG69" authorId="0" shapeId="0" xr:uid="{00000000-0006-0000-0E00-0000BC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EE69" authorId="0" shapeId="0" xr:uid="{00000000-0006-0000-0E00-0000BD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FC69" authorId="0" shapeId="0" xr:uid="{00000000-0006-0000-0E00-0000BE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GA69" authorId="0" shapeId="0" xr:uid="{00000000-0006-0000-0E00-0000BF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GY69" authorId="0" shapeId="0" xr:uid="{00000000-0006-0000-0E00-0000C0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HW69" authorId="0" shapeId="0" xr:uid="{00000000-0006-0000-0E00-0000C1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IU69" authorId="0" shapeId="0" xr:uid="{00000000-0006-0000-0E00-0000C2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IV69" authorId="0" shapeId="0" xr:uid="{00000000-0006-0000-0E00-0000C3090000}">
      <text>
        <r>
          <rPr>
            <sz val="9"/>
            <color indexed="81"/>
            <rFont val="Tahoma"/>
            <family val="2"/>
          </rPr>
          <t>Could not find source file for Monroe county.</t>
        </r>
      </text>
    </comment>
    <comment ref="IW69" authorId="0" shapeId="0" xr:uid="{00000000-0006-0000-0E00-0000C4090000}">
      <text>
        <r>
          <rPr>
            <sz val="9"/>
            <color indexed="81"/>
            <rFont val="Tahoma"/>
            <family val="2"/>
          </rPr>
          <t>Could not find source file for Monroe county.</t>
        </r>
      </text>
    </comment>
    <comment ref="IX69" authorId="1" shapeId="0" xr:uid="{00000000-0006-0000-0E00-0000C5090000}">
      <text>
        <r>
          <rPr>
            <sz val="9"/>
            <color indexed="81"/>
            <rFont val="Tahoma"/>
            <family val="2"/>
          </rPr>
          <t>Could not find source file for Monroe county.</t>
        </r>
      </text>
    </comment>
    <comment ref="IY69" authorId="0" shapeId="0" xr:uid="{00000000-0006-0000-0E00-0000C6090000}">
      <text>
        <r>
          <rPr>
            <sz val="9"/>
            <color indexed="81"/>
            <rFont val="Tahoma"/>
            <family val="2"/>
          </rPr>
          <t>Could not find source file for Monroe county.</t>
        </r>
      </text>
    </comment>
    <comment ref="IZ69" authorId="1" shapeId="0" xr:uid="{00000000-0006-0000-0E00-0000C7090000}">
      <text>
        <r>
          <rPr>
            <sz val="9"/>
            <color indexed="81"/>
            <rFont val="Tahoma"/>
            <family val="2"/>
          </rPr>
          <t>Could not find source file for Monroe county.</t>
        </r>
      </text>
    </comment>
    <comment ref="JA69" authorId="1" shapeId="0" xr:uid="{00000000-0006-0000-0E00-0000C8090000}">
      <text>
        <r>
          <rPr>
            <sz val="9"/>
            <color indexed="81"/>
            <rFont val="Tahoma"/>
            <charset val="1"/>
          </rPr>
          <t>Could not find source file for Monroe county.</t>
        </r>
      </text>
    </comment>
    <comment ref="JB69" authorId="1" shapeId="0" xr:uid="{00000000-0006-0000-0E00-0000C9090000}">
      <text>
        <r>
          <rPr>
            <sz val="9"/>
            <color indexed="81"/>
            <rFont val="Tahoma"/>
            <charset val="1"/>
          </rPr>
          <t>Could not find source file for Monroe county.</t>
        </r>
      </text>
    </comment>
    <comment ref="JC69" authorId="1" shapeId="0" xr:uid="{00000000-0006-0000-0E00-0000CA090000}">
      <text>
        <r>
          <rPr>
            <sz val="9"/>
            <color indexed="81"/>
            <rFont val="Tahoma"/>
            <charset val="1"/>
          </rPr>
          <t>Could not find source file for Monroe county.</t>
        </r>
      </text>
    </comment>
    <comment ref="JS69" authorId="0" shapeId="0" xr:uid="{00000000-0006-0000-0E00-0000CB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KQ69" authorId="0" shapeId="0" xr:uid="{00000000-0006-0000-0E00-0000CC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LO69" authorId="0" shapeId="0" xr:uid="{00000000-0006-0000-0E00-0000CD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MM69" authorId="0" shapeId="0" xr:uid="{00000000-0006-0000-0E00-0000CE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NK69" authorId="0" shapeId="0" xr:uid="{00000000-0006-0000-0E00-0000CF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OI69" authorId="0" shapeId="0" xr:uid="{00000000-0006-0000-0E00-0000D0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PG69" authorId="0" shapeId="0" xr:uid="{00000000-0006-0000-0E00-0000D1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QE69" authorId="0" shapeId="0" xr:uid="{00000000-0006-0000-0E00-0000D2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RC69" authorId="0" shapeId="0" xr:uid="{00000000-0006-0000-0E00-0000D3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SA69" authorId="0" shapeId="0" xr:uid="{00000000-0006-0000-0E00-0000D409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P70" authorId="0" shapeId="0" xr:uid="{00000000-0006-0000-0E00-0000D5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AN70" authorId="0" shapeId="0" xr:uid="{00000000-0006-0000-0E00-0000D6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BL70" authorId="0" shapeId="0" xr:uid="{00000000-0006-0000-0E00-0000D7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CJ70" authorId="0" shapeId="0" xr:uid="{00000000-0006-0000-0E00-0000D8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DH70" authorId="0" shapeId="0" xr:uid="{00000000-0006-0000-0E00-0000D9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EF70" authorId="0" shapeId="0" xr:uid="{00000000-0006-0000-0E00-0000DA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FD70" authorId="0" shapeId="0" xr:uid="{00000000-0006-0000-0E00-0000DB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GB70" authorId="0" shapeId="0" xr:uid="{00000000-0006-0000-0E00-0000DC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GZ70" authorId="0" shapeId="0" xr:uid="{00000000-0006-0000-0E00-0000DD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HX70" authorId="0" shapeId="0" xr:uid="{00000000-0006-0000-0E00-0000DE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IV70" authorId="0" shapeId="0" xr:uid="{00000000-0006-0000-0E00-0000DF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IW70" authorId="0" shapeId="0" xr:uid="{00000000-0006-0000-0E00-0000E0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IX70" authorId="1" shapeId="0" xr:uid="{00000000-0006-0000-0E00-0000E1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IY70" authorId="0" shapeId="0" xr:uid="{00000000-0006-0000-0E00-0000E2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IZ70" authorId="1" shapeId="0" xr:uid="{00000000-0006-0000-0E00-0000E3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JA70" authorId="1" shapeId="0" xr:uid="{00000000-0006-0000-0E00-0000E4090000}">
      <text>
        <r>
          <rPr>
            <sz val="9"/>
            <color indexed="81"/>
            <rFont val="Tahoma"/>
            <charset val="1"/>
          </rPr>
          <t>Could not find source file for Montgomery county.</t>
        </r>
      </text>
    </comment>
    <comment ref="JB70" authorId="1" shapeId="0" xr:uid="{00000000-0006-0000-0E00-0000E5090000}">
      <text>
        <r>
          <rPr>
            <sz val="9"/>
            <color indexed="81"/>
            <rFont val="Tahoma"/>
            <charset val="1"/>
          </rPr>
          <t>Could not find source file for Montgomery county.</t>
        </r>
      </text>
    </comment>
    <comment ref="JC70" authorId="1" shapeId="0" xr:uid="{00000000-0006-0000-0E00-0000E6090000}">
      <text>
        <r>
          <rPr>
            <sz val="9"/>
            <color indexed="81"/>
            <rFont val="Tahoma"/>
            <charset val="1"/>
          </rPr>
          <t>Could not find source file for Montgomery county.</t>
        </r>
      </text>
    </comment>
    <comment ref="JT70" authorId="0" shapeId="0" xr:uid="{00000000-0006-0000-0E00-0000E7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KR70" authorId="0" shapeId="0" xr:uid="{00000000-0006-0000-0E00-0000E8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LP70" authorId="0" shapeId="0" xr:uid="{00000000-0006-0000-0E00-0000E9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MN70" authorId="0" shapeId="0" xr:uid="{00000000-0006-0000-0E00-0000EA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NL70" authorId="0" shapeId="0" xr:uid="{00000000-0006-0000-0E00-0000EB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OJ70" authorId="0" shapeId="0" xr:uid="{00000000-0006-0000-0E00-0000EC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PH70" authorId="0" shapeId="0" xr:uid="{00000000-0006-0000-0E00-0000ED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QF70" authorId="0" shapeId="0" xr:uid="{00000000-0006-0000-0E00-0000EE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RD70" authorId="0" shapeId="0" xr:uid="{00000000-0006-0000-0E00-0000EF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SB70" authorId="0" shapeId="0" xr:uid="{00000000-0006-0000-0E00-0000F009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R71" authorId="1" shapeId="0" xr:uid="{00000000-0006-0000-0E00-0000F1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AP71" authorId="1" shapeId="0" xr:uid="{00000000-0006-0000-0E00-0000F2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BN71" authorId="1" shapeId="0" xr:uid="{00000000-0006-0000-0E00-0000F3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CL71" authorId="1" shapeId="0" xr:uid="{00000000-0006-0000-0E00-0000F4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DJ71" authorId="1" shapeId="0" xr:uid="{00000000-0006-0000-0E00-0000F5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EH71" authorId="1" shapeId="0" xr:uid="{00000000-0006-0000-0E00-0000F6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FF71" authorId="1" shapeId="0" xr:uid="{00000000-0006-0000-0E00-0000F7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GD71" authorId="1" shapeId="0" xr:uid="{00000000-0006-0000-0E00-0000F8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HB71" authorId="1" shapeId="0" xr:uid="{00000000-0006-0000-0E00-0000F9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HZ71" authorId="1" shapeId="0" xr:uid="{00000000-0006-0000-0E00-0000FA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IV71" authorId="0" shapeId="0" xr:uid="{00000000-0006-0000-0E00-0000FB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IW71" authorId="0" shapeId="0" xr:uid="{00000000-0006-0000-0E00-0000FC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IX71" authorId="1" shapeId="0" xr:uid="{00000000-0006-0000-0E00-0000FD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IY71" authorId="0" shapeId="0" xr:uid="{00000000-0006-0000-0E00-0000FE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IZ71" authorId="1" shapeId="0" xr:uid="{00000000-0006-0000-0E00-0000FF09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JA71" authorId="1" shapeId="0" xr:uid="{00000000-0006-0000-0E00-0000000A0000}">
      <text>
        <r>
          <rPr>
            <sz val="9"/>
            <color indexed="81"/>
            <rFont val="Tahoma"/>
            <charset val="1"/>
          </rPr>
          <t>Could not find source file for Morgan county.</t>
        </r>
      </text>
    </comment>
    <comment ref="JB71" authorId="1" shapeId="0" xr:uid="{00000000-0006-0000-0E00-0000010A0000}">
      <text>
        <r>
          <rPr>
            <sz val="9"/>
            <color indexed="81"/>
            <rFont val="Tahoma"/>
            <charset val="1"/>
          </rPr>
          <t>Could not find source file for Morgan county.</t>
        </r>
      </text>
    </comment>
    <comment ref="JC71" authorId="1" shapeId="0" xr:uid="{00000000-0006-0000-0E00-0000020A0000}">
      <text>
        <r>
          <rPr>
            <sz val="9"/>
            <color indexed="81"/>
            <rFont val="Tahoma"/>
            <charset val="1"/>
          </rPr>
          <t>Could not find source file for Morgan county.</t>
        </r>
      </text>
    </comment>
    <comment ref="JV71" authorId="1" shapeId="0" xr:uid="{00000000-0006-0000-0E00-000003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KT71" authorId="1" shapeId="0" xr:uid="{00000000-0006-0000-0E00-000004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LR71" authorId="1" shapeId="0" xr:uid="{00000000-0006-0000-0E00-000005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MP71" authorId="1" shapeId="0" xr:uid="{00000000-0006-0000-0E00-000006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NN71" authorId="1" shapeId="0" xr:uid="{00000000-0006-0000-0E00-000007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OL71" authorId="1" shapeId="0" xr:uid="{00000000-0006-0000-0E00-000008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PJ71" authorId="1" shapeId="0" xr:uid="{00000000-0006-0000-0E00-000009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QH71" authorId="1" shapeId="0" xr:uid="{00000000-0006-0000-0E00-00000A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RF71" authorId="1" shapeId="0" xr:uid="{00000000-0006-0000-0E00-00000B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SD71" authorId="1" shapeId="0" xr:uid="{00000000-0006-0000-0E00-00000C0A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K72" authorId="1" shapeId="0" xr:uid="{00000000-0006-0000-0E00-00000D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L72" authorId="1" shapeId="0" xr:uid="{00000000-0006-0000-0E00-00000E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N72" authorId="0" shapeId="0" xr:uid="{00000000-0006-0000-0E00-00000F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P72" authorId="0" shapeId="0" xr:uid="{00000000-0006-0000-0E00-000010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R72" authorId="1" shapeId="0" xr:uid="{00000000-0006-0000-0E00-000011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AI72" authorId="1" shapeId="0" xr:uid="{00000000-0006-0000-0E00-000012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AJ72" authorId="1" shapeId="0" xr:uid="{00000000-0006-0000-0E00-000013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AL72" authorId="0" shapeId="0" xr:uid="{00000000-0006-0000-0E00-000014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AN72" authorId="0" shapeId="0" xr:uid="{00000000-0006-0000-0E00-000015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AP72" authorId="1" shapeId="0" xr:uid="{00000000-0006-0000-0E00-000016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BG72" authorId="1" shapeId="0" xr:uid="{00000000-0006-0000-0E00-000017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BH72" authorId="1" shapeId="0" xr:uid="{00000000-0006-0000-0E00-000018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BJ72" authorId="0" shapeId="0" xr:uid="{00000000-0006-0000-0E00-000019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BL72" authorId="0" shapeId="0" xr:uid="{00000000-0006-0000-0E00-00001A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BN72" authorId="1" shapeId="0" xr:uid="{00000000-0006-0000-0E00-00001B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CE72" authorId="1" shapeId="0" xr:uid="{00000000-0006-0000-0E00-00001C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CF72" authorId="1" shapeId="0" xr:uid="{00000000-0006-0000-0E00-00001D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CH72" authorId="0" shapeId="0" xr:uid="{00000000-0006-0000-0E00-00001E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CJ72" authorId="0" shapeId="0" xr:uid="{00000000-0006-0000-0E00-00001F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CL72" authorId="1" shapeId="0" xr:uid="{00000000-0006-0000-0E00-000020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DC72" authorId="1" shapeId="0" xr:uid="{00000000-0006-0000-0E00-000021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DD72" authorId="1" shapeId="0" xr:uid="{00000000-0006-0000-0E00-000022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DF72" authorId="0" shapeId="0" xr:uid="{00000000-0006-0000-0E00-000023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DH72" authorId="0" shapeId="0" xr:uid="{00000000-0006-0000-0E00-000024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DJ72" authorId="1" shapeId="0" xr:uid="{00000000-0006-0000-0E00-000025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A72" authorId="1" shapeId="0" xr:uid="{00000000-0006-0000-0E00-000026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EB72" authorId="1" shapeId="0" xr:uid="{00000000-0006-0000-0E00-000027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ED72" authorId="0" shapeId="0" xr:uid="{00000000-0006-0000-0E00-000028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F72" authorId="0" shapeId="0" xr:uid="{00000000-0006-0000-0E00-000029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H72" authorId="1" shapeId="0" xr:uid="{00000000-0006-0000-0E00-00002A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Y72" authorId="1" shapeId="0" xr:uid="{00000000-0006-0000-0E00-00002B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EZ72" authorId="1" shapeId="0" xr:uid="{00000000-0006-0000-0E00-00002C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FB72" authorId="0" shapeId="0" xr:uid="{00000000-0006-0000-0E00-00002D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FD72" authorId="0" shapeId="0" xr:uid="{00000000-0006-0000-0E00-00002E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FF72" authorId="1" shapeId="0" xr:uid="{00000000-0006-0000-0E00-00002F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FW72" authorId="1" shapeId="0" xr:uid="{00000000-0006-0000-0E00-000030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FX72" authorId="1" shapeId="0" xr:uid="{00000000-0006-0000-0E00-000031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FZ72" authorId="0" shapeId="0" xr:uid="{00000000-0006-0000-0E00-000032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GB72" authorId="0" shapeId="0" xr:uid="{00000000-0006-0000-0E00-000033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GD72" authorId="1" shapeId="0" xr:uid="{00000000-0006-0000-0E00-000034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GU72" authorId="1" shapeId="0" xr:uid="{00000000-0006-0000-0E00-000035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GV72" authorId="1" shapeId="0" xr:uid="{00000000-0006-0000-0E00-000036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GX72" authorId="0" shapeId="0" xr:uid="{00000000-0006-0000-0E00-000037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GZ72" authorId="0" shapeId="0" xr:uid="{00000000-0006-0000-0E00-000038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HB72" authorId="1" shapeId="0" xr:uid="{00000000-0006-0000-0E00-000039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HS72" authorId="1" shapeId="0" xr:uid="{00000000-0006-0000-0E00-00003A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HT72" authorId="1" shapeId="0" xr:uid="{00000000-0006-0000-0E00-00003B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HV72" authorId="0" shapeId="0" xr:uid="{00000000-0006-0000-0E00-00003C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HX72" authorId="0" shapeId="0" xr:uid="{00000000-0006-0000-0E00-00003D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HZ72" authorId="1" shapeId="0" xr:uid="{00000000-0006-0000-0E00-00003E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IQ72" authorId="1" shapeId="0" xr:uid="{00000000-0006-0000-0E00-00003F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IR72" authorId="1" shapeId="0" xr:uid="{00000000-0006-0000-0E00-000040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IT72" authorId="0" shapeId="0" xr:uid="{00000000-0006-0000-0E00-000041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IV72" authorId="0" shapeId="0" xr:uid="{00000000-0006-0000-0E00-000042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IW72" authorId="0" shapeId="0" xr:uid="{00000000-0006-0000-0E00-000043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IX72" authorId="1" shapeId="0" xr:uid="{00000000-0006-0000-0E00-000044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IY72" authorId="0" shapeId="0" xr:uid="{00000000-0006-0000-0E00-000045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IZ72" authorId="1" shapeId="0" xr:uid="{00000000-0006-0000-0E00-000046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JA72" authorId="1" shapeId="0" xr:uid="{00000000-0006-0000-0E00-000047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JB72" authorId="1" shapeId="0" xr:uid="{00000000-0006-0000-0E00-000048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JC72" authorId="1" shapeId="0" xr:uid="{00000000-0006-0000-0E00-000049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JO72" authorId="1" shapeId="0" xr:uid="{00000000-0006-0000-0E00-00004A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JP72" authorId="1" shapeId="0" xr:uid="{00000000-0006-0000-0E00-00004B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JR72" authorId="0" shapeId="0" xr:uid="{00000000-0006-0000-0E00-00004C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JT72" authorId="0" shapeId="0" xr:uid="{00000000-0006-0000-0E00-00004D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JV72" authorId="1" shapeId="0" xr:uid="{00000000-0006-0000-0E00-00004E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KM72" authorId="1" shapeId="0" xr:uid="{00000000-0006-0000-0E00-00004F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KN72" authorId="1" shapeId="0" xr:uid="{00000000-0006-0000-0E00-000050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KP72" authorId="0" shapeId="0" xr:uid="{00000000-0006-0000-0E00-000051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KR72" authorId="0" shapeId="0" xr:uid="{00000000-0006-0000-0E00-000052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KT72" authorId="1" shapeId="0" xr:uid="{00000000-0006-0000-0E00-000053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LK72" authorId="1" shapeId="0" xr:uid="{00000000-0006-0000-0E00-000054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LL72" authorId="1" shapeId="0" xr:uid="{00000000-0006-0000-0E00-000055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LN72" authorId="0" shapeId="0" xr:uid="{00000000-0006-0000-0E00-000056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LP72" authorId="0" shapeId="0" xr:uid="{00000000-0006-0000-0E00-000057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LR72" authorId="1" shapeId="0" xr:uid="{00000000-0006-0000-0E00-000058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MI72" authorId="1" shapeId="0" xr:uid="{00000000-0006-0000-0E00-000059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MJ72" authorId="1" shapeId="0" xr:uid="{00000000-0006-0000-0E00-00005A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ML72" authorId="0" shapeId="0" xr:uid="{00000000-0006-0000-0E00-00005B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MN72" authorId="0" shapeId="0" xr:uid="{00000000-0006-0000-0E00-00005C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MP72" authorId="1" shapeId="0" xr:uid="{00000000-0006-0000-0E00-00005D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NG72" authorId="1" shapeId="0" xr:uid="{00000000-0006-0000-0E00-00005E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NH72" authorId="1" shapeId="0" xr:uid="{00000000-0006-0000-0E00-00005F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NJ72" authorId="0" shapeId="0" xr:uid="{00000000-0006-0000-0E00-000060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NL72" authorId="0" shapeId="0" xr:uid="{00000000-0006-0000-0E00-000061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NN72" authorId="1" shapeId="0" xr:uid="{00000000-0006-0000-0E00-000062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OE72" authorId="1" shapeId="0" xr:uid="{00000000-0006-0000-0E00-000063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OF72" authorId="1" shapeId="0" xr:uid="{00000000-0006-0000-0E00-000064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OH72" authorId="0" shapeId="0" xr:uid="{00000000-0006-0000-0E00-000065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OJ72" authorId="0" shapeId="0" xr:uid="{00000000-0006-0000-0E00-000066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OL72" authorId="1" shapeId="0" xr:uid="{00000000-0006-0000-0E00-000067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PC72" authorId="1" shapeId="0" xr:uid="{00000000-0006-0000-0E00-000068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PD72" authorId="1" shapeId="0" xr:uid="{00000000-0006-0000-0E00-000069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PF72" authorId="0" shapeId="0" xr:uid="{00000000-0006-0000-0E00-00006A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PH72" authorId="0" shapeId="0" xr:uid="{00000000-0006-0000-0E00-00006B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PJ72" authorId="1" shapeId="0" xr:uid="{00000000-0006-0000-0E00-00006C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QA72" authorId="1" shapeId="0" xr:uid="{00000000-0006-0000-0E00-00006D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QB72" authorId="1" shapeId="0" xr:uid="{00000000-0006-0000-0E00-00006E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QD72" authorId="0" shapeId="0" xr:uid="{00000000-0006-0000-0E00-00006F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QF72" authorId="0" shapeId="0" xr:uid="{00000000-0006-0000-0E00-000070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QH72" authorId="1" shapeId="0" xr:uid="{00000000-0006-0000-0E00-000071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QY72" authorId="1" shapeId="0" xr:uid="{00000000-0006-0000-0E00-000072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QZ72" authorId="1" shapeId="0" xr:uid="{00000000-0006-0000-0E00-000073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RB72" authorId="0" shapeId="0" xr:uid="{00000000-0006-0000-0E00-000074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RD72" authorId="0" shapeId="0" xr:uid="{00000000-0006-0000-0E00-000075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RF72" authorId="1" shapeId="0" xr:uid="{00000000-0006-0000-0E00-000076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RW72" authorId="1" shapeId="0" xr:uid="{00000000-0006-0000-0E00-000077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RX72" authorId="1" shapeId="0" xr:uid="{00000000-0006-0000-0E00-0000780A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RZ72" authorId="0" shapeId="0" xr:uid="{00000000-0006-0000-0E00-000079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SB72" authorId="0" shapeId="0" xr:uid="{00000000-0006-0000-0E00-00007A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SD72" authorId="1" shapeId="0" xr:uid="{00000000-0006-0000-0E00-00007B0A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U73" authorId="1" shapeId="0" xr:uid="{00000000-0006-0000-0E00-00007C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V73" authorId="1" shapeId="0" xr:uid="{00000000-0006-0000-0E00-00007D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W73" authorId="1" shapeId="0" xr:uid="{00000000-0006-0000-0E00-00007E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AS73" authorId="1" shapeId="0" xr:uid="{00000000-0006-0000-0E00-00007F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AT73" authorId="1" shapeId="0" xr:uid="{00000000-0006-0000-0E00-000080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AU73" authorId="1" shapeId="0" xr:uid="{00000000-0006-0000-0E00-000081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BQ73" authorId="1" shapeId="0" xr:uid="{00000000-0006-0000-0E00-000082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BR73" authorId="1" shapeId="0" xr:uid="{00000000-0006-0000-0E00-000083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BS73" authorId="1" shapeId="0" xr:uid="{00000000-0006-0000-0E00-000084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CO73" authorId="1" shapeId="0" xr:uid="{00000000-0006-0000-0E00-000085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CP73" authorId="1" shapeId="0" xr:uid="{00000000-0006-0000-0E00-000086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CQ73" authorId="1" shapeId="0" xr:uid="{00000000-0006-0000-0E00-000087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DM73" authorId="1" shapeId="0" xr:uid="{00000000-0006-0000-0E00-000088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DN73" authorId="1" shapeId="0" xr:uid="{00000000-0006-0000-0E00-000089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DO73" authorId="1" shapeId="0" xr:uid="{00000000-0006-0000-0E00-00008A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EK73" authorId="1" shapeId="0" xr:uid="{00000000-0006-0000-0E00-00008B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EL73" authorId="1" shapeId="0" xr:uid="{00000000-0006-0000-0E00-00008C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EM73" authorId="1" shapeId="0" xr:uid="{00000000-0006-0000-0E00-00008D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FI73" authorId="1" shapeId="0" xr:uid="{00000000-0006-0000-0E00-00008E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FJ73" authorId="1" shapeId="0" xr:uid="{00000000-0006-0000-0E00-00008F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FK73" authorId="1" shapeId="0" xr:uid="{00000000-0006-0000-0E00-000090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GG73" authorId="1" shapeId="0" xr:uid="{00000000-0006-0000-0E00-000091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GH73" authorId="1" shapeId="0" xr:uid="{00000000-0006-0000-0E00-000092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GI73" authorId="1" shapeId="0" xr:uid="{00000000-0006-0000-0E00-000093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HE73" authorId="1" shapeId="0" xr:uid="{00000000-0006-0000-0E00-000094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HF73" authorId="1" shapeId="0" xr:uid="{00000000-0006-0000-0E00-000095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HG73" authorId="1" shapeId="0" xr:uid="{00000000-0006-0000-0E00-000096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IC73" authorId="1" shapeId="0" xr:uid="{00000000-0006-0000-0E00-000097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ID73" authorId="1" shapeId="0" xr:uid="{00000000-0006-0000-0E00-000098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IE73" authorId="1" shapeId="0" xr:uid="{00000000-0006-0000-0E00-000099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IV73" authorId="0" shapeId="0" xr:uid="{00000000-0006-0000-0E00-00009A0A0000}">
      <text>
        <r>
          <rPr>
            <sz val="9"/>
            <color indexed="81"/>
            <rFont val="Tahoma"/>
            <family val="2"/>
          </rPr>
          <t>Could not find source file for Nodaway county.</t>
        </r>
      </text>
    </comment>
    <comment ref="IW73" authorId="0" shapeId="0" xr:uid="{00000000-0006-0000-0E00-00009B0A0000}">
      <text>
        <r>
          <rPr>
            <sz val="9"/>
            <color indexed="81"/>
            <rFont val="Tahoma"/>
            <family val="2"/>
          </rPr>
          <t>Could not find source file for Nodaway county.</t>
        </r>
      </text>
    </comment>
    <comment ref="IX73" authorId="1" shapeId="0" xr:uid="{00000000-0006-0000-0E00-00009C0A0000}">
      <text>
        <r>
          <rPr>
            <sz val="9"/>
            <color indexed="81"/>
            <rFont val="Tahoma"/>
            <family val="2"/>
          </rPr>
          <t>Could not find source file for Nodaway county.</t>
        </r>
      </text>
    </comment>
    <comment ref="IY73" authorId="0" shapeId="0" xr:uid="{00000000-0006-0000-0E00-00009D0A0000}">
      <text>
        <r>
          <rPr>
            <sz val="9"/>
            <color indexed="81"/>
            <rFont val="Tahoma"/>
            <family val="2"/>
          </rPr>
          <t>Could not find source file for Nodaway county.</t>
        </r>
      </text>
    </comment>
    <comment ref="IZ73" authorId="1" shapeId="0" xr:uid="{00000000-0006-0000-0E00-00009E0A0000}">
      <text>
        <r>
          <rPr>
            <sz val="9"/>
            <color indexed="81"/>
            <rFont val="Tahoma"/>
            <family val="2"/>
          </rPr>
          <t>Could not find source file for Nodaway county.</t>
        </r>
      </text>
    </comment>
    <comment ref="JA73" authorId="1" shapeId="0" xr:uid="{00000000-0006-0000-0E00-00009F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JB73" authorId="1" shapeId="0" xr:uid="{00000000-0006-0000-0E00-0000A0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JC73" authorId="1" shapeId="0" xr:uid="{00000000-0006-0000-0E00-0000A1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JY73" authorId="1" shapeId="0" xr:uid="{00000000-0006-0000-0E00-0000A2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JZ73" authorId="1" shapeId="0" xr:uid="{00000000-0006-0000-0E00-0000A3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KA73" authorId="1" shapeId="0" xr:uid="{00000000-0006-0000-0E00-0000A4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KW73" authorId="1" shapeId="0" xr:uid="{00000000-0006-0000-0E00-0000A5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KX73" authorId="1" shapeId="0" xr:uid="{00000000-0006-0000-0E00-0000A6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KY73" authorId="1" shapeId="0" xr:uid="{00000000-0006-0000-0E00-0000A7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LU73" authorId="1" shapeId="0" xr:uid="{00000000-0006-0000-0E00-0000A8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LV73" authorId="1" shapeId="0" xr:uid="{00000000-0006-0000-0E00-0000A9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LW73" authorId="1" shapeId="0" xr:uid="{00000000-0006-0000-0E00-0000AA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MS73" authorId="1" shapeId="0" xr:uid="{00000000-0006-0000-0E00-0000AB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MT73" authorId="1" shapeId="0" xr:uid="{00000000-0006-0000-0E00-0000AC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MU73" authorId="1" shapeId="0" xr:uid="{00000000-0006-0000-0E00-0000AD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NQ73" authorId="1" shapeId="0" xr:uid="{00000000-0006-0000-0E00-0000AE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NR73" authorId="1" shapeId="0" xr:uid="{00000000-0006-0000-0E00-0000AF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NS73" authorId="1" shapeId="0" xr:uid="{00000000-0006-0000-0E00-0000B0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OO73" authorId="1" shapeId="0" xr:uid="{00000000-0006-0000-0E00-0000B1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OP73" authorId="1" shapeId="0" xr:uid="{00000000-0006-0000-0E00-0000B2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OQ73" authorId="1" shapeId="0" xr:uid="{00000000-0006-0000-0E00-0000B3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PM73" authorId="1" shapeId="0" xr:uid="{00000000-0006-0000-0E00-0000B4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PN73" authorId="1" shapeId="0" xr:uid="{00000000-0006-0000-0E00-0000B5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PO73" authorId="1" shapeId="0" xr:uid="{00000000-0006-0000-0E00-0000B6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QK73" authorId="1" shapeId="0" xr:uid="{00000000-0006-0000-0E00-0000B7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QL73" authorId="1" shapeId="0" xr:uid="{00000000-0006-0000-0E00-0000B8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QM73" authorId="1" shapeId="0" xr:uid="{00000000-0006-0000-0E00-0000B9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RI73" authorId="1" shapeId="0" xr:uid="{00000000-0006-0000-0E00-0000BA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RJ73" authorId="1" shapeId="0" xr:uid="{00000000-0006-0000-0E00-0000BB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RK73" authorId="1" shapeId="0" xr:uid="{00000000-0006-0000-0E00-0000BC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SG73" authorId="1" shapeId="0" xr:uid="{00000000-0006-0000-0E00-0000BD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SH73" authorId="1" shapeId="0" xr:uid="{00000000-0006-0000-0E00-0000BE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SI73" authorId="1" shapeId="0" xr:uid="{00000000-0006-0000-0E00-0000BF0A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IV74" authorId="0" shapeId="0" xr:uid="{00000000-0006-0000-0E00-0000C00A0000}">
      <text>
        <r>
          <rPr>
            <sz val="9"/>
            <color indexed="81"/>
            <rFont val="Tahoma"/>
            <family val="2"/>
          </rPr>
          <t>Could not find source file for Oregon county.</t>
        </r>
      </text>
    </comment>
    <comment ref="IW74" authorId="0" shapeId="0" xr:uid="{00000000-0006-0000-0E00-0000C10A0000}">
      <text>
        <r>
          <rPr>
            <sz val="9"/>
            <color indexed="81"/>
            <rFont val="Tahoma"/>
            <family val="2"/>
          </rPr>
          <t>Could not find source file for Oregon county.</t>
        </r>
      </text>
    </comment>
    <comment ref="IX74" authorId="1" shapeId="0" xr:uid="{00000000-0006-0000-0E00-0000C20A0000}">
      <text>
        <r>
          <rPr>
            <sz val="9"/>
            <color indexed="81"/>
            <rFont val="Tahoma"/>
            <family val="2"/>
          </rPr>
          <t>Could not find source file for Oregon county.</t>
        </r>
      </text>
    </comment>
    <comment ref="IY74" authorId="0" shapeId="0" xr:uid="{00000000-0006-0000-0E00-0000C30A0000}">
      <text>
        <r>
          <rPr>
            <sz val="9"/>
            <color indexed="81"/>
            <rFont val="Tahoma"/>
            <family val="2"/>
          </rPr>
          <t>Could not find source file for Oregon county.</t>
        </r>
      </text>
    </comment>
    <comment ref="IZ74" authorId="1" shapeId="0" xr:uid="{00000000-0006-0000-0E00-0000C40A0000}">
      <text>
        <r>
          <rPr>
            <sz val="9"/>
            <color indexed="81"/>
            <rFont val="Tahoma"/>
            <family val="2"/>
          </rPr>
          <t>Could not find source file for Oregon county.</t>
        </r>
      </text>
    </comment>
    <comment ref="JA74" authorId="1" shapeId="0" xr:uid="{00000000-0006-0000-0E00-0000C50A0000}">
      <text>
        <r>
          <rPr>
            <sz val="9"/>
            <color indexed="81"/>
            <rFont val="Tahoma"/>
            <charset val="1"/>
          </rPr>
          <t>Could not find source file for Oregon county.</t>
        </r>
      </text>
    </comment>
    <comment ref="JB74" authorId="1" shapeId="0" xr:uid="{00000000-0006-0000-0E00-0000C60A0000}">
      <text>
        <r>
          <rPr>
            <sz val="9"/>
            <color indexed="81"/>
            <rFont val="Tahoma"/>
            <charset val="1"/>
          </rPr>
          <t>Could not find source file for Oregon county.</t>
        </r>
      </text>
    </comment>
    <comment ref="JC74" authorId="1" shapeId="0" xr:uid="{00000000-0006-0000-0E00-0000C70A0000}">
      <text>
        <r>
          <rPr>
            <sz val="9"/>
            <color indexed="81"/>
            <rFont val="Tahoma"/>
            <charset val="1"/>
          </rPr>
          <t>Could not find source file for Oregon county.</t>
        </r>
      </text>
    </comment>
    <comment ref="R75" authorId="1" shapeId="0" xr:uid="{00000000-0006-0000-0E00-0000C8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AP75" authorId="1" shapeId="0" xr:uid="{00000000-0006-0000-0E00-0000C9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BN75" authorId="1" shapeId="0" xr:uid="{00000000-0006-0000-0E00-0000CA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CL75" authorId="1" shapeId="0" xr:uid="{00000000-0006-0000-0E00-0000CB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DJ75" authorId="1" shapeId="0" xr:uid="{00000000-0006-0000-0E00-0000CC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EH75" authorId="1" shapeId="0" xr:uid="{00000000-0006-0000-0E00-0000CD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FF75" authorId="1" shapeId="0" xr:uid="{00000000-0006-0000-0E00-0000CE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GD75" authorId="1" shapeId="0" xr:uid="{00000000-0006-0000-0E00-0000CF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HB75" authorId="1" shapeId="0" xr:uid="{00000000-0006-0000-0E00-0000D0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HZ75" authorId="1" shapeId="0" xr:uid="{00000000-0006-0000-0E00-0000D1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IV75" authorId="0" shapeId="0" xr:uid="{00000000-0006-0000-0E00-0000D2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IW75" authorId="0" shapeId="0" xr:uid="{00000000-0006-0000-0E00-0000D3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IX75" authorId="1" shapeId="0" xr:uid="{00000000-0006-0000-0E00-0000D4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IY75" authorId="0" shapeId="0" xr:uid="{00000000-0006-0000-0E00-0000D5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IZ75" authorId="1" shapeId="0" xr:uid="{00000000-0006-0000-0E00-0000D6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JA75" authorId="1" shapeId="0" xr:uid="{00000000-0006-0000-0E00-0000D70A0000}">
      <text>
        <r>
          <rPr>
            <sz val="9"/>
            <color indexed="81"/>
            <rFont val="Tahoma"/>
            <charset val="1"/>
          </rPr>
          <t>Could not find source file for Osage county.</t>
        </r>
      </text>
    </comment>
    <comment ref="JB75" authorId="1" shapeId="0" xr:uid="{00000000-0006-0000-0E00-0000D80A0000}">
      <text>
        <r>
          <rPr>
            <sz val="9"/>
            <color indexed="81"/>
            <rFont val="Tahoma"/>
            <charset val="1"/>
          </rPr>
          <t>Could not find source file for Osage county.</t>
        </r>
      </text>
    </comment>
    <comment ref="JC75" authorId="1" shapeId="0" xr:uid="{00000000-0006-0000-0E00-0000D90A0000}">
      <text>
        <r>
          <rPr>
            <sz val="9"/>
            <color indexed="81"/>
            <rFont val="Tahoma"/>
            <charset val="1"/>
          </rPr>
          <t>Could not find source file for Osage county.</t>
        </r>
      </text>
    </comment>
    <comment ref="JV75" authorId="1" shapeId="0" xr:uid="{00000000-0006-0000-0E00-0000DA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KT75" authorId="1" shapeId="0" xr:uid="{00000000-0006-0000-0E00-0000DB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LR75" authorId="1" shapeId="0" xr:uid="{00000000-0006-0000-0E00-0000DC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MP75" authorId="1" shapeId="0" xr:uid="{00000000-0006-0000-0E00-0000DD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NN75" authorId="1" shapeId="0" xr:uid="{00000000-0006-0000-0E00-0000DE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OL75" authorId="1" shapeId="0" xr:uid="{00000000-0006-0000-0E00-0000DF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PJ75" authorId="1" shapeId="0" xr:uid="{00000000-0006-0000-0E00-0000E0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QH75" authorId="1" shapeId="0" xr:uid="{00000000-0006-0000-0E00-0000E1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RF75" authorId="1" shapeId="0" xr:uid="{00000000-0006-0000-0E00-0000E2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SD75" authorId="1" shapeId="0" xr:uid="{00000000-0006-0000-0E00-0000E30A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U76" authorId="1" shapeId="0" xr:uid="{00000000-0006-0000-0E00-0000E4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V76" authorId="1" shapeId="0" xr:uid="{00000000-0006-0000-0E00-0000E5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W76" authorId="1" shapeId="0" xr:uid="{00000000-0006-0000-0E00-0000E6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AS76" authorId="1" shapeId="0" xr:uid="{00000000-0006-0000-0E00-0000E7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AT76" authorId="1" shapeId="0" xr:uid="{00000000-0006-0000-0E00-0000E8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AU76" authorId="1" shapeId="0" xr:uid="{00000000-0006-0000-0E00-0000E9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BQ76" authorId="1" shapeId="0" xr:uid="{00000000-0006-0000-0E00-0000EA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BR76" authorId="1" shapeId="0" xr:uid="{00000000-0006-0000-0E00-0000EB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BS76" authorId="1" shapeId="0" xr:uid="{00000000-0006-0000-0E00-0000EC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CO76" authorId="1" shapeId="0" xr:uid="{00000000-0006-0000-0E00-0000ED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CP76" authorId="1" shapeId="0" xr:uid="{00000000-0006-0000-0E00-0000EE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CQ76" authorId="1" shapeId="0" xr:uid="{00000000-0006-0000-0E00-0000EF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DM76" authorId="1" shapeId="0" xr:uid="{00000000-0006-0000-0E00-0000F0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DN76" authorId="1" shapeId="0" xr:uid="{00000000-0006-0000-0E00-0000F1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DO76" authorId="1" shapeId="0" xr:uid="{00000000-0006-0000-0E00-0000F2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EK76" authorId="1" shapeId="0" xr:uid="{00000000-0006-0000-0E00-0000F3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EL76" authorId="1" shapeId="0" xr:uid="{00000000-0006-0000-0E00-0000F4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EM76" authorId="1" shapeId="0" xr:uid="{00000000-0006-0000-0E00-0000F5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FI76" authorId="1" shapeId="0" xr:uid="{00000000-0006-0000-0E00-0000F6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FJ76" authorId="1" shapeId="0" xr:uid="{00000000-0006-0000-0E00-0000F7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FK76" authorId="1" shapeId="0" xr:uid="{00000000-0006-0000-0E00-0000F8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GG76" authorId="1" shapeId="0" xr:uid="{00000000-0006-0000-0E00-0000F9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GH76" authorId="1" shapeId="0" xr:uid="{00000000-0006-0000-0E00-0000FA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GI76" authorId="1" shapeId="0" xr:uid="{00000000-0006-0000-0E00-0000FB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HE76" authorId="1" shapeId="0" xr:uid="{00000000-0006-0000-0E00-0000FC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HF76" authorId="1" shapeId="0" xr:uid="{00000000-0006-0000-0E00-0000FD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HG76" authorId="1" shapeId="0" xr:uid="{00000000-0006-0000-0E00-0000FE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IC76" authorId="1" shapeId="0" xr:uid="{00000000-0006-0000-0E00-0000FF0A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ID76" authorId="1" shapeId="0" xr:uid="{00000000-0006-0000-0E00-000000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IE76" authorId="1" shapeId="0" xr:uid="{00000000-0006-0000-0E00-000001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IV76" authorId="0" shapeId="0" xr:uid="{00000000-0006-0000-0E00-0000020B0000}">
      <text>
        <r>
          <rPr>
            <sz val="9"/>
            <color indexed="81"/>
            <rFont val="Tahoma"/>
            <family val="2"/>
          </rPr>
          <t>Could not find source file for Ozark county.</t>
        </r>
      </text>
    </comment>
    <comment ref="IW76" authorId="0" shapeId="0" xr:uid="{00000000-0006-0000-0E00-0000030B0000}">
      <text>
        <r>
          <rPr>
            <sz val="9"/>
            <color indexed="81"/>
            <rFont val="Tahoma"/>
            <family val="2"/>
          </rPr>
          <t>Could not find source file for Ozark county.</t>
        </r>
      </text>
    </comment>
    <comment ref="IX76" authorId="1" shapeId="0" xr:uid="{00000000-0006-0000-0E00-0000040B0000}">
      <text>
        <r>
          <rPr>
            <sz val="9"/>
            <color indexed="81"/>
            <rFont val="Tahoma"/>
            <family val="2"/>
          </rPr>
          <t>Could not find source file for Ozark county.</t>
        </r>
      </text>
    </comment>
    <comment ref="IY76" authorId="0" shapeId="0" xr:uid="{00000000-0006-0000-0E00-0000050B0000}">
      <text>
        <r>
          <rPr>
            <sz val="9"/>
            <color indexed="81"/>
            <rFont val="Tahoma"/>
            <family val="2"/>
          </rPr>
          <t>Could not find source file for Ozark county.</t>
        </r>
      </text>
    </comment>
    <comment ref="IZ76" authorId="1" shapeId="0" xr:uid="{00000000-0006-0000-0E00-0000060B0000}">
      <text>
        <r>
          <rPr>
            <sz val="9"/>
            <color indexed="81"/>
            <rFont val="Tahoma"/>
            <family val="2"/>
          </rPr>
          <t>Could not find source file for Ozark county.</t>
        </r>
      </text>
    </comment>
    <comment ref="JA76" authorId="1" shapeId="0" xr:uid="{00000000-0006-0000-0E00-000007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JB76" authorId="1" shapeId="0" xr:uid="{00000000-0006-0000-0E00-000008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JC76" authorId="1" shapeId="0" xr:uid="{00000000-0006-0000-0E00-000009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JY76" authorId="1" shapeId="0" xr:uid="{00000000-0006-0000-0E00-00000A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JZ76" authorId="1" shapeId="0" xr:uid="{00000000-0006-0000-0E00-00000B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KA76" authorId="1" shapeId="0" xr:uid="{00000000-0006-0000-0E00-00000C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KW76" authorId="1" shapeId="0" xr:uid="{00000000-0006-0000-0E00-00000D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KX76" authorId="1" shapeId="0" xr:uid="{00000000-0006-0000-0E00-00000E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KY76" authorId="1" shapeId="0" xr:uid="{00000000-0006-0000-0E00-00000F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LU76" authorId="1" shapeId="0" xr:uid="{00000000-0006-0000-0E00-000010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LV76" authorId="1" shapeId="0" xr:uid="{00000000-0006-0000-0E00-000011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LW76" authorId="1" shapeId="0" xr:uid="{00000000-0006-0000-0E00-000012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MS76" authorId="1" shapeId="0" xr:uid="{00000000-0006-0000-0E00-000013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MT76" authorId="1" shapeId="0" xr:uid="{00000000-0006-0000-0E00-000014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MU76" authorId="1" shapeId="0" xr:uid="{00000000-0006-0000-0E00-000015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NQ76" authorId="1" shapeId="0" xr:uid="{00000000-0006-0000-0E00-000016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NR76" authorId="1" shapeId="0" xr:uid="{00000000-0006-0000-0E00-000017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NS76" authorId="1" shapeId="0" xr:uid="{00000000-0006-0000-0E00-000018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OO76" authorId="1" shapeId="0" xr:uid="{00000000-0006-0000-0E00-000019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OP76" authorId="1" shapeId="0" xr:uid="{00000000-0006-0000-0E00-00001A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OQ76" authorId="1" shapeId="0" xr:uid="{00000000-0006-0000-0E00-00001B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PM76" authorId="1" shapeId="0" xr:uid="{00000000-0006-0000-0E00-00001C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PN76" authorId="1" shapeId="0" xr:uid="{00000000-0006-0000-0E00-00001D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PO76" authorId="1" shapeId="0" xr:uid="{00000000-0006-0000-0E00-00001E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QK76" authorId="1" shapeId="0" xr:uid="{00000000-0006-0000-0E00-00001F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QL76" authorId="1" shapeId="0" xr:uid="{00000000-0006-0000-0E00-000020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QM76" authorId="1" shapeId="0" xr:uid="{00000000-0006-0000-0E00-000021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RI76" authorId="1" shapeId="0" xr:uid="{00000000-0006-0000-0E00-000022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RJ76" authorId="1" shapeId="0" xr:uid="{00000000-0006-0000-0E00-000023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RK76" authorId="1" shapeId="0" xr:uid="{00000000-0006-0000-0E00-000024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SG76" authorId="1" shapeId="0" xr:uid="{00000000-0006-0000-0E00-000025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SH76" authorId="1" shapeId="0" xr:uid="{00000000-0006-0000-0E00-000026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SI76" authorId="1" shapeId="0" xr:uid="{00000000-0006-0000-0E00-0000270B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P77" authorId="0" shapeId="0" xr:uid="{00000000-0006-0000-0E00-000028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R77" authorId="1" shapeId="0" xr:uid="{00000000-0006-0000-0E00-000029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T77" authorId="1" shapeId="0" xr:uid="{00000000-0006-0000-0E00-00002A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U77" authorId="1" shapeId="0" xr:uid="{00000000-0006-0000-0E00-00002B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V77" authorId="1" shapeId="0" xr:uid="{00000000-0006-0000-0E00-00002C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W77" authorId="1" shapeId="0" xr:uid="{00000000-0006-0000-0E00-00002D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AN77" authorId="0" shapeId="0" xr:uid="{00000000-0006-0000-0E00-00002E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AP77" authorId="1" shapeId="0" xr:uid="{00000000-0006-0000-0E00-00002F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AR77" authorId="1" shapeId="0" xr:uid="{00000000-0006-0000-0E00-000030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AS77" authorId="1" shapeId="0" xr:uid="{00000000-0006-0000-0E00-000031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AT77" authorId="1" shapeId="0" xr:uid="{00000000-0006-0000-0E00-000032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AU77" authorId="1" shapeId="0" xr:uid="{00000000-0006-0000-0E00-000033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BL77" authorId="0" shapeId="0" xr:uid="{00000000-0006-0000-0E00-000034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BN77" authorId="1" shapeId="0" xr:uid="{00000000-0006-0000-0E00-000035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BP77" authorId="1" shapeId="0" xr:uid="{00000000-0006-0000-0E00-000036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BQ77" authorId="1" shapeId="0" xr:uid="{00000000-0006-0000-0E00-000037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BR77" authorId="1" shapeId="0" xr:uid="{00000000-0006-0000-0E00-000038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BS77" authorId="1" shapeId="0" xr:uid="{00000000-0006-0000-0E00-000039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CJ77" authorId="0" shapeId="0" xr:uid="{00000000-0006-0000-0E00-00003A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CL77" authorId="1" shapeId="0" xr:uid="{00000000-0006-0000-0E00-00003B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CN77" authorId="1" shapeId="0" xr:uid="{00000000-0006-0000-0E00-00003C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CO77" authorId="1" shapeId="0" xr:uid="{00000000-0006-0000-0E00-00003D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CP77" authorId="1" shapeId="0" xr:uid="{00000000-0006-0000-0E00-00003E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CQ77" authorId="1" shapeId="0" xr:uid="{00000000-0006-0000-0E00-00003F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DH77" authorId="0" shapeId="0" xr:uid="{00000000-0006-0000-0E00-000040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DJ77" authorId="1" shapeId="0" xr:uid="{00000000-0006-0000-0E00-000041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DL77" authorId="1" shapeId="0" xr:uid="{00000000-0006-0000-0E00-000042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DM77" authorId="1" shapeId="0" xr:uid="{00000000-0006-0000-0E00-000043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DN77" authorId="1" shapeId="0" xr:uid="{00000000-0006-0000-0E00-000044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DO77" authorId="1" shapeId="0" xr:uid="{00000000-0006-0000-0E00-000045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EF77" authorId="0" shapeId="0" xr:uid="{00000000-0006-0000-0E00-000046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EH77" authorId="1" shapeId="0" xr:uid="{00000000-0006-0000-0E00-000047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EJ77" authorId="1" shapeId="0" xr:uid="{00000000-0006-0000-0E00-000048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EK77" authorId="1" shapeId="0" xr:uid="{00000000-0006-0000-0E00-000049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EL77" authorId="1" shapeId="0" xr:uid="{00000000-0006-0000-0E00-00004A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EM77" authorId="1" shapeId="0" xr:uid="{00000000-0006-0000-0E00-00004B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FD77" authorId="0" shapeId="0" xr:uid="{00000000-0006-0000-0E00-00004C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FF77" authorId="1" shapeId="0" xr:uid="{00000000-0006-0000-0E00-00004D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FH77" authorId="1" shapeId="0" xr:uid="{00000000-0006-0000-0E00-00004E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FI77" authorId="1" shapeId="0" xr:uid="{00000000-0006-0000-0E00-00004F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FJ77" authorId="1" shapeId="0" xr:uid="{00000000-0006-0000-0E00-000050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FK77" authorId="1" shapeId="0" xr:uid="{00000000-0006-0000-0E00-000051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GB77" authorId="0" shapeId="0" xr:uid="{00000000-0006-0000-0E00-000052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GD77" authorId="1" shapeId="0" xr:uid="{00000000-0006-0000-0E00-000053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GF77" authorId="1" shapeId="0" xr:uid="{00000000-0006-0000-0E00-000054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GG77" authorId="1" shapeId="0" xr:uid="{00000000-0006-0000-0E00-000055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GH77" authorId="1" shapeId="0" xr:uid="{00000000-0006-0000-0E00-000056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GI77" authorId="1" shapeId="0" xr:uid="{00000000-0006-0000-0E00-000057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GZ77" authorId="0" shapeId="0" xr:uid="{00000000-0006-0000-0E00-000058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HB77" authorId="1" shapeId="0" xr:uid="{00000000-0006-0000-0E00-000059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HD77" authorId="1" shapeId="0" xr:uid="{00000000-0006-0000-0E00-00005A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HE77" authorId="1" shapeId="0" xr:uid="{00000000-0006-0000-0E00-00005B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HF77" authorId="1" shapeId="0" xr:uid="{00000000-0006-0000-0E00-00005C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HG77" authorId="1" shapeId="0" xr:uid="{00000000-0006-0000-0E00-00005D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HX77" authorId="0" shapeId="0" xr:uid="{00000000-0006-0000-0E00-00005E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HZ77" authorId="1" shapeId="0" xr:uid="{00000000-0006-0000-0E00-00005F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IB77" authorId="1" shapeId="0" xr:uid="{00000000-0006-0000-0E00-000060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IC77" authorId="1" shapeId="0" xr:uid="{00000000-0006-0000-0E00-000061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ID77" authorId="1" shapeId="0" xr:uid="{00000000-0006-0000-0E00-000062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IE77" authorId="1" shapeId="0" xr:uid="{00000000-0006-0000-0E00-000063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IV77" authorId="0" shapeId="0" xr:uid="{00000000-0006-0000-0E00-000064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IW77" authorId="0" shapeId="0" xr:uid="{00000000-0006-0000-0E00-000065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IX77" authorId="1" shapeId="0" xr:uid="{00000000-0006-0000-0E00-000066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IY77" authorId="0" shapeId="0" xr:uid="{00000000-0006-0000-0E00-000067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IZ77" authorId="1" shapeId="0" xr:uid="{00000000-0006-0000-0E00-000068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JA77" authorId="1" shapeId="0" xr:uid="{00000000-0006-0000-0E00-000069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JB77" authorId="1" shapeId="0" xr:uid="{00000000-0006-0000-0E00-00006A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JC77" authorId="1" shapeId="0" xr:uid="{00000000-0006-0000-0E00-00006B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JT77" authorId="0" shapeId="0" xr:uid="{00000000-0006-0000-0E00-00006C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JV77" authorId="1" shapeId="0" xr:uid="{00000000-0006-0000-0E00-00006D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JX77" authorId="1" shapeId="0" xr:uid="{00000000-0006-0000-0E00-00006E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JY77" authorId="1" shapeId="0" xr:uid="{00000000-0006-0000-0E00-00006F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JZ77" authorId="1" shapeId="0" xr:uid="{00000000-0006-0000-0E00-000070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KA77" authorId="1" shapeId="0" xr:uid="{00000000-0006-0000-0E00-000071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KR77" authorId="0" shapeId="0" xr:uid="{00000000-0006-0000-0E00-000072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KT77" authorId="1" shapeId="0" xr:uid="{00000000-0006-0000-0E00-000073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KV77" authorId="1" shapeId="0" xr:uid="{00000000-0006-0000-0E00-000074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KW77" authorId="1" shapeId="0" xr:uid="{00000000-0006-0000-0E00-000075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KX77" authorId="1" shapeId="0" xr:uid="{00000000-0006-0000-0E00-000076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KY77" authorId="1" shapeId="0" xr:uid="{00000000-0006-0000-0E00-000077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LP77" authorId="0" shapeId="0" xr:uid="{00000000-0006-0000-0E00-000078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LR77" authorId="1" shapeId="0" xr:uid="{00000000-0006-0000-0E00-000079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LT77" authorId="1" shapeId="0" xr:uid="{00000000-0006-0000-0E00-00007A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LU77" authorId="1" shapeId="0" xr:uid="{00000000-0006-0000-0E00-00007B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LV77" authorId="1" shapeId="0" xr:uid="{00000000-0006-0000-0E00-00007C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LW77" authorId="1" shapeId="0" xr:uid="{00000000-0006-0000-0E00-00007D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MN77" authorId="0" shapeId="0" xr:uid="{00000000-0006-0000-0E00-00007E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MP77" authorId="1" shapeId="0" xr:uid="{00000000-0006-0000-0E00-00007F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MR77" authorId="1" shapeId="0" xr:uid="{00000000-0006-0000-0E00-000080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MS77" authorId="1" shapeId="0" xr:uid="{00000000-0006-0000-0E00-000081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MT77" authorId="1" shapeId="0" xr:uid="{00000000-0006-0000-0E00-000082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MU77" authorId="1" shapeId="0" xr:uid="{00000000-0006-0000-0E00-000083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NL77" authorId="0" shapeId="0" xr:uid="{00000000-0006-0000-0E00-000084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NN77" authorId="1" shapeId="0" xr:uid="{00000000-0006-0000-0E00-000085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NP77" authorId="1" shapeId="0" xr:uid="{00000000-0006-0000-0E00-000086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NQ77" authorId="1" shapeId="0" xr:uid="{00000000-0006-0000-0E00-000087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NR77" authorId="1" shapeId="0" xr:uid="{00000000-0006-0000-0E00-000088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NS77" authorId="1" shapeId="0" xr:uid="{00000000-0006-0000-0E00-000089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OJ77" authorId="0" shapeId="0" xr:uid="{00000000-0006-0000-0E00-00008A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OL77" authorId="1" shapeId="0" xr:uid="{00000000-0006-0000-0E00-00008B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ON77" authorId="1" shapeId="0" xr:uid="{00000000-0006-0000-0E00-00008C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OO77" authorId="1" shapeId="0" xr:uid="{00000000-0006-0000-0E00-00008D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OP77" authorId="1" shapeId="0" xr:uid="{00000000-0006-0000-0E00-00008E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OQ77" authorId="1" shapeId="0" xr:uid="{00000000-0006-0000-0E00-00008F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PH77" authorId="0" shapeId="0" xr:uid="{00000000-0006-0000-0E00-000090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PJ77" authorId="1" shapeId="0" xr:uid="{00000000-0006-0000-0E00-000091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PL77" authorId="1" shapeId="0" xr:uid="{00000000-0006-0000-0E00-000092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PM77" authorId="1" shapeId="0" xr:uid="{00000000-0006-0000-0E00-000093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PN77" authorId="1" shapeId="0" xr:uid="{00000000-0006-0000-0E00-000094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PO77" authorId="1" shapeId="0" xr:uid="{00000000-0006-0000-0E00-000095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QF77" authorId="0" shapeId="0" xr:uid="{00000000-0006-0000-0E00-000096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QH77" authorId="1" shapeId="0" xr:uid="{00000000-0006-0000-0E00-000097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QJ77" authorId="1" shapeId="0" xr:uid="{00000000-0006-0000-0E00-000098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QK77" authorId="1" shapeId="0" xr:uid="{00000000-0006-0000-0E00-000099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QL77" authorId="1" shapeId="0" xr:uid="{00000000-0006-0000-0E00-00009A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QM77" authorId="1" shapeId="0" xr:uid="{00000000-0006-0000-0E00-00009B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RD77" authorId="0" shapeId="0" xr:uid="{00000000-0006-0000-0E00-00009C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RF77" authorId="1" shapeId="0" xr:uid="{00000000-0006-0000-0E00-00009D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RH77" authorId="1" shapeId="0" xr:uid="{00000000-0006-0000-0E00-00009E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RI77" authorId="1" shapeId="0" xr:uid="{00000000-0006-0000-0E00-00009F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RJ77" authorId="1" shapeId="0" xr:uid="{00000000-0006-0000-0E00-0000A0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RK77" authorId="1" shapeId="0" xr:uid="{00000000-0006-0000-0E00-0000A1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SB77" authorId="0" shapeId="0" xr:uid="{00000000-0006-0000-0E00-0000A2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SD77" authorId="1" shapeId="0" xr:uid="{00000000-0006-0000-0E00-0000A3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SF77" authorId="1" shapeId="0" xr:uid="{00000000-0006-0000-0E00-0000A40B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SG77" authorId="1" shapeId="0" xr:uid="{00000000-0006-0000-0E00-0000A5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SH77" authorId="1" shapeId="0" xr:uid="{00000000-0006-0000-0E00-0000A6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SI77" authorId="1" shapeId="0" xr:uid="{00000000-0006-0000-0E00-0000A70B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IV78" authorId="0" shapeId="0" xr:uid="{00000000-0006-0000-0E00-0000A80B0000}">
      <text>
        <r>
          <rPr>
            <sz val="9"/>
            <color indexed="81"/>
            <rFont val="Tahoma"/>
            <family val="2"/>
          </rPr>
          <t>Could not find source file for Perry county.</t>
        </r>
      </text>
    </comment>
    <comment ref="IW78" authorId="0" shapeId="0" xr:uid="{00000000-0006-0000-0E00-0000A90B0000}">
      <text>
        <r>
          <rPr>
            <sz val="9"/>
            <color indexed="81"/>
            <rFont val="Tahoma"/>
            <family val="2"/>
          </rPr>
          <t>Could not find source file for Perry county.</t>
        </r>
      </text>
    </comment>
    <comment ref="IX78" authorId="1" shapeId="0" xr:uid="{00000000-0006-0000-0E00-0000AA0B0000}">
      <text>
        <r>
          <rPr>
            <sz val="9"/>
            <color indexed="81"/>
            <rFont val="Tahoma"/>
            <family val="2"/>
          </rPr>
          <t>Could not find source file for Perry county.</t>
        </r>
      </text>
    </comment>
    <comment ref="IY78" authorId="0" shapeId="0" xr:uid="{00000000-0006-0000-0E00-0000AB0B0000}">
      <text>
        <r>
          <rPr>
            <sz val="9"/>
            <color indexed="81"/>
            <rFont val="Tahoma"/>
            <family val="2"/>
          </rPr>
          <t>Could not find source file for Perry county.</t>
        </r>
      </text>
    </comment>
    <comment ref="IZ78" authorId="1" shapeId="0" xr:uid="{00000000-0006-0000-0E00-0000AC0B0000}">
      <text>
        <r>
          <rPr>
            <sz val="9"/>
            <color indexed="81"/>
            <rFont val="Tahoma"/>
            <family val="2"/>
          </rPr>
          <t>Could not find source file for Perry county.</t>
        </r>
      </text>
    </comment>
    <comment ref="JA78" authorId="1" shapeId="0" xr:uid="{00000000-0006-0000-0E00-0000AD0B0000}">
      <text>
        <r>
          <rPr>
            <sz val="9"/>
            <color indexed="81"/>
            <rFont val="Tahoma"/>
            <charset val="1"/>
          </rPr>
          <t>Could not find source file for Perry county.</t>
        </r>
      </text>
    </comment>
    <comment ref="JB78" authorId="1" shapeId="0" xr:uid="{00000000-0006-0000-0E00-0000AE0B0000}">
      <text>
        <r>
          <rPr>
            <sz val="9"/>
            <color indexed="81"/>
            <rFont val="Tahoma"/>
            <charset val="1"/>
          </rPr>
          <t>Could not find source file for Perry county.</t>
        </r>
      </text>
    </comment>
    <comment ref="JC78" authorId="1" shapeId="0" xr:uid="{00000000-0006-0000-0E00-0000AF0B0000}">
      <text>
        <r>
          <rPr>
            <sz val="9"/>
            <color indexed="81"/>
            <rFont val="Tahoma"/>
            <charset val="1"/>
          </rPr>
          <t>Could not find source file for Perry county.</t>
        </r>
      </text>
    </comment>
    <comment ref="IV79" authorId="0" shapeId="0" xr:uid="{00000000-0006-0000-0E00-0000B00B0000}">
      <text>
        <r>
          <rPr>
            <sz val="9"/>
            <color indexed="81"/>
            <rFont val="Tahoma"/>
            <family val="2"/>
          </rPr>
          <t>Could not find source file for Phelps county.</t>
        </r>
      </text>
    </comment>
    <comment ref="IW79" authorId="0" shapeId="0" xr:uid="{00000000-0006-0000-0E00-0000B10B0000}">
      <text>
        <r>
          <rPr>
            <sz val="9"/>
            <color indexed="81"/>
            <rFont val="Tahoma"/>
            <family val="2"/>
          </rPr>
          <t>Could not find source file for Phelps county.</t>
        </r>
      </text>
    </comment>
    <comment ref="IX79" authorId="1" shapeId="0" xr:uid="{00000000-0006-0000-0E00-0000B20B0000}">
      <text>
        <r>
          <rPr>
            <sz val="9"/>
            <color indexed="81"/>
            <rFont val="Tahoma"/>
            <family val="2"/>
          </rPr>
          <t>Could not find source file for Phelps county.</t>
        </r>
      </text>
    </comment>
    <comment ref="IY79" authorId="0" shapeId="0" xr:uid="{00000000-0006-0000-0E00-0000B30B0000}">
      <text>
        <r>
          <rPr>
            <sz val="9"/>
            <color indexed="81"/>
            <rFont val="Tahoma"/>
            <family val="2"/>
          </rPr>
          <t>Could not find source file for Phelps county.</t>
        </r>
      </text>
    </comment>
    <comment ref="IZ79" authorId="1" shapeId="0" xr:uid="{00000000-0006-0000-0E00-0000B40B0000}">
      <text>
        <r>
          <rPr>
            <sz val="9"/>
            <color indexed="81"/>
            <rFont val="Tahoma"/>
            <family val="2"/>
          </rPr>
          <t>Could not find source file for Phelps county.</t>
        </r>
      </text>
    </comment>
    <comment ref="JA79" authorId="1" shapeId="0" xr:uid="{00000000-0006-0000-0E00-0000B50B0000}">
      <text>
        <r>
          <rPr>
            <sz val="9"/>
            <color indexed="81"/>
            <rFont val="Tahoma"/>
            <charset val="1"/>
          </rPr>
          <t>Could not find source file for Phelps county.</t>
        </r>
      </text>
    </comment>
    <comment ref="JB79" authorId="1" shapeId="0" xr:uid="{00000000-0006-0000-0E00-0000B60B0000}">
      <text>
        <r>
          <rPr>
            <sz val="9"/>
            <color indexed="81"/>
            <rFont val="Tahoma"/>
            <charset val="1"/>
          </rPr>
          <t>Could not find source file for Phelps county.</t>
        </r>
      </text>
    </comment>
    <comment ref="JC79" authorId="1" shapeId="0" xr:uid="{00000000-0006-0000-0E00-0000B70B0000}">
      <text>
        <r>
          <rPr>
            <sz val="9"/>
            <color indexed="81"/>
            <rFont val="Tahoma"/>
            <charset val="1"/>
          </rPr>
          <t>Could not find source file for Phelps county.</t>
        </r>
      </text>
    </comment>
    <comment ref="R80" authorId="1" shapeId="0" xr:uid="{00000000-0006-0000-0E00-0000B8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S80" authorId="0" shapeId="0" xr:uid="{00000000-0006-0000-0E00-0000B9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T80" authorId="1" shapeId="0" xr:uid="{00000000-0006-0000-0E00-0000BA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U80" authorId="1" shapeId="0" xr:uid="{00000000-0006-0000-0E00-0000BB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V80" authorId="1" shapeId="0" xr:uid="{00000000-0006-0000-0E00-0000BC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W80" authorId="1" shapeId="0" xr:uid="{00000000-0006-0000-0E00-0000BD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AP80" authorId="1" shapeId="0" xr:uid="{00000000-0006-0000-0E00-0000BE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AQ80" authorId="0" shapeId="0" xr:uid="{00000000-0006-0000-0E00-0000BF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AR80" authorId="1" shapeId="0" xr:uid="{00000000-0006-0000-0E00-0000C0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AS80" authorId="1" shapeId="0" xr:uid="{00000000-0006-0000-0E00-0000C1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AT80" authorId="1" shapeId="0" xr:uid="{00000000-0006-0000-0E00-0000C2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AU80" authorId="1" shapeId="0" xr:uid="{00000000-0006-0000-0E00-0000C3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BN80" authorId="1" shapeId="0" xr:uid="{00000000-0006-0000-0E00-0000C4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BO80" authorId="0" shapeId="0" xr:uid="{00000000-0006-0000-0E00-0000C5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BP80" authorId="1" shapeId="0" xr:uid="{00000000-0006-0000-0E00-0000C6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BQ80" authorId="1" shapeId="0" xr:uid="{00000000-0006-0000-0E00-0000C7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BR80" authorId="1" shapeId="0" xr:uid="{00000000-0006-0000-0E00-0000C8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BS80" authorId="1" shapeId="0" xr:uid="{00000000-0006-0000-0E00-0000C9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CL80" authorId="1" shapeId="0" xr:uid="{00000000-0006-0000-0E00-0000CA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CM80" authorId="0" shapeId="0" xr:uid="{00000000-0006-0000-0E00-0000CB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CN80" authorId="1" shapeId="0" xr:uid="{00000000-0006-0000-0E00-0000CC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CO80" authorId="1" shapeId="0" xr:uid="{00000000-0006-0000-0E00-0000CD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CP80" authorId="1" shapeId="0" xr:uid="{00000000-0006-0000-0E00-0000CE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CQ80" authorId="1" shapeId="0" xr:uid="{00000000-0006-0000-0E00-0000CF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DJ80" authorId="1" shapeId="0" xr:uid="{00000000-0006-0000-0E00-0000D0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DK80" authorId="0" shapeId="0" xr:uid="{00000000-0006-0000-0E00-0000D1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DL80" authorId="1" shapeId="0" xr:uid="{00000000-0006-0000-0E00-0000D2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DM80" authorId="1" shapeId="0" xr:uid="{00000000-0006-0000-0E00-0000D3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DN80" authorId="1" shapeId="0" xr:uid="{00000000-0006-0000-0E00-0000D4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DO80" authorId="1" shapeId="0" xr:uid="{00000000-0006-0000-0E00-0000D5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EH80" authorId="1" shapeId="0" xr:uid="{00000000-0006-0000-0E00-0000D6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EI80" authorId="0" shapeId="0" xr:uid="{00000000-0006-0000-0E00-0000D7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EJ80" authorId="1" shapeId="0" xr:uid="{00000000-0006-0000-0E00-0000D8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EK80" authorId="1" shapeId="0" xr:uid="{00000000-0006-0000-0E00-0000D9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EL80" authorId="1" shapeId="0" xr:uid="{00000000-0006-0000-0E00-0000DA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EM80" authorId="1" shapeId="0" xr:uid="{00000000-0006-0000-0E00-0000DB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FF80" authorId="1" shapeId="0" xr:uid="{00000000-0006-0000-0E00-0000DC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FG80" authorId="0" shapeId="0" xr:uid="{00000000-0006-0000-0E00-0000DD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FH80" authorId="1" shapeId="0" xr:uid="{00000000-0006-0000-0E00-0000DE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FI80" authorId="1" shapeId="0" xr:uid="{00000000-0006-0000-0E00-0000DF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FJ80" authorId="1" shapeId="0" xr:uid="{00000000-0006-0000-0E00-0000E0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FK80" authorId="1" shapeId="0" xr:uid="{00000000-0006-0000-0E00-0000E1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GD80" authorId="1" shapeId="0" xr:uid="{00000000-0006-0000-0E00-0000E2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GE80" authorId="0" shapeId="0" xr:uid="{00000000-0006-0000-0E00-0000E3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GF80" authorId="1" shapeId="0" xr:uid="{00000000-0006-0000-0E00-0000E4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GG80" authorId="1" shapeId="0" xr:uid="{00000000-0006-0000-0E00-0000E5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GH80" authorId="1" shapeId="0" xr:uid="{00000000-0006-0000-0E00-0000E6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GI80" authorId="1" shapeId="0" xr:uid="{00000000-0006-0000-0E00-0000E7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HB80" authorId="1" shapeId="0" xr:uid="{00000000-0006-0000-0E00-0000E8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HC80" authorId="0" shapeId="0" xr:uid="{00000000-0006-0000-0E00-0000E9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HD80" authorId="1" shapeId="0" xr:uid="{00000000-0006-0000-0E00-0000EA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HE80" authorId="1" shapeId="0" xr:uid="{00000000-0006-0000-0E00-0000EB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HF80" authorId="1" shapeId="0" xr:uid="{00000000-0006-0000-0E00-0000EC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HG80" authorId="1" shapeId="0" xr:uid="{00000000-0006-0000-0E00-0000ED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HZ80" authorId="1" shapeId="0" xr:uid="{00000000-0006-0000-0E00-0000EE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IA80" authorId="0" shapeId="0" xr:uid="{00000000-0006-0000-0E00-0000EF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IB80" authorId="1" shapeId="0" xr:uid="{00000000-0006-0000-0E00-0000F0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IC80" authorId="1" shapeId="0" xr:uid="{00000000-0006-0000-0E00-0000F1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ID80" authorId="1" shapeId="0" xr:uid="{00000000-0006-0000-0E00-0000F2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IE80" authorId="1" shapeId="0" xr:uid="{00000000-0006-0000-0E00-0000F3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IV80" authorId="0" shapeId="0" xr:uid="{00000000-0006-0000-0E00-0000F4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IW80" authorId="0" shapeId="0" xr:uid="{00000000-0006-0000-0E00-0000F5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IX80" authorId="1" shapeId="0" xr:uid="{00000000-0006-0000-0E00-0000F6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IY80" authorId="0" shapeId="0" xr:uid="{00000000-0006-0000-0E00-0000F7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IZ80" authorId="1" shapeId="0" xr:uid="{00000000-0006-0000-0E00-0000F8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JA80" authorId="1" shapeId="0" xr:uid="{00000000-0006-0000-0E00-0000F9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JB80" authorId="1" shapeId="0" xr:uid="{00000000-0006-0000-0E00-0000FA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JC80" authorId="1" shapeId="0" xr:uid="{00000000-0006-0000-0E00-0000FB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JV80" authorId="1" shapeId="0" xr:uid="{00000000-0006-0000-0E00-0000FC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JW80" authorId="0" shapeId="0" xr:uid="{00000000-0006-0000-0E00-0000FD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JX80" authorId="1" shapeId="0" xr:uid="{00000000-0006-0000-0E00-0000FE0B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JY80" authorId="1" shapeId="0" xr:uid="{00000000-0006-0000-0E00-0000FF0B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JZ80" authorId="1" shapeId="0" xr:uid="{00000000-0006-0000-0E00-000000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KA80" authorId="1" shapeId="0" xr:uid="{00000000-0006-0000-0E00-000001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KT80" authorId="1" shapeId="0" xr:uid="{00000000-0006-0000-0E00-000002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KU80" authorId="0" shapeId="0" xr:uid="{00000000-0006-0000-0E00-000003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KV80" authorId="1" shapeId="0" xr:uid="{00000000-0006-0000-0E00-000004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KW80" authorId="1" shapeId="0" xr:uid="{00000000-0006-0000-0E00-000005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KX80" authorId="1" shapeId="0" xr:uid="{00000000-0006-0000-0E00-000006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KY80" authorId="1" shapeId="0" xr:uid="{00000000-0006-0000-0E00-000007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LR80" authorId="1" shapeId="0" xr:uid="{00000000-0006-0000-0E00-000008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LS80" authorId="0" shapeId="0" xr:uid="{00000000-0006-0000-0E00-000009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LT80" authorId="1" shapeId="0" xr:uid="{00000000-0006-0000-0E00-00000A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LU80" authorId="1" shapeId="0" xr:uid="{00000000-0006-0000-0E00-00000B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LV80" authorId="1" shapeId="0" xr:uid="{00000000-0006-0000-0E00-00000C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LW80" authorId="1" shapeId="0" xr:uid="{00000000-0006-0000-0E00-00000D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MP80" authorId="1" shapeId="0" xr:uid="{00000000-0006-0000-0E00-00000E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MQ80" authorId="0" shapeId="0" xr:uid="{00000000-0006-0000-0E00-00000F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MR80" authorId="1" shapeId="0" xr:uid="{00000000-0006-0000-0E00-000010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MS80" authorId="1" shapeId="0" xr:uid="{00000000-0006-0000-0E00-000011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MT80" authorId="1" shapeId="0" xr:uid="{00000000-0006-0000-0E00-000012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MU80" authorId="1" shapeId="0" xr:uid="{00000000-0006-0000-0E00-000013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NN80" authorId="1" shapeId="0" xr:uid="{00000000-0006-0000-0E00-000014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NO80" authorId="0" shapeId="0" xr:uid="{00000000-0006-0000-0E00-000015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NP80" authorId="1" shapeId="0" xr:uid="{00000000-0006-0000-0E00-000016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NQ80" authorId="1" shapeId="0" xr:uid="{00000000-0006-0000-0E00-000017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NR80" authorId="1" shapeId="0" xr:uid="{00000000-0006-0000-0E00-000018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NS80" authorId="1" shapeId="0" xr:uid="{00000000-0006-0000-0E00-000019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OL80" authorId="1" shapeId="0" xr:uid="{00000000-0006-0000-0E00-00001A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OM80" authorId="0" shapeId="0" xr:uid="{00000000-0006-0000-0E00-00001B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ON80" authorId="1" shapeId="0" xr:uid="{00000000-0006-0000-0E00-00001C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OO80" authorId="1" shapeId="0" xr:uid="{00000000-0006-0000-0E00-00001D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OP80" authorId="1" shapeId="0" xr:uid="{00000000-0006-0000-0E00-00001E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OQ80" authorId="1" shapeId="0" xr:uid="{00000000-0006-0000-0E00-00001F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PJ80" authorId="1" shapeId="0" xr:uid="{00000000-0006-0000-0E00-000020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PK80" authorId="0" shapeId="0" xr:uid="{00000000-0006-0000-0E00-000021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PL80" authorId="1" shapeId="0" xr:uid="{00000000-0006-0000-0E00-000022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PM80" authorId="1" shapeId="0" xr:uid="{00000000-0006-0000-0E00-000023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PN80" authorId="1" shapeId="0" xr:uid="{00000000-0006-0000-0E00-000024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PO80" authorId="1" shapeId="0" xr:uid="{00000000-0006-0000-0E00-000025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QH80" authorId="1" shapeId="0" xr:uid="{00000000-0006-0000-0E00-000026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QI80" authorId="0" shapeId="0" xr:uid="{00000000-0006-0000-0E00-000027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QJ80" authorId="1" shapeId="0" xr:uid="{00000000-0006-0000-0E00-000028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QK80" authorId="1" shapeId="0" xr:uid="{00000000-0006-0000-0E00-000029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QL80" authorId="1" shapeId="0" xr:uid="{00000000-0006-0000-0E00-00002A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QM80" authorId="1" shapeId="0" xr:uid="{00000000-0006-0000-0E00-00002B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RF80" authorId="1" shapeId="0" xr:uid="{00000000-0006-0000-0E00-00002C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RG80" authorId="0" shapeId="0" xr:uid="{00000000-0006-0000-0E00-00002D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RH80" authorId="1" shapeId="0" xr:uid="{00000000-0006-0000-0E00-00002E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RI80" authorId="1" shapeId="0" xr:uid="{00000000-0006-0000-0E00-00002F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RJ80" authorId="1" shapeId="0" xr:uid="{00000000-0006-0000-0E00-000030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RK80" authorId="1" shapeId="0" xr:uid="{00000000-0006-0000-0E00-000031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SD80" authorId="1" shapeId="0" xr:uid="{00000000-0006-0000-0E00-000032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SE80" authorId="0" shapeId="0" xr:uid="{00000000-0006-0000-0E00-000033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SF80" authorId="1" shapeId="0" xr:uid="{00000000-0006-0000-0E00-0000340C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SG80" authorId="1" shapeId="0" xr:uid="{00000000-0006-0000-0E00-000035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SH80" authorId="1" shapeId="0" xr:uid="{00000000-0006-0000-0E00-000036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SI80" authorId="1" shapeId="0" xr:uid="{00000000-0006-0000-0E00-0000370C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IV81" authorId="0" shapeId="0" xr:uid="{00000000-0006-0000-0E00-0000380C0000}">
      <text>
        <r>
          <rPr>
            <sz val="9"/>
            <color indexed="81"/>
            <rFont val="Tahoma"/>
            <family val="2"/>
          </rPr>
          <t>Could not find source file for Polk county.</t>
        </r>
      </text>
    </comment>
    <comment ref="IW81" authorId="0" shapeId="0" xr:uid="{00000000-0006-0000-0E00-0000390C0000}">
      <text>
        <r>
          <rPr>
            <sz val="9"/>
            <color indexed="81"/>
            <rFont val="Tahoma"/>
            <family val="2"/>
          </rPr>
          <t>Could not find source file for Polk county.</t>
        </r>
      </text>
    </comment>
    <comment ref="IX81" authorId="1" shapeId="0" xr:uid="{00000000-0006-0000-0E00-00003A0C0000}">
      <text>
        <r>
          <rPr>
            <sz val="9"/>
            <color indexed="81"/>
            <rFont val="Tahoma"/>
            <family val="2"/>
          </rPr>
          <t>Could not find source file for Polk county.</t>
        </r>
      </text>
    </comment>
    <comment ref="IY81" authorId="0" shapeId="0" xr:uid="{00000000-0006-0000-0E00-00003B0C0000}">
      <text>
        <r>
          <rPr>
            <sz val="9"/>
            <color indexed="81"/>
            <rFont val="Tahoma"/>
            <family val="2"/>
          </rPr>
          <t>Could not find source file for Polk county.</t>
        </r>
      </text>
    </comment>
    <comment ref="IZ81" authorId="1" shapeId="0" xr:uid="{00000000-0006-0000-0E00-00003C0C0000}">
      <text>
        <r>
          <rPr>
            <sz val="9"/>
            <color indexed="81"/>
            <rFont val="Tahoma"/>
            <family val="2"/>
          </rPr>
          <t>Could not find source file for Polk county.</t>
        </r>
      </text>
    </comment>
    <comment ref="JA81" authorId="1" shapeId="0" xr:uid="{00000000-0006-0000-0E00-00003D0C0000}">
      <text>
        <r>
          <rPr>
            <sz val="9"/>
            <color indexed="81"/>
            <rFont val="Tahoma"/>
            <charset val="1"/>
          </rPr>
          <t>Could not find source file for Polk county.</t>
        </r>
      </text>
    </comment>
    <comment ref="JB81" authorId="1" shapeId="0" xr:uid="{00000000-0006-0000-0E00-00003E0C0000}">
      <text>
        <r>
          <rPr>
            <sz val="9"/>
            <color indexed="81"/>
            <rFont val="Tahoma"/>
            <charset val="1"/>
          </rPr>
          <t>Could not find source file for Polk county.</t>
        </r>
      </text>
    </comment>
    <comment ref="JC81" authorId="1" shapeId="0" xr:uid="{00000000-0006-0000-0E00-00003F0C0000}">
      <text>
        <r>
          <rPr>
            <sz val="9"/>
            <color indexed="81"/>
            <rFont val="Tahoma"/>
            <charset val="1"/>
          </rPr>
          <t>Could not find source file for Polk county.</t>
        </r>
      </text>
    </comment>
    <comment ref="IV82" authorId="0" shapeId="0" xr:uid="{00000000-0006-0000-0E00-0000400C0000}">
      <text>
        <r>
          <rPr>
            <sz val="9"/>
            <color indexed="81"/>
            <rFont val="Tahoma"/>
            <family val="2"/>
          </rPr>
          <t>Could not find source file for Pulaski county.</t>
        </r>
      </text>
    </comment>
    <comment ref="IW82" authorId="0" shapeId="0" xr:uid="{00000000-0006-0000-0E00-0000410C0000}">
      <text>
        <r>
          <rPr>
            <sz val="9"/>
            <color indexed="81"/>
            <rFont val="Tahoma"/>
            <family val="2"/>
          </rPr>
          <t>Could not find source file for Pulaski county.</t>
        </r>
      </text>
    </comment>
    <comment ref="IX82" authorId="1" shapeId="0" xr:uid="{00000000-0006-0000-0E00-0000420C0000}">
      <text>
        <r>
          <rPr>
            <sz val="9"/>
            <color indexed="81"/>
            <rFont val="Tahoma"/>
            <family val="2"/>
          </rPr>
          <t>Could not find source file for Pulaski county.</t>
        </r>
      </text>
    </comment>
    <comment ref="IY82" authorId="0" shapeId="0" xr:uid="{00000000-0006-0000-0E00-0000430C0000}">
      <text>
        <r>
          <rPr>
            <sz val="9"/>
            <color indexed="81"/>
            <rFont val="Tahoma"/>
            <family val="2"/>
          </rPr>
          <t>Could not find source file for Pulaski county.</t>
        </r>
      </text>
    </comment>
    <comment ref="IZ82" authorId="1" shapeId="0" xr:uid="{00000000-0006-0000-0E00-0000440C0000}">
      <text>
        <r>
          <rPr>
            <sz val="9"/>
            <color indexed="81"/>
            <rFont val="Tahoma"/>
            <family val="2"/>
          </rPr>
          <t>Could not find source file for Pulaski county.</t>
        </r>
      </text>
    </comment>
    <comment ref="JA82" authorId="1" shapeId="0" xr:uid="{00000000-0006-0000-0E00-0000450C0000}">
      <text>
        <r>
          <rPr>
            <sz val="9"/>
            <color indexed="81"/>
            <rFont val="Tahoma"/>
            <charset val="1"/>
          </rPr>
          <t>Could not find source file for Pulaski county.</t>
        </r>
      </text>
    </comment>
    <comment ref="JB82" authorId="1" shapeId="0" xr:uid="{00000000-0006-0000-0E00-0000460C0000}">
      <text>
        <r>
          <rPr>
            <sz val="9"/>
            <color indexed="81"/>
            <rFont val="Tahoma"/>
            <charset val="1"/>
          </rPr>
          <t>Could not find source file for Pulaski county.</t>
        </r>
      </text>
    </comment>
    <comment ref="JC82" authorId="1" shapeId="0" xr:uid="{00000000-0006-0000-0E00-0000470C0000}">
      <text>
        <r>
          <rPr>
            <sz val="9"/>
            <color indexed="81"/>
            <rFont val="Tahoma"/>
            <charset val="1"/>
          </rPr>
          <t>Could not find source file for Pulaski county.</t>
        </r>
      </text>
    </comment>
    <comment ref="IV83" authorId="0" shapeId="0" xr:uid="{00000000-0006-0000-0E00-0000480C0000}">
      <text>
        <r>
          <rPr>
            <sz val="9"/>
            <color indexed="81"/>
            <rFont val="Tahoma"/>
            <family val="2"/>
          </rPr>
          <t>Could not find source file for Putnam county.</t>
        </r>
      </text>
    </comment>
    <comment ref="IW83" authorId="0" shapeId="0" xr:uid="{00000000-0006-0000-0E00-0000490C0000}">
      <text>
        <r>
          <rPr>
            <sz val="9"/>
            <color indexed="81"/>
            <rFont val="Tahoma"/>
            <family val="2"/>
          </rPr>
          <t>Could not find source file for Putnam county.</t>
        </r>
      </text>
    </comment>
    <comment ref="IX83" authorId="1" shapeId="0" xr:uid="{00000000-0006-0000-0E00-00004A0C0000}">
      <text>
        <r>
          <rPr>
            <sz val="9"/>
            <color indexed="81"/>
            <rFont val="Tahoma"/>
            <family val="2"/>
          </rPr>
          <t>Could not find source file for Putnam county.</t>
        </r>
      </text>
    </comment>
    <comment ref="IY83" authorId="0" shapeId="0" xr:uid="{00000000-0006-0000-0E00-00004B0C0000}">
      <text>
        <r>
          <rPr>
            <sz val="9"/>
            <color indexed="81"/>
            <rFont val="Tahoma"/>
            <family val="2"/>
          </rPr>
          <t>Could not find source file for Putnam county.</t>
        </r>
      </text>
    </comment>
    <comment ref="IZ83" authorId="1" shapeId="0" xr:uid="{00000000-0006-0000-0E00-00004C0C0000}">
      <text>
        <r>
          <rPr>
            <sz val="9"/>
            <color indexed="81"/>
            <rFont val="Tahoma"/>
            <family val="2"/>
          </rPr>
          <t>Could not find source file for Putnam county.</t>
        </r>
      </text>
    </comment>
    <comment ref="JA83" authorId="1" shapeId="0" xr:uid="{00000000-0006-0000-0E00-00004D0C0000}">
      <text>
        <r>
          <rPr>
            <sz val="9"/>
            <color indexed="81"/>
            <rFont val="Tahoma"/>
            <charset val="1"/>
          </rPr>
          <t>Could not find source file for Putnam county.</t>
        </r>
      </text>
    </comment>
    <comment ref="JB83" authorId="1" shapeId="0" xr:uid="{00000000-0006-0000-0E00-00004E0C0000}">
      <text>
        <r>
          <rPr>
            <sz val="9"/>
            <color indexed="81"/>
            <rFont val="Tahoma"/>
            <charset val="1"/>
          </rPr>
          <t>Could not find source file for Putnam county.</t>
        </r>
      </text>
    </comment>
    <comment ref="JC83" authorId="1" shapeId="0" xr:uid="{00000000-0006-0000-0E00-00004F0C0000}">
      <text>
        <r>
          <rPr>
            <sz val="9"/>
            <color indexed="81"/>
            <rFont val="Tahoma"/>
            <charset val="1"/>
          </rPr>
          <t>Could not find source file for Putnam county.</t>
        </r>
      </text>
    </comment>
    <comment ref="R84" authorId="1" shapeId="0" xr:uid="{00000000-0006-0000-0E00-000050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U84" authorId="1" shapeId="0" xr:uid="{00000000-0006-0000-0E00-000051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V84" authorId="1" shapeId="0" xr:uid="{00000000-0006-0000-0E00-000052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W84" authorId="1" shapeId="0" xr:uid="{00000000-0006-0000-0E00-000053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AP84" authorId="1" shapeId="0" xr:uid="{00000000-0006-0000-0E00-000054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AS84" authorId="1" shapeId="0" xr:uid="{00000000-0006-0000-0E00-000055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AT84" authorId="1" shapeId="0" xr:uid="{00000000-0006-0000-0E00-000056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AU84" authorId="1" shapeId="0" xr:uid="{00000000-0006-0000-0E00-000057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BN84" authorId="1" shapeId="0" xr:uid="{00000000-0006-0000-0E00-000058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BQ84" authorId="1" shapeId="0" xr:uid="{00000000-0006-0000-0E00-000059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BR84" authorId="1" shapeId="0" xr:uid="{00000000-0006-0000-0E00-00005A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BS84" authorId="1" shapeId="0" xr:uid="{00000000-0006-0000-0E00-00005B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CL84" authorId="1" shapeId="0" xr:uid="{00000000-0006-0000-0E00-00005C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CO84" authorId="1" shapeId="0" xr:uid="{00000000-0006-0000-0E00-00005D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CP84" authorId="1" shapeId="0" xr:uid="{00000000-0006-0000-0E00-00005E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CQ84" authorId="1" shapeId="0" xr:uid="{00000000-0006-0000-0E00-00005F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DJ84" authorId="1" shapeId="0" xr:uid="{00000000-0006-0000-0E00-000060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DM84" authorId="1" shapeId="0" xr:uid="{00000000-0006-0000-0E00-000061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DN84" authorId="1" shapeId="0" xr:uid="{00000000-0006-0000-0E00-000062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DO84" authorId="1" shapeId="0" xr:uid="{00000000-0006-0000-0E00-000063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H84" authorId="1" shapeId="0" xr:uid="{00000000-0006-0000-0E00-000064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EK84" authorId="1" shapeId="0" xr:uid="{00000000-0006-0000-0E00-000065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L84" authorId="1" shapeId="0" xr:uid="{00000000-0006-0000-0E00-000066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M84" authorId="1" shapeId="0" xr:uid="{00000000-0006-0000-0E00-000067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FF84" authorId="1" shapeId="0" xr:uid="{00000000-0006-0000-0E00-000068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FI84" authorId="1" shapeId="0" xr:uid="{00000000-0006-0000-0E00-000069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FJ84" authorId="1" shapeId="0" xr:uid="{00000000-0006-0000-0E00-00006A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FK84" authorId="1" shapeId="0" xr:uid="{00000000-0006-0000-0E00-00006B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GD84" authorId="1" shapeId="0" xr:uid="{00000000-0006-0000-0E00-00006C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GG84" authorId="1" shapeId="0" xr:uid="{00000000-0006-0000-0E00-00006D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GH84" authorId="1" shapeId="0" xr:uid="{00000000-0006-0000-0E00-00006E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GI84" authorId="1" shapeId="0" xr:uid="{00000000-0006-0000-0E00-00006F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HB84" authorId="1" shapeId="0" xr:uid="{00000000-0006-0000-0E00-000070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HE84" authorId="1" shapeId="0" xr:uid="{00000000-0006-0000-0E00-000071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HF84" authorId="1" shapeId="0" xr:uid="{00000000-0006-0000-0E00-000072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HG84" authorId="1" shapeId="0" xr:uid="{00000000-0006-0000-0E00-000073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HZ84" authorId="1" shapeId="0" xr:uid="{00000000-0006-0000-0E00-000074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IC84" authorId="1" shapeId="0" xr:uid="{00000000-0006-0000-0E00-000075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ID84" authorId="1" shapeId="0" xr:uid="{00000000-0006-0000-0E00-000076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IE84" authorId="1" shapeId="0" xr:uid="{00000000-0006-0000-0E00-000077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IV84" authorId="0" shapeId="0" xr:uid="{00000000-0006-0000-0E00-000078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IW84" authorId="0" shapeId="0" xr:uid="{00000000-0006-0000-0E00-000079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IX84" authorId="1" shapeId="0" xr:uid="{00000000-0006-0000-0E00-00007A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IY84" authorId="0" shapeId="0" xr:uid="{00000000-0006-0000-0E00-00007B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IZ84" authorId="1" shapeId="0" xr:uid="{00000000-0006-0000-0E00-00007C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JA84" authorId="1" shapeId="0" xr:uid="{00000000-0006-0000-0E00-00007D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JB84" authorId="1" shapeId="0" xr:uid="{00000000-0006-0000-0E00-00007E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JC84" authorId="1" shapeId="0" xr:uid="{00000000-0006-0000-0E00-00007F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JV84" authorId="1" shapeId="0" xr:uid="{00000000-0006-0000-0E00-000080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JY84" authorId="1" shapeId="0" xr:uid="{00000000-0006-0000-0E00-000081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JZ84" authorId="1" shapeId="0" xr:uid="{00000000-0006-0000-0E00-000082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KA84" authorId="1" shapeId="0" xr:uid="{00000000-0006-0000-0E00-000083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KT84" authorId="1" shapeId="0" xr:uid="{00000000-0006-0000-0E00-000084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KW84" authorId="1" shapeId="0" xr:uid="{00000000-0006-0000-0E00-000085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KX84" authorId="1" shapeId="0" xr:uid="{00000000-0006-0000-0E00-000086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KY84" authorId="1" shapeId="0" xr:uid="{00000000-0006-0000-0E00-000087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LR84" authorId="1" shapeId="0" xr:uid="{00000000-0006-0000-0E00-000088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LU84" authorId="1" shapeId="0" xr:uid="{00000000-0006-0000-0E00-000089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LV84" authorId="1" shapeId="0" xr:uid="{00000000-0006-0000-0E00-00008A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LW84" authorId="1" shapeId="0" xr:uid="{00000000-0006-0000-0E00-00008B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MP84" authorId="1" shapeId="0" xr:uid="{00000000-0006-0000-0E00-00008C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MS84" authorId="1" shapeId="0" xr:uid="{00000000-0006-0000-0E00-00008D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MT84" authorId="1" shapeId="0" xr:uid="{00000000-0006-0000-0E00-00008E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MU84" authorId="1" shapeId="0" xr:uid="{00000000-0006-0000-0E00-00008F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NN84" authorId="1" shapeId="0" xr:uid="{00000000-0006-0000-0E00-000090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NQ84" authorId="1" shapeId="0" xr:uid="{00000000-0006-0000-0E00-000091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NR84" authorId="1" shapeId="0" xr:uid="{00000000-0006-0000-0E00-000092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NS84" authorId="1" shapeId="0" xr:uid="{00000000-0006-0000-0E00-000093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OL84" authorId="1" shapeId="0" xr:uid="{00000000-0006-0000-0E00-000094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OO84" authorId="1" shapeId="0" xr:uid="{00000000-0006-0000-0E00-000095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OP84" authorId="1" shapeId="0" xr:uid="{00000000-0006-0000-0E00-000096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OQ84" authorId="1" shapeId="0" xr:uid="{00000000-0006-0000-0E00-000097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PJ84" authorId="1" shapeId="0" xr:uid="{00000000-0006-0000-0E00-000098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PM84" authorId="1" shapeId="0" xr:uid="{00000000-0006-0000-0E00-000099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PN84" authorId="1" shapeId="0" xr:uid="{00000000-0006-0000-0E00-00009A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PO84" authorId="1" shapeId="0" xr:uid="{00000000-0006-0000-0E00-00009B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QH84" authorId="1" shapeId="0" xr:uid="{00000000-0006-0000-0E00-00009C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QK84" authorId="1" shapeId="0" xr:uid="{00000000-0006-0000-0E00-00009D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QL84" authorId="1" shapeId="0" xr:uid="{00000000-0006-0000-0E00-00009E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QM84" authorId="1" shapeId="0" xr:uid="{00000000-0006-0000-0E00-00009F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RF84" authorId="1" shapeId="0" xr:uid="{00000000-0006-0000-0E00-0000A0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RI84" authorId="1" shapeId="0" xr:uid="{00000000-0006-0000-0E00-0000A1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RJ84" authorId="1" shapeId="0" xr:uid="{00000000-0006-0000-0E00-0000A2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RK84" authorId="1" shapeId="0" xr:uid="{00000000-0006-0000-0E00-0000A3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SD84" authorId="1" shapeId="0" xr:uid="{00000000-0006-0000-0E00-0000A40C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SG84" authorId="1" shapeId="0" xr:uid="{00000000-0006-0000-0E00-0000A5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SH84" authorId="1" shapeId="0" xr:uid="{00000000-0006-0000-0E00-0000A6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SI84" authorId="1" shapeId="0" xr:uid="{00000000-0006-0000-0E00-0000A70C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P85" authorId="0" shapeId="0" xr:uid="{00000000-0006-0000-0E00-0000A8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R85" authorId="1" shapeId="0" xr:uid="{00000000-0006-0000-0E00-0000A9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T85" authorId="1" shapeId="0" xr:uid="{00000000-0006-0000-0E00-0000AA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U85" authorId="1" shapeId="0" xr:uid="{00000000-0006-0000-0E00-0000AB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V85" authorId="1" shapeId="0" xr:uid="{00000000-0006-0000-0E00-0000AC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W85" authorId="1" shapeId="0" xr:uid="{00000000-0006-0000-0E00-0000AD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AN85" authorId="0" shapeId="0" xr:uid="{00000000-0006-0000-0E00-0000AE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AP85" authorId="1" shapeId="0" xr:uid="{00000000-0006-0000-0E00-0000AF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AR85" authorId="1" shapeId="0" xr:uid="{00000000-0006-0000-0E00-0000B0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AS85" authorId="1" shapeId="0" xr:uid="{00000000-0006-0000-0E00-0000B1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AT85" authorId="1" shapeId="0" xr:uid="{00000000-0006-0000-0E00-0000B2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AU85" authorId="1" shapeId="0" xr:uid="{00000000-0006-0000-0E00-0000B3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BL85" authorId="0" shapeId="0" xr:uid="{00000000-0006-0000-0E00-0000B4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BN85" authorId="1" shapeId="0" xr:uid="{00000000-0006-0000-0E00-0000B5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BP85" authorId="1" shapeId="0" xr:uid="{00000000-0006-0000-0E00-0000B6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BQ85" authorId="1" shapeId="0" xr:uid="{00000000-0006-0000-0E00-0000B7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BR85" authorId="1" shapeId="0" xr:uid="{00000000-0006-0000-0E00-0000B8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BS85" authorId="1" shapeId="0" xr:uid="{00000000-0006-0000-0E00-0000B9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CJ85" authorId="0" shapeId="0" xr:uid="{00000000-0006-0000-0E00-0000BA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CL85" authorId="1" shapeId="0" xr:uid="{00000000-0006-0000-0E00-0000BB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CN85" authorId="1" shapeId="0" xr:uid="{00000000-0006-0000-0E00-0000BC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CO85" authorId="1" shapeId="0" xr:uid="{00000000-0006-0000-0E00-0000BD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CP85" authorId="1" shapeId="0" xr:uid="{00000000-0006-0000-0E00-0000BE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CQ85" authorId="1" shapeId="0" xr:uid="{00000000-0006-0000-0E00-0000BF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DH85" authorId="0" shapeId="0" xr:uid="{00000000-0006-0000-0E00-0000C0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DJ85" authorId="1" shapeId="0" xr:uid="{00000000-0006-0000-0E00-0000C1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DL85" authorId="1" shapeId="0" xr:uid="{00000000-0006-0000-0E00-0000C2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DM85" authorId="1" shapeId="0" xr:uid="{00000000-0006-0000-0E00-0000C3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DN85" authorId="1" shapeId="0" xr:uid="{00000000-0006-0000-0E00-0000C4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DO85" authorId="1" shapeId="0" xr:uid="{00000000-0006-0000-0E00-0000C5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EF85" authorId="0" shapeId="0" xr:uid="{00000000-0006-0000-0E00-0000C6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EH85" authorId="1" shapeId="0" xr:uid="{00000000-0006-0000-0E00-0000C7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EJ85" authorId="1" shapeId="0" xr:uid="{00000000-0006-0000-0E00-0000C8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EK85" authorId="1" shapeId="0" xr:uid="{00000000-0006-0000-0E00-0000C9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EL85" authorId="1" shapeId="0" xr:uid="{00000000-0006-0000-0E00-0000CA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EM85" authorId="1" shapeId="0" xr:uid="{00000000-0006-0000-0E00-0000CB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FD85" authorId="0" shapeId="0" xr:uid="{00000000-0006-0000-0E00-0000CC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FF85" authorId="1" shapeId="0" xr:uid="{00000000-0006-0000-0E00-0000CD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FH85" authorId="1" shapeId="0" xr:uid="{00000000-0006-0000-0E00-0000CE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FI85" authorId="1" shapeId="0" xr:uid="{00000000-0006-0000-0E00-0000CF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FJ85" authorId="1" shapeId="0" xr:uid="{00000000-0006-0000-0E00-0000D0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FK85" authorId="1" shapeId="0" xr:uid="{00000000-0006-0000-0E00-0000D1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GB85" authorId="0" shapeId="0" xr:uid="{00000000-0006-0000-0E00-0000D2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GD85" authorId="1" shapeId="0" xr:uid="{00000000-0006-0000-0E00-0000D3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GF85" authorId="1" shapeId="0" xr:uid="{00000000-0006-0000-0E00-0000D4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GG85" authorId="1" shapeId="0" xr:uid="{00000000-0006-0000-0E00-0000D5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GH85" authorId="1" shapeId="0" xr:uid="{00000000-0006-0000-0E00-0000D6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GI85" authorId="1" shapeId="0" xr:uid="{00000000-0006-0000-0E00-0000D7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GZ85" authorId="0" shapeId="0" xr:uid="{00000000-0006-0000-0E00-0000D8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HB85" authorId="1" shapeId="0" xr:uid="{00000000-0006-0000-0E00-0000D9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HD85" authorId="1" shapeId="0" xr:uid="{00000000-0006-0000-0E00-0000DA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HE85" authorId="1" shapeId="0" xr:uid="{00000000-0006-0000-0E00-0000DB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HF85" authorId="1" shapeId="0" xr:uid="{00000000-0006-0000-0E00-0000DC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HG85" authorId="1" shapeId="0" xr:uid="{00000000-0006-0000-0E00-0000DD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HX85" authorId="0" shapeId="0" xr:uid="{00000000-0006-0000-0E00-0000DE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HZ85" authorId="1" shapeId="0" xr:uid="{00000000-0006-0000-0E00-0000DF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IB85" authorId="1" shapeId="0" xr:uid="{00000000-0006-0000-0E00-0000E0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IC85" authorId="1" shapeId="0" xr:uid="{00000000-0006-0000-0E00-0000E1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ID85" authorId="1" shapeId="0" xr:uid="{00000000-0006-0000-0E00-0000E2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IE85" authorId="1" shapeId="0" xr:uid="{00000000-0006-0000-0E00-0000E3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IV85" authorId="0" shapeId="0" xr:uid="{00000000-0006-0000-0E00-0000E4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IW85" authorId="0" shapeId="0" xr:uid="{00000000-0006-0000-0E00-0000E5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IX85" authorId="1" shapeId="0" xr:uid="{00000000-0006-0000-0E00-0000E6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IY85" authorId="0" shapeId="0" xr:uid="{00000000-0006-0000-0E00-0000E7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IZ85" authorId="1" shapeId="0" xr:uid="{00000000-0006-0000-0E00-0000E8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JA85" authorId="1" shapeId="0" xr:uid="{00000000-0006-0000-0E00-0000E9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JB85" authorId="1" shapeId="0" xr:uid="{00000000-0006-0000-0E00-0000EA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JC85" authorId="1" shapeId="0" xr:uid="{00000000-0006-0000-0E00-0000EB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JT85" authorId="0" shapeId="0" xr:uid="{00000000-0006-0000-0E00-0000EC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JV85" authorId="1" shapeId="0" xr:uid="{00000000-0006-0000-0E00-0000ED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JX85" authorId="1" shapeId="0" xr:uid="{00000000-0006-0000-0E00-0000EE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JY85" authorId="1" shapeId="0" xr:uid="{00000000-0006-0000-0E00-0000EF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JZ85" authorId="1" shapeId="0" xr:uid="{00000000-0006-0000-0E00-0000F0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KA85" authorId="1" shapeId="0" xr:uid="{00000000-0006-0000-0E00-0000F1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KR85" authorId="0" shapeId="0" xr:uid="{00000000-0006-0000-0E00-0000F2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KT85" authorId="1" shapeId="0" xr:uid="{00000000-0006-0000-0E00-0000F3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KV85" authorId="1" shapeId="0" xr:uid="{00000000-0006-0000-0E00-0000F4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KW85" authorId="1" shapeId="0" xr:uid="{00000000-0006-0000-0E00-0000F5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KX85" authorId="1" shapeId="0" xr:uid="{00000000-0006-0000-0E00-0000F6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KY85" authorId="1" shapeId="0" xr:uid="{00000000-0006-0000-0E00-0000F7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LP85" authorId="0" shapeId="0" xr:uid="{00000000-0006-0000-0E00-0000F8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LR85" authorId="1" shapeId="0" xr:uid="{00000000-0006-0000-0E00-0000F9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LT85" authorId="1" shapeId="0" xr:uid="{00000000-0006-0000-0E00-0000FA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LU85" authorId="1" shapeId="0" xr:uid="{00000000-0006-0000-0E00-0000FB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LV85" authorId="1" shapeId="0" xr:uid="{00000000-0006-0000-0E00-0000FC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LW85" authorId="1" shapeId="0" xr:uid="{00000000-0006-0000-0E00-0000FD0C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MN85" authorId="0" shapeId="0" xr:uid="{00000000-0006-0000-0E00-0000FE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MP85" authorId="1" shapeId="0" xr:uid="{00000000-0006-0000-0E00-0000FF0C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MR85" authorId="1" shapeId="0" xr:uid="{00000000-0006-0000-0E00-000000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MS85" authorId="1" shapeId="0" xr:uid="{00000000-0006-0000-0E00-000001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MT85" authorId="1" shapeId="0" xr:uid="{00000000-0006-0000-0E00-000002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MU85" authorId="1" shapeId="0" xr:uid="{00000000-0006-0000-0E00-000003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NL85" authorId="0" shapeId="0" xr:uid="{00000000-0006-0000-0E00-000004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NN85" authorId="1" shapeId="0" xr:uid="{00000000-0006-0000-0E00-000005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NP85" authorId="1" shapeId="0" xr:uid="{00000000-0006-0000-0E00-000006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NQ85" authorId="1" shapeId="0" xr:uid="{00000000-0006-0000-0E00-000007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NR85" authorId="1" shapeId="0" xr:uid="{00000000-0006-0000-0E00-000008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NS85" authorId="1" shapeId="0" xr:uid="{00000000-0006-0000-0E00-000009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OJ85" authorId="0" shapeId="0" xr:uid="{00000000-0006-0000-0E00-00000A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OL85" authorId="1" shapeId="0" xr:uid="{00000000-0006-0000-0E00-00000B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ON85" authorId="1" shapeId="0" xr:uid="{00000000-0006-0000-0E00-00000C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OO85" authorId="1" shapeId="0" xr:uid="{00000000-0006-0000-0E00-00000D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OP85" authorId="1" shapeId="0" xr:uid="{00000000-0006-0000-0E00-00000E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OQ85" authorId="1" shapeId="0" xr:uid="{00000000-0006-0000-0E00-00000F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PH85" authorId="0" shapeId="0" xr:uid="{00000000-0006-0000-0E00-000010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PJ85" authorId="1" shapeId="0" xr:uid="{00000000-0006-0000-0E00-000011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PL85" authorId="1" shapeId="0" xr:uid="{00000000-0006-0000-0E00-000012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PM85" authorId="1" shapeId="0" xr:uid="{00000000-0006-0000-0E00-000013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PN85" authorId="1" shapeId="0" xr:uid="{00000000-0006-0000-0E00-000014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PO85" authorId="1" shapeId="0" xr:uid="{00000000-0006-0000-0E00-000015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QF85" authorId="0" shapeId="0" xr:uid="{00000000-0006-0000-0E00-000016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QH85" authorId="1" shapeId="0" xr:uid="{00000000-0006-0000-0E00-000017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QJ85" authorId="1" shapeId="0" xr:uid="{00000000-0006-0000-0E00-000018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QK85" authorId="1" shapeId="0" xr:uid="{00000000-0006-0000-0E00-000019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QL85" authorId="1" shapeId="0" xr:uid="{00000000-0006-0000-0E00-00001A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QM85" authorId="1" shapeId="0" xr:uid="{00000000-0006-0000-0E00-00001B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RD85" authorId="0" shapeId="0" xr:uid="{00000000-0006-0000-0E00-00001C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RF85" authorId="1" shapeId="0" xr:uid="{00000000-0006-0000-0E00-00001D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RH85" authorId="1" shapeId="0" xr:uid="{00000000-0006-0000-0E00-00001E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RI85" authorId="1" shapeId="0" xr:uid="{00000000-0006-0000-0E00-00001F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RJ85" authorId="1" shapeId="0" xr:uid="{00000000-0006-0000-0E00-000020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RK85" authorId="1" shapeId="0" xr:uid="{00000000-0006-0000-0E00-000021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SB85" authorId="0" shapeId="0" xr:uid="{00000000-0006-0000-0E00-000022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SD85" authorId="1" shapeId="0" xr:uid="{00000000-0006-0000-0E00-000023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SF85" authorId="1" shapeId="0" xr:uid="{00000000-0006-0000-0E00-0000240D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SG85" authorId="1" shapeId="0" xr:uid="{00000000-0006-0000-0E00-000025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SH85" authorId="1" shapeId="0" xr:uid="{00000000-0006-0000-0E00-000026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SI85" authorId="1" shapeId="0" xr:uid="{00000000-0006-0000-0E00-0000270D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L86" authorId="1" shapeId="0" xr:uid="{00000000-0006-0000-0E00-000028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M86" authorId="0" shapeId="0" xr:uid="{00000000-0006-0000-0E00-000029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86" authorId="0" shapeId="0" xr:uid="{00000000-0006-0000-0E00-00002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86" authorId="0" shapeId="0" xr:uid="{00000000-0006-0000-0E00-00002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86" authorId="0" shapeId="0" xr:uid="{00000000-0006-0000-0E00-00002C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86" authorId="1" shapeId="0" xr:uid="{00000000-0006-0000-0E00-00002D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86" authorId="0" shapeId="0" xr:uid="{00000000-0006-0000-0E00-00002E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T86" authorId="1" shapeId="0" xr:uid="{00000000-0006-0000-0E00-00002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U86" authorId="1" shapeId="0" xr:uid="{00000000-0006-0000-0E00-000030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V86" authorId="1" shapeId="0" xr:uid="{00000000-0006-0000-0E00-000031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W86" authorId="1" shapeId="0" xr:uid="{00000000-0006-0000-0E00-000032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J86" authorId="1" shapeId="0" xr:uid="{00000000-0006-0000-0E00-000033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K86" authorId="0" shapeId="0" xr:uid="{00000000-0006-0000-0E00-000034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L86" authorId="0" shapeId="0" xr:uid="{00000000-0006-0000-0E00-00003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M86" authorId="0" shapeId="0" xr:uid="{00000000-0006-0000-0E00-000036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N86" authorId="0" shapeId="0" xr:uid="{00000000-0006-0000-0E00-000037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P86" authorId="1" shapeId="0" xr:uid="{00000000-0006-0000-0E00-000038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Q86" authorId="0" shapeId="0" xr:uid="{00000000-0006-0000-0E00-000039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R86" authorId="1" shapeId="0" xr:uid="{00000000-0006-0000-0E00-00003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S86" authorId="1" shapeId="0" xr:uid="{00000000-0006-0000-0E00-00003B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T86" authorId="1" shapeId="0" xr:uid="{00000000-0006-0000-0E00-00003C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U86" authorId="1" shapeId="0" xr:uid="{00000000-0006-0000-0E00-00003D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H86" authorId="1" shapeId="0" xr:uid="{00000000-0006-0000-0E00-00003E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I86" authorId="0" shapeId="0" xr:uid="{00000000-0006-0000-0E00-00003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J86" authorId="0" shapeId="0" xr:uid="{00000000-0006-0000-0E00-000040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K86" authorId="0" shapeId="0" xr:uid="{00000000-0006-0000-0E00-000041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L86" authorId="0" shapeId="0" xr:uid="{00000000-0006-0000-0E00-000042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N86" authorId="1" shapeId="0" xr:uid="{00000000-0006-0000-0E00-000043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O86" authorId="0" shapeId="0" xr:uid="{00000000-0006-0000-0E00-000044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P86" authorId="1" shapeId="0" xr:uid="{00000000-0006-0000-0E00-00004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Q86" authorId="1" shapeId="0" xr:uid="{00000000-0006-0000-0E00-000046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R86" authorId="1" shapeId="0" xr:uid="{00000000-0006-0000-0E00-000047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S86" authorId="1" shapeId="0" xr:uid="{00000000-0006-0000-0E00-000048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F86" authorId="1" shapeId="0" xr:uid="{00000000-0006-0000-0E00-000049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G86" authorId="0" shapeId="0" xr:uid="{00000000-0006-0000-0E00-00004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H86" authorId="0" shapeId="0" xr:uid="{00000000-0006-0000-0E00-00004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I86" authorId="0" shapeId="0" xr:uid="{00000000-0006-0000-0E00-00004C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J86" authorId="0" shapeId="0" xr:uid="{00000000-0006-0000-0E00-00004D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L86" authorId="1" shapeId="0" xr:uid="{00000000-0006-0000-0E00-00004E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M86" authorId="0" shapeId="0" xr:uid="{00000000-0006-0000-0E00-00004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N86" authorId="1" shapeId="0" xr:uid="{00000000-0006-0000-0E00-000050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O86" authorId="1" shapeId="0" xr:uid="{00000000-0006-0000-0E00-000051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P86" authorId="1" shapeId="0" xr:uid="{00000000-0006-0000-0E00-000052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Q86" authorId="1" shapeId="0" xr:uid="{00000000-0006-0000-0E00-000053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D86" authorId="1" shapeId="0" xr:uid="{00000000-0006-0000-0E00-000054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E86" authorId="0" shapeId="0" xr:uid="{00000000-0006-0000-0E00-00005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F86" authorId="0" shapeId="0" xr:uid="{00000000-0006-0000-0E00-000056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G86" authorId="0" shapeId="0" xr:uid="{00000000-0006-0000-0E00-000057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H86" authorId="0" shapeId="0" xr:uid="{00000000-0006-0000-0E00-000058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J86" authorId="1" shapeId="0" xr:uid="{00000000-0006-0000-0E00-000059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K86" authorId="0" shapeId="0" xr:uid="{00000000-0006-0000-0E00-00005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L86" authorId="1" shapeId="0" xr:uid="{00000000-0006-0000-0E00-00005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M86" authorId="1" shapeId="0" xr:uid="{00000000-0006-0000-0E00-00005C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N86" authorId="1" shapeId="0" xr:uid="{00000000-0006-0000-0E00-00005D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O86" authorId="1" shapeId="0" xr:uid="{00000000-0006-0000-0E00-00005E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B86" authorId="1" shapeId="0" xr:uid="{00000000-0006-0000-0E00-00005F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C86" authorId="0" shapeId="0" xr:uid="{00000000-0006-0000-0E00-000060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D86" authorId="0" shapeId="0" xr:uid="{00000000-0006-0000-0E00-000061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E86" authorId="0" shapeId="0" xr:uid="{00000000-0006-0000-0E00-000062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F86" authorId="0" shapeId="0" xr:uid="{00000000-0006-0000-0E00-000063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H86" authorId="1" shapeId="0" xr:uid="{00000000-0006-0000-0E00-000064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I86" authorId="0" shapeId="0" xr:uid="{00000000-0006-0000-0E00-00006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J86" authorId="1" shapeId="0" xr:uid="{00000000-0006-0000-0E00-000066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K86" authorId="1" shapeId="0" xr:uid="{00000000-0006-0000-0E00-000067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L86" authorId="1" shapeId="0" xr:uid="{00000000-0006-0000-0E00-000068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M86" authorId="1" shapeId="0" xr:uid="{00000000-0006-0000-0E00-000069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Z86" authorId="1" shapeId="0" xr:uid="{00000000-0006-0000-0E00-00006A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A86" authorId="0" shapeId="0" xr:uid="{00000000-0006-0000-0E00-00006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B86" authorId="0" shapeId="0" xr:uid="{00000000-0006-0000-0E00-00006C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C86" authorId="0" shapeId="0" xr:uid="{00000000-0006-0000-0E00-00006D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D86" authorId="0" shapeId="0" xr:uid="{00000000-0006-0000-0E00-00006E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F86" authorId="1" shapeId="0" xr:uid="{00000000-0006-0000-0E00-00006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G86" authorId="0" shapeId="0" xr:uid="{00000000-0006-0000-0E00-000070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H86" authorId="1" shapeId="0" xr:uid="{00000000-0006-0000-0E00-000071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I86" authorId="1" shapeId="0" xr:uid="{00000000-0006-0000-0E00-000072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J86" authorId="1" shapeId="0" xr:uid="{00000000-0006-0000-0E00-000073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K86" authorId="1" shapeId="0" xr:uid="{00000000-0006-0000-0E00-000074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X86" authorId="1" shapeId="0" xr:uid="{00000000-0006-0000-0E00-000075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Y86" authorId="0" shapeId="0" xr:uid="{00000000-0006-0000-0E00-000076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Z86" authorId="0" shapeId="0" xr:uid="{00000000-0006-0000-0E00-000077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A86" authorId="0" shapeId="0" xr:uid="{00000000-0006-0000-0E00-000078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B86" authorId="0" shapeId="0" xr:uid="{00000000-0006-0000-0E00-000079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D86" authorId="1" shapeId="0" xr:uid="{00000000-0006-0000-0E00-00007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E86" authorId="0" shapeId="0" xr:uid="{00000000-0006-0000-0E00-00007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F86" authorId="1" shapeId="0" xr:uid="{00000000-0006-0000-0E00-00007C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G86" authorId="1" shapeId="0" xr:uid="{00000000-0006-0000-0E00-00007D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GH86" authorId="1" shapeId="0" xr:uid="{00000000-0006-0000-0E00-00007E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GI86" authorId="1" shapeId="0" xr:uid="{00000000-0006-0000-0E00-00007F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GV86" authorId="1" shapeId="0" xr:uid="{00000000-0006-0000-0E00-000080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GW86" authorId="0" shapeId="0" xr:uid="{00000000-0006-0000-0E00-000081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X86" authorId="0" shapeId="0" xr:uid="{00000000-0006-0000-0E00-000082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Y86" authorId="0" shapeId="0" xr:uid="{00000000-0006-0000-0E00-000083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GZ86" authorId="0" shapeId="0" xr:uid="{00000000-0006-0000-0E00-000084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HB86" authorId="1" shapeId="0" xr:uid="{00000000-0006-0000-0E00-00008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HC86" authorId="0" shapeId="0" xr:uid="{00000000-0006-0000-0E00-000086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HD86" authorId="1" shapeId="0" xr:uid="{00000000-0006-0000-0E00-000087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HE86" authorId="1" shapeId="0" xr:uid="{00000000-0006-0000-0E00-000088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HF86" authorId="1" shapeId="0" xr:uid="{00000000-0006-0000-0E00-000089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HG86" authorId="1" shapeId="0" xr:uid="{00000000-0006-0000-0E00-00008A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HT86" authorId="1" shapeId="0" xr:uid="{00000000-0006-0000-0E00-00008B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HU86" authorId="0" shapeId="0" xr:uid="{00000000-0006-0000-0E00-00008C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HV86" authorId="0" shapeId="0" xr:uid="{00000000-0006-0000-0E00-00008D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HW86" authorId="0" shapeId="0" xr:uid="{00000000-0006-0000-0E00-00008E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HX86" authorId="0" shapeId="0" xr:uid="{00000000-0006-0000-0E00-00008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HZ86" authorId="1" shapeId="0" xr:uid="{00000000-0006-0000-0E00-000090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A86" authorId="0" shapeId="0" xr:uid="{00000000-0006-0000-0E00-000091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B86" authorId="1" shapeId="0" xr:uid="{00000000-0006-0000-0E00-000092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C86" authorId="1" shapeId="0" xr:uid="{00000000-0006-0000-0E00-000093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ID86" authorId="1" shapeId="0" xr:uid="{00000000-0006-0000-0E00-000094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IE86" authorId="1" shapeId="0" xr:uid="{00000000-0006-0000-0E00-000095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IR86" authorId="1" shapeId="0" xr:uid="{00000000-0006-0000-0E00-000096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IS86" authorId="0" shapeId="0" xr:uid="{00000000-0006-0000-0E00-000097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T86" authorId="0" shapeId="0" xr:uid="{00000000-0006-0000-0E00-000098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U86" authorId="0" shapeId="0" xr:uid="{00000000-0006-0000-0E00-000099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V86" authorId="0" shapeId="0" xr:uid="{00000000-0006-0000-0E00-00009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W86" authorId="0" shapeId="0" xr:uid="{00000000-0006-0000-0E00-00009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X86" authorId="1" shapeId="0" xr:uid="{00000000-0006-0000-0E00-00009C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Y86" authorId="0" shapeId="0" xr:uid="{00000000-0006-0000-0E00-00009D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IZ86" authorId="1" shapeId="0" xr:uid="{00000000-0006-0000-0E00-00009E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JA86" authorId="1" shapeId="0" xr:uid="{00000000-0006-0000-0E00-00009F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JB86" authorId="1" shapeId="0" xr:uid="{00000000-0006-0000-0E00-0000A0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JC86" authorId="1" shapeId="0" xr:uid="{00000000-0006-0000-0E00-0000A1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JP86" authorId="1" shapeId="0" xr:uid="{00000000-0006-0000-0E00-0000A2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JQ86" authorId="0" shapeId="0" xr:uid="{00000000-0006-0000-0E00-0000A3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JR86" authorId="0" shapeId="0" xr:uid="{00000000-0006-0000-0E00-0000A4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JS86" authorId="0" shapeId="0" xr:uid="{00000000-0006-0000-0E00-0000A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JT86" authorId="0" shapeId="0" xr:uid="{00000000-0006-0000-0E00-0000A6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JV86" authorId="1" shapeId="0" xr:uid="{00000000-0006-0000-0E00-0000A7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JW86" authorId="0" shapeId="0" xr:uid="{00000000-0006-0000-0E00-0000A8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JX86" authorId="1" shapeId="0" xr:uid="{00000000-0006-0000-0E00-0000A9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JY86" authorId="1" shapeId="0" xr:uid="{00000000-0006-0000-0E00-0000AA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JZ86" authorId="1" shapeId="0" xr:uid="{00000000-0006-0000-0E00-0000AB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KA86" authorId="1" shapeId="0" xr:uid="{00000000-0006-0000-0E00-0000AC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KN86" authorId="1" shapeId="0" xr:uid="{00000000-0006-0000-0E00-0000AD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KO86" authorId="0" shapeId="0" xr:uid="{00000000-0006-0000-0E00-0000AE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KP86" authorId="0" shapeId="0" xr:uid="{00000000-0006-0000-0E00-0000A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KQ86" authorId="0" shapeId="0" xr:uid="{00000000-0006-0000-0E00-0000B0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KR86" authorId="0" shapeId="0" xr:uid="{00000000-0006-0000-0E00-0000B1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KT86" authorId="1" shapeId="0" xr:uid="{00000000-0006-0000-0E00-0000B2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KU86" authorId="0" shapeId="0" xr:uid="{00000000-0006-0000-0E00-0000B3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KV86" authorId="1" shapeId="0" xr:uid="{00000000-0006-0000-0E00-0000B4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KW86" authorId="1" shapeId="0" xr:uid="{00000000-0006-0000-0E00-0000B5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KX86" authorId="1" shapeId="0" xr:uid="{00000000-0006-0000-0E00-0000B6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KY86" authorId="1" shapeId="0" xr:uid="{00000000-0006-0000-0E00-0000B7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LL86" authorId="1" shapeId="0" xr:uid="{00000000-0006-0000-0E00-0000B8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LM86" authorId="0" shapeId="0" xr:uid="{00000000-0006-0000-0E00-0000B9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LN86" authorId="0" shapeId="0" xr:uid="{00000000-0006-0000-0E00-0000B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LO86" authorId="0" shapeId="0" xr:uid="{00000000-0006-0000-0E00-0000B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LP86" authorId="0" shapeId="0" xr:uid="{00000000-0006-0000-0E00-0000BC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LR86" authorId="1" shapeId="0" xr:uid="{00000000-0006-0000-0E00-0000BD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LS86" authorId="0" shapeId="0" xr:uid="{00000000-0006-0000-0E00-0000BE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LT86" authorId="1" shapeId="0" xr:uid="{00000000-0006-0000-0E00-0000B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LU86" authorId="1" shapeId="0" xr:uid="{00000000-0006-0000-0E00-0000C0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LV86" authorId="1" shapeId="0" xr:uid="{00000000-0006-0000-0E00-0000C1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LW86" authorId="1" shapeId="0" xr:uid="{00000000-0006-0000-0E00-0000C2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MJ86" authorId="1" shapeId="0" xr:uid="{00000000-0006-0000-0E00-0000C3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MK86" authorId="0" shapeId="0" xr:uid="{00000000-0006-0000-0E00-0000C4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ML86" authorId="0" shapeId="0" xr:uid="{00000000-0006-0000-0E00-0000C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MM86" authorId="0" shapeId="0" xr:uid="{00000000-0006-0000-0E00-0000C6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MN86" authorId="0" shapeId="0" xr:uid="{00000000-0006-0000-0E00-0000C7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MP86" authorId="1" shapeId="0" xr:uid="{00000000-0006-0000-0E00-0000C8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MQ86" authorId="0" shapeId="0" xr:uid="{00000000-0006-0000-0E00-0000C9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MR86" authorId="1" shapeId="0" xr:uid="{00000000-0006-0000-0E00-0000C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MS86" authorId="1" shapeId="0" xr:uid="{00000000-0006-0000-0E00-0000CB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MT86" authorId="1" shapeId="0" xr:uid="{00000000-0006-0000-0E00-0000CC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MU86" authorId="1" shapeId="0" xr:uid="{00000000-0006-0000-0E00-0000CD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NH86" authorId="1" shapeId="0" xr:uid="{00000000-0006-0000-0E00-0000CE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NI86" authorId="0" shapeId="0" xr:uid="{00000000-0006-0000-0E00-0000C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J86" authorId="0" shapeId="0" xr:uid="{00000000-0006-0000-0E00-0000D0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K86" authorId="0" shapeId="0" xr:uid="{00000000-0006-0000-0E00-0000D1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L86" authorId="0" shapeId="0" xr:uid="{00000000-0006-0000-0E00-0000D2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N86" authorId="1" shapeId="0" xr:uid="{00000000-0006-0000-0E00-0000D3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O86" authorId="0" shapeId="0" xr:uid="{00000000-0006-0000-0E00-0000D4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P86" authorId="1" shapeId="0" xr:uid="{00000000-0006-0000-0E00-0000D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Q86" authorId="1" shapeId="0" xr:uid="{00000000-0006-0000-0E00-0000D6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NR86" authorId="1" shapeId="0" xr:uid="{00000000-0006-0000-0E00-0000D7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NS86" authorId="1" shapeId="0" xr:uid="{00000000-0006-0000-0E00-0000D8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OF86" authorId="1" shapeId="0" xr:uid="{00000000-0006-0000-0E00-0000D9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OG86" authorId="0" shapeId="0" xr:uid="{00000000-0006-0000-0E00-0000D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H86" authorId="0" shapeId="0" xr:uid="{00000000-0006-0000-0E00-0000D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I86" authorId="0" shapeId="0" xr:uid="{00000000-0006-0000-0E00-0000DC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J86" authorId="0" shapeId="0" xr:uid="{00000000-0006-0000-0E00-0000DD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L86" authorId="1" shapeId="0" xr:uid="{00000000-0006-0000-0E00-0000DE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M86" authorId="0" shapeId="0" xr:uid="{00000000-0006-0000-0E00-0000D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N86" authorId="1" shapeId="0" xr:uid="{00000000-0006-0000-0E00-0000E0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O86" authorId="1" shapeId="0" xr:uid="{00000000-0006-0000-0E00-0000E1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OP86" authorId="1" shapeId="0" xr:uid="{00000000-0006-0000-0E00-0000E2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OQ86" authorId="1" shapeId="0" xr:uid="{00000000-0006-0000-0E00-0000E3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PD86" authorId="1" shapeId="0" xr:uid="{00000000-0006-0000-0E00-0000E4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PE86" authorId="0" shapeId="0" xr:uid="{00000000-0006-0000-0E00-0000E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F86" authorId="0" shapeId="0" xr:uid="{00000000-0006-0000-0E00-0000E6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G86" authorId="0" shapeId="0" xr:uid="{00000000-0006-0000-0E00-0000E7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H86" authorId="0" shapeId="0" xr:uid="{00000000-0006-0000-0E00-0000E8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J86" authorId="1" shapeId="0" xr:uid="{00000000-0006-0000-0E00-0000E9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K86" authorId="0" shapeId="0" xr:uid="{00000000-0006-0000-0E00-0000EA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L86" authorId="1" shapeId="0" xr:uid="{00000000-0006-0000-0E00-0000E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M86" authorId="1" shapeId="0" xr:uid="{00000000-0006-0000-0E00-0000EC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PN86" authorId="1" shapeId="0" xr:uid="{00000000-0006-0000-0E00-0000ED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PO86" authorId="1" shapeId="0" xr:uid="{00000000-0006-0000-0E00-0000EE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QB86" authorId="1" shapeId="0" xr:uid="{00000000-0006-0000-0E00-0000EF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QC86" authorId="0" shapeId="0" xr:uid="{00000000-0006-0000-0E00-0000F0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QD86" authorId="0" shapeId="0" xr:uid="{00000000-0006-0000-0E00-0000F1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QE86" authorId="0" shapeId="0" xr:uid="{00000000-0006-0000-0E00-0000F2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QF86" authorId="0" shapeId="0" xr:uid="{00000000-0006-0000-0E00-0000F3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QH86" authorId="1" shapeId="0" xr:uid="{00000000-0006-0000-0E00-0000F4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QI86" authorId="0" shapeId="0" xr:uid="{00000000-0006-0000-0E00-0000F5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QJ86" authorId="1" shapeId="0" xr:uid="{00000000-0006-0000-0E00-0000F6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QK86" authorId="1" shapeId="0" xr:uid="{00000000-0006-0000-0E00-0000F7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QL86" authorId="1" shapeId="0" xr:uid="{00000000-0006-0000-0E00-0000F8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QM86" authorId="1" shapeId="0" xr:uid="{00000000-0006-0000-0E00-0000F9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QZ86" authorId="1" shapeId="0" xr:uid="{00000000-0006-0000-0E00-0000FA0D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RA86" authorId="0" shapeId="0" xr:uid="{00000000-0006-0000-0E00-0000FB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B86" authorId="0" shapeId="0" xr:uid="{00000000-0006-0000-0E00-0000FC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C86" authorId="0" shapeId="0" xr:uid="{00000000-0006-0000-0E00-0000FD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D86" authorId="0" shapeId="0" xr:uid="{00000000-0006-0000-0E00-0000FE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F86" authorId="1" shapeId="0" xr:uid="{00000000-0006-0000-0E00-0000FF0D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G86" authorId="0" shapeId="0" xr:uid="{00000000-0006-0000-0E00-0000000E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H86" authorId="1" shapeId="0" xr:uid="{00000000-0006-0000-0E00-0000010E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I86" authorId="1" shapeId="0" xr:uid="{00000000-0006-0000-0E00-0000020E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RJ86" authorId="1" shapeId="0" xr:uid="{00000000-0006-0000-0E00-0000030E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RK86" authorId="1" shapeId="0" xr:uid="{00000000-0006-0000-0E00-0000040E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RX86" authorId="1" shapeId="0" xr:uid="{00000000-0006-0000-0E00-0000050E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RY86" authorId="0" shapeId="0" xr:uid="{00000000-0006-0000-0E00-0000060E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Z86" authorId="0" shapeId="0" xr:uid="{00000000-0006-0000-0E00-0000070E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A86" authorId="0" shapeId="0" xr:uid="{00000000-0006-0000-0E00-0000080E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B86" authorId="0" shapeId="0" xr:uid="{00000000-0006-0000-0E00-0000090E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D86" authorId="1" shapeId="0" xr:uid="{00000000-0006-0000-0E00-00000A0E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E86" authorId="0" shapeId="0" xr:uid="{00000000-0006-0000-0E00-00000B0E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F86" authorId="1" shapeId="0" xr:uid="{00000000-0006-0000-0E00-00000C0E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G86" authorId="1" shapeId="0" xr:uid="{00000000-0006-0000-0E00-00000D0E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SH86" authorId="1" shapeId="0" xr:uid="{00000000-0006-0000-0E00-00000E0E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SI86" authorId="1" shapeId="0" xr:uid="{00000000-0006-0000-0E00-00000F0E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P87" authorId="0" shapeId="0" xr:uid="{00000000-0006-0000-0E00-00001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Q87" authorId="0" shapeId="0" xr:uid="{00000000-0006-0000-0E00-00001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R87" authorId="1" shapeId="0" xr:uid="{00000000-0006-0000-0E00-00001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S87" authorId="0" shapeId="0" xr:uid="{00000000-0006-0000-0E00-00001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T87" authorId="1" shapeId="0" xr:uid="{00000000-0006-0000-0E00-00001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U87" authorId="1" shapeId="0" xr:uid="{00000000-0006-0000-0E00-00001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V87" authorId="1" shapeId="0" xr:uid="{00000000-0006-0000-0E00-00001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W87" authorId="1" shapeId="0" xr:uid="{00000000-0006-0000-0E00-00001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N87" authorId="0" shapeId="0" xr:uid="{00000000-0006-0000-0E00-00001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O87" authorId="0" shapeId="0" xr:uid="{00000000-0006-0000-0E00-00001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P87" authorId="1" shapeId="0" xr:uid="{00000000-0006-0000-0E00-00001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Q87" authorId="0" shapeId="0" xr:uid="{00000000-0006-0000-0E00-00001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R87" authorId="1" shapeId="0" xr:uid="{00000000-0006-0000-0E00-00001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S87" authorId="1" shapeId="0" xr:uid="{00000000-0006-0000-0E00-00001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T87" authorId="1" shapeId="0" xr:uid="{00000000-0006-0000-0E00-00001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U87" authorId="1" shapeId="0" xr:uid="{00000000-0006-0000-0E00-00001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L87" authorId="0" shapeId="0" xr:uid="{00000000-0006-0000-0E00-00002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M87" authorId="0" shapeId="0" xr:uid="{00000000-0006-0000-0E00-00002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N87" authorId="1" shapeId="0" xr:uid="{00000000-0006-0000-0E00-00002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O87" authorId="0" shapeId="0" xr:uid="{00000000-0006-0000-0E00-00002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P87" authorId="1" shapeId="0" xr:uid="{00000000-0006-0000-0E00-00002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Q87" authorId="1" shapeId="0" xr:uid="{00000000-0006-0000-0E00-00002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R87" authorId="1" shapeId="0" xr:uid="{00000000-0006-0000-0E00-00002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S87" authorId="1" shapeId="0" xr:uid="{00000000-0006-0000-0E00-00002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J87" authorId="0" shapeId="0" xr:uid="{00000000-0006-0000-0E00-00002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K87" authorId="0" shapeId="0" xr:uid="{00000000-0006-0000-0E00-00002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L87" authorId="1" shapeId="0" xr:uid="{00000000-0006-0000-0E00-00002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M87" authorId="0" shapeId="0" xr:uid="{00000000-0006-0000-0E00-00002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N87" authorId="1" shapeId="0" xr:uid="{00000000-0006-0000-0E00-00002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O87" authorId="1" shapeId="0" xr:uid="{00000000-0006-0000-0E00-00002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P87" authorId="1" shapeId="0" xr:uid="{00000000-0006-0000-0E00-00002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Q87" authorId="1" shapeId="0" xr:uid="{00000000-0006-0000-0E00-00002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H87" authorId="0" shapeId="0" xr:uid="{00000000-0006-0000-0E00-00003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I87" authorId="0" shapeId="0" xr:uid="{00000000-0006-0000-0E00-00003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J87" authorId="1" shapeId="0" xr:uid="{00000000-0006-0000-0E00-00003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K87" authorId="0" shapeId="0" xr:uid="{00000000-0006-0000-0E00-00003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L87" authorId="1" shapeId="0" xr:uid="{00000000-0006-0000-0E00-00003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M87" authorId="1" shapeId="0" xr:uid="{00000000-0006-0000-0E00-00003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N87" authorId="1" shapeId="0" xr:uid="{00000000-0006-0000-0E00-00003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O87" authorId="1" shapeId="0" xr:uid="{00000000-0006-0000-0E00-00003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F87" authorId="0" shapeId="0" xr:uid="{00000000-0006-0000-0E00-00003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G87" authorId="0" shapeId="0" xr:uid="{00000000-0006-0000-0E00-00003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H87" authorId="1" shapeId="0" xr:uid="{00000000-0006-0000-0E00-00003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I87" authorId="0" shapeId="0" xr:uid="{00000000-0006-0000-0E00-00003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J87" authorId="1" shapeId="0" xr:uid="{00000000-0006-0000-0E00-00003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K87" authorId="1" shapeId="0" xr:uid="{00000000-0006-0000-0E00-00003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L87" authorId="1" shapeId="0" xr:uid="{00000000-0006-0000-0E00-00003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M87" authorId="1" shapeId="0" xr:uid="{00000000-0006-0000-0E00-00003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D87" authorId="0" shapeId="0" xr:uid="{00000000-0006-0000-0E00-00004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E87" authorId="0" shapeId="0" xr:uid="{00000000-0006-0000-0E00-00004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F87" authorId="1" shapeId="0" xr:uid="{00000000-0006-0000-0E00-00004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G87" authorId="0" shapeId="0" xr:uid="{00000000-0006-0000-0E00-00004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H87" authorId="1" shapeId="0" xr:uid="{00000000-0006-0000-0E00-00004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I87" authorId="1" shapeId="0" xr:uid="{00000000-0006-0000-0E00-00004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J87" authorId="1" shapeId="0" xr:uid="{00000000-0006-0000-0E00-00004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K87" authorId="1" shapeId="0" xr:uid="{00000000-0006-0000-0E00-00004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GB87" authorId="0" shapeId="0" xr:uid="{00000000-0006-0000-0E00-00004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GC87" authorId="0" shapeId="0" xr:uid="{00000000-0006-0000-0E00-00004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GD87" authorId="1" shapeId="0" xr:uid="{00000000-0006-0000-0E00-00004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GE87" authorId="0" shapeId="0" xr:uid="{00000000-0006-0000-0E00-00004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GF87" authorId="1" shapeId="0" xr:uid="{00000000-0006-0000-0E00-00004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GG87" authorId="1" shapeId="0" xr:uid="{00000000-0006-0000-0E00-00004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GH87" authorId="1" shapeId="0" xr:uid="{00000000-0006-0000-0E00-00004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GI87" authorId="1" shapeId="0" xr:uid="{00000000-0006-0000-0E00-00004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GZ87" authorId="0" shapeId="0" xr:uid="{00000000-0006-0000-0E00-00005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HA87" authorId="0" shapeId="0" xr:uid="{00000000-0006-0000-0E00-00005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HB87" authorId="1" shapeId="0" xr:uid="{00000000-0006-0000-0E00-00005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HC87" authorId="0" shapeId="0" xr:uid="{00000000-0006-0000-0E00-00005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HD87" authorId="1" shapeId="0" xr:uid="{00000000-0006-0000-0E00-00005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HE87" authorId="1" shapeId="0" xr:uid="{00000000-0006-0000-0E00-00005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HF87" authorId="1" shapeId="0" xr:uid="{00000000-0006-0000-0E00-00005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HG87" authorId="1" shapeId="0" xr:uid="{00000000-0006-0000-0E00-00005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HX87" authorId="0" shapeId="0" xr:uid="{00000000-0006-0000-0E00-00005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HY87" authorId="0" shapeId="0" xr:uid="{00000000-0006-0000-0E00-00005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HZ87" authorId="1" shapeId="0" xr:uid="{00000000-0006-0000-0E00-00005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IA87" authorId="0" shapeId="0" xr:uid="{00000000-0006-0000-0E00-00005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IB87" authorId="1" shapeId="0" xr:uid="{00000000-0006-0000-0E00-00005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IC87" authorId="1" shapeId="0" xr:uid="{00000000-0006-0000-0E00-00005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ID87" authorId="1" shapeId="0" xr:uid="{00000000-0006-0000-0E00-00005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IE87" authorId="1" shapeId="0" xr:uid="{00000000-0006-0000-0E00-00005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IV87" authorId="0" shapeId="0" xr:uid="{00000000-0006-0000-0E00-00006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IW87" authorId="0" shapeId="0" xr:uid="{00000000-0006-0000-0E00-00006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IX87" authorId="1" shapeId="0" xr:uid="{00000000-0006-0000-0E00-00006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IY87" authorId="0" shapeId="0" xr:uid="{00000000-0006-0000-0E00-00006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IZ87" authorId="1" shapeId="0" xr:uid="{00000000-0006-0000-0E00-00006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JA87" authorId="1" shapeId="0" xr:uid="{00000000-0006-0000-0E00-00006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JB87" authorId="1" shapeId="0" xr:uid="{00000000-0006-0000-0E00-00006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JC87" authorId="1" shapeId="0" xr:uid="{00000000-0006-0000-0E00-00006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JT87" authorId="0" shapeId="0" xr:uid="{00000000-0006-0000-0E00-00006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JU87" authorId="0" shapeId="0" xr:uid="{00000000-0006-0000-0E00-00006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JV87" authorId="1" shapeId="0" xr:uid="{00000000-0006-0000-0E00-00006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JW87" authorId="0" shapeId="0" xr:uid="{00000000-0006-0000-0E00-00006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JX87" authorId="1" shapeId="0" xr:uid="{00000000-0006-0000-0E00-00006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JY87" authorId="1" shapeId="0" xr:uid="{00000000-0006-0000-0E00-00006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JZ87" authorId="1" shapeId="0" xr:uid="{00000000-0006-0000-0E00-00006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KA87" authorId="1" shapeId="0" xr:uid="{00000000-0006-0000-0E00-00006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KR87" authorId="0" shapeId="0" xr:uid="{00000000-0006-0000-0E00-00007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KS87" authorId="0" shapeId="0" xr:uid="{00000000-0006-0000-0E00-00007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KT87" authorId="1" shapeId="0" xr:uid="{00000000-0006-0000-0E00-00007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KU87" authorId="0" shapeId="0" xr:uid="{00000000-0006-0000-0E00-00007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KV87" authorId="1" shapeId="0" xr:uid="{00000000-0006-0000-0E00-00007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KW87" authorId="1" shapeId="0" xr:uid="{00000000-0006-0000-0E00-00007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KX87" authorId="1" shapeId="0" xr:uid="{00000000-0006-0000-0E00-00007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KY87" authorId="1" shapeId="0" xr:uid="{00000000-0006-0000-0E00-00007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LP87" authorId="0" shapeId="0" xr:uid="{00000000-0006-0000-0E00-00007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LQ87" authorId="0" shapeId="0" xr:uid="{00000000-0006-0000-0E00-00007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LR87" authorId="1" shapeId="0" xr:uid="{00000000-0006-0000-0E00-00007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LS87" authorId="0" shapeId="0" xr:uid="{00000000-0006-0000-0E00-00007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LT87" authorId="1" shapeId="0" xr:uid="{00000000-0006-0000-0E00-00007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LU87" authorId="1" shapeId="0" xr:uid="{00000000-0006-0000-0E00-00007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LV87" authorId="1" shapeId="0" xr:uid="{00000000-0006-0000-0E00-00007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LW87" authorId="1" shapeId="0" xr:uid="{00000000-0006-0000-0E00-00007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MN87" authorId="0" shapeId="0" xr:uid="{00000000-0006-0000-0E00-00008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MO87" authorId="0" shapeId="0" xr:uid="{00000000-0006-0000-0E00-00008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MP87" authorId="1" shapeId="0" xr:uid="{00000000-0006-0000-0E00-00008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MQ87" authorId="0" shapeId="0" xr:uid="{00000000-0006-0000-0E00-00008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MR87" authorId="1" shapeId="0" xr:uid="{00000000-0006-0000-0E00-00008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MS87" authorId="1" shapeId="0" xr:uid="{00000000-0006-0000-0E00-00008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MT87" authorId="1" shapeId="0" xr:uid="{00000000-0006-0000-0E00-00008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MU87" authorId="1" shapeId="0" xr:uid="{00000000-0006-0000-0E00-00008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NL87" authorId="0" shapeId="0" xr:uid="{00000000-0006-0000-0E00-00008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NM87" authorId="0" shapeId="0" xr:uid="{00000000-0006-0000-0E00-00008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NN87" authorId="1" shapeId="0" xr:uid="{00000000-0006-0000-0E00-00008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NO87" authorId="0" shapeId="0" xr:uid="{00000000-0006-0000-0E00-00008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NP87" authorId="1" shapeId="0" xr:uid="{00000000-0006-0000-0E00-00008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NQ87" authorId="1" shapeId="0" xr:uid="{00000000-0006-0000-0E00-00008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NR87" authorId="1" shapeId="0" xr:uid="{00000000-0006-0000-0E00-00008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NS87" authorId="1" shapeId="0" xr:uid="{00000000-0006-0000-0E00-00008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OJ87" authorId="0" shapeId="0" xr:uid="{00000000-0006-0000-0E00-00009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OK87" authorId="0" shapeId="0" xr:uid="{00000000-0006-0000-0E00-00009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OL87" authorId="1" shapeId="0" xr:uid="{00000000-0006-0000-0E00-00009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OM87" authorId="0" shapeId="0" xr:uid="{00000000-0006-0000-0E00-00009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ON87" authorId="1" shapeId="0" xr:uid="{00000000-0006-0000-0E00-00009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OO87" authorId="1" shapeId="0" xr:uid="{00000000-0006-0000-0E00-00009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OP87" authorId="1" shapeId="0" xr:uid="{00000000-0006-0000-0E00-00009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OQ87" authorId="1" shapeId="0" xr:uid="{00000000-0006-0000-0E00-00009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PH87" authorId="0" shapeId="0" xr:uid="{00000000-0006-0000-0E00-00009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PI87" authorId="0" shapeId="0" xr:uid="{00000000-0006-0000-0E00-00009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PJ87" authorId="1" shapeId="0" xr:uid="{00000000-0006-0000-0E00-00009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PK87" authorId="0" shapeId="0" xr:uid="{00000000-0006-0000-0E00-00009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PL87" authorId="1" shapeId="0" xr:uid="{00000000-0006-0000-0E00-00009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PM87" authorId="1" shapeId="0" xr:uid="{00000000-0006-0000-0E00-00009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PN87" authorId="1" shapeId="0" xr:uid="{00000000-0006-0000-0E00-00009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PO87" authorId="1" shapeId="0" xr:uid="{00000000-0006-0000-0E00-00009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QF87" authorId="0" shapeId="0" xr:uid="{00000000-0006-0000-0E00-0000A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QG87" authorId="0" shapeId="0" xr:uid="{00000000-0006-0000-0E00-0000A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QH87" authorId="1" shapeId="0" xr:uid="{00000000-0006-0000-0E00-0000A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QI87" authorId="0" shapeId="0" xr:uid="{00000000-0006-0000-0E00-0000A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QJ87" authorId="1" shapeId="0" xr:uid="{00000000-0006-0000-0E00-0000A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QK87" authorId="1" shapeId="0" xr:uid="{00000000-0006-0000-0E00-0000A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QL87" authorId="1" shapeId="0" xr:uid="{00000000-0006-0000-0E00-0000A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QM87" authorId="1" shapeId="0" xr:uid="{00000000-0006-0000-0E00-0000A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RD87" authorId="0" shapeId="0" xr:uid="{00000000-0006-0000-0E00-0000A8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RE87" authorId="0" shapeId="0" xr:uid="{00000000-0006-0000-0E00-0000A9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RF87" authorId="1" shapeId="0" xr:uid="{00000000-0006-0000-0E00-0000AA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RG87" authorId="0" shapeId="0" xr:uid="{00000000-0006-0000-0E00-0000AB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RH87" authorId="1" shapeId="0" xr:uid="{00000000-0006-0000-0E00-0000AC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RI87" authorId="1" shapeId="0" xr:uid="{00000000-0006-0000-0E00-0000AD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RJ87" authorId="1" shapeId="0" xr:uid="{00000000-0006-0000-0E00-0000AE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RK87" authorId="1" shapeId="0" xr:uid="{00000000-0006-0000-0E00-0000AF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SB87" authorId="0" shapeId="0" xr:uid="{00000000-0006-0000-0E00-0000B0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SC87" authorId="0" shapeId="0" xr:uid="{00000000-0006-0000-0E00-0000B1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SD87" authorId="1" shapeId="0" xr:uid="{00000000-0006-0000-0E00-0000B2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SE87" authorId="0" shapeId="0" xr:uid="{00000000-0006-0000-0E00-0000B3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SF87" authorId="1" shapeId="0" xr:uid="{00000000-0006-0000-0E00-0000B40E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SG87" authorId="1" shapeId="0" xr:uid="{00000000-0006-0000-0E00-0000B5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SH87" authorId="1" shapeId="0" xr:uid="{00000000-0006-0000-0E00-0000B6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SI87" authorId="1" shapeId="0" xr:uid="{00000000-0006-0000-0E00-0000B70E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IV88" authorId="0" shapeId="0" xr:uid="{00000000-0006-0000-0E00-0000B80E0000}">
      <text>
        <r>
          <rPr>
            <sz val="9"/>
            <color indexed="81"/>
            <rFont val="Tahoma"/>
            <family val="2"/>
          </rPr>
          <t>Could not find source file for Ripley county.</t>
        </r>
      </text>
    </comment>
    <comment ref="IW88" authorId="0" shapeId="0" xr:uid="{00000000-0006-0000-0E00-0000B90E0000}">
      <text>
        <r>
          <rPr>
            <sz val="9"/>
            <color indexed="81"/>
            <rFont val="Tahoma"/>
            <family val="2"/>
          </rPr>
          <t>Could not find source file for Ripley county.</t>
        </r>
      </text>
    </comment>
    <comment ref="IX88" authorId="1" shapeId="0" xr:uid="{00000000-0006-0000-0E00-0000BA0E0000}">
      <text>
        <r>
          <rPr>
            <sz val="9"/>
            <color indexed="81"/>
            <rFont val="Tahoma"/>
            <family val="2"/>
          </rPr>
          <t>Could not find source file for Ripley county.</t>
        </r>
      </text>
    </comment>
    <comment ref="IY88" authorId="0" shapeId="0" xr:uid="{00000000-0006-0000-0E00-0000BB0E0000}">
      <text>
        <r>
          <rPr>
            <sz val="9"/>
            <color indexed="81"/>
            <rFont val="Tahoma"/>
            <family val="2"/>
          </rPr>
          <t>Could not find source file for Ripley county.</t>
        </r>
      </text>
    </comment>
    <comment ref="IZ88" authorId="1" shapeId="0" xr:uid="{00000000-0006-0000-0E00-0000BC0E0000}">
      <text>
        <r>
          <rPr>
            <sz val="9"/>
            <color indexed="81"/>
            <rFont val="Tahoma"/>
            <family val="2"/>
          </rPr>
          <t>Could not find source file for Ripley county.</t>
        </r>
      </text>
    </comment>
    <comment ref="JA88" authorId="1" shapeId="0" xr:uid="{00000000-0006-0000-0E00-0000BD0E0000}">
      <text>
        <r>
          <rPr>
            <sz val="9"/>
            <color indexed="81"/>
            <rFont val="Tahoma"/>
            <charset val="1"/>
          </rPr>
          <t>Could not find source file for Ripley county.</t>
        </r>
      </text>
    </comment>
    <comment ref="JB88" authorId="1" shapeId="0" xr:uid="{00000000-0006-0000-0E00-0000BE0E0000}">
      <text>
        <r>
          <rPr>
            <sz val="9"/>
            <color indexed="81"/>
            <rFont val="Tahoma"/>
            <charset val="1"/>
          </rPr>
          <t>Could not find source file for Ripley county.</t>
        </r>
      </text>
    </comment>
    <comment ref="JC88" authorId="1" shapeId="0" xr:uid="{00000000-0006-0000-0E00-0000BF0E0000}">
      <text>
        <r>
          <rPr>
            <sz val="9"/>
            <color indexed="81"/>
            <rFont val="Tahoma"/>
            <charset val="1"/>
          </rPr>
          <t>Could not find source file for Ripley county.</t>
        </r>
      </text>
    </comment>
    <comment ref="IV89" authorId="0" shapeId="0" xr:uid="{00000000-0006-0000-0E00-0000C00E0000}">
      <text>
        <r>
          <rPr>
            <sz val="9"/>
            <color indexed="81"/>
            <rFont val="Tahoma"/>
            <family val="2"/>
          </rPr>
          <t>Could not find source file for Clair county.</t>
        </r>
      </text>
    </comment>
    <comment ref="IW89" authorId="0" shapeId="0" xr:uid="{00000000-0006-0000-0E00-0000C10E0000}">
      <text>
        <r>
          <rPr>
            <sz val="9"/>
            <color indexed="81"/>
            <rFont val="Tahoma"/>
            <family val="2"/>
          </rPr>
          <t>Could not find source file for Clair county.</t>
        </r>
      </text>
    </comment>
    <comment ref="IX89" authorId="1" shapeId="0" xr:uid="{00000000-0006-0000-0E00-0000C20E0000}">
      <text>
        <r>
          <rPr>
            <sz val="9"/>
            <color indexed="81"/>
            <rFont val="Tahoma"/>
            <family val="2"/>
          </rPr>
          <t>Could not find source file for Clair county.</t>
        </r>
      </text>
    </comment>
    <comment ref="IY89" authorId="0" shapeId="0" xr:uid="{00000000-0006-0000-0E00-0000C30E0000}">
      <text>
        <r>
          <rPr>
            <sz val="9"/>
            <color indexed="81"/>
            <rFont val="Tahoma"/>
            <family val="2"/>
          </rPr>
          <t>Could not find source file for Clair county.</t>
        </r>
      </text>
    </comment>
    <comment ref="IZ89" authorId="1" shapeId="0" xr:uid="{00000000-0006-0000-0E00-0000C40E0000}">
      <text>
        <r>
          <rPr>
            <sz val="9"/>
            <color indexed="81"/>
            <rFont val="Tahoma"/>
            <family val="2"/>
          </rPr>
          <t>Could not find source file for Clair county.</t>
        </r>
      </text>
    </comment>
    <comment ref="JA89" authorId="1" shapeId="0" xr:uid="{00000000-0006-0000-0E00-0000C50E0000}">
      <text>
        <r>
          <rPr>
            <sz val="9"/>
            <color indexed="81"/>
            <rFont val="Tahoma"/>
            <charset val="1"/>
          </rPr>
          <t>Could not find source file for Clair county.</t>
        </r>
      </text>
    </comment>
    <comment ref="JB89" authorId="1" shapeId="0" xr:uid="{00000000-0006-0000-0E00-0000C60E0000}">
      <text>
        <r>
          <rPr>
            <sz val="9"/>
            <color indexed="81"/>
            <rFont val="Tahoma"/>
            <charset val="1"/>
          </rPr>
          <t>Could not find source file for Clair county.</t>
        </r>
      </text>
    </comment>
    <comment ref="JC89" authorId="1" shapeId="0" xr:uid="{00000000-0006-0000-0E00-0000C70E0000}">
      <text>
        <r>
          <rPr>
            <sz val="9"/>
            <color indexed="81"/>
            <rFont val="Tahoma"/>
            <charset val="1"/>
          </rPr>
          <t>Could not find source file for Clair county.</t>
        </r>
      </text>
    </comment>
    <comment ref="S90" authorId="0" shapeId="0" xr:uid="{00000000-0006-0000-0E00-0000C8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T90" authorId="1" shapeId="0" xr:uid="{00000000-0006-0000-0E00-0000C9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U90" authorId="1" shapeId="0" xr:uid="{00000000-0006-0000-0E00-0000CA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V90" authorId="1" shapeId="0" xr:uid="{00000000-0006-0000-0E00-0000CB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W90" authorId="1" shapeId="0" xr:uid="{00000000-0006-0000-0E00-0000CC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AQ90" authorId="0" shapeId="0" xr:uid="{00000000-0006-0000-0E00-0000CD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AR90" authorId="1" shapeId="0" xr:uid="{00000000-0006-0000-0E00-0000CE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AS90" authorId="1" shapeId="0" xr:uid="{00000000-0006-0000-0E00-0000CF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AT90" authorId="1" shapeId="0" xr:uid="{00000000-0006-0000-0E00-0000D0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AU90" authorId="1" shapeId="0" xr:uid="{00000000-0006-0000-0E00-0000D1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BO90" authorId="0" shapeId="0" xr:uid="{00000000-0006-0000-0E00-0000D2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BP90" authorId="1" shapeId="0" xr:uid="{00000000-0006-0000-0E00-0000D3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BQ90" authorId="1" shapeId="0" xr:uid="{00000000-0006-0000-0E00-0000D4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BR90" authorId="1" shapeId="0" xr:uid="{00000000-0006-0000-0E00-0000D5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BS90" authorId="1" shapeId="0" xr:uid="{00000000-0006-0000-0E00-0000D6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CM90" authorId="0" shapeId="0" xr:uid="{00000000-0006-0000-0E00-0000D7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CN90" authorId="1" shapeId="0" xr:uid="{00000000-0006-0000-0E00-0000D8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CO90" authorId="1" shapeId="0" xr:uid="{00000000-0006-0000-0E00-0000D9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CP90" authorId="1" shapeId="0" xr:uid="{00000000-0006-0000-0E00-0000DA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CQ90" authorId="1" shapeId="0" xr:uid="{00000000-0006-0000-0E00-0000DB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DK90" authorId="0" shapeId="0" xr:uid="{00000000-0006-0000-0E00-0000DC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DL90" authorId="1" shapeId="0" xr:uid="{00000000-0006-0000-0E00-0000DD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DM90" authorId="1" shapeId="0" xr:uid="{00000000-0006-0000-0E00-0000DE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DN90" authorId="1" shapeId="0" xr:uid="{00000000-0006-0000-0E00-0000DF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DO90" authorId="1" shapeId="0" xr:uid="{00000000-0006-0000-0E00-0000E0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EI90" authorId="0" shapeId="0" xr:uid="{00000000-0006-0000-0E00-0000E1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EJ90" authorId="1" shapeId="0" xr:uid="{00000000-0006-0000-0E00-0000E2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EK90" authorId="1" shapeId="0" xr:uid="{00000000-0006-0000-0E00-0000E3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EL90" authorId="1" shapeId="0" xr:uid="{00000000-0006-0000-0E00-0000E4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EM90" authorId="1" shapeId="0" xr:uid="{00000000-0006-0000-0E00-0000E5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FG90" authorId="0" shapeId="0" xr:uid="{00000000-0006-0000-0E00-0000E6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FH90" authorId="1" shapeId="0" xr:uid="{00000000-0006-0000-0E00-0000E7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FI90" authorId="1" shapeId="0" xr:uid="{00000000-0006-0000-0E00-0000E8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FJ90" authorId="1" shapeId="0" xr:uid="{00000000-0006-0000-0E00-0000E9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FK90" authorId="1" shapeId="0" xr:uid="{00000000-0006-0000-0E00-0000EA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GE90" authorId="0" shapeId="0" xr:uid="{00000000-0006-0000-0E00-0000EB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GF90" authorId="1" shapeId="0" xr:uid="{00000000-0006-0000-0E00-0000EC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GG90" authorId="1" shapeId="0" xr:uid="{00000000-0006-0000-0E00-0000ED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GH90" authorId="1" shapeId="0" xr:uid="{00000000-0006-0000-0E00-0000EE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GI90" authorId="1" shapeId="0" xr:uid="{00000000-0006-0000-0E00-0000EF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HC90" authorId="0" shapeId="0" xr:uid="{00000000-0006-0000-0E00-0000F0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HD90" authorId="1" shapeId="0" xr:uid="{00000000-0006-0000-0E00-0000F1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HE90" authorId="1" shapeId="0" xr:uid="{00000000-0006-0000-0E00-0000F2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HF90" authorId="1" shapeId="0" xr:uid="{00000000-0006-0000-0E00-0000F3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HG90" authorId="1" shapeId="0" xr:uid="{00000000-0006-0000-0E00-0000F4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IA90" authorId="0" shapeId="0" xr:uid="{00000000-0006-0000-0E00-0000F5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IB90" authorId="1" shapeId="0" xr:uid="{00000000-0006-0000-0E00-0000F6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IC90" authorId="1" shapeId="0" xr:uid="{00000000-0006-0000-0E00-0000F7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ID90" authorId="1" shapeId="0" xr:uid="{00000000-0006-0000-0E00-0000F8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IE90" authorId="1" shapeId="0" xr:uid="{00000000-0006-0000-0E00-0000F9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IV90" authorId="0" shapeId="0" xr:uid="{00000000-0006-0000-0E00-0000FA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IW90" authorId="0" shapeId="0" xr:uid="{00000000-0006-0000-0E00-0000FB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IX90" authorId="1" shapeId="0" xr:uid="{00000000-0006-0000-0E00-0000FC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IY90" authorId="0" shapeId="0" xr:uid="{00000000-0006-0000-0E00-0000FD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IZ90" authorId="1" shapeId="0" xr:uid="{00000000-0006-0000-0E00-0000FE0E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JA90" authorId="1" shapeId="0" xr:uid="{00000000-0006-0000-0E00-0000FF0E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JB90" authorId="1" shapeId="0" xr:uid="{00000000-0006-0000-0E00-000000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JC90" authorId="1" shapeId="0" xr:uid="{00000000-0006-0000-0E00-000001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JW90" authorId="0" shapeId="0" xr:uid="{00000000-0006-0000-0E00-000002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JX90" authorId="1" shapeId="0" xr:uid="{00000000-0006-0000-0E00-000003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JY90" authorId="1" shapeId="0" xr:uid="{00000000-0006-0000-0E00-000004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JZ90" authorId="1" shapeId="0" xr:uid="{00000000-0006-0000-0E00-000005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KA90" authorId="1" shapeId="0" xr:uid="{00000000-0006-0000-0E00-000006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KU90" authorId="0" shapeId="0" xr:uid="{00000000-0006-0000-0E00-000007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KV90" authorId="1" shapeId="0" xr:uid="{00000000-0006-0000-0E00-000008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KW90" authorId="1" shapeId="0" xr:uid="{00000000-0006-0000-0E00-000009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KX90" authorId="1" shapeId="0" xr:uid="{00000000-0006-0000-0E00-00000A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KY90" authorId="1" shapeId="0" xr:uid="{00000000-0006-0000-0E00-00000B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LS90" authorId="0" shapeId="0" xr:uid="{00000000-0006-0000-0E00-00000C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LT90" authorId="1" shapeId="0" xr:uid="{00000000-0006-0000-0E00-00000D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LU90" authorId="1" shapeId="0" xr:uid="{00000000-0006-0000-0E00-00000E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LV90" authorId="1" shapeId="0" xr:uid="{00000000-0006-0000-0E00-00000F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LW90" authorId="1" shapeId="0" xr:uid="{00000000-0006-0000-0E00-000010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MQ90" authorId="0" shapeId="0" xr:uid="{00000000-0006-0000-0E00-000011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MR90" authorId="1" shapeId="0" xr:uid="{00000000-0006-0000-0E00-000012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MS90" authorId="1" shapeId="0" xr:uid="{00000000-0006-0000-0E00-000013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MT90" authorId="1" shapeId="0" xr:uid="{00000000-0006-0000-0E00-000014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MU90" authorId="1" shapeId="0" xr:uid="{00000000-0006-0000-0E00-000015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NO90" authorId="0" shapeId="0" xr:uid="{00000000-0006-0000-0E00-000016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NP90" authorId="1" shapeId="0" xr:uid="{00000000-0006-0000-0E00-000017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NQ90" authorId="1" shapeId="0" xr:uid="{00000000-0006-0000-0E00-000018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NR90" authorId="1" shapeId="0" xr:uid="{00000000-0006-0000-0E00-000019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NS90" authorId="1" shapeId="0" xr:uid="{00000000-0006-0000-0E00-00001A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OM90" authorId="0" shapeId="0" xr:uid="{00000000-0006-0000-0E00-00001B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ON90" authorId="1" shapeId="0" xr:uid="{00000000-0006-0000-0E00-00001C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OO90" authorId="1" shapeId="0" xr:uid="{00000000-0006-0000-0E00-00001D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OP90" authorId="1" shapeId="0" xr:uid="{00000000-0006-0000-0E00-00001E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OQ90" authorId="1" shapeId="0" xr:uid="{00000000-0006-0000-0E00-00001F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PK90" authorId="0" shapeId="0" xr:uid="{00000000-0006-0000-0E00-000020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PL90" authorId="1" shapeId="0" xr:uid="{00000000-0006-0000-0E00-000021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PM90" authorId="1" shapeId="0" xr:uid="{00000000-0006-0000-0E00-000022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PN90" authorId="1" shapeId="0" xr:uid="{00000000-0006-0000-0E00-000023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PO90" authorId="1" shapeId="0" xr:uid="{00000000-0006-0000-0E00-000024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QI90" authorId="0" shapeId="0" xr:uid="{00000000-0006-0000-0E00-000025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QJ90" authorId="1" shapeId="0" xr:uid="{00000000-0006-0000-0E00-000026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QK90" authorId="1" shapeId="0" xr:uid="{00000000-0006-0000-0E00-000027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QL90" authorId="1" shapeId="0" xr:uid="{00000000-0006-0000-0E00-000028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QM90" authorId="1" shapeId="0" xr:uid="{00000000-0006-0000-0E00-000029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RG90" authorId="0" shapeId="0" xr:uid="{00000000-0006-0000-0E00-00002A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RH90" authorId="1" shapeId="0" xr:uid="{00000000-0006-0000-0E00-00002B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RI90" authorId="1" shapeId="0" xr:uid="{00000000-0006-0000-0E00-00002C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RJ90" authorId="1" shapeId="0" xr:uid="{00000000-0006-0000-0E00-00002D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RK90" authorId="1" shapeId="0" xr:uid="{00000000-0006-0000-0E00-00002E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SE90" authorId="0" shapeId="0" xr:uid="{00000000-0006-0000-0E00-00002F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SF90" authorId="1" shapeId="0" xr:uid="{00000000-0006-0000-0E00-0000300F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SG90" authorId="1" shapeId="0" xr:uid="{00000000-0006-0000-0E00-000031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SH90" authorId="1" shapeId="0" xr:uid="{00000000-0006-0000-0E00-000032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SI90" authorId="1" shapeId="0" xr:uid="{00000000-0006-0000-0E00-0000330F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IV91" authorId="0" shapeId="0" xr:uid="{00000000-0006-0000-0E00-0000340F0000}">
      <text>
        <r>
          <rPr>
            <sz val="9"/>
            <color indexed="81"/>
            <rFont val="Tahoma"/>
            <family val="2"/>
          </rPr>
          <t>Could not find source file for Schuyler county.</t>
        </r>
      </text>
    </comment>
    <comment ref="IW91" authorId="0" shapeId="0" xr:uid="{00000000-0006-0000-0E00-0000350F0000}">
      <text>
        <r>
          <rPr>
            <sz val="9"/>
            <color indexed="81"/>
            <rFont val="Tahoma"/>
            <family val="2"/>
          </rPr>
          <t>Could not find source file for Schuyler county.</t>
        </r>
      </text>
    </comment>
    <comment ref="IX91" authorId="1" shapeId="0" xr:uid="{00000000-0006-0000-0E00-0000360F0000}">
      <text>
        <r>
          <rPr>
            <sz val="9"/>
            <color indexed="81"/>
            <rFont val="Tahoma"/>
            <family val="2"/>
          </rPr>
          <t>Could not find source file for Schuyler county.</t>
        </r>
      </text>
    </comment>
    <comment ref="IY91" authorId="0" shapeId="0" xr:uid="{00000000-0006-0000-0E00-0000370F0000}">
      <text>
        <r>
          <rPr>
            <sz val="9"/>
            <color indexed="81"/>
            <rFont val="Tahoma"/>
            <family val="2"/>
          </rPr>
          <t>Could not find source file for Schuyler county.</t>
        </r>
      </text>
    </comment>
    <comment ref="IZ91" authorId="1" shapeId="0" xr:uid="{00000000-0006-0000-0E00-0000380F0000}">
      <text>
        <r>
          <rPr>
            <sz val="9"/>
            <color indexed="81"/>
            <rFont val="Tahoma"/>
            <family val="2"/>
          </rPr>
          <t>Could not find source file for Schuyler county.</t>
        </r>
      </text>
    </comment>
    <comment ref="JA91" authorId="1" shapeId="0" xr:uid="{00000000-0006-0000-0E00-0000390F0000}">
      <text>
        <r>
          <rPr>
            <sz val="9"/>
            <color indexed="81"/>
            <rFont val="Tahoma"/>
            <charset val="1"/>
          </rPr>
          <t>Could not find source file for Schuyler county.</t>
        </r>
      </text>
    </comment>
    <comment ref="JB91" authorId="1" shapeId="0" xr:uid="{00000000-0006-0000-0E00-00003A0F0000}">
      <text>
        <r>
          <rPr>
            <sz val="9"/>
            <color indexed="81"/>
            <rFont val="Tahoma"/>
            <charset val="1"/>
          </rPr>
          <t>Could not find source file for Schuyler county.</t>
        </r>
      </text>
    </comment>
    <comment ref="JC91" authorId="1" shapeId="0" xr:uid="{00000000-0006-0000-0E00-00003B0F0000}">
      <text>
        <r>
          <rPr>
            <sz val="9"/>
            <color indexed="81"/>
            <rFont val="Tahoma"/>
            <charset val="1"/>
          </rPr>
          <t>Could not find source file for Schuyler county.</t>
        </r>
      </text>
    </comment>
    <comment ref="IV92" authorId="0" shapeId="0" xr:uid="{00000000-0006-0000-0E00-00003C0F0000}">
      <text>
        <r>
          <rPr>
            <sz val="9"/>
            <color indexed="81"/>
            <rFont val="Tahoma"/>
            <family val="2"/>
          </rPr>
          <t>Could not find source file for Scotland county.</t>
        </r>
      </text>
    </comment>
    <comment ref="IW92" authorId="0" shapeId="0" xr:uid="{00000000-0006-0000-0E00-00003D0F0000}">
      <text>
        <r>
          <rPr>
            <sz val="9"/>
            <color indexed="81"/>
            <rFont val="Tahoma"/>
            <family val="2"/>
          </rPr>
          <t>Could not find source file for Scotland county.</t>
        </r>
      </text>
    </comment>
    <comment ref="IX92" authorId="1" shapeId="0" xr:uid="{00000000-0006-0000-0E00-00003E0F0000}">
      <text>
        <r>
          <rPr>
            <sz val="9"/>
            <color indexed="81"/>
            <rFont val="Tahoma"/>
            <family val="2"/>
          </rPr>
          <t>Could not find source file for Scotland county.</t>
        </r>
      </text>
    </comment>
    <comment ref="IY92" authorId="0" shapeId="0" xr:uid="{00000000-0006-0000-0E00-00003F0F0000}">
      <text>
        <r>
          <rPr>
            <sz val="9"/>
            <color indexed="81"/>
            <rFont val="Tahoma"/>
            <family val="2"/>
          </rPr>
          <t>Could not find source file for Scotland county.</t>
        </r>
      </text>
    </comment>
    <comment ref="IZ92" authorId="1" shapeId="0" xr:uid="{00000000-0006-0000-0E00-0000400F0000}">
      <text>
        <r>
          <rPr>
            <sz val="9"/>
            <color indexed="81"/>
            <rFont val="Tahoma"/>
            <family val="2"/>
          </rPr>
          <t>Could not find source file for Scotland county.</t>
        </r>
      </text>
    </comment>
    <comment ref="JA92" authorId="1" shapeId="0" xr:uid="{00000000-0006-0000-0E00-0000410F0000}">
      <text>
        <r>
          <rPr>
            <sz val="9"/>
            <color indexed="81"/>
            <rFont val="Tahoma"/>
            <charset val="1"/>
          </rPr>
          <t>Could not find source file for Scotland county.</t>
        </r>
      </text>
    </comment>
    <comment ref="JB92" authorId="1" shapeId="0" xr:uid="{00000000-0006-0000-0E00-0000420F0000}">
      <text>
        <r>
          <rPr>
            <sz val="9"/>
            <color indexed="81"/>
            <rFont val="Tahoma"/>
            <charset val="1"/>
          </rPr>
          <t>Could not find source file for Scotland county.</t>
        </r>
      </text>
    </comment>
    <comment ref="JC92" authorId="1" shapeId="0" xr:uid="{00000000-0006-0000-0E00-0000430F0000}">
      <text>
        <r>
          <rPr>
            <sz val="9"/>
            <color indexed="81"/>
            <rFont val="Tahoma"/>
            <charset val="1"/>
          </rPr>
          <t>Could not find source file for Scotland county.</t>
        </r>
      </text>
    </comment>
    <comment ref="IV93" authorId="0" shapeId="0" xr:uid="{00000000-0006-0000-0E00-0000440F0000}">
      <text>
        <r>
          <rPr>
            <sz val="9"/>
            <color indexed="81"/>
            <rFont val="Tahoma"/>
            <family val="2"/>
          </rPr>
          <t>Could not find source file for Scott county.</t>
        </r>
      </text>
    </comment>
    <comment ref="IW93" authorId="0" shapeId="0" xr:uid="{00000000-0006-0000-0E00-0000450F0000}">
      <text>
        <r>
          <rPr>
            <sz val="9"/>
            <color indexed="81"/>
            <rFont val="Tahoma"/>
            <family val="2"/>
          </rPr>
          <t>Could not find source file for Scott county.</t>
        </r>
      </text>
    </comment>
    <comment ref="IX93" authorId="1" shapeId="0" xr:uid="{00000000-0006-0000-0E00-0000460F0000}">
      <text>
        <r>
          <rPr>
            <sz val="9"/>
            <color indexed="81"/>
            <rFont val="Tahoma"/>
            <family val="2"/>
          </rPr>
          <t>Could not find source file for Scott county.</t>
        </r>
      </text>
    </comment>
    <comment ref="IY93" authorId="0" shapeId="0" xr:uid="{00000000-0006-0000-0E00-0000470F0000}">
      <text>
        <r>
          <rPr>
            <sz val="9"/>
            <color indexed="81"/>
            <rFont val="Tahoma"/>
            <family val="2"/>
          </rPr>
          <t>Could not find source file for Scott county.</t>
        </r>
      </text>
    </comment>
    <comment ref="IZ93" authorId="1" shapeId="0" xr:uid="{00000000-0006-0000-0E00-0000480F0000}">
      <text>
        <r>
          <rPr>
            <sz val="9"/>
            <color indexed="81"/>
            <rFont val="Tahoma"/>
            <family val="2"/>
          </rPr>
          <t>Could not find source file for Scott county.</t>
        </r>
      </text>
    </comment>
    <comment ref="JA93" authorId="1" shapeId="0" xr:uid="{00000000-0006-0000-0E00-0000490F0000}">
      <text>
        <r>
          <rPr>
            <sz val="9"/>
            <color indexed="81"/>
            <rFont val="Tahoma"/>
            <charset val="1"/>
          </rPr>
          <t>Could not find source file for Scott county.</t>
        </r>
      </text>
    </comment>
    <comment ref="JB93" authorId="1" shapeId="0" xr:uid="{00000000-0006-0000-0E00-00004A0F0000}">
      <text>
        <r>
          <rPr>
            <sz val="9"/>
            <color indexed="81"/>
            <rFont val="Tahoma"/>
            <charset val="1"/>
          </rPr>
          <t>Could not find source file for Scott county.</t>
        </r>
      </text>
    </comment>
    <comment ref="JC93" authorId="1" shapeId="0" xr:uid="{00000000-0006-0000-0E00-00004B0F0000}">
      <text>
        <r>
          <rPr>
            <sz val="9"/>
            <color indexed="81"/>
            <rFont val="Tahoma"/>
            <charset val="1"/>
          </rPr>
          <t>Could not find source file for Scott county.</t>
        </r>
      </text>
    </comment>
    <comment ref="IV94" authorId="0" shapeId="0" xr:uid="{00000000-0006-0000-0E00-00004C0F0000}">
      <text>
        <r>
          <rPr>
            <sz val="9"/>
            <color indexed="81"/>
            <rFont val="Tahoma"/>
            <family val="2"/>
          </rPr>
          <t>Could not find source file for Shannon county.</t>
        </r>
      </text>
    </comment>
    <comment ref="IW94" authorId="0" shapeId="0" xr:uid="{00000000-0006-0000-0E00-00004D0F0000}">
      <text>
        <r>
          <rPr>
            <sz val="9"/>
            <color indexed="81"/>
            <rFont val="Tahoma"/>
            <family val="2"/>
          </rPr>
          <t>Could not find source file for Shannon county.</t>
        </r>
      </text>
    </comment>
    <comment ref="IX94" authorId="1" shapeId="0" xr:uid="{00000000-0006-0000-0E00-00004E0F0000}">
      <text>
        <r>
          <rPr>
            <sz val="9"/>
            <color indexed="81"/>
            <rFont val="Tahoma"/>
            <family val="2"/>
          </rPr>
          <t>Could not find source file for Shannon county.</t>
        </r>
      </text>
    </comment>
    <comment ref="IY94" authorId="0" shapeId="0" xr:uid="{00000000-0006-0000-0E00-00004F0F0000}">
      <text>
        <r>
          <rPr>
            <sz val="9"/>
            <color indexed="81"/>
            <rFont val="Tahoma"/>
            <family val="2"/>
          </rPr>
          <t>Could not find source file for Shannon county.</t>
        </r>
      </text>
    </comment>
    <comment ref="IZ94" authorId="1" shapeId="0" xr:uid="{00000000-0006-0000-0E00-0000500F0000}">
      <text>
        <r>
          <rPr>
            <sz val="9"/>
            <color indexed="81"/>
            <rFont val="Tahoma"/>
            <family val="2"/>
          </rPr>
          <t>Could not find source file for Shannon county.</t>
        </r>
      </text>
    </comment>
    <comment ref="JA94" authorId="1" shapeId="0" xr:uid="{00000000-0006-0000-0E00-0000510F0000}">
      <text>
        <r>
          <rPr>
            <sz val="9"/>
            <color indexed="81"/>
            <rFont val="Tahoma"/>
            <charset val="1"/>
          </rPr>
          <t>Could not find source file for Shannon county.</t>
        </r>
      </text>
    </comment>
    <comment ref="JB94" authorId="1" shapeId="0" xr:uid="{00000000-0006-0000-0E00-0000520F0000}">
      <text>
        <r>
          <rPr>
            <sz val="9"/>
            <color indexed="81"/>
            <rFont val="Tahoma"/>
            <charset val="1"/>
          </rPr>
          <t>Could not find source file for Shannon county.</t>
        </r>
      </text>
    </comment>
    <comment ref="JC94" authorId="1" shapeId="0" xr:uid="{00000000-0006-0000-0E00-0000530F0000}">
      <text>
        <r>
          <rPr>
            <sz val="9"/>
            <color indexed="81"/>
            <rFont val="Tahoma"/>
            <charset val="1"/>
          </rPr>
          <t>Could not find source file for Shannon county.</t>
        </r>
      </text>
    </comment>
    <comment ref="M95" authorId="0" shapeId="0" xr:uid="{00000000-0006-0000-0E00-000054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AK95" authorId="0" shapeId="0" xr:uid="{00000000-0006-0000-0E00-000055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BI95" authorId="0" shapeId="0" xr:uid="{00000000-0006-0000-0E00-000056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CG95" authorId="0" shapeId="0" xr:uid="{00000000-0006-0000-0E00-000057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DE95" authorId="0" shapeId="0" xr:uid="{00000000-0006-0000-0E00-000058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EC95" authorId="0" shapeId="0" xr:uid="{00000000-0006-0000-0E00-000059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FA95" authorId="0" shapeId="0" xr:uid="{00000000-0006-0000-0E00-00005A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FY95" authorId="0" shapeId="0" xr:uid="{00000000-0006-0000-0E00-00005B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GW95" authorId="0" shapeId="0" xr:uid="{00000000-0006-0000-0E00-00005C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HU95" authorId="0" shapeId="0" xr:uid="{00000000-0006-0000-0E00-00005D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IS95" authorId="0" shapeId="0" xr:uid="{00000000-0006-0000-0E00-00005E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IV95" authorId="0" shapeId="0" xr:uid="{00000000-0006-0000-0E00-00005F0F0000}">
      <text>
        <r>
          <rPr>
            <sz val="9"/>
            <color indexed="81"/>
            <rFont val="Tahoma"/>
            <family val="2"/>
          </rPr>
          <t>Could not find source file for Shelby county.</t>
        </r>
      </text>
    </comment>
    <comment ref="IW95" authorId="0" shapeId="0" xr:uid="{00000000-0006-0000-0E00-0000600F0000}">
      <text>
        <r>
          <rPr>
            <sz val="9"/>
            <color indexed="81"/>
            <rFont val="Tahoma"/>
            <family val="2"/>
          </rPr>
          <t>Could not find source file for Shelby county.</t>
        </r>
      </text>
    </comment>
    <comment ref="IX95" authorId="1" shapeId="0" xr:uid="{00000000-0006-0000-0E00-0000610F0000}">
      <text>
        <r>
          <rPr>
            <sz val="9"/>
            <color indexed="81"/>
            <rFont val="Tahoma"/>
            <family val="2"/>
          </rPr>
          <t>Could not find source file for Shelby county.</t>
        </r>
      </text>
    </comment>
    <comment ref="IY95" authorId="0" shapeId="0" xr:uid="{00000000-0006-0000-0E00-0000620F0000}">
      <text>
        <r>
          <rPr>
            <sz val="9"/>
            <color indexed="81"/>
            <rFont val="Tahoma"/>
            <family val="2"/>
          </rPr>
          <t>Could not find source file for Shelby county.</t>
        </r>
      </text>
    </comment>
    <comment ref="IZ95" authorId="1" shapeId="0" xr:uid="{00000000-0006-0000-0E00-0000630F0000}">
      <text>
        <r>
          <rPr>
            <sz val="9"/>
            <color indexed="81"/>
            <rFont val="Tahoma"/>
            <family val="2"/>
          </rPr>
          <t>Could not find source file for Shelby county.</t>
        </r>
      </text>
    </comment>
    <comment ref="JA95" authorId="1" shapeId="0" xr:uid="{00000000-0006-0000-0E00-0000640F0000}">
      <text>
        <r>
          <rPr>
            <sz val="9"/>
            <color indexed="81"/>
            <rFont val="Tahoma"/>
            <charset val="1"/>
          </rPr>
          <t>Could not find source file for Shelby county.</t>
        </r>
      </text>
    </comment>
    <comment ref="JB95" authorId="1" shapeId="0" xr:uid="{00000000-0006-0000-0E00-0000650F0000}">
      <text>
        <r>
          <rPr>
            <sz val="9"/>
            <color indexed="81"/>
            <rFont val="Tahoma"/>
            <charset val="1"/>
          </rPr>
          <t>Could not find source file for Shelby county.</t>
        </r>
      </text>
    </comment>
    <comment ref="JC95" authorId="1" shapeId="0" xr:uid="{00000000-0006-0000-0E00-0000660F0000}">
      <text>
        <r>
          <rPr>
            <sz val="9"/>
            <color indexed="81"/>
            <rFont val="Tahoma"/>
            <charset val="1"/>
          </rPr>
          <t>Could not find source file for Shelby county.</t>
        </r>
      </text>
    </comment>
    <comment ref="JQ95" authorId="0" shapeId="0" xr:uid="{00000000-0006-0000-0E00-000067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KO95" authorId="0" shapeId="0" xr:uid="{00000000-0006-0000-0E00-000068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LM95" authorId="0" shapeId="0" xr:uid="{00000000-0006-0000-0E00-000069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MK95" authorId="0" shapeId="0" xr:uid="{00000000-0006-0000-0E00-00006A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NI95" authorId="0" shapeId="0" xr:uid="{00000000-0006-0000-0E00-00006B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OG95" authorId="0" shapeId="0" xr:uid="{00000000-0006-0000-0E00-00006C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PE95" authorId="0" shapeId="0" xr:uid="{00000000-0006-0000-0E00-00006D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QC95" authorId="0" shapeId="0" xr:uid="{00000000-0006-0000-0E00-00006E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RA95" authorId="0" shapeId="0" xr:uid="{00000000-0006-0000-0E00-00006F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RY95" authorId="0" shapeId="0" xr:uid="{00000000-0006-0000-0E00-0000700F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U96" authorId="1" shapeId="0" xr:uid="{00000000-0006-0000-0E00-000071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V96" authorId="1" shapeId="0" xr:uid="{00000000-0006-0000-0E00-000072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W96" authorId="1" shapeId="0" xr:uid="{00000000-0006-0000-0E00-000073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AS96" authorId="1" shapeId="0" xr:uid="{00000000-0006-0000-0E00-000074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AT96" authorId="1" shapeId="0" xr:uid="{00000000-0006-0000-0E00-000075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AU96" authorId="1" shapeId="0" xr:uid="{00000000-0006-0000-0E00-000076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BQ96" authorId="1" shapeId="0" xr:uid="{00000000-0006-0000-0E00-000077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BR96" authorId="1" shapeId="0" xr:uid="{00000000-0006-0000-0E00-000078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BS96" authorId="1" shapeId="0" xr:uid="{00000000-0006-0000-0E00-000079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CO96" authorId="1" shapeId="0" xr:uid="{00000000-0006-0000-0E00-00007A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CP96" authorId="1" shapeId="0" xr:uid="{00000000-0006-0000-0E00-00007B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CQ96" authorId="1" shapeId="0" xr:uid="{00000000-0006-0000-0E00-00007C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DM96" authorId="1" shapeId="0" xr:uid="{00000000-0006-0000-0E00-00007D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DN96" authorId="1" shapeId="0" xr:uid="{00000000-0006-0000-0E00-00007E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DO96" authorId="1" shapeId="0" xr:uid="{00000000-0006-0000-0E00-00007F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EK96" authorId="1" shapeId="0" xr:uid="{00000000-0006-0000-0E00-000080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EL96" authorId="1" shapeId="0" xr:uid="{00000000-0006-0000-0E00-000081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EM96" authorId="1" shapeId="0" xr:uid="{00000000-0006-0000-0E00-000082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FI96" authorId="1" shapeId="0" xr:uid="{00000000-0006-0000-0E00-000083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FJ96" authorId="1" shapeId="0" xr:uid="{00000000-0006-0000-0E00-000084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FK96" authorId="1" shapeId="0" xr:uid="{00000000-0006-0000-0E00-000085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GG96" authorId="1" shapeId="0" xr:uid="{00000000-0006-0000-0E00-000086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GH96" authorId="1" shapeId="0" xr:uid="{00000000-0006-0000-0E00-000087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GI96" authorId="1" shapeId="0" xr:uid="{00000000-0006-0000-0E00-000088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HE96" authorId="1" shapeId="0" xr:uid="{00000000-0006-0000-0E00-000089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HF96" authorId="1" shapeId="0" xr:uid="{00000000-0006-0000-0E00-00008A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HG96" authorId="1" shapeId="0" xr:uid="{00000000-0006-0000-0E00-00008B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IC96" authorId="1" shapeId="0" xr:uid="{00000000-0006-0000-0E00-00008C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ID96" authorId="1" shapeId="0" xr:uid="{00000000-0006-0000-0E00-00008D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IE96" authorId="1" shapeId="0" xr:uid="{00000000-0006-0000-0E00-00008E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IV96" authorId="0" shapeId="0" xr:uid="{00000000-0006-0000-0E00-00008F0F0000}">
      <text>
        <r>
          <rPr>
            <sz val="9"/>
            <color indexed="81"/>
            <rFont val="Tahoma"/>
            <family val="2"/>
          </rPr>
          <t>Could not find source file for Stoddard county.</t>
        </r>
      </text>
    </comment>
    <comment ref="IW96" authorId="0" shapeId="0" xr:uid="{00000000-0006-0000-0E00-0000900F0000}">
      <text>
        <r>
          <rPr>
            <sz val="9"/>
            <color indexed="81"/>
            <rFont val="Tahoma"/>
            <family val="2"/>
          </rPr>
          <t>Could not find source file for Stoddard county.</t>
        </r>
      </text>
    </comment>
    <comment ref="IX96" authorId="1" shapeId="0" xr:uid="{00000000-0006-0000-0E00-0000910F0000}">
      <text>
        <r>
          <rPr>
            <sz val="9"/>
            <color indexed="81"/>
            <rFont val="Tahoma"/>
            <family val="2"/>
          </rPr>
          <t>Could not find source file for Stoddard county.</t>
        </r>
      </text>
    </comment>
    <comment ref="IY96" authorId="0" shapeId="0" xr:uid="{00000000-0006-0000-0E00-0000920F0000}">
      <text>
        <r>
          <rPr>
            <sz val="9"/>
            <color indexed="81"/>
            <rFont val="Tahoma"/>
            <family val="2"/>
          </rPr>
          <t>Could not find source file for Stoddard county.</t>
        </r>
      </text>
    </comment>
    <comment ref="IZ96" authorId="1" shapeId="0" xr:uid="{00000000-0006-0000-0E00-0000930F0000}">
      <text>
        <r>
          <rPr>
            <sz val="9"/>
            <color indexed="81"/>
            <rFont val="Tahoma"/>
            <family val="2"/>
          </rPr>
          <t>Could not find source file for Stoddard county.</t>
        </r>
      </text>
    </comment>
    <comment ref="JA96" authorId="1" shapeId="0" xr:uid="{00000000-0006-0000-0E00-000094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JB96" authorId="1" shapeId="0" xr:uid="{00000000-0006-0000-0E00-000095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JC96" authorId="1" shapeId="0" xr:uid="{00000000-0006-0000-0E00-000096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JY96" authorId="1" shapeId="0" xr:uid="{00000000-0006-0000-0E00-000097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JZ96" authorId="1" shapeId="0" xr:uid="{00000000-0006-0000-0E00-000098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KA96" authorId="1" shapeId="0" xr:uid="{00000000-0006-0000-0E00-000099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KW96" authorId="1" shapeId="0" xr:uid="{00000000-0006-0000-0E00-00009A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KX96" authorId="1" shapeId="0" xr:uid="{00000000-0006-0000-0E00-00009B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KY96" authorId="1" shapeId="0" xr:uid="{00000000-0006-0000-0E00-00009C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LU96" authorId="1" shapeId="0" xr:uid="{00000000-0006-0000-0E00-00009D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LV96" authorId="1" shapeId="0" xr:uid="{00000000-0006-0000-0E00-00009E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LW96" authorId="1" shapeId="0" xr:uid="{00000000-0006-0000-0E00-00009F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MS96" authorId="1" shapeId="0" xr:uid="{00000000-0006-0000-0E00-0000A0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MT96" authorId="1" shapeId="0" xr:uid="{00000000-0006-0000-0E00-0000A1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MU96" authorId="1" shapeId="0" xr:uid="{00000000-0006-0000-0E00-0000A2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NQ96" authorId="1" shapeId="0" xr:uid="{00000000-0006-0000-0E00-0000A3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NR96" authorId="1" shapeId="0" xr:uid="{00000000-0006-0000-0E00-0000A4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NS96" authorId="1" shapeId="0" xr:uid="{00000000-0006-0000-0E00-0000A5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OO96" authorId="1" shapeId="0" xr:uid="{00000000-0006-0000-0E00-0000A6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OP96" authorId="1" shapeId="0" xr:uid="{00000000-0006-0000-0E00-0000A7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OQ96" authorId="1" shapeId="0" xr:uid="{00000000-0006-0000-0E00-0000A8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PM96" authorId="1" shapeId="0" xr:uid="{00000000-0006-0000-0E00-0000A9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PN96" authorId="1" shapeId="0" xr:uid="{00000000-0006-0000-0E00-0000AA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PO96" authorId="1" shapeId="0" xr:uid="{00000000-0006-0000-0E00-0000AB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QK96" authorId="1" shapeId="0" xr:uid="{00000000-0006-0000-0E00-0000AC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QL96" authorId="1" shapeId="0" xr:uid="{00000000-0006-0000-0E00-0000AD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QM96" authorId="1" shapeId="0" xr:uid="{00000000-0006-0000-0E00-0000AE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RI96" authorId="1" shapeId="0" xr:uid="{00000000-0006-0000-0E00-0000AF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RJ96" authorId="1" shapeId="0" xr:uid="{00000000-0006-0000-0E00-0000B0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RK96" authorId="1" shapeId="0" xr:uid="{00000000-0006-0000-0E00-0000B1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SG96" authorId="1" shapeId="0" xr:uid="{00000000-0006-0000-0E00-0000B2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SH96" authorId="1" shapeId="0" xr:uid="{00000000-0006-0000-0E00-0000B3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SI96" authorId="1" shapeId="0" xr:uid="{00000000-0006-0000-0E00-0000B40F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IV97" authorId="0" shapeId="0" xr:uid="{00000000-0006-0000-0E00-0000B50F0000}">
      <text>
        <r>
          <rPr>
            <sz val="9"/>
            <color indexed="81"/>
            <rFont val="Tahoma"/>
            <family val="2"/>
          </rPr>
          <t>Could not find source file for Stone county.</t>
        </r>
      </text>
    </comment>
    <comment ref="IW97" authorId="0" shapeId="0" xr:uid="{00000000-0006-0000-0E00-0000B60F0000}">
      <text>
        <r>
          <rPr>
            <sz val="9"/>
            <color indexed="81"/>
            <rFont val="Tahoma"/>
            <family val="2"/>
          </rPr>
          <t>Could not find source file for Stone county.</t>
        </r>
      </text>
    </comment>
    <comment ref="IX97" authorId="1" shapeId="0" xr:uid="{00000000-0006-0000-0E00-0000B70F0000}">
      <text>
        <r>
          <rPr>
            <sz val="9"/>
            <color indexed="81"/>
            <rFont val="Tahoma"/>
            <family val="2"/>
          </rPr>
          <t>Could not find source file for Stone county.</t>
        </r>
      </text>
    </comment>
    <comment ref="IY97" authorId="0" shapeId="0" xr:uid="{00000000-0006-0000-0E00-0000B80F0000}">
      <text>
        <r>
          <rPr>
            <sz val="9"/>
            <color indexed="81"/>
            <rFont val="Tahoma"/>
            <family val="2"/>
          </rPr>
          <t>Could not find source file for Stone county.</t>
        </r>
      </text>
    </comment>
    <comment ref="IZ97" authorId="1" shapeId="0" xr:uid="{00000000-0006-0000-0E00-0000B90F0000}">
      <text>
        <r>
          <rPr>
            <sz val="9"/>
            <color indexed="81"/>
            <rFont val="Tahoma"/>
            <family val="2"/>
          </rPr>
          <t>Could not find source file for Stone county.</t>
        </r>
      </text>
    </comment>
    <comment ref="JA97" authorId="1" shapeId="0" xr:uid="{00000000-0006-0000-0E00-0000BA0F0000}">
      <text>
        <r>
          <rPr>
            <sz val="9"/>
            <color indexed="81"/>
            <rFont val="Tahoma"/>
            <charset val="1"/>
          </rPr>
          <t>Could not find source file for Stone county.</t>
        </r>
      </text>
    </comment>
    <comment ref="JB97" authorId="1" shapeId="0" xr:uid="{00000000-0006-0000-0E00-0000BB0F0000}">
      <text>
        <r>
          <rPr>
            <sz val="9"/>
            <color indexed="81"/>
            <rFont val="Tahoma"/>
            <charset val="1"/>
          </rPr>
          <t>Could not find source file for Stone county.</t>
        </r>
      </text>
    </comment>
    <comment ref="JC97" authorId="1" shapeId="0" xr:uid="{00000000-0006-0000-0E00-0000BC0F0000}">
      <text>
        <r>
          <rPr>
            <sz val="9"/>
            <color indexed="81"/>
            <rFont val="Tahoma"/>
            <charset val="1"/>
          </rPr>
          <t>Could not find source file for Stone county.</t>
        </r>
      </text>
    </comment>
    <comment ref="Q98" authorId="0" shapeId="0" xr:uid="{00000000-0006-0000-0E00-0000BD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AO98" authorId="0" shapeId="0" xr:uid="{00000000-0006-0000-0E00-0000BE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BM98" authorId="0" shapeId="0" xr:uid="{00000000-0006-0000-0E00-0000BF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CK98" authorId="0" shapeId="0" xr:uid="{00000000-0006-0000-0E00-0000C0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DI98" authorId="0" shapeId="0" xr:uid="{00000000-0006-0000-0E00-0000C1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EG98" authorId="0" shapeId="0" xr:uid="{00000000-0006-0000-0E00-0000C2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FE98" authorId="0" shapeId="0" xr:uid="{00000000-0006-0000-0E00-0000C3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GC98" authorId="0" shapeId="0" xr:uid="{00000000-0006-0000-0E00-0000C4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HA98" authorId="0" shapeId="0" xr:uid="{00000000-0006-0000-0E00-0000C5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HY98" authorId="0" shapeId="0" xr:uid="{00000000-0006-0000-0E00-0000C6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IV98" authorId="0" shapeId="0" xr:uid="{00000000-0006-0000-0E00-0000C7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IW98" authorId="0" shapeId="0" xr:uid="{00000000-0006-0000-0E00-0000C8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IX98" authorId="1" shapeId="0" xr:uid="{00000000-0006-0000-0E00-0000C9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IY98" authorId="0" shapeId="0" xr:uid="{00000000-0006-0000-0E00-0000CA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IZ98" authorId="1" shapeId="0" xr:uid="{00000000-0006-0000-0E00-0000CB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JA98" authorId="1" shapeId="0" xr:uid="{00000000-0006-0000-0E00-0000CC0F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JB98" authorId="1" shapeId="0" xr:uid="{00000000-0006-0000-0E00-0000CD0F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JC98" authorId="1" shapeId="0" xr:uid="{00000000-0006-0000-0E00-0000CE0F0000}">
      <text>
        <r>
          <rPr>
            <sz val="9"/>
            <color indexed="81"/>
            <rFont val="Tahoma"/>
            <charset val="1"/>
          </rPr>
          <t>Could not find source file for Sullivan county.</t>
        </r>
      </text>
    </comment>
    <comment ref="JU98" authorId="0" shapeId="0" xr:uid="{00000000-0006-0000-0E00-0000CF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KS98" authorId="0" shapeId="0" xr:uid="{00000000-0006-0000-0E00-0000D0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LQ98" authorId="0" shapeId="0" xr:uid="{00000000-0006-0000-0E00-0000D1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MO98" authorId="0" shapeId="0" xr:uid="{00000000-0006-0000-0E00-0000D2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NM98" authorId="0" shapeId="0" xr:uid="{00000000-0006-0000-0E00-0000D3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OK98" authorId="0" shapeId="0" xr:uid="{00000000-0006-0000-0E00-0000D4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PI98" authorId="0" shapeId="0" xr:uid="{00000000-0006-0000-0E00-0000D5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QG98" authorId="0" shapeId="0" xr:uid="{00000000-0006-0000-0E00-0000D6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RE98" authorId="0" shapeId="0" xr:uid="{00000000-0006-0000-0E00-0000D7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SC98" authorId="0" shapeId="0" xr:uid="{00000000-0006-0000-0E00-0000D80F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U99" authorId="1" shapeId="0" xr:uid="{00000000-0006-0000-0E00-0000D9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V99" authorId="1" shapeId="0" xr:uid="{00000000-0006-0000-0E00-0000DA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W99" authorId="1" shapeId="0" xr:uid="{00000000-0006-0000-0E00-0000DB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AS99" authorId="1" shapeId="0" xr:uid="{00000000-0006-0000-0E00-0000DC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AT99" authorId="1" shapeId="0" xr:uid="{00000000-0006-0000-0E00-0000DD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AU99" authorId="1" shapeId="0" xr:uid="{00000000-0006-0000-0E00-0000DE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BQ99" authorId="1" shapeId="0" xr:uid="{00000000-0006-0000-0E00-0000DF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BR99" authorId="1" shapeId="0" xr:uid="{00000000-0006-0000-0E00-0000E0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BS99" authorId="1" shapeId="0" xr:uid="{00000000-0006-0000-0E00-0000E1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CO99" authorId="1" shapeId="0" xr:uid="{00000000-0006-0000-0E00-0000E2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CP99" authorId="1" shapeId="0" xr:uid="{00000000-0006-0000-0E00-0000E3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CQ99" authorId="1" shapeId="0" xr:uid="{00000000-0006-0000-0E00-0000E4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DM99" authorId="1" shapeId="0" xr:uid="{00000000-0006-0000-0E00-0000E5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DN99" authorId="1" shapeId="0" xr:uid="{00000000-0006-0000-0E00-0000E6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DO99" authorId="1" shapeId="0" xr:uid="{00000000-0006-0000-0E00-0000E7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EK99" authorId="1" shapeId="0" xr:uid="{00000000-0006-0000-0E00-0000E8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EL99" authorId="1" shapeId="0" xr:uid="{00000000-0006-0000-0E00-0000E9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EM99" authorId="1" shapeId="0" xr:uid="{00000000-0006-0000-0E00-0000EA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FI99" authorId="1" shapeId="0" xr:uid="{00000000-0006-0000-0E00-0000EB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FJ99" authorId="1" shapeId="0" xr:uid="{00000000-0006-0000-0E00-0000EC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FK99" authorId="1" shapeId="0" xr:uid="{00000000-0006-0000-0E00-0000ED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GG99" authorId="1" shapeId="0" xr:uid="{00000000-0006-0000-0E00-0000EE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GH99" authorId="1" shapeId="0" xr:uid="{00000000-0006-0000-0E00-0000EF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GI99" authorId="1" shapeId="0" xr:uid="{00000000-0006-0000-0E00-0000F0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HE99" authorId="1" shapeId="0" xr:uid="{00000000-0006-0000-0E00-0000F1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HF99" authorId="1" shapeId="0" xr:uid="{00000000-0006-0000-0E00-0000F2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HG99" authorId="1" shapeId="0" xr:uid="{00000000-0006-0000-0E00-0000F3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IC99" authorId="1" shapeId="0" xr:uid="{00000000-0006-0000-0E00-0000F4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ID99" authorId="1" shapeId="0" xr:uid="{00000000-0006-0000-0E00-0000F5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IE99" authorId="1" shapeId="0" xr:uid="{00000000-0006-0000-0E00-0000F6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IV99" authorId="0" shapeId="0" xr:uid="{00000000-0006-0000-0E00-0000F70F0000}">
      <text>
        <r>
          <rPr>
            <sz val="9"/>
            <color indexed="81"/>
            <rFont val="Tahoma"/>
            <family val="2"/>
          </rPr>
          <t>Could not find source file for Texas county.</t>
        </r>
      </text>
    </comment>
    <comment ref="IW99" authorId="0" shapeId="0" xr:uid="{00000000-0006-0000-0E00-0000F80F0000}">
      <text>
        <r>
          <rPr>
            <sz val="9"/>
            <color indexed="81"/>
            <rFont val="Tahoma"/>
            <family val="2"/>
          </rPr>
          <t>Could not find source file for Texas county.</t>
        </r>
      </text>
    </comment>
    <comment ref="IX99" authorId="1" shapeId="0" xr:uid="{00000000-0006-0000-0E00-0000F90F0000}">
      <text>
        <r>
          <rPr>
            <sz val="9"/>
            <color indexed="81"/>
            <rFont val="Tahoma"/>
            <family val="2"/>
          </rPr>
          <t>Could not find source file for Texas county.</t>
        </r>
      </text>
    </comment>
    <comment ref="IY99" authorId="0" shapeId="0" xr:uid="{00000000-0006-0000-0E00-0000FA0F0000}">
      <text>
        <r>
          <rPr>
            <sz val="9"/>
            <color indexed="81"/>
            <rFont val="Tahoma"/>
            <family val="2"/>
          </rPr>
          <t>Could not find source file for Texas county.</t>
        </r>
      </text>
    </comment>
    <comment ref="IZ99" authorId="1" shapeId="0" xr:uid="{00000000-0006-0000-0E00-0000FB0F0000}">
      <text>
        <r>
          <rPr>
            <sz val="9"/>
            <color indexed="81"/>
            <rFont val="Tahoma"/>
            <family val="2"/>
          </rPr>
          <t>Could not find source file for Texas county.</t>
        </r>
      </text>
    </comment>
    <comment ref="JA99" authorId="1" shapeId="0" xr:uid="{00000000-0006-0000-0E00-0000FC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JB99" authorId="1" shapeId="0" xr:uid="{00000000-0006-0000-0E00-0000FD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JC99" authorId="1" shapeId="0" xr:uid="{00000000-0006-0000-0E00-0000FE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JY99" authorId="1" shapeId="0" xr:uid="{00000000-0006-0000-0E00-0000FF0F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JZ99" authorId="1" shapeId="0" xr:uid="{00000000-0006-0000-0E00-000000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KA99" authorId="1" shapeId="0" xr:uid="{00000000-0006-0000-0E00-000001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KW99" authorId="1" shapeId="0" xr:uid="{00000000-0006-0000-0E00-000002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KX99" authorId="1" shapeId="0" xr:uid="{00000000-0006-0000-0E00-000003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KY99" authorId="1" shapeId="0" xr:uid="{00000000-0006-0000-0E00-000004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LU99" authorId="1" shapeId="0" xr:uid="{00000000-0006-0000-0E00-000005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LV99" authorId="1" shapeId="0" xr:uid="{00000000-0006-0000-0E00-000006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LW99" authorId="1" shapeId="0" xr:uid="{00000000-0006-0000-0E00-000007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MS99" authorId="1" shapeId="0" xr:uid="{00000000-0006-0000-0E00-000008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MT99" authorId="1" shapeId="0" xr:uid="{00000000-0006-0000-0E00-000009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MU99" authorId="1" shapeId="0" xr:uid="{00000000-0006-0000-0E00-00000A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NQ99" authorId="1" shapeId="0" xr:uid="{00000000-0006-0000-0E00-00000B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NR99" authorId="1" shapeId="0" xr:uid="{00000000-0006-0000-0E00-00000C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NS99" authorId="1" shapeId="0" xr:uid="{00000000-0006-0000-0E00-00000D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OO99" authorId="1" shapeId="0" xr:uid="{00000000-0006-0000-0E00-00000E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OP99" authorId="1" shapeId="0" xr:uid="{00000000-0006-0000-0E00-00000F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OQ99" authorId="1" shapeId="0" xr:uid="{00000000-0006-0000-0E00-000010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PM99" authorId="1" shapeId="0" xr:uid="{00000000-0006-0000-0E00-000011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PN99" authorId="1" shapeId="0" xr:uid="{00000000-0006-0000-0E00-000012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PO99" authorId="1" shapeId="0" xr:uid="{00000000-0006-0000-0E00-000013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QK99" authorId="1" shapeId="0" xr:uid="{00000000-0006-0000-0E00-000014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QL99" authorId="1" shapeId="0" xr:uid="{00000000-0006-0000-0E00-000015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QM99" authorId="1" shapeId="0" xr:uid="{00000000-0006-0000-0E00-000016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RI99" authorId="1" shapeId="0" xr:uid="{00000000-0006-0000-0E00-000017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RJ99" authorId="1" shapeId="0" xr:uid="{00000000-0006-0000-0E00-000018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RK99" authorId="1" shapeId="0" xr:uid="{00000000-0006-0000-0E00-000019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SG99" authorId="1" shapeId="0" xr:uid="{00000000-0006-0000-0E00-00001A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SH99" authorId="1" shapeId="0" xr:uid="{00000000-0006-0000-0E00-00001B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SI99" authorId="1" shapeId="0" xr:uid="{00000000-0006-0000-0E00-00001C1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T100" authorId="1" shapeId="0" xr:uid="{00000000-0006-0000-0E00-00001D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AR100" authorId="1" shapeId="0" xr:uid="{00000000-0006-0000-0E00-00001E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BP100" authorId="1" shapeId="0" xr:uid="{00000000-0006-0000-0E00-00001F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CN100" authorId="1" shapeId="0" xr:uid="{00000000-0006-0000-0E00-000020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DL100" authorId="1" shapeId="0" xr:uid="{00000000-0006-0000-0E00-000021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EJ100" authorId="1" shapeId="0" xr:uid="{00000000-0006-0000-0E00-000022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FH100" authorId="1" shapeId="0" xr:uid="{00000000-0006-0000-0E00-000023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GF100" authorId="1" shapeId="0" xr:uid="{00000000-0006-0000-0E00-000024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HD100" authorId="1" shapeId="0" xr:uid="{00000000-0006-0000-0E00-000025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IB100" authorId="1" shapeId="0" xr:uid="{00000000-0006-0000-0E00-000026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IV100" authorId="0" shapeId="0" xr:uid="{00000000-0006-0000-0E00-000027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IW100" authorId="0" shapeId="0" xr:uid="{00000000-0006-0000-0E00-000028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IX100" authorId="1" shapeId="0" xr:uid="{00000000-0006-0000-0E00-000029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IY100" authorId="0" shapeId="0" xr:uid="{00000000-0006-0000-0E00-00002A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IZ100" authorId="1" shapeId="0" xr:uid="{00000000-0006-0000-0E00-00002B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JA100" authorId="1" shapeId="0" xr:uid="{00000000-0006-0000-0E00-00002C100000}">
      <text>
        <r>
          <rPr>
            <sz val="9"/>
            <color indexed="81"/>
            <rFont val="Tahoma"/>
            <charset val="1"/>
          </rPr>
          <t>Could not find source file for Vernon county.</t>
        </r>
      </text>
    </comment>
    <comment ref="JB100" authorId="1" shapeId="0" xr:uid="{00000000-0006-0000-0E00-00002D100000}">
      <text>
        <r>
          <rPr>
            <sz val="9"/>
            <color indexed="81"/>
            <rFont val="Tahoma"/>
            <charset val="1"/>
          </rPr>
          <t>Could not find source file for Vernon county.</t>
        </r>
      </text>
    </comment>
    <comment ref="JC100" authorId="1" shapeId="0" xr:uid="{00000000-0006-0000-0E00-00002E100000}">
      <text>
        <r>
          <rPr>
            <sz val="9"/>
            <color indexed="81"/>
            <rFont val="Tahoma"/>
            <charset val="1"/>
          </rPr>
          <t>Could not find source file for Vernon county.</t>
        </r>
      </text>
    </comment>
    <comment ref="JX100" authorId="1" shapeId="0" xr:uid="{00000000-0006-0000-0E00-00002F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KV100" authorId="1" shapeId="0" xr:uid="{00000000-0006-0000-0E00-000030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LT100" authorId="1" shapeId="0" xr:uid="{00000000-0006-0000-0E00-000031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MR100" authorId="1" shapeId="0" xr:uid="{00000000-0006-0000-0E00-000032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NP100" authorId="1" shapeId="0" xr:uid="{00000000-0006-0000-0E00-000033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ON100" authorId="1" shapeId="0" xr:uid="{00000000-0006-0000-0E00-000034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PL100" authorId="1" shapeId="0" xr:uid="{00000000-0006-0000-0E00-000035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QJ100" authorId="1" shapeId="0" xr:uid="{00000000-0006-0000-0E00-000036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RH100" authorId="1" shapeId="0" xr:uid="{00000000-0006-0000-0E00-000037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SF100" authorId="1" shapeId="0" xr:uid="{00000000-0006-0000-0E00-00003810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K101" authorId="1" shapeId="0" xr:uid="{00000000-0006-0000-0E00-000039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L101" authorId="1" shapeId="0" xr:uid="{00000000-0006-0000-0E00-00003A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M101" authorId="0" shapeId="0" xr:uid="{00000000-0006-0000-0E00-00003B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101" authorId="0" shapeId="0" xr:uid="{00000000-0006-0000-0E00-00003C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101" authorId="0" shapeId="0" xr:uid="{00000000-0006-0000-0E00-00003D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101" authorId="0" shapeId="0" xr:uid="{00000000-0006-0000-0E00-00003E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101" authorId="1" shapeId="0" xr:uid="{00000000-0006-0000-0E00-00003F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101" authorId="0" shapeId="0" xr:uid="{00000000-0006-0000-0E00-000040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T101" authorId="1" shapeId="0" xr:uid="{00000000-0006-0000-0E00-000041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U101" authorId="1" shapeId="0" xr:uid="{00000000-0006-0000-0E00-000042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V101" authorId="1" shapeId="0" xr:uid="{00000000-0006-0000-0E00-000043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W101" authorId="1" shapeId="0" xr:uid="{00000000-0006-0000-0E00-000044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I101" authorId="1" shapeId="0" xr:uid="{00000000-0006-0000-0E00-000045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J101" authorId="1" shapeId="0" xr:uid="{00000000-0006-0000-0E00-000046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K101" authorId="0" shapeId="0" xr:uid="{00000000-0006-0000-0E00-000047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L101" authorId="0" shapeId="0" xr:uid="{00000000-0006-0000-0E00-000048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M101" authorId="0" shapeId="0" xr:uid="{00000000-0006-0000-0E00-000049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N101" authorId="0" shapeId="0" xr:uid="{00000000-0006-0000-0E00-00004A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P101" authorId="1" shapeId="0" xr:uid="{00000000-0006-0000-0E00-00004B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Q101" authorId="0" shapeId="0" xr:uid="{00000000-0006-0000-0E00-00004C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R101" authorId="1" shapeId="0" xr:uid="{00000000-0006-0000-0E00-00004D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S101" authorId="1" shapeId="0" xr:uid="{00000000-0006-0000-0E00-00004E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T101" authorId="1" shapeId="0" xr:uid="{00000000-0006-0000-0E00-00004F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U101" authorId="1" shapeId="0" xr:uid="{00000000-0006-0000-0E00-000050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G101" authorId="1" shapeId="0" xr:uid="{00000000-0006-0000-0E00-000051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H101" authorId="1" shapeId="0" xr:uid="{00000000-0006-0000-0E00-000052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I101" authorId="0" shapeId="0" xr:uid="{00000000-0006-0000-0E00-000053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J101" authorId="0" shapeId="0" xr:uid="{00000000-0006-0000-0E00-000054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K101" authorId="0" shapeId="0" xr:uid="{00000000-0006-0000-0E00-000055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L101" authorId="0" shapeId="0" xr:uid="{00000000-0006-0000-0E00-000056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N101" authorId="1" shapeId="0" xr:uid="{00000000-0006-0000-0E00-000057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O101" authorId="0" shapeId="0" xr:uid="{00000000-0006-0000-0E00-000058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P101" authorId="1" shapeId="0" xr:uid="{00000000-0006-0000-0E00-000059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Q101" authorId="1" shapeId="0" xr:uid="{00000000-0006-0000-0E00-00005A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R101" authorId="1" shapeId="0" xr:uid="{00000000-0006-0000-0E00-00005B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S101" authorId="1" shapeId="0" xr:uid="{00000000-0006-0000-0E00-00005C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E101" authorId="1" shapeId="0" xr:uid="{00000000-0006-0000-0E00-00005D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F101" authorId="1" shapeId="0" xr:uid="{00000000-0006-0000-0E00-00005E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G101" authorId="0" shapeId="0" xr:uid="{00000000-0006-0000-0E00-00005F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H101" authorId="0" shapeId="0" xr:uid="{00000000-0006-0000-0E00-000060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I101" authorId="0" shapeId="0" xr:uid="{00000000-0006-0000-0E00-000061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J101" authorId="0" shapeId="0" xr:uid="{00000000-0006-0000-0E00-000062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L101" authorId="1" shapeId="0" xr:uid="{00000000-0006-0000-0E00-000063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M101" authorId="0" shapeId="0" xr:uid="{00000000-0006-0000-0E00-000064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N101" authorId="1" shapeId="0" xr:uid="{00000000-0006-0000-0E00-000065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O101" authorId="1" shapeId="0" xr:uid="{00000000-0006-0000-0E00-000066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P101" authorId="1" shapeId="0" xr:uid="{00000000-0006-0000-0E00-000067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Q101" authorId="1" shapeId="0" xr:uid="{00000000-0006-0000-0E00-000068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C101" authorId="1" shapeId="0" xr:uid="{00000000-0006-0000-0E00-000069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D101" authorId="1" shapeId="0" xr:uid="{00000000-0006-0000-0E00-00006A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E101" authorId="0" shapeId="0" xr:uid="{00000000-0006-0000-0E00-00006B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F101" authorId="0" shapeId="0" xr:uid="{00000000-0006-0000-0E00-00006C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G101" authorId="0" shapeId="0" xr:uid="{00000000-0006-0000-0E00-00006D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H101" authorId="0" shapeId="0" xr:uid="{00000000-0006-0000-0E00-00006E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J101" authorId="1" shapeId="0" xr:uid="{00000000-0006-0000-0E00-00006F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K101" authorId="0" shapeId="0" xr:uid="{00000000-0006-0000-0E00-000070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L101" authorId="1" shapeId="0" xr:uid="{00000000-0006-0000-0E00-000071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M101" authorId="1" shapeId="0" xr:uid="{00000000-0006-0000-0E00-000072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N101" authorId="1" shapeId="0" xr:uid="{00000000-0006-0000-0E00-000073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O101" authorId="1" shapeId="0" xr:uid="{00000000-0006-0000-0E00-000074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A101" authorId="1" shapeId="0" xr:uid="{00000000-0006-0000-0E00-000075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B101" authorId="1" shapeId="0" xr:uid="{00000000-0006-0000-0E00-000076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C101" authorId="0" shapeId="0" xr:uid="{00000000-0006-0000-0E00-000077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D101" authorId="0" shapeId="0" xr:uid="{00000000-0006-0000-0E00-000078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E101" authorId="0" shapeId="0" xr:uid="{00000000-0006-0000-0E00-000079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F101" authorId="0" shapeId="0" xr:uid="{00000000-0006-0000-0E00-00007A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H101" authorId="1" shapeId="0" xr:uid="{00000000-0006-0000-0E00-00007B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I101" authorId="0" shapeId="0" xr:uid="{00000000-0006-0000-0E00-00007C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J101" authorId="1" shapeId="0" xr:uid="{00000000-0006-0000-0E00-00007D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K101" authorId="1" shapeId="0" xr:uid="{00000000-0006-0000-0E00-00007E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L101" authorId="1" shapeId="0" xr:uid="{00000000-0006-0000-0E00-00007F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M101" authorId="1" shapeId="0" xr:uid="{00000000-0006-0000-0E00-000080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Y101" authorId="1" shapeId="0" xr:uid="{00000000-0006-0000-0E00-000081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Z101" authorId="1" shapeId="0" xr:uid="{00000000-0006-0000-0E00-000082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A101" authorId="0" shapeId="0" xr:uid="{00000000-0006-0000-0E00-000083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B101" authorId="0" shapeId="0" xr:uid="{00000000-0006-0000-0E00-000084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C101" authorId="0" shapeId="0" xr:uid="{00000000-0006-0000-0E00-000085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D101" authorId="0" shapeId="0" xr:uid="{00000000-0006-0000-0E00-000086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F101" authorId="1" shapeId="0" xr:uid="{00000000-0006-0000-0E00-000087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G101" authorId="0" shapeId="0" xr:uid="{00000000-0006-0000-0E00-000088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H101" authorId="1" shapeId="0" xr:uid="{00000000-0006-0000-0E00-000089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I101" authorId="1" shapeId="0" xr:uid="{00000000-0006-0000-0E00-00008A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J101" authorId="1" shapeId="0" xr:uid="{00000000-0006-0000-0E00-00008B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K101" authorId="1" shapeId="0" xr:uid="{00000000-0006-0000-0E00-00008C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W101" authorId="1" shapeId="0" xr:uid="{00000000-0006-0000-0E00-00008D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X101" authorId="1" shapeId="0" xr:uid="{00000000-0006-0000-0E00-00008E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Y101" authorId="0" shapeId="0" xr:uid="{00000000-0006-0000-0E00-00008F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Z101" authorId="0" shapeId="0" xr:uid="{00000000-0006-0000-0E00-000090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A101" authorId="0" shapeId="0" xr:uid="{00000000-0006-0000-0E00-000091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B101" authorId="0" shapeId="0" xr:uid="{00000000-0006-0000-0E00-000092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D101" authorId="1" shapeId="0" xr:uid="{00000000-0006-0000-0E00-000093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E101" authorId="0" shapeId="0" xr:uid="{00000000-0006-0000-0E00-000094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F101" authorId="1" shapeId="0" xr:uid="{00000000-0006-0000-0E00-000095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G101" authorId="1" shapeId="0" xr:uid="{00000000-0006-0000-0E00-000096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GH101" authorId="1" shapeId="0" xr:uid="{00000000-0006-0000-0E00-000097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GI101" authorId="1" shapeId="0" xr:uid="{00000000-0006-0000-0E00-000098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GU101" authorId="1" shapeId="0" xr:uid="{00000000-0006-0000-0E00-000099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GV101" authorId="1" shapeId="0" xr:uid="{00000000-0006-0000-0E00-00009A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GW101" authorId="0" shapeId="0" xr:uid="{00000000-0006-0000-0E00-00009B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X101" authorId="0" shapeId="0" xr:uid="{00000000-0006-0000-0E00-00009C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Y101" authorId="0" shapeId="0" xr:uid="{00000000-0006-0000-0E00-00009D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GZ101" authorId="0" shapeId="0" xr:uid="{00000000-0006-0000-0E00-00009E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HB101" authorId="1" shapeId="0" xr:uid="{00000000-0006-0000-0E00-00009F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HC101" authorId="0" shapeId="0" xr:uid="{00000000-0006-0000-0E00-0000A0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HD101" authorId="1" shapeId="0" xr:uid="{00000000-0006-0000-0E00-0000A1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HE101" authorId="1" shapeId="0" xr:uid="{00000000-0006-0000-0E00-0000A2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HF101" authorId="1" shapeId="0" xr:uid="{00000000-0006-0000-0E00-0000A3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HG101" authorId="1" shapeId="0" xr:uid="{00000000-0006-0000-0E00-0000A4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HS101" authorId="1" shapeId="0" xr:uid="{00000000-0006-0000-0E00-0000A5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HT101" authorId="1" shapeId="0" xr:uid="{00000000-0006-0000-0E00-0000A6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HU101" authorId="0" shapeId="0" xr:uid="{00000000-0006-0000-0E00-0000A7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HV101" authorId="0" shapeId="0" xr:uid="{00000000-0006-0000-0E00-0000A8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HW101" authorId="0" shapeId="0" xr:uid="{00000000-0006-0000-0E00-0000A9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HX101" authorId="0" shapeId="0" xr:uid="{00000000-0006-0000-0E00-0000AA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HZ101" authorId="1" shapeId="0" xr:uid="{00000000-0006-0000-0E00-0000AB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A101" authorId="0" shapeId="0" xr:uid="{00000000-0006-0000-0E00-0000AC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B101" authorId="1" shapeId="0" xr:uid="{00000000-0006-0000-0E00-0000AD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C101" authorId="1" shapeId="0" xr:uid="{00000000-0006-0000-0E00-0000AE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ID101" authorId="1" shapeId="0" xr:uid="{00000000-0006-0000-0E00-0000AF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IE101" authorId="1" shapeId="0" xr:uid="{00000000-0006-0000-0E00-0000B0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IQ101" authorId="1" shapeId="0" xr:uid="{00000000-0006-0000-0E00-0000B1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IR101" authorId="1" shapeId="0" xr:uid="{00000000-0006-0000-0E00-0000B2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IS101" authorId="0" shapeId="0" xr:uid="{00000000-0006-0000-0E00-0000B3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T101" authorId="0" shapeId="0" xr:uid="{00000000-0006-0000-0E00-0000B4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U101" authorId="0" shapeId="0" xr:uid="{00000000-0006-0000-0E00-0000B5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V101" authorId="0" shapeId="0" xr:uid="{00000000-0006-0000-0E00-0000B6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W101" authorId="0" shapeId="0" xr:uid="{00000000-0006-0000-0E00-0000B7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X101" authorId="1" shapeId="0" xr:uid="{00000000-0006-0000-0E00-0000B8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Y101" authorId="0" shapeId="0" xr:uid="{00000000-0006-0000-0E00-0000B9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IZ101" authorId="1" shapeId="0" xr:uid="{00000000-0006-0000-0E00-0000BA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JA101" authorId="1" shapeId="0" xr:uid="{00000000-0006-0000-0E00-0000BB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JB101" authorId="1" shapeId="0" xr:uid="{00000000-0006-0000-0E00-0000BC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JC101" authorId="1" shapeId="0" xr:uid="{00000000-0006-0000-0E00-0000BD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JO101" authorId="1" shapeId="0" xr:uid="{00000000-0006-0000-0E00-0000BE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JP101" authorId="1" shapeId="0" xr:uid="{00000000-0006-0000-0E00-0000BF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JQ101" authorId="0" shapeId="0" xr:uid="{00000000-0006-0000-0E00-0000C0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JR101" authorId="0" shapeId="0" xr:uid="{00000000-0006-0000-0E00-0000C1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JS101" authorId="0" shapeId="0" xr:uid="{00000000-0006-0000-0E00-0000C2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JT101" authorId="0" shapeId="0" xr:uid="{00000000-0006-0000-0E00-0000C3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JV101" authorId="1" shapeId="0" xr:uid="{00000000-0006-0000-0E00-0000C4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JW101" authorId="0" shapeId="0" xr:uid="{00000000-0006-0000-0E00-0000C5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JX101" authorId="1" shapeId="0" xr:uid="{00000000-0006-0000-0E00-0000C6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JY101" authorId="1" shapeId="0" xr:uid="{00000000-0006-0000-0E00-0000C7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JZ101" authorId="1" shapeId="0" xr:uid="{00000000-0006-0000-0E00-0000C8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KA101" authorId="1" shapeId="0" xr:uid="{00000000-0006-0000-0E00-0000C9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KM101" authorId="1" shapeId="0" xr:uid="{00000000-0006-0000-0E00-0000CA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KN101" authorId="1" shapeId="0" xr:uid="{00000000-0006-0000-0E00-0000CB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KO101" authorId="0" shapeId="0" xr:uid="{00000000-0006-0000-0E00-0000CC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KP101" authorId="0" shapeId="0" xr:uid="{00000000-0006-0000-0E00-0000CD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KQ101" authorId="0" shapeId="0" xr:uid="{00000000-0006-0000-0E00-0000CE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KR101" authorId="0" shapeId="0" xr:uid="{00000000-0006-0000-0E00-0000CF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KT101" authorId="1" shapeId="0" xr:uid="{00000000-0006-0000-0E00-0000D0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KU101" authorId="0" shapeId="0" xr:uid="{00000000-0006-0000-0E00-0000D1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KV101" authorId="1" shapeId="0" xr:uid="{00000000-0006-0000-0E00-0000D2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KW101" authorId="1" shapeId="0" xr:uid="{00000000-0006-0000-0E00-0000D3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KX101" authorId="1" shapeId="0" xr:uid="{00000000-0006-0000-0E00-0000D4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KY101" authorId="1" shapeId="0" xr:uid="{00000000-0006-0000-0E00-0000D5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LK101" authorId="1" shapeId="0" xr:uid="{00000000-0006-0000-0E00-0000D6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LL101" authorId="1" shapeId="0" xr:uid="{00000000-0006-0000-0E00-0000D7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LM101" authorId="0" shapeId="0" xr:uid="{00000000-0006-0000-0E00-0000D8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LN101" authorId="0" shapeId="0" xr:uid="{00000000-0006-0000-0E00-0000D9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LO101" authorId="0" shapeId="0" xr:uid="{00000000-0006-0000-0E00-0000DA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LP101" authorId="0" shapeId="0" xr:uid="{00000000-0006-0000-0E00-0000DB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LR101" authorId="1" shapeId="0" xr:uid="{00000000-0006-0000-0E00-0000DC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LS101" authorId="0" shapeId="0" xr:uid="{00000000-0006-0000-0E00-0000DD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LT101" authorId="1" shapeId="0" xr:uid="{00000000-0006-0000-0E00-0000DE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LU101" authorId="1" shapeId="0" xr:uid="{00000000-0006-0000-0E00-0000DF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LV101" authorId="1" shapeId="0" xr:uid="{00000000-0006-0000-0E00-0000E0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LW101" authorId="1" shapeId="0" xr:uid="{00000000-0006-0000-0E00-0000E1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MI101" authorId="1" shapeId="0" xr:uid="{00000000-0006-0000-0E00-0000E2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MJ101" authorId="1" shapeId="0" xr:uid="{00000000-0006-0000-0E00-0000E3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MK101" authorId="0" shapeId="0" xr:uid="{00000000-0006-0000-0E00-0000E4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ML101" authorId="0" shapeId="0" xr:uid="{00000000-0006-0000-0E00-0000E5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MM101" authorId="0" shapeId="0" xr:uid="{00000000-0006-0000-0E00-0000E6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MN101" authorId="0" shapeId="0" xr:uid="{00000000-0006-0000-0E00-0000E7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MP101" authorId="1" shapeId="0" xr:uid="{00000000-0006-0000-0E00-0000E8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MQ101" authorId="0" shapeId="0" xr:uid="{00000000-0006-0000-0E00-0000E9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MR101" authorId="1" shapeId="0" xr:uid="{00000000-0006-0000-0E00-0000EA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MS101" authorId="1" shapeId="0" xr:uid="{00000000-0006-0000-0E00-0000EB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MT101" authorId="1" shapeId="0" xr:uid="{00000000-0006-0000-0E00-0000EC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MU101" authorId="1" shapeId="0" xr:uid="{00000000-0006-0000-0E00-0000ED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NG101" authorId="1" shapeId="0" xr:uid="{00000000-0006-0000-0E00-0000EE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NH101" authorId="1" shapeId="0" xr:uid="{00000000-0006-0000-0E00-0000EF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NI101" authorId="0" shapeId="0" xr:uid="{00000000-0006-0000-0E00-0000F0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J101" authorId="0" shapeId="0" xr:uid="{00000000-0006-0000-0E00-0000F1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K101" authorId="0" shapeId="0" xr:uid="{00000000-0006-0000-0E00-0000F2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L101" authorId="0" shapeId="0" xr:uid="{00000000-0006-0000-0E00-0000F3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N101" authorId="1" shapeId="0" xr:uid="{00000000-0006-0000-0E00-0000F4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O101" authorId="0" shapeId="0" xr:uid="{00000000-0006-0000-0E00-0000F5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P101" authorId="1" shapeId="0" xr:uid="{00000000-0006-0000-0E00-0000F6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Q101" authorId="1" shapeId="0" xr:uid="{00000000-0006-0000-0E00-0000F7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NR101" authorId="1" shapeId="0" xr:uid="{00000000-0006-0000-0E00-0000F8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NS101" authorId="1" shapeId="0" xr:uid="{00000000-0006-0000-0E00-0000F9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OE101" authorId="1" shapeId="0" xr:uid="{00000000-0006-0000-0E00-0000FA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OF101" authorId="1" shapeId="0" xr:uid="{00000000-0006-0000-0E00-0000FB1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OG101" authorId="0" shapeId="0" xr:uid="{00000000-0006-0000-0E00-0000FC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H101" authorId="0" shapeId="0" xr:uid="{00000000-0006-0000-0E00-0000FD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I101" authorId="0" shapeId="0" xr:uid="{00000000-0006-0000-0E00-0000FE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J101" authorId="0" shapeId="0" xr:uid="{00000000-0006-0000-0E00-0000FF1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L101" authorId="1" shapeId="0" xr:uid="{00000000-0006-0000-0E00-000000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M101" authorId="0" shapeId="0" xr:uid="{00000000-0006-0000-0E00-000001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N101" authorId="1" shapeId="0" xr:uid="{00000000-0006-0000-0E00-000002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O101" authorId="1" shapeId="0" xr:uid="{00000000-0006-0000-0E00-000003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OP101" authorId="1" shapeId="0" xr:uid="{00000000-0006-0000-0E00-000004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OQ101" authorId="1" shapeId="0" xr:uid="{00000000-0006-0000-0E00-000005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PC101" authorId="1" shapeId="0" xr:uid="{00000000-0006-0000-0E00-000006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PD101" authorId="1" shapeId="0" xr:uid="{00000000-0006-0000-0E00-000007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PE101" authorId="0" shapeId="0" xr:uid="{00000000-0006-0000-0E00-000008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F101" authorId="0" shapeId="0" xr:uid="{00000000-0006-0000-0E00-000009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G101" authorId="0" shapeId="0" xr:uid="{00000000-0006-0000-0E00-00000A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H101" authorId="0" shapeId="0" xr:uid="{00000000-0006-0000-0E00-00000B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J101" authorId="1" shapeId="0" xr:uid="{00000000-0006-0000-0E00-00000C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K101" authorId="0" shapeId="0" xr:uid="{00000000-0006-0000-0E00-00000D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L101" authorId="1" shapeId="0" xr:uid="{00000000-0006-0000-0E00-00000E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M101" authorId="1" shapeId="0" xr:uid="{00000000-0006-0000-0E00-00000F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PN101" authorId="1" shapeId="0" xr:uid="{00000000-0006-0000-0E00-000010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PO101" authorId="1" shapeId="0" xr:uid="{00000000-0006-0000-0E00-000011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QA101" authorId="1" shapeId="0" xr:uid="{00000000-0006-0000-0E00-000012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QB101" authorId="1" shapeId="0" xr:uid="{00000000-0006-0000-0E00-000013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QC101" authorId="0" shapeId="0" xr:uid="{00000000-0006-0000-0E00-000014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QD101" authorId="0" shapeId="0" xr:uid="{00000000-0006-0000-0E00-000015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QE101" authorId="0" shapeId="0" xr:uid="{00000000-0006-0000-0E00-000016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QF101" authorId="0" shapeId="0" xr:uid="{00000000-0006-0000-0E00-000017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QH101" authorId="1" shapeId="0" xr:uid="{00000000-0006-0000-0E00-000018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QI101" authorId="0" shapeId="0" xr:uid="{00000000-0006-0000-0E00-000019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QJ101" authorId="1" shapeId="0" xr:uid="{00000000-0006-0000-0E00-00001A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QK101" authorId="1" shapeId="0" xr:uid="{00000000-0006-0000-0E00-00001B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QL101" authorId="1" shapeId="0" xr:uid="{00000000-0006-0000-0E00-00001C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QM101" authorId="1" shapeId="0" xr:uid="{00000000-0006-0000-0E00-00001D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QY101" authorId="1" shapeId="0" xr:uid="{00000000-0006-0000-0E00-00001E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QZ101" authorId="1" shapeId="0" xr:uid="{00000000-0006-0000-0E00-00001F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RA101" authorId="0" shapeId="0" xr:uid="{00000000-0006-0000-0E00-000020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B101" authorId="0" shapeId="0" xr:uid="{00000000-0006-0000-0E00-000021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C101" authorId="0" shapeId="0" xr:uid="{00000000-0006-0000-0E00-000022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D101" authorId="0" shapeId="0" xr:uid="{00000000-0006-0000-0E00-000023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F101" authorId="1" shapeId="0" xr:uid="{00000000-0006-0000-0E00-000024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G101" authorId="0" shapeId="0" xr:uid="{00000000-0006-0000-0E00-000025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H101" authorId="1" shapeId="0" xr:uid="{00000000-0006-0000-0E00-000026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I101" authorId="1" shapeId="0" xr:uid="{00000000-0006-0000-0E00-000027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RJ101" authorId="1" shapeId="0" xr:uid="{00000000-0006-0000-0E00-000028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RK101" authorId="1" shapeId="0" xr:uid="{00000000-0006-0000-0E00-000029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RW101" authorId="1" shapeId="0" xr:uid="{00000000-0006-0000-0E00-00002A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RX101" authorId="1" shapeId="0" xr:uid="{00000000-0006-0000-0E00-00002B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RY101" authorId="0" shapeId="0" xr:uid="{00000000-0006-0000-0E00-00002C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Z101" authorId="0" shapeId="0" xr:uid="{00000000-0006-0000-0E00-00002D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A101" authorId="0" shapeId="0" xr:uid="{00000000-0006-0000-0E00-00002E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B101" authorId="0" shapeId="0" xr:uid="{00000000-0006-0000-0E00-00002F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D101" authorId="1" shapeId="0" xr:uid="{00000000-0006-0000-0E00-000030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E101" authorId="0" shapeId="0" xr:uid="{00000000-0006-0000-0E00-000031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F101" authorId="1" shapeId="0" xr:uid="{00000000-0006-0000-0E00-00003211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G101" authorId="1" shapeId="0" xr:uid="{00000000-0006-0000-0E00-000033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SH101" authorId="1" shapeId="0" xr:uid="{00000000-0006-0000-0E00-000034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SI101" authorId="1" shapeId="0" xr:uid="{00000000-0006-0000-0E00-00003511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IV102" authorId="0" shapeId="0" xr:uid="{00000000-0006-0000-0E00-000036110000}">
      <text>
        <r>
          <rPr>
            <sz val="9"/>
            <color indexed="81"/>
            <rFont val="Tahoma"/>
            <family val="2"/>
          </rPr>
          <t>Could not find source file for Washington county.</t>
        </r>
      </text>
    </comment>
    <comment ref="IW102" authorId="0" shapeId="0" xr:uid="{00000000-0006-0000-0E00-000037110000}">
      <text>
        <r>
          <rPr>
            <sz val="9"/>
            <color indexed="81"/>
            <rFont val="Tahoma"/>
            <family val="2"/>
          </rPr>
          <t>Could not find source file for Washington county.</t>
        </r>
      </text>
    </comment>
    <comment ref="IX102" authorId="1" shapeId="0" xr:uid="{00000000-0006-0000-0E00-000038110000}">
      <text>
        <r>
          <rPr>
            <sz val="9"/>
            <color indexed="81"/>
            <rFont val="Tahoma"/>
            <family val="2"/>
          </rPr>
          <t>Could not find source file for Washington county.</t>
        </r>
      </text>
    </comment>
    <comment ref="IY102" authorId="0" shapeId="0" xr:uid="{00000000-0006-0000-0E00-000039110000}">
      <text>
        <r>
          <rPr>
            <sz val="9"/>
            <color indexed="81"/>
            <rFont val="Tahoma"/>
            <family val="2"/>
          </rPr>
          <t>Could not find source file for Washington county.</t>
        </r>
      </text>
    </comment>
    <comment ref="IZ102" authorId="1" shapeId="0" xr:uid="{00000000-0006-0000-0E00-00003A110000}">
      <text>
        <r>
          <rPr>
            <sz val="9"/>
            <color indexed="81"/>
            <rFont val="Tahoma"/>
            <family val="2"/>
          </rPr>
          <t>Could not find source file for Washington county.</t>
        </r>
      </text>
    </comment>
    <comment ref="JA102" authorId="1" shapeId="0" xr:uid="{00000000-0006-0000-0E00-00003B110000}">
      <text>
        <r>
          <rPr>
            <sz val="9"/>
            <color indexed="81"/>
            <rFont val="Tahoma"/>
            <charset val="1"/>
          </rPr>
          <t>Could not find source file for Washington county.</t>
        </r>
      </text>
    </comment>
    <comment ref="JB102" authorId="1" shapeId="0" xr:uid="{00000000-0006-0000-0E00-00003C110000}">
      <text>
        <r>
          <rPr>
            <sz val="9"/>
            <color indexed="81"/>
            <rFont val="Tahoma"/>
            <charset val="1"/>
          </rPr>
          <t>Could not find source file for Washington county.</t>
        </r>
      </text>
    </comment>
    <comment ref="JC102" authorId="1" shapeId="0" xr:uid="{00000000-0006-0000-0E00-00003D110000}">
      <text>
        <r>
          <rPr>
            <sz val="9"/>
            <color indexed="81"/>
            <rFont val="Tahoma"/>
            <charset val="1"/>
          </rPr>
          <t>Could not find source file for Washington county.</t>
        </r>
      </text>
    </comment>
    <comment ref="IV103" authorId="0" shapeId="0" xr:uid="{00000000-0006-0000-0E00-00003E110000}">
      <text>
        <r>
          <rPr>
            <sz val="9"/>
            <color indexed="81"/>
            <rFont val="Tahoma"/>
            <family val="2"/>
          </rPr>
          <t>Could not find source file for Wayne county.</t>
        </r>
      </text>
    </comment>
    <comment ref="IW103" authorId="0" shapeId="0" xr:uid="{00000000-0006-0000-0E00-00003F110000}">
      <text>
        <r>
          <rPr>
            <sz val="9"/>
            <color indexed="81"/>
            <rFont val="Tahoma"/>
            <family val="2"/>
          </rPr>
          <t>Could not find source file for Wayne county.</t>
        </r>
      </text>
    </comment>
    <comment ref="IX103" authorId="1" shapeId="0" xr:uid="{00000000-0006-0000-0E00-000040110000}">
      <text>
        <r>
          <rPr>
            <sz val="9"/>
            <color indexed="81"/>
            <rFont val="Tahoma"/>
            <family val="2"/>
          </rPr>
          <t>Could not find source file for Wayne county.</t>
        </r>
      </text>
    </comment>
    <comment ref="IY103" authorId="0" shapeId="0" xr:uid="{00000000-0006-0000-0E00-000041110000}">
      <text>
        <r>
          <rPr>
            <sz val="9"/>
            <color indexed="81"/>
            <rFont val="Tahoma"/>
            <family val="2"/>
          </rPr>
          <t>Could not find source file for Wayne county.</t>
        </r>
      </text>
    </comment>
    <comment ref="IZ103" authorId="1" shapeId="0" xr:uid="{00000000-0006-0000-0E00-000042110000}">
      <text>
        <r>
          <rPr>
            <sz val="9"/>
            <color indexed="81"/>
            <rFont val="Tahoma"/>
            <family val="2"/>
          </rPr>
          <t>Could not find source file for Wayne county.</t>
        </r>
      </text>
    </comment>
    <comment ref="JA103" authorId="1" shapeId="0" xr:uid="{00000000-0006-0000-0E00-000043110000}">
      <text>
        <r>
          <rPr>
            <sz val="9"/>
            <color indexed="81"/>
            <rFont val="Tahoma"/>
            <charset val="1"/>
          </rPr>
          <t>Could not find source file for Wayne county.</t>
        </r>
      </text>
    </comment>
    <comment ref="JB103" authorId="1" shapeId="0" xr:uid="{00000000-0006-0000-0E00-000044110000}">
      <text>
        <r>
          <rPr>
            <sz val="9"/>
            <color indexed="81"/>
            <rFont val="Tahoma"/>
            <charset val="1"/>
          </rPr>
          <t>Could not find source file for Wayne county.</t>
        </r>
      </text>
    </comment>
    <comment ref="JC103" authorId="1" shapeId="0" xr:uid="{00000000-0006-0000-0E00-000045110000}">
      <text>
        <r>
          <rPr>
            <sz val="9"/>
            <color indexed="81"/>
            <rFont val="Tahoma"/>
            <charset val="1"/>
          </rPr>
          <t>Could not find source file for Wayne county.</t>
        </r>
      </text>
    </comment>
    <comment ref="K104" authorId="1" shapeId="0" xr:uid="{00000000-0006-0000-0E00-000046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L104" authorId="1" shapeId="0" xr:uid="{00000000-0006-0000-0E00-000047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M104" authorId="0" shapeId="0" xr:uid="{00000000-0006-0000-0E00-000048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104" authorId="0" shapeId="0" xr:uid="{00000000-0006-0000-0E00-000049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P104" authorId="0" shapeId="0" xr:uid="{00000000-0006-0000-0E00-00004A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Q104" authorId="0" shapeId="0" xr:uid="{00000000-0006-0000-0E00-00004B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104" authorId="1" shapeId="0" xr:uid="{00000000-0006-0000-0E00-00004C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S104" authorId="0" shapeId="0" xr:uid="{00000000-0006-0000-0E00-00004D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T104" authorId="1" shapeId="0" xr:uid="{00000000-0006-0000-0E00-00004E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U104" authorId="1" shapeId="0" xr:uid="{00000000-0006-0000-0E00-00004F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V104" authorId="1" shapeId="0" xr:uid="{00000000-0006-0000-0E00-000050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W104" authorId="1" shapeId="0" xr:uid="{00000000-0006-0000-0E00-000051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I104" authorId="1" shapeId="0" xr:uid="{00000000-0006-0000-0E00-000052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J104" authorId="1" shapeId="0" xr:uid="{00000000-0006-0000-0E00-000053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K104" authorId="0" shapeId="0" xr:uid="{00000000-0006-0000-0E00-000054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L104" authorId="0" shapeId="0" xr:uid="{00000000-0006-0000-0E00-000055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AN104" authorId="0" shapeId="0" xr:uid="{00000000-0006-0000-0E00-000056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O104" authorId="0" shapeId="0" xr:uid="{00000000-0006-0000-0E00-000057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P104" authorId="1" shapeId="0" xr:uid="{00000000-0006-0000-0E00-000058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Q104" authorId="0" shapeId="0" xr:uid="{00000000-0006-0000-0E00-000059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R104" authorId="1" shapeId="0" xr:uid="{00000000-0006-0000-0E00-00005A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S104" authorId="1" shapeId="0" xr:uid="{00000000-0006-0000-0E00-00005B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T104" authorId="1" shapeId="0" xr:uid="{00000000-0006-0000-0E00-00005C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U104" authorId="1" shapeId="0" xr:uid="{00000000-0006-0000-0E00-00005D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G104" authorId="1" shapeId="0" xr:uid="{00000000-0006-0000-0E00-00005E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H104" authorId="1" shapeId="0" xr:uid="{00000000-0006-0000-0E00-00005F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I104" authorId="0" shapeId="0" xr:uid="{00000000-0006-0000-0E00-000060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J104" authorId="0" shapeId="0" xr:uid="{00000000-0006-0000-0E00-000061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BL104" authorId="0" shapeId="0" xr:uid="{00000000-0006-0000-0E00-000062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M104" authorId="0" shapeId="0" xr:uid="{00000000-0006-0000-0E00-000063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N104" authorId="1" shapeId="0" xr:uid="{00000000-0006-0000-0E00-000064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O104" authorId="0" shapeId="0" xr:uid="{00000000-0006-0000-0E00-000065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P104" authorId="1" shapeId="0" xr:uid="{00000000-0006-0000-0E00-000066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Q104" authorId="1" shapeId="0" xr:uid="{00000000-0006-0000-0E00-000067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R104" authorId="1" shapeId="0" xr:uid="{00000000-0006-0000-0E00-000068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S104" authorId="1" shapeId="0" xr:uid="{00000000-0006-0000-0E00-000069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E104" authorId="1" shapeId="0" xr:uid="{00000000-0006-0000-0E00-00006A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F104" authorId="1" shapeId="0" xr:uid="{00000000-0006-0000-0E00-00006B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G104" authorId="0" shapeId="0" xr:uid="{00000000-0006-0000-0E00-00006C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H104" authorId="0" shapeId="0" xr:uid="{00000000-0006-0000-0E00-00006D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CJ104" authorId="0" shapeId="0" xr:uid="{00000000-0006-0000-0E00-00006E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K104" authorId="0" shapeId="0" xr:uid="{00000000-0006-0000-0E00-00006F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L104" authorId="1" shapeId="0" xr:uid="{00000000-0006-0000-0E00-000070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M104" authorId="0" shapeId="0" xr:uid="{00000000-0006-0000-0E00-000071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N104" authorId="1" shapeId="0" xr:uid="{00000000-0006-0000-0E00-000072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O104" authorId="1" shapeId="0" xr:uid="{00000000-0006-0000-0E00-000073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P104" authorId="1" shapeId="0" xr:uid="{00000000-0006-0000-0E00-000074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Q104" authorId="1" shapeId="0" xr:uid="{00000000-0006-0000-0E00-000075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C104" authorId="1" shapeId="0" xr:uid="{00000000-0006-0000-0E00-000076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D104" authorId="1" shapeId="0" xr:uid="{00000000-0006-0000-0E00-000077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E104" authorId="0" shapeId="0" xr:uid="{00000000-0006-0000-0E00-000078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F104" authorId="0" shapeId="0" xr:uid="{00000000-0006-0000-0E00-000079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DH104" authorId="0" shapeId="0" xr:uid="{00000000-0006-0000-0E00-00007A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I104" authorId="0" shapeId="0" xr:uid="{00000000-0006-0000-0E00-00007B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J104" authorId="1" shapeId="0" xr:uid="{00000000-0006-0000-0E00-00007C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K104" authorId="0" shapeId="0" xr:uid="{00000000-0006-0000-0E00-00007D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L104" authorId="1" shapeId="0" xr:uid="{00000000-0006-0000-0E00-00007E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M104" authorId="1" shapeId="0" xr:uid="{00000000-0006-0000-0E00-00007F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N104" authorId="1" shapeId="0" xr:uid="{00000000-0006-0000-0E00-000080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O104" authorId="1" shapeId="0" xr:uid="{00000000-0006-0000-0E00-000081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A104" authorId="1" shapeId="0" xr:uid="{00000000-0006-0000-0E00-000082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B104" authorId="1" shapeId="0" xr:uid="{00000000-0006-0000-0E00-000083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C104" authorId="0" shapeId="0" xr:uid="{00000000-0006-0000-0E00-000084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D104" authorId="0" shapeId="0" xr:uid="{00000000-0006-0000-0E00-000085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EF104" authorId="0" shapeId="0" xr:uid="{00000000-0006-0000-0E00-000086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G104" authorId="0" shapeId="0" xr:uid="{00000000-0006-0000-0E00-000087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H104" authorId="1" shapeId="0" xr:uid="{00000000-0006-0000-0E00-000088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I104" authorId="0" shapeId="0" xr:uid="{00000000-0006-0000-0E00-000089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J104" authorId="1" shapeId="0" xr:uid="{00000000-0006-0000-0E00-00008A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K104" authorId="1" shapeId="0" xr:uid="{00000000-0006-0000-0E00-00008B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L104" authorId="1" shapeId="0" xr:uid="{00000000-0006-0000-0E00-00008C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M104" authorId="1" shapeId="0" xr:uid="{00000000-0006-0000-0E00-00008D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Y104" authorId="1" shapeId="0" xr:uid="{00000000-0006-0000-0E00-00008E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Z104" authorId="1" shapeId="0" xr:uid="{00000000-0006-0000-0E00-00008F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A104" authorId="0" shapeId="0" xr:uid="{00000000-0006-0000-0E00-000090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B104" authorId="0" shapeId="0" xr:uid="{00000000-0006-0000-0E00-000091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FD104" authorId="0" shapeId="0" xr:uid="{00000000-0006-0000-0E00-000092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E104" authorId="0" shapeId="0" xr:uid="{00000000-0006-0000-0E00-000093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F104" authorId="1" shapeId="0" xr:uid="{00000000-0006-0000-0E00-000094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G104" authorId="0" shapeId="0" xr:uid="{00000000-0006-0000-0E00-000095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H104" authorId="1" shapeId="0" xr:uid="{00000000-0006-0000-0E00-000096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I104" authorId="1" shapeId="0" xr:uid="{00000000-0006-0000-0E00-000097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J104" authorId="1" shapeId="0" xr:uid="{00000000-0006-0000-0E00-000098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K104" authorId="1" shapeId="0" xr:uid="{00000000-0006-0000-0E00-000099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W104" authorId="1" shapeId="0" xr:uid="{00000000-0006-0000-0E00-00009A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X104" authorId="1" shapeId="0" xr:uid="{00000000-0006-0000-0E00-00009B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Y104" authorId="0" shapeId="0" xr:uid="{00000000-0006-0000-0E00-00009C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Z104" authorId="0" shapeId="0" xr:uid="{00000000-0006-0000-0E00-00009D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GB104" authorId="0" shapeId="0" xr:uid="{00000000-0006-0000-0E00-00009E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C104" authorId="0" shapeId="0" xr:uid="{00000000-0006-0000-0E00-00009F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D104" authorId="1" shapeId="0" xr:uid="{00000000-0006-0000-0E00-0000A0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E104" authorId="0" shapeId="0" xr:uid="{00000000-0006-0000-0E00-0000A1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F104" authorId="1" shapeId="0" xr:uid="{00000000-0006-0000-0E00-0000A2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G104" authorId="1" shapeId="0" xr:uid="{00000000-0006-0000-0E00-0000A3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GH104" authorId="1" shapeId="0" xr:uid="{00000000-0006-0000-0E00-0000A4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GI104" authorId="1" shapeId="0" xr:uid="{00000000-0006-0000-0E00-0000A5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GU104" authorId="1" shapeId="0" xr:uid="{00000000-0006-0000-0E00-0000A6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GV104" authorId="1" shapeId="0" xr:uid="{00000000-0006-0000-0E00-0000A7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GW104" authorId="0" shapeId="0" xr:uid="{00000000-0006-0000-0E00-0000A8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GX104" authorId="0" shapeId="0" xr:uid="{00000000-0006-0000-0E00-0000A9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GZ104" authorId="0" shapeId="0" xr:uid="{00000000-0006-0000-0E00-0000AA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HA104" authorId="0" shapeId="0" xr:uid="{00000000-0006-0000-0E00-0000AB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HB104" authorId="1" shapeId="0" xr:uid="{00000000-0006-0000-0E00-0000AC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HC104" authorId="0" shapeId="0" xr:uid="{00000000-0006-0000-0E00-0000AD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HD104" authorId="1" shapeId="0" xr:uid="{00000000-0006-0000-0E00-0000AE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HE104" authorId="1" shapeId="0" xr:uid="{00000000-0006-0000-0E00-0000AF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HF104" authorId="1" shapeId="0" xr:uid="{00000000-0006-0000-0E00-0000B0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HG104" authorId="1" shapeId="0" xr:uid="{00000000-0006-0000-0E00-0000B1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HS104" authorId="1" shapeId="0" xr:uid="{00000000-0006-0000-0E00-0000B2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HT104" authorId="1" shapeId="0" xr:uid="{00000000-0006-0000-0E00-0000B3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HU104" authorId="0" shapeId="0" xr:uid="{00000000-0006-0000-0E00-0000B4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HV104" authorId="0" shapeId="0" xr:uid="{00000000-0006-0000-0E00-0000B5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HX104" authorId="0" shapeId="0" xr:uid="{00000000-0006-0000-0E00-0000B6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HY104" authorId="0" shapeId="0" xr:uid="{00000000-0006-0000-0E00-0000B7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HZ104" authorId="1" shapeId="0" xr:uid="{00000000-0006-0000-0E00-0000B8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IA104" authorId="0" shapeId="0" xr:uid="{00000000-0006-0000-0E00-0000B9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IB104" authorId="1" shapeId="0" xr:uid="{00000000-0006-0000-0E00-0000BA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IC104" authorId="1" shapeId="0" xr:uid="{00000000-0006-0000-0E00-0000BB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ID104" authorId="1" shapeId="0" xr:uid="{00000000-0006-0000-0E00-0000BC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IE104" authorId="1" shapeId="0" xr:uid="{00000000-0006-0000-0E00-0000BD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IQ104" authorId="1" shapeId="0" xr:uid="{00000000-0006-0000-0E00-0000BE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IR104" authorId="1" shapeId="0" xr:uid="{00000000-0006-0000-0E00-0000BF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IS104" authorId="0" shapeId="0" xr:uid="{00000000-0006-0000-0E00-0000C0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IT104" authorId="0" shapeId="0" xr:uid="{00000000-0006-0000-0E00-0000C1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IV104" authorId="0" shapeId="0" xr:uid="{00000000-0006-0000-0E00-0000C2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IW104" authorId="0" shapeId="0" xr:uid="{00000000-0006-0000-0E00-0000C3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IX104" authorId="1" shapeId="0" xr:uid="{00000000-0006-0000-0E00-0000C4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IY104" authorId="0" shapeId="0" xr:uid="{00000000-0006-0000-0E00-0000C5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IZ104" authorId="1" shapeId="0" xr:uid="{00000000-0006-0000-0E00-0000C6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JA104" authorId="1" shapeId="0" xr:uid="{00000000-0006-0000-0E00-0000C7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JB104" authorId="1" shapeId="0" xr:uid="{00000000-0006-0000-0E00-0000C8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JC104" authorId="1" shapeId="0" xr:uid="{00000000-0006-0000-0E00-0000C9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JO104" authorId="1" shapeId="0" xr:uid="{00000000-0006-0000-0E00-0000CA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JP104" authorId="1" shapeId="0" xr:uid="{00000000-0006-0000-0E00-0000CB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JQ104" authorId="0" shapeId="0" xr:uid="{00000000-0006-0000-0E00-0000CC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JR104" authorId="0" shapeId="0" xr:uid="{00000000-0006-0000-0E00-0000CD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JT104" authorId="0" shapeId="0" xr:uid="{00000000-0006-0000-0E00-0000CE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JU104" authorId="0" shapeId="0" xr:uid="{00000000-0006-0000-0E00-0000CF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JV104" authorId="1" shapeId="0" xr:uid="{00000000-0006-0000-0E00-0000D0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JW104" authorId="0" shapeId="0" xr:uid="{00000000-0006-0000-0E00-0000D1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JX104" authorId="1" shapeId="0" xr:uid="{00000000-0006-0000-0E00-0000D2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JY104" authorId="1" shapeId="0" xr:uid="{00000000-0006-0000-0E00-0000D3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JZ104" authorId="1" shapeId="0" xr:uid="{00000000-0006-0000-0E00-0000D4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KA104" authorId="1" shapeId="0" xr:uid="{00000000-0006-0000-0E00-0000D5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KM104" authorId="1" shapeId="0" xr:uid="{00000000-0006-0000-0E00-0000D6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KN104" authorId="1" shapeId="0" xr:uid="{00000000-0006-0000-0E00-0000D7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KO104" authorId="0" shapeId="0" xr:uid="{00000000-0006-0000-0E00-0000D8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KP104" authorId="0" shapeId="0" xr:uid="{00000000-0006-0000-0E00-0000D9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KR104" authorId="0" shapeId="0" xr:uid="{00000000-0006-0000-0E00-0000DA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KS104" authorId="0" shapeId="0" xr:uid="{00000000-0006-0000-0E00-0000DB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KT104" authorId="1" shapeId="0" xr:uid="{00000000-0006-0000-0E00-0000DC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KU104" authorId="0" shapeId="0" xr:uid="{00000000-0006-0000-0E00-0000DD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KV104" authorId="1" shapeId="0" xr:uid="{00000000-0006-0000-0E00-0000DE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KW104" authorId="1" shapeId="0" xr:uid="{00000000-0006-0000-0E00-0000DF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KX104" authorId="1" shapeId="0" xr:uid="{00000000-0006-0000-0E00-0000E0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KY104" authorId="1" shapeId="0" xr:uid="{00000000-0006-0000-0E00-0000E1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LK104" authorId="1" shapeId="0" xr:uid="{00000000-0006-0000-0E00-0000E2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LL104" authorId="1" shapeId="0" xr:uid="{00000000-0006-0000-0E00-0000E3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LM104" authorId="0" shapeId="0" xr:uid="{00000000-0006-0000-0E00-0000E4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LN104" authorId="0" shapeId="0" xr:uid="{00000000-0006-0000-0E00-0000E5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LP104" authorId="0" shapeId="0" xr:uid="{00000000-0006-0000-0E00-0000E6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LQ104" authorId="0" shapeId="0" xr:uid="{00000000-0006-0000-0E00-0000E7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LR104" authorId="1" shapeId="0" xr:uid="{00000000-0006-0000-0E00-0000E8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LS104" authorId="0" shapeId="0" xr:uid="{00000000-0006-0000-0E00-0000E9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LT104" authorId="1" shapeId="0" xr:uid="{00000000-0006-0000-0E00-0000EA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LU104" authorId="1" shapeId="0" xr:uid="{00000000-0006-0000-0E00-0000EB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LV104" authorId="1" shapeId="0" xr:uid="{00000000-0006-0000-0E00-0000EC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LW104" authorId="1" shapeId="0" xr:uid="{00000000-0006-0000-0E00-0000ED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MI104" authorId="1" shapeId="0" xr:uid="{00000000-0006-0000-0E00-0000EE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MJ104" authorId="1" shapeId="0" xr:uid="{00000000-0006-0000-0E00-0000EF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MK104" authorId="0" shapeId="0" xr:uid="{00000000-0006-0000-0E00-0000F0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ML104" authorId="0" shapeId="0" xr:uid="{00000000-0006-0000-0E00-0000F1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MN104" authorId="0" shapeId="0" xr:uid="{00000000-0006-0000-0E00-0000F2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MO104" authorId="0" shapeId="0" xr:uid="{00000000-0006-0000-0E00-0000F3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MP104" authorId="1" shapeId="0" xr:uid="{00000000-0006-0000-0E00-0000F4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MQ104" authorId="0" shapeId="0" xr:uid="{00000000-0006-0000-0E00-0000F5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MR104" authorId="1" shapeId="0" xr:uid="{00000000-0006-0000-0E00-0000F6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MS104" authorId="1" shapeId="0" xr:uid="{00000000-0006-0000-0E00-0000F7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MT104" authorId="1" shapeId="0" xr:uid="{00000000-0006-0000-0E00-0000F8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MU104" authorId="1" shapeId="0" xr:uid="{00000000-0006-0000-0E00-0000F9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NG104" authorId="1" shapeId="0" xr:uid="{00000000-0006-0000-0E00-0000FA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NH104" authorId="1" shapeId="0" xr:uid="{00000000-0006-0000-0E00-0000FB11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NI104" authorId="0" shapeId="0" xr:uid="{00000000-0006-0000-0E00-0000FC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J104" authorId="0" shapeId="0" xr:uid="{00000000-0006-0000-0E00-0000FD11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NL104" authorId="0" shapeId="0" xr:uid="{00000000-0006-0000-0E00-0000FE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M104" authorId="0" shapeId="0" xr:uid="{00000000-0006-0000-0E00-0000FF11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N104" authorId="1" shapeId="0" xr:uid="{00000000-0006-0000-0E00-000000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O104" authorId="0" shapeId="0" xr:uid="{00000000-0006-0000-0E00-000001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P104" authorId="1" shapeId="0" xr:uid="{00000000-0006-0000-0E00-000002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Q104" authorId="1" shapeId="0" xr:uid="{00000000-0006-0000-0E00-000003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NR104" authorId="1" shapeId="0" xr:uid="{00000000-0006-0000-0E00-000004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NS104" authorId="1" shapeId="0" xr:uid="{00000000-0006-0000-0E00-000005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OE104" authorId="1" shapeId="0" xr:uid="{00000000-0006-0000-0E00-000006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OF104" authorId="1" shapeId="0" xr:uid="{00000000-0006-0000-0E00-000007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OG104" authorId="0" shapeId="0" xr:uid="{00000000-0006-0000-0E00-000008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OH104" authorId="0" shapeId="0" xr:uid="{00000000-0006-0000-0E00-00000912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OJ104" authorId="0" shapeId="0" xr:uid="{00000000-0006-0000-0E00-00000A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OK104" authorId="0" shapeId="0" xr:uid="{00000000-0006-0000-0E00-00000B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OL104" authorId="1" shapeId="0" xr:uid="{00000000-0006-0000-0E00-00000C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OM104" authorId="0" shapeId="0" xr:uid="{00000000-0006-0000-0E00-00000D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ON104" authorId="1" shapeId="0" xr:uid="{00000000-0006-0000-0E00-00000E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OO104" authorId="1" shapeId="0" xr:uid="{00000000-0006-0000-0E00-00000F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OP104" authorId="1" shapeId="0" xr:uid="{00000000-0006-0000-0E00-000010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OQ104" authorId="1" shapeId="0" xr:uid="{00000000-0006-0000-0E00-000011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PC104" authorId="1" shapeId="0" xr:uid="{00000000-0006-0000-0E00-000012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PD104" authorId="1" shapeId="0" xr:uid="{00000000-0006-0000-0E00-000013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PE104" authorId="0" shapeId="0" xr:uid="{00000000-0006-0000-0E00-000014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PF104" authorId="0" shapeId="0" xr:uid="{00000000-0006-0000-0E00-00001512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PH104" authorId="0" shapeId="0" xr:uid="{00000000-0006-0000-0E00-000016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PI104" authorId="0" shapeId="0" xr:uid="{00000000-0006-0000-0E00-000017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PJ104" authorId="1" shapeId="0" xr:uid="{00000000-0006-0000-0E00-000018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PK104" authorId="0" shapeId="0" xr:uid="{00000000-0006-0000-0E00-000019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PL104" authorId="1" shapeId="0" xr:uid="{00000000-0006-0000-0E00-00001A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PM104" authorId="1" shapeId="0" xr:uid="{00000000-0006-0000-0E00-00001B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PN104" authorId="1" shapeId="0" xr:uid="{00000000-0006-0000-0E00-00001C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PO104" authorId="1" shapeId="0" xr:uid="{00000000-0006-0000-0E00-00001D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QA104" authorId="1" shapeId="0" xr:uid="{00000000-0006-0000-0E00-00001E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QB104" authorId="1" shapeId="0" xr:uid="{00000000-0006-0000-0E00-00001F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QC104" authorId="0" shapeId="0" xr:uid="{00000000-0006-0000-0E00-000020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QD104" authorId="0" shapeId="0" xr:uid="{00000000-0006-0000-0E00-00002112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QF104" authorId="0" shapeId="0" xr:uid="{00000000-0006-0000-0E00-000022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QG104" authorId="0" shapeId="0" xr:uid="{00000000-0006-0000-0E00-000023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QH104" authorId="1" shapeId="0" xr:uid="{00000000-0006-0000-0E00-000024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QI104" authorId="0" shapeId="0" xr:uid="{00000000-0006-0000-0E00-000025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QJ104" authorId="1" shapeId="0" xr:uid="{00000000-0006-0000-0E00-000026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QK104" authorId="1" shapeId="0" xr:uid="{00000000-0006-0000-0E00-000027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QL104" authorId="1" shapeId="0" xr:uid="{00000000-0006-0000-0E00-000028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QM104" authorId="1" shapeId="0" xr:uid="{00000000-0006-0000-0E00-000029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QY104" authorId="1" shapeId="0" xr:uid="{00000000-0006-0000-0E00-00002A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QZ104" authorId="1" shapeId="0" xr:uid="{00000000-0006-0000-0E00-00002B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RA104" authorId="0" shapeId="0" xr:uid="{00000000-0006-0000-0E00-00002C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B104" authorId="0" shapeId="0" xr:uid="{00000000-0006-0000-0E00-00002D12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RD104" authorId="0" shapeId="0" xr:uid="{00000000-0006-0000-0E00-00002E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E104" authorId="0" shapeId="0" xr:uid="{00000000-0006-0000-0E00-00002F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F104" authorId="1" shapeId="0" xr:uid="{00000000-0006-0000-0E00-000030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G104" authorId="0" shapeId="0" xr:uid="{00000000-0006-0000-0E00-000031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H104" authorId="1" shapeId="0" xr:uid="{00000000-0006-0000-0E00-000032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I104" authorId="1" shapeId="0" xr:uid="{00000000-0006-0000-0E00-000033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RJ104" authorId="1" shapeId="0" xr:uid="{00000000-0006-0000-0E00-000034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RK104" authorId="1" shapeId="0" xr:uid="{00000000-0006-0000-0E00-000035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RW104" authorId="1" shapeId="0" xr:uid="{00000000-0006-0000-0E00-000036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RX104" authorId="1" shapeId="0" xr:uid="{00000000-0006-0000-0E00-000037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RY104" authorId="0" shapeId="0" xr:uid="{00000000-0006-0000-0E00-000038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Z104" authorId="0" shapeId="0" xr:uid="{00000000-0006-0000-0E00-000039120000}">
      <text>
        <r>
          <rPr>
            <sz val="9"/>
            <color indexed="81"/>
            <rFont val="Tahoma"/>
            <family val="2"/>
          </rPr>
          <t>Could not find tab 'GR E' in source file.</t>
        </r>
      </text>
    </comment>
    <comment ref="SB104" authorId="0" shapeId="0" xr:uid="{00000000-0006-0000-0E00-00003A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SC104" authorId="0" shapeId="0" xr:uid="{00000000-0006-0000-0E00-00003B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SD104" authorId="1" shapeId="0" xr:uid="{00000000-0006-0000-0E00-00003C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SE104" authorId="0" shapeId="0" xr:uid="{00000000-0006-0000-0E00-00003D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SF104" authorId="1" shapeId="0" xr:uid="{00000000-0006-0000-0E00-00003E12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SG104" authorId="1" shapeId="0" xr:uid="{00000000-0006-0000-0E00-00003F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SH104" authorId="1" shapeId="0" xr:uid="{00000000-0006-0000-0E00-000040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SI104" authorId="1" shapeId="0" xr:uid="{00000000-0006-0000-0E00-00004112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IV105" authorId="0" shapeId="0" xr:uid="{00000000-0006-0000-0E00-000042120000}">
      <text>
        <r>
          <rPr>
            <sz val="9"/>
            <color indexed="81"/>
            <rFont val="Tahoma"/>
            <family val="2"/>
          </rPr>
          <t>Could not find source file for Worth county.</t>
        </r>
      </text>
    </comment>
    <comment ref="IW105" authorId="0" shapeId="0" xr:uid="{00000000-0006-0000-0E00-000043120000}">
      <text>
        <r>
          <rPr>
            <sz val="9"/>
            <color indexed="81"/>
            <rFont val="Tahoma"/>
            <family val="2"/>
          </rPr>
          <t>Could not find source file for Worth county.</t>
        </r>
      </text>
    </comment>
    <comment ref="IX105" authorId="1" shapeId="0" xr:uid="{00000000-0006-0000-0E00-000044120000}">
      <text>
        <r>
          <rPr>
            <sz val="9"/>
            <color indexed="81"/>
            <rFont val="Tahoma"/>
            <family val="2"/>
          </rPr>
          <t>Could not find source file for Worth county.</t>
        </r>
      </text>
    </comment>
    <comment ref="IY105" authorId="0" shapeId="0" xr:uid="{00000000-0006-0000-0E00-000045120000}">
      <text>
        <r>
          <rPr>
            <sz val="9"/>
            <color indexed="81"/>
            <rFont val="Tahoma"/>
            <family val="2"/>
          </rPr>
          <t>Could not find source file for Worth county.</t>
        </r>
      </text>
    </comment>
    <comment ref="IZ105" authorId="1" shapeId="0" xr:uid="{00000000-0006-0000-0E00-000046120000}">
      <text>
        <r>
          <rPr>
            <sz val="9"/>
            <color indexed="81"/>
            <rFont val="Tahoma"/>
            <family val="2"/>
          </rPr>
          <t>Could not find source file for Worth county.</t>
        </r>
      </text>
    </comment>
    <comment ref="JA105" authorId="1" shapeId="0" xr:uid="{00000000-0006-0000-0E00-000047120000}">
      <text>
        <r>
          <rPr>
            <sz val="9"/>
            <color indexed="81"/>
            <rFont val="Tahoma"/>
            <charset val="1"/>
          </rPr>
          <t>Could not find source file for Worth county.</t>
        </r>
      </text>
    </comment>
    <comment ref="JB105" authorId="1" shapeId="0" xr:uid="{00000000-0006-0000-0E00-000048120000}">
      <text>
        <r>
          <rPr>
            <sz val="9"/>
            <color indexed="81"/>
            <rFont val="Tahoma"/>
            <charset val="1"/>
          </rPr>
          <t>Could not find source file for Worth county.</t>
        </r>
      </text>
    </comment>
    <comment ref="JC105" authorId="1" shapeId="0" xr:uid="{00000000-0006-0000-0E00-000049120000}">
      <text>
        <r>
          <rPr>
            <sz val="9"/>
            <color indexed="81"/>
            <rFont val="Tahoma"/>
            <charset val="1"/>
          </rPr>
          <t>Could not find source file for Worth county.</t>
        </r>
      </text>
    </comment>
    <comment ref="IV106" authorId="0" shapeId="0" xr:uid="{00000000-0006-0000-0E00-00004A120000}">
      <text>
        <r>
          <rPr>
            <sz val="9"/>
            <color indexed="81"/>
            <rFont val="Tahoma"/>
            <family val="2"/>
          </rPr>
          <t>Could not find source file for Wright county.</t>
        </r>
      </text>
    </comment>
    <comment ref="IW106" authorId="0" shapeId="0" xr:uid="{00000000-0006-0000-0E00-00004B120000}">
      <text>
        <r>
          <rPr>
            <sz val="9"/>
            <color indexed="81"/>
            <rFont val="Tahoma"/>
            <family val="2"/>
          </rPr>
          <t>Could not find source file for Wright county.</t>
        </r>
      </text>
    </comment>
    <comment ref="IX106" authorId="1" shapeId="0" xr:uid="{00000000-0006-0000-0E00-00004C120000}">
      <text>
        <r>
          <rPr>
            <sz val="9"/>
            <color indexed="81"/>
            <rFont val="Tahoma"/>
            <family val="2"/>
          </rPr>
          <t>Could not find source file for Wright county.</t>
        </r>
      </text>
    </comment>
    <comment ref="IY106" authorId="0" shapeId="0" xr:uid="{00000000-0006-0000-0E00-00004D120000}">
      <text>
        <r>
          <rPr>
            <sz val="9"/>
            <color indexed="81"/>
            <rFont val="Tahoma"/>
            <family val="2"/>
          </rPr>
          <t>Could not find source file for Wright county.</t>
        </r>
      </text>
    </comment>
    <comment ref="IZ106" authorId="1" shapeId="0" xr:uid="{00000000-0006-0000-0E00-00004E120000}">
      <text>
        <r>
          <rPr>
            <sz val="9"/>
            <color indexed="81"/>
            <rFont val="Tahoma"/>
            <family val="2"/>
          </rPr>
          <t>Could not find source file for Wright county.</t>
        </r>
      </text>
    </comment>
    <comment ref="JA106" authorId="1" shapeId="0" xr:uid="{00000000-0006-0000-0E00-00004F120000}">
      <text>
        <r>
          <rPr>
            <sz val="9"/>
            <color indexed="81"/>
            <rFont val="Tahoma"/>
            <charset val="1"/>
          </rPr>
          <t>Could not find source file for Wright county.</t>
        </r>
      </text>
    </comment>
    <comment ref="JB106" authorId="1" shapeId="0" xr:uid="{00000000-0006-0000-0E00-000050120000}">
      <text>
        <r>
          <rPr>
            <sz val="9"/>
            <color indexed="81"/>
            <rFont val="Tahoma"/>
            <charset val="1"/>
          </rPr>
          <t>Could not find source file for Wright county.</t>
        </r>
      </text>
    </comment>
    <comment ref="JC106" authorId="1" shapeId="0" xr:uid="{00000000-0006-0000-0E00-000051120000}">
      <text>
        <r>
          <rPr>
            <sz val="9"/>
            <color indexed="81"/>
            <rFont val="Tahoma"/>
            <charset val="1"/>
          </rPr>
          <t>Could not find source file for Wright county.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Stallmann, Judith I.</author>
    <author>test</author>
  </authors>
  <commentList>
    <comment ref="U14" authorId="0" shapeId="0" xr:uid="{00000000-0006-0000-0F00-000001000000}">
      <text>
        <r>
          <rPr>
            <sz val="9"/>
            <color indexed="81"/>
            <rFont val="Tahoma"/>
            <charset val="1"/>
          </rPr>
          <t>Could not load sheet names from source file, possibly protected.</t>
        </r>
      </text>
    </comment>
    <comment ref="S18" authorId="1" shapeId="0" xr:uid="{00000000-0006-0000-0F00-000002000000}">
      <text>
        <r>
          <rPr>
            <sz val="9"/>
            <color indexed="81"/>
            <rFont val="Tahoma"/>
            <family val="2"/>
          </rPr>
          <t>Could not find tab 'Prior Year Actual Summary' in source file.</t>
        </r>
      </text>
    </comment>
    <comment ref="K20" authorId="0" shapeId="0" xr:uid="{00000000-0006-0000-0F00-00000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L20" authorId="0" shapeId="0" xr:uid="{00000000-0006-0000-0F00-00000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M20" authorId="1" shapeId="0" xr:uid="{00000000-0006-0000-0F00-00000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20" authorId="1" shapeId="0" xr:uid="{00000000-0006-0000-0F00-00000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20" authorId="1" shapeId="0" xr:uid="{00000000-0006-0000-0F00-00000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20" authorId="1" shapeId="0" xr:uid="{00000000-0006-0000-0F00-00000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20" authorId="1" shapeId="0" xr:uid="{00000000-0006-0000-0F00-00000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20" authorId="1" shapeId="0" xr:uid="{00000000-0006-0000-0F00-00000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20" authorId="1" shapeId="0" xr:uid="{00000000-0006-0000-0F00-00000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T20" authorId="1" shapeId="0" xr:uid="{00000000-0006-0000-0F00-00000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U20" authorId="0" shapeId="0" xr:uid="{00000000-0006-0000-0F00-00000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V20" authorId="0" shapeId="0" xr:uid="{00000000-0006-0000-0F00-00000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W20" authorId="0" shapeId="0" xr:uid="{00000000-0006-0000-0F00-00000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S22" authorId="1" shapeId="0" xr:uid="{00000000-0006-0000-0F00-000010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U23" authorId="0" shapeId="0" xr:uid="{00000000-0006-0000-0F00-000011000000}">
      <text>
        <r>
          <rPr>
            <sz val="9"/>
            <color indexed="81"/>
            <rFont val="Tahoma"/>
            <charset val="1"/>
          </rPr>
          <t>Could not find source file for Butler county.</t>
        </r>
      </text>
    </comment>
    <comment ref="O27" authorId="1" shapeId="0" xr:uid="{00000000-0006-0000-0F00-000012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T27" authorId="1" shapeId="0" xr:uid="{00000000-0006-0000-0F00-000013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V27" authorId="0" shapeId="0" xr:uid="{00000000-0006-0000-0F00-000014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W27" authorId="0" shapeId="0" xr:uid="{00000000-0006-0000-0F00-000015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P32" authorId="1" shapeId="0" xr:uid="{00000000-0006-0000-0F00-000016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32" authorId="1" shapeId="0" xr:uid="{00000000-0006-0000-0F00-000017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R32" authorId="1" shapeId="0" xr:uid="{00000000-0006-0000-0F00-000018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32" authorId="1" shapeId="0" xr:uid="{00000000-0006-0000-0F00-000019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T32" authorId="1" shapeId="0" xr:uid="{00000000-0006-0000-0F00-00001A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U32" authorId="0" shapeId="0" xr:uid="{00000000-0006-0000-0F00-00001B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V32" authorId="0" shapeId="0" xr:uid="{00000000-0006-0000-0F00-00001C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W32" authorId="0" shapeId="0" xr:uid="{00000000-0006-0000-0F00-00001D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S34" authorId="1" shapeId="0" xr:uid="{00000000-0006-0000-0F00-00001E00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M35" authorId="1" shapeId="0" xr:uid="{00000000-0006-0000-0F00-00001F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S35" authorId="1" shapeId="0" xr:uid="{00000000-0006-0000-0F00-000020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U35" authorId="0" shapeId="0" xr:uid="{00000000-0006-0000-0F00-000021000000}">
      <text>
        <r>
          <rPr>
            <sz val="9"/>
            <color indexed="81"/>
            <rFont val="Tahoma"/>
            <charset val="1"/>
          </rPr>
          <t>Could not find source file for Daviess county.</t>
        </r>
      </text>
    </comment>
    <comment ref="V36" authorId="0" shapeId="0" xr:uid="{00000000-0006-0000-0F00-000022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W36" authorId="0" shapeId="0" xr:uid="{00000000-0006-0000-0F00-000023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S39" authorId="1" shapeId="0" xr:uid="{00000000-0006-0000-0F00-00002400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K40" authorId="0" shapeId="0" xr:uid="{00000000-0006-0000-0F00-00002500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L40" authorId="0" shapeId="0" xr:uid="{00000000-0006-0000-0F00-00002600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M40" authorId="1" shapeId="0" xr:uid="{00000000-0006-0000-0F00-00002700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40" authorId="1" shapeId="0" xr:uid="{00000000-0006-0000-0F00-00002800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40" authorId="1" shapeId="0" xr:uid="{00000000-0006-0000-0F00-00002900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40" authorId="1" shapeId="0" xr:uid="{00000000-0006-0000-0F00-00002A00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40" authorId="1" shapeId="0" xr:uid="{00000000-0006-0000-0F00-00002B00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40" authorId="1" shapeId="0" xr:uid="{00000000-0006-0000-0F00-00002C00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40" authorId="1" shapeId="0" xr:uid="{00000000-0006-0000-0F00-00002D00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T40" authorId="1" shapeId="0" xr:uid="{00000000-0006-0000-0F00-00002E00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U40" authorId="0" shapeId="0" xr:uid="{00000000-0006-0000-0F00-00002F00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V40" authorId="0" shapeId="0" xr:uid="{00000000-0006-0000-0F00-00003000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W40" authorId="0" shapeId="0" xr:uid="{00000000-0006-0000-0F00-00003100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Q42" authorId="1" shapeId="0" xr:uid="{00000000-0006-0000-0F00-00003200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U42" authorId="0" shapeId="0" xr:uid="{00000000-0006-0000-0F00-00003300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V42" authorId="0" shapeId="0" xr:uid="{00000000-0006-0000-0F00-00003400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W42" authorId="0" shapeId="0" xr:uid="{00000000-0006-0000-0F00-00003500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Q47" authorId="1" shapeId="0" xr:uid="{00000000-0006-0000-0F00-000036000000}">
      <text>
        <r>
          <rPr>
            <sz val="9"/>
            <color indexed="81"/>
            <rFont val="Tahoma"/>
            <family val="2"/>
          </rPr>
          <t>Could not find tab 'Prior Year Actual Summary' in source file.</t>
        </r>
      </text>
    </comment>
    <comment ref="V51" authorId="0" shapeId="0" xr:uid="{00000000-0006-0000-0F00-00003700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W51" authorId="0" shapeId="0" xr:uid="{00000000-0006-0000-0F00-00003800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T55" authorId="1" shapeId="0" xr:uid="{00000000-0006-0000-0F00-00003900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Q56" authorId="1" shapeId="0" xr:uid="{00000000-0006-0000-0F00-00003A00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R56" authorId="1" shapeId="0" xr:uid="{00000000-0006-0000-0F00-00003B00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S56" authorId="1" shapeId="0" xr:uid="{00000000-0006-0000-0F00-00003C00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T56" authorId="1" shapeId="0" xr:uid="{00000000-0006-0000-0F00-00003D00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U56" authorId="0" shapeId="0" xr:uid="{00000000-0006-0000-0F00-00003E00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V56" authorId="0" shapeId="0" xr:uid="{00000000-0006-0000-0F00-00003F00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W56" authorId="0" shapeId="0" xr:uid="{00000000-0006-0000-0F00-00004000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N57" authorId="1" shapeId="0" xr:uid="{00000000-0006-0000-0F00-000041000000}">
      <text>
        <r>
          <rPr>
            <sz val="9"/>
            <color indexed="81"/>
            <rFont val="Tahoma"/>
            <family val="2"/>
          </rPr>
          <t>Could not find tab 'All Funds Summary' in source file.</t>
        </r>
      </text>
    </comment>
    <comment ref="Q57" authorId="1" shapeId="0" xr:uid="{00000000-0006-0000-0F00-00004200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S57" authorId="1" shapeId="0" xr:uid="{00000000-0006-0000-0F00-00004300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T57" authorId="1" shapeId="0" xr:uid="{00000000-0006-0000-0F00-00004400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V57" authorId="0" shapeId="0" xr:uid="{00000000-0006-0000-0F00-00004500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W57" authorId="0" shapeId="0" xr:uid="{00000000-0006-0000-0F00-00004600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S58" authorId="1" shapeId="0" xr:uid="{00000000-0006-0000-0F00-00004700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T58" authorId="1" shapeId="0" xr:uid="{00000000-0006-0000-0F00-00004800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U58" authorId="0" shapeId="0" xr:uid="{00000000-0006-0000-0F00-00004900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V58" authorId="0" shapeId="0" xr:uid="{00000000-0006-0000-0F00-00004A00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W58" authorId="0" shapeId="0" xr:uid="{00000000-0006-0000-0F00-00004B00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P59" authorId="1" shapeId="0" xr:uid="{00000000-0006-0000-0F00-00004C00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Q59" authorId="1" shapeId="0" xr:uid="{00000000-0006-0000-0F00-00004D000000}">
      <text>
        <r>
          <rPr>
            <sz val="9"/>
            <color indexed="81"/>
            <rFont val="Tahoma"/>
            <family val="2"/>
          </rPr>
          <t>Could not find tab 'Prior Year Actual Summary' in source file.</t>
        </r>
      </text>
    </comment>
    <comment ref="R59" authorId="1" shapeId="0" xr:uid="{00000000-0006-0000-0F00-00004E00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S59" authorId="1" shapeId="0" xr:uid="{00000000-0006-0000-0F00-00004F00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T59" authorId="1" shapeId="0" xr:uid="{00000000-0006-0000-0F00-00005000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U59" authorId="0" shapeId="0" xr:uid="{00000000-0006-0000-0F00-00005100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V59" authorId="0" shapeId="0" xr:uid="{00000000-0006-0000-0F00-00005200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W59" authorId="0" shapeId="0" xr:uid="{00000000-0006-0000-0F00-00005300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K62" authorId="0" shapeId="0" xr:uid="{00000000-0006-0000-0F00-00005400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L62" authorId="0" shapeId="0" xr:uid="{00000000-0006-0000-0F00-00005500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M62" authorId="1" shapeId="0" xr:uid="{00000000-0006-0000-0F00-00005600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62" authorId="1" shapeId="0" xr:uid="{00000000-0006-0000-0F00-00005700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62" authorId="1" shapeId="0" xr:uid="{00000000-0006-0000-0F00-00005800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62" authorId="1" shapeId="0" xr:uid="{00000000-0006-0000-0F00-00005900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62" authorId="1" shapeId="0" xr:uid="{00000000-0006-0000-0F00-00005A00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62" authorId="1" shapeId="0" xr:uid="{00000000-0006-0000-0F00-00005B00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62" authorId="1" shapeId="0" xr:uid="{00000000-0006-0000-0F00-00005C00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T62" authorId="1" shapeId="0" xr:uid="{00000000-0006-0000-0F00-00005D00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U62" authorId="0" shapeId="0" xr:uid="{00000000-0006-0000-0F00-00005E00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V62" authorId="0" shapeId="0" xr:uid="{00000000-0006-0000-0F00-00005F00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W62" authorId="0" shapeId="0" xr:uid="{00000000-0006-0000-0F00-00006000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P65" authorId="1" shapeId="0" xr:uid="{00000000-0006-0000-0F00-000061000000}">
      <text>
        <r>
          <rPr>
            <sz val="9"/>
            <color indexed="81"/>
            <rFont val="Tahoma"/>
            <family val="2"/>
          </rPr>
          <t>Could not find tab 'Prior Year Actual Summary' in source file.</t>
        </r>
      </text>
    </comment>
    <comment ref="Q66" authorId="1" shapeId="0" xr:uid="{00000000-0006-0000-0F00-00006200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S67" authorId="1" shapeId="0" xr:uid="{00000000-0006-0000-0F00-00006300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K68" authorId="0" shapeId="0" xr:uid="{00000000-0006-0000-0F00-00006400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L68" authorId="0" shapeId="0" xr:uid="{00000000-0006-0000-0F00-00006500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M68" authorId="1" shapeId="0" xr:uid="{00000000-0006-0000-0F00-00006600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N68" authorId="1" shapeId="0" xr:uid="{00000000-0006-0000-0F00-00006700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O68" authorId="1" shapeId="0" xr:uid="{00000000-0006-0000-0F00-00006800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Q68" authorId="1" shapeId="0" xr:uid="{00000000-0006-0000-0F00-00006900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S68" authorId="1" shapeId="0" xr:uid="{00000000-0006-0000-0F00-00006A00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V69" authorId="0" shapeId="0" xr:uid="{00000000-0006-0000-0F00-00006B00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W69" authorId="0" shapeId="0" xr:uid="{00000000-0006-0000-0F00-00006C00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S71" authorId="1" shapeId="0" xr:uid="{00000000-0006-0000-0F00-00006D00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V72" authorId="0" shapeId="0" xr:uid="{00000000-0006-0000-0F00-00006E00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W72" authorId="0" shapeId="0" xr:uid="{00000000-0006-0000-0F00-00006F00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Q73" authorId="1" shapeId="0" xr:uid="{00000000-0006-0000-0F00-00007000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S73" authorId="1" shapeId="0" xr:uid="{00000000-0006-0000-0F00-00007100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U73" authorId="0" shapeId="0" xr:uid="{00000000-0006-0000-0F00-00007200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V73" authorId="0" shapeId="0" xr:uid="{00000000-0006-0000-0F00-00007300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W73" authorId="0" shapeId="0" xr:uid="{00000000-0006-0000-0F00-00007400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S76" authorId="1" shapeId="0" xr:uid="{00000000-0006-0000-0F00-00007500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T76" authorId="1" shapeId="0" xr:uid="{00000000-0006-0000-0F00-00007600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U76" authorId="0" shapeId="0" xr:uid="{00000000-0006-0000-0F00-00007700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V76" authorId="0" shapeId="0" xr:uid="{00000000-0006-0000-0F00-00007800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W76" authorId="0" shapeId="0" xr:uid="{00000000-0006-0000-0F00-00007900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S80" authorId="1" shapeId="0" xr:uid="{00000000-0006-0000-0F00-00007A00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V80" authorId="0" shapeId="0" xr:uid="{00000000-0006-0000-0F00-00007B00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W80" authorId="0" shapeId="0" xr:uid="{00000000-0006-0000-0F00-00007C00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Q81" authorId="1" shapeId="0" xr:uid="{00000000-0006-0000-0F00-00007D00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S81" authorId="1" shapeId="0" xr:uid="{00000000-0006-0000-0F00-00007E00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U81" authorId="0" shapeId="0" xr:uid="{00000000-0006-0000-0F00-00007F00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V81" authorId="0" shapeId="0" xr:uid="{00000000-0006-0000-0F00-00008000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W81" authorId="0" shapeId="0" xr:uid="{00000000-0006-0000-0F00-00008100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N82" authorId="1" shapeId="0" xr:uid="{00000000-0006-0000-0F00-00008200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82" authorId="1" shapeId="0" xr:uid="{00000000-0006-0000-0F00-00008300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82" authorId="1" shapeId="0" xr:uid="{00000000-0006-0000-0F00-00008400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Q82" authorId="1" shapeId="0" xr:uid="{00000000-0006-0000-0F00-00008500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82" authorId="1" shapeId="0" xr:uid="{00000000-0006-0000-0F00-00008600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T82" authorId="1" shapeId="0" xr:uid="{00000000-0006-0000-0F00-00008700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U82" authorId="0" shapeId="0" xr:uid="{00000000-0006-0000-0F00-00008800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V82" authorId="0" shapeId="0" xr:uid="{00000000-0006-0000-0F00-00008900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W82" authorId="0" shapeId="0" xr:uid="{00000000-0006-0000-0F00-00008A00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Q83" authorId="1" shapeId="0" xr:uid="{00000000-0006-0000-0F00-00008B00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R83" authorId="1" shapeId="0" xr:uid="{00000000-0006-0000-0F00-00008C00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S83" authorId="1" shapeId="0" xr:uid="{00000000-0006-0000-0F00-00008D00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T83" authorId="1" shapeId="0" xr:uid="{00000000-0006-0000-0F00-00008E00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U83" authorId="0" shapeId="0" xr:uid="{00000000-0006-0000-0F00-00008F00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V83" authorId="0" shapeId="0" xr:uid="{00000000-0006-0000-0F00-00009000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W83" authorId="0" shapeId="0" xr:uid="{00000000-0006-0000-0F00-00009100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K86" authorId="0" shapeId="0" xr:uid="{00000000-0006-0000-0F00-00009200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M86" authorId="1" shapeId="0" xr:uid="{00000000-0006-0000-0F00-00009300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N86" authorId="1" shapeId="0" xr:uid="{00000000-0006-0000-0F00-00009400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T86" authorId="1" shapeId="0" xr:uid="{00000000-0006-0000-0F00-00009500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U86" authorId="0" shapeId="0" xr:uid="{00000000-0006-0000-0F00-00009600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V86" authorId="0" shapeId="0" xr:uid="{00000000-0006-0000-0F00-00009700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W86" authorId="0" shapeId="0" xr:uid="{00000000-0006-0000-0F00-00009800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N91" authorId="1" shapeId="0" xr:uid="{00000000-0006-0000-0F00-000099000000}">
      <text>
        <r>
          <rPr>
            <sz val="9"/>
            <color indexed="81"/>
            <rFont val="Tahoma"/>
            <family val="2"/>
          </rPr>
          <t>Could not find source file for Shelby county.</t>
        </r>
      </text>
    </comment>
    <comment ref="V92" authorId="0" shapeId="0" xr:uid="{00000000-0006-0000-0F00-00009A00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W92" authorId="0" shapeId="0" xr:uid="{00000000-0006-0000-0F00-00009B00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R94" authorId="1" shapeId="0" xr:uid="{00000000-0006-0000-0F00-00009C00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V95" authorId="0" shapeId="0" xr:uid="{00000000-0006-0000-0F00-00009D0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W95" authorId="0" shapeId="0" xr:uid="{00000000-0006-0000-0F00-00009E00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M96" authorId="1" shapeId="0" xr:uid="{00000000-0006-0000-0F00-00009F000000}">
      <text>
        <r>
          <rPr>
            <sz val="9"/>
            <color indexed="81"/>
            <rFont val="Tahoma"/>
            <family val="2"/>
          </rPr>
          <t>Could not find tab 'All Funds Summary' in source file.</t>
        </r>
      </text>
    </comment>
    <comment ref="U96" authorId="0" shapeId="0" xr:uid="{00000000-0006-0000-0F00-0000A0000000}">
      <text>
        <r>
          <rPr>
            <sz val="9"/>
            <color indexed="81"/>
            <rFont val="Tahoma"/>
            <charset val="1"/>
          </rPr>
          <t>Could not find source file for Vernon county.</t>
        </r>
      </text>
    </comment>
    <comment ref="M97" authorId="1" shapeId="0" xr:uid="{00000000-0006-0000-0F00-0000A10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97" authorId="1" shapeId="0" xr:uid="{00000000-0006-0000-0F00-0000A20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97" authorId="1" shapeId="0" xr:uid="{00000000-0006-0000-0F00-0000A30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97" authorId="1" shapeId="0" xr:uid="{00000000-0006-0000-0F00-0000A40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Q97" authorId="1" shapeId="0" xr:uid="{00000000-0006-0000-0F00-0000A50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97" authorId="1" shapeId="0" xr:uid="{00000000-0006-0000-0F00-0000A60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97" authorId="1" shapeId="0" xr:uid="{00000000-0006-0000-0F00-0000A70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T97" authorId="1" shapeId="0" xr:uid="{00000000-0006-0000-0F00-0000A800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U97" authorId="0" shapeId="0" xr:uid="{00000000-0006-0000-0F00-0000A90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V97" authorId="0" shapeId="0" xr:uid="{00000000-0006-0000-0F00-0000AA0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W97" authorId="0" shapeId="0" xr:uid="{00000000-0006-0000-0F00-0000AB00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L100" authorId="0" shapeId="0" xr:uid="{00000000-0006-0000-0F00-0000AC00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M100" authorId="1" shapeId="0" xr:uid="{00000000-0006-0000-0F00-0000AD00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100" authorId="1" shapeId="0" xr:uid="{00000000-0006-0000-0F00-0000AE00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O100" authorId="1" shapeId="0" xr:uid="{00000000-0006-0000-0F00-0000AF000000}">
      <text>
        <r>
          <rPr>
            <sz val="9"/>
            <color indexed="81"/>
            <rFont val="Tahoma"/>
            <family val="2"/>
          </rPr>
          <t>Could not find tab 'Prior Year Actual Summary' in source file.</t>
        </r>
      </text>
    </comment>
    <comment ref="Q100" authorId="1" shapeId="0" xr:uid="{00000000-0006-0000-0F00-0000B000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100" authorId="1" shapeId="0" xr:uid="{00000000-0006-0000-0F00-0000B100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S100" authorId="1" shapeId="0" xr:uid="{00000000-0006-0000-0F00-0000B200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T100" authorId="1" shapeId="0" xr:uid="{00000000-0006-0000-0F00-0000B300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U100" authorId="0" shapeId="0" xr:uid="{00000000-0006-0000-0F00-0000B400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V100" authorId="0" shapeId="0" xr:uid="{00000000-0006-0000-0F00-0000B500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W100" authorId="0" shapeId="0" xr:uid="{00000000-0006-0000-0F00-0000B600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test</author>
    <author>Stallmann, Judith I.</author>
  </authors>
  <commentList>
    <comment ref="FB18" authorId="0" shapeId="0" xr:uid="{00000000-0006-0000-1000-00000100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R22" authorId="1" shapeId="0" xr:uid="{00000000-0006-0000-1000-000002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AP22" authorId="1" shapeId="0" xr:uid="{00000000-0006-0000-1000-000003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BN22" authorId="1" shapeId="0" xr:uid="{00000000-0006-0000-1000-000004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CL22" authorId="1" shapeId="0" xr:uid="{00000000-0006-0000-1000-000005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DJ22" authorId="1" shapeId="0" xr:uid="{00000000-0006-0000-1000-000006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EH22" authorId="1" shapeId="0" xr:uid="{00000000-0006-0000-1000-000007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FF22" authorId="1" shapeId="0" xr:uid="{00000000-0006-0000-1000-00000800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K24" authorId="1" shapeId="0" xr:uid="{00000000-0006-0000-1000-000009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L24" authorId="1" shapeId="0" xr:uid="{00000000-0006-0000-1000-00000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M24" authorId="0" shapeId="0" xr:uid="{00000000-0006-0000-1000-00000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N24" authorId="0" shapeId="0" xr:uid="{00000000-0006-0000-1000-00000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O24" authorId="0" shapeId="0" xr:uid="{00000000-0006-0000-1000-00000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P24" authorId="0" shapeId="0" xr:uid="{00000000-0006-0000-1000-00000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Q24" authorId="0" shapeId="0" xr:uid="{00000000-0006-0000-1000-00000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R24" authorId="1" shapeId="0" xr:uid="{00000000-0006-0000-1000-00001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S24" authorId="0" shapeId="0" xr:uid="{00000000-0006-0000-1000-00001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T24" authorId="1" shapeId="0" xr:uid="{00000000-0006-0000-1000-00001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U24" authorId="1" shapeId="0" xr:uid="{00000000-0006-0000-1000-00001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V24" authorId="1" shapeId="0" xr:uid="{00000000-0006-0000-1000-00001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W24" authorId="1" shapeId="0" xr:uid="{00000000-0006-0000-1000-000015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I24" authorId="1" shapeId="0" xr:uid="{00000000-0006-0000-1000-000016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J24" authorId="1" shapeId="0" xr:uid="{00000000-0006-0000-1000-00001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K24" authorId="0" shapeId="0" xr:uid="{00000000-0006-0000-1000-00001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L24" authorId="0" shapeId="0" xr:uid="{00000000-0006-0000-1000-00001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M24" authorId="0" shapeId="0" xr:uid="{00000000-0006-0000-1000-00001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N24" authorId="0" shapeId="0" xr:uid="{00000000-0006-0000-1000-00001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O24" authorId="0" shapeId="0" xr:uid="{00000000-0006-0000-1000-00001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P24" authorId="1" shapeId="0" xr:uid="{00000000-0006-0000-1000-00001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Q24" authorId="0" shapeId="0" xr:uid="{00000000-0006-0000-1000-00001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R24" authorId="1" shapeId="0" xr:uid="{00000000-0006-0000-1000-00001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AS24" authorId="1" shapeId="0" xr:uid="{00000000-0006-0000-1000-00002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T24" authorId="1" shapeId="0" xr:uid="{00000000-0006-0000-1000-00002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AU24" authorId="1" shapeId="0" xr:uid="{00000000-0006-0000-1000-000022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G24" authorId="1" shapeId="0" xr:uid="{00000000-0006-0000-1000-00002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H24" authorId="1" shapeId="0" xr:uid="{00000000-0006-0000-1000-00002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I24" authorId="0" shapeId="0" xr:uid="{00000000-0006-0000-1000-00002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J24" authorId="0" shapeId="0" xr:uid="{00000000-0006-0000-1000-00002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K24" authorId="0" shapeId="0" xr:uid="{00000000-0006-0000-1000-00002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L24" authorId="0" shapeId="0" xr:uid="{00000000-0006-0000-1000-00002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M24" authorId="0" shapeId="0" xr:uid="{00000000-0006-0000-1000-00002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N24" authorId="1" shapeId="0" xr:uid="{00000000-0006-0000-1000-00002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O24" authorId="0" shapeId="0" xr:uid="{00000000-0006-0000-1000-00002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P24" authorId="1" shapeId="0" xr:uid="{00000000-0006-0000-1000-00002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BQ24" authorId="1" shapeId="0" xr:uid="{00000000-0006-0000-1000-00002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R24" authorId="1" shapeId="0" xr:uid="{00000000-0006-0000-1000-00002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BS24" authorId="1" shapeId="0" xr:uid="{00000000-0006-0000-1000-00002F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E24" authorId="1" shapeId="0" xr:uid="{00000000-0006-0000-1000-000030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F24" authorId="1" shapeId="0" xr:uid="{00000000-0006-0000-1000-00003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G24" authorId="0" shapeId="0" xr:uid="{00000000-0006-0000-1000-00003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H24" authorId="0" shapeId="0" xr:uid="{00000000-0006-0000-1000-00003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I24" authorId="0" shapeId="0" xr:uid="{00000000-0006-0000-1000-00003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J24" authorId="0" shapeId="0" xr:uid="{00000000-0006-0000-1000-00003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K24" authorId="0" shapeId="0" xr:uid="{00000000-0006-0000-1000-00003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L24" authorId="1" shapeId="0" xr:uid="{00000000-0006-0000-1000-000037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M24" authorId="0" shapeId="0" xr:uid="{00000000-0006-0000-1000-000038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N24" authorId="1" shapeId="0" xr:uid="{00000000-0006-0000-1000-00003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CO24" authorId="1" shapeId="0" xr:uid="{00000000-0006-0000-1000-00003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P24" authorId="1" shapeId="0" xr:uid="{00000000-0006-0000-1000-00003B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CQ24" authorId="1" shapeId="0" xr:uid="{00000000-0006-0000-1000-00003C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C24" authorId="1" shapeId="0" xr:uid="{00000000-0006-0000-1000-00003D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D24" authorId="1" shapeId="0" xr:uid="{00000000-0006-0000-1000-00003E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E24" authorId="0" shapeId="0" xr:uid="{00000000-0006-0000-1000-00003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F24" authorId="0" shapeId="0" xr:uid="{00000000-0006-0000-1000-00004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G24" authorId="0" shapeId="0" xr:uid="{00000000-0006-0000-1000-00004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H24" authorId="0" shapeId="0" xr:uid="{00000000-0006-0000-1000-00004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I24" authorId="0" shapeId="0" xr:uid="{00000000-0006-0000-1000-00004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J24" authorId="1" shapeId="0" xr:uid="{00000000-0006-0000-1000-000044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K24" authorId="0" shapeId="0" xr:uid="{00000000-0006-0000-1000-000045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L24" authorId="1" shapeId="0" xr:uid="{00000000-0006-0000-1000-000046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DM24" authorId="1" shapeId="0" xr:uid="{00000000-0006-0000-1000-00004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N24" authorId="1" shapeId="0" xr:uid="{00000000-0006-0000-1000-000048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DO24" authorId="1" shapeId="0" xr:uid="{00000000-0006-0000-1000-000049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A24" authorId="1" shapeId="0" xr:uid="{00000000-0006-0000-1000-00004A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B24" authorId="1" shapeId="0" xr:uid="{00000000-0006-0000-1000-00004B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C24" authorId="0" shapeId="0" xr:uid="{00000000-0006-0000-1000-00004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D24" authorId="0" shapeId="0" xr:uid="{00000000-0006-0000-1000-00004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E24" authorId="0" shapeId="0" xr:uid="{00000000-0006-0000-1000-00004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F24" authorId="0" shapeId="0" xr:uid="{00000000-0006-0000-1000-00004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G24" authorId="0" shapeId="0" xr:uid="{00000000-0006-0000-1000-00005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H24" authorId="1" shapeId="0" xr:uid="{00000000-0006-0000-1000-000051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I24" authorId="0" shapeId="0" xr:uid="{00000000-0006-0000-1000-000052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J24" authorId="1" shapeId="0" xr:uid="{00000000-0006-0000-1000-000053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EK24" authorId="1" shapeId="0" xr:uid="{00000000-0006-0000-1000-000054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L24" authorId="1" shapeId="0" xr:uid="{00000000-0006-0000-1000-000055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M24" authorId="1" shapeId="0" xr:uid="{00000000-0006-0000-1000-000056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Y24" authorId="1" shapeId="0" xr:uid="{00000000-0006-0000-1000-000057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EZ24" authorId="1" shapeId="0" xr:uid="{00000000-0006-0000-1000-000058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A24" authorId="0" shapeId="0" xr:uid="{00000000-0006-0000-1000-000059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B24" authorId="0" shapeId="0" xr:uid="{00000000-0006-0000-1000-00005A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C24" authorId="0" shapeId="0" xr:uid="{00000000-0006-0000-1000-00005B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D24" authorId="0" shapeId="0" xr:uid="{00000000-0006-0000-1000-00005C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E24" authorId="0" shapeId="0" xr:uid="{00000000-0006-0000-1000-00005D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F24" authorId="1" shapeId="0" xr:uid="{00000000-0006-0000-1000-00005E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G24" authorId="0" shapeId="0" xr:uid="{00000000-0006-0000-1000-00005F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H24" authorId="1" shapeId="0" xr:uid="{00000000-0006-0000-1000-000060000000}">
      <text>
        <r>
          <rPr>
            <sz val="9"/>
            <color indexed="81"/>
            <rFont val="Tahoma"/>
            <family val="2"/>
          </rPr>
          <t>Could not find source file for Bates county.</t>
        </r>
      </text>
    </comment>
    <comment ref="FI24" authorId="1" shapeId="0" xr:uid="{00000000-0006-0000-1000-000061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J24" authorId="1" shapeId="0" xr:uid="{00000000-0006-0000-1000-000062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FK24" authorId="1" shapeId="0" xr:uid="{00000000-0006-0000-1000-000063000000}">
      <text>
        <r>
          <rPr>
            <sz val="9"/>
            <color indexed="81"/>
            <rFont val="Tahoma"/>
            <charset val="1"/>
          </rPr>
          <t>Could not find source file for Bates county.</t>
        </r>
      </text>
    </comment>
    <comment ref="R26" authorId="1" shapeId="0" xr:uid="{00000000-0006-0000-1000-000064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AP26" authorId="1" shapeId="0" xr:uid="{00000000-0006-0000-1000-000065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BN26" authorId="1" shapeId="0" xr:uid="{00000000-0006-0000-1000-000066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CL26" authorId="1" shapeId="0" xr:uid="{00000000-0006-0000-1000-000067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DJ26" authorId="1" shapeId="0" xr:uid="{00000000-0006-0000-1000-000068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EH26" authorId="1" shapeId="0" xr:uid="{00000000-0006-0000-1000-000069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FF26" authorId="1" shapeId="0" xr:uid="{00000000-0006-0000-1000-00006A000000}">
      <text>
        <r>
          <rPr>
            <sz val="9"/>
            <color indexed="81"/>
            <rFont val="Tahoma"/>
            <family val="2"/>
          </rPr>
          <t>Could not find source file for Bollinger county.</t>
        </r>
      </text>
    </comment>
    <comment ref="T27" authorId="1" shapeId="0" xr:uid="{00000000-0006-0000-1000-00006B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AR27" authorId="1" shapeId="0" xr:uid="{00000000-0006-0000-1000-00006C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BP27" authorId="1" shapeId="0" xr:uid="{00000000-0006-0000-1000-00006D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CN27" authorId="1" shapeId="0" xr:uid="{00000000-0006-0000-1000-00006E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DL27" authorId="1" shapeId="0" xr:uid="{00000000-0006-0000-1000-00006F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EJ27" authorId="1" shapeId="0" xr:uid="{00000000-0006-0000-1000-000070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FH27" authorId="1" shapeId="0" xr:uid="{00000000-0006-0000-1000-000071000000}">
      <text>
        <r>
          <rPr>
            <sz val="9"/>
            <color indexed="81"/>
            <rFont val="Tahoma"/>
            <family val="2"/>
          </rPr>
          <t>Could not find source file for Butler county.</t>
        </r>
      </text>
    </comment>
    <comment ref="L30" authorId="1" shapeId="0" xr:uid="{00000000-0006-0000-1000-00007200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N30" authorId="0" shapeId="0" xr:uid="{00000000-0006-0000-1000-000073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AJ30" authorId="1" shapeId="0" xr:uid="{00000000-0006-0000-1000-00007400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AL30" authorId="0" shapeId="0" xr:uid="{00000000-0006-0000-1000-000075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BH30" authorId="1" shapeId="0" xr:uid="{00000000-0006-0000-1000-00007600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BJ30" authorId="0" shapeId="0" xr:uid="{00000000-0006-0000-1000-000077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CF30" authorId="1" shapeId="0" xr:uid="{00000000-0006-0000-1000-00007800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CH30" authorId="0" shapeId="0" xr:uid="{00000000-0006-0000-1000-000079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DD30" authorId="1" shapeId="0" xr:uid="{00000000-0006-0000-1000-00007A00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DF30" authorId="0" shapeId="0" xr:uid="{00000000-0006-0000-1000-00007B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EB30" authorId="1" shapeId="0" xr:uid="{00000000-0006-0000-1000-00007C00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ED30" authorId="0" shapeId="0" xr:uid="{00000000-0006-0000-1000-00007D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EZ30" authorId="1" shapeId="0" xr:uid="{00000000-0006-0000-1000-00007E000000}">
      <text>
        <r>
          <rPr>
            <sz val="9"/>
            <color indexed="81"/>
            <rFont val="Tahoma"/>
            <charset val="1"/>
          </rPr>
          <t>Could not find tab 'SRB E' in source file.</t>
        </r>
      </text>
    </comment>
    <comment ref="FB30" authorId="0" shapeId="0" xr:uid="{00000000-0006-0000-1000-00007F000000}">
      <text>
        <r>
          <rPr>
            <sz val="9"/>
            <color indexed="81"/>
            <rFont val="Tahoma"/>
            <family val="2"/>
          </rPr>
          <t>Could not find source file for Carter county.</t>
        </r>
      </text>
    </comment>
    <comment ref="N31" authorId="0" shapeId="0" xr:uid="{00000000-0006-0000-1000-000080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S31" authorId="0" shapeId="0" xr:uid="{00000000-0006-0000-1000-000081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U31" authorId="1" shapeId="0" xr:uid="{00000000-0006-0000-1000-000082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V31" authorId="1" shapeId="0" xr:uid="{00000000-0006-0000-1000-000083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W31" authorId="1" shapeId="0" xr:uid="{00000000-0006-0000-1000-000084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AL31" authorId="0" shapeId="0" xr:uid="{00000000-0006-0000-1000-000085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AQ31" authorId="0" shapeId="0" xr:uid="{00000000-0006-0000-1000-000086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AS31" authorId="1" shapeId="0" xr:uid="{00000000-0006-0000-1000-000087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AT31" authorId="1" shapeId="0" xr:uid="{00000000-0006-0000-1000-000088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AU31" authorId="1" shapeId="0" xr:uid="{00000000-0006-0000-1000-000089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BJ31" authorId="0" shapeId="0" xr:uid="{00000000-0006-0000-1000-00008A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BO31" authorId="0" shapeId="0" xr:uid="{00000000-0006-0000-1000-00008B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BQ31" authorId="1" shapeId="0" xr:uid="{00000000-0006-0000-1000-00008C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BR31" authorId="1" shapeId="0" xr:uid="{00000000-0006-0000-1000-00008D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BS31" authorId="1" shapeId="0" xr:uid="{00000000-0006-0000-1000-00008E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CH31" authorId="0" shapeId="0" xr:uid="{00000000-0006-0000-1000-00008F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CM31" authorId="0" shapeId="0" xr:uid="{00000000-0006-0000-1000-000090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CO31" authorId="1" shapeId="0" xr:uid="{00000000-0006-0000-1000-000091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CP31" authorId="1" shapeId="0" xr:uid="{00000000-0006-0000-1000-000092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CQ31" authorId="1" shapeId="0" xr:uid="{00000000-0006-0000-1000-000093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DF31" authorId="0" shapeId="0" xr:uid="{00000000-0006-0000-1000-000094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DK31" authorId="0" shapeId="0" xr:uid="{00000000-0006-0000-1000-000095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DM31" authorId="1" shapeId="0" xr:uid="{00000000-0006-0000-1000-000096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DN31" authorId="1" shapeId="0" xr:uid="{00000000-0006-0000-1000-000097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DO31" authorId="1" shapeId="0" xr:uid="{00000000-0006-0000-1000-000098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ED31" authorId="0" shapeId="0" xr:uid="{00000000-0006-0000-1000-000099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EI31" authorId="0" shapeId="0" xr:uid="{00000000-0006-0000-1000-00009A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EK31" authorId="1" shapeId="0" xr:uid="{00000000-0006-0000-1000-00009B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EL31" authorId="1" shapeId="0" xr:uid="{00000000-0006-0000-1000-00009C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EM31" authorId="1" shapeId="0" xr:uid="{00000000-0006-0000-1000-00009D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B31" authorId="0" shapeId="0" xr:uid="{00000000-0006-0000-1000-00009E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FG31" authorId="0" shapeId="0" xr:uid="{00000000-0006-0000-1000-00009F000000}">
      <text>
        <r>
          <rPr>
            <sz val="9"/>
            <color indexed="81"/>
            <rFont val="Tahoma"/>
            <family val="2"/>
          </rPr>
          <t>Could not find source file for Cedar county.</t>
        </r>
      </text>
    </comment>
    <comment ref="FI31" authorId="1" shapeId="0" xr:uid="{00000000-0006-0000-1000-0000A0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J31" authorId="1" shapeId="0" xr:uid="{00000000-0006-0000-1000-0000A1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FK31" authorId="1" shapeId="0" xr:uid="{00000000-0006-0000-1000-0000A2000000}">
      <text>
        <r>
          <rPr>
            <sz val="9"/>
            <color indexed="81"/>
            <rFont val="Tahoma"/>
            <charset val="1"/>
          </rPr>
          <t>Could not find source file for Cedar county.</t>
        </r>
      </text>
    </comment>
    <comment ref="O36" authorId="0" shapeId="0" xr:uid="{00000000-0006-0000-1000-0000A3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P36" authorId="0" shapeId="0" xr:uid="{00000000-0006-0000-1000-0000A4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Q36" authorId="0" shapeId="0" xr:uid="{00000000-0006-0000-1000-0000A5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R36" authorId="1" shapeId="0" xr:uid="{00000000-0006-0000-1000-0000A6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S36" authorId="0" shapeId="0" xr:uid="{00000000-0006-0000-1000-0000A7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T36" authorId="1" shapeId="0" xr:uid="{00000000-0006-0000-1000-0000A8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U36" authorId="1" shapeId="0" xr:uid="{00000000-0006-0000-1000-0000A9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V36" authorId="1" shapeId="0" xr:uid="{00000000-0006-0000-1000-0000AA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W36" authorId="1" shapeId="0" xr:uid="{00000000-0006-0000-1000-0000AB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M36" authorId="0" shapeId="0" xr:uid="{00000000-0006-0000-1000-0000AC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N36" authorId="0" shapeId="0" xr:uid="{00000000-0006-0000-1000-0000AD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O36" authorId="0" shapeId="0" xr:uid="{00000000-0006-0000-1000-0000AE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P36" authorId="1" shapeId="0" xr:uid="{00000000-0006-0000-1000-0000AF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Q36" authorId="0" shapeId="0" xr:uid="{00000000-0006-0000-1000-0000B0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R36" authorId="1" shapeId="0" xr:uid="{00000000-0006-0000-1000-0000B1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AS36" authorId="1" shapeId="0" xr:uid="{00000000-0006-0000-1000-0000B2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T36" authorId="1" shapeId="0" xr:uid="{00000000-0006-0000-1000-0000B3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AU36" authorId="1" shapeId="0" xr:uid="{00000000-0006-0000-1000-0000B4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K36" authorId="0" shapeId="0" xr:uid="{00000000-0006-0000-1000-0000B5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L36" authorId="0" shapeId="0" xr:uid="{00000000-0006-0000-1000-0000B6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M36" authorId="0" shapeId="0" xr:uid="{00000000-0006-0000-1000-0000B7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N36" authorId="1" shapeId="0" xr:uid="{00000000-0006-0000-1000-0000B8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O36" authorId="0" shapeId="0" xr:uid="{00000000-0006-0000-1000-0000B9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P36" authorId="1" shapeId="0" xr:uid="{00000000-0006-0000-1000-0000BA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BQ36" authorId="1" shapeId="0" xr:uid="{00000000-0006-0000-1000-0000BB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R36" authorId="1" shapeId="0" xr:uid="{00000000-0006-0000-1000-0000BC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BS36" authorId="1" shapeId="0" xr:uid="{00000000-0006-0000-1000-0000BD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I36" authorId="0" shapeId="0" xr:uid="{00000000-0006-0000-1000-0000BE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J36" authorId="0" shapeId="0" xr:uid="{00000000-0006-0000-1000-0000BF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K36" authorId="0" shapeId="0" xr:uid="{00000000-0006-0000-1000-0000C0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L36" authorId="1" shapeId="0" xr:uid="{00000000-0006-0000-1000-0000C1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M36" authorId="0" shapeId="0" xr:uid="{00000000-0006-0000-1000-0000C2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N36" authorId="1" shapeId="0" xr:uid="{00000000-0006-0000-1000-0000C3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CO36" authorId="1" shapeId="0" xr:uid="{00000000-0006-0000-1000-0000C4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P36" authorId="1" shapeId="0" xr:uid="{00000000-0006-0000-1000-0000C5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CQ36" authorId="1" shapeId="0" xr:uid="{00000000-0006-0000-1000-0000C6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G36" authorId="0" shapeId="0" xr:uid="{00000000-0006-0000-1000-0000C7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H36" authorId="0" shapeId="0" xr:uid="{00000000-0006-0000-1000-0000C8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I36" authorId="0" shapeId="0" xr:uid="{00000000-0006-0000-1000-0000C9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J36" authorId="1" shapeId="0" xr:uid="{00000000-0006-0000-1000-0000CA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K36" authorId="0" shapeId="0" xr:uid="{00000000-0006-0000-1000-0000CB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L36" authorId="1" shapeId="0" xr:uid="{00000000-0006-0000-1000-0000CC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DM36" authorId="1" shapeId="0" xr:uid="{00000000-0006-0000-1000-0000CD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N36" authorId="1" shapeId="0" xr:uid="{00000000-0006-0000-1000-0000CE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DO36" authorId="1" shapeId="0" xr:uid="{00000000-0006-0000-1000-0000CF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E36" authorId="0" shapeId="0" xr:uid="{00000000-0006-0000-1000-0000D0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F36" authorId="0" shapeId="0" xr:uid="{00000000-0006-0000-1000-0000D1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G36" authorId="0" shapeId="0" xr:uid="{00000000-0006-0000-1000-0000D2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H36" authorId="1" shapeId="0" xr:uid="{00000000-0006-0000-1000-0000D3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I36" authorId="0" shapeId="0" xr:uid="{00000000-0006-0000-1000-0000D4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J36" authorId="1" shapeId="0" xr:uid="{00000000-0006-0000-1000-0000D5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EK36" authorId="1" shapeId="0" xr:uid="{00000000-0006-0000-1000-0000D6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L36" authorId="1" shapeId="0" xr:uid="{00000000-0006-0000-1000-0000D7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EM36" authorId="1" shapeId="0" xr:uid="{00000000-0006-0000-1000-0000D8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C36" authorId="0" shapeId="0" xr:uid="{00000000-0006-0000-1000-0000D9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D36" authorId="0" shapeId="0" xr:uid="{00000000-0006-0000-1000-0000DA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E36" authorId="0" shapeId="0" xr:uid="{00000000-0006-0000-1000-0000DB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F36" authorId="1" shapeId="0" xr:uid="{00000000-0006-0000-1000-0000DC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G36" authorId="0" shapeId="0" xr:uid="{00000000-0006-0000-1000-0000DD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H36" authorId="1" shapeId="0" xr:uid="{00000000-0006-0000-1000-0000DE000000}">
      <text>
        <r>
          <rPr>
            <sz val="9"/>
            <color indexed="81"/>
            <rFont val="Tahoma"/>
            <family val="2"/>
          </rPr>
          <t>Could not find source file for Crawford county.</t>
        </r>
      </text>
    </comment>
    <comment ref="FI36" authorId="1" shapeId="0" xr:uid="{00000000-0006-0000-1000-0000DF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J36" authorId="1" shapeId="0" xr:uid="{00000000-0006-0000-1000-0000E0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FK36" authorId="1" shapeId="0" xr:uid="{00000000-0006-0000-1000-0000E1000000}">
      <text>
        <r>
          <rPr>
            <sz val="9"/>
            <color indexed="81"/>
            <rFont val="Tahoma"/>
            <charset val="1"/>
          </rPr>
          <t>Could not find source file for Crawford county.</t>
        </r>
      </text>
    </comment>
    <comment ref="R38" authorId="1" shapeId="0" xr:uid="{00000000-0006-0000-1000-0000E200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AP38" authorId="1" shapeId="0" xr:uid="{00000000-0006-0000-1000-0000E300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BN38" authorId="1" shapeId="0" xr:uid="{00000000-0006-0000-1000-0000E400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CL38" authorId="1" shapeId="0" xr:uid="{00000000-0006-0000-1000-0000E500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DJ38" authorId="1" shapeId="0" xr:uid="{00000000-0006-0000-1000-0000E600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EH38" authorId="1" shapeId="0" xr:uid="{00000000-0006-0000-1000-0000E700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FF38" authorId="1" shapeId="0" xr:uid="{00000000-0006-0000-1000-0000E8000000}">
      <text>
        <r>
          <rPr>
            <sz val="9"/>
            <color indexed="81"/>
            <rFont val="Tahoma"/>
            <family val="2"/>
          </rPr>
          <t>Could not find source file for Dallas county.</t>
        </r>
      </text>
    </comment>
    <comment ref="R39" authorId="1" shapeId="0" xr:uid="{00000000-0006-0000-1000-0000E9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T39" authorId="1" shapeId="0" xr:uid="{00000000-0006-0000-1000-0000EA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AP39" authorId="1" shapeId="0" xr:uid="{00000000-0006-0000-1000-0000EB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AR39" authorId="1" shapeId="0" xr:uid="{00000000-0006-0000-1000-0000EC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BN39" authorId="1" shapeId="0" xr:uid="{00000000-0006-0000-1000-0000ED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BP39" authorId="1" shapeId="0" xr:uid="{00000000-0006-0000-1000-0000EE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CL39" authorId="1" shapeId="0" xr:uid="{00000000-0006-0000-1000-0000EF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CN39" authorId="1" shapeId="0" xr:uid="{00000000-0006-0000-1000-0000F0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DJ39" authorId="1" shapeId="0" xr:uid="{00000000-0006-0000-1000-0000F1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DL39" authorId="1" shapeId="0" xr:uid="{00000000-0006-0000-1000-0000F2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EH39" authorId="1" shapeId="0" xr:uid="{00000000-0006-0000-1000-0000F3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EJ39" authorId="1" shapeId="0" xr:uid="{00000000-0006-0000-1000-0000F4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FF39" authorId="1" shapeId="0" xr:uid="{00000000-0006-0000-1000-0000F5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FH39" authorId="1" shapeId="0" xr:uid="{00000000-0006-0000-1000-0000F6000000}">
      <text>
        <r>
          <rPr>
            <sz val="9"/>
            <color indexed="81"/>
            <rFont val="Tahoma"/>
            <family val="2"/>
          </rPr>
          <t>Could not find source file for Daviess county.</t>
        </r>
      </text>
    </comment>
    <comment ref="U40" authorId="1" shapeId="0" xr:uid="{00000000-0006-0000-1000-0000F7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V40" authorId="1" shapeId="0" xr:uid="{00000000-0006-0000-1000-0000F8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W40" authorId="1" shapeId="0" xr:uid="{00000000-0006-0000-1000-0000F9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AS40" authorId="1" shapeId="0" xr:uid="{00000000-0006-0000-1000-0000FA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AT40" authorId="1" shapeId="0" xr:uid="{00000000-0006-0000-1000-0000FB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AU40" authorId="1" shapeId="0" xr:uid="{00000000-0006-0000-1000-0000FC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BQ40" authorId="1" shapeId="0" xr:uid="{00000000-0006-0000-1000-0000FD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BR40" authorId="1" shapeId="0" xr:uid="{00000000-0006-0000-1000-0000FE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BS40" authorId="1" shapeId="0" xr:uid="{00000000-0006-0000-1000-0000FF00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CO40" authorId="1" shapeId="0" xr:uid="{00000000-0006-0000-1000-000000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CP40" authorId="1" shapeId="0" xr:uid="{00000000-0006-0000-1000-000001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CQ40" authorId="1" shapeId="0" xr:uid="{00000000-0006-0000-1000-000002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DM40" authorId="1" shapeId="0" xr:uid="{00000000-0006-0000-1000-000003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DN40" authorId="1" shapeId="0" xr:uid="{00000000-0006-0000-1000-000004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DO40" authorId="1" shapeId="0" xr:uid="{00000000-0006-0000-1000-000005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EK40" authorId="1" shapeId="0" xr:uid="{00000000-0006-0000-1000-000006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EL40" authorId="1" shapeId="0" xr:uid="{00000000-0006-0000-1000-000007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EM40" authorId="1" shapeId="0" xr:uid="{00000000-0006-0000-1000-000008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FI40" authorId="1" shapeId="0" xr:uid="{00000000-0006-0000-1000-000009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FJ40" authorId="1" shapeId="0" xr:uid="{00000000-0006-0000-1000-00000A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FK40" authorId="1" shapeId="0" xr:uid="{00000000-0006-0000-1000-00000B010000}">
      <text>
        <r>
          <rPr>
            <sz val="9"/>
            <color indexed="81"/>
            <rFont val="Tahoma"/>
            <charset val="1"/>
          </rPr>
          <t>Could not find source file for DeKalb county.</t>
        </r>
      </text>
    </comment>
    <comment ref="R43" authorId="1" shapeId="0" xr:uid="{00000000-0006-0000-1000-00000C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AP43" authorId="1" shapeId="0" xr:uid="{00000000-0006-0000-1000-00000D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BN43" authorId="1" shapeId="0" xr:uid="{00000000-0006-0000-1000-00000E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CL43" authorId="1" shapeId="0" xr:uid="{00000000-0006-0000-1000-00000F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DJ43" authorId="1" shapeId="0" xr:uid="{00000000-0006-0000-1000-000010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EH43" authorId="1" shapeId="0" xr:uid="{00000000-0006-0000-1000-000011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FF43" authorId="1" shapeId="0" xr:uid="{00000000-0006-0000-1000-000012010000}">
      <text>
        <r>
          <rPr>
            <sz val="9"/>
            <color indexed="81"/>
            <rFont val="Tahoma"/>
            <family val="2"/>
          </rPr>
          <t>Could not find source file for Dunklin county.</t>
        </r>
      </text>
    </comment>
    <comment ref="K44" authorId="1" shapeId="0" xr:uid="{00000000-0006-0000-1000-000013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L44" authorId="1" shapeId="0" xr:uid="{00000000-0006-0000-1000-000014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M44" authorId="0" shapeId="0" xr:uid="{00000000-0006-0000-1000-000015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N44" authorId="0" shapeId="0" xr:uid="{00000000-0006-0000-1000-00001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O44" authorId="0" shapeId="0" xr:uid="{00000000-0006-0000-1000-000017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P44" authorId="0" shapeId="0" xr:uid="{00000000-0006-0000-1000-000018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Q44" authorId="0" shapeId="0" xr:uid="{00000000-0006-0000-1000-000019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R44" authorId="1" shapeId="0" xr:uid="{00000000-0006-0000-1000-00001A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S44" authorId="0" shapeId="0" xr:uid="{00000000-0006-0000-1000-00001B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T44" authorId="1" shapeId="0" xr:uid="{00000000-0006-0000-1000-00001C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U44" authorId="1" shapeId="0" xr:uid="{00000000-0006-0000-1000-00001D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V44" authorId="1" shapeId="0" xr:uid="{00000000-0006-0000-1000-00001E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W44" authorId="1" shapeId="0" xr:uid="{00000000-0006-0000-1000-00001F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I44" authorId="1" shapeId="0" xr:uid="{00000000-0006-0000-1000-000020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J44" authorId="1" shapeId="0" xr:uid="{00000000-0006-0000-1000-000021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K44" authorId="0" shapeId="0" xr:uid="{00000000-0006-0000-1000-000022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L44" authorId="0" shapeId="0" xr:uid="{00000000-0006-0000-1000-000023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M44" authorId="0" shapeId="0" xr:uid="{00000000-0006-0000-1000-000024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N44" authorId="0" shapeId="0" xr:uid="{00000000-0006-0000-1000-000025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O44" authorId="0" shapeId="0" xr:uid="{00000000-0006-0000-1000-00002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P44" authorId="1" shapeId="0" xr:uid="{00000000-0006-0000-1000-000027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Q44" authorId="0" shapeId="0" xr:uid="{00000000-0006-0000-1000-000028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R44" authorId="1" shapeId="0" xr:uid="{00000000-0006-0000-1000-000029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AS44" authorId="1" shapeId="0" xr:uid="{00000000-0006-0000-1000-00002A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T44" authorId="1" shapeId="0" xr:uid="{00000000-0006-0000-1000-00002B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AU44" authorId="1" shapeId="0" xr:uid="{00000000-0006-0000-1000-00002C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G44" authorId="1" shapeId="0" xr:uid="{00000000-0006-0000-1000-00002D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H44" authorId="1" shapeId="0" xr:uid="{00000000-0006-0000-1000-00002E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I44" authorId="0" shapeId="0" xr:uid="{00000000-0006-0000-1000-00002F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J44" authorId="0" shapeId="0" xr:uid="{00000000-0006-0000-1000-000030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K44" authorId="0" shapeId="0" xr:uid="{00000000-0006-0000-1000-000031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L44" authorId="0" shapeId="0" xr:uid="{00000000-0006-0000-1000-000032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M44" authorId="0" shapeId="0" xr:uid="{00000000-0006-0000-1000-000033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N44" authorId="1" shapeId="0" xr:uid="{00000000-0006-0000-1000-000034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O44" authorId="0" shapeId="0" xr:uid="{00000000-0006-0000-1000-000035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P44" authorId="1" shapeId="0" xr:uid="{00000000-0006-0000-1000-00003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BQ44" authorId="1" shapeId="0" xr:uid="{00000000-0006-0000-1000-000037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R44" authorId="1" shapeId="0" xr:uid="{00000000-0006-0000-1000-000038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BS44" authorId="1" shapeId="0" xr:uid="{00000000-0006-0000-1000-000039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E44" authorId="1" shapeId="0" xr:uid="{00000000-0006-0000-1000-00003A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F44" authorId="1" shapeId="0" xr:uid="{00000000-0006-0000-1000-00003B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G44" authorId="0" shapeId="0" xr:uid="{00000000-0006-0000-1000-00003C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H44" authorId="0" shapeId="0" xr:uid="{00000000-0006-0000-1000-00003D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I44" authorId="0" shapeId="0" xr:uid="{00000000-0006-0000-1000-00003E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J44" authorId="0" shapeId="0" xr:uid="{00000000-0006-0000-1000-00003F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K44" authorId="0" shapeId="0" xr:uid="{00000000-0006-0000-1000-000040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L44" authorId="1" shapeId="0" xr:uid="{00000000-0006-0000-1000-000041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M44" authorId="0" shapeId="0" xr:uid="{00000000-0006-0000-1000-000042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N44" authorId="1" shapeId="0" xr:uid="{00000000-0006-0000-1000-000043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CO44" authorId="1" shapeId="0" xr:uid="{00000000-0006-0000-1000-000044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P44" authorId="1" shapeId="0" xr:uid="{00000000-0006-0000-1000-000045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CQ44" authorId="1" shapeId="0" xr:uid="{00000000-0006-0000-1000-000046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C44" authorId="1" shapeId="0" xr:uid="{00000000-0006-0000-1000-000047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D44" authorId="1" shapeId="0" xr:uid="{00000000-0006-0000-1000-000048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E44" authorId="0" shapeId="0" xr:uid="{00000000-0006-0000-1000-000049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F44" authorId="0" shapeId="0" xr:uid="{00000000-0006-0000-1000-00004A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G44" authorId="0" shapeId="0" xr:uid="{00000000-0006-0000-1000-00004B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H44" authorId="0" shapeId="0" xr:uid="{00000000-0006-0000-1000-00004C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I44" authorId="0" shapeId="0" xr:uid="{00000000-0006-0000-1000-00004D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J44" authorId="1" shapeId="0" xr:uid="{00000000-0006-0000-1000-00004E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K44" authorId="0" shapeId="0" xr:uid="{00000000-0006-0000-1000-00004F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L44" authorId="1" shapeId="0" xr:uid="{00000000-0006-0000-1000-000050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DM44" authorId="1" shapeId="0" xr:uid="{00000000-0006-0000-1000-000051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N44" authorId="1" shapeId="0" xr:uid="{00000000-0006-0000-1000-000052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DO44" authorId="1" shapeId="0" xr:uid="{00000000-0006-0000-1000-000053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A44" authorId="1" shapeId="0" xr:uid="{00000000-0006-0000-1000-000054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B44" authorId="1" shapeId="0" xr:uid="{00000000-0006-0000-1000-000055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C44" authorId="0" shapeId="0" xr:uid="{00000000-0006-0000-1000-00005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D44" authorId="0" shapeId="0" xr:uid="{00000000-0006-0000-1000-000057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E44" authorId="0" shapeId="0" xr:uid="{00000000-0006-0000-1000-000058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F44" authorId="0" shapeId="0" xr:uid="{00000000-0006-0000-1000-000059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G44" authorId="0" shapeId="0" xr:uid="{00000000-0006-0000-1000-00005A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H44" authorId="1" shapeId="0" xr:uid="{00000000-0006-0000-1000-00005B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I44" authorId="0" shapeId="0" xr:uid="{00000000-0006-0000-1000-00005C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J44" authorId="1" shapeId="0" xr:uid="{00000000-0006-0000-1000-00005D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EK44" authorId="1" shapeId="0" xr:uid="{00000000-0006-0000-1000-00005E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L44" authorId="1" shapeId="0" xr:uid="{00000000-0006-0000-1000-00005F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M44" authorId="1" shapeId="0" xr:uid="{00000000-0006-0000-1000-000060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Y44" authorId="1" shapeId="0" xr:uid="{00000000-0006-0000-1000-000061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EZ44" authorId="1" shapeId="0" xr:uid="{00000000-0006-0000-1000-000062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A44" authorId="0" shapeId="0" xr:uid="{00000000-0006-0000-1000-000063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B44" authorId="0" shapeId="0" xr:uid="{00000000-0006-0000-1000-000064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C44" authorId="0" shapeId="0" xr:uid="{00000000-0006-0000-1000-000065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D44" authorId="0" shapeId="0" xr:uid="{00000000-0006-0000-1000-000066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E44" authorId="0" shapeId="0" xr:uid="{00000000-0006-0000-1000-000067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F44" authorId="1" shapeId="0" xr:uid="{00000000-0006-0000-1000-000068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G44" authorId="0" shapeId="0" xr:uid="{00000000-0006-0000-1000-000069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H44" authorId="1" shapeId="0" xr:uid="{00000000-0006-0000-1000-00006A010000}">
      <text>
        <r>
          <rPr>
            <sz val="9"/>
            <color indexed="81"/>
            <rFont val="Tahoma"/>
            <family val="2"/>
          </rPr>
          <t>Could not find source file for Gasconade county.</t>
        </r>
      </text>
    </comment>
    <comment ref="FI44" authorId="1" shapeId="0" xr:uid="{00000000-0006-0000-1000-00006B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J44" authorId="1" shapeId="0" xr:uid="{00000000-0006-0000-1000-00006C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FK44" authorId="1" shapeId="0" xr:uid="{00000000-0006-0000-1000-00006D010000}">
      <text>
        <r>
          <rPr>
            <sz val="9"/>
            <color indexed="81"/>
            <rFont val="Tahoma"/>
            <charset val="1"/>
          </rPr>
          <t>Could not find source file for Gasconade county.</t>
        </r>
      </text>
    </comment>
    <comment ref="P46" authorId="0" shapeId="0" xr:uid="{00000000-0006-0000-1000-00006E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T46" authorId="1" shapeId="0" xr:uid="{00000000-0006-0000-1000-00006F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U46" authorId="1" shapeId="0" xr:uid="{00000000-0006-0000-1000-000070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V46" authorId="1" shapeId="0" xr:uid="{00000000-0006-0000-1000-000071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W46" authorId="1" shapeId="0" xr:uid="{00000000-0006-0000-1000-000072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AN46" authorId="0" shapeId="0" xr:uid="{00000000-0006-0000-1000-000073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AR46" authorId="1" shapeId="0" xr:uid="{00000000-0006-0000-1000-000074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AS46" authorId="1" shapeId="0" xr:uid="{00000000-0006-0000-1000-000075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AT46" authorId="1" shapeId="0" xr:uid="{00000000-0006-0000-1000-000076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AU46" authorId="1" shapeId="0" xr:uid="{00000000-0006-0000-1000-000077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BL46" authorId="0" shapeId="0" xr:uid="{00000000-0006-0000-1000-000078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BP46" authorId="1" shapeId="0" xr:uid="{00000000-0006-0000-1000-000079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BQ46" authorId="1" shapeId="0" xr:uid="{00000000-0006-0000-1000-00007A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BR46" authorId="1" shapeId="0" xr:uid="{00000000-0006-0000-1000-00007B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BS46" authorId="1" shapeId="0" xr:uid="{00000000-0006-0000-1000-00007C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CJ46" authorId="0" shapeId="0" xr:uid="{00000000-0006-0000-1000-00007D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CN46" authorId="1" shapeId="0" xr:uid="{00000000-0006-0000-1000-00007E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CO46" authorId="1" shapeId="0" xr:uid="{00000000-0006-0000-1000-00007F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CP46" authorId="1" shapeId="0" xr:uid="{00000000-0006-0000-1000-000080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CQ46" authorId="1" shapeId="0" xr:uid="{00000000-0006-0000-1000-000081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DH46" authorId="0" shapeId="0" xr:uid="{00000000-0006-0000-1000-000082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DL46" authorId="1" shapeId="0" xr:uid="{00000000-0006-0000-1000-000083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DM46" authorId="1" shapeId="0" xr:uid="{00000000-0006-0000-1000-000084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DN46" authorId="1" shapeId="0" xr:uid="{00000000-0006-0000-1000-000085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DO46" authorId="1" shapeId="0" xr:uid="{00000000-0006-0000-1000-000086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EF46" authorId="0" shapeId="0" xr:uid="{00000000-0006-0000-1000-000087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EJ46" authorId="1" shapeId="0" xr:uid="{00000000-0006-0000-1000-000088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EK46" authorId="1" shapeId="0" xr:uid="{00000000-0006-0000-1000-000089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EL46" authorId="1" shapeId="0" xr:uid="{00000000-0006-0000-1000-00008A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EM46" authorId="1" shapeId="0" xr:uid="{00000000-0006-0000-1000-00008B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D46" authorId="0" shapeId="0" xr:uid="{00000000-0006-0000-1000-00008C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FH46" authorId="1" shapeId="0" xr:uid="{00000000-0006-0000-1000-00008D010000}">
      <text>
        <r>
          <rPr>
            <sz val="9"/>
            <color indexed="81"/>
            <rFont val="Tahoma"/>
            <family val="2"/>
          </rPr>
          <t>Could not find source file for Grundy county.</t>
        </r>
      </text>
    </comment>
    <comment ref="FI46" authorId="1" shapeId="0" xr:uid="{00000000-0006-0000-1000-00008E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J46" authorId="1" shapeId="0" xr:uid="{00000000-0006-0000-1000-00008F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FK46" authorId="1" shapeId="0" xr:uid="{00000000-0006-0000-1000-000090010000}">
      <text>
        <r>
          <rPr>
            <sz val="9"/>
            <color indexed="81"/>
            <rFont val="Tahoma"/>
            <charset val="1"/>
          </rPr>
          <t>Could not find source file for Grundy county.</t>
        </r>
      </text>
    </comment>
    <comment ref="L49" authorId="1" shapeId="0" xr:uid="{00000000-0006-0000-1000-00009101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N49" authorId="0" shapeId="0" xr:uid="{00000000-0006-0000-1000-000092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AJ49" authorId="1" shapeId="0" xr:uid="{00000000-0006-0000-1000-00009301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AL49" authorId="0" shapeId="0" xr:uid="{00000000-0006-0000-1000-000094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BH49" authorId="1" shapeId="0" xr:uid="{00000000-0006-0000-1000-00009501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BJ49" authorId="0" shapeId="0" xr:uid="{00000000-0006-0000-1000-000096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CF49" authorId="1" shapeId="0" xr:uid="{00000000-0006-0000-1000-00009701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CH49" authorId="0" shapeId="0" xr:uid="{00000000-0006-0000-1000-000098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DD49" authorId="1" shapeId="0" xr:uid="{00000000-0006-0000-1000-00009901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DF49" authorId="0" shapeId="0" xr:uid="{00000000-0006-0000-1000-00009A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B49" authorId="1" shapeId="0" xr:uid="{00000000-0006-0000-1000-00009B01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ED49" authorId="0" shapeId="0" xr:uid="{00000000-0006-0000-1000-00009C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Z49" authorId="1" shapeId="0" xr:uid="{00000000-0006-0000-1000-00009D010000}">
      <text>
        <r>
          <rPr>
            <sz val="9"/>
            <color indexed="81"/>
            <rFont val="Tahoma"/>
            <charset val="1"/>
          </rPr>
          <t>Could not find tab 'SRB E' in source file.</t>
        </r>
      </text>
    </comment>
    <comment ref="FB49" authorId="0" shapeId="0" xr:uid="{00000000-0006-0000-1000-00009E01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Q50" authorId="0" shapeId="0" xr:uid="{00000000-0006-0000-1000-00009F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AO50" authorId="0" shapeId="0" xr:uid="{00000000-0006-0000-1000-0000A0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BM50" authorId="0" shapeId="0" xr:uid="{00000000-0006-0000-1000-0000A1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CK50" authorId="0" shapeId="0" xr:uid="{00000000-0006-0000-1000-0000A2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DI50" authorId="0" shapeId="0" xr:uid="{00000000-0006-0000-1000-0000A3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G50" authorId="0" shapeId="0" xr:uid="{00000000-0006-0000-1000-0000A4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FE50" authorId="0" shapeId="0" xr:uid="{00000000-0006-0000-1000-0000A501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P51" authorId="0" shapeId="0" xr:uid="{00000000-0006-0000-1000-0000A6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AN51" authorId="0" shapeId="0" xr:uid="{00000000-0006-0000-1000-0000A7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BL51" authorId="0" shapeId="0" xr:uid="{00000000-0006-0000-1000-0000A8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CJ51" authorId="0" shapeId="0" xr:uid="{00000000-0006-0000-1000-0000A9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DH51" authorId="0" shapeId="0" xr:uid="{00000000-0006-0000-1000-0000AA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F51" authorId="0" shapeId="0" xr:uid="{00000000-0006-0000-1000-0000AB01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FD51" authorId="0" shapeId="0" xr:uid="{00000000-0006-0000-1000-0000AC01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U55" authorId="1" shapeId="0" xr:uid="{00000000-0006-0000-1000-0000AD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V55" authorId="1" shapeId="0" xr:uid="{00000000-0006-0000-1000-0000AE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W55" authorId="1" shapeId="0" xr:uid="{00000000-0006-0000-1000-0000AF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AS55" authorId="1" shapeId="0" xr:uid="{00000000-0006-0000-1000-0000B0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AT55" authorId="1" shapeId="0" xr:uid="{00000000-0006-0000-1000-0000B1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AU55" authorId="1" shapeId="0" xr:uid="{00000000-0006-0000-1000-0000B2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BQ55" authorId="1" shapeId="0" xr:uid="{00000000-0006-0000-1000-0000B3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BR55" authorId="1" shapeId="0" xr:uid="{00000000-0006-0000-1000-0000B4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BS55" authorId="1" shapeId="0" xr:uid="{00000000-0006-0000-1000-0000B5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CO55" authorId="1" shapeId="0" xr:uid="{00000000-0006-0000-1000-0000B6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CP55" authorId="1" shapeId="0" xr:uid="{00000000-0006-0000-1000-0000B7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CQ55" authorId="1" shapeId="0" xr:uid="{00000000-0006-0000-1000-0000B8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DM55" authorId="1" shapeId="0" xr:uid="{00000000-0006-0000-1000-0000B9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DN55" authorId="1" shapeId="0" xr:uid="{00000000-0006-0000-1000-0000BA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DO55" authorId="1" shapeId="0" xr:uid="{00000000-0006-0000-1000-0000BB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EK55" authorId="1" shapeId="0" xr:uid="{00000000-0006-0000-1000-0000BC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EL55" authorId="1" shapeId="0" xr:uid="{00000000-0006-0000-1000-0000BD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EM55" authorId="1" shapeId="0" xr:uid="{00000000-0006-0000-1000-0000BE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FI55" authorId="1" shapeId="0" xr:uid="{00000000-0006-0000-1000-0000BF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FJ55" authorId="1" shapeId="0" xr:uid="{00000000-0006-0000-1000-0000C0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FK55" authorId="1" shapeId="0" xr:uid="{00000000-0006-0000-1000-0000C1010000}">
      <text>
        <r>
          <rPr>
            <sz val="9"/>
            <color indexed="81"/>
            <rFont val="Tahoma"/>
            <charset val="1"/>
          </rPr>
          <t>Could not find source file for Laclede county.</t>
        </r>
      </text>
    </comment>
    <comment ref="S59" authorId="0" shapeId="0" xr:uid="{00000000-0006-0000-1000-0000C2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T59" authorId="1" shapeId="0" xr:uid="{00000000-0006-0000-1000-0000C3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AQ59" authorId="0" shapeId="0" xr:uid="{00000000-0006-0000-1000-0000C4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AR59" authorId="1" shapeId="0" xr:uid="{00000000-0006-0000-1000-0000C5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BO59" authorId="0" shapeId="0" xr:uid="{00000000-0006-0000-1000-0000C6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BP59" authorId="1" shapeId="0" xr:uid="{00000000-0006-0000-1000-0000C7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CM59" authorId="0" shapeId="0" xr:uid="{00000000-0006-0000-1000-0000C8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CN59" authorId="1" shapeId="0" xr:uid="{00000000-0006-0000-1000-0000C9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DK59" authorId="0" shapeId="0" xr:uid="{00000000-0006-0000-1000-0000CA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DL59" authorId="1" shapeId="0" xr:uid="{00000000-0006-0000-1000-0000CB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EI59" authorId="0" shapeId="0" xr:uid="{00000000-0006-0000-1000-0000CC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EJ59" authorId="1" shapeId="0" xr:uid="{00000000-0006-0000-1000-0000CD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FG59" authorId="0" shapeId="0" xr:uid="{00000000-0006-0000-1000-0000CE010000}">
      <text>
        <r>
          <rPr>
            <sz val="9"/>
            <color indexed="81"/>
            <rFont val="Tahoma"/>
            <family val="2"/>
          </rPr>
          <t>Could not find source file for Livingston county.</t>
        </r>
      </text>
    </comment>
    <comment ref="FH59" authorId="1" shapeId="0" xr:uid="{00000000-0006-0000-1000-0000CF010000}">
      <text>
        <r>
          <rPr>
            <sz val="9"/>
            <color indexed="81"/>
            <rFont val="Tahoma"/>
            <family val="2"/>
          </rPr>
          <t>Could not load sheet names from source file, possibly protected.</t>
        </r>
      </text>
    </comment>
    <comment ref="P60" authorId="0" shapeId="0" xr:uid="{00000000-0006-0000-1000-0000D0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Q60" authorId="0" shapeId="0" xr:uid="{00000000-0006-0000-1000-0000D1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R60" authorId="1" shapeId="0" xr:uid="{00000000-0006-0000-1000-0000D2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S60" authorId="0" shapeId="0" xr:uid="{00000000-0006-0000-1000-0000D3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T60" authorId="1" shapeId="0" xr:uid="{00000000-0006-0000-1000-0000D4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U60" authorId="1" shapeId="0" xr:uid="{00000000-0006-0000-1000-0000D5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V60" authorId="1" shapeId="0" xr:uid="{00000000-0006-0000-1000-0000D6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W60" authorId="1" shapeId="0" xr:uid="{00000000-0006-0000-1000-0000D7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N60" authorId="0" shapeId="0" xr:uid="{00000000-0006-0000-1000-0000D8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O60" authorId="0" shapeId="0" xr:uid="{00000000-0006-0000-1000-0000D9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P60" authorId="1" shapeId="0" xr:uid="{00000000-0006-0000-1000-0000DA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Q60" authorId="0" shapeId="0" xr:uid="{00000000-0006-0000-1000-0000DB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R60" authorId="1" shapeId="0" xr:uid="{00000000-0006-0000-1000-0000DC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AS60" authorId="1" shapeId="0" xr:uid="{00000000-0006-0000-1000-0000DD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T60" authorId="1" shapeId="0" xr:uid="{00000000-0006-0000-1000-0000DE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AU60" authorId="1" shapeId="0" xr:uid="{00000000-0006-0000-1000-0000DF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L60" authorId="0" shapeId="0" xr:uid="{00000000-0006-0000-1000-0000E0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M60" authorId="0" shapeId="0" xr:uid="{00000000-0006-0000-1000-0000E1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N60" authorId="1" shapeId="0" xr:uid="{00000000-0006-0000-1000-0000E2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O60" authorId="0" shapeId="0" xr:uid="{00000000-0006-0000-1000-0000E3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P60" authorId="1" shapeId="0" xr:uid="{00000000-0006-0000-1000-0000E4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BQ60" authorId="1" shapeId="0" xr:uid="{00000000-0006-0000-1000-0000E5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R60" authorId="1" shapeId="0" xr:uid="{00000000-0006-0000-1000-0000E6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BS60" authorId="1" shapeId="0" xr:uid="{00000000-0006-0000-1000-0000E7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J60" authorId="0" shapeId="0" xr:uid="{00000000-0006-0000-1000-0000E8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K60" authorId="0" shapeId="0" xr:uid="{00000000-0006-0000-1000-0000E9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L60" authorId="1" shapeId="0" xr:uid="{00000000-0006-0000-1000-0000EA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M60" authorId="0" shapeId="0" xr:uid="{00000000-0006-0000-1000-0000EB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N60" authorId="1" shapeId="0" xr:uid="{00000000-0006-0000-1000-0000EC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CO60" authorId="1" shapeId="0" xr:uid="{00000000-0006-0000-1000-0000ED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P60" authorId="1" shapeId="0" xr:uid="{00000000-0006-0000-1000-0000EE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CQ60" authorId="1" shapeId="0" xr:uid="{00000000-0006-0000-1000-0000EF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H60" authorId="0" shapeId="0" xr:uid="{00000000-0006-0000-1000-0000F0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I60" authorId="0" shapeId="0" xr:uid="{00000000-0006-0000-1000-0000F1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J60" authorId="1" shapeId="0" xr:uid="{00000000-0006-0000-1000-0000F2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K60" authorId="0" shapeId="0" xr:uid="{00000000-0006-0000-1000-0000F3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L60" authorId="1" shapeId="0" xr:uid="{00000000-0006-0000-1000-0000F4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DM60" authorId="1" shapeId="0" xr:uid="{00000000-0006-0000-1000-0000F5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N60" authorId="1" shapeId="0" xr:uid="{00000000-0006-0000-1000-0000F6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DO60" authorId="1" shapeId="0" xr:uid="{00000000-0006-0000-1000-0000F7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F60" authorId="0" shapeId="0" xr:uid="{00000000-0006-0000-1000-0000F8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G60" authorId="0" shapeId="0" xr:uid="{00000000-0006-0000-1000-0000F9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H60" authorId="1" shapeId="0" xr:uid="{00000000-0006-0000-1000-0000FA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I60" authorId="0" shapeId="0" xr:uid="{00000000-0006-0000-1000-0000FB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J60" authorId="1" shapeId="0" xr:uid="{00000000-0006-0000-1000-0000FC01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EK60" authorId="1" shapeId="0" xr:uid="{00000000-0006-0000-1000-0000FD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L60" authorId="1" shapeId="0" xr:uid="{00000000-0006-0000-1000-0000FE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EM60" authorId="1" shapeId="0" xr:uid="{00000000-0006-0000-1000-0000FF01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D60" authorId="0" shapeId="0" xr:uid="{00000000-0006-0000-1000-000000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E60" authorId="0" shapeId="0" xr:uid="{00000000-0006-0000-1000-000001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F60" authorId="1" shapeId="0" xr:uid="{00000000-0006-0000-1000-000002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G60" authorId="0" shapeId="0" xr:uid="{00000000-0006-0000-1000-000003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H60" authorId="1" shapeId="0" xr:uid="{00000000-0006-0000-1000-000004020000}">
      <text>
        <r>
          <rPr>
            <sz val="9"/>
            <color indexed="81"/>
            <rFont val="Tahoma"/>
            <family val="2"/>
          </rPr>
          <t>Could not find source file for Macon county.</t>
        </r>
      </text>
    </comment>
    <comment ref="FI60" authorId="1" shapeId="0" xr:uid="{00000000-0006-0000-1000-000005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J60" authorId="1" shapeId="0" xr:uid="{00000000-0006-0000-1000-000006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FK60" authorId="1" shapeId="0" xr:uid="{00000000-0006-0000-1000-000007020000}">
      <text>
        <r>
          <rPr>
            <sz val="9"/>
            <color indexed="81"/>
            <rFont val="Tahoma"/>
            <charset val="1"/>
          </rPr>
          <t>Could not find source file for Macon county.</t>
        </r>
      </text>
    </comment>
    <comment ref="P61" authorId="0" shapeId="0" xr:uid="{00000000-0006-0000-1000-000008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R61" authorId="1" shapeId="0" xr:uid="{00000000-0006-0000-1000-000009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S61" authorId="0" shapeId="0" xr:uid="{00000000-0006-0000-1000-00000A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U61" authorId="1" shapeId="0" xr:uid="{00000000-0006-0000-1000-00000B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V61" authorId="1" shapeId="0" xr:uid="{00000000-0006-0000-1000-00000C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W61" authorId="1" shapeId="0" xr:uid="{00000000-0006-0000-1000-00000D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AN61" authorId="0" shapeId="0" xr:uid="{00000000-0006-0000-1000-00000E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AP61" authorId="1" shapeId="0" xr:uid="{00000000-0006-0000-1000-00000F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AQ61" authorId="0" shapeId="0" xr:uid="{00000000-0006-0000-1000-000010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AS61" authorId="1" shapeId="0" xr:uid="{00000000-0006-0000-1000-000011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AT61" authorId="1" shapeId="0" xr:uid="{00000000-0006-0000-1000-000012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AU61" authorId="1" shapeId="0" xr:uid="{00000000-0006-0000-1000-000013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BL61" authorId="0" shapeId="0" xr:uid="{00000000-0006-0000-1000-000014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BN61" authorId="1" shapeId="0" xr:uid="{00000000-0006-0000-1000-000015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BO61" authorId="0" shapeId="0" xr:uid="{00000000-0006-0000-1000-000016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BQ61" authorId="1" shapeId="0" xr:uid="{00000000-0006-0000-1000-000017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BR61" authorId="1" shapeId="0" xr:uid="{00000000-0006-0000-1000-000018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BS61" authorId="1" shapeId="0" xr:uid="{00000000-0006-0000-1000-000019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CJ61" authorId="0" shapeId="0" xr:uid="{00000000-0006-0000-1000-00001A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CL61" authorId="1" shapeId="0" xr:uid="{00000000-0006-0000-1000-00001B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CM61" authorId="0" shapeId="0" xr:uid="{00000000-0006-0000-1000-00001C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CO61" authorId="1" shapeId="0" xr:uid="{00000000-0006-0000-1000-00001D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CP61" authorId="1" shapeId="0" xr:uid="{00000000-0006-0000-1000-00001E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CQ61" authorId="1" shapeId="0" xr:uid="{00000000-0006-0000-1000-00001F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DH61" authorId="0" shapeId="0" xr:uid="{00000000-0006-0000-1000-000020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DJ61" authorId="1" shapeId="0" xr:uid="{00000000-0006-0000-1000-000021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DK61" authorId="0" shapeId="0" xr:uid="{00000000-0006-0000-1000-000022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DM61" authorId="1" shapeId="0" xr:uid="{00000000-0006-0000-1000-000023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DN61" authorId="1" shapeId="0" xr:uid="{00000000-0006-0000-1000-000024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DO61" authorId="1" shapeId="0" xr:uid="{00000000-0006-0000-1000-000025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EF61" authorId="0" shapeId="0" xr:uid="{00000000-0006-0000-1000-000026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EH61" authorId="1" shapeId="0" xr:uid="{00000000-0006-0000-1000-000027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EI61" authorId="0" shapeId="0" xr:uid="{00000000-0006-0000-1000-000028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EK61" authorId="1" shapeId="0" xr:uid="{00000000-0006-0000-1000-000029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EL61" authorId="1" shapeId="0" xr:uid="{00000000-0006-0000-1000-00002A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EM61" authorId="1" shapeId="0" xr:uid="{00000000-0006-0000-1000-00002B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FD61" authorId="0" shapeId="0" xr:uid="{00000000-0006-0000-1000-00002C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FF61" authorId="1" shapeId="0" xr:uid="{00000000-0006-0000-1000-00002D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FG61" authorId="0" shapeId="0" xr:uid="{00000000-0006-0000-1000-00002E020000}">
      <text>
        <r>
          <rPr>
            <sz val="9"/>
            <color indexed="81"/>
            <rFont val="Tahoma"/>
            <family val="2"/>
          </rPr>
          <t>Could not find source file for Madison county.</t>
        </r>
      </text>
    </comment>
    <comment ref="FI61" authorId="1" shapeId="0" xr:uid="{00000000-0006-0000-1000-00002F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FJ61" authorId="1" shapeId="0" xr:uid="{00000000-0006-0000-1000-000030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FK61" authorId="1" shapeId="0" xr:uid="{00000000-0006-0000-1000-000031020000}">
      <text>
        <r>
          <rPr>
            <sz val="9"/>
            <color indexed="81"/>
            <rFont val="Tahoma"/>
            <charset val="1"/>
          </rPr>
          <t>Could not find source file for Madison county.</t>
        </r>
      </text>
    </comment>
    <comment ref="M62" authorId="0" shapeId="0" xr:uid="{00000000-0006-0000-1000-000032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O62" authorId="0" shapeId="0" xr:uid="{00000000-0006-0000-1000-000033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R62" authorId="1" shapeId="0" xr:uid="{00000000-0006-0000-1000-000034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S62" authorId="0" shapeId="0" xr:uid="{00000000-0006-0000-1000-000035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T62" authorId="1" shapeId="0" xr:uid="{00000000-0006-0000-1000-000036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U62" authorId="1" shapeId="0" xr:uid="{00000000-0006-0000-1000-000037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V62" authorId="1" shapeId="0" xr:uid="{00000000-0006-0000-1000-000038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W62" authorId="1" shapeId="0" xr:uid="{00000000-0006-0000-1000-000039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AK62" authorId="0" shapeId="0" xr:uid="{00000000-0006-0000-1000-00003A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AM62" authorId="0" shapeId="0" xr:uid="{00000000-0006-0000-1000-00003B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AP62" authorId="1" shapeId="0" xr:uid="{00000000-0006-0000-1000-00003C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AQ62" authorId="0" shapeId="0" xr:uid="{00000000-0006-0000-1000-00003D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AR62" authorId="1" shapeId="0" xr:uid="{00000000-0006-0000-1000-00003E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AS62" authorId="1" shapeId="0" xr:uid="{00000000-0006-0000-1000-00003F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AT62" authorId="1" shapeId="0" xr:uid="{00000000-0006-0000-1000-000040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AU62" authorId="1" shapeId="0" xr:uid="{00000000-0006-0000-1000-000041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BI62" authorId="0" shapeId="0" xr:uid="{00000000-0006-0000-1000-000042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BK62" authorId="0" shapeId="0" xr:uid="{00000000-0006-0000-1000-000043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BN62" authorId="1" shapeId="0" xr:uid="{00000000-0006-0000-1000-000044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BO62" authorId="0" shapeId="0" xr:uid="{00000000-0006-0000-1000-000045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BP62" authorId="1" shapeId="0" xr:uid="{00000000-0006-0000-1000-000046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BQ62" authorId="1" shapeId="0" xr:uid="{00000000-0006-0000-1000-000047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BR62" authorId="1" shapeId="0" xr:uid="{00000000-0006-0000-1000-000048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BS62" authorId="1" shapeId="0" xr:uid="{00000000-0006-0000-1000-000049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CG62" authorId="0" shapeId="0" xr:uid="{00000000-0006-0000-1000-00004A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CI62" authorId="0" shapeId="0" xr:uid="{00000000-0006-0000-1000-00004B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CL62" authorId="1" shapeId="0" xr:uid="{00000000-0006-0000-1000-00004C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CM62" authorId="0" shapeId="0" xr:uid="{00000000-0006-0000-1000-00004D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CN62" authorId="1" shapeId="0" xr:uid="{00000000-0006-0000-1000-00004E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CO62" authorId="1" shapeId="0" xr:uid="{00000000-0006-0000-1000-00004F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CP62" authorId="1" shapeId="0" xr:uid="{00000000-0006-0000-1000-000050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CQ62" authorId="1" shapeId="0" xr:uid="{00000000-0006-0000-1000-000051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DE62" authorId="0" shapeId="0" xr:uid="{00000000-0006-0000-1000-000052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DG62" authorId="0" shapeId="0" xr:uid="{00000000-0006-0000-1000-000053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DJ62" authorId="1" shapeId="0" xr:uid="{00000000-0006-0000-1000-000054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DK62" authorId="0" shapeId="0" xr:uid="{00000000-0006-0000-1000-000055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DL62" authorId="1" shapeId="0" xr:uid="{00000000-0006-0000-1000-000056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DM62" authorId="1" shapeId="0" xr:uid="{00000000-0006-0000-1000-000057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DN62" authorId="1" shapeId="0" xr:uid="{00000000-0006-0000-1000-000058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DO62" authorId="1" shapeId="0" xr:uid="{00000000-0006-0000-1000-000059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EC62" authorId="0" shapeId="0" xr:uid="{00000000-0006-0000-1000-00005A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E62" authorId="0" shapeId="0" xr:uid="{00000000-0006-0000-1000-00005B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H62" authorId="1" shapeId="0" xr:uid="{00000000-0006-0000-1000-00005C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EI62" authorId="0" shapeId="0" xr:uid="{00000000-0006-0000-1000-00005D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EJ62" authorId="1" shapeId="0" xr:uid="{00000000-0006-0000-1000-00005E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EK62" authorId="1" shapeId="0" xr:uid="{00000000-0006-0000-1000-00005F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EL62" authorId="1" shapeId="0" xr:uid="{00000000-0006-0000-1000-000060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EM62" authorId="1" shapeId="0" xr:uid="{00000000-0006-0000-1000-000061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FA62" authorId="0" shapeId="0" xr:uid="{00000000-0006-0000-1000-00006202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FC62" authorId="0" shapeId="0" xr:uid="{00000000-0006-0000-1000-00006302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FF62" authorId="1" shapeId="0" xr:uid="{00000000-0006-0000-1000-000064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FG62" authorId="0" shapeId="0" xr:uid="{00000000-0006-0000-1000-000065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FH62" authorId="1" shapeId="0" xr:uid="{00000000-0006-0000-1000-000066020000}">
      <text>
        <r>
          <rPr>
            <sz val="9"/>
            <color indexed="81"/>
            <rFont val="Tahoma"/>
            <family val="2"/>
          </rPr>
          <t>Could not find source file for Maries county.</t>
        </r>
      </text>
    </comment>
    <comment ref="FI62" authorId="1" shapeId="0" xr:uid="{00000000-0006-0000-1000-000067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FJ62" authorId="1" shapeId="0" xr:uid="{00000000-0006-0000-1000-000068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FK62" authorId="1" shapeId="0" xr:uid="{00000000-0006-0000-1000-000069020000}">
      <text>
        <r>
          <rPr>
            <sz val="9"/>
            <color indexed="81"/>
            <rFont val="Tahoma"/>
            <charset val="1"/>
          </rPr>
          <t>Could not find source file for Maries county.</t>
        </r>
      </text>
    </comment>
    <comment ref="O63" authorId="0" shapeId="0" xr:uid="{00000000-0006-0000-1000-00006A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P63" authorId="0" shapeId="0" xr:uid="{00000000-0006-0000-1000-00006B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Q63" authorId="0" shapeId="0" xr:uid="{00000000-0006-0000-1000-00006C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R63" authorId="1" shapeId="0" xr:uid="{00000000-0006-0000-1000-00006D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T63" authorId="1" shapeId="0" xr:uid="{00000000-0006-0000-1000-00006E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U63" authorId="1" shapeId="0" xr:uid="{00000000-0006-0000-1000-00006F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V63" authorId="1" shapeId="0" xr:uid="{00000000-0006-0000-1000-000070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W63" authorId="1" shapeId="0" xr:uid="{00000000-0006-0000-1000-000071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M63" authorId="0" shapeId="0" xr:uid="{00000000-0006-0000-1000-000072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N63" authorId="0" shapeId="0" xr:uid="{00000000-0006-0000-1000-000073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O63" authorId="0" shapeId="0" xr:uid="{00000000-0006-0000-1000-000074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P63" authorId="1" shapeId="0" xr:uid="{00000000-0006-0000-1000-000075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R63" authorId="1" shapeId="0" xr:uid="{00000000-0006-0000-1000-000076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AS63" authorId="1" shapeId="0" xr:uid="{00000000-0006-0000-1000-000077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T63" authorId="1" shapeId="0" xr:uid="{00000000-0006-0000-1000-000078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AU63" authorId="1" shapeId="0" xr:uid="{00000000-0006-0000-1000-000079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K63" authorId="0" shapeId="0" xr:uid="{00000000-0006-0000-1000-00007A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L63" authorId="0" shapeId="0" xr:uid="{00000000-0006-0000-1000-00007B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M63" authorId="0" shapeId="0" xr:uid="{00000000-0006-0000-1000-00007C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N63" authorId="1" shapeId="0" xr:uid="{00000000-0006-0000-1000-00007D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P63" authorId="1" shapeId="0" xr:uid="{00000000-0006-0000-1000-00007E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BQ63" authorId="1" shapeId="0" xr:uid="{00000000-0006-0000-1000-00007F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R63" authorId="1" shapeId="0" xr:uid="{00000000-0006-0000-1000-000080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BS63" authorId="1" shapeId="0" xr:uid="{00000000-0006-0000-1000-000081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I63" authorId="0" shapeId="0" xr:uid="{00000000-0006-0000-1000-000082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J63" authorId="0" shapeId="0" xr:uid="{00000000-0006-0000-1000-000083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K63" authorId="0" shapeId="0" xr:uid="{00000000-0006-0000-1000-000084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L63" authorId="1" shapeId="0" xr:uid="{00000000-0006-0000-1000-000085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N63" authorId="1" shapeId="0" xr:uid="{00000000-0006-0000-1000-000086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CO63" authorId="1" shapeId="0" xr:uid="{00000000-0006-0000-1000-000087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P63" authorId="1" shapeId="0" xr:uid="{00000000-0006-0000-1000-000088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CQ63" authorId="1" shapeId="0" xr:uid="{00000000-0006-0000-1000-000089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G63" authorId="0" shapeId="0" xr:uid="{00000000-0006-0000-1000-00008A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H63" authorId="0" shapeId="0" xr:uid="{00000000-0006-0000-1000-00008B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I63" authorId="0" shapeId="0" xr:uid="{00000000-0006-0000-1000-00008C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J63" authorId="1" shapeId="0" xr:uid="{00000000-0006-0000-1000-00008D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L63" authorId="1" shapeId="0" xr:uid="{00000000-0006-0000-1000-00008E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DM63" authorId="1" shapeId="0" xr:uid="{00000000-0006-0000-1000-00008F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N63" authorId="1" shapeId="0" xr:uid="{00000000-0006-0000-1000-000090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DO63" authorId="1" shapeId="0" xr:uid="{00000000-0006-0000-1000-000091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E63" authorId="0" shapeId="0" xr:uid="{00000000-0006-0000-1000-000092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F63" authorId="0" shapeId="0" xr:uid="{00000000-0006-0000-1000-000093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G63" authorId="0" shapeId="0" xr:uid="{00000000-0006-0000-1000-000094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H63" authorId="1" shapeId="0" xr:uid="{00000000-0006-0000-1000-000095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J63" authorId="1" shapeId="0" xr:uid="{00000000-0006-0000-1000-000096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EK63" authorId="1" shapeId="0" xr:uid="{00000000-0006-0000-1000-000097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L63" authorId="1" shapeId="0" xr:uid="{00000000-0006-0000-1000-000098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EM63" authorId="1" shapeId="0" xr:uid="{00000000-0006-0000-1000-000099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C63" authorId="0" shapeId="0" xr:uid="{00000000-0006-0000-1000-00009A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D63" authorId="0" shapeId="0" xr:uid="{00000000-0006-0000-1000-00009B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E63" authorId="0" shapeId="0" xr:uid="{00000000-0006-0000-1000-00009C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F63" authorId="1" shapeId="0" xr:uid="{00000000-0006-0000-1000-00009D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H63" authorId="1" shapeId="0" xr:uid="{00000000-0006-0000-1000-00009E020000}">
      <text>
        <r>
          <rPr>
            <sz val="9"/>
            <color indexed="81"/>
            <rFont val="Tahoma"/>
            <family val="2"/>
          </rPr>
          <t>Could not find source file for Marion county.</t>
        </r>
      </text>
    </comment>
    <comment ref="FI63" authorId="1" shapeId="0" xr:uid="{00000000-0006-0000-1000-00009F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J63" authorId="1" shapeId="0" xr:uid="{00000000-0006-0000-1000-0000A0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FK63" authorId="1" shapeId="0" xr:uid="{00000000-0006-0000-1000-0000A1020000}">
      <text>
        <r>
          <rPr>
            <sz val="9"/>
            <color indexed="81"/>
            <rFont val="Tahoma"/>
            <charset val="1"/>
          </rPr>
          <t>Could not find source file for Marion county.</t>
        </r>
      </text>
    </comment>
    <comment ref="K66" authorId="1" shapeId="0" xr:uid="{00000000-0006-0000-1000-0000A2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L66" authorId="1" shapeId="0" xr:uid="{00000000-0006-0000-1000-0000A3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M66" authorId="0" shapeId="0" xr:uid="{00000000-0006-0000-1000-0000A4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N66" authorId="0" shapeId="0" xr:uid="{00000000-0006-0000-1000-0000A5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O66" authorId="0" shapeId="0" xr:uid="{00000000-0006-0000-1000-0000A6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P66" authorId="0" shapeId="0" xr:uid="{00000000-0006-0000-1000-0000A7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Q66" authorId="0" shapeId="0" xr:uid="{00000000-0006-0000-1000-0000A8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R66" authorId="1" shapeId="0" xr:uid="{00000000-0006-0000-1000-0000A9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S66" authorId="0" shapeId="0" xr:uid="{00000000-0006-0000-1000-0000AA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T66" authorId="1" shapeId="0" xr:uid="{00000000-0006-0000-1000-0000AB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U66" authorId="1" shapeId="0" xr:uid="{00000000-0006-0000-1000-0000AC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V66" authorId="1" shapeId="0" xr:uid="{00000000-0006-0000-1000-0000AD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W66" authorId="1" shapeId="0" xr:uid="{00000000-0006-0000-1000-0000AE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I66" authorId="1" shapeId="0" xr:uid="{00000000-0006-0000-1000-0000AF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J66" authorId="1" shapeId="0" xr:uid="{00000000-0006-0000-1000-0000B0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K66" authorId="0" shapeId="0" xr:uid="{00000000-0006-0000-1000-0000B1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L66" authorId="0" shapeId="0" xr:uid="{00000000-0006-0000-1000-0000B2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M66" authorId="0" shapeId="0" xr:uid="{00000000-0006-0000-1000-0000B3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N66" authorId="0" shapeId="0" xr:uid="{00000000-0006-0000-1000-0000B4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O66" authorId="0" shapeId="0" xr:uid="{00000000-0006-0000-1000-0000B5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P66" authorId="1" shapeId="0" xr:uid="{00000000-0006-0000-1000-0000B6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Q66" authorId="0" shapeId="0" xr:uid="{00000000-0006-0000-1000-0000B7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R66" authorId="1" shapeId="0" xr:uid="{00000000-0006-0000-1000-0000B8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AS66" authorId="1" shapeId="0" xr:uid="{00000000-0006-0000-1000-0000B9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T66" authorId="1" shapeId="0" xr:uid="{00000000-0006-0000-1000-0000BA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AU66" authorId="1" shapeId="0" xr:uid="{00000000-0006-0000-1000-0000BB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G66" authorId="1" shapeId="0" xr:uid="{00000000-0006-0000-1000-0000BC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H66" authorId="1" shapeId="0" xr:uid="{00000000-0006-0000-1000-0000BD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I66" authorId="0" shapeId="0" xr:uid="{00000000-0006-0000-1000-0000BE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J66" authorId="0" shapeId="0" xr:uid="{00000000-0006-0000-1000-0000BF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K66" authorId="0" shapeId="0" xr:uid="{00000000-0006-0000-1000-0000C0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L66" authorId="0" shapeId="0" xr:uid="{00000000-0006-0000-1000-0000C1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M66" authorId="0" shapeId="0" xr:uid="{00000000-0006-0000-1000-0000C2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N66" authorId="1" shapeId="0" xr:uid="{00000000-0006-0000-1000-0000C3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O66" authorId="0" shapeId="0" xr:uid="{00000000-0006-0000-1000-0000C4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P66" authorId="1" shapeId="0" xr:uid="{00000000-0006-0000-1000-0000C5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BQ66" authorId="1" shapeId="0" xr:uid="{00000000-0006-0000-1000-0000C6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R66" authorId="1" shapeId="0" xr:uid="{00000000-0006-0000-1000-0000C7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BS66" authorId="1" shapeId="0" xr:uid="{00000000-0006-0000-1000-0000C8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E66" authorId="1" shapeId="0" xr:uid="{00000000-0006-0000-1000-0000C9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F66" authorId="1" shapeId="0" xr:uid="{00000000-0006-0000-1000-0000CA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G66" authorId="0" shapeId="0" xr:uid="{00000000-0006-0000-1000-0000CB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H66" authorId="0" shapeId="0" xr:uid="{00000000-0006-0000-1000-0000CC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I66" authorId="0" shapeId="0" xr:uid="{00000000-0006-0000-1000-0000CD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J66" authorId="0" shapeId="0" xr:uid="{00000000-0006-0000-1000-0000CE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K66" authorId="0" shapeId="0" xr:uid="{00000000-0006-0000-1000-0000CF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L66" authorId="1" shapeId="0" xr:uid="{00000000-0006-0000-1000-0000D0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M66" authorId="0" shapeId="0" xr:uid="{00000000-0006-0000-1000-0000D1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N66" authorId="1" shapeId="0" xr:uid="{00000000-0006-0000-1000-0000D2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CO66" authorId="1" shapeId="0" xr:uid="{00000000-0006-0000-1000-0000D3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P66" authorId="1" shapeId="0" xr:uid="{00000000-0006-0000-1000-0000D4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CQ66" authorId="1" shapeId="0" xr:uid="{00000000-0006-0000-1000-0000D5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C66" authorId="1" shapeId="0" xr:uid="{00000000-0006-0000-1000-0000D6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D66" authorId="1" shapeId="0" xr:uid="{00000000-0006-0000-1000-0000D7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E66" authorId="0" shapeId="0" xr:uid="{00000000-0006-0000-1000-0000D8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F66" authorId="0" shapeId="0" xr:uid="{00000000-0006-0000-1000-0000D9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G66" authorId="0" shapeId="0" xr:uid="{00000000-0006-0000-1000-0000DA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H66" authorId="0" shapeId="0" xr:uid="{00000000-0006-0000-1000-0000DB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I66" authorId="0" shapeId="0" xr:uid="{00000000-0006-0000-1000-0000DC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J66" authorId="1" shapeId="0" xr:uid="{00000000-0006-0000-1000-0000DD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K66" authorId="0" shapeId="0" xr:uid="{00000000-0006-0000-1000-0000DE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L66" authorId="1" shapeId="0" xr:uid="{00000000-0006-0000-1000-0000DF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DM66" authorId="1" shapeId="0" xr:uid="{00000000-0006-0000-1000-0000E0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N66" authorId="1" shapeId="0" xr:uid="{00000000-0006-0000-1000-0000E1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DO66" authorId="1" shapeId="0" xr:uid="{00000000-0006-0000-1000-0000E2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A66" authorId="1" shapeId="0" xr:uid="{00000000-0006-0000-1000-0000E3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B66" authorId="1" shapeId="0" xr:uid="{00000000-0006-0000-1000-0000E4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C66" authorId="0" shapeId="0" xr:uid="{00000000-0006-0000-1000-0000E5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D66" authorId="0" shapeId="0" xr:uid="{00000000-0006-0000-1000-0000E6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E66" authorId="0" shapeId="0" xr:uid="{00000000-0006-0000-1000-0000E7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F66" authorId="0" shapeId="0" xr:uid="{00000000-0006-0000-1000-0000E8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G66" authorId="0" shapeId="0" xr:uid="{00000000-0006-0000-1000-0000E9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H66" authorId="1" shapeId="0" xr:uid="{00000000-0006-0000-1000-0000EA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I66" authorId="0" shapeId="0" xr:uid="{00000000-0006-0000-1000-0000EB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J66" authorId="1" shapeId="0" xr:uid="{00000000-0006-0000-1000-0000EC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EK66" authorId="1" shapeId="0" xr:uid="{00000000-0006-0000-1000-0000ED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L66" authorId="1" shapeId="0" xr:uid="{00000000-0006-0000-1000-0000EE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M66" authorId="1" shapeId="0" xr:uid="{00000000-0006-0000-1000-0000EF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Y66" authorId="1" shapeId="0" xr:uid="{00000000-0006-0000-1000-0000F0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EZ66" authorId="1" shapeId="0" xr:uid="{00000000-0006-0000-1000-0000F1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A66" authorId="0" shapeId="0" xr:uid="{00000000-0006-0000-1000-0000F2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B66" authorId="0" shapeId="0" xr:uid="{00000000-0006-0000-1000-0000F3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C66" authorId="0" shapeId="0" xr:uid="{00000000-0006-0000-1000-0000F4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D66" authorId="0" shapeId="0" xr:uid="{00000000-0006-0000-1000-0000F5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E66" authorId="0" shapeId="0" xr:uid="{00000000-0006-0000-1000-0000F6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F66" authorId="1" shapeId="0" xr:uid="{00000000-0006-0000-1000-0000F7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G66" authorId="0" shapeId="0" xr:uid="{00000000-0006-0000-1000-0000F8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H66" authorId="1" shapeId="0" xr:uid="{00000000-0006-0000-1000-0000F9020000}">
      <text>
        <r>
          <rPr>
            <sz val="9"/>
            <color indexed="81"/>
            <rFont val="Tahoma"/>
            <family val="2"/>
          </rPr>
          <t>Could not find source file for Miller county.</t>
        </r>
      </text>
    </comment>
    <comment ref="FI66" authorId="1" shapeId="0" xr:uid="{00000000-0006-0000-1000-0000FA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J66" authorId="1" shapeId="0" xr:uid="{00000000-0006-0000-1000-0000FB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FK66" authorId="1" shapeId="0" xr:uid="{00000000-0006-0000-1000-0000FC020000}">
      <text>
        <r>
          <rPr>
            <sz val="9"/>
            <color indexed="81"/>
            <rFont val="Tahoma"/>
            <charset val="1"/>
          </rPr>
          <t>Could not find source file for Miller county.</t>
        </r>
      </text>
    </comment>
    <comment ref="O69" authorId="0" shapeId="0" xr:uid="{00000000-0006-0000-1000-0000FD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AM69" authorId="0" shapeId="0" xr:uid="{00000000-0006-0000-1000-0000FE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BK69" authorId="0" shapeId="0" xr:uid="{00000000-0006-0000-1000-0000FF02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CI69" authorId="0" shapeId="0" xr:uid="{00000000-0006-0000-1000-00000003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DG69" authorId="0" shapeId="0" xr:uid="{00000000-0006-0000-1000-00000103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E69" authorId="0" shapeId="0" xr:uid="{00000000-0006-0000-1000-00000203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FC69" authorId="0" shapeId="0" xr:uid="{00000000-0006-0000-1000-00000303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P70" authorId="0" shapeId="0" xr:uid="{00000000-0006-0000-1000-000004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AN70" authorId="0" shapeId="0" xr:uid="{00000000-0006-0000-1000-000005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BL70" authorId="0" shapeId="0" xr:uid="{00000000-0006-0000-1000-000006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CJ70" authorId="0" shapeId="0" xr:uid="{00000000-0006-0000-1000-000007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DH70" authorId="0" shapeId="0" xr:uid="{00000000-0006-0000-1000-000008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EF70" authorId="0" shapeId="0" xr:uid="{00000000-0006-0000-1000-000009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FD70" authorId="0" shapeId="0" xr:uid="{00000000-0006-0000-1000-00000A030000}">
      <text>
        <r>
          <rPr>
            <sz val="9"/>
            <color indexed="81"/>
            <rFont val="Tahoma"/>
            <family val="2"/>
          </rPr>
          <t>Could not find source file for Montgomery county.</t>
        </r>
      </text>
    </comment>
    <comment ref="R71" authorId="1" shapeId="0" xr:uid="{00000000-0006-0000-1000-00000B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AP71" authorId="1" shapeId="0" xr:uid="{00000000-0006-0000-1000-00000C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BN71" authorId="1" shapeId="0" xr:uid="{00000000-0006-0000-1000-00000D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CL71" authorId="1" shapeId="0" xr:uid="{00000000-0006-0000-1000-00000E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DJ71" authorId="1" shapeId="0" xr:uid="{00000000-0006-0000-1000-00000F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EH71" authorId="1" shapeId="0" xr:uid="{00000000-0006-0000-1000-000010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FF71" authorId="1" shapeId="0" xr:uid="{00000000-0006-0000-1000-000011030000}">
      <text>
        <r>
          <rPr>
            <sz val="9"/>
            <color indexed="81"/>
            <rFont val="Tahoma"/>
            <family val="2"/>
          </rPr>
          <t>Could not find source file for Morgan county.</t>
        </r>
      </text>
    </comment>
    <comment ref="K72" authorId="1" shapeId="0" xr:uid="{00000000-0006-0000-1000-000012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L72" authorId="1" shapeId="0" xr:uid="{00000000-0006-0000-1000-000013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N72" authorId="0" shapeId="0" xr:uid="{00000000-0006-0000-1000-000014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P72" authorId="0" shapeId="0" xr:uid="{00000000-0006-0000-1000-000015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R72" authorId="1" shapeId="0" xr:uid="{00000000-0006-0000-1000-000016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AI72" authorId="1" shapeId="0" xr:uid="{00000000-0006-0000-1000-000017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AJ72" authorId="1" shapeId="0" xr:uid="{00000000-0006-0000-1000-000018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AL72" authorId="0" shapeId="0" xr:uid="{00000000-0006-0000-1000-000019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AN72" authorId="0" shapeId="0" xr:uid="{00000000-0006-0000-1000-00001A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AP72" authorId="1" shapeId="0" xr:uid="{00000000-0006-0000-1000-00001B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BG72" authorId="1" shapeId="0" xr:uid="{00000000-0006-0000-1000-00001C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BH72" authorId="1" shapeId="0" xr:uid="{00000000-0006-0000-1000-00001D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BJ72" authorId="0" shapeId="0" xr:uid="{00000000-0006-0000-1000-00001E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BL72" authorId="0" shapeId="0" xr:uid="{00000000-0006-0000-1000-00001F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BN72" authorId="1" shapeId="0" xr:uid="{00000000-0006-0000-1000-000020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CE72" authorId="1" shapeId="0" xr:uid="{00000000-0006-0000-1000-000021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CF72" authorId="1" shapeId="0" xr:uid="{00000000-0006-0000-1000-000022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CH72" authorId="0" shapeId="0" xr:uid="{00000000-0006-0000-1000-000023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CJ72" authorId="0" shapeId="0" xr:uid="{00000000-0006-0000-1000-000024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CL72" authorId="1" shapeId="0" xr:uid="{00000000-0006-0000-1000-000025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DC72" authorId="1" shapeId="0" xr:uid="{00000000-0006-0000-1000-000026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DD72" authorId="1" shapeId="0" xr:uid="{00000000-0006-0000-1000-000027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DF72" authorId="0" shapeId="0" xr:uid="{00000000-0006-0000-1000-000028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DH72" authorId="0" shapeId="0" xr:uid="{00000000-0006-0000-1000-000029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DJ72" authorId="1" shapeId="0" xr:uid="{00000000-0006-0000-1000-00002A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A72" authorId="1" shapeId="0" xr:uid="{00000000-0006-0000-1000-00002B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EB72" authorId="1" shapeId="0" xr:uid="{00000000-0006-0000-1000-00002C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ED72" authorId="0" shapeId="0" xr:uid="{00000000-0006-0000-1000-00002D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F72" authorId="0" shapeId="0" xr:uid="{00000000-0006-0000-1000-00002E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H72" authorId="1" shapeId="0" xr:uid="{00000000-0006-0000-1000-00002F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EY72" authorId="1" shapeId="0" xr:uid="{00000000-0006-0000-1000-000030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EZ72" authorId="1" shapeId="0" xr:uid="{00000000-0006-0000-1000-000031030000}">
      <text>
        <r>
          <rPr>
            <sz val="9"/>
            <color indexed="81"/>
            <rFont val="Tahoma"/>
            <charset val="1"/>
          </rPr>
          <t>Could not find source file for Madrid county.</t>
        </r>
      </text>
    </comment>
    <comment ref="FB72" authorId="0" shapeId="0" xr:uid="{00000000-0006-0000-1000-000032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FD72" authorId="0" shapeId="0" xr:uid="{00000000-0006-0000-1000-000033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FF72" authorId="1" shapeId="0" xr:uid="{00000000-0006-0000-1000-000034030000}">
      <text>
        <r>
          <rPr>
            <sz val="9"/>
            <color indexed="81"/>
            <rFont val="Tahoma"/>
            <family val="2"/>
          </rPr>
          <t>Could not find source file for Madrid county.</t>
        </r>
      </text>
    </comment>
    <comment ref="U73" authorId="1" shapeId="0" xr:uid="{00000000-0006-0000-1000-000035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V73" authorId="1" shapeId="0" xr:uid="{00000000-0006-0000-1000-000036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W73" authorId="1" shapeId="0" xr:uid="{00000000-0006-0000-1000-000037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AS73" authorId="1" shapeId="0" xr:uid="{00000000-0006-0000-1000-000038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AT73" authorId="1" shapeId="0" xr:uid="{00000000-0006-0000-1000-000039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AU73" authorId="1" shapeId="0" xr:uid="{00000000-0006-0000-1000-00003A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BQ73" authorId="1" shapeId="0" xr:uid="{00000000-0006-0000-1000-00003B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BR73" authorId="1" shapeId="0" xr:uid="{00000000-0006-0000-1000-00003C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BS73" authorId="1" shapeId="0" xr:uid="{00000000-0006-0000-1000-00003D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CO73" authorId="1" shapeId="0" xr:uid="{00000000-0006-0000-1000-00003E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CP73" authorId="1" shapeId="0" xr:uid="{00000000-0006-0000-1000-00003F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CQ73" authorId="1" shapeId="0" xr:uid="{00000000-0006-0000-1000-000040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DM73" authorId="1" shapeId="0" xr:uid="{00000000-0006-0000-1000-000041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DN73" authorId="1" shapeId="0" xr:uid="{00000000-0006-0000-1000-000042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DO73" authorId="1" shapeId="0" xr:uid="{00000000-0006-0000-1000-000043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EK73" authorId="1" shapeId="0" xr:uid="{00000000-0006-0000-1000-000044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EL73" authorId="1" shapeId="0" xr:uid="{00000000-0006-0000-1000-000045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EM73" authorId="1" shapeId="0" xr:uid="{00000000-0006-0000-1000-000046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FI73" authorId="1" shapeId="0" xr:uid="{00000000-0006-0000-1000-000047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FJ73" authorId="1" shapeId="0" xr:uid="{00000000-0006-0000-1000-000048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FK73" authorId="1" shapeId="0" xr:uid="{00000000-0006-0000-1000-000049030000}">
      <text>
        <r>
          <rPr>
            <sz val="9"/>
            <color indexed="81"/>
            <rFont val="Tahoma"/>
            <charset val="1"/>
          </rPr>
          <t>Could not find source file for Nodaway county.</t>
        </r>
      </text>
    </comment>
    <comment ref="R75" authorId="1" shapeId="0" xr:uid="{00000000-0006-0000-1000-00004A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AP75" authorId="1" shapeId="0" xr:uid="{00000000-0006-0000-1000-00004B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BN75" authorId="1" shapeId="0" xr:uid="{00000000-0006-0000-1000-00004C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CL75" authorId="1" shapeId="0" xr:uid="{00000000-0006-0000-1000-00004D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DJ75" authorId="1" shapeId="0" xr:uid="{00000000-0006-0000-1000-00004E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EH75" authorId="1" shapeId="0" xr:uid="{00000000-0006-0000-1000-00004F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FF75" authorId="1" shapeId="0" xr:uid="{00000000-0006-0000-1000-000050030000}">
      <text>
        <r>
          <rPr>
            <sz val="9"/>
            <color indexed="81"/>
            <rFont val="Tahoma"/>
            <family val="2"/>
          </rPr>
          <t>Could not find source file for Osage county.</t>
        </r>
      </text>
    </comment>
    <comment ref="U76" authorId="1" shapeId="0" xr:uid="{00000000-0006-0000-1000-000051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V76" authorId="1" shapeId="0" xr:uid="{00000000-0006-0000-1000-000052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W76" authorId="1" shapeId="0" xr:uid="{00000000-0006-0000-1000-000053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AS76" authorId="1" shapeId="0" xr:uid="{00000000-0006-0000-1000-000054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AT76" authorId="1" shapeId="0" xr:uid="{00000000-0006-0000-1000-000055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AU76" authorId="1" shapeId="0" xr:uid="{00000000-0006-0000-1000-000056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BQ76" authorId="1" shapeId="0" xr:uid="{00000000-0006-0000-1000-000057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BR76" authorId="1" shapeId="0" xr:uid="{00000000-0006-0000-1000-000058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BS76" authorId="1" shapeId="0" xr:uid="{00000000-0006-0000-1000-000059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CO76" authorId="1" shapeId="0" xr:uid="{00000000-0006-0000-1000-00005A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CP76" authorId="1" shapeId="0" xr:uid="{00000000-0006-0000-1000-00005B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CQ76" authorId="1" shapeId="0" xr:uid="{00000000-0006-0000-1000-00005C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DB76" authorId="1" shapeId="0" xr:uid="{00000000-0006-0000-1000-00005D030000}">
      <text>
        <r>
          <rPr>
            <b/>
            <sz val="9"/>
            <color indexed="81"/>
            <rFont val="Tahoma"/>
            <family val="2"/>
          </rPr>
          <t>Stallmann, Judith I.:</t>
        </r>
        <r>
          <rPr>
            <sz val="9"/>
            <color indexed="81"/>
            <rFont val="Tahoma"/>
            <family val="2"/>
          </rPr>
          <t xml:space="preserve">
Reports in separate tabs for 2 bridge funds.  Would need to redo budgets for macro to work.
</t>
        </r>
      </text>
    </comment>
    <comment ref="DM76" authorId="1" shapeId="0" xr:uid="{00000000-0006-0000-1000-00005E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DN76" authorId="1" shapeId="0" xr:uid="{00000000-0006-0000-1000-00005F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DO76" authorId="1" shapeId="0" xr:uid="{00000000-0006-0000-1000-000060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EK76" authorId="1" shapeId="0" xr:uid="{00000000-0006-0000-1000-000061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EL76" authorId="1" shapeId="0" xr:uid="{00000000-0006-0000-1000-000062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EM76" authorId="1" shapeId="0" xr:uid="{00000000-0006-0000-1000-000063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FI76" authorId="1" shapeId="0" xr:uid="{00000000-0006-0000-1000-000064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FJ76" authorId="1" shapeId="0" xr:uid="{00000000-0006-0000-1000-000065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FK76" authorId="1" shapeId="0" xr:uid="{00000000-0006-0000-1000-000066030000}">
      <text>
        <r>
          <rPr>
            <sz val="9"/>
            <color indexed="81"/>
            <rFont val="Tahoma"/>
            <charset val="1"/>
          </rPr>
          <t>Could not find source file for Ozark county.</t>
        </r>
      </text>
    </comment>
    <comment ref="P77" authorId="0" shapeId="0" xr:uid="{00000000-0006-0000-1000-000067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R77" authorId="1" shapeId="0" xr:uid="{00000000-0006-0000-1000-000068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T77" authorId="1" shapeId="0" xr:uid="{00000000-0006-0000-1000-000069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U77" authorId="1" shapeId="0" xr:uid="{00000000-0006-0000-1000-00006A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V77" authorId="1" shapeId="0" xr:uid="{00000000-0006-0000-1000-00006B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W77" authorId="1" shapeId="0" xr:uid="{00000000-0006-0000-1000-00006C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AN77" authorId="0" shapeId="0" xr:uid="{00000000-0006-0000-1000-00006D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AP77" authorId="1" shapeId="0" xr:uid="{00000000-0006-0000-1000-00006E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AR77" authorId="1" shapeId="0" xr:uid="{00000000-0006-0000-1000-00006F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AS77" authorId="1" shapeId="0" xr:uid="{00000000-0006-0000-1000-000070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AT77" authorId="1" shapeId="0" xr:uid="{00000000-0006-0000-1000-000071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AU77" authorId="1" shapeId="0" xr:uid="{00000000-0006-0000-1000-000072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BL77" authorId="0" shapeId="0" xr:uid="{00000000-0006-0000-1000-000073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BN77" authorId="1" shapeId="0" xr:uid="{00000000-0006-0000-1000-000074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BP77" authorId="1" shapeId="0" xr:uid="{00000000-0006-0000-1000-000075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BQ77" authorId="1" shapeId="0" xr:uid="{00000000-0006-0000-1000-000076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BR77" authorId="1" shapeId="0" xr:uid="{00000000-0006-0000-1000-000077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BS77" authorId="1" shapeId="0" xr:uid="{00000000-0006-0000-1000-000078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CJ77" authorId="0" shapeId="0" xr:uid="{00000000-0006-0000-1000-000079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CL77" authorId="1" shapeId="0" xr:uid="{00000000-0006-0000-1000-00007A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CN77" authorId="1" shapeId="0" xr:uid="{00000000-0006-0000-1000-00007B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CO77" authorId="1" shapeId="0" xr:uid="{00000000-0006-0000-1000-00007C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CP77" authorId="1" shapeId="0" xr:uid="{00000000-0006-0000-1000-00007D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CQ77" authorId="1" shapeId="0" xr:uid="{00000000-0006-0000-1000-00007E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DH77" authorId="0" shapeId="0" xr:uid="{00000000-0006-0000-1000-00007F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DJ77" authorId="1" shapeId="0" xr:uid="{00000000-0006-0000-1000-000080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DL77" authorId="1" shapeId="0" xr:uid="{00000000-0006-0000-1000-000081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DM77" authorId="1" shapeId="0" xr:uid="{00000000-0006-0000-1000-000082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DN77" authorId="1" shapeId="0" xr:uid="{00000000-0006-0000-1000-000083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DO77" authorId="1" shapeId="0" xr:uid="{00000000-0006-0000-1000-000084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EF77" authorId="0" shapeId="0" xr:uid="{00000000-0006-0000-1000-000085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EH77" authorId="1" shapeId="0" xr:uid="{00000000-0006-0000-1000-000086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EJ77" authorId="1" shapeId="0" xr:uid="{00000000-0006-0000-1000-000087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EK77" authorId="1" shapeId="0" xr:uid="{00000000-0006-0000-1000-000088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EL77" authorId="1" shapeId="0" xr:uid="{00000000-0006-0000-1000-000089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EM77" authorId="1" shapeId="0" xr:uid="{00000000-0006-0000-1000-00008A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FD77" authorId="0" shapeId="0" xr:uid="{00000000-0006-0000-1000-00008B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FF77" authorId="1" shapeId="0" xr:uid="{00000000-0006-0000-1000-00008C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FH77" authorId="1" shapeId="0" xr:uid="{00000000-0006-0000-1000-00008D030000}">
      <text>
        <r>
          <rPr>
            <sz val="9"/>
            <color indexed="81"/>
            <rFont val="Tahoma"/>
            <family val="2"/>
          </rPr>
          <t>Could not find source file for Pemiscot county.</t>
        </r>
      </text>
    </comment>
    <comment ref="FI77" authorId="1" shapeId="0" xr:uid="{00000000-0006-0000-1000-00008E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FJ77" authorId="1" shapeId="0" xr:uid="{00000000-0006-0000-1000-00008F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FK77" authorId="1" shapeId="0" xr:uid="{00000000-0006-0000-1000-000090030000}">
      <text>
        <r>
          <rPr>
            <sz val="9"/>
            <color indexed="81"/>
            <rFont val="Tahoma"/>
            <charset val="1"/>
          </rPr>
          <t>Could not find source file for Pemiscot county.</t>
        </r>
      </text>
    </comment>
    <comment ref="R80" authorId="1" shapeId="0" xr:uid="{00000000-0006-0000-1000-000091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S80" authorId="0" shapeId="0" xr:uid="{00000000-0006-0000-1000-000092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T80" authorId="1" shapeId="0" xr:uid="{00000000-0006-0000-1000-000093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U80" authorId="1" shapeId="0" xr:uid="{00000000-0006-0000-1000-000094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V80" authorId="1" shapeId="0" xr:uid="{00000000-0006-0000-1000-000095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W80" authorId="1" shapeId="0" xr:uid="{00000000-0006-0000-1000-000096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AP80" authorId="1" shapeId="0" xr:uid="{00000000-0006-0000-1000-000097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AQ80" authorId="0" shapeId="0" xr:uid="{00000000-0006-0000-1000-000098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AR80" authorId="1" shapeId="0" xr:uid="{00000000-0006-0000-1000-000099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AS80" authorId="1" shapeId="0" xr:uid="{00000000-0006-0000-1000-00009A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AT80" authorId="1" shapeId="0" xr:uid="{00000000-0006-0000-1000-00009B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AU80" authorId="1" shapeId="0" xr:uid="{00000000-0006-0000-1000-00009C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BN80" authorId="1" shapeId="0" xr:uid="{00000000-0006-0000-1000-00009D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BO80" authorId="0" shapeId="0" xr:uid="{00000000-0006-0000-1000-00009E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BP80" authorId="1" shapeId="0" xr:uid="{00000000-0006-0000-1000-00009F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BQ80" authorId="1" shapeId="0" xr:uid="{00000000-0006-0000-1000-0000A0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BR80" authorId="1" shapeId="0" xr:uid="{00000000-0006-0000-1000-0000A1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BS80" authorId="1" shapeId="0" xr:uid="{00000000-0006-0000-1000-0000A2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CL80" authorId="1" shapeId="0" xr:uid="{00000000-0006-0000-1000-0000A3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CM80" authorId="0" shapeId="0" xr:uid="{00000000-0006-0000-1000-0000A4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CN80" authorId="1" shapeId="0" xr:uid="{00000000-0006-0000-1000-0000A5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CO80" authorId="1" shapeId="0" xr:uid="{00000000-0006-0000-1000-0000A6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CP80" authorId="1" shapeId="0" xr:uid="{00000000-0006-0000-1000-0000A7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CQ80" authorId="1" shapeId="0" xr:uid="{00000000-0006-0000-1000-0000A8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DJ80" authorId="1" shapeId="0" xr:uid="{00000000-0006-0000-1000-0000A9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DK80" authorId="0" shapeId="0" xr:uid="{00000000-0006-0000-1000-0000AA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DL80" authorId="1" shapeId="0" xr:uid="{00000000-0006-0000-1000-0000AB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DM80" authorId="1" shapeId="0" xr:uid="{00000000-0006-0000-1000-0000AC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DN80" authorId="1" shapeId="0" xr:uid="{00000000-0006-0000-1000-0000AD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DO80" authorId="1" shapeId="0" xr:uid="{00000000-0006-0000-1000-0000AE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EH80" authorId="1" shapeId="0" xr:uid="{00000000-0006-0000-1000-0000AF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EI80" authorId="0" shapeId="0" xr:uid="{00000000-0006-0000-1000-0000B0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EJ80" authorId="1" shapeId="0" xr:uid="{00000000-0006-0000-1000-0000B1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EK80" authorId="1" shapeId="0" xr:uid="{00000000-0006-0000-1000-0000B2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EL80" authorId="1" shapeId="0" xr:uid="{00000000-0006-0000-1000-0000B3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EM80" authorId="1" shapeId="0" xr:uid="{00000000-0006-0000-1000-0000B4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FF80" authorId="1" shapeId="0" xr:uid="{00000000-0006-0000-1000-0000B5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FG80" authorId="0" shapeId="0" xr:uid="{00000000-0006-0000-1000-0000B6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FH80" authorId="1" shapeId="0" xr:uid="{00000000-0006-0000-1000-0000B7030000}">
      <text>
        <r>
          <rPr>
            <sz val="9"/>
            <color indexed="81"/>
            <rFont val="Tahoma"/>
            <family val="2"/>
          </rPr>
          <t>Could not find source file for Pike county.</t>
        </r>
      </text>
    </comment>
    <comment ref="FI80" authorId="1" shapeId="0" xr:uid="{00000000-0006-0000-1000-0000B8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FJ80" authorId="1" shapeId="0" xr:uid="{00000000-0006-0000-1000-0000B9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FK80" authorId="1" shapeId="0" xr:uid="{00000000-0006-0000-1000-0000BA030000}">
      <text>
        <r>
          <rPr>
            <sz val="9"/>
            <color indexed="81"/>
            <rFont val="Tahoma"/>
            <charset val="1"/>
          </rPr>
          <t>Could not find source file for Pike county.</t>
        </r>
      </text>
    </comment>
    <comment ref="K84" authorId="1" shapeId="0" xr:uid="{00000000-0006-0000-1000-0000BB03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R84" authorId="1" shapeId="0" xr:uid="{00000000-0006-0000-1000-0000BC03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U84" authorId="1" shapeId="0" xr:uid="{00000000-0006-0000-1000-0000BD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V84" authorId="1" shapeId="0" xr:uid="{00000000-0006-0000-1000-0000BE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W84" authorId="1" shapeId="0" xr:uid="{00000000-0006-0000-1000-0000BF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AI84" authorId="1" shapeId="0" xr:uid="{00000000-0006-0000-1000-0000C003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AP84" authorId="1" shapeId="0" xr:uid="{00000000-0006-0000-1000-0000C103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AS84" authorId="1" shapeId="0" xr:uid="{00000000-0006-0000-1000-0000C2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AT84" authorId="1" shapeId="0" xr:uid="{00000000-0006-0000-1000-0000C3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AU84" authorId="1" shapeId="0" xr:uid="{00000000-0006-0000-1000-0000C4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BG84" authorId="1" shapeId="0" xr:uid="{00000000-0006-0000-1000-0000C503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BN84" authorId="1" shapeId="0" xr:uid="{00000000-0006-0000-1000-0000C603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BQ84" authorId="1" shapeId="0" xr:uid="{00000000-0006-0000-1000-0000C7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BR84" authorId="1" shapeId="0" xr:uid="{00000000-0006-0000-1000-0000C8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BS84" authorId="1" shapeId="0" xr:uid="{00000000-0006-0000-1000-0000C9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CE84" authorId="1" shapeId="0" xr:uid="{00000000-0006-0000-1000-0000CA03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CL84" authorId="1" shapeId="0" xr:uid="{00000000-0006-0000-1000-0000CB03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CO84" authorId="1" shapeId="0" xr:uid="{00000000-0006-0000-1000-0000CC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CP84" authorId="1" shapeId="0" xr:uid="{00000000-0006-0000-1000-0000CD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CQ84" authorId="1" shapeId="0" xr:uid="{00000000-0006-0000-1000-0000CE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DC84" authorId="1" shapeId="0" xr:uid="{00000000-0006-0000-1000-0000CF03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DJ84" authorId="1" shapeId="0" xr:uid="{00000000-0006-0000-1000-0000D003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DM84" authorId="1" shapeId="0" xr:uid="{00000000-0006-0000-1000-0000D1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DN84" authorId="1" shapeId="0" xr:uid="{00000000-0006-0000-1000-0000D2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DO84" authorId="1" shapeId="0" xr:uid="{00000000-0006-0000-1000-0000D3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A84" authorId="1" shapeId="0" xr:uid="{00000000-0006-0000-1000-0000D4030000}">
      <text>
        <r>
          <rPr>
            <sz val="9"/>
            <color indexed="81"/>
            <rFont val="Tahoma"/>
            <charset val="1"/>
          </rPr>
          <t>Could not find tab 'SRB R' in source file.</t>
        </r>
      </text>
    </comment>
    <comment ref="EH84" authorId="1" shapeId="0" xr:uid="{00000000-0006-0000-1000-0000D503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EK84" authorId="1" shapeId="0" xr:uid="{00000000-0006-0000-1000-0000D6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L84" authorId="1" shapeId="0" xr:uid="{00000000-0006-0000-1000-0000D7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M84" authorId="1" shapeId="0" xr:uid="{00000000-0006-0000-1000-0000D8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EY84" authorId="1" shapeId="0" xr:uid="{00000000-0006-0000-1000-0000D9030000}">
      <text>
        <r>
          <rPr>
            <sz val="9"/>
            <color indexed="81"/>
            <rFont val="Tahoma"/>
            <charset val="1"/>
          </rPr>
          <t>Could not find tab 'SRB E' in source file.</t>
        </r>
      </text>
    </comment>
    <comment ref="FF84" authorId="1" shapeId="0" xr:uid="{00000000-0006-0000-1000-0000DA030000}">
      <text>
        <r>
          <rPr>
            <sz val="9"/>
            <color indexed="81"/>
            <rFont val="Tahoma"/>
            <family val="2"/>
          </rPr>
          <t>Could not find source file for Ralls county.</t>
        </r>
      </text>
    </comment>
    <comment ref="FI84" authorId="1" shapeId="0" xr:uid="{00000000-0006-0000-1000-0000DB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FJ84" authorId="1" shapeId="0" xr:uid="{00000000-0006-0000-1000-0000DC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FK84" authorId="1" shapeId="0" xr:uid="{00000000-0006-0000-1000-0000DD030000}">
      <text>
        <r>
          <rPr>
            <sz val="9"/>
            <color indexed="81"/>
            <rFont val="Tahoma"/>
            <charset val="1"/>
          </rPr>
          <t>Could not find source file for Ralls county.</t>
        </r>
      </text>
    </comment>
    <comment ref="P85" authorId="0" shapeId="0" xr:uid="{00000000-0006-0000-1000-0000DE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R85" authorId="1" shapeId="0" xr:uid="{00000000-0006-0000-1000-0000DF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T85" authorId="1" shapeId="0" xr:uid="{00000000-0006-0000-1000-0000E0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U85" authorId="1" shapeId="0" xr:uid="{00000000-0006-0000-1000-0000E1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V85" authorId="1" shapeId="0" xr:uid="{00000000-0006-0000-1000-0000E2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W85" authorId="1" shapeId="0" xr:uid="{00000000-0006-0000-1000-0000E3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AN85" authorId="0" shapeId="0" xr:uid="{00000000-0006-0000-1000-0000E4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AP85" authorId="1" shapeId="0" xr:uid="{00000000-0006-0000-1000-0000E5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AR85" authorId="1" shapeId="0" xr:uid="{00000000-0006-0000-1000-0000E6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AS85" authorId="1" shapeId="0" xr:uid="{00000000-0006-0000-1000-0000E7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AT85" authorId="1" shapeId="0" xr:uid="{00000000-0006-0000-1000-0000E8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AU85" authorId="1" shapeId="0" xr:uid="{00000000-0006-0000-1000-0000E9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BL85" authorId="0" shapeId="0" xr:uid="{00000000-0006-0000-1000-0000EA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BN85" authorId="1" shapeId="0" xr:uid="{00000000-0006-0000-1000-0000EB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BP85" authorId="1" shapeId="0" xr:uid="{00000000-0006-0000-1000-0000EC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BQ85" authorId="1" shapeId="0" xr:uid="{00000000-0006-0000-1000-0000ED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BR85" authorId="1" shapeId="0" xr:uid="{00000000-0006-0000-1000-0000EE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BS85" authorId="1" shapeId="0" xr:uid="{00000000-0006-0000-1000-0000EF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CJ85" authorId="0" shapeId="0" xr:uid="{00000000-0006-0000-1000-0000F0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CL85" authorId="1" shapeId="0" xr:uid="{00000000-0006-0000-1000-0000F1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CN85" authorId="1" shapeId="0" xr:uid="{00000000-0006-0000-1000-0000F2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CO85" authorId="1" shapeId="0" xr:uid="{00000000-0006-0000-1000-0000F3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CP85" authorId="1" shapeId="0" xr:uid="{00000000-0006-0000-1000-0000F4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CQ85" authorId="1" shapeId="0" xr:uid="{00000000-0006-0000-1000-0000F5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DH85" authorId="0" shapeId="0" xr:uid="{00000000-0006-0000-1000-0000F6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DJ85" authorId="1" shapeId="0" xr:uid="{00000000-0006-0000-1000-0000F7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DL85" authorId="1" shapeId="0" xr:uid="{00000000-0006-0000-1000-0000F8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DM85" authorId="1" shapeId="0" xr:uid="{00000000-0006-0000-1000-0000F9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DN85" authorId="1" shapeId="0" xr:uid="{00000000-0006-0000-1000-0000FA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DO85" authorId="1" shapeId="0" xr:uid="{00000000-0006-0000-1000-0000FB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EF85" authorId="0" shapeId="0" xr:uid="{00000000-0006-0000-1000-0000FC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EH85" authorId="1" shapeId="0" xr:uid="{00000000-0006-0000-1000-0000FD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EJ85" authorId="1" shapeId="0" xr:uid="{00000000-0006-0000-1000-0000FE03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EK85" authorId="1" shapeId="0" xr:uid="{00000000-0006-0000-1000-0000FF03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EL85" authorId="1" shapeId="0" xr:uid="{00000000-0006-0000-1000-000000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EM85" authorId="1" shapeId="0" xr:uid="{00000000-0006-0000-1000-000001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FD85" authorId="0" shapeId="0" xr:uid="{00000000-0006-0000-1000-000002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FF85" authorId="1" shapeId="0" xr:uid="{00000000-0006-0000-1000-000003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FH85" authorId="1" shapeId="0" xr:uid="{00000000-0006-0000-1000-000004040000}">
      <text>
        <r>
          <rPr>
            <sz val="9"/>
            <color indexed="81"/>
            <rFont val="Tahoma"/>
            <family val="2"/>
          </rPr>
          <t>Could not find source file for Randolph county.</t>
        </r>
      </text>
    </comment>
    <comment ref="FI85" authorId="1" shapeId="0" xr:uid="{00000000-0006-0000-1000-000005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FJ85" authorId="1" shapeId="0" xr:uid="{00000000-0006-0000-1000-000006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FK85" authorId="1" shapeId="0" xr:uid="{00000000-0006-0000-1000-000007040000}">
      <text>
        <r>
          <rPr>
            <sz val="9"/>
            <color indexed="81"/>
            <rFont val="Tahoma"/>
            <charset val="1"/>
          </rPr>
          <t>Could not find source file for Randolph county.</t>
        </r>
      </text>
    </comment>
    <comment ref="L86" authorId="1" shapeId="0" xr:uid="{00000000-0006-0000-1000-000008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M86" authorId="0" shapeId="0" xr:uid="{00000000-0006-0000-1000-000009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N86" authorId="0" shapeId="0" xr:uid="{00000000-0006-0000-1000-00000A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O86" authorId="0" shapeId="0" xr:uid="{00000000-0006-0000-1000-00000B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P86" authorId="0" shapeId="0" xr:uid="{00000000-0006-0000-1000-00000C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R86" authorId="1" shapeId="0" xr:uid="{00000000-0006-0000-1000-00000D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S86" authorId="0" shapeId="0" xr:uid="{00000000-0006-0000-1000-00000E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T86" authorId="1" shapeId="0" xr:uid="{00000000-0006-0000-1000-00000F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U86" authorId="1" shapeId="0" xr:uid="{00000000-0006-0000-1000-000010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V86" authorId="1" shapeId="0" xr:uid="{00000000-0006-0000-1000-000011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W86" authorId="1" shapeId="0" xr:uid="{00000000-0006-0000-1000-000012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J86" authorId="1" shapeId="0" xr:uid="{00000000-0006-0000-1000-000013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K86" authorId="0" shapeId="0" xr:uid="{00000000-0006-0000-1000-000014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L86" authorId="0" shapeId="0" xr:uid="{00000000-0006-0000-1000-000015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M86" authorId="0" shapeId="0" xr:uid="{00000000-0006-0000-1000-000016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N86" authorId="0" shapeId="0" xr:uid="{00000000-0006-0000-1000-000017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P86" authorId="1" shapeId="0" xr:uid="{00000000-0006-0000-1000-000018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Q86" authorId="0" shapeId="0" xr:uid="{00000000-0006-0000-1000-000019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R86" authorId="1" shapeId="0" xr:uid="{00000000-0006-0000-1000-00001A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AS86" authorId="1" shapeId="0" xr:uid="{00000000-0006-0000-1000-00001B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T86" authorId="1" shapeId="0" xr:uid="{00000000-0006-0000-1000-00001C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AU86" authorId="1" shapeId="0" xr:uid="{00000000-0006-0000-1000-00001D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H86" authorId="1" shapeId="0" xr:uid="{00000000-0006-0000-1000-00001E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I86" authorId="0" shapeId="0" xr:uid="{00000000-0006-0000-1000-00001F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J86" authorId="0" shapeId="0" xr:uid="{00000000-0006-0000-1000-000020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K86" authorId="0" shapeId="0" xr:uid="{00000000-0006-0000-1000-000021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L86" authorId="0" shapeId="0" xr:uid="{00000000-0006-0000-1000-000022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N86" authorId="1" shapeId="0" xr:uid="{00000000-0006-0000-1000-000023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O86" authorId="0" shapeId="0" xr:uid="{00000000-0006-0000-1000-000024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P86" authorId="1" shapeId="0" xr:uid="{00000000-0006-0000-1000-000025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BQ86" authorId="1" shapeId="0" xr:uid="{00000000-0006-0000-1000-000026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R86" authorId="1" shapeId="0" xr:uid="{00000000-0006-0000-1000-000027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BS86" authorId="1" shapeId="0" xr:uid="{00000000-0006-0000-1000-000028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F86" authorId="1" shapeId="0" xr:uid="{00000000-0006-0000-1000-000029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G86" authorId="0" shapeId="0" xr:uid="{00000000-0006-0000-1000-00002A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H86" authorId="0" shapeId="0" xr:uid="{00000000-0006-0000-1000-00002B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I86" authorId="0" shapeId="0" xr:uid="{00000000-0006-0000-1000-00002C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J86" authorId="0" shapeId="0" xr:uid="{00000000-0006-0000-1000-00002D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L86" authorId="1" shapeId="0" xr:uid="{00000000-0006-0000-1000-00002E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M86" authorId="0" shapeId="0" xr:uid="{00000000-0006-0000-1000-00002F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N86" authorId="1" shapeId="0" xr:uid="{00000000-0006-0000-1000-000030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CO86" authorId="1" shapeId="0" xr:uid="{00000000-0006-0000-1000-000031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P86" authorId="1" shapeId="0" xr:uid="{00000000-0006-0000-1000-000032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CQ86" authorId="1" shapeId="0" xr:uid="{00000000-0006-0000-1000-000033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D86" authorId="1" shapeId="0" xr:uid="{00000000-0006-0000-1000-000034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E86" authorId="0" shapeId="0" xr:uid="{00000000-0006-0000-1000-000035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F86" authorId="0" shapeId="0" xr:uid="{00000000-0006-0000-1000-000036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G86" authorId="0" shapeId="0" xr:uid="{00000000-0006-0000-1000-000037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H86" authorId="0" shapeId="0" xr:uid="{00000000-0006-0000-1000-000038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J86" authorId="1" shapeId="0" xr:uid="{00000000-0006-0000-1000-000039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K86" authorId="0" shapeId="0" xr:uid="{00000000-0006-0000-1000-00003A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L86" authorId="1" shapeId="0" xr:uid="{00000000-0006-0000-1000-00003B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DM86" authorId="1" shapeId="0" xr:uid="{00000000-0006-0000-1000-00003C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N86" authorId="1" shapeId="0" xr:uid="{00000000-0006-0000-1000-00003D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DO86" authorId="1" shapeId="0" xr:uid="{00000000-0006-0000-1000-00003E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B86" authorId="1" shapeId="0" xr:uid="{00000000-0006-0000-1000-00003F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C86" authorId="0" shapeId="0" xr:uid="{00000000-0006-0000-1000-000040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D86" authorId="0" shapeId="0" xr:uid="{00000000-0006-0000-1000-000041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E86" authorId="0" shapeId="0" xr:uid="{00000000-0006-0000-1000-000042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F86" authorId="0" shapeId="0" xr:uid="{00000000-0006-0000-1000-000043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H86" authorId="1" shapeId="0" xr:uid="{00000000-0006-0000-1000-000044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I86" authorId="0" shapeId="0" xr:uid="{00000000-0006-0000-1000-000045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J86" authorId="1" shapeId="0" xr:uid="{00000000-0006-0000-1000-000046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EK86" authorId="1" shapeId="0" xr:uid="{00000000-0006-0000-1000-000047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L86" authorId="1" shapeId="0" xr:uid="{00000000-0006-0000-1000-000048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M86" authorId="1" shapeId="0" xr:uid="{00000000-0006-0000-1000-000049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EZ86" authorId="1" shapeId="0" xr:uid="{00000000-0006-0000-1000-00004A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A86" authorId="0" shapeId="0" xr:uid="{00000000-0006-0000-1000-00004B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B86" authorId="0" shapeId="0" xr:uid="{00000000-0006-0000-1000-00004C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C86" authorId="0" shapeId="0" xr:uid="{00000000-0006-0000-1000-00004D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D86" authorId="0" shapeId="0" xr:uid="{00000000-0006-0000-1000-00004E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F86" authorId="1" shapeId="0" xr:uid="{00000000-0006-0000-1000-00004F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G86" authorId="0" shapeId="0" xr:uid="{00000000-0006-0000-1000-000050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H86" authorId="1" shapeId="0" xr:uid="{00000000-0006-0000-1000-000051040000}">
      <text>
        <r>
          <rPr>
            <sz val="9"/>
            <color indexed="81"/>
            <rFont val="Tahoma"/>
            <family val="2"/>
          </rPr>
          <t>Could not find source file for Ray county.</t>
        </r>
      </text>
    </comment>
    <comment ref="FI86" authorId="1" shapeId="0" xr:uid="{00000000-0006-0000-1000-000052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J86" authorId="1" shapeId="0" xr:uid="{00000000-0006-0000-1000-000053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FK86" authorId="1" shapeId="0" xr:uid="{00000000-0006-0000-1000-000054040000}">
      <text>
        <r>
          <rPr>
            <sz val="9"/>
            <color indexed="81"/>
            <rFont val="Tahoma"/>
            <charset val="1"/>
          </rPr>
          <t>Could not find source file for Ray county.</t>
        </r>
      </text>
    </comment>
    <comment ref="P87" authorId="0" shapeId="0" xr:uid="{00000000-0006-0000-1000-000055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Q87" authorId="0" shapeId="0" xr:uid="{00000000-0006-0000-1000-000056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R87" authorId="1" shapeId="0" xr:uid="{00000000-0006-0000-1000-000057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S87" authorId="0" shapeId="0" xr:uid="{00000000-0006-0000-1000-000058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T87" authorId="1" shapeId="0" xr:uid="{00000000-0006-0000-1000-000059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U87" authorId="1" shapeId="0" xr:uid="{00000000-0006-0000-1000-00005A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V87" authorId="1" shapeId="0" xr:uid="{00000000-0006-0000-1000-00005B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W87" authorId="1" shapeId="0" xr:uid="{00000000-0006-0000-1000-00005C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N87" authorId="0" shapeId="0" xr:uid="{00000000-0006-0000-1000-00005D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O87" authorId="0" shapeId="0" xr:uid="{00000000-0006-0000-1000-00005E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P87" authorId="1" shapeId="0" xr:uid="{00000000-0006-0000-1000-00005F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Q87" authorId="0" shapeId="0" xr:uid="{00000000-0006-0000-1000-000060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R87" authorId="1" shapeId="0" xr:uid="{00000000-0006-0000-1000-000061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AS87" authorId="1" shapeId="0" xr:uid="{00000000-0006-0000-1000-000062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T87" authorId="1" shapeId="0" xr:uid="{00000000-0006-0000-1000-000063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AU87" authorId="1" shapeId="0" xr:uid="{00000000-0006-0000-1000-000064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L87" authorId="0" shapeId="0" xr:uid="{00000000-0006-0000-1000-000065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M87" authorId="0" shapeId="0" xr:uid="{00000000-0006-0000-1000-000066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N87" authorId="1" shapeId="0" xr:uid="{00000000-0006-0000-1000-000067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O87" authorId="0" shapeId="0" xr:uid="{00000000-0006-0000-1000-000068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P87" authorId="1" shapeId="0" xr:uid="{00000000-0006-0000-1000-000069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BQ87" authorId="1" shapeId="0" xr:uid="{00000000-0006-0000-1000-00006A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R87" authorId="1" shapeId="0" xr:uid="{00000000-0006-0000-1000-00006B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BS87" authorId="1" shapeId="0" xr:uid="{00000000-0006-0000-1000-00006C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J87" authorId="0" shapeId="0" xr:uid="{00000000-0006-0000-1000-00006D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K87" authorId="0" shapeId="0" xr:uid="{00000000-0006-0000-1000-00006E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L87" authorId="1" shapeId="0" xr:uid="{00000000-0006-0000-1000-00006F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M87" authorId="0" shapeId="0" xr:uid="{00000000-0006-0000-1000-000070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N87" authorId="1" shapeId="0" xr:uid="{00000000-0006-0000-1000-000071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CO87" authorId="1" shapeId="0" xr:uid="{00000000-0006-0000-1000-000072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P87" authorId="1" shapeId="0" xr:uid="{00000000-0006-0000-1000-000073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CQ87" authorId="1" shapeId="0" xr:uid="{00000000-0006-0000-1000-000074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H87" authorId="0" shapeId="0" xr:uid="{00000000-0006-0000-1000-000075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I87" authorId="0" shapeId="0" xr:uid="{00000000-0006-0000-1000-000076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J87" authorId="1" shapeId="0" xr:uid="{00000000-0006-0000-1000-000077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K87" authorId="0" shapeId="0" xr:uid="{00000000-0006-0000-1000-000078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L87" authorId="1" shapeId="0" xr:uid="{00000000-0006-0000-1000-000079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DM87" authorId="1" shapeId="0" xr:uid="{00000000-0006-0000-1000-00007A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N87" authorId="1" shapeId="0" xr:uid="{00000000-0006-0000-1000-00007B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DO87" authorId="1" shapeId="0" xr:uid="{00000000-0006-0000-1000-00007C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F87" authorId="0" shapeId="0" xr:uid="{00000000-0006-0000-1000-00007D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G87" authorId="0" shapeId="0" xr:uid="{00000000-0006-0000-1000-00007E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H87" authorId="1" shapeId="0" xr:uid="{00000000-0006-0000-1000-00007F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I87" authorId="0" shapeId="0" xr:uid="{00000000-0006-0000-1000-000080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J87" authorId="1" shapeId="0" xr:uid="{00000000-0006-0000-1000-000081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EK87" authorId="1" shapeId="0" xr:uid="{00000000-0006-0000-1000-000082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L87" authorId="1" shapeId="0" xr:uid="{00000000-0006-0000-1000-000083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EM87" authorId="1" shapeId="0" xr:uid="{00000000-0006-0000-1000-000084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D87" authorId="0" shapeId="0" xr:uid="{00000000-0006-0000-1000-000085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E87" authorId="0" shapeId="0" xr:uid="{00000000-0006-0000-1000-000086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F87" authorId="1" shapeId="0" xr:uid="{00000000-0006-0000-1000-000087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G87" authorId="0" shapeId="0" xr:uid="{00000000-0006-0000-1000-000088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H87" authorId="1" shapeId="0" xr:uid="{00000000-0006-0000-1000-000089040000}">
      <text>
        <r>
          <rPr>
            <sz val="9"/>
            <color indexed="81"/>
            <rFont val="Tahoma"/>
            <family val="2"/>
          </rPr>
          <t>Could not find source file for Reynolds county.</t>
        </r>
      </text>
    </comment>
    <comment ref="FI87" authorId="1" shapeId="0" xr:uid="{00000000-0006-0000-1000-00008A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J87" authorId="1" shapeId="0" xr:uid="{00000000-0006-0000-1000-00008B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FK87" authorId="1" shapeId="0" xr:uid="{00000000-0006-0000-1000-00008C040000}">
      <text>
        <r>
          <rPr>
            <sz val="9"/>
            <color indexed="81"/>
            <rFont val="Tahoma"/>
            <charset val="1"/>
          </rPr>
          <t>Could not find source file for Reynolds county.</t>
        </r>
      </text>
    </comment>
    <comment ref="S90" authorId="0" shapeId="0" xr:uid="{00000000-0006-0000-1000-00008D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T90" authorId="1" shapeId="0" xr:uid="{00000000-0006-0000-1000-00008E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U90" authorId="1" shapeId="0" xr:uid="{00000000-0006-0000-1000-00008F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V90" authorId="1" shapeId="0" xr:uid="{00000000-0006-0000-1000-000090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W90" authorId="1" shapeId="0" xr:uid="{00000000-0006-0000-1000-000091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AQ90" authorId="0" shapeId="0" xr:uid="{00000000-0006-0000-1000-000092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AR90" authorId="1" shapeId="0" xr:uid="{00000000-0006-0000-1000-000093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AS90" authorId="1" shapeId="0" xr:uid="{00000000-0006-0000-1000-000094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AT90" authorId="1" shapeId="0" xr:uid="{00000000-0006-0000-1000-000095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AU90" authorId="1" shapeId="0" xr:uid="{00000000-0006-0000-1000-000096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BO90" authorId="0" shapeId="0" xr:uid="{00000000-0006-0000-1000-000097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BP90" authorId="1" shapeId="0" xr:uid="{00000000-0006-0000-1000-000098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BQ90" authorId="1" shapeId="0" xr:uid="{00000000-0006-0000-1000-000099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BR90" authorId="1" shapeId="0" xr:uid="{00000000-0006-0000-1000-00009A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BS90" authorId="1" shapeId="0" xr:uid="{00000000-0006-0000-1000-00009B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CM90" authorId="0" shapeId="0" xr:uid="{00000000-0006-0000-1000-00009C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CN90" authorId="1" shapeId="0" xr:uid="{00000000-0006-0000-1000-00009D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CO90" authorId="1" shapeId="0" xr:uid="{00000000-0006-0000-1000-00009E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CP90" authorId="1" shapeId="0" xr:uid="{00000000-0006-0000-1000-00009F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CQ90" authorId="1" shapeId="0" xr:uid="{00000000-0006-0000-1000-0000A0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DK90" authorId="0" shapeId="0" xr:uid="{00000000-0006-0000-1000-0000A1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DL90" authorId="1" shapeId="0" xr:uid="{00000000-0006-0000-1000-0000A2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DM90" authorId="1" shapeId="0" xr:uid="{00000000-0006-0000-1000-0000A3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DN90" authorId="1" shapeId="0" xr:uid="{00000000-0006-0000-1000-0000A4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DO90" authorId="1" shapeId="0" xr:uid="{00000000-0006-0000-1000-0000A5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EI90" authorId="0" shapeId="0" xr:uid="{00000000-0006-0000-1000-0000A6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EJ90" authorId="1" shapeId="0" xr:uid="{00000000-0006-0000-1000-0000A7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EK90" authorId="1" shapeId="0" xr:uid="{00000000-0006-0000-1000-0000A8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EL90" authorId="1" shapeId="0" xr:uid="{00000000-0006-0000-1000-0000A9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EM90" authorId="1" shapeId="0" xr:uid="{00000000-0006-0000-1000-0000AA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FG90" authorId="0" shapeId="0" xr:uid="{00000000-0006-0000-1000-0000AB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FH90" authorId="1" shapeId="0" xr:uid="{00000000-0006-0000-1000-0000AC040000}">
      <text>
        <r>
          <rPr>
            <sz val="9"/>
            <color indexed="81"/>
            <rFont val="Tahoma"/>
            <family val="2"/>
          </rPr>
          <t>Could not find source file for Genevieve county.</t>
        </r>
      </text>
    </comment>
    <comment ref="FI90" authorId="1" shapeId="0" xr:uid="{00000000-0006-0000-1000-0000AD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FJ90" authorId="1" shapeId="0" xr:uid="{00000000-0006-0000-1000-0000AE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FK90" authorId="1" shapeId="0" xr:uid="{00000000-0006-0000-1000-0000AF040000}">
      <text>
        <r>
          <rPr>
            <sz val="9"/>
            <color indexed="81"/>
            <rFont val="Tahoma"/>
            <charset val="1"/>
          </rPr>
          <t>Could not find source file for Genevieve county.</t>
        </r>
      </text>
    </comment>
    <comment ref="M95" authorId="0" shapeId="0" xr:uid="{00000000-0006-0000-1000-0000B0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AK95" authorId="0" shapeId="0" xr:uid="{00000000-0006-0000-1000-0000B1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BI95" authorId="0" shapeId="0" xr:uid="{00000000-0006-0000-1000-0000B2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CG95" authorId="0" shapeId="0" xr:uid="{00000000-0006-0000-1000-0000B3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DE95" authorId="0" shapeId="0" xr:uid="{00000000-0006-0000-1000-0000B4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C95" authorId="0" shapeId="0" xr:uid="{00000000-0006-0000-1000-0000B5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FA95" authorId="0" shapeId="0" xr:uid="{00000000-0006-0000-1000-0000B604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U96" authorId="1" shapeId="0" xr:uid="{00000000-0006-0000-1000-0000B7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V96" authorId="1" shapeId="0" xr:uid="{00000000-0006-0000-1000-0000B8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W96" authorId="1" shapeId="0" xr:uid="{00000000-0006-0000-1000-0000B9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AS96" authorId="1" shapeId="0" xr:uid="{00000000-0006-0000-1000-0000BA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AT96" authorId="1" shapeId="0" xr:uid="{00000000-0006-0000-1000-0000BB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AU96" authorId="1" shapeId="0" xr:uid="{00000000-0006-0000-1000-0000BC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BQ96" authorId="1" shapeId="0" xr:uid="{00000000-0006-0000-1000-0000BD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BR96" authorId="1" shapeId="0" xr:uid="{00000000-0006-0000-1000-0000BE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BS96" authorId="1" shapeId="0" xr:uid="{00000000-0006-0000-1000-0000BF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CO96" authorId="1" shapeId="0" xr:uid="{00000000-0006-0000-1000-0000C0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CP96" authorId="1" shapeId="0" xr:uid="{00000000-0006-0000-1000-0000C1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CQ96" authorId="1" shapeId="0" xr:uid="{00000000-0006-0000-1000-0000C2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DM96" authorId="1" shapeId="0" xr:uid="{00000000-0006-0000-1000-0000C3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DN96" authorId="1" shapeId="0" xr:uid="{00000000-0006-0000-1000-0000C4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DO96" authorId="1" shapeId="0" xr:uid="{00000000-0006-0000-1000-0000C5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EK96" authorId="1" shapeId="0" xr:uid="{00000000-0006-0000-1000-0000C6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EL96" authorId="1" shapeId="0" xr:uid="{00000000-0006-0000-1000-0000C7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EM96" authorId="1" shapeId="0" xr:uid="{00000000-0006-0000-1000-0000C8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FI96" authorId="1" shapeId="0" xr:uid="{00000000-0006-0000-1000-0000C9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FJ96" authorId="1" shapeId="0" xr:uid="{00000000-0006-0000-1000-0000CA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FK96" authorId="1" shapeId="0" xr:uid="{00000000-0006-0000-1000-0000CB040000}">
      <text>
        <r>
          <rPr>
            <sz val="9"/>
            <color indexed="81"/>
            <rFont val="Tahoma"/>
            <charset val="1"/>
          </rPr>
          <t>Could not find source file for Stoddard county.</t>
        </r>
      </text>
    </comment>
    <comment ref="O97" authorId="0" shapeId="0" xr:uid="{00000000-0006-0000-1000-0000CC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AM97" authorId="0" shapeId="0" xr:uid="{00000000-0006-0000-1000-0000CD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BK97" authorId="0" shapeId="0" xr:uid="{00000000-0006-0000-1000-0000CE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CI97" authorId="0" shapeId="0" xr:uid="{00000000-0006-0000-1000-0000CF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DG97" authorId="0" shapeId="0" xr:uid="{00000000-0006-0000-1000-0000D0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E97" authorId="0" shapeId="0" xr:uid="{00000000-0006-0000-1000-0000D104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FC97" authorId="0" shapeId="0" xr:uid="{00000000-0006-0000-1000-0000D204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Q98" authorId="0" shapeId="0" xr:uid="{00000000-0006-0000-1000-0000D304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AO98" authorId="0" shapeId="0" xr:uid="{00000000-0006-0000-1000-0000D404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BM98" authorId="0" shapeId="0" xr:uid="{00000000-0006-0000-1000-0000D504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CK98" authorId="0" shapeId="0" xr:uid="{00000000-0006-0000-1000-0000D604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DI98" authorId="0" shapeId="0" xr:uid="{00000000-0006-0000-1000-0000D704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EG98" authorId="0" shapeId="0" xr:uid="{00000000-0006-0000-1000-0000D804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FE98" authorId="0" shapeId="0" xr:uid="{00000000-0006-0000-1000-0000D9040000}">
      <text>
        <r>
          <rPr>
            <sz val="9"/>
            <color indexed="81"/>
            <rFont val="Tahoma"/>
            <family val="2"/>
          </rPr>
          <t>Could not find source file for Sullivan county.</t>
        </r>
      </text>
    </comment>
    <comment ref="U99" authorId="1" shapeId="0" xr:uid="{00000000-0006-0000-1000-0000DA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V99" authorId="1" shapeId="0" xr:uid="{00000000-0006-0000-1000-0000DB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W99" authorId="1" shapeId="0" xr:uid="{00000000-0006-0000-1000-0000DC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AS99" authorId="1" shapeId="0" xr:uid="{00000000-0006-0000-1000-0000DD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AT99" authorId="1" shapeId="0" xr:uid="{00000000-0006-0000-1000-0000DE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AU99" authorId="1" shapeId="0" xr:uid="{00000000-0006-0000-1000-0000DF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BQ99" authorId="1" shapeId="0" xr:uid="{00000000-0006-0000-1000-0000E0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BR99" authorId="1" shapeId="0" xr:uid="{00000000-0006-0000-1000-0000E1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BS99" authorId="1" shapeId="0" xr:uid="{00000000-0006-0000-1000-0000E2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CO99" authorId="1" shapeId="0" xr:uid="{00000000-0006-0000-1000-0000E3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CP99" authorId="1" shapeId="0" xr:uid="{00000000-0006-0000-1000-0000E4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CQ99" authorId="1" shapeId="0" xr:uid="{00000000-0006-0000-1000-0000E5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DM99" authorId="1" shapeId="0" xr:uid="{00000000-0006-0000-1000-0000E6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DN99" authorId="1" shapeId="0" xr:uid="{00000000-0006-0000-1000-0000E7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DO99" authorId="1" shapeId="0" xr:uid="{00000000-0006-0000-1000-0000E8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EK99" authorId="1" shapeId="0" xr:uid="{00000000-0006-0000-1000-0000E9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EL99" authorId="1" shapeId="0" xr:uid="{00000000-0006-0000-1000-0000EA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EM99" authorId="1" shapeId="0" xr:uid="{00000000-0006-0000-1000-0000EB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FI99" authorId="1" shapeId="0" xr:uid="{00000000-0006-0000-1000-0000EC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FJ99" authorId="1" shapeId="0" xr:uid="{00000000-0006-0000-1000-0000ED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FK99" authorId="1" shapeId="0" xr:uid="{00000000-0006-0000-1000-0000EE040000}">
      <text>
        <r>
          <rPr>
            <sz val="9"/>
            <color indexed="81"/>
            <rFont val="Tahoma"/>
            <charset val="1"/>
          </rPr>
          <t>Could not find source file for Texas county.</t>
        </r>
      </text>
    </comment>
    <comment ref="T100" authorId="1" shapeId="0" xr:uid="{00000000-0006-0000-1000-0000EF04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AR100" authorId="1" shapeId="0" xr:uid="{00000000-0006-0000-1000-0000F004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BP100" authorId="1" shapeId="0" xr:uid="{00000000-0006-0000-1000-0000F104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CN100" authorId="1" shapeId="0" xr:uid="{00000000-0006-0000-1000-0000F204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DL100" authorId="1" shapeId="0" xr:uid="{00000000-0006-0000-1000-0000F304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EJ100" authorId="1" shapeId="0" xr:uid="{00000000-0006-0000-1000-0000F404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FH100" authorId="1" shapeId="0" xr:uid="{00000000-0006-0000-1000-0000F5040000}">
      <text>
        <r>
          <rPr>
            <sz val="9"/>
            <color indexed="81"/>
            <rFont val="Tahoma"/>
            <family val="2"/>
          </rPr>
          <t>Could not find source file for Vernon county.</t>
        </r>
      </text>
    </comment>
    <comment ref="K101" authorId="1" shapeId="0" xr:uid="{00000000-0006-0000-1000-0000F604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L101" authorId="1" shapeId="0" xr:uid="{00000000-0006-0000-1000-0000F704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M101" authorId="0" shapeId="0" xr:uid="{00000000-0006-0000-1000-0000F804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N101" authorId="0" shapeId="0" xr:uid="{00000000-0006-0000-1000-0000F904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O101" authorId="0" shapeId="0" xr:uid="{00000000-0006-0000-1000-0000FA04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P101" authorId="0" shapeId="0" xr:uid="{00000000-0006-0000-1000-0000FB04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R101" authorId="1" shapeId="0" xr:uid="{00000000-0006-0000-1000-0000FC04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S101" authorId="0" shapeId="0" xr:uid="{00000000-0006-0000-1000-0000FD04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T101" authorId="1" shapeId="0" xr:uid="{00000000-0006-0000-1000-0000FE04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U101" authorId="1" shapeId="0" xr:uid="{00000000-0006-0000-1000-0000FF04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V101" authorId="1" shapeId="0" xr:uid="{00000000-0006-0000-1000-000000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W101" authorId="1" shapeId="0" xr:uid="{00000000-0006-0000-1000-000001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I101" authorId="1" shapeId="0" xr:uid="{00000000-0006-0000-1000-000002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J101" authorId="1" shapeId="0" xr:uid="{00000000-0006-0000-1000-000003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K101" authorId="0" shapeId="0" xr:uid="{00000000-0006-0000-1000-000004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L101" authorId="0" shapeId="0" xr:uid="{00000000-0006-0000-1000-000005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M101" authorId="0" shapeId="0" xr:uid="{00000000-0006-0000-1000-000006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N101" authorId="0" shapeId="0" xr:uid="{00000000-0006-0000-1000-000007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P101" authorId="1" shapeId="0" xr:uid="{00000000-0006-0000-1000-000008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Q101" authorId="0" shapeId="0" xr:uid="{00000000-0006-0000-1000-000009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R101" authorId="1" shapeId="0" xr:uid="{00000000-0006-0000-1000-00000A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AS101" authorId="1" shapeId="0" xr:uid="{00000000-0006-0000-1000-00000B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T101" authorId="1" shapeId="0" xr:uid="{00000000-0006-0000-1000-00000C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AU101" authorId="1" shapeId="0" xr:uid="{00000000-0006-0000-1000-00000D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G101" authorId="1" shapeId="0" xr:uid="{00000000-0006-0000-1000-00000E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H101" authorId="1" shapeId="0" xr:uid="{00000000-0006-0000-1000-00000F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I101" authorId="0" shapeId="0" xr:uid="{00000000-0006-0000-1000-000010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J101" authorId="0" shapeId="0" xr:uid="{00000000-0006-0000-1000-000011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K101" authorId="0" shapeId="0" xr:uid="{00000000-0006-0000-1000-000012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L101" authorId="0" shapeId="0" xr:uid="{00000000-0006-0000-1000-000013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N101" authorId="1" shapeId="0" xr:uid="{00000000-0006-0000-1000-000014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O101" authorId="0" shapeId="0" xr:uid="{00000000-0006-0000-1000-000015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P101" authorId="1" shapeId="0" xr:uid="{00000000-0006-0000-1000-000016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BQ101" authorId="1" shapeId="0" xr:uid="{00000000-0006-0000-1000-000017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R101" authorId="1" shapeId="0" xr:uid="{00000000-0006-0000-1000-000018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BS101" authorId="1" shapeId="0" xr:uid="{00000000-0006-0000-1000-000019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E101" authorId="1" shapeId="0" xr:uid="{00000000-0006-0000-1000-00001A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F101" authorId="1" shapeId="0" xr:uid="{00000000-0006-0000-1000-00001B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G101" authorId="0" shapeId="0" xr:uid="{00000000-0006-0000-1000-00001C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H101" authorId="0" shapeId="0" xr:uid="{00000000-0006-0000-1000-00001D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I101" authorId="0" shapeId="0" xr:uid="{00000000-0006-0000-1000-00001E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J101" authorId="0" shapeId="0" xr:uid="{00000000-0006-0000-1000-00001F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L101" authorId="1" shapeId="0" xr:uid="{00000000-0006-0000-1000-000020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M101" authorId="0" shapeId="0" xr:uid="{00000000-0006-0000-1000-000021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N101" authorId="1" shapeId="0" xr:uid="{00000000-0006-0000-1000-000022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CO101" authorId="1" shapeId="0" xr:uid="{00000000-0006-0000-1000-000023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P101" authorId="1" shapeId="0" xr:uid="{00000000-0006-0000-1000-000024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CQ101" authorId="1" shapeId="0" xr:uid="{00000000-0006-0000-1000-000025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C101" authorId="1" shapeId="0" xr:uid="{00000000-0006-0000-1000-000026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D101" authorId="1" shapeId="0" xr:uid="{00000000-0006-0000-1000-000027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E101" authorId="0" shapeId="0" xr:uid="{00000000-0006-0000-1000-000028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F101" authorId="0" shapeId="0" xr:uid="{00000000-0006-0000-1000-000029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G101" authorId="0" shapeId="0" xr:uid="{00000000-0006-0000-1000-00002A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H101" authorId="0" shapeId="0" xr:uid="{00000000-0006-0000-1000-00002B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J101" authorId="1" shapeId="0" xr:uid="{00000000-0006-0000-1000-00002C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K101" authorId="0" shapeId="0" xr:uid="{00000000-0006-0000-1000-00002D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L101" authorId="1" shapeId="0" xr:uid="{00000000-0006-0000-1000-00002E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DM101" authorId="1" shapeId="0" xr:uid="{00000000-0006-0000-1000-00002F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N101" authorId="1" shapeId="0" xr:uid="{00000000-0006-0000-1000-000030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DO101" authorId="1" shapeId="0" xr:uid="{00000000-0006-0000-1000-000031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A101" authorId="1" shapeId="0" xr:uid="{00000000-0006-0000-1000-000032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B101" authorId="1" shapeId="0" xr:uid="{00000000-0006-0000-1000-000033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C101" authorId="0" shapeId="0" xr:uid="{00000000-0006-0000-1000-000034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D101" authorId="0" shapeId="0" xr:uid="{00000000-0006-0000-1000-000035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E101" authorId="0" shapeId="0" xr:uid="{00000000-0006-0000-1000-000036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F101" authorId="0" shapeId="0" xr:uid="{00000000-0006-0000-1000-000037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H101" authorId="1" shapeId="0" xr:uid="{00000000-0006-0000-1000-000038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I101" authorId="0" shapeId="0" xr:uid="{00000000-0006-0000-1000-000039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J101" authorId="1" shapeId="0" xr:uid="{00000000-0006-0000-1000-00003A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EK101" authorId="1" shapeId="0" xr:uid="{00000000-0006-0000-1000-00003B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L101" authorId="1" shapeId="0" xr:uid="{00000000-0006-0000-1000-00003C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M101" authorId="1" shapeId="0" xr:uid="{00000000-0006-0000-1000-00003D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Y101" authorId="1" shapeId="0" xr:uid="{00000000-0006-0000-1000-00003E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EZ101" authorId="1" shapeId="0" xr:uid="{00000000-0006-0000-1000-00003F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A101" authorId="0" shapeId="0" xr:uid="{00000000-0006-0000-1000-000040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B101" authorId="0" shapeId="0" xr:uid="{00000000-0006-0000-1000-000041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C101" authorId="0" shapeId="0" xr:uid="{00000000-0006-0000-1000-000042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D101" authorId="0" shapeId="0" xr:uid="{00000000-0006-0000-1000-000043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F101" authorId="1" shapeId="0" xr:uid="{00000000-0006-0000-1000-000044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G101" authorId="0" shapeId="0" xr:uid="{00000000-0006-0000-1000-000045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H101" authorId="1" shapeId="0" xr:uid="{00000000-0006-0000-1000-000046050000}">
      <text>
        <r>
          <rPr>
            <sz val="9"/>
            <color indexed="81"/>
            <rFont val="Tahoma"/>
            <family val="2"/>
          </rPr>
          <t>Could not find source file for Warren county.</t>
        </r>
      </text>
    </comment>
    <comment ref="FI101" authorId="1" shapeId="0" xr:uid="{00000000-0006-0000-1000-000047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J101" authorId="1" shapeId="0" xr:uid="{00000000-0006-0000-1000-000048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FK101" authorId="1" shapeId="0" xr:uid="{00000000-0006-0000-1000-000049050000}">
      <text>
        <r>
          <rPr>
            <sz val="9"/>
            <color indexed="81"/>
            <rFont val="Tahoma"/>
            <charset val="1"/>
          </rPr>
          <t>Could not find source file for Warren county.</t>
        </r>
      </text>
    </comment>
    <comment ref="K104" authorId="1" shapeId="0" xr:uid="{00000000-0006-0000-1000-00004A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L104" authorId="1" shapeId="0" xr:uid="{00000000-0006-0000-1000-00004B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M104" authorId="0" shapeId="0" xr:uid="{00000000-0006-0000-1000-00004C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N104" authorId="0" shapeId="0" xr:uid="{00000000-0006-0000-1000-00004D05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P104" authorId="0" shapeId="0" xr:uid="{00000000-0006-0000-1000-00004E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Q104" authorId="0" shapeId="0" xr:uid="{00000000-0006-0000-1000-00004F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R104" authorId="1" shapeId="0" xr:uid="{00000000-0006-0000-1000-000050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S104" authorId="0" shapeId="0" xr:uid="{00000000-0006-0000-1000-000051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T104" authorId="1" shapeId="0" xr:uid="{00000000-0006-0000-1000-000052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U104" authorId="1" shapeId="0" xr:uid="{00000000-0006-0000-1000-000053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V104" authorId="1" shapeId="0" xr:uid="{00000000-0006-0000-1000-000054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W104" authorId="1" shapeId="0" xr:uid="{00000000-0006-0000-1000-000055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I104" authorId="1" shapeId="0" xr:uid="{00000000-0006-0000-1000-000056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J104" authorId="1" shapeId="0" xr:uid="{00000000-0006-0000-1000-000057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K104" authorId="0" shapeId="0" xr:uid="{00000000-0006-0000-1000-000058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L104" authorId="0" shapeId="0" xr:uid="{00000000-0006-0000-1000-00005905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AN104" authorId="0" shapeId="0" xr:uid="{00000000-0006-0000-1000-00005A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O104" authorId="0" shapeId="0" xr:uid="{00000000-0006-0000-1000-00005B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P104" authorId="1" shapeId="0" xr:uid="{00000000-0006-0000-1000-00005C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Q104" authorId="0" shapeId="0" xr:uid="{00000000-0006-0000-1000-00005D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R104" authorId="1" shapeId="0" xr:uid="{00000000-0006-0000-1000-00005E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AS104" authorId="1" shapeId="0" xr:uid="{00000000-0006-0000-1000-00005F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T104" authorId="1" shapeId="0" xr:uid="{00000000-0006-0000-1000-000060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AU104" authorId="1" shapeId="0" xr:uid="{00000000-0006-0000-1000-000061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G104" authorId="1" shapeId="0" xr:uid="{00000000-0006-0000-1000-000062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H104" authorId="1" shapeId="0" xr:uid="{00000000-0006-0000-1000-000063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I104" authorId="0" shapeId="0" xr:uid="{00000000-0006-0000-1000-000064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J104" authorId="0" shapeId="0" xr:uid="{00000000-0006-0000-1000-00006505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BL104" authorId="0" shapeId="0" xr:uid="{00000000-0006-0000-1000-000066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M104" authorId="0" shapeId="0" xr:uid="{00000000-0006-0000-1000-000067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N104" authorId="1" shapeId="0" xr:uid="{00000000-0006-0000-1000-000068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O104" authorId="0" shapeId="0" xr:uid="{00000000-0006-0000-1000-000069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P104" authorId="1" shapeId="0" xr:uid="{00000000-0006-0000-1000-00006A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BQ104" authorId="1" shapeId="0" xr:uid="{00000000-0006-0000-1000-00006B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R104" authorId="1" shapeId="0" xr:uid="{00000000-0006-0000-1000-00006C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BS104" authorId="1" shapeId="0" xr:uid="{00000000-0006-0000-1000-00006D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E104" authorId="1" shapeId="0" xr:uid="{00000000-0006-0000-1000-00006E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F104" authorId="1" shapeId="0" xr:uid="{00000000-0006-0000-1000-00006F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G104" authorId="0" shapeId="0" xr:uid="{00000000-0006-0000-1000-000070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H104" authorId="0" shapeId="0" xr:uid="{00000000-0006-0000-1000-00007105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CJ104" authorId="0" shapeId="0" xr:uid="{00000000-0006-0000-1000-000072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K104" authorId="0" shapeId="0" xr:uid="{00000000-0006-0000-1000-000073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L104" authorId="1" shapeId="0" xr:uid="{00000000-0006-0000-1000-000074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M104" authorId="0" shapeId="0" xr:uid="{00000000-0006-0000-1000-000075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N104" authorId="1" shapeId="0" xr:uid="{00000000-0006-0000-1000-000076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CO104" authorId="1" shapeId="0" xr:uid="{00000000-0006-0000-1000-000077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P104" authorId="1" shapeId="0" xr:uid="{00000000-0006-0000-1000-000078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CQ104" authorId="1" shapeId="0" xr:uid="{00000000-0006-0000-1000-000079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C104" authorId="1" shapeId="0" xr:uid="{00000000-0006-0000-1000-00007A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D104" authorId="1" shapeId="0" xr:uid="{00000000-0006-0000-1000-00007B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E104" authorId="0" shapeId="0" xr:uid="{00000000-0006-0000-1000-00007C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F104" authorId="0" shapeId="0" xr:uid="{00000000-0006-0000-1000-00007D05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DH104" authorId="0" shapeId="0" xr:uid="{00000000-0006-0000-1000-00007E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I104" authorId="0" shapeId="0" xr:uid="{00000000-0006-0000-1000-00007F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J104" authorId="1" shapeId="0" xr:uid="{00000000-0006-0000-1000-000080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K104" authorId="0" shapeId="0" xr:uid="{00000000-0006-0000-1000-000081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L104" authorId="1" shapeId="0" xr:uid="{00000000-0006-0000-1000-000082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DM104" authorId="1" shapeId="0" xr:uid="{00000000-0006-0000-1000-000083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N104" authorId="1" shapeId="0" xr:uid="{00000000-0006-0000-1000-000084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DO104" authorId="1" shapeId="0" xr:uid="{00000000-0006-0000-1000-000085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A104" authorId="1" shapeId="0" xr:uid="{00000000-0006-0000-1000-000086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B104" authorId="1" shapeId="0" xr:uid="{00000000-0006-0000-1000-000087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C104" authorId="0" shapeId="0" xr:uid="{00000000-0006-0000-1000-000088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D104" authorId="0" shapeId="0" xr:uid="{00000000-0006-0000-1000-000089050000}">
      <text>
        <r>
          <rPr>
            <sz val="9"/>
            <color indexed="81"/>
            <rFont val="Tahoma"/>
            <family val="2"/>
          </rPr>
          <t>Could not find tab 'SRB R' in source file.</t>
        </r>
      </text>
    </comment>
    <comment ref="EF104" authorId="0" shapeId="0" xr:uid="{00000000-0006-0000-1000-00008A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G104" authorId="0" shapeId="0" xr:uid="{00000000-0006-0000-1000-00008B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H104" authorId="1" shapeId="0" xr:uid="{00000000-0006-0000-1000-00008C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I104" authorId="0" shapeId="0" xr:uid="{00000000-0006-0000-1000-00008D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J104" authorId="1" shapeId="0" xr:uid="{00000000-0006-0000-1000-00008E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EK104" authorId="1" shapeId="0" xr:uid="{00000000-0006-0000-1000-00008F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L104" authorId="1" shapeId="0" xr:uid="{00000000-0006-0000-1000-000090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M104" authorId="1" shapeId="0" xr:uid="{00000000-0006-0000-1000-000091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Y104" authorId="1" shapeId="0" xr:uid="{00000000-0006-0000-1000-000092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EZ104" authorId="1" shapeId="0" xr:uid="{00000000-0006-0000-1000-000093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A104" authorId="0" shapeId="0" xr:uid="{00000000-0006-0000-1000-000094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B104" authorId="0" shapeId="0" xr:uid="{00000000-0006-0000-1000-000095050000}">
      <text>
        <r>
          <rPr>
            <sz val="9"/>
            <color indexed="81"/>
            <rFont val="Tahoma"/>
            <family val="2"/>
          </rPr>
          <t>Could not find tab 'SRB E' in source file.</t>
        </r>
      </text>
    </comment>
    <comment ref="FD104" authorId="0" shapeId="0" xr:uid="{00000000-0006-0000-1000-000096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E104" authorId="0" shapeId="0" xr:uid="{00000000-0006-0000-1000-000097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F104" authorId="1" shapeId="0" xr:uid="{00000000-0006-0000-1000-000098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G104" authorId="0" shapeId="0" xr:uid="{00000000-0006-0000-1000-000099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H104" authorId="1" shapeId="0" xr:uid="{00000000-0006-0000-1000-00009A050000}">
      <text>
        <r>
          <rPr>
            <sz val="9"/>
            <color indexed="81"/>
            <rFont val="Tahoma"/>
            <family val="2"/>
          </rPr>
          <t>Could not find source file for Webster county.</t>
        </r>
      </text>
    </comment>
    <comment ref="FI104" authorId="1" shapeId="0" xr:uid="{00000000-0006-0000-1000-00009B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J104" authorId="1" shapeId="0" xr:uid="{00000000-0006-0000-1000-00009C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  <comment ref="FK104" authorId="1" shapeId="0" xr:uid="{00000000-0006-0000-1000-00009D050000}">
      <text>
        <r>
          <rPr>
            <sz val="9"/>
            <color indexed="81"/>
            <rFont val="Tahoma"/>
            <charset val="1"/>
          </rPr>
          <t>Could not find source file for Webster county.</t>
        </r>
      </text>
    </comment>
  </commentList>
</comments>
</file>

<file path=xl/sharedStrings.xml><?xml version="1.0" encoding="utf-8"?>
<sst xmlns="http://schemas.openxmlformats.org/spreadsheetml/2006/main" count="9937" uniqueCount="660">
  <si>
    <t>County</t>
  </si>
  <si>
    <t>Adair</t>
  </si>
  <si>
    <t>Andrew</t>
  </si>
  <si>
    <t>Atchison</t>
  </si>
  <si>
    <t>Audrain</t>
  </si>
  <si>
    <t>Barry</t>
  </si>
  <si>
    <t>Barton</t>
  </si>
  <si>
    <t>Bates</t>
  </si>
  <si>
    <t>Benton</t>
  </si>
  <si>
    <t>Bollinger</t>
  </si>
  <si>
    <t>Butler</t>
  </si>
  <si>
    <t>Caldwell</t>
  </si>
  <si>
    <t>Carroll</t>
  </si>
  <si>
    <t>Carter</t>
  </si>
  <si>
    <t>Cedar</t>
  </si>
  <si>
    <t>Chariton</t>
  </si>
  <si>
    <t>Clark</t>
  </si>
  <si>
    <t>Clinton</t>
  </si>
  <si>
    <t>Cooper</t>
  </si>
  <si>
    <t>Crawford</t>
  </si>
  <si>
    <t>Dade</t>
  </si>
  <si>
    <t>Dallas</t>
  </si>
  <si>
    <t>Daviess</t>
  </si>
  <si>
    <t>DeKalb</t>
  </si>
  <si>
    <t>Dent</t>
  </si>
  <si>
    <t>Douglas</t>
  </si>
  <si>
    <t>Dunklin</t>
  </si>
  <si>
    <t>Gasconade</t>
  </si>
  <si>
    <t>Gentry</t>
  </si>
  <si>
    <t>Grundy</t>
  </si>
  <si>
    <t>Harrison</t>
  </si>
  <si>
    <t>Henry</t>
  </si>
  <si>
    <t>Hickory</t>
  </si>
  <si>
    <t>Holt</t>
  </si>
  <si>
    <t>Howard</t>
  </si>
  <si>
    <t>Howell</t>
  </si>
  <si>
    <t>Iron</t>
  </si>
  <si>
    <t>Knox</t>
  </si>
  <si>
    <t>Laclede</t>
  </si>
  <si>
    <t>Lawrence</t>
  </si>
  <si>
    <t>Lewis</t>
  </si>
  <si>
    <t>Linn</t>
  </si>
  <si>
    <t>Livingston</t>
  </si>
  <si>
    <t>Macon</t>
  </si>
  <si>
    <t>Madison</t>
  </si>
  <si>
    <t>Maries</t>
  </si>
  <si>
    <t>Marion</t>
  </si>
  <si>
    <t>McDonald</t>
  </si>
  <si>
    <t>Mercer</t>
  </si>
  <si>
    <t>Miller</t>
  </si>
  <si>
    <t>Mississippi</t>
  </si>
  <si>
    <t>Moniteau</t>
  </si>
  <si>
    <t>Monroe</t>
  </si>
  <si>
    <t>Montgomery</t>
  </si>
  <si>
    <t>Morgan</t>
  </si>
  <si>
    <t>Nodaway</t>
  </si>
  <si>
    <t>Oregon</t>
  </si>
  <si>
    <t>Osage</t>
  </si>
  <si>
    <t>Ozark</t>
  </si>
  <si>
    <t>Pemiscot</t>
  </si>
  <si>
    <t>Perry</t>
  </si>
  <si>
    <t>Phelps</t>
  </si>
  <si>
    <t>Pike</t>
  </si>
  <si>
    <t>Polk</t>
  </si>
  <si>
    <t>Pulaski</t>
  </si>
  <si>
    <t>Putnam</t>
  </si>
  <si>
    <t>Ralls</t>
  </si>
  <si>
    <t>Randolph</t>
  </si>
  <si>
    <t>Ray</t>
  </si>
  <si>
    <t>Reynolds</t>
  </si>
  <si>
    <t>Ripley</t>
  </si>
  <si>
    <t>St. Clair</t>
  </si>
  <si>
    <t>Ste. Genevieve</t>
  </si>
  <si>
    <t>Schuyler</t>
  </si>
  <si>
    <t>Scotland</t>
  </si>
  <si>
    <t>Scott</t>
  </si>
  <si>
    <t>Shannon</t>
  </si>
  <si>
    <t>Shelby</t>
  </si>
  <si>
    <t>Stoddard</t>
  </si>
  <si>
    <t>Stone</t>
  </si>
  <si>
    <t>Sullivan</t>
  </si>
  <si>
    <t>Texas</t>
  </si>
  <si>
    <t>Vernon</t>
  </si>
  <si>
    <t>Warren</t>
  </si>
  <si>
    <t>Washington</t>
  </si>
  <si>
    <t>Wayne</t>
  </si>
  <si>
    <t>Webster</t>
  </si>
  <si>
    <t>Worth</t>
  </si>
  <si>
    <t>Wright</t>
  </si>
  <si>
    <t>GENERAL REVENUE FUND</t>
  </si>
  <si>
    <t>Dekalb</t>
  </si>
  <si>
    <t>Average</t>
  </si>
  <si>
    <t>Total</t>
  </si>
  <si>
    <t xml:space="preserve">The sheets beyond this are data sheets.  The data should not be changed.  </t>
  </si>
  <si>
    <t xml:space="preserve"> </t>
  </si>
  <si>
    <t xml:space="preserve">Highlight the changes that you made in the data, and send the workbook in an e-mail explaining the changes. </t>
  </si>
  <si>
    <t>Judy Stallmann</t>
  </si>
  <si>
    <t>stallmannj@missouri.edu</t>
  </si>
  <si>
    <t>Property Taxes</t>
  </si>
  <si>
    <t>Sales Tax</t>
  </si>
  <si>
    <t>Intergovernmental</t>
  </si>
  <si>
    <t>Interest</t>
  </si>
  <si>
    <t>Other</t>
  </si>
  <si>
    <t>Sales Taxes</t>
  </si>
  <si>
    <t>Charges for Services</t>
  </si>
  <si>
    <t>Nominal Property Values Assessments</t>
  </si>
  <si>
    <t>Taxable Sales</t>
  </si>
  <si>
    <t xml:space="preserve">Property Taxes </t>
  </si>
  <si>
    <t>SPECIAL ROAD AND BRIDGE FUND RECEIPTS</t>
  </si>
  <si>
    <t>GENERAL REVENUE FUND RECEIPTS</t>
  </si>
  <si>
    <t>Sales Taxes Annual Growth Rate</t>
  </si>
  <si>
    <t>Expenditures</t>
  </si>
  <si>
    <t>Cash Balance</t>
  </si>
  <si>
    <t xml:space="preserve">   </t>
  </si>
  <si>
    <t>County Commission</t>
  </si>
  <si>
    <t>County Clerk</t>
  </si>
  <si>
    <t>Elections</t>
  </si>
  <si>
    <t xml:space="preserve">Buildings and Grounds </t>
  </si>
  <si>
    <t>Fringe Benefits</t>
  </si>
  <si>
    <t>Treasurer</t>
  </si>
  <si>
    <t>Collector</t>
  </si>
  <si>
    <t>Recorder</t>
  </si>
  <si>
    <t>Circuit Clerk</t>
  </si>
  <si>
    <t>Associate Circuit</t>
  </si>
  <si>
    <t>Court Administration</t>
  </si>
  <si>
    <t xml:space="preserve"> Public Administrator</t>
  </si>
  <si>
    <t>Sheriff</t>
  </si>
  <si>
    <t>Jail</t>
  </si>
  <si>
    <t>Prosecuting Attorney</t>
  </si>
  <si>
    <t xml:space="preserve"> Juvenile Officer</t>
  </si>
  <si>
    <t>Coroner</t>
  </si>
  <si>
    <t>Health and Welfare</t>
  </si>
  <si>
    <t>Operating Transfers</t>
  </si>
  <si>
    <t>General Government</t>
  </si>
  <si>
    <t>Court</t>
  </si>
  <si>
    <t>Law Enforcement</t>
  </si>
  <si>
    <t>Public Administrator &amp; Corner</t>
  </si>
  <si>
    <t>Health and Welfare &amp; Other</t>
  </si>
  <si>
    <t>Property Tax</t>
  </si>
  <si>
    <t>there has been a tax rate increase to make up for the slow growth or declining collections.</t>
  </si>
  <si>
    <t>County Selection Box:</t>
  </si>
  <si>
    <t>Sales Taxes Cumulative Growth Rate</t>
  </si>
  <si>
    <t>Property Taxes Cumulative Growth Rate</t>
  </si>
  <si>
    <t>Property Taxes Annual Growth Rate</t>
  </si>
  <si>
    <t xml:space="preserve">County Selection Box #1 </t>
  </si>
  <si>
    <t>County Selection Box #2</t>
  </si>
  <si>
    <t>Property Tax Receipts</t>
  </si>
  <si>
    <t>Sales Tax Receipts</t>
  </si>
  <si>
    <t>Receipts</t>
  </si>
  <si>
    <t>How to use this workbook</t>
  </si>
  <si>
    <t>This chart compares the property and sales tax bases total values over time.</t>
  </si>
  <si>
    <t>This chart compares the property and sales tax bases on a per person basis.</t>
  </si>
  <si>
    <t>If there is growth, that means that the base is growing on a per person basis.</t>
  </si>
  <si>
    <t>If the sales tax revenues are growing faster than the taxable sales base, that means that</t>
  </si>
  <si>
    <t xml:space="preserve">Compare the growth rates since 1996 and ask why the counties differ at some points.  </t>
  </si>
  <si>
    <t>6) Fringe Benefits</t>
  </si>
  <si>
    <t>7) Prosecuting Attorney</t>
  </si>
  <si>
    <t>8) Operating Transfers</t>
  </si>
  <si>
    <t>* Note: This chart does not show how much tax is paid per person.</t>
  </si>
  <si>
    <t>Compare the trends for each of the counties.</t>
  </si>
  <si>
    <t xml:space="preserve">* Note: If one county is near the top of the graph and the other is near the bottom, it suggests </t>
  </si>
  <si>
    <t xml:space="preserve">* Note: It is generally preferable that the cash balance from one year to the next remains stable </t>
  </si>
  <si>
    <t>or has a slight growth trend.</t>
  </si>
  <si>
    <t>Compare the expenditure mixture for each of the counties.</t>
  </si>
  <si>
    <t>Do any of the expenditures seem larger than one might expect?</t>
  </si>
  <si>
    <t>Compare the receipts mixture for each of the counties.</t>
  </si>
  <si>
    <t xml:space="preserve">1)  Examine the pie chart.  Where do most of the receipts come from? </t>
  </si>
  <si>
    <t>2)  Does the county have a diversified revenue base or is it concentrated on only one source?</t>
  </si>
  <si>
    <t>3)  Examine the chart and notice the trends.  Is the budget growing, shrinking, or remaining steady?</t>
  </si>
  <si>
    <t>2)  Examine the chart for trends. Think about why the cash balance changes over time.</t>
  </si>
  <si>
    <t>1) Examine trends for major changes in spending over time and think about why.</t>
  </si>
  <si>
    <t>1) Examine trends and look to see if the receipts are growing or shrinking.</t>
  </si>
  <si>
    <t>3) Look for major changes that last for a short while to ensure that the data are correct.</t>
  </si>
  <si>
    <t>2)  Are any or the receipt trends surprising?</t>
  </si>
  <si>
    <t>3)  Are the balances becoming larger or smaller over time?</t>
  </si>
  <si>
    <t>1)  Examine the chart to ensure that the data are correct.</t>
  </si>
  <si>
    <t>Focusing on how they differ may provide insights into the differences between the counties and raises the question as to why they differ.</t>
  </si>
  <si>
    <t>Do the balances have any trends in common, or do they move in opposite directions?</t>
  </si>
  <si>
    <t>This is an alternative way to examine growth.  It shows how the property tax base and its receipts</t>
  </si>
  <si>
    <t>Health and Welfare &amp; "Other"</t>
  </si>
  <si>
    <t>Years</t>
  </si>
  <si>
    <t>Property Base</t>
  </si>
  <si>
    <t>Data Category</t>
  </si>
  <si>
    <t>Sales Base</t>
  </si>
  <si>
    <t>Special Road and Bridge Funds: Total Receipts</t>
  </si>
  <si>
    <t>Annual County Budgets: SRB R (cell H105)</t>
  </si>
  <si>
    <t>General Revenue Fund Receipts: Property Taxes</t>
  </si>
  <si>
    <t>General Revenue Fund Receipts: Sales Taxes</t>
  </si>
  <si>
    <t>General Revenue Fund Receipts: Intergovernmental</t>
  </si>
  <si>
    <t>General Revenue Fund Receipts: Charges for Services</t>
  </si>
  <si>
    <t>General Revenue Fund Receipts: Interest</t>
  </si>
  <si>
    <t>General Revenue Fund Receipts: Other</t>
  </si>
  <si>
    <t>Special Road and Bridge Funds: Property Taxes</t>
  </si>
  <si>
    <t>Special Road and Bridge Funds: Sales Taxes</t>
  </si>
  <si>
    <t>Special Road and Bridge Funds: Intergovernmental</t>
  </si>
  <si>
    <t>Special Road and Bridge Funds: Interest</t>
  </si>
  <si>
    <t>Annual County Budgets: SRB R (cell H17)</t>
  </si>
  <si>
    <t>Annual County Budgets: SRB R (cell H22)</t>
  </si>
  <si>
    <t>Annual County Budgets: SRB R (cell H55)</t>
  </si>
  <si>
    <t>Annual County Budgets: SRB R (cell H73)</t>
  </si>
  <si>
    <t>Annual County Budgets: SRB R (cell H94)</t>
  </si>
  <si>
    <t>County Disbursements by Function: County Commission</t>
  </si>
  <si>
    <t>County Disbursements by Function: County Clerk</t>
  </si>
  <si>
    <t>County Disbursements by Function: Elections</t>
  </si>
  <si>
    <t>County Disbursements by Function: Buildings and Grounds</t>
  </si>
  <si>
    <t>County Disbursements by Function: Fringe Benefits</t>
  </si>
  <si>
    <t>County Disbursements by Function: Treasurer</t>
  </si>
  <si>
    <t>County Disbursements by Function: Collector</t>
  </si>
  <si>
    <t>County Disbursements by Function: Recorder</t>
  </si>
  <si>
    <t>County Disbursements by Function: Associate Circuit</t>
  </si>
  <si>
    <t>County Disbursements by Function: Court Administration</t>
  </si>
  <si>
    <t>County Disbursements by Function: Public Administrator</t>
  </si>
  <si>
    <t>County Disbursements by Function: Other</t>
  </si>
  <si>
    <t>County Disbursements by Function: Sheriff</t>
  </si>
  <si>
    <t>County Disbursements by Function: Jail</t>
  </si>
  <si>
    <t>County Disbursements by Function: Prosecuting Attorney</t>
  </si>
  <si>
    <t>County Disbursements by Function: Juvenile Officer</t>
  </si>
  <si>
    <t>County Disbursements by Function: Coroner</t>
  </si>
  <si>
    <t>County Disbursements by Function: Health and Welfare</t>
  </si>
  <si>
    <t>County Disbursements by Function: Operating Transfers</t>
  </si>
  <si>
    <t>Annual County Budgets: GR E (cell F103)</t>
  </si>
  <si>
    <t>Annual County Budgets: GR E (cell F128)</t>
  </si>
  <si>
    <t>Annual County Budgets: GR E (cell F151)</t>
  </si>
  <si>
    <t>Annual County Budgets: GR E (cell F199)</t>
  </si>
  <si>
    <t>Special Sales Tax Receipts</t>
  </si>
  <si>
    <t>Source*</t>
  </si>
  <si>
    <t>Data Sources by Worksheet</t>
  </si>
  <si>
    <t>4-A Disbursements</t>
  </si>
  <si>
    <t>Ratio of Cash Balance vs. Expenditures (General Revenue)</t>
  </si>
  <si>
    <t>Ratio of Receipts per dollar of Expenditures (General Revenue)</t>
  </si>
  <si>
    <t>AreaName</t>
  </si>
  <si>
    <t>3rd Class Total personal income</t>
  </si>
  <si>
    <t>Personal Income</t>
  </si>
  <si>
    <t>Population&amp;Income</t>
  </si>
  <si>
    <t>Use this sheet to note any questions, findings, conclusions or data revisions.</t>
  </si>
  <si>
    <t>University of Missouri Extension        stallmannj@missouri.edu</t>
  </si>
  <si>
    <t>Annual County Budgets: All Funds Summary (cell E12 less cell F12 less cell G12)</t>
  </si>
  <si>
    <t>StateTax Commission of Missouri spreasdheets</t>
  </si>
  <si>
    <t>Worksheet Name</t>
  </si>
  <si>
    <t>MCI</t>
  </si>
  <si>
    <t>Normalized MCI (1996 = 100)</t>
  </si>
  <si>
    <t>Property Assessed Values</t>
  </si>
  <si>
    <t>Stallmann is Professor of Community Development Extension, Agricultural and Applied Economics, Rural Sociology and Public Affairs</t>
  </si>
  <si>
    <t>Municipal Cost Index</t>
  </si>
  <si>
    <t>Population</t>
  </si>
  <si>
    <t>Bureau of Economic Analysis.  http://www.bea.gov/regional/index.htm</t>
  </si>
  <si>
    <t xml:space="preserve">  A little box with a black arrow appears on the right side of the green cell.  </t>
  </si>
  <si>
    <t>To Correct the Data</t>
  </si>
  <si>
    <t>To Print a Graph</t>
  </si>
  <si>
    <t>Scroll right and down to view the 6 charts in this sheet.</t>
  </si>
  <si>
    <t>County BaseTrends</t>
  </si>
  <si>
    <t>County Budget Trends</t>
  </si>
  <si>
    <t>Scroll right and down to view the 10 charts in this sheet.</t>
  </si>
  <si>
    <t>Scroll right and down to view the 4 charts in this sheet.</t>
  </si>
  <si>
    <t>Scroll right and down to view the 7 charts in this sheet.</t>
  </si>
  <si>
    <t>This sheet allows  comparison of any two Third Class Counties</t>
  </si>
  <si>
    <t>Health and Welfare and "Other"</t>
  </si>
  <si>
    <t>Public Administrator and Coroner</t>
  </si>
  <si>
    <t>Public Administrator and  Coroner</t>
  </si>
  <si>
    <t>2)  Examine the chart to identify times when the expenditures are greater than revenues.</t>
  </si>
  <si>
    <t>that  the two counties are quite different and the comparison may not be very informative.</t>
  </si>
  <si>
    <t>* Note: The vertical scales  in the two  County Detailed General Revenue Expenditure charts may be different.  If the scales are very different the two counties may not be a good comparison.</t>
  </si>
  <si>
    <t>* Note: The vertical scales  in the two  County Detailed General Revenue Receipts charts may be different.  If the scales are very different the two counties may not be a good comparison.</t>
  </si>
  <si>
    <t>have changed since 1996.  That is, each year is shown as a percentage of 1996.</t>
  </si>
  <si>
    <t>When receipts grow faster than assessments, it indicates a likely tax rate change.</t>
  </si>
  <si>
    <t xml:space="preserve">If you find an error and correct it, we would like to know about the error and the correct data so that we can update the data. </t>
  </si>
  <si>
    <t>Data from the Missouri State Tax Commission</t>
  </si>
  <si>
    <t>MISSOURI THIRD CLASS COUNTIES</t>
  </si>
  <si>
    <t>http://dor.mo.gov/publicreports/</t>
  </si>
  <si>
    <t>Missouri Department of Revenues website: http://dor.mo.gov/publicreports/</t>
  </si>
  <si>
    <t>Data from Missouri State Auditor:</t>
  </si>
  <si>
    <t>Missouri State Auditor's website: http://www.auditor.mo.gov/auditreports/counties.htm</t>
  </si>
  <si>
    <t xml:space="preserve"> http://www.auditor.mo.gov/auditreports/counties.htm</t>
  </si>
  <si>
    <t>1996-2003:</t>
  </si>
  <si>
    <r>
      <t xml:space="preserve">Penton Media, Inc. </t>
    </r>
    <r>
      <rPr>
        <i/>
        <sz val="10"/>
        <rFont val="Arial"/>
        <family val="2"/>
      </rPr>
      <t xml:space="preserve"> American City &amp; County.</t>
    </r>
    <r>
      <rPr>
        <sz val="10"/>
        <rFont val="Arial"/>
        <family val="2"/>
      </rPr>
      <t xml:space="preserve">  http://americancityandcounty.com/mciarchive/</t>
    </r>
  </si>
  <si>
    <t>Real per Capita Income</t>
  </si>
  <si>
    <t>Scroll right and down to view the 9 charts in this sheet.</t>
  </si>
  <si>
    <t>CPI</t>
  </si>
  <si>
    <t>Consumer Price Index</t>
  </si>
  <si>
    <t>www.bls.gov/cpi/</t>
  </si>
  <si>
    <t xml:space="preserve">CPI </t>
  </si>
  <si>
    <t>County-to-County Base Trends</t>
  </si>
  <si>
    <t>County-to-County Budget Trends</t>
  </si>
  <si>
    <t>County-to-County Real per Capita Trends</t>
  </si>
  <si>
    <t>Total Expenditures</t>
  </si>
  <si>
    <t xml:space="preserve"> Property Assessed Values </t>
  </si>
  <si>
    <t>Property Assessed Values:  Annual Growth Rate</t>
  </si>
  <si>
    <t>Property Assessed  Values:  per Capita</t>
  </si>
  <si>
    <t>Property Assessed Values:  Cumulative Growth Rate</t>
  </si>
  <si>
    <t>Taxable Sales: per Capita</t>
  </si>
  <si>
    <t>Taxable Sales:   Annual Growth Rate</t>
  </si>
  <si>
    <t>Taxable Sales:  Cumulative Growth Rate</t>
  </si>
  <si>
    <t>Total Receipts</t>
  </si>
  <si>
    <t>GENERAL REVENUE FUND EXPENDITURES</t>
  </si>
  <si>
    <t>Total Special Sales Tax Funds Receipts</t>
  </si>
  <si>
    <t>SPECIAL SALES TAX FUNDS</t>
  </si>
  <si>
    <t>SPECIAL ROAD AND BRIDGE FUND EXPENDITURES</t>
  </si>
  <si>
    <t>County Real per Capita Trends</t>
  </si>
  <si>
    <t>Public Administrator &amp; Coroner</t>
  </si>
  <si>
    <t>Does one county rely heavily on any one source for receipts?</t>
  </si>
  <si>
    <t>Saint Clair</t>
  </si>
  <si>
    <t>Sainte Genevieve</t>
  </si>
  <si>
    <t>Annual County Budgets: GR R (cell I17)</t>
  </si>
  <si>
    <t>Annual County Budgets: GR R (cell I22)</t>
  </si>
  <si>
    <t>Annual County Budgets: GR R (cell I55)</t>
  </si>
  <si>
    <t>Annual County Budgets: GR R (cell I72)</t>
  </si>
  <si>
    <t>Annual County Budgets: GR R (cell I74)</t>
  </si>
  <si>
    <t>Annual County Budgets: SRB R (cell I105)</t>
  </si>
  <si>
    <t>Annual County Budgets: SRB R (cell I17)</t>
  </si>
  <si>
    <t>Annual County Budgets: SRB R (cell I22)</t>
  </si>
  <si>
    <t>Annual County Budgets: SRB R (cell I55)</t>
  </si>
  <si>
    <t>Annual County Budgets: SRB R (cell I73)</t>
  </si>
  <si>
    <t>Annual County Budgets: SRB R (cell I94)</t>
  </si>
  <si>
    <t>Annual County Budgets: GR E (cell F80)</t>
  </si>
  <si>
    <t>Annual County Budgets: GR E (cell F177)</t>
  </si>
  <si>
    <t>Annual County Budgets: GR E (cell F225)</t>
  </si>
  <si>
    <t>Annual County Budgets: GR E (cell F247)</t>
  </si>
  <si>
    <t>Annual County Budgets: GR E (cell F273)</t>
  </si>
  <si>
    <t>Annual County Budgets: GR E (cell I583)</t>
  </si>
  <si>
    <t>Taxable Sales (Sales and Use)</t>
  </si>
  <si>
    <t>Nominal Taxable Sales (Sales and Use)</t>
  </si>
  <si>
    <t>Please Note:</t>
  </si>
  <si>
    <t>Annual County Budgets: GR R (cell G104)</t>
  </si>
  <si>
    <t>Annual County Budgets: GR R (cell G17)</t>
  </si>
  <si>
    <t>Annual County Budgets: GR R (cell G55)</t>
  </si>
  <si>
    <t>Annual County Budgets: GR R (cell G72)</t>
  </si>
  <si>
    <t>Annual County Budgets: GR R (cell G74)</t>
  </si>
  <si>
    <t>Annual County Budgets: GR R (cell G93)</t>
  </si>
  <si>
    <t>Annual County Budgets: GR E (cell E33)</t>
  </si>
  <si>
    <t>Annual County Budgets: GR E (cell E55)</t>
  </si>
  <si>
    <t>Annual County Budgets: GR E (cell E72)</t>
  </si>
  <si>
    <t>Annual County Budgets: GR E (cell E88)</t>
  </si>
  <si>
    <t>Annual County Budgets: GR E (cell E103)</t>
  </si>
  <si>
    <t>Annual County Budgets: GR E (cell E128)</t>
  </si>
  <si>
    <t>Annual County Budgets: GR E (cell E199)</t>
  </si>
  <si>
    <t>Annual County Budgets: GR E (cell E274)</t>
  </si>
  <si>
    <t>Annual County Budgets: GR E (cell E291)</t>
  </si>
  <si>
    <t>Annual County Budgets: GR E (cell E535)</t>
  </si>
  <si>
    <t>Annual County Budgets: GR E (cell E343)</t>
  </si>
  <si>
    <t>Annual County Budgets: GR E (cell E368)</t>
  </si>
  <si>
    <t>Annual County Budgets: GR E (cell E391)</t>
  </si>
  <si>
    <t>Annual County Budgets: GR E (cell E418)</t>
  </si>
  <si>
    <t>Annual County Budgets: GR E (cell E176)</t>
  </si>
  <si>
    <t>Annual County Budgets: GR E (cell E151)</t>
  </si>
  <si>
    <t>Annual County Budgets: GR R (cell G22)</t>
  </si>
  <si>
    <t>Annual County Budgets: GR E (cell E436)</t>
  </si>
  <si>
    <t>Annual County Budgets: GR E (cell E554)</t>
  </si>
  <si>
    <t>Annual County Budgets: GR E (cell E575)</t>
  </si>
  <si>
    <t>Annual County Budgets: GR E (cell E581)</t>
  </si>
  <si>
    <t>Annual County Budgets: GR R (cell H17)</t>
  </si>
  <si>
    <t>Annual County Budgets: GR R (cell H22)</t>
  </si>
  <si>
    <t>Annual County Budgets: GR R (cell H55)</t>
  </si>
  <si>
    <t>Annual County Budgets: GR R (cell H72)</t>
  </si>
  <si>
    <t>Annual County Budgets: GR R (cell H74)</t>
  </si>
  <si>
    <t>Annual County Budgets: GR E (cell E273)</t>
  </si>
  <si>
    <t>2011</t>
  </si>
  <si>
    <t>Annual County Budgets: GR E (cell F581)</t>
  </si>
  <si>
    <t>Annual County Budgets: GR E (cell F33)</t>
  </si>
  <si>
    <t>County Notes</t>
  </si>
  <si>
    <t>Annual County Budgets: GR E (cell I33)</t>
  </si>
  <si>
    <t>Annual County Budgets: GR E (cell I55)</t>
  </si>
  <si>
    <t>Annual County Budgets: GR E (cell F55)</t>
  </si>
  <si>
    <t>Annual County Budgets: GR E (cell E80)</t>
  </si>
  <si>
    <t>Annual County Budgets: GR E (cell I80)</t>
  </si>
  <si>
    <t>Annual County Budgets: GR E (cell E177)</t>
  </si>
  <si>
    <t>Annual County Budgets: GR E (cell I391)</t>
  </si>
  <si>
    <t>Annual County Budgets: GR E (cell I343)</t>
  </si>
  <si>
    <t>Annual County Budgets: GR E (cell F368)</t>
  </si>
  <si>
    <t>Annual County Budgets: GR E (cell F418)</t>
  </si>
  <si>
    <t>Annual County Budgets: GR E (cell F436)</t>
  </si>
  <si>
    <t>Annual County Budgets: GR E (cell I436)</t>
  </si>
  <si>
    <t>Annual County Budgets: GR E (cell F554)</t>
  </si>
  <si>
    <t>Annual County Budgets: GR E (cell I554)</t>
  </si>
  <si>
    <t>Annual County Budgets: GR E (cell F575)</t>
  </si>
  <si>
    <t>Annual County Budgets: GR E (cell I575)</t>
  </si>
  <si>
    <t>Annual County Budgets: GR E (cell I273)</t>
  </si>
  <si>
    <t>Annual County Budgets: GR E (cell I199)</t>
  </si>
  <si>
    <t>Annual County Budgets: GR E (cell I128)</t>
  </si>
  <si>
    <t>Annual County Budgets: GR E (cell I103)</t>
  </si>
  <si>
    <t>Annual County Budgets: GR E (cell I151)</t>
  </si>
  <si>
    <t>Annual County Budgets: GR E (cell E225)</t>
  </si>
  <si>
    <t>Annual County Budgets: GR E (cell I225)</t>
  </si>
  <si>
    <t>Annual County Budgets: GR E (cell F343)</t>
  </si>
  <si>
    <t>Annual County Budgets: GR E (cell I247)</t>
  </si>
  <si>
    <t>Annual County Budgets: GR E (cell F535)</t>
  </si>
  <si>
    <t>Annual County Budgets: GR E (cell I535)</t>
  </si>
  <si>
    <t>Annual County Budgets: GR E (cell I368)</t>
  </si>
  <si>
    <t>Annual County Budgets: GR E (cell I418)</t>
  </si>
  <si>
    <t>Annual County Budgets: SRB R (cell G105)</t>
  </si>
  <si>
    <t>Annual County Budgets: SRB R (cell G17)</t>
  </si>
  <si>
    <t>Annual County Budgets: SRB R (cell G22)</t>
  </si>
  <si>
    <t>Annual County Budgets: SRB R (cell G73)</t>
  </si>
  <si>
    <t>Annual County Budgets: SRB R (cell G94)</t>
  </si>
  <si>
    <t>Annual County Budgets: SRB R (cell G55)</t>
  </si>
  <si>
    <t>Annual County Budgets: SRB E (cell E197)</t>
  </si>
  <si>
    <t>Annual County Budgets: SRB E (cell F197)</t>
  </si>
  <si>
    <t xml:space="preserve">Annual County Budgets: SRB E (cell I199) </t>
  </si>
  <si>
    <t>Annual County Budgets: Prior Year Actual Summary (cell E12 less cell F12 less cell G12)</t>
  </si>
  <si>
    <t>Not including Road and Bridge Sales Taxes</t>
  </si>
  <si>
    <t>2012</t>
  </si>
  <si>
    <t>Annual County Budgets: GR E (cell E247)</t>
  </si>
  <si>
    <t>3-AGF Receipts &amp; Balances</t>
  </si>
  <si>
    <t>3-B Road Fund</t>
  </si>
  <si>
    <t>Special Sales Tax</t>
  </si>
  <si>
    <t>4GF Expenditures</t>
  </si>
  <si>
    <t>General Revenue Fund Receipts: Total Receipts</t>
  </si>
  <si>
    <t>Special Road and Bridge Fund: Total Expenditures</t>
  </si>
  <si>
    <t>General Revenue Fund: Total Expenditures</t>
  </si>
  <si>
    <t xml:space="preserve"> General Revenue Fund: Cash Balances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</si>
  <si>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</si>
  <si>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</si>
  <si>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</si>
  <si>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</si>
  <si>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</si>
  <si>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</si>
  <si>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</si>
  <si>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</si>
  <si>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</si>
  <si>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</si>
  <si>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</si>
  <si>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</si>
  <si>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</si>
  <si>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</si>
  <si>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</si>
  <si>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2013</t>
  </si>
  <si>
    <t>Annual County Budgets: GR Sum. (cell G30)</t>
  </si>
  <si>
    <t>Total Personal income in $1000s</t>
  </si>
  <si>
    <t>http://bea.gov/iTable/iTable.cfm?reqid=70&amp;step=1&amp;isuri=1&amp;acrdn=5#reqid=70&amp;step=1&amp;isuri=1</t>
  </si>
  <si>
    <t>Source;</t>
  </si>
  <si>
    <t xml:space="preserve">  </t>
  </si>
  <si>
    <t>Bureau of Economic Analysis:  Regional Income Accounts--Local Area Personal Income</t>
  </si>
  <si>
    <r>
      <t xml:space="preserve">Penton Media, Inc. </t>
    </r>
    <r>
      <rPr>
        <i/>
        <sz val="10"/>
        <rFont val="Arial"/>
        <family val="2"/>
      </rPr>
      <t xml:space="preserve"> American City &amp; County.</t>
    </r>
    <r>
      <rPr>
        <sz val="10"/>
        <rFont val="Arial"/>
        <family val="2"/>
      </rPr>
      <t xml:space="preserve"> </t>
    </r>
  </si>
  <si>
    <t xml:space="preserve"> http://americancityandcounty.com/mciarchive/ </t>
  </si>
  <si>
    <t>Annual County Budgets: GR E (cell F391)</t>
  </si>
  <si>
    <t>Category</t>
  </si>
  <si>
    <t>County/Category</t>
  </si>
  <si>
    <t>Cash Balances</t>
  </si>
  <si>
    <t>CALCULATION</t>
  </si>
  <si>
    <t>Rossi is a PhD candidate in Agricultural and Applied Economics</t>
  </si>
  <si>
    <t xml:space="preserve">General Government </t>
  </si>
  <si>
    <t>County commission + county clerk + elections + buildings and grounds + treasurer + collector + recorder</t>
  </si>
  <si>
    <t>Sheriff + jail</t>
  </si>
  <si>
    <t>Circuit clerck + associate circuit + court administration + juvenile officer</t>
  </si>
  <si>
    <t>Health and welfare + other</t>
  </si>
  <si>
    <t>Public administrator + coroner</t>
  </si>
  <si>
    <t>Annual County Budgets: GR E (cell I177)</t>
  </si>
  <si>
    <t>2014</t>
  </si>
  <si>
    <t>Not aggregated with any other expenditure category</t>
  </si>
  <si>
    <t>3rd Class per capita income</t>
  </si>
  <si>
    <t>Per capita income</t>
  </si>
  <si>
    <t>Calculated</t>
  </si>
  <si>
    <t>Real per capita income</t>
  </si>
  <si>
    <t>M</t>
  </si>
  <si>
    <t>NS</t>
  </si>
  <si>
    <t>Associate circuit listed under circuit in 2012 budget for 2010</t>
  </si>
  <si>
    <t>Data year</t>
  </si>
  <si>
    <t>From budget</t>
  </si>
  <si>
    <t>Public Administrator is a county employee, not of the probate court</t>
  </si>
  <si>
    <t>Total expenditures</t>
  </si>
  <si>
    <t>Other Revenues</t>
  </si>
  <si>
    <t>Special Road and Bridge Funds: Other Revenues</t>
  </si>
  <si>
    <t>1996-2004:</t>
  </si>
  <si>
    <t>1996-2004</t>
  </si>
  <si>
    <t>2005-2009</t>
  </si>
  <si>
    <t>As a result, for 1996-2004, the individual expenditures are calculated by multiplying the percentage by total expenditures.</t>
  </si>
  <si>
    <t>Annual County Budgets: GR E (cell E224 plus cell E247) Inlcudes Probate Court</t>
  </si>
  <si>
    <t>Annual County Budgets:  All Funds Summary (cell F49)</t>
  </si>
  <si>
    <t>Annual County Budgets: GR Sum. (cell G41)</t>
  </si>
  <si>
    <t>2010 budget is blank, affects 2008</t>
  </si>
  <si>
    <t>This workbook is designed to work with Excel 2007 or more recent versions.</t>
  </si>
  <si>
    <t>This workbook is designed to work with Excel 2007 and later versions.</t>
  </si>
  <si>
    <t>http://app.auditor.mo.gov/AuditReports/AudRpt2.aspx?id=4</t>
  </si>
  <si>
    <t>The eight categories of expenditures were created at the recommendation of county officials.</t>
  </si>
  <si>
    <t xml:space="preserve">5)Go back to the Format column and click Protect Sheet.  </t>
  </si>
  <si>
    <t>http://app.auditor.mo.gov/Repository/Press/2005-80.htm</t>
  </si>
  <si>
    <t>For definitions see:  Missouri State Auditor. Missouri 3rd Class Counties 2005</t>
  </si>
  <si>
    <t>Dr. James Ahrenholz established the gift.</t>
  </si>
  <si>
    <t xml:space="preserve">It may show that the bases are growing differently.  </t>
  </si>
  <si>
    <t xml:space="preserve">It may also show if one base fluctuates more than the other.  </t>
  </si>
  <si>
    <t xml:space="preserve">Below is an alternative way to examine growth.  It shows how the sales tax base and its receipts </t>
  </si>
  <si>
    <t xml:space="preserve">The chart below compares the annual rate of growth of the sales tax revenues and the taxable sales base. </t>
  </si>
  <si>
    <t>When receipts grow faster than taxable sales, it indicates a likely tax rate change.</t>
  </si>
  <si>
    <t xml:space="preserve">Only when the annual rate is below 0 does it mean that assessed values or revenues declined.   </t>
  </si>
  <si>
    <t xml:space="preserve">Note that a decline may only mean that the increase is less than the previous year.  </t>
  </si>
  <si>
    <t>2)  Are any of the expenditure trends different than expected?</t>
  </si>
  <si>
    <t>If  property tax revenues are growing faster than the property tax base, that means that there has been a</t>
  </si>
  <si>
    <t xml:space="preserve"> tax rate increase, perhaps to compensate for decline in values, slow growth, or increased county needs.</t>
  </si>
  <si>
    <t xml:space="preserve">This chart compares the annual  rate of growth of  property tax revenues and the property tax base. </t>
  </si>
  <si>
    <t xml:space="preserve">For some this is easier to understand than the annual growth rates.  </t>
  </si>
  <si>
    <t>Real means that the data have been adjusted for inflation to be the equivalent of 1996 dollars</t>
  </si>
  <si>
    <t xml:space="preserve">Focusing on similarities and differences provides insights about trends of the counties </t>
  </si>
  <si>
    <t>and why they differ.</t>
  </si>
  <si>
    <t>In this comparison focus on the general trends--are similar or different and ask why.</t>
  </si>
  <si>
    <t xml:space="preserve">Compare the trends since 1996 and ask why the counties differ at some points.  </t>
  </si>
  <si>
    <t>Per Capita Income</t>
  </si>
  <si>
    <t>This disappears from the budgets</t>
  </si>
  <si>
    <t>Judith I. Stallmann and James Rossi</t>
  </si>
  <si>
    <t>Data notes:</t>
  </si>
  <si>
    <t>The authors wish to thank Eric McDavid for writing the Excel macro to read the data from the county budgets.</t>
  </si>
  <si>
    <t xml:space="preserve">Judith I. Stallmann and James Rossi  </t>
  </si>
  <si>
    <r>
      <t xml:space="preserve">2) In the ribbon at the top of the page, in the </t>
    </r>
    <r>
      <rPr>
        <b/>
        <sz val="11"/>
        <rFont val="Calibri"/>
        <family val="2"/>
        <scheme val="minor"/>
      </rPr>
      <t>Cells</t>
    </r>
    <r>
      <rPr>
        <sz val="11"/>
        <rFont val="Calibri"/>
        <family val="2"/>
        <scheme val="minor"/>
      </rPr>
      <t xml:space="preserve"> section, click on the </t>
    </r>
    <r>
      <rPr>
        <b/>
        <sz val="11"/>
        <rFont val="Calibri"/>
        <family val="2"/>
        <scheme val="minor"/>
      </rPr>
      <t>Format</t>
    </r>
    <r>
      <rPr>
        <sz val="11"/>
        <rFont val="Calibri"/>
        <family val="2"/>
        <scheme val="minor"/>
      </rPr>
      <t xml:space="preserve"> icon.  </t>
    </r>
  </si>
  <si>
    <r>
      <t>3) Click</t>
    </r>
    <r>
      <rPr>
        <b/>
        <sz val="11"/>
        <rFont val="Calibri"/>
        <family val="2"/>
        <scheme val="minor"/>
      </rPr>
      <t xml:space="preserve"> Unprotect</t>
    </r>
    <r>
      <rPr>
        <sz val="11"/>
        <rFont val="Calibri"/>
        <family val="2"/>
        <scheme val="minor"/>
      </rPr>
      <t xml:space="preserve"> from the drop-down menu</t>
    </r>
  </si>
  <si>
    <t xml:space="preserve">4) Select the cell containing the error and type in the correct data.  </t>
  </si>
  <si>
    <t xml:space="preserve">6) Some cells are also locked, such as a cell with a formula.  It is recommended that locked cells not be changed.  </t>
  </si>
  <si>
    <t>Data Notes:</t>
  </si>
  <si>
    <t xml:space="preserve">If you want to change the data because you have found an error in your data, we suggest you make a copy of this workbook and change the data in the copy.  </t>
  </si>
  <si>
    <t>Calcualted using the Consumer Price Index in the price indices sheet.</t>
  </si>
  <si>
    <t>1) From 1996 to 2004 the Auditor reports total expenditures and individual expenditures are reported as a percentage of the total.</t>
  </si>
  <si>
    <t>Scroll across to see the data from the county budgets.</t>
  </si>
  <si>
    <t>Used to calculate real per capita income</t>
  </si>
  <si>
    <t>.</t>
  </si>
  <si>
    <t>Used to calculate real tax bases, reveunues and expenditures for counties.</t>
  </si>
  <si>
    <t>A gift in honor of the contributions of Dr. Curtis Bracheler contributed to this project.</t>
  </si>
  <si>
    <t>New Madrid</t>
  </si>
  <si>
    <t xml:space="preserve">Scroll across to see all of the original data in this sheet and some financial ratios. </t>
  </si>
  <si>
    <t>Annual County Budgets: GR R (cell G106)</t>
  </si>
  <si>
    <t>Annual County Budgets: GR R (cell H106)</t>
  </si>
  <si>
    <t>Annual County Budgets: GR R (cell I106)</t>
  </si>
  <si>
    <t>Annual County Budgets: GR R (cell G95)</t>
  </si>
  <si>
    <t>Annual County Budgets: GR R (cell H95)</t>
  </si>
  <si>
    <t>Annual County Budgets: GR R (cell I95)</t>
  </si>
  <si>
    <t>2005-2015</t>
  </si>
  <si>
    <t>2010-2015</t>
  </si>
  <si>
    <t>2015</t>
  </si>
  <si>
    <t>2016</t>
  </si>
  <si>
    <t>2017</t>
  </si>
  <si>
    <t xml:space="preserve">2)The revenues and expenditures data for 2017 are the budgeted data, not the actual. </t>
  </si>
  <si>
    <t>1996-2017</t>
  </si>
  <si>
    <t>1996-2016</t>
  </si>
  <si>
    <t>From budget year</t>
  </si>
  <si>
    <t>Current year in 2017 budget</t>
  </si>
  <si>
    <t>Data prior to 2005 are from paper reports by the state auditor</t>
  </si>
  <si>
    <t>3rd Class population</t>
  </si>
  <si>
    <t>1)The revenues and expenditures data for 2017 are the budgeted data, not the actual.</t>
  </si>
  <si>
    <t xml:space="preserve">1)The revenues and expenditures data for 2017 are the budgeted data, not the actual. </t>
  </si>
  <si>
    <t>2)The 2016 data are for the year in progress, so they also may change</t>
  </si>
  <si>
    <t>2) The 2016 data are for the year in progress, so they also may change.</t>
  </si>
  <si>
    <t>2)The  2016 data are for the year in progress, so they also may change.</t>
  </si>
  <si>
    <t>2) The  2016 data are for the year in progress, so they also may change.</t>
  </si>
  <si>
    <t xml:space="preserve">Thank you, </t>
  </si>
  <si>
    <t>Annual County Budgets: GR E (cell E224 plus cell E247)</t>
  </si>
  <si>
    <t>This sheet provides information by county for each budget year</t>
  </si>
  <si>
    <t>Projected for 2017 in 2017 budget</t>
  </si>
  <si>
    <t>2014 is building budget only, not full budget</t>
  </si>
  <si>
    <t xml:space="preserve">Because of the budget format, some budget items do not have the two-year lag.  Special sales tax may be from the same year or from a budget with only a one year lag.  </t>
  </si>
  <si>
    <t>NS=Not standard Auditor's budget  format</t>
  </si>
  <si>
    <t>Data from the Missouri Department of Revenue Public Taxable Sales Report</t>
  </si>
  <si>
    <t>Ratio of Receipts per Dollar of Expenditures (General Revenue)</t>
  </si>
  <si>
    <t>County Disbursements by Function: Circuit Clerk</t>
  </si>
  <si>
    <t>2013 budget onward has no associate circuit listed</t>
  </si>
  <si>
    <t>2011-2017</t>
  </si>
  <si>
    <t>2010:  Associate circuit listed under circuit in 2012 budget for 2010</t>
  </si>
  <si>
    <t>2011-2017:  2013 budget onward has no associate circuit listed</t>
  </si>
  <si>
    <t>Circuit clerk + associate circuit + court administration + juvenile officer</t>
  </si>
  <si>
    <t>Normalized (1996=100)</t>
  </si>
  <si>
    <t>2) Click on the "File" tab at the top of the page.</t>
  </si>
  <si>
    <r>
      <t xml:space="preserve">1) Select a graph by </t>
    </r>
    <r>
      <rPr>
        <b/>
        <sz val="11"/>
        <rFont val="Calibri"/>
        <family val="2"/>
      </rPr>
      <t>left clicking</t>
    </r>
    <r>
      <rPr>
        <sz val="11"/>
        <rFont val="Calibri"/>
        <family val="2"/>
      </rPr>
      <t xml:space="preserve"> on it once.  </t>
    </r>
  </si>
  <si>
    <r>
      <t xml:space="preserve">3)Click on the </t>
    </r>
    <r>
      <rPr>
        <b/>
        <sz val="11"/>
        <rFont val="Calibri"/>
        <family val="2"/>
      </rPr>
      <t xml:space="preserve">print </t>
    </r>
    <r>
      <rPr>
        <sz val="11"/>
        <rFont val="Calibri"/>
        <family val="2"/>
      </rPr>
      <t>option.</t>
    </r>
  </si>
  <si>
    <t xml:space="preserve">4) On the print page,  and "Settings" select "Print Selected Chart".    </t>
  </si>
  <si>
    <t>5) Check to see if the chart will  print as you wish it by selecting "Print Preview" before printing.</t>
  </si>
  <si>
    <t>7) Repeat the same process to select a county in each of the sheets with a yellow tab.</t>
  </si>
  <si>
    <t xml:space="preserve">1)The data in this workbook  for 1996-2004 are audited data from various years of the report,  "Missouri Third Class Counties."  Office of the State Auditor  </t>
  </si>
  <si>
    <t xml:space="preserve">3)The revenue and expenditure data for 2017 are the budgeted data, not the actual data and will change when actual data become available. </t>
  </si>
  <si>
    <t>4)The revenue and expenditure data for 2016  are for the year in progress and they also will change.</t>
  </si>
  <si>
    <t>5)Given the large amount of data included, there will be errors.  Please contact Judith Stallmann at the e-mail address above if you find one.</t>
  </si>
  <si>
    <t>Third Class County Budget Trend Analysis:  1996-2017</t>
  </si>
  <si>
    <t xml:space="preserve">2)Data from 2005 onward are not audited data and may contain errors.  </t>
  </si>
  <si>
    <t xml:space="preserve">The 6 yellow tabs alllow the user to see selected data and automatically graph that data for any chosen third class country.  </t>
  </si>
  <si>
    <t>There are six sheets for fiscal analysis (the yellow tabs).</t>
  </si>
  <si>
    <t>Organization of the workbook:</t>
  </si>
  <si>
    <t xml:space="preserve">Because the data from 2005 onward are not audited, there may be errors in the data.  </t>
  </si>
  <si>
    <t>Data notes</t>
  </si>
  <si>
    <t>Introduction</t>
  </si>
  <si>
    <t>To open an analysis sheet</t>
  </si>
  <si>
    <t>Definitions for aggregated expenditures</t>
  </si>
  <si>
    <t xml:space="preserve">2)The revenues and expenditures data for 2016 are the year in progress data, not the actual. </t>
  </si>
  <si>
    <t>4)Assessed property values, taxable sales, population and per capita income are from state and federal sources.</t>
  </si>
  <si>
    <t>4)Some budgets do not follow the format of the State Auditor and are not included in this workbook.  See the tab, "CountyBudgetNotes".</t>
  </si>
  <si>
    <t>2005-2012</t>
  </si>
  <si>
    <t>2013-2015</t>
  </si>
  <si>
    <t>2005-2008</t>
  </si>
  <si>
    <t>2009-2016</t>
  </si>
  <si>
    <t>This workbook allows Third Class counties to analyze fiscal trends from 1996 to 2017.</t>
  </si>
  <si>
    <r>
      <t xml:space="preserve">3)   County Real per Capita: </t>
    </r>
    <r>
      <rPr>
        <sz val="11"/>
        <rFont val="Calibri"/>
        <family val="2"/>
        <scheme val="minor"/>
      </rPr>
      <t xml:space="preserve">individual county tax bases and budget trends on a per capita basis, controlling for inflation.  </t>
    </r>
  </si>
  <si>
    <r>
      <t xml:space="preserve">4)  County to County Budget Trends: </t>
    </r>
    <r>
      <rPr>
        <sz val="11"/>
        <rFont val="Calibri"/>
        <family val="2"/>
        <scheme val="minor"/>
      </rPr>
      <t xml:space="preserve"> county-to-county comparisons of  general revenue receipts and expenditures trends.</t>
    </r>
  </si>
  <si>
    <r>
      <t>5)  County to County Base Trends:</t>
    </r>
    <r>
      <rPr>
        <sz val="11"/>
        <rFont val="Calibri"/>
        <family val="2"/>
        <scheme val="minor"/>
      </rPr>
      <t xml:space="preserve"> county-to-county comparisons for both the tax receipts and their tax bases.  </t>
    </r>
  </si>
  <si>
    <r>
      <t>6)</t>
    </r>
    <r>
      <rPr>
        <b/>
        <sz val="7"/>
        <rFont val="Calibri"/>
        <family val="2"/>
        <scheme val="minor"/>
      </rPr>
      <t>  </t>
    </r>
    <r>
      <rPr>
        <b/>
        <sz val="11"/>
        <rFont val="Calibri"/>
        <family val="2"/>
        <scheme val="minor"/>
      </rPr>
      <t xml:space="preserve">County-to-County Real per Capita: </t>
    </r>
    <r>
      <rPr>
        <sz val="11"/>
        <rFont val="Calibri"/>
        <family val="2"/>
        <scheme val="minor"/>
      </rPr>
      <t xml:space="preserve"> county-to-county comparison of tax bases and budget trends on a per capita basis, controlling for inflation.</t>
    </r>
  </si>
  <si>
    <t>1) The General Government: includes the County Commission, County Clerk, Elections, Buildings and Grounds, Treasurer, Collector, and Recorder.</t>
  </si>
  <si>
    <t>2) The Law Enforcement:  expenditures for Sheriff and Jail. Any funding by special sales taxes is not included.</t>
  </si>
  <si>
    <t>3) Court Expenditures:  Circuit Clerk, (Associate Clerk), Court Administration, and Juvenile Officer.  About 2010 the Associate Circuit is not in the budgets.</t>
  </si>
  <si>
    <t>4) Health and Welfare and Other:  Health and Welfare combined with  “Other”.  This is something of a miscellaneous category.</t>
  </si>
  <si>
    <t>5) Public Administrator and Coroner</t>
  </si>
  <si>
    <t xml:space="preserve">Opening the workbook in old versions if Excel gives a notice that data will be truncated beyond column IV, which affects the expenditure data. </t>
  </si>
  <si>
    <t xml:space="preserve">The sheets with red tabs contain the original data from county budgets.  These sheets contain more detail than given in the graphs in the sheets with yellow tabs.  </t>
  </si>
  <si>
    <t>The sheets with green tabs give information about the counties and the data.</t>
  </si>
  <si>
    <r>
      <t xml:space="preserve">2)  Go to the green cell at the top left side of the screen, below the </t>
    </r>
    <r>
      <rPr>
        <b/>
        <sz val="11"/>
        <rFont val="Calibri"/>
        <family val="2"/>
      </rPr>
      <t xml:space="preserve">County Selection  Box, </t>
    </r>
    <r>
      <rPr>
        <sz val="11"/>
        <rFont val="Calibri"/>
        <family val="2"/>
      </rPr>
      <t xml:space="preserve">and  left click once on the green cell .  </t>
    </r>
  </si>
  <si>
    <t>4) Use the scroll bar on the right side of the list and scroll down the list until the appropriate county appears.</t>
  </si>
  <si>
    <r>
      <t xml:space="preserve">1) Click on the yellow tab: </t>
    </r>
    <r>
      <rPr>
        <b/>
        <sz val="11"/>
        <rFont val="Calibri"/>
        <family val="2"/>
      </rPr>
      <t xml:space="preserve"> County Budget Trends.</t>
    </r>
  </si>
  <si>
    <t>3) Click  once on the arrow and the  list of the Third Class Counties appears.  (Unfortunately the font is small and difficult to read unless you enlarge the entire sheet.)</t>
  </si>
  <si>
    <t xml:space="preserve">5) Click once on the appropriate county.  The charts on the screen will change and will have the name of the selected county in the titles.  </t>
  </si>
  <si>
    <t xml:space="preserve">6) Scroll down the sheet to see tables of data and scroll to the right and down to view charts of the same data.   </t>
  </si>
  <si>
    <t xml:space="preserve">1)First make copy of the workbook, giving it a name that indicates you have edited it.  If you should make a mistake, you can go back to the original, make another copy, and try again.  </t>
  </si>
  <si>
    <t xml:space="preserve">Budget template transition 2005-2008: some counties use a new template but the majority use the older template.  </t>
  </si>
  <si>
    <t xml:space="preserve">Beginning in 2009 the new template is used and data are read from the "Prior year actual summary tab" of the following year.    </t>
  </si>
  <si>
    <t>All Funds Summary (cell E12 less cell F12 less cell G12)</t>
  </si>
  <si>
    <t>Prior Year Actual Summary (cell E12 less cell F12 less cell G12)</t>
  </si>
  <si>
    <t xml:space="preserve">The older template does not have the "Prior year actural summary" tab.   For consistency data for 2005-2008 are read from the "All funds summary" tab for that year.  </t>
  </si>
  <si>
    <t>2018</t>
  </si>
  <si>
    <t>Real per capita income is adjusted by the consumer price index.</t>
  </si>
  <si>
    <t>Per capita means per person and is an average for all of the people in the county</t>
  </si>
  <si>
    <t>RP</t>
  </si>
  <si>
    <t>R</t>
  </si>
  <si>
    <t>Legend</t>
  </si>
  <si>
    <t>RP=Recovered corrupted budget with partial data</t>
  </si>
  <si>
    <t>R=Recovered corrupted budget with full data</t>
  </si>
  <si>
    <t>Explanatory information</t>
  </si>
  <si>
    <t xml:space="preserve">Recovered file; Missing all funds summary and prior year summary data; </t>
  </si>
  <si>
    <t>P=Partial budget, see explanatory note</t>
  </si>
  <si>
    <t>P</t>
  </si>
  <si>
    <t>M=Missing (perhaps submitted a paper report) or corrupted file</t>
  </si>
  <si>
    <t>CALCULATED</t>
  </si>
  <si>
    <t xml:space="preserve">2)The  2016 data are for the year in progress and they may change. </t>
  </si>
  <si>
    <t xml:space="preserve">3)The revenues and expenditures data for 2017 are the budgeted data, not the actual. </t>
  </si>
  <si>
    <t xml:space="preserve">1)The  2016 data are for the year in progress and they may change. </t>
  </si>
  <si>
    <t>The categories of exependitures were aggregated to create a smaller number of expenditures for graphing</t>
  </si>
  <si>
    <t xml:space="preserve">The table for the aggregated expenditures is found below the table of the first expenditure included in the aggretation.  </t>
  </si>
  <si>
    <t xml:space="preserve">For example, the general government table is found below the county commission table. </t>
  </si>
  <si>
    <t>Public Administrator is a county employee, not an employee of the court</t>
  </si>
  <si>
    <t>x</t>
  </si>
  <si>
    <t>x=see explantory information</t>
  </si>
  <si>
    <t>P  2014 revenues not reported</t>
  </si>
  <si>
    <t>x 2012 Budget; no circuit, has Assoc Circuit in rows of circuit; used associate for circuit for 2010</t>
  </si>
  <si>
    <t>For this item that means 2014 is read from the 2015 budget not from the 2016 budget.</t>
  </si>
  <si>
    <t>(Revised 2019)</t>
  </si>
  <si>
    <t xml:space="preserve">Scroll down to row 112 for calculations of property and sales tax revenues cummulative and annual growth rates. </t>
  </si>
  <si>
    <r>
      <t xml:space="preserve">1)  Budget Trends: </t>
    </r>
    <r>
      <rPr>
        <sz val="11"/>
        <rFont val="Calibri"/>
        <family val="2"/>
        <scheme val="minor"/>
      </rPr>
      <t xml:space="preserve"> individual county budget trends in general revenue receipts and expenditures.  It does not include the Road and Bridge fund, nor special sales taxes.</t>
    </r>
  </si>
  <si>
    <r>
      <t xml:space="preserve">2)  Base Trends: </t>
    </r>
    <r>
      <rPr>
        <sz val="11"/>
        <rFont val="Calibri"/>
        <family val="2"/>
        <scheme val="minor"/>
      </rPr>
      <t xml:space="preserve"> individual county trends for both the property tax base (assessed values) and receipts and the sales tax base (taxable sales) and receipts. </t>
    </r>
    <r>
      <rPr>
        <b/>
        <sz val="11"/>
        <rFont val="Calibri"/>
        <family val="2"/>
        <scheme val="minor"/>
      </rPr>
      <t xml:space="preserve"> </t>
    </r>
  </si>
  <si>
    <t xml:space="preserve">The green tab, "Data Sources,"  provides information on the exact source (tab and cell) in the auditor's county budget template for each expenditure or revenue. </t>
  </si>
  <si>
    <t xml:space="preserve">The green tab, "County Specific Data Notes," provides information about the budget for each county for each year.   Some counties do not have data for all years or reported in a non-standard format.  </t>
  </si>
  <si>
    <t xml:space="preserve">     If they graphs for a county appear unusual, it may be that the data are missing for a year.  Check the "County Specific Data Notes" tab to verify if the data are missing.  </t>
  </si>
  <si>
    <t>Real revenues and expenditures are adjusted by the Municipal Cost Index</t>
  </si>
  <si>
    <t>Real per capita income is adjusted by the consumer price index</t>
  </si>
  <si>
    <t>This sheet gives the sources of the data from the budget workbook provided by the State Auditor's Office</t>
  </si>
  <si>
    <t xml:space="preserve">The older template does not have the "Prior year actural summary" tab.   For consistency, data for these years are read from the "All funds summary" tab for that year.  </t>
  </si>
  <si>
    <t>Includes probate according to the auditor</t>
  </si>
  <si>
    <t xml:space="preserve">96 &amp; 97 budgts missing some expenditure detail. Auditor's "3rd Class Counties" paper report; 98-04 reports did not include New Madrid. </t>
  </si>
  <si>
    <t>* Reports the Road &amp; Bridge Fund in tabs for West and East for all years.  Not aggregated.  Road and Bridge fund data marked as missing.</t>
  </si>
  <si>
    <t>Often reports in 2 workbooks, but totals not affected</t>
  </si>
  <si>
    <t>P: Does not report all revenues</t>
  </si>
  <si>
    <t>x 2010 budget has very large property tax revenues for  2008, affecting total revenues.  2009 budget shows 0 property tax for 2008.  Used 2009 budget data for 2008 property revenues</t>
  </si>
  <si>
    <t xml:space="preserve">x error in total sales tax revenue calculation </t>
  </si>
  <si>
    <t>Scroll to X1116 to see the tables of the aggregated expenditures.</t>
  </si>
  <si>
    <t>Scroll down to row 116 to see how the individiual expenditures are aggregated for use in the graphs</t>
  </si>
  <si>
    <t>Third Class County Budget Trend Analysis: 1996-2017</t>
  </si>
  <si>
    <t xml:space="preserve">2) The revenue and expenditure data for 2017 are the budgeted data, not the actual data and will change when actual data become available. </t>
  </si>
  <si>
    <t>3) The revenue and expenditure data for 2016 are for the year in progress and they also will change.</t>
  </si>
  <si>
    <t>January 2019</t>
  </si>
  <si>
    <t xml:space="preserve">1) Data from 2005 and later are not audited data and may contain errors. </t>
  </si>
  <si>
    <t xml:space="preserve">University of Missouri Extension    </t>
  </si>
  <si>
    <t>4) Given the large amount of data included, there will be errors. Please contact Judith Stallmann at the email address above.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</si>
</sst>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[Red]#,##0"/>
    <numFmt numFmtId="165" formatCode="_(* #,##0_);_(* \(#,##0\);_(* &quot;-&quot;??_);_(@_)"/>
    <numFmt numFmtId="166" formatCode="0;[Red]0"/>
    <numFmt numFmtId="167" formatCode="0.000"/>
    <numFmt numFmtId="168" formatCode="&quot;$&quot;#,##0"/>
    <numFmt numFmtId="169" formatCode="&quot;$&quot;#,##0.00"/>
    <numFmt numFmtId="170" formatCode="#0.0"/>
    <numFmt numFmtId="171" formatCode="#0.000"/>
    <numFmt numFmtId="172" formatCode="[$-10409]&quot;$&quot;#,##0.00;&quot;$&quot;\-#,##0.00"/>
  </numFmts>
  <fonts count="8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8"/>
      <name val="Arial"/>
      <family val="2"/>
    </font>
    <font>
      <b/>
      <i/>
      <sz val="14"/>
      <name val="Arial"/>
      <family val="2"/>
    </font>
    <font>
      <b/>
      <i/>
      <sz val="20"/>
      <color indexed="8"/>
      <name val="Calibri"/>
      <family val="2"/>
    </font>
    <font>
      <sz val="30"/>
      <name val="Arial"/>
      <family val="2"/>
    </font>
    <font>
      <sz val="10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i/>
      <sz val="10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u/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u/>
      <sz val="10"/>
      <color indexed="12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b/>
      <i/>
      <sz val="16"/>
      <name val="Arial"/>
      <family val="2"/>
    </font>
    <font>
      <sz val="16"/>
      <name val="Arial"/>
      <family val="2"/>
    </font>
    <font>
      <sz val="10"/>
      <name val="Times New Roman"/>
      <family val="1"/>
    </font>
    <font>
      <b/>
      <sz val="16"/>
      <name val="Calibri"/>
      <family val="2"/>
      <scheme val="minor"/>
    </font>
    <font>
      <i/>
      <sz val="10"/>
      <name val="Arial"/>
      <family val="2"/>
    </font>
    <font>
      <b/>
      <sz val="7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name val="Calibri"/>
      <family val="2"/>
      <scheme val="minor"/>
    </font>
    <font>
      <sz val="12"/>
      <name val="Calibri"/>
      <family val="2"/>
    </font>
    <font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1"/>
      <color rgb="FF3333FF"/>
      <name val="Calibri"/>
      <family val="2"/>
    </font>
    <font>
      <b/>
      <sz val="10"/>
      <color rgb="FF3333FF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2"/>
      <color theme="0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indexed="81"/>
      <name val="Tahoma"/>
      <family val="2"/>
    </font>
    <font>
      <sz val="10"/>
      <color theme="1"/>
      <name val="Arial"/>
      <family val="2"/>
    </font>
    <font>
      <i/>
      <sz val="9"/>
      <name val="Arial"/>
      <family val="2"/>
    </font>
    <font>
      <u/>
      <sz val="10"/>
      <color theme="10"/>
      <name val="Arial"/>
      <family val="2"/>
    </font>
    <font>
      <sz val="16"/>
      <name val="Calibri"/>
      <family val="2"/>
    </font>
    <font>
      <b/>
      <i/>
      <sz val="16"/>
      <color indexed="8"/>
      <name val="Calibri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i/>
      <sz val="9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i/>
      <sz val="9"/>
      <color theme="1"/>
      <name val="Arial"/>
      <family val="2"/>
    </font>
    <font>
      <sz val="10"/>
      <color theme="5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b/>
      <sz val="12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charset val="1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66"/>
        <bgColor indexed="64"/>
      </patternFill>
    </fill>
  </fills>
  <borders count="36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theme="0" tint="-0.14996795556505021"/>
      </bottom>
      <diagonal/>
    </border>
    <border>
      <left/>
      <right style="thin">
        <color indexed="9"/>
      </right>
      <top style="thin">
        <color indexed="9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</borders>
  <cellStyleXfs count="25">
    <xf numFmtId="0" fontId="0" fillId="0" borderId="0"/>
    <xf numFmtId="43" fontId="6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42" fillId="0" borderId="0"/>
    <xf numFmtId="9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0" fontId="33" fillId="0" borderId="0"/>
    <xf numFmtId="0" fontId="62" fillId="0" borderId="0" applyNumberFormat="0" applyFill="0" applyBorder="0" applyAlignment="0" applyProtection="0"/>
    <xf numFmtId="43" fontId="66" fillId="0" borderId="0" applyFont="0" applyFill="0" applyBorder="0" applyAlignment="0" applyProtection="0"/>
    <xf numFmtId="0" fontId="2" fillId="0" borderId="0"/>
    <xf numFmtId="0" fontId="67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44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1031">
    <xf numFmtId="0" fontId="0" fillId="0" borderId="0" xfId="0"/>
    <xf numFmtId="0" fontId="5" fillId="0" borderId="0" xfId="0" applyFont="1" applyFill="1"/>
    <xf numFmtId="0" fontId="0" fillId="0" borderId="0" xfId="0" applyFill="1"/>
    <xf numFmtId="0" fontId="6" fillId="0" borderId="0" xfId="0" applyFont="1"/>
    <xf numFmtId="0" fontId="5" fillId="0" borderId="0" xfId="0" applyFont="1"/>
    <xf numFmtId="0" fontId="5" fillId="0" borderId="0" xfId="0" applyFont="1" applyFill="1" applyBorder="1"/>
    <xf numFmtId="3" fontId="6" fillId="0" borderId="0" xfId="0" applyNumberFormat="1" applyFont="1" applyFill="1" applyBorder="1" applyAlignment="1">
      <alignment vertical="top" wrapText="1"/>
    </xf>
    <xf numFmtId="165" fontId="6" fillId="0" borderId="0" xfId="1" applyNumberFormat="1" applyFont="1" applyFill="1" applyBorder="1" applyAlignment="1">
      <alignment vertical="top" wrapText="1"/>
    </xf>
    <xf numFmtId="3" fontId="0" fillId="0" borderId="0" xfId="0" applyNumberFormat="1"/>
    <xf numFmtId="0" fontId="7" fillId="2" borderId="0" xfId="0" applyFont="1" applyFill="1" applyBorder="1" applyProtection="1">
      <protection locked="0"/>
    </xf>
    <xf numFmtId="0" fontId="9" fillId="0" borderId="0" xfId="0" applyFont="1" applyBorder="1" applyProtection="1">
      <protection locked="0"/>
    </xf>
    <xf numFmtId="0" fontId="10" fillId="0" borderId="0" xfId="0" applyFont="1" applyFill="1"/>
    <xf numFmtId="0" fontId="0" fillId="0" borderId="0" xfId="0" applyAlignment="1" applyProtection="1"/>
    <xf numFmtId="0" fontId="6" fillId="0" borderId="0" xfId="0" applyFont="1" applyFill="1" applyBorder="1" applyAlignment="1">
      <alignment vertical="top"/>
    </xf>
    <xf numFmtId="0" fontId="8" fillId="0" borderId="0" xfId="0" applyFont="1" applyFill="1"/>
    <xf numFmtId="4" fontId="6" fillId="0" borderId="0" xfId="0" applyNumberFormat="1" applyFont="1" applyFill="1" applyBorder="1" applyAlignment="1">
      <alignment horizontal="right" vertical="top"/>
    </xf>
    <xf numFmtId="0" fontId="5" fillId="0" borderId="0" xfId="0" applyFont="1" applyBorder="1" applyAlignment="1">
      <alignment horizontal="left"/>
    </xf>
    <xf numFmtId="2" fontId="2" fillId="0" borderId="0" xfId="0" applyNumberFormat="1" applyFont="1" applyBorder="1"/>
    <xf numFmtId="2" fontId="2" fillId="0" borderId="0" xfId="0" applyNumberFormat="1" applyFont="1" applyFill="1" applyBorder="1"/>
    <xf numFmtId="2" fontId="12" fillId="0" borderId="0" xfId="0" applyNumberFormat="1" applyFont="1" applyBorder="1"/>
    <xf numFmtId="2" fontId="12" fillId="0" borderId="0" xfId="0" applyNumberFormat="1" applyFont="1" applyBorder="1" applyProtection="1">
      <protection locked="0"/>
    </xf>
    <xf numFmtId="2" fontId="11" fillId="0" borderId="0" xfId="0" applyNumberFormat="1" applyFont="1" applyBorder="1" applyProtection="1">
      <protection locked="0"/>
    </xf>
    <xf numFmtId="2" fontId="11" fillId="0" borderId="0" xfId="0" applyNumberFormat="1" applyFont="1" applyBorder="1"/>
    <xf numFmtId="0" fontId="14" fillId="0" borderId="0" xfId="0" applyFont="1"/>
    <xf numFmtId="0" fontId="8" fillId="3" borderId="0" xfId="0" applyFont="1" applyFill="1"/>
    <xf numFmtId="0" fontId="15" fillId="0" borderId="0" xfId="0" applyFont="1"/>
    <xf numFmtId="0" fontId="5" fillId="0" borderId="0" xfId="0" applyFont="1" applyBorder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right"/>
    </xf>
    <xf numFmtId="1" fontId="13" fillId="0" borderId="0" xfId="0" applyNumberFormat="1" applyFont="1" applyFill="1" applyBorder="1" applyAlignment="1">
      <alignment horizontal="right"/>
    </xf>
    <xf numFmtId="0" fontId="10" fillId="0" borderId="0" xfId="0" applyFont="1"/>
    <xf numFmtId="0" fontId="15" fillId="0" borderId="0" xfId="0" applyFont="1" applyBorder="1"/>
    <xf numFmtId="0" fontId="0" fillId="0" borderId="0" xfId="0" applyProtection="1">
      <protection locked="0"/>
    </xf>
    <xf numFmtId="0" fontId="17" fillId="2" borderId="0" xfId="0" applyFont="1" applyFill="1" applyBorder="1" applyProtection="1">
      <protection locked="0"/>
    </xf>
    <xf numFmtId="0" fontId="6" fillId="0" borderId="0" xfId="0" applyFont="1" applyFill="1" applyBorder="1" applyAlignment="1" applyProtection="1">
      <alignment vertical="top" wrapText="1"/>
      <protection locked="0"/>
    </xf>
    <xf numFmtId="3" fontId="0" fillId="0" borderId="0" xfId="0" applyNumberFormat="1" applyProtection="1">
      <protection locked="0"/>
    </xf>
    <xf numFmtId="0" fontId="0" fillId="0" borderId="0" xfId="0" applyFill="1" applyProtection="1">
      <protection locked="0"/>
    </xf>
    <xf numFmtId="0" fontId="7" fillId="0" borderId="0" xfId="0" applyFont="1" applyProtection="1">
      <protection locked="0"/>
    </xf>
    <xf numFmtId="3" fontId="6" fillId="0" borderId="0" xfId="0" applyNumberFormat="1" applyFont="1"/>
    <xf numFmtId="4" fontId="6" fillId="0" borderId="0" xfId="0" applyNumberFormat="1" applyFont="1"/>
    <xf numFmtId="0" fontId="6" fillId="0" borderId="0" xfId="0" applyFont="1" applyBorder="1"/>
    <xf numFmtId="0" fontId="6" fillId="0" borderId="0" xfId="0" applyFont="1" applyFill="1" applyBorder="1"/>
    <xf numFmtId="0" fontId="6" fillId="0" borderId="0" xfId="0" applyFont="1" applyFill="1"/>
    <xf numFmtId="4" fontId="6" fillId="0" borderId="0" xfId="0" applyNumberFormat="1" applyFont="1" applyFill="1" applyBorder="1"/>
    <xf numFmtId="3" fontId="6" fillId="0" borderId="0" xfId="0" applyNumberFormat="1" applyFont="1" applyBorder="1"/>
    <xf numFmtId="0" fontId="20" fillId="0" borderId="0" xfId="0" applyFont="1" applyBorder="1" applyAlignment="1" applyProtection="1"/>
    <xf numFmtId="0" fontId="20" fillId="0" borderId="0" xfId="0" applyFont="1" applyAlignment="1" applyProtection="1"/>
    <xf numFmtId="2" fontId="21" fillId="0" borderId="0" xfId="0" applyNumberFormat="1" applyFont="1" applyProtection="1">
      <protection hidden="1"/>
    </xf>
    <xf numFmtId="164" fontId="6" fillId="0" borderId="0" xfId="0" applyNumberFormat="1" applyFont="1" applyProtection="1">
      <protection locked="0"/>
    </xf>
    <xf numFmtId="164" fontId="21" fillId="0" borderId="0" xfId="0" applyNumberFormat="1" applyFont="1" applyBorder="1" applyProtection="1">
      <protection locked="0"/>
    </xf>
    <xf numFmtId="164" fontId="21" fillId="0" borderId="0" xfId="0" applyNumberFormat="1" applyFont="1" applyAlignment="1" applyProtection="1">
      <protection locked="0"/>
    </xf>
    <xf numFmtId="49" fontId="21" fillId="0" borderId="0" xfId="0" applyNumberFormat="1" applyFont="1" applyAlignment="1"/>
    <xf numFmtId="164" fontId="21" fillId="0" borderId="0" xfId="0" applyNumberFormat="1" applyFont="1" applyProtection="1">
      <protection locked="0"/>
    </xf>
    <xf numFmtId="0" fontId="21" fillId="0" borderId="0" xfId="0" applyFont="1"/>
    <xf numFmtId="164" fontId="22" fillId="0" borderId="0" xfId="0" applyNumberFormat="1" applyFont="1" applyAlignment="1" applyProtection="1">
      <protection locked="0"/>
    </xf>
    <xf numFmtId="0" fontId="16" fillId="0" borderId="0" xfId="0" applyFont="1"/>
    <xf numFmtId="164" fontId="21" fillId="0" borderId="0" xfId="0" applyNumberFormat="1" applyFont="1" applyBorder="1" applyAlignment="1" applyProtection="1">
      <protection locked="0"/>
    </xf>
    <xf numFmtId="2" fontId="6" fillId="0" borderId="0" xfId="0" applyNumberFormat="1" applyFont="1" applyProtection="1">
      <protection hidden="1"/>
    </xf>
    <xf numFmtId="2" fontId="6" fillId="0" borderId="0" xfId="0" applyNumberFormat="1" applyFont="1" applyFill="1" applyBorder="1" applyProtection="1">
      <protection hidden="1"/>
    </xf>
    <xf numFmtId="164" fontId="6" fillId="0" borderId="0" xfId="0" applyNumberFormat="1" applyFont="1" applyFill="1" applyProtection="1">
      <protection hidden="1"/>
    </xf>
    <xf numFmtId="164" fontId="6" fillId="0" borderId="0" xfId="0" applyNumberFormat="1" applyFont="1" applyFill="1" applyBorder="1" applyProtection="1">
      <protection hidden="1"/>
    </xf>
    <xf numFmtId="164" fontId="21" fillId="0" borderId="0" xfId="0" applyNumberFormat="1" applyFont="1" applyFill="1" applyBorder="1" applyProtection="1">
      <protection hidden="1"/>
    </xf>
    <xf numFmtId="164" fontId="21" fillId="0" borderId="0" xfId="0" applyNumberFormat="1" applyFont="1" applyFill="1" applyProtection="1">
      <protection hidden="1"/>
    </xf>
    <xf numFmtId="164" fontId="21" fillId="0" borderId="0" xfId="0" applyNumberFormat="1" applyFont="1" applyProtection="1">
      <protection hidden="1"/>
    </xf>
    <xf numFmtId="49" fontId="22" fillId="0" borderId="0" xfId="0" applyNumberFormat="1" applyFont="1" applyProtection="1">
      <protection locked="0"/>
    </xf>
    <xf numFmtId="2" fontId="22" fillId="0" borderId="0" xfId="0" applyNumberFormat="1" applyFont="1" applyProtection="1">
      <protection hidden="1"/>
    </xf>
    <xf numFmtId="164" fontId="22" fillId="0" borderId="0" xfId="0" applyNumberFormat="1" applyFont="1" applyFill="1" applyProtection="1">
      <protection hidden="1"/>
    </xf>
    <xf numFmtId="164" fontId="22" fillId="0" borderId="0" xfId="0" applyNumberFormat="1" applyFont="1" applyProtection="1">
      <protection hidden="1"/>
    </xf>
    <xf numFmtId="164" fontId="22" fillId="0" borderId="0" xfId="0" applyNumberFormat="1" applyFont="1" applyProtection="1">
      <protection locked="0"/>
    </xf>
    <xf numFmtId="49" fontId="21" fillId="0" borderId="0" xfId="0" applyNumberFormat="1" applyFont="1" applyBorder="1" applyProtection="1">
      <protection locked="0"/>
    </xf>
    <xf numFmtId="0" fontId="24" fillId="0" borderId="0" xfId="0" applyFont="1" applyAlignment="1" applyProtection="1"/>
    <xf numFmtId="0" fontId="19" fillId="0" borderId="0" xfId="0" applyFont="1" applyFill="1"/>
    <xf numFmtId="0" fontId="19" fillId="6" borderId="0" xfId="0" applyFont="1" applyFill="1"/>
    <xf numFmtId="0" fontId="0" fillId="6" borderId="0" xfId="0" applyFill="1"/>
    <xf numFmtId="2" fontId="19" fillId="6" borderId="0" xfId="0" applyNumberFormat="1" applyFont="1" applyFill="1" applyBorder="1"/>
    <xf numFmtId="0" fontId="9" fillId="6" borderId="0" xfId="0" applyFont="1" applyFill="1" applyBorder="1" applyProtection="1">
      <protection locked="0"/>
    </xf>
    <xf numFmtId="2" fontId="12" fillId="6" borderId="0" xfId="0" applyNumberFormat="1" applyFont="1" applyFill="1" applyBorder="1"/>
    <xf numFmtId="2" fontId="11" fillId="6" borderId="0" xfId="0" applyNumberFormat="1" applyFont="1" applyFill="1" applyBorder="1" applyProtection="1">
      <protection locked="0"/>
    </xf>
    <xf numFmtId="2" fontId="2" fillId="6" borderId="0" xfId="0" applyNumberFormat="1" applyFont="1" applyFill="1" applyBorder="1"/>
    <xf numFmtId="0" fontId="0" fillId="6" borderId="0" xfId="0" applyFill="1" applyProtection="1">
      <protection locked="0"/>
    </xf>
    <xf numFmtId="0" fontId="17" fillId="6" borderId="0" xfId="0" applyFont="1" applyFill="1" applyProtection="1">
      <protection locked="0"/>
    </xf>
    <xf numFmtId="0" fontId="6" fillId="6" borderId="0" xfId="0" applyFont="1" applyFill="1" applyProtection="1">
      <protection locked="0"/>
    </xf>
    <xf numFmtId="0" fontId="19" fillId="6" borderId="0" xfId="0" applyFont="1" applyFill="1" applyProtection="1">
      <protection locked="0"/>
    </xf>
    <xf numFmtId="0" fontId="26" fillId="6" borderId="0" xfId="0" applyFont="1" applyFill="1"/>
    <xf numFmtId="0" fontId="25" fillId="6" borderId="0" xfId="0" applyFont="1" applyFill="1"/>
    <xf numFmtId="0" fontId="0" fillId="6" borderId="0" xfId="0" applyFill="1" applyBorder="1" applyProtection="1">
      <protection locked="0"/>
    </xf>
    <xf numFmtId="0" fontId="0" fillId="0" borderId="0" xfId="0" applyFill="1" applyBorder="1" applyProtection="1">
      <protection locked="0"/>
    </xf>
    <xf numFmtId="3" fontId="6" fillId="0" borderId="0" xfId="0" applyNumberFormat="1" applyFont="1" applyFill="1" applyBorder="1"/>
    <xf numFmtId="3" fontId="5" fillId="0" borderId="0" xfId="0" applyNumberFormat="1" applyFont="1"/>
    <xf numFmtId="0" fontId="5" fillId="0" borderId="0" xfId="0" applyFont="1" applyAlignment="1"/>
    <xf numFmtId="0" fontId="0" fillId="0" borderId="0" xfId="0" applyAlignment="1"/>
    <xf numFmtId="0" fontId="18" fillId="0" borderId="0" xfId="0" applyFont="1" applyFill="1"/>
    <xf numFmtId="0" fontId="18" fillId="0" borderId="0" xfId="0" applyFont="1"/>
    <xf numFmtId="0" fontId="32" fillId="0" borderId="0" xfId="0" applyFont="1"/>
    <xf numFmtId="0" fontId="32" fillId="0" borderId="0" xfId="0" applyFont="1" applyFill="1"/>
    <xf numFmtId="0" fontId="2" fillId="0" borderId="0" xfId="0" applyFont="1"/>
    <xf numFmtId="0" fontId="2" fillId="0" borderId="3" xfId="0" applyFont="1" applyBorder="1"/>
    <xf numFmtId="0" fontId="2" fillId="7" borderId="4" xfId="0" applyFont="1" applyFill="1" applyBorder="1"/>
    <xf numFmtId="0" fontId="0" fillId="0" borderId="0" xfId="0" applyAlignment="1">
      <alignment horizontal="left"/>
    </xf>
    <xf numFmtId="0" fontId="0" fillId="0" borderId="0" xfId="0" applyAlignment="1" applyProtection="1">
      <alignment horizontal="left"/>
    </xf>
    <xf numFmtId="0" fontId="2" fillId="7" borderId="4" xfId="0" applyFont="1" applyFill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left"/>
    </xf>
    <xf numFmtId="49" fontId="21" fillId="0" borderId="0" xfId="0" applyNumberFormat="1" applyFont="1" applyProtection="1">
      <protection hidden="1"/>
    </xf>
    <xf numFmtId="9" fontId="7" fillId="0" borderId="0" xfId="0" applyNumberFormat="1" applyFont="1" applyFill="1"/>
    <xf numFmtId="3" fontId="2" fillId="0" borderId="0" xfId="0" applyNumberFormat="1" applyFont="1"/>
    <xf numFmtId="0" fontId="2" fillId="0" borderId="0" xfId="0" applyFont="1" applyFill="1"/>
    <xf numFmtId="0" fontId="0" fillId="0" borderId="0" xfId="0"/>
    <xf numFmtId="0" fontId="2" fillId="0" borderId="0" xfId="0" applyFont="1" applyFill="1" applyBorder="1" applyAlignment="1">
      <alignment vertical="top" wrapText="1"/>
    </xf>
    <xf numFmtId="2" fontId="6" fillId="0" borderId="0" xfId="0" applyNumberFormat="1" applyFont="1"/>
    <xf numFmtId="2" fontId="2" fillId="0" borderId="0" xfId="0" applyNumberFormat="1" applyFont="1"/>
    <xf numFmtId="0" fontId="25" fillId="6" borderId="5" xfId="0" applyFont="1" applyFill="1" applyBorder="1"/>
    <xf numFmtId="0" fontId="5" fillId="6" borderId="5" xfId="0" applyFont="1" applyFill="1" applyBorder="1"/>
    <xf numFmtId="0" fontId="2" fillId="6" borderId="5" xfId="0" applyFont="1" applyFill="1" applyBorder="1"/>
    <xf numFmtId="0" fontId="6" fillId="6" borderId="5" xfId="0" applyFont="1" applyFill="1" applyBorder="1"/>
    <xf numFmtId="2" fontId="21" fillId="6" borderId="5" xfId="0" applyNumberFormat="1" applyFont="1" applyFill="1" applyBorder="1" applyProtection="1">
      <protection hidden="1"/>
    </xf>
    <xf numFmtId="164" fontId="21" fillId="6" borderId="5" xfId="0" applyNumberFormat="1" applyFont="1" applyFill="1" applyBorder="1" applyProtection="1">
      <protection hidden="1"/>
    </xf>
    <xf numFmtId="1" fontId="5" fillId="6" borderId="5" xfId="0" applyNumberFormat="1" applyFont="1" applyFill="1" applyBorder="1" applyAlignment="1">
      <alignment horizontal="right"/>
    </xf>
    <xf numFmtId="3" fontId="6" fillId="6" borderId="5" xfId="0" applyNumberFormat="1" applyFont="1" applyFill="1" applyBorder="1"/>
    <xf numFmtId="49" fontId="21" fillId="6" borderId="5" xfId="0" applyNumberFormat="1" applyFont="1" applyFill="1" applyBorder="1" applyProtection="1">
      <protection hidden="1"/>
    </xf>
    <xf numFmtId="0" fontId="5" fillId="6" borderId="5" xfId="0" applyNumberFormat="1" applyFont="1" applyFill="1" applyBorder="1" applyAlignment="1">
      <alignment horizontal="center"/>
    </xf>
    <xf numFmtId="0" fontId="6" fillId="6" borderId="5" xfId="0" applyNumberFormat="1" applyFont="1" applyFill="1" applyBorder="1"/>
    <xf numFmtId="0" fontId="5" fillId="6" borderId="5" xfId="0" applyNumberFormat="1" applyFont="1" applyFill="1" applyBorder="1" applyAlignment="1"/>
    <xf numFmtId="0" fontId="5" fillId="6" borderId="5" xfId="3" applyFont="1" applyFill="1" applyBorder="1" applyAlignment="1">
      <alignment horizontal="center"/>
    </xf>
    <xf numFmtId="3" fontId="6" fillId="6" borderId="5" xfId="0" applyNumberFormat="1" applyFont="1" applyFill="1" applyBorder="1" applyAlignment="1">
      <alignment vertical="top" wrapText="1"/>
    </xf>
    <xf numFmtId="3" fontId="6" fillId="6" borderId="5" xfId="3" applyNumberFormat="1" applyFont="1" applyFill="1" applyBorder="1" applyAlignment="1">
      <alignment vertical="top" wrapText="1"/>
    </xf>
    <xf numFmtId="0" fontId="30" fillId="0" borderId="0" xfId="0" applyFont="1"/>
    <xf numFmtId="0" fontId="18" fillId="6" borderId="0" xfId="0" applyFont="1" applyFill="1"/>
    <xf numFmtId="0" fontId="34" fillId="6" borderId="0" xfId="0" applyFont="1" applyFill="1"/>
    <xf numFmtId="0" fontId="26" fillId="0" borderId="0" xfId="0" applyFont="1" applyFill="1"/>
    <xf numFmtId="0" fontId="0" fillId="0" borderId="0" xfId="0"/>
    <xf numFmtId="170" fontId="21" fillId="0" borderId="0" xfId="0" applyNumberFormat="1" applyFont="1" applyAlignment="1">
      <alignment horizontal="right"/>
    </xf>
    <xf numFmtId="0" fontId="7" fillId="6" borderId="0" xfId="0" applyFont="1" applyFill="1" applyProtection="1">
      <protection locked="0"/>
    </xf>
    <xf numFmtId="0" fontId="2" fillId="0" borderId="0" xfId="0" applyFont="1" applyFill="1" applyBorder="1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38" fillId="6" borderId="0" xfId="0" applyFont="1" applyFill="1"/>
    <xf numFmtId="0" fontId="0" fillId="5" borderId="0" xfId="0" applyFill="1"/>
    <xf numFmtId="0" fontId="18" fillId="3" borderId="0" xfId="0" applyFont="1" applyFill="1"/>
    <xf numFmtId="2" fontId="8" fillId="6" borderId="0" xfId="0" applyNumberFormat="1" applyFont="1" applyFill="1" applyBorder="1"/>
    <xf numFmtId="0" fontId="8" fillId="6" borderId="0" xfId="0" applyFont="1" applyFill="1" applyProtection="1">
      <protection locked="0"/>
    </xf>
    <xf numFmtId="0" fontId="2" fillId="0" borderId="0" xfId="0" applyFont="1" applyAlignment="1">
      <alignment horizontal="left"/>
    </xf>
    <xf numFmtId="2" fontId="0" fillId="0" borderId="0" xfId="0" applyNumberFormat="1"/>
    <xf numFmtId="0" fontId="0" fillId="0" borderId="0" xfId="0"/>
    <xf numFmtId="0" fontId="0" fillId="0" borderId="0" xfId="0"/>
    <xf numFmtId="0" fontId="8" fillId="5" borderId="0" xfId="0" applyFont="1" applyFill="1"/>
    <xf numFmtId="0" fontId="19" fillId="5" borderId="0" xfId="0" applyFont="1" applyFill="1"/>
    <xf numFmtId="49" fontId="10" fillId="0" borderId="0" xfId="0" applyNumberFormat="1" applyFont="1" applyAlignment="1"/>
    <xf numFmtId="49" fontId="0" fillId="0" borderId="0" xfId="0" applyNumberFormat="1" applyAlignment="1" applyProtection="1">
      <protection locked="0"/>
    </xf>
    <xf numFmtId="0" fontId="40" fillId="0" borderId="0" xfId="0" applyFont="1"/>
    <xf numFmtId="2" fontId="41" fillId="0" borderId="0" xfId="0" applyNumberFormat="1" applyFont="1" applyBorder="1"/>
    <xf numFmtId="2" fontId="40" fillId="0" borderId="0" xfId="0" applyNumberFormat="1" applyFont="1" applyBorder="1"/>
    <xf numFmtId="169" fontId="40" fillId="0" borderId="0" xfId="0" applyNumberFormat="1" applyFont="1"/>
    <xf numFmtId="1" fontId="40" fillId="0" borderId="0" xfId="0" applyNumberFormat="1" applyFont="1" applyBorder="1"/>
    <xf numFmtId="2" fontId="40" fillId="0" borderId="0" xfId="0" applyNumberFormat="1" applyFont="1" applyFill="1" applyBorder="1"/>
    <xf numFmtId="1" fontId="40" fillId="0" borderId="0" xfId="0" applyNumberFormat="1" applyFont="1" applyFill="1" applyBorder="1"/>
    <xf numFmtId="0" fontId="40" fillId="0" borderId="0" xfId="0" applyFont="1" applyFill="1"/>
    <xf numFmtId="9" fontId="40" fillId="0" borderId="0" xfId="0" applyNumberFormat="1" applyFont="1" applyFill="1"/>
    <xf numFmtId="3" fontId="40" fillId="0" borderId="0" xfId="0" applyNumberFormat="1" applyFont="1"/>
    <xf numFmtId="3" fontId="40" fillId="0" borderId="0" xfId="0" applyNumberFormat="1" applyFont="1" applyFill="1" applyBorder="1" applyAlignment="1"/>
    <xf numFmtId="169" fontId="40" fillId="0" borderId="0" xfId="0" applyNumberFormat="1" applyFont="1" applyBorder="1" applyAlignment="1"/>
    <xf numFmtId="169" fontId="40" fillId="0" borderId="0" xfId="0" applyNumberFormat="1" applyFont="1" applyFill="1" applyBorder="1" applyAlignment="1"/>
    <xf numFmtId="0" fontId="41" fillId="0" borderId="0" xfId="0" applyFont="1" applyFill="1" applyAlignment="1" applyProtection="1">
      <alignment horizontal="left"/>
      <protection locked="0"/>
    </xf>
    <xf numFmtId="3" fontId="40" fillId="0" borderId="0" xfId="0" applyNumberFormat="1" applyFont="1" applyFill="1"/>
    <xf numFmtId="0" fontId="13" fillId="0" borderId="0" xfId="0" applyFont="1" applyFill="1"/>
    <xf numFmtId="0" fontId="41" fillId="0" borderId="0" xfId="0" applyFont="1" applyAlignment="1" applyProtection="1">
      <alignment horizontal="left"/>
      <protection locked="0"/>
    </xf>
    <xf numFmtId="0" fontId="40" fillId="0" borderId="0" xfId="0" applyFont="1" applyProtection="1">
      <protection locked="0"/>
    </xf>
    <xf numFmtId="168" fontId="40" fillId="0" borderId="0" xfId="0" applyNumberFormat="1" applyFont="1" applyFill="1" applyBorder="1" applyAlignment="1"/>
    <xf numFmtId="0" fontId="13" fillId="0" borderId="0" xfId="0" applyFont="1" applyProtection="1">
      <protection locked="0"/>
    </xf>
    <xf numFmtId="0" fontId="40" fillId="0" borderId="0" xfId="0" applyFont="1" applyAlignment="1"/>
    <xf numFmtId="0" fontId="40" fillId="0" borderId="0" xfId="0" applyFont="1" applyFill="1" applyBorder="1" applyAlignment="1"/>
    <xf numFmtId="2" fontId="41" fillId="0" borderId="0" xfId="0" applyNumberFormat="1" applyFont="1" applyFill="1" applyBorder="1"/>
    <xf numFmtId="0" fontId="40" fillId="0" borderId="0" xfId="0" applyFont="1" applyFill="1" applyProtection="1">
      <protection locked="0"/>
    </xf>
    <xf numFmtId="0" fontId="40" fillId="0" borderId="0" xfId="0" applyFont="1" applyFill="1" applyBorder="1"/>
    <xf numFmtId="168" fontId="40" fillId="0" borderId="0" xfId="0" applyNumberFormat="1" applyFont="1" applyBorder="1" applyAlignment="1"/>
    <xf numFmtId="9" fontId="40" fillId="0" borderId="0" xfId="0" applyNumberFormat="1" applyFont="1" applyFill="1" applyBorder="1" applyAlignment="1"/>
    <xf numFmtId="0" fontId="40" fillId="0" borderId="0" xfId="0" applyFont="1" applyBorder="1" applyProtection="1">
      <protection locked="0"/>
    </xf>
    <xf numFmtId="0" fontId="2" fillId="0" borderId="5" xfId="0" applyFont="1" applyFill="1" applyBorder="1"/>
    <xf numFmtId="3" fontId="6" fillId="6" borderId="0" xfId="0" applyNumberFormat="1" applyFont="1" applyFill="1" applyBorder="1"/>
    <xf numFmtId="0" fontId="26" fillId="0" borderId="0" xfId="0" applyFont="1" applyFill="1" applyProtection="1"/>
    <xf numFmtId="0" fontId="26" fillId="6" borderId="0" xfId="0" applyFont="1" applyFill="1" applyProtection="1"/>
    <xf numFmtId="0" fontId="38" fillId="6" borderId="0" xfId="0" applyFont="1" applyFill="1" applyProtection="1"/>
    <xf numFmtId="0" fontId="25" fillId="6" borderId="0" xfId="0" applyFont="1" applyFill="1" applyProtection="1"/>
    <xf numFmtId="0" fontId="25" fillId="6" borderId="0" xfId="0" applyFont="1" applyFill="1" applyAlignment="1" applyProtection="1">
      <alignment horizontal="left" indent="6"/>
    </xf>
    <xf numFmtId="0" fontId="34" fillId="6" borderId="0" xfId="0" applyFont="1" applyFill="1" applyProtection="1"/>
    <xf numFmtId="0" fontId="37" fillId="6" borderId="0" xfId="0" applyFont="1" applyFill="1" applyProtection="1"/>
    <xf numFmtId="0" fontId="27" fillId="6" borderId="0" xfId="0" applyFont="1" applyFill="1" applyProtection="1"/>
    <xf numFmtId="0" fontId="0" fillId="6" borderId="0" xfId="0" applyFill="1" applyProtection="1"/>
    <xf numFmtId="0" fontId="30" fillId="6" borderId="0" xfId="0" applyFont="1" applyFill="1" applyAlignment="1" applyProtection="1">
      <alignment horizontal="left" vertical="top" wrapText="1"/>
    </xf>
    <xf numFmtId="0" fontId="30" fillId="6" borderId="0" xfId="0" applyFont="1" applyFill="1" applyAlignment="1" applyProtection="1"/>
    <xf numFmtId="0" fontId="27" fillId="6" borderId="0" xfId="0" applyFont="1" applyFill="1" applyAlignment="1" applyProtection="1">
      <alignment horizontal="left" vertical="top" wrapText="1"/>
    </xf>
    <xf numFmtId="0" fontId="27" fillId="6" borderId="0" xfId="0" applyFont="1" applyFill="1" applyAlignment="1" applyProtection="1">
      <alignment horizontal="left"/>
    </xf>
    <xf numFmtId="0" fontId="27" fillId="6" borderId="0" xfId="0" applyFont="1" applyFill="1" applyAlignment="1" applyProtection="1">
      <alignment horizontal="left" wrapText="1"/>
    </xf>
    <xf numFmtId="0" fontId="26" fillId="6" borderId="0" xfId="0" applyFont="1" applyFill="1" applyBorder="1" applyAlignment="1" applyProtection="1"/>
    <xf numFmtId="0" fontId="28" fillId="6" borderId="0" xfId="0" applyFont="1" applyFill="1" applyAlignment="1" applyProtection="1">
      <alignment horizontal="left" vertical="top" wrapText="1"/>
    </xf>
    <xf numFmtId="0" fontId="2" fillId="6" borderId="0" xfId="0" applyFont="1" applyFill="1" applyAlignment="1" applyProtection="1"/>
    <xf numFmtId="0" fontId="27" fillId="6" borderId="0" xfId="0" applyFont="1" applyFill="1" applyAlignment="1" applyProtection="1"/>
    <xf numFmtId="0" fontId="39" fillId="6" borderId="0" xfId="0" applyFont="1" applyFill="1" applyProtection="1"/>
    <xf numFmtId="0" fontId="29" fillId="6" borderId="0" xfId="0" applyFont="1" applyFill="1" applyProtection="1"/>
    <xf numFmtId="0" fontId="27" fillId="6" borderId="0" xfId="0" applyFont="1" applyFill="1" applyAlignment="1" applyProtection="1">
      <alignment wrapText="1"/>
    </xf>
    <xf numFmtId="0" fontId="26" fillId="6" borderId="0" xfId="0" applyNumberFormat="1" applyFont="1" applyFill="1" applyProtection="1"/>
    <xf numFmtId="0" fontId="26" fillId="6" borderId="0" xfId="0" applyFont="1" applyFill="1" applyAlignment="1" applyProtection="1"/>
    <xf numFmtId="2" fontId="2" fillId="0" borderId="0" xfId="0" applyNumberFormat="1" applyFont="1" applyBorder="1" applyProtection="1"/>
    <xf numFmtId="2" fontId="2" fillId="0" borderId="0" xfId="0" applyNumberFormat="1" applyFont="1" applyFill="1" applyBorder="1" applyProtection="1"/>
    <xf numFmtId="2" fontId="12" fillId="0" borderId="0" xfId="0" applyNumberFormat="1" applyFont="1" applyBorder="1" applyProtection="1"/>
    <xf numFmtId="2" fontId="12" fillId="6" borderId="0" xfId="0" applyNumberFormat="1" applyFont="1" applyFill="1" applyBorder="1" applyProtection="1"/>
    <xf numFmtId="2" fontId="2" fillId="6" borderId="0" xfId="0" applyNumberFormat="1" applyFont="1" applyFill="1" applyBorder="1" applyProtection="1"/>
    <xf numFmtId="2" fontId="11" fillId="6" borderId="0" xfId="0" applyNumberFormat="1" applyFont="1" applyFill="1" applyBorder="1" applyProtection="1"/>
    <xf numFmtId="0" fontId="0" fillId="0" borderId="0" xfId="0" applyProtection="1"/>
    <xf numFmtId="0" fontId="25" fillId="6" borderId="5" xfId="0" applyFont="1" applyFill="1" applyBorder="1" applyProtection="1"/>
    <xf numFmtId="2" fontId="32" fillId="0" borderId="0" xfId="0" applyNumberFormat="1" applyFont="1" applyBorder="1" applyProtection="1"/>
    <xf numFmtId="2" fontId="12" fillId="0" borderId="0" xfId="0" applyNumberFormat="1" applyFont="1" applyFill="1" applyBorder="1" applyProtection="1"/>
    <xf numFmtId="2" fontId="11" fillId="0" borderId="0" xfId="0" applyNumberFormat="1" applyFont="1" applyBorder="1" applyProtection="1"/>
    <xf numFmtId="1" fontId="18" fillId="0" borderId="0" xfId="0" applyNumberFormat="1" applyFont="1" applyFill="1" applyBorder="1" applyAlignment="1" applyProtection="1">
      <alignment horizontal="right"/>
    </xf>
    <xf numFmtId="2" fontId="23" fillId="0" borderId="0" xfId="0" applyNumberFormat="1" applyFont="1" applyBorder="1" applyProtection="1"/>
    <xf numFmtId="0" fontId="23" fillId="0" borderId="0" xfId="0" applyFont="1" applyProtection="1"/>
    <xf numFmtId="168" fontId="23" fillId="0" borderId="0" xfId="0" applyNumberFormat="1" applyFont="1" applyFill="1" applyBorder="1" applyAlignment="1" applyProtection="1"/>
    <xf numFmtId="1" fontId="13" fillId="0" borderId="0" xfId="0" applyNumberFormat="1" applyFont="1" applyFill="1" applyBorder="1" applyAlignment="1" applyProtection="1">
      <alignment horizontal="right"/>
    </xf>
    <xf numFmtId="3" fontId="0" fillId="0" borderId="0" xfId="0" applyNumberFormat="1" applyFill="1" applyProtection="1"/>
    <xf numFmtId="0" fontId="23" fillId="0" borderId="0" xfId="0" applyFont="1" applyFill="1" applyProtection="1"/>
    <xf numFmtId="2" fontId="23" fillId="0" borderId="0" xfId="0" applyNumberFormat="1" applyFont="1" applyFill="1" applyBorder="1" applyProtection="1"/>
    <xf numFmtId="3" fontId="0" fillId="0" borderId="0" xfId="0" applyNumberFormat="1" applyProtection="1"/>
    <xf numFmtId="0" fontId="0" fillId="0" borderId="0" xfId="0" applyFill="1" applyProtection="1"/>
    <xf numFmtId="2" fontId="18" fillId="6" borderId="0" xfId="0" applyNumberFormat="1" applyFont="1" applyFill="1" applyBorder="1" applyProtection="1"/>
    <xf numFmtId="2" fontId="18" fillId="0" borderId="0" xfId="0" applyNumberFormat="1" applyFont="1" applyFill="1" applyBorder="1" applyProtection="1"/>
    <xf numFmtId="168" fontId="40" fillId="0" borderId="0" xfId="0" applyNumberFormat="1" applyFont="1" applyFill="1" applyBorder="1" applyAlignment="1" applyProtection="1"/>
    <xf numFmtId="0" fontId="7" fillId="4" borderId="1" xfId="0" applyFont="1" applyFill="1" applyBorder="1" applyProtection="1">
      <protection locked="0"/>
    </xf>
    <xf numFmtId="0" fontId="2" fillId="0" borderId="0" xfId="0" applyFont="1" applyFill="1" applyBorder="1" applyAlignment="1">
      <alignment vertical="top"/>
    </xf>
    <xf numFmtId="0" fontId="40" fillId="0" borderId="0" xfId="0" applyFont="1" applyFill="1" applyBorder="1" applyProtection="1">
      <protection locked="0"/>
    </xf>
    <xf numFmtId="3" fontId="40" fillId="0" borderId="0" xfId="0" applyNumberFormat="1" applyFont="1" applyFill="1" applyBorder="1"/>
    <xf numFmtId="3" fontId="40" fillId="0" borderId="0" xfId="0" applyNumberFormat="1" applyFont="1" applyBorder="1"/>
    <xf numFmtId="0" fontId="2" fillId="0" borderId="0" xfId="0" applyFont="1" applyProtection="1">
      <protection locked="0"/>
    </xf>
    <xf numFmtId="49" fontId="6" fillId="6" borderId="5" xfId="0" applyNumberFormat="1" applyFont="1" applyFill="1" applyBorder="1"/>
    <xf numFmtId="49" fontId="2" fillId="6" borderId="5" xfId="0" applyNumberFormat="1" applyFont="1" applyFill="1" applyBorder="1"/>
    <xf numFmtId="49" fontId="5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left"/>
    </xf>
    <xf numFmtId="49" fontId="6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 vertical="top" wrapText="1"/>
    </xf>
    <xf numFmtId="49" fontId="5" fillId="6" borderId="5" xfId="0" applyNumberFormat="1" applyFont="1" applyFill="1" applyBorder="1"/>
    <xf numFmtId="49" fontId="21" fillId="0" borderId="0" xfId="0" applyNumberFormat="1" applyFont="1" applyFill="1" applyProtection="1">
      <protection hidden="1"/>
    </xf>
    <xf numFmtId="49" fontId="22" fillId="0" borderId="0" xfId="0" applyNumberFormat="1" applyFont="1" applyAlignment="1" applyProtection="1">
      <protection locked="0"/>
    </xf>
    <xf numFmtId="49" fontId="6" fillId="0" borderId="0" xfId="0" applyNumberFormat="1" applyFont="1" applyProtection="1">
      <protection locked="0"/>
    </xf>
    <xf numFmtId="49" fontId="5" fillId="0" borderId="0" xfId="0" applyNumberFormat="1" applyFont="1" applyFill="1" applyBorder="1"/>
    <xf numFmtId="49" fontId="6" fillId="0" borderId="0" xfId="0" applyNumberFormat="1" applyFont="1" applyFill="1" applyBorder="1"/>
    <xf numFmtId="49" fontId="2" fillId="0" borderId="0" xfId="0" applyNumberFormat="1" applyFont="1" applyProtection="1">
      <protection locked="0"/>
    </xf>
    <xf numFmtId="49" fontId="2" fillId="0" borderId="0" xfId="0" applyNumberFormat="1" applyFont="1" applyFill="1" applyBorder="1"/>
    <xf numFmtId="49" fontId="6" fillId="0" borderId="0" xfId="0" applyNumberFormat="1" applyFont="1"/>
    <xf numFmtId="49" fontId="2" fillId="0" borderId="0" xfId="0" applyNumberFormat="1" applyFont="1"/>
    <xf numFmtId="0" fontId="6" fillId="0" borderId="0" xfId="3"/>
    <xf numFmtId="3" fontId="33" fillId="0" borderId="0" xfId="5" applyNumberFormat="1" applyFont="1" applyBorder="1" applyProtection="1"/>
    <xf numFmtId="3" fontId="2" fillId="0" borderId="0" xfId="0" applyNumberFormat="1" applyFont="1" applyBorder="1"/>
    <xf numFmtId="0" fontId="6" fillId="0" borderId="5" xfId="0" applyFont="1" applyFill="1" applyBorder="1"/>
    <xf numFmtId="49" fontId="6" fillId="0" borderId="5" xfId="0" applyNumberFormat="1" applyFont="1" applyFill="1" applyBorder="1"/>
    <xf numFmtId="49" fontId="5" fillId="0" borderId="5" xfId="0" applyNumberFormat="1" applyFont="1" applyFill="1" applyBorder="1"/>
    <xf numFmtId="0" fontId="2" fillId="8" borderId="3" xfId="0" applyFont="1" applyFill="1" applyBorder="1"/>
    <xf numFmtId="49" fontId="2" fillId="0" borderId="0" xfId="0" applyNumberFormat="1" applyFont="1" applyBorder="1"/>
    <xf numFmtId="0" fontId="2" fillId="8" borderId="3" xfId="0" applyFont="1" applyFill="1" applyBorder="1" applyAlignment="1">
      <alignment horizontal="left"/>
    </xf>
    <xf numFmtId="49" fontId="2" fillId="0" borderId="5" xfId="0" applyNumberFormat="1" applyFont="1" applyFill="1" applyBorder="1"/>
    <xf numFmtId="49" fontId="2" fillId="0" borderId="0" xfId="0" applyNumberFormat="1" applyFont="1" applyFill="1" applyBorder="1" applyAlignment="1">
      <alignment horizontal="left"/>
    </xf>
    <xf numFmtId="0" fontId="2" fillId="0" borderId="0" xfId="3" applyFont="1" applyFill="1"/>
    <xf numFmtId="2" fontId="12" fillId="0" borderId="0" xfId="0" applyNumberFormat="1" applyFont="1" applyFill="1" applyBorder="1"/>
    <xf numFmtId="49" fontId="6" fillId="0" borderId="0" xfId="0" applyNumberFormat="1" applyFont="1" applyFill="1" applyAlignment="1">
      <alignment horizontal="left"/>
    </xf>
    <xf numFmtId="0" fontId="24" fillId="0" borderId="0" xfId="0" applyFont="1" applyFill="1" applyAlignment="1" applyProtection="1"/>
    <xf numFmtId="49" fontId="2" fillId="0" borderId="0" xfId="0" applyNumberFormat="1" applyFont="1" applyFill="1" applyAlignment="1">
      <alignment horizontal="left"/>
    </xf>
    <xf numFmtId="3" fontId="6" fillId="0" borderId="5" xfId="0" applyNumberFormat="1" applyFont="1" applyFill="1" applyBorder="1"/>
    <xf numFmtId="164" fontId="6" fillId="0" borderId="0" xfId="0" applyNumberFormat="1" applyFont="1" applyFill="1" applyProtection="1">
      <protection locked="0"/>
    </xf>
    <xf numFmtId="0" fontId="2" fillId="8" borderId="0" xfId="0" applyFont="1" applyFill="1" applyBorder="1"/>
    <xf numFmtId="49" fontId="21" fillId="0" borderId="5" xfId="0" applyNumberFormat="1" applyFont="1" applyFill="1" applyBorder="1" applyProtection="1">
      <protection hidden="1"/>
    </xf>
    <xf numFmtId="0" fontId="6" fillId="9" borderId="0" xfId="0" applyFont="1" applyFill="1"/>
    <xf numFmtId="0" fontId="6" fillId="6" borderId="7" xfId="0" applyFont="1" applyFill="1" applyBorder="1"/>
    <xf numFmtId="0" fontId="6" fillId="0" borderId="7" xfId="0" applyFont="1" applyFill="1" applyBorder="1"/>
    <xf numFmtId="3" fontId="6" fillId="6" borderId="7" xfId="0" applyNumberFormat="1" applyFont="1" applyFill="1" applyBorder="1"/>
    <xf numFmtId="3" fontId="6" fillId="6" borderId="8" xfId="0" applyNumberFormat="1" applyFont="1" applyFill="1" applyBorder="1"/>
    <xf numFmtId="0" fontId="46" fillId="6" borderId="5" xfId="0" applyFont="1" applyFill="1" applyBorder="1" applyAlignment="1">
      <alignment horizontal="left"/>
    </xf>
    <xf numFmtId="0" fontId="6" fillId="0" borderId="9" xfId="0" applyFont="1" applyFill="1" applyBorder="1"/>
    <xf numFmtId="3" fontId="6" fillId="6" borderId="9" xfId="0" applyNumberFormat="1" applyFont="1" applyFill="1" applyBorder="1"/>
    <xf numFmtId="0" fontId="6" fillId="6" borderId="9" xfId="0" applyFont="1" applyFill="1" applyBorder="1"/>
    <xf numFmtId="0" fontId="45" fillId="0" borderId="0" xfId="0" applyFont="1" applyFill="1" applyAlignment="1">
      <alignment horizontal="left"/>
    </xf>
    <xf numFmtId="166" fontId="45" fillId="0" borderId="0" xfId="0" applyNumberFormat="1" applyFont="1" applyFill="1" applyBorder="1" applyAlignment="1" applyProtection="1">
      <alignment horizontal="left"/>
      <protection hidden="1"/>
    </xf>
    <xf numFmtId="3" fontId="0" fillId="0" borderId="0" xfId="0" applyNumberFormat="1" applyFill="1" applyAlignment="1">
      <alignment vertical="center"/>
    </xf>
    <xf numFmtId="0" fontId="6" fillId="0" borderId="0" xfId="0" applyFont="1" applyAlignment="1">
      <alignment horizontal="left"/>
    </xf>
    <xf numFmtId="171" fontId="21" fillId="0" borderId="0" xfId="0" applyNumberFormat="1" applyFont="1" applyFill="1" applyAlignment="1">
      <alignment horizontal="right"/>
    </xf>
    <xf numFmtId="0" fontId="2" fillId="11" borderId="0" xfId="0" applyFont="1" applyFill="1"/>
    <xf numFmtId="0" fontId="44" fillId="0" borderId="0" xfId="0" applyFont="1" applyFill="1" applyBorder="1" applyAlignment="1" applyProtection="1">
      <alignment horizontal="left" vertical="center"/>
    </xf>
    <xf numFmtId="2" fontId="40" fillId="0" borderId="0" xfId="0" applyNumberFormat="1" applyFont="1" applyBorder="1" applyAlignment="1"/>
    <xf numFmtId="0" fontId="40" fillId="0" borderId="0" xfId="0" applyFont="1" applyAlignment="1"/>
    <xf numFmtId="0" fontId="40" fillId="0" borderId="0" xfId="0" applyFont="1" applyFill="1" applyBorder="1" applyAlignment="1"/>
    <xf numFmtId="2" fontId="8" fillId="0" borderId="0" xfId="0" applyNumberFormat="1" applyFont="1" applyBorder="1" applyAlignment="1" applyProtection="1">
      <alignment horizontal="left"/>
    </xf>
    <xf numFmtId="2" fontId="23" fillId="0" borderId="0" xfId="0" applyNumberFormat="1" applyFont="1" applyBorder="1" applyAlignment="1" applyProtection="1">
      <alignment horizontal="center"/>
    </xf>
    <xf numFmtId="1" fontId="18" fillId="0" borderId="0" xfId="0" applyNumberFormat="1" applyFont="1" applyFill="1" applyBorder="1" applyAlignment="1" applyProtection="1">
      <alignment horizontal="center"/>
    </xf>
    <xf numFmtId="0" fontId="23" fillId="0" borderId="0" xfId="0" applyFont="1" applyAlignment="1" applyProtection="1">
      <alignment horizontal="left"/>
    </xf>
    <xf numFmtId="0" fontId="23" fillId="0" borderId="0" xfId="0" applyFont="1" applyFill="1" applyBorder="1" applyAlignment="1" applyProtection="1">
      <alignment horizontal="left"/>
    </xf>
    <xf numFmtId="0" fontId="23" fillId="0" borderId="0" xfId="0" applyFont="1" applyBorder="1" applyAlignment="1" applyProtection="1">
      <alignment horizontal="left"/>
    </xf>
    <xf numFmtId="0" fontId="18" fillId="0" borderId="0" xfId="0" applyFont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1" fontId="13" fillId="0" borderId="0" xfId="0" applyNumberFormat="1" applyFont="1" applyFill="1" applyBorder="1" applyAlignment="1">
      <alignment horizontal="center"/>
    </xf>
    <xf numFmtId="2" fontId="47" fillId="0" borderId="0" xfId="0" applyNumberFormat="1" applyFont="1" applyBorder="1"/>
    <xf numFmtId="9" fontId="40" fillId="0" borderId="0" xfId="0" applyNumberFormat="1" applyFont="1" applyBorder="1" applyAlignment="1"/>
    <xf numFmtId="0" fontId="47" fillId="0" borderId="0" xfId="0" applyFont="1" applyAlignment="1">
      <alignment horizontal="left"/>
    </xf>
    <xf numFmtId="0" fontId="47" fillId="0" borderId="0" xfId="0" applyFont="1"/>
    <xf numFmtId="0" fontId="47" fillId="0" borderId="0" xfId="0" applyFont="1" applyFill="1"/>
    <xf numFmtId="0" fontId="13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40" fillId="0" borderId="0" xfId="0" applyFont="1" applyBorder="1" applyAlignment="1"/>
    <xf numFmtId="2" fontId="47" fillId="0" borderId="0" xfId="0" applyNumberFormat="1" applyFont="1" applyFill="1" applyBorder="1"/>
    <xf numFmtId="0" fontId="47" fillId="0" borderId="0" xfId="0" applyFont="1" applyFill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vertical="top"/>
    </xf>
    <xf numFmtId="3" fontId="6" fillId="6" borderId="6" xfId="0" applyNumberFormat="1" applyFont="1" applyFill="1" applyBorder="1"/>
    <xf numFmtId="0" fontId="5" fillId="0" borderId="10" xfId="0" applyFont="1" applyFill="1" applyBorder="1"/>
    <xf numFmtId="0" fontId="6" fillId="0" borderId="11" xfId="0" applyFont="1" applyFill="1" applyBorder="1"/>
    <xf numFmtId="0" fontId="5" fillId="0" borderId="10" xfId="0" applyFont="1" applyFill="1" applyBorder="1" applyAlignment="1">
      <alignment horizontal="center"/>
    </xf>
    <xf numFmtId="169" fontId="6" fillId="0" borderId="7" xfId="0" applyNumberFormat="1" applyFont="1" applyFill="1" applyBorder="1"/>
    <xf numFmtId="169" fontId="6" fillId="0" borderId="7" xfId="0" applyNumberFormat="1" applyFont="1" applyFill="1" applyBorder="1" applyAlignment="1">
      <alignment vertical="top"/>
    </xf>
    <xf numFmtId="169" fontId="6" fillId="0" borderId="11" xfId="0" applyNumberFormat="1" applyFont="1" applyFill="1" applyBorder="1"/>
    <xf numFmtId="169" fontId="6" fillId="0" borderId="18" xfId="0" applyNumberFormat="1" applyFont="1" applyFill="1" applyBorder="1"/>
    <xf numFmtId="169" fontId="6" fillId="0" borderId="18" xfId="0" applyNumberFormat="1" applyFont="1" applyFill="1" applyBorder="1" applyAlignment="1">
      <alignment vertical="top"/>
    </xf>
    <xf numFmtId="169" fontId="6" fillId="0" borderId="13" xfId="0" applyNumberFormat="1" applyFont="1" applyFill="1" applyBorder="1"/>
    <xf numFmtId="169" fontId="6" fillId="0" borderId="10" xfId="0" applyNumberFormat="1" applyFont="1" applyFill="1" applyBorder="1"/>
    <xf numFmtId="169" fontId="6" fillId="0" borderId="10" xfId="0" applyNumberFormat="1" applyFont="1" applyFill="1" applyBorder="1" applyAlignment="1">
      <alignment horizontal="center"/>
    </xf>
    <xf numFmtId="169" fontId="6" fillId="0" borderId="17" xfId="0" applyNumberFormat="1" applyFont="1" applyFill="1" applyBorder="1" applyAlignment="1">
      <alignment horizontal="center"/>
    </xf>
    <xf numFmtId="0" fontId="6" fillId="6" borderId="8" xfId="0" applyFont="1" applyFill="1" applyBorder="1"/>
    <xf numFmtId="1" fontId="46" fillId="6" borderId="18" xfId="0" applyNumberFormat="1" applyFont="1" applyFill="1" applyBorder="1" applyAlignment="1">
      <alignment horizontal="left"/>
    </xf>
    <xf numFmtId="3" fontId="6" fillId="6" borderId="18" xfId="0" applyNumberFormat="1" applyFont="1" applyFill="1" applyBorder="1"/>
    <xf numFmtId="0" fontId="5" fillId="6" borderId="8" xfId="0" applyFont="1" applyFill="1" applyBorder="1"/>
    <xf numFmtId="0" fontId="2" fillId="0" borderId="8" xfId="0" applyFont="1" applyFill="1" applyBorder="1"/>
    <xf numFmtId="0" fontId="46" fillId="6" borderId="18" xfId="0" applyFont="1" applyFill="1" applyBorder="1" applyAlignment="1">
      <alignment horizontal="left"/>
    </xf>
    <xf numFmtId="0" fontId="6" fillId="6" borderId="18" xfId="0" applyFont="1" applyFill="1" applyBorder="1"/>
    <xf numFmtId="169" fontId="6" fillId="0" borderId="17" xfId="0" applyNumberFormat="1" applyFont="1" applyFill="1" applyBorder="1" applyAlignment="1">
      <alignment horizontal="left"/>
    </xf>
    <xf numFmtId="169" fontId="2" fillId="0" borderId="7" xfId="0" applyNumberFormat="1" applyFont="1" applyFill="1" applyBorder="1"/>
    <xf numFmtId="169" fontId="2" fillId="0" borderId="7" xfId="0" applyNumberFormat="1" applyFont="1" applyFill="1" applyBorder="1" applyAlignment="1">
      <alignment vertical="top"/>
    </xf>
    <xf numFmtId="169" fontId="2" fillId="0" borderId="11" xfId="0" applyNumberFormat="1" applyFont="1" applyFill="1" applyBorder="1"/>
    <xf numFmtId="169" fontId="2" fillId="0" borderId="17" xfId="0" applyNumberFormat="1" applyFont="1" applyFill="1" applyBorder="1" applyAlignment="1">
      <alignment horizontal="center"/>
    </xf>
    <xf numFmtId="169" fontId="2" fillId="0" borderId="18" xfId="0" applyNumberFormat="1" applyFont="1" applyFill="1" applyBorder="1"/>
    <xf numFmtId="169" fontId="2" fillId="0" borderId="18" xfId="0" applyNumberFormat="1" applyFont="1" applyFill="1" applyBorder="1" applyAlignment="1">
      <alignment vertical="top"/>
    </xf>
    <xf numFmtId="169" fontId="2" fillId="0" borderId="13" xfId="0" applyNumberFormat="1" applyFont="1" applyFill="1" applyBorder="1"/>
    <xf numFmtId="169" fontId="2" fillId="0" borderId="17" xfId="0" applyNumberFormat="1" applyFont="1" applyFill="1" applyBorder="1"/>
    <xf numFmtId="0" fontId="5" fillId="6" borderId="18" xfId="0" applyFont="1" applyFill="1" applyBorder="1"/>
    <xf numFmtId="169" fontId="2" fillId="0" borderId="17" xfId="0" applyNumberFormat="1" applyFont="1" applyFill="1" applyBorder="1" applyAlignment="1">
      <alignment horizontal="left"/>
    </xf>
    <xf numFmtId="0" fontId="6" fillId="6" borderId="6" xfId="0" applyFont="1" applyFill="1" applyBorder="1"/>
    <xf numFmtId="49" fontId="5" fillId="6" borderId="6" xfId="0" applyNumberFormat="1" applyFont="1" applyFill="1" applyBorder="1"/>
    <xf numFmtId="49" fontId="5" fillId="6" borderId="7" xfId="0" applyNumberFormat="1" applyFont="1" applyFill="1" applyBorder="1"/>
    <xf numFmtId="0" fontId="2" fillId="6" borderId="18" xfId="0" applyFont="1" applyFill="1" applyBorder="1"/>
    <xf numFmtId="169" fontId="0" fillId="0" borderId="11" xfId="0" applyNumberFormat="1" applyFont="1" applyFill="1" applyBorder="1"/>
    <xf numFmtId="169" fontId="0" fillId="0" borderId="11" xfId="0" applyNumberFormat="1" applyFont="1" applyFill="1" applyBorder="1" applyAlignment="1">
      <alignment vertical="top" wrapText="1"/>
    </xf>
    <xf numFmtId="169" fontId="0" fillId="0" borderId="11" xfId="3" applyNumberFormat="1" applyFont="1" applyFill="1" applyBorder="1" applyAlignment="1">
      <alignment vertical="top" wrapText="1"/>
    </xf>
    <xf numFmtId="1" fontId="5" fillId="0" borderId="0" xfId="0" applyNumberFormat="1" applyFont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NumberFormat="1" applyFont="1" applyAlignment="1">
      <alignment horizontal="center"/>
    </xf>
    <xf numFmtId="0" fontId="2" fillId="0" borderId="0" xfId="0" applyFont="1"/>
    <xf numFmtId="0" fontId="6" fillId="0" borderId="0" xfId="0" applyFont="1"/>
    <xf numFmtId="169" fontId="0" fillId="0" borderId="13" xfId="0" applyNumberFormat="1" applyFont="1" applyFill="1" applyBorder="1" applyAlignment="1">
      <alignment vertical="top" wrapText="1"/>
    </xf>
    <xf numFmtId="0" fontId="5" fillId="0" borderId="0" xfId="0" applyFont="1"/>
    <xf numFmtId="169" fontId="6" fillId="0" borderId="7" xfId="0" applyNumberFormat="1" applyFont="1" applyFill="1" applyBorder="1" applyAlignment="1">
      <alignment vertical="center"/>
    </xf>
    <xf numFmtId="169" fontId="6" fillId="0" borderId="10" xfId="0" applyNumberFormat="1" applyFont="1" applyFill="1" applyBorder="1" applyAlignment="1">
      <alignment vertical="center"/>
    </xf>
    <xf numFmtId="169" fontId="6" fillId="0" borderId="11" xfId="0" applyNumberFormat="1" applyFont="1" applyFill="1" applyBorder="1" applyAlignment="1">
      <alignment vertical="center"/>
    </xf>
    <xf numFmtId="0" fontId="48" fillId="0" borderId="0" xfId="0" applyFont="1" applyFill="1" applyBorder="1" applyAlignment="1">
      <alignment horizontal="center"/>
    </xf>
    <xf numFmtId="168" fontId="49" fillId="0" borderId="0" xfId="0" applyNumberFormat="1" applyFont="1" applyFill="1" applyBorder="1" applyAlignment="1" applyProtection="1"/>
    <xf numFmtId="3" fontId="6" fillId="0" borderId="7" xfId="0" applyNumberFormat="1" applyFont="1" applyFill="1" applyBorder="1"/>
    <xf numFmtId="3" fontId="6" fillId="0" borderId="7" xfId="0" applyNumberFormat="1" applyFont="1" applyFill="1" applyBorder="1" applyAlignment="1">
      <alignment vertical="top"/>
    </xf>
    <xf numFmtId="3" fontId="6" fillId="0" borderId="11" xfId="0" applyNumberFormat="1" applyFont="1" applyFill="1" applyBorder="1"/>
    <xf numFmtId="3" fontId="0" fillId="0" borderId="11" xfId="0" applyNumberFormat="1" applyFont="1" applyFill="1" applyBorder="1" applyAlignment="1">
      <alignment vertical="top" wrapText="1"/>
    </xf>
    <xf numFmtId="3" fontId="0" fillId="0" borderId="11" xfId="3" applyNumberFormat="1" applyFont="1" applyFill="1" applyBorder="1" applyAlignment="1">
      <alignment vertical="top" wrapText="1"/>
    </xf>
    <xf numFmtId="3" fontId="0" fillId="0" borderId="11" xfId="0" applyNumberFormat="1" applyFont="1" applyFill="1" applyBorder="1"/>
    <xf numFmtId="0" fontId="2" fillId="6" borderId="9" xfId="0" applyFont="1" applyFill="1" applyBorder="1"/>
    <xf numFmtId="3" fontId="6" fillId="11" borderId="9" xfId="0" applyNumberFormat="1" applyFont="1" applyFill="1" applyBorder="1"/>
    <xf numFmtId="169" fontId="6" fillId="0" borderId="17" xfId="0" applyNumberFormat="1" applyFont="1" applyFill="1" applyBorder="1"/>
    <xf numFmtId="169" fontId="6" fillId="0" borderId="15" xfId="0" applyNumberFormat="1" applyFont="1" applyFill="1" applyBorder="1" applyAlignment="1">
      <alignment horizontal="left"/>
    </xf>
    <xf numFmtId="169" fontId="2" fillId="0" borderId="15" xfId="0" applyNumberFormat="1" applyFont="1" applyFill="1" applyBorder="1"/>
    <xf numFmtId="169" fontId="2" fillId="0" borderId="15" xfId="0" applyNumberFormat="1" applyFont="1" applyFill="1" applyBorder="1" applyAlignment="1">
      <alignment vertical="top"/>
    </xf>
    <xf numFmtId="0" fontId="2" fillId="0" borderId="17" xfId="0" applyNumberFormat="1" applyFont="1" applyFill="1" applyBorder="1" applyAlignment="1">
      <alignment horizontal="center"/>
    </xf>
    <xf numFmtId="0" fontId="2" fillId="0" borderId="0" xfId="0" applyFont="1" applyFill="1" applyAlignment="1" applyProtection="1"/>
    <xf numFmtId="49" fontId="2" fillId="0" borderId="0" xfId="0" applyNumberFormat="1" applyFont="1" applyBorder="1"/>
    <xf numFmtId="0" fontId="5" fillId="6" borderId="6" xfId="0" applyFont="1" applyFill="1" applyBorder="1"/>
    <xf numFmtId="0" fontId="5" fillId="6" borderId="18" xfId="0" applyFont="1" applyFill="1" applyBorder="1"/>
    <xf numFmtId="0" fontId="5" fillId="6" borderId="7" xfId="0" applyFont="1" applyFill="1" applyBorder="1"/>
    <xf numFmtId="0" fontId="5" fillId="6" borderId="12" xfId="0" applyFont="1" applyFill="1" applyBorder="1"/>
    <xf numFmtId="0" fontId="2" fillId="0" borderId="18" xfId="0" applyFont="1" applyFill="1" applyBorder="1"/>
    <xf numFmtId="0" fontId="2" fillId="0" borderId="7" xfId="0" applyFont="1" applyFill="1" applyBorder="1"/>
    <xf numFmtId="0" fontId="2" fillId="0" borderId="7" xfId="0" applyFont="1" applyFill="1" applyBorder="1" applyAlignment="1"/>
    <xf numFmtId="49" fontId="2" fillId="0" borderId="18" xfId="0" applyNumberFormat="1" applyFont="1" applyFill="1" applyBorder="1"/>
    <xf numFmtId="49" fontId="2" fillId="0" borderId="7" xfId="0" applyNumberFormat="1" applyFont="1" applyFill="1" applyBorder="1"/>
    <xf numFmtId="0" fontId="0" fillId="0" borderId="0" xfId="0"/>
    <xf numFmtId="1" fontId="50" fillId="0" borderId="0" xfId="0" applyNumberFormat="1" applyFont="1" applyFill="1" applyBorder="1" applyAlignment="1" applyProtection="1">
      <alignment horizontal="center"/>
    </xf>
    <xf numFmtId="0" fontId="6" fillId="0" borderId="0" xfId="0" applyFont="1"/>
    <xf numFmtId="0" fontId="0" fillId="0" borderId="0" xfId="0"/>
    <xf numFmtId="0" fontId="2" fillId="5" borderId="5" xfId="0" applyFont="1" applyFill="1" applyBorder="1"/>
    <xf numFmtId="0" fontId="6" fillId="5" borderId="5" xfId="0" applyFont="1" applyFill="1" applyBorder="1"/>
    <xf numFmtId="0" fontId="0" fillId="0" borderId="0" xfId="0"/>
    <xf numFmtId="0" fontId="51" fillId="6" borderId="0" xfId="0" applyFont="1" applyFill="1"/>
    <xf numFmtId="0" fontId="52" fillId="6" borderId="0" xfId="0" applyFont="1" applyFill="1"/>
    <xf numFmtId="0" fontId="2" fillId="6" borderId="0" xfId="0" applyFont="1" applyFill="1"/>
    <xf numFmtId="0" fontId="2" fillId="0" borderId="0" xfId="0" applyFont="1"/>
    <xf numFmtId="0" fontId="24" fillId="0" borderId="0" xfId="0" applyFont="1" applyAlignment="1" applyProtection="1"/>
    <xf numFmtId="0" fontId="2" fillId="0" borderId="0" xfId="0" applyFont="1" applyFill="1"/>
    <xf numFmtId="9" fontId="53" fillId="0" borderId="0" xfId="0" applyNumberFormat="1" applyFont="1" applyFill="1" applyBorder="1" applyAlignment="1"/>
    <xf numFmtId="1" fontId="54" fillId="0" borderId="0" xfId="0" applyNumberFormat="1" applyFont="1" applyFill="1" applyBorder="1" applyAlignment="1">
      <alignment horizontal="center"/>
    </xf>
    <xf numFmtId="9" fontId="53" fillId="0" borderId="0" xfId="0" applyNumberFormat="1" applyFont="1" applyBorder="1" applyAlignment="1"/>
    <xf numFmtId="168" fontId="44" fillId="0" borderId="0" xfId="0" applyNumberFormat="1" applyFont="1" applyFill="1" applyBorder="1" applyAlignment="1"/>
    <xf numFmtId="0" fontId="41" fillId="0" borderId="0" xfId="0" applyFont="1" applyFill="1"/>
    <xf numFmtId="2" fontId="40" fillId="0" borderId="0" xfId="0" applyNumberFormat="1" applyFont="1" applyFill="1" applyBorder="1" applyProtection="1"/>
    <xf numFmtId="0" fontId="2" fillId="0" borderId="0" xfId="0" applyFont="1"/>
    <xf numFmtId="169" fontId="45" fillId="12" borderId="19" xfId="0" applyNumberFormat="1" applyFont="1" applyFill="1" applyBorder="1" applyAlignment="1">
      <alignment horizontal="center"/>
    </xf>
    <xf numFmtId="169" fontId="45" fillId="12" borderId="19" xfId="0" applyNumberFormat="1" applyFont="1" applyFill="1" applyBorder="1"/>
    <xf numFmtId="169" fontId="45" fillId="12" borderId="20" xfId="0" applyNumberFormat="1" applyFont="1" applyFill="1" applyBorder="1" applyAlignment="1">
      <alignment horizontal="center"/>
    </xf>
    <xf numFmtId="3" fontId="2" fillId="0" borderId="7" xfId="0" applyNumberFormat="1" applyFont="1" applyFill="1" applyBorder="1"/>
    <xf numFmtId="3" fontId="6" fillId="0" borderId="18" xfId="0" applyNumberFormat="1" applyFont="1" applyFill="1" applyBorder="1"/>
    <xf numFmtId="3" fontId="6" fillId="0" borderId="18" xfId="0" applyNumberFormat="1" applyFont="1" applyFill="1" applyBorder="1" applyAlignment="1">
      <alignment vertical="top"/>
    </xf>
    <xf numFmtId="3" fontId="6" fillId="0" borderId="13" xfId="0" applyNumberFormat="1" applyFont="1" applyFill="1" applyBorder="1"/>
    <xf numFmtId="3" fontId="0" fillId="0" borderId="11" xfId="0" applyNumberFormat="1" applyFont="1" applyFill="1" applyBorder="1" applyAlignment="1">
      <alignment horizontal="right" vertical="top" wrapText="1"/>
    </xf>
    <xf numFmtId="3" fontId="0" fillId="0" borderId="13" xfId="0" applyNumberFormat="1" applyFont="1" applyFill="1" applyBorder="1" applyAlignment="1">
      <alignment vertical="top" wrapText="1"/>
    </xf>
    <xf numFmtId="3" fontId="6" fillId="0" borderId="15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right"/>
    </xf>
    <xf numFmtId="0" fontId="0" fillId="0" borderId="0" xfId="0"/>
    <xf numFmtId="0" fontId="5" fillId="0" borderId="0" xfId="0" applyFont="1"/>
    <xf numFmtId="0" fontId="6" fillId="0" borderId="0" xfId="0" applyFont="1"/>
    <xf numFmtId="0" fontId="0" fillId="0" borderId="0" xfId="0"/>
    <xf numFmtId="168" fontId="53" fillId="0" borderId="0" xfId="0" applyNumberFormat="1" applyFont="1" applyFill="1" applyAlignment="1"/>
    <xf numFmtId="168" fontId="57" fillId="14" borderId="21" xfId="0" applyNumberFormat="1" applyFont="1" applyFill="1" applyBorder="1" applyAlignment="1"/>
    <xf numFmtId="0" fontId="55" fillId="12" borderId="0" xfId="0" applyFont="1" applyFill="1" applyBorder="1"/>
    <xf numFmtId="0" fontId="56" fillId="12" borderId="23" xfId="0" applyFont="1" applyFill="1" applyBorder="1" applyAlignment="1">
      <alignment horizontal="center"/>
    </xf>
    <xf numFmtId="0" fontId="57" fillId="13" borderId="24" xfId="0" applyFont="1" applyFill="1" applyBorder="1" applyAlignment="1"/>
    <xf numFmtId="168" fontId="57" fillId="13" borderId="22" xfId="0" applyNumberFormat="1" applyFont="1" applyFill="1" applyBorder="1" applyAlignment="1"/>
    <xf numFmtId="0" fontId="57" fillId="14" borderId="25" xfId="0" applyFont="1" applyFill="1" applyBorder="1" applyAlignment="1"/>
    <xf numFmtId="0" fontId="57" fillId="13" borderId="25" xfId="0" applyFont="1" applyFill="1" applyBorder="1" applyAlignment="1"/>
    <xf numFmtId="168" fontId="57" fillId="13" borderId="21" xfId="0" applyNumberFormat="1" applyFont="1" applyFill="1" applyBorder="1" applyAlignment="1"/>
    <xf numFmtId="0" fontId="58" fillId="0" borderId="24" xfId="0" applyFont="1" applyFill="1" applyBorder="1" applyAlignment="1"/>
    <xf numFmtId="168" fontId="58" fillId="0" borderId="22" xfId="0" applyNumberFormat="1" applyFont="1" applyFill="1" applyBorder="1" applyAlignment="1"/>
    <xf numFmtId="0" fontId="57" fillId="0" borderId="0" xfId="0" applyFont="1" applyFill="1" applyBorder="1" applyAlignment="1"/>
    <xf numFmtId="168" fontId="57" fillId="0" borderId="23" xfId="0" applyNumberFormat="1" applyFont="1" applyFill="1" applyBorder="1" applyAlignment="1"/>
    <xf numFmtId="49" fontId="2" fillId="0" borderId="0" xfId="0" applyNumberFormat="1" applyFont="1" applyProtection="1">
      <protection locked="0"/>
    </xf>
    <xf numFmtId="0" fontId="2" fillId="0" borderId="0" xfId="0" applyFont="1" applyFill="1"/>
    <xf numFmtId="0" fontId="0" fillId="0" borderId="0" xfId="0"/>
    <xf numFmtId="0" fontId="6" fillId="0" borderId="6" xfId="0" applyFont="1" applyFill="1" applyBorder="1"/>
    <xf numFmtId="3" fontId="6" fillId="0" borderId="0" xfId="0" applyNumberFormat="1" applyFont="1" applyFill="1"/>
    <xf numFmtId="0" fontId="5" fillId="0" borderId="0" xfId="0" applyFont="1" applyFill="1" applyAlignment="1">
      <alignment horizontal="right"/>
    </xf>
    <xf numFmtId="49" fontId="2" fillId="0" borderId="0" xfId="0" applyNumberFormat="1" applyFont="1" applyAlignment="1">
      <alignment horizontal="left"/>
    </xf>
    <xf numFmtId="0" fontId="2" fillId="0" borderId="0" xfId="0" applyFont="1" applyFill="1" applyBorder="1"/>
    <xf numFmtId="164" fontId="2" fillId="0" borderId="0" xfId="0" applyNumberFormat="1" applyFont="1" applyProtection="1">
      <protection locked="0"/>
    </xf>
    <xf numFmtId="0" fontId="2" fillId="0" borderId="0" xfId="0" applyFont="1"/>
    <xf numFmtId="0" fontId="24" fillId="0" borderId="0" xfId="0" applyFont="1" applyAlignment="1" applyProtection="1"/>
    <xf numFmtId="2" fontId="21" fillId="0" borderId="0" xfId="0" applyNumberFormat="1" applyFont="1" applyFill="1" applyProtection="1">
      <protection hidden="1"/>
    </xf>
    <xf numFmtId="0" fontId="2" fillId="0" borderId="0" xfId="0" applyFont="1" applyFill="1" applyAlignment="1" applyProtection="1"/>
    <xf numFmtId="49" fontId="2" fillId="0" borderId="0" xfId="0" applyNumberFormat="1" applyFont="1" applyFill="1" applyBorder="1"/>
    <xf numFmtId="0" fontId="24" fillId="0" borderId="0" xfId="0" applyFont="1" applyFill="1" applyAlignment="1" applyProtection="1"/>
    <xf numFmtId="49" fontId="2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13" xfId="0" applyFont="1" applyBorder="1"/>
    <xf numFmtId="0" fontId="2" fillId="0" borderId="11" xfId="0" applyFont="1" applyBorder="1"/>
    <xf numFmtId="0" fontId="24" fillId="0" borderId="17" xfId="0" applyFont="1" applyBorder="1" applyAlignment="1" applyProtection="1"/>
    <xf numFmtId="0" fontId="24" fillId="0" borderId="10" xfId="0" applyFont="1" applyBorder="1" applyAlignment="1" applyProtection="1"/>
    <xf numFmtId="2" fontId="21" fillId="6" borderId="18" xfId="0" applyNumberFormat="1" applyFont="1" applyFill="1" applyBorder="1" applyProtection="1">
      <protection hidden="1"/>
    </xf>
    <xf numFmtId="2" fontId="21" fillId="6" borderId="7" xfId="0" applyNumberFormat="1" applyFont="1" applyFill="1" applyBorder="1" applyProtection="1">
      <protection hidden="1"/>
    </xf>
    <xf numFmtId="49" fontId="2" fillId="6" borderId="7" xfId="0" applyNumberFormat="1" applyFont="1" applyFill="1" applyBorder="1"/>
    <xf numFmtId="2" fontId="21" fillId="0" borderId="6" xfId="0" applyNumberFormat="1" applyFont="1" applyFill="1" applyBorder="1" applyProtection="1">
      <protection hidden="1"/>
    </xf>
    <xf numFmtId="2" fontId="21" fillId="0" borderId="18" xfId="0" applyNumberFormat="1" applyFont="1" applyFill="1" applyBorder="1" applyProtection="1">
      <protection hidden="1"/>
    </xf>
    <xf numFmtId="2" fontId="21" fillId="0" borderId="7" xfId="0" applyNumberFormat="1" applyFont="1" applyFill="1" applyBorder="1" applyProtection="1">
      <protection hidden="1"/>
    </xf>
    <xf numFmtId="49" fontId="6" fillId="0" borderId="6" xfId="0" applyNumberFormat="1" applyFont="1" applyFill="1" applyBorder="1"/>
    <xf numFmtId="49" fontId="6" fillId="0" borderId="18" xfId="0" applyNumberFormat="1" applyFont="1" applyFill="1" applyBorder="1"/>
    <xf numFmtId="49" fontId="6" fillId="0" borderId="7" xfId="0" applyNumberFormat="1" applyFont="1" applyFill="1" applyBorder="1"/>
    <xf numFmtId="49" fontId="6" fillId="6" borderId="6" xfId="0" applyNumberFormat="1" applyFont="1" applyFill="1" applyBorder="1"/>
    <xf numFmtId="49" fontId="6" fillId="6" borderId="7" xfId="0" applyNumberFormat="1" applyFont="1" applyFill="1" applyBorder="1"/>
    <xf numFmtId="2" fontId="21" fillId="6" borderId="18" xfId="0" applyNumberFormat="1" applyFont="1" applyFill="1" applyBorder="1" applyAlignment="1" applyProtection="1">
      <alignment horizontal="left"/>
      <protection hidden="1"/>
    </xf>
    <xf numFmtId="2" fontId="21" fillId="6" borderId="7" xfId="0" applyNumberFormat="1" applyFont="1" applyFill="1" applyBorder="1" applyAlignment="1" applyProtection="1">
      <alignment horizontal="left"/>
      <protection hidden="1"/>
    </xf>
    <xf numFmtId="0" fontId="6" fillId="6" borderId="6" xfId="0" applyFont="1" applyFill="1" applyBorder="1"/>
    <xf numFmtId="0" fontId="6" fillId="6" borderId="18" xfId="0" applyFont="1" applyFill="1" applyBorder="1"/>
    <xf numFmtId="0" fontId="6" fillId="6" borderId="7" xfId="0" applyFont="1" applyFill="1" applyBorder="1"/>
    <xf numFmtId="0" fontId="2" fillId="6" borderId="18" xfId="0" applyFont="1" applyFill="1" applyBorder="1" applyAlignment="1">
      <alignment horizontal="left"/>
    </xf>
    <xf numFmtId="0" fontId="2" fillId="6" borderId="7" xfId="0" applyFont="1" applyFill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4" fillId="0" borderId="17" xfId="0" applyFont="1" applyBorder="1" applyAlignment="1" applyProtection="1">
      <alignment horizontal="left"/>
    </xf>
    <xf numFmtId="0" fontId="24" fillId="0" borderId="10" xfId="0" applyFont="1" applyBorder="1" applyAlignment="1" applyProtection="1">
      <alignment horizontal="left"/>
    </xf>
    <xf numFmtId="49" fontId="2" fillId="6" borderId="18" xfId="0" applyNumberFormat="1" applyFont="1" applyFill="1" applyBorder="1" applyAlignment="1">
      <alignment horizontal="left"/>
    </xf>
    <xf numFmtId="49" fontId="2" fillId="6" borderId="7" xfId="0" applyNumberFormat="1" applyFont="1" applyFill="1" applyBorder="1" applyAlignment="1">
      <alignment horizontal="left"/>
    </xf>
    <xf numFmtId="49" fontId="6" fillId="6" borderId="18" xfId="0" applyNumberFormat="1" applyFont="1" applyFill="1" applyBorder="1" applyAlignment="1">
      <alignment horizontal="left"/>
    </xf>
    <xf numFmtId="49" fontId="6" fillId="6" borderId="7" xfId="0" applyNumberFormat="1" applyFont="1" applyFill="1" applyBorder="1" applyAlignment="1">
      <alignment horizontal="left"/>
    </xf>
    <xf numFmtId="0" fontId="6" fillId="0" borderId="0" xfId="0" applyFont="1"/>
    <xf numFmtId="0" fontId="0" fillId="0" borderId="0" xfId="0"/>
    <xf numFmtId="0" fontId="2" fillId="0" borderId="0" xfId="0" applyFont="1" applyFill="1"/>
    <xf numFmtId="0" fontId="2" fillId="5" borderId="0" xfId="0" applyFont="1" applyFill="1"/>
    <xf numFmtId="0" fontId="12" fillId="0" borderId="0" xfId="0" applyNumberFormat="1" applyFont="1" applyFill="1" applyBorder="1"/>
    <xf numFmtId="0" fontId="2" fillId="0" borderId="0" xfId="0" applyNumberFormat="1" applyFont="1" applyFill="1" applyBorder="1" applyProtection="1"/>
    <xf numFmtId="0" fontId="2" fillId="0" borderId="0" xfId="0" applyNumberFormat="1" applyFont="1"/>
    <xf numFmtId="0" fontId="61" fillId="0" borderId="0" xfId="0" applyFont="1"/>
    <xf numFmtId="0" fontId="2" fillId="10" borderId="3" xfId="0" applyFont="1" applyFill="1" applyBorder="1"/>
    <xf numFmtId="0" fontId="2" fillId="15" borderId="3" xfId="0" applyFont="1" applyFill="1" applyBorder="1"/>
    <xf numFmtId="0" fontId="2" fillId="15" borderId="3" xfId="0" applyFont="1" applyFill="1" applyBorder="1" applyAlignment="1">
      <alignment horizontal="left"/>
    </xf>
    <xf numFmtId="0" fontId="2" fillId="10" borderId="3" xfId="0" applyFont="1" applyFill="1" applyBorder="1" applyAlignment="1">
      <alignment horizontal="left"/>
    </xf>
    <xf numFmtId="0" fontId="6" fillId="0" borderId="0" xfId="0" applyFont="1" applyAlignment="1"/>
    <xf numFmtId="0" fontId="21" fillId="0" borderId="0" xfId="0" applyFont="1" applyAlignment="1">
      <alignment horizontal="left"/>
    </xf>
    <xf numFmtId="0" fontId="2" fillId="0" borderId="17" xfId="0" applyFont="1" applyFill="1" applyBorder="1" applyAlignment="1"/>
    <xf numFmtId="2" fontId="21" fillId="0" borderId="0" xfId="0" applyNumberFormat="1" applyFont="1" applyFill="1" applyBorder="1" applyProtection="1">
      <protection hidden="1"/>
    </xf>
    <xf numFmtId="0" fontId="24" fillId="0" borderId="0" xfId="0" applyFont="1" applyBorder="1" applyAlignment="1" applyProtection="1"/>
    <xf numFmtId="0" fontId="2" fillId="0" borderId="13" xfId="0" applyFont="1" applyFill="1" applyBorder="1"/>
    <xf numFmtId="0" fontId="2" fillId="0" borderId="11" xfId="0" applyFont="1" applyFill="1" applyBorder="1"/>
    <xf numFmtId="0" fontId="24" fillId="0" borderId="0" xfId="0" applyFont="1" applyFill="1" applyBorder="1" applyAlignment="1" applyProtection="1"/>
    <xf numFmtId="0" fontId="24" fillId="0" borderId="17" xfId="0" applyFont="1" applyFill="1" applyBorder="1" applyAlignment="1" applyProtection="1"/>
    <xf numFmtId="0" fontId="24" fillId="0" borderId="10" xfId="0" applyFont="1" applyFill="1" applyBorder="1" applyAlignment="1" applyProtection="1"/>
    <xf numFmtId="49" fontId="2" fillId="0" borderId="18" xfId="0" applyNumberFormat="1" applyFont="1" applyFill="1" applyBorder="1" applyAlignment="1">
      <alignment horizontal="left"/>
    </xf>
    <xf numFmtId="49" fontId="2" fillId="0" borderId="7" xfId="0" applyNumberFormat="1" applyFont="1" applyFill="1" applyBorder="1" applyAlignment="1">
      <alignment horizontal="left"/>
    </xf>
    <xf numFmtId="0" fontId="24" fillId="0" borderId="0" xfId="0" applyFont="1" applyBorder="1" applyAlignment="1" applyProtection="1">
      <alignment horizontal="left"/>
    </xf>
    <xf numFmtId="49" fontId="6" fillId="6" borderId="9" xfId="0" applyNumberFormat="1" applyFont="1" applyFill="1" applyBorder="1"/>
    <xf numFmtId="0" fontId="6" fillId="0" borderId="8" xfId="0" applyFont="1" applyFill="1" applyBorder="1"/>
    <xf numFmtId="49" fontId="6" fillId="0" borderId="9" xfId="0" applyNumberFormat="1" applyFont="1" applyFill="1" applyBorder="1"/>
    <xf numFmtId="0" fontId="6" fillId="6" borderId="12" xfId="0" applyFont="1" applyFill="1" applyBorder="1"/>
    <xf numFmtId="49" fontId="6" fillId="6" borderId="16" xfId="0" applyNumberFormat="1" applyFont="1" applyFill="1" applyBorder="1"/>
    <xf numFmtId="0" fontId="5" fillId="0" borderId="11" xfId="0" applyFont="1" applyFill="1" applyBorder="1"/>
    <xf numFmtId="9" fontId="2" fillId="0" borderId="0" xfId="6" applyFont="1" applyFill="1" applyBorder="1"/>
    <xf numFmtId="169" fontId="2" fillId="0" borderId="6" xfId="0" applyNumberFormat="1" applyFont="1" applyFill="1" applyBorder="1"/>
    <xf numFmtId="0" fontId="0" fillId="0" borderId="0" xfId="0"/>
    <xf numFmtId="4" fontId="33" fillId="0" borderId="0" xfId="9" applyNumberFormat="1" applyBorder="1"/>
    <xf numFmtId="4" fontId="33" fillId="0" borderId="26" xfId="9" applyNumberFormat="1" applyBorder="1"/>
    <xf numFmtId="4" fontId="33" fillId="0" borderId="0" xfId="9" applyNumberFormat="1" applyBorder="1"/>
    <xf numFmtId="4" fontId="33" fillId="0" borderId="0" xfId="9" applyNumberFormat="1" applyBorder="1" applyProtection="1">
      <protection locked="0"/>
    </xf>
    <xf numFmtId="4" fontId="33" fillId="0" borderId="0" xfId="9" applyNumberFormat="1" applyBorder="1"/>
    <xf numFmtId="0" fontId="2" fillId="0" borderId="0" xfId="0" applyFont="1" applyFill="1"/>
    <xf numFmtId="4" fontId="0" fillId="0" borderId="0" xfId="0" applyNumberFormat="1" applyBorder="1"/>
    <xf numFmtId="0" fontId="62" fillId="6" borderId="0" xfId="10" applyFill="1" applyAlignment="1" applyProtection="1"/>
    <xf numFmtId="0" fontId="26" fillId="6" borderId="0" xfId="0" applyFont="1" applyFill="1" applyAlignment="1" applyProtection="1">
      <alignment wrapText="1"/>
    </xf>
    <xf numFmtId="0" fontId="26" fillId="0" borderId="0" xfId="0" applyFont="1" applyFill="1" applyProtection="1">
      <protection locked="0"/>
    </xf>
    <xf numFmtId="0" fontId="27" fillId="6" borderId="0" xfId="0" applyFont="1" applyFill="1" applyAlignment="1" applyProtection="1">
      <protection locked="0"/>
    </xf>
    <xf numFmtId="0" fontId="62" fillId="6" borderId="0" xfId="10" applyFill="1" applyProtection="1"/>
    <xf numFmtId="2" fontId="23" fillId="6" borderId="0" xfId="0" applyNumberFormat="1" applyFont="1" applyFill="1" applyBorder="1" applyProtection="1"/>
    <xf numFmtId="2" fontId="32" fillId="6" borderId="0" xfId="0" applyNumberFormat="1" applyFont="1" applyFill="1" applyBorder="1" applyProtection="1"/>
    <xf numFmtId="2" fontId="63" fillId="6" borderId="0" xfId="0" applyNumberFormat="1" applyFont="1" applyFill="1" applyBorder="1" applyProtection="1"/>
    <xf numFmtId="2" fontId="32" fillId="6" borderId="0" xfId="0" applyNumberFormat="1" applyFont="1" applyFill="1" applyBorder="1"/>
    <xf numFmtId="2" fontId="63" fillId="6" borderId="0" xfId="0" applyNumberFormat="1" applyFont="1" applyFill="1" applyBorder="1" applyProtection="1">
      <protection locked="0"/>
    </xf>
    <xf numFmtId="0" fontId="32" fillId="6" borderId="0" xfId="0" applyFont="1" applyFill="1"/>
    <xf numFmtId="0" fontId="64" fillId="6" borderId="0" xfId="0" applyFont="1" applyFill="1" applyBorder="1" applyProtection="1">
      <protection locked="0"/>
    </xf>
    <xf numFmtId="0" fontId="40" fillId="6" borderId="0" xfId="0" applyFont="1" applyFill="1"/>
    <xf numFmtId="0" fontId="31" fillId="6" borderId="0" xfId="0" applyFont="1" applyFill="1"/>
    <xf numFmtId="0" fontId="8" fillId="6" borderId="0" xfId="0" applyFont="1" applyFill="1"/>
    <xf numFmtId="2" fontId="7" fillId="6" borderId="0" xfId="0" applyNumberFormat="1" applyFont="1" applyFill="1" applyBorder="1"/>
    <xf numFmtId="0" fontId="40" fillId="6" borderId="0" xfId="0" applyFont="1" applyFill="1" applyProtection="1">
      <protection locked="0"/>
    </xf>
    <xf numFmtId="1" fontId="13" fillId="6" borderId="0" xfId="0" applyNumberFormat="1" applyFont="1" applyFill="1" applyBorder="1" applyAlignment="1">
      <alignment horizontal="right"/>
    </xf>
    <xf numFmtId="168" fontId="40" fillId="6" borderId="0" xfId="0" applyNumberFormat="1" applyFont="1" applyFill="1" applyBorder="1" applyAlignment="1" applyProtection="1"/>
    <xf numFmtId="49" fontId="2" fillId="5" borderId="5" xfId="0" applyNumberFormat="1" applyFont="1" applyFill="1" applyBorder="1"/>
    <xf numFmtId="169" fontId="2" fillId="0" borderId="0" xfId="9" applyNumberFormat="1" applyFont="1" applyBorder="1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24" fillId="0" borderId="0" xfId="0" applyFont="1" applyAlignment="1" applyProtection="1"/>
    <xf numFmtId="0" fontId="2" fillId="5" borderId="0" xfId="0" applyFont="1" applyFill="1" applyBorder="1" applyAlignment="1">
      <alignment horizontal="left"/>
    </xf>
    <xf numFmtId="49" fontId="2" fillId="0" borderId="0" xfId="0" applyNumberFormat="1" applyFont="1" applyFill="1" applyBorder="1"/>
    <xf numFmtId="0" fontId="2" fillId="6" borderId="18" xfId="0" applyFont="1" applyFill="1" applyBorder="1"/>
    <xf numFmtId="49" fontId="2" fillId="0" borderId="0" xfId="0" applyNumberFormat="1" applyFont="1" applyProtection="1">
      <protection locked="0"/>
    </xf>
    <xf numFmtId="0" fontId="0" fillId="0" borderId="0" xfId="0"/>
    <xf numFmtId="0" fontId="5" fillId="6" borderId="0" xfId="0" applyFont="1" applyFill="1"/>
    <xf numFmtId="49" fontId="2" fillId="5" borderId="14" xfId="0" applyNumberFormat="1" applyFont="1" applyFill="1" applyBorder="1" applyAlignment="1"/>
    <xf numFmtId="49" fontId="2" fillId="5" borderId="0" xfId="0" applyNumberFormat="1" applyFont="1" applyFill="1" applyBorder="1" applyAlignment="1"/>
    <xf numFmtId="0" fontId="6" fillId="5" borderId="0" xfId="0" applyFont="1" applyFill="1" applyBorder="1"/>
    <xf numFmtId="0" fontId="2" fillId="0" borderId="17" xfId="0" applyFont="1" applyFill="1" applyBorder="1"/>
    <xf numFmtId="0" fontId="2" fillId="5" borderId="0" xfId="0" applyFont="1" applyFill="1" applyBorder="1"/>
    <xf numFmtId="0" fontId="6" fillId="0" borderId="0" xfId="0" applyFont="1" applyProtection="1"/>
    <xf numFmtId="2" fontId="6" fillId="0" borderId="0" xfId="0" applyNumberFormat="1" applyFont="1" applyProtection="1"/>
    <xf numFmtId="0" fontId="6" fillId="0" borderId="6" xfId="0" applyFont="1" applyFill="1" applyBorder="1" applyProtection="1"/>
    <xf numFmtId="0" fontId="6" fillId="0" borderId="0" xfId="0" applyFont="1" applyBorder="1" applyProtection="1"/>
    <xf numFmtId="0" fontId="6" fillId="0" borderId="0" xfId="0" applyFont="1" applyFill="1" applyBorder="1" applyAlignment="1" applyProtection="1">
      <alignment vertical="top"/>
    </xf>
    <xf numFmtId="0" fontId="6" fillId="0" borderId="0" xfId="0" applyFont="1" applyFill="1" applyProtection="1"/>
    <xf numFmtId="0" fontId="6" fillId="0" borderId="5" xfId="0" applyFont="1" applyFill="1" applyBorder="1" applyProtection="1"/>
    <xf numFmtId="0" fontId="6" fillId="0" borderId="0" xfId="0" applyFont="1" applyFill="1" applyBorder="1" applyAlignment="1" applyProtection="1">
      <alignment vertical="top" wrapText="1"/>
    </xf>
    <xf numFmtId="167" fontId="6" fillId="0" borderId="0" xfId="0" applyNumberFormat="1" applyFont="1" applyFill="1" applyBorder="1" applyProtection="1"/>
    <xf numFmtId="167" fontId="2" fillId="0" borderId="0" xfId="0" applyNumberFormat="1" applyFont="1" applyFill="1" applyProtection="1"/>
    <xf numFmtId="167" fontId="0" fillId="0" borderId="0" xfId="0" applyNumberFormat="1" applyFont="1" applyFill="1" applyProtection="1"/>
    <xf numFmtId="4" fontId="6" fillId="0" borderId="0" xfId="0" applyNumberFormat="1" applyFont="1" applyFill="1" applyBorder="1" applyAlignment="1" applyProtection="1">
      <alignment horizontal="right" vertical="top"/>
    </xf>
    <xf numFmtId="0" fontId="5" fillId="0" borderId="4" xfId="0" applyFont="1" applyBorder="1"/>
    <xf numFmtId="0" fontId="0" fillId="0" borderId="4" xfId="0" applyBorder="1"/>
    <xf numFmtId="0" fontId="61" fillId="0" borderId="4" xfId="0" applyFont="1" applyBorder="1"/>
    <xf numFmtId="0" fontId="60" fillId="13" borderId="4" xfId="0" applyFont="1" applyFill="1" applyBorder="1" applyAlignment="1">
      <alignment vertical="top"/>
    </xf>
    <xf numFmtId="0" fontId="60" fillId="14" borderId="4" xfId="0" applyFont="1" applyFill="1" applyBorder="1" applyAlignment="1">
      <alignment vertical="top"/>
    </xf>
    <xf numFmtId="0" fontId="2" fillId="0" borderId="4" xfId="0" applyFont="1" applyBorder="1"/>
    <xf numFmtId="0" fontId="60" fillId="14" borderId="4" xfId="0" applyFont="1" applyFill="1" applyBorder="1"/>
    <xf numFmtId="0" fontId="0" fillId="0" borderId="4" xfId="0" applyFont="1" applyFill="1" applyBorder="1"/>
    <xf numFmtId="0" fontId="46" fillId="14" borderId="4" xfId="0" applyFont="1" applyFill="1" applyBorder="1" applyAlignment="1">
      <alignment vertical="top"/>
    </xf>
    <xf numFmtId="8" fontId="6" fillId="0" borderId="7" xfId="0" applyNumberFormat="1" applyFont="1" applyFill="1" applyBorder="1"/>
    <xf numFmtId="8" fontId="6" fillId="0" borderId="7" xfId="0" applyNumberFormat="1" applyFont="1" applyFill="1" applyBorder="1" applyAlignment="1">
      <alignment vertical="top"/>
    </xf>
    <xf numFmtId="8" fontId="6" fillId="0" borderId="11" xfId="0" applyNumberFormat="1" applyFont="1" applyFill="1" applyBorder="1"/>
    <xf numFmtId="4" fontId="0" fillId="0" borderId="0" xfId="0" applyNumberFormat="1" applyProtection="1"/>
    <xf numFmtId="0" fontId="2" fillId="0" borderId="0" xfId="0" applyFont="1" applyFill="1"/>
    <xf numFmtId="0" fontId="2" fillId="0" borderId="0" xfId="0" applyFont="1" applyFill="1" applyBorder="1" applyAlignment="1"/>
    <xf numFmtId="0" fontId="6" fillId="6" borderId="16" xfId="0" applyFont="1" applyFill="1" applyBorder="1"/>
    <xf numFmtId="0" fontId="6" fillId="6" borderId="11" xfId="0" applyFont="1" applyFill="1" applyBorder="1"/>
    <xf numFmtId="2" fontId="21" fillId="0" borderId="13" xfId="0" applyNumberFormat="1" applyFont="1" applyFill="1" applyBorder="1" applyProtection="1">
      <protection hidden="1"/>
    </xf>
    <xf numFmtId="2" fontId="21" fillId="0" borderId="17" xfId="0" applyNumberFormat="1" applyFont="1" applyFill="1" applyBorder="1" applyProtection="1">
      <protection hidden="1"/>
    </xf>
    <xf numFmtId="0" fontId="5" fillId="0" borderId="0" xfId="0" applyFont="1" applyAlignment="1">
      <alignment horizontal="left"/>
    </xf>
    <xf numFmtId="0" fontId="5" fillId="0" borderId="0" xfId="0" applyFont="1"/>
    <xf numFmtId="0" fontId="5" fillId="0" borderId="14" xfId="0" applyFont="1" applyBorder="1" applyAlignment="1">
      <alignment horizontal="left"/>
    </xf>
    <xf numFmtId="0" fontId="5" fillId="0" borderId="14" xfId="0" applyFont="1" applyBorder="1"/>
    <xf numFmtId="0" fontId="0" fillId="0" borderId="0" xfId="0"/>
    <xf numFmtId="169" fontId="2" fillId="0" borderId="11" xfId="0" applyNumberFormat="1" applyFont="1" applyFill="1" applyBorder="1" applyAlignment="1">
      <alignment vertical="top"/>
    </xf>
    <xf numFmtId="3" fontId="2" fillId="0" borderId="13" xfId="0" applyNumberFormat="1" applyFont="1" applyFill="1" applyBorder="1" applyAlignment="1">
      <alignment vertical="top"/>
    </xf>
    <xf numFmtId="0" fontId="2" fillId="0" borderId="0" xfId="12"/>
    <xf numFmtId="0" fontId="2" fillId="0" borderId="0" xfId="12"/>
    <xf numFmtId="4" fontId="2" fillId="0" borderId="0" xfId="0" applyNumberFormat="1" applyFont="1"/>
    <xf numFmtId="5" fontId="2" fillId="0" borderId="0" xfId="0" applyNumberFormat="1" applyFont="1" applyBorder="1" applyProtection="1"/>
    <xf numFmtId="5" fontId="2" fillId="0" borderId="0" xfId="13" applyNumberFormat="1" applyFont="1" applyBorder="1" applyProtection="1"/>
    <xf numFmtId="5" fontId="21" fillId="0" borderId="0" xfId="13" applyNumberFormat="1" applyFont="1" applyBorder="1"/>
    <xf numFmtId="5" fontId="33" fillId="0" borderId="0" xfId="0" applyNumberFormat="1" applyFont="1" applyBorder="1" applyProtection="1"/>
    <xf numFmtId="5" fontId="33" fillId="0" borderId="0" xfId="3" applyNumberFormat="1" applyFont="1" applyBorder="1" applyProtection="1"/>
    <xf numFmtId="3" fontId="33" fillId="0" borderId="0" xfId="4" applyNumberFormat="1" applyFont="1" applyBorder="1" applyProtection="1"/>
    <xf numFmtId="3" fontId="0" fillId="0" borderId="0" xfId="0" applyNumberFormat="1" applyBorder="1"/>
    <xf numFmtId="165" fontId="0" fillId="0" borderId="0" xfId="11" applyNumberFormat="1" applyFont="1"/>
    <xf numFmtId="4" fontId="0" fillId="0" borderId="0" xfId="0" applyNumberFormat="1"/>
    <xf numFmtId="4" fontId="0" fillId="0" borderId="0" xfId="0" quotePrefix="1" applyNumberFormat="1"/>
    <xf numFmtId="169" fontId="2" fillId="0" borderId="7" xfId="0" applyNumberFormat="1" applyFont="1" applyFill="1" applyBorder="1" applyAlignment="1">
      <alignment vertical="top" wrapText="1"/>
    </xf>
    <xf numFmtId="169" fontId="2" fillId="0" borderId="7" xfId="3" applyNumberFormat="1" applyFont="1" applyFill="1" applyBorder="1" applyAlignment="1">
      <alignment vertical="top" wrapText="1"/>
    </xf>
    <xf numFmtId="2" fontId="60" fillId="13" borderId="21" xfId="0" applyNumberFormat="1" applyFont="1" applyFill="1" applyBorder="1"/>
    <xf numFmtId="0" fontId="6" fillId="5" borderId="0" xfId="0" applyFont="1" applyFill="1"/>
    <xf numFmtId="2" fontId="60" fillId="14" borderId="21" xfId="0" applyNumberFormat="1" applyFont="1" applyFill="1" applyBorder="1"/>
    <xf numFmtId="0" fontId="45" fillId="12" borderId="23" xfId="0" applyFont="1" applyFill="1" applyBorder="1" applyAlignment="1">
      <alignment horizontal="center"/>
    </xf>
    <xf numFmtId="2" fontId="60" fillId="13" borderId="22" xfId="0" applyNumberFormat="1" applyFont="1" applyFill="1" applyBorder="1"/>
    <xf numFmtId="169" fontId="2" fillId="0" borderId="5" xfId="0" applyNumberFormat="1" applyFont="1" applyFill="1" applyBorder="1"/>
    <xf numFmtId="169" fontId="21" fillId="0" borderId="11" xfId="0" applyNumberFormat="1" applyFont="1" applyFill="1" applyBorder="1" applyAlignment="1"/>
    <xf numFmtId="8" fontId="2" fillId="0" borderId="11" xfId="0" applyNumberFormat="1" applyFont="1" applyFill="1" applyBorder="1"/>
    <xf numFmtId="169" fontId="2" fillId="0" borderId="11" xfId="0" applyNumberFormat="1" applyFont="1" applyFill="1" applyBorder="1" applyAlignment="1">
      <alignment vertical="top" wrapText="1"/>
    </xf>
    <xf numFmtId="169" fontId="21" fillId="0" borderId="11" xfId="0" applyNumberFormat="1" applyFont="1" applyFill="1" applyBorder="1" applyProtection="1">
      <protection hidden="1"/>
    </xf>
    <xf numFmtId="169" fontId="21" fillId="0" borderId="11" xfId="0" applyNumberFormat="1" applyFont="1" applyFill="1" applyBorder="1" applyProtection="1">
      <protection locked="0"/>
    </xf>
    <xf numFmtId="169" fontId="2" fillId="0" borderId="11" xfId="0" applyNumberFormat="1" applyFont="1" applyFill="1" applyBorder="1" applyProtection="1">
      <protection hidden="1"/>
    </xf>
    <xf numFmtId="169" fontId="21" fillId="0" borderId="11" xfId="0" applyNumberFormat="1" applyFont="1" applyFill="1" applyBorder="1" applyAlignment="1" applyProtection="1">
      <protection locked="0"/>
    </xf>
    <xf numFmtId="0" fontId="45" fillId="12" borderId="0" xfId="0" applyFont="1" applyFill="1" applyBorder="1" applyAlignment="1">
      <alignment horizontal="left"/>
    </xf>
    <xf numFmtId="0" fontId="60" fillId="13" borderId="24" xfId="0" applyFont="1" applyFill="1" applyBorder="1"/>
    <xf numFmtId="0" fontId="60" fillId="14" borderId="25" xfId="0" applyFont="1" applyFill="1" applyBorder="1"/>
    <xf numFmtId="0" fontId="60" fillId="13" borderId="25" xfId="0" applyFont="1" applyFill="1" applyBorder="1"/>
    <xf numFmtId="0" fontId="60" fillId="14" borderId="25" xfId="0" applyFont="1" applyFill="1" applyBorder="1" applyAlignment="1">
      <alignment vertical="top"/>
    </xf>
    <xf numFmtId="164" fontId="2" fillId="0" borderId="0" xfId="0" applyNumberFormat="1" applyFont="1" applyFill="1" applyBorder="1" applyProtection="1">
      <protection hidden="1"/>
    </xf>
    <xf numFmtId="3" fontId="2" fillId="6" borderId="18" xfId="0" applyNumberFormat="1" applyFont="1" applyFill="1" applyBorder="1"/>
    <xf numFmtId="169" fontId="0" fillId="0" borderId="13" xfId="0" applyNumberFormat="1" applyFont="1" applyFill="1" applyBorder="1"/>
    <xf numFmtId="169" fontId="0" fillId="0" borderId="15" xfId="0" applyNumberFormat="1" applyFont="1" applyFill="1" applyBorder="1"/>
    <xf numFmtId="0" fontId="2" fillId="0" borderId="0" xfId="0" applyFont="1" applyFill="1"/>
    <xf numFmtId="49" fontId="2" fillId="0" borderId="0" xfId="0" applyNumberFormat="1" applyFont="1" applyFill="1" applyBorder="1"/>
    <xf numFmtId="2" fontId="21" fillId="0" borderId="0" xfId="0" applyNumberFormat="1" applyFont="1" applyFill="1" applyProtection="1">
      <protection hidden="1"/>
    </xf>
    <xf numFmtId="0" fontId="0" fillId="0" borderId="0" xfId="0"/>
    <xf numFmtId="169" fontId="2" fillId="0" borderId="7" xfId="0" applyNumberFormat="1" applyFont="1" applyFill="1" applyBorder="1" applyAlignment="1">
      <alignment vertical="center"/>
    </xf>
    <xf numFmtId="169" fontId="2" fillId="0" borderId="18" xfId="0" applyNumberFormat="1" applyFont="1" applyFill="1" applyBorder="1" applyAlignment="1">
      <alignment vertical="center"/>
    </xf>
    <xf numFmtId="169" fontId="2" fillId="0" borderId="5" xfId="0" applyNumberFormat="1" applyFont="1" applyFill="1" applyBorder="1" applyAlignment="1">
      <alignment vertical="center"/>
    </xf>
    <xf numFmtId="3" fontId="2" fillId="0" borderId="3" xfId="0" applyNumberFormat="1" applyFont="1" applyBorder="1" applyAlignment="1">
      <alignment vertical="top" wrapText="1"/>
    </xf>
    <xf numFmtId="3" fontId="2" fillId="0" borderId="0" xfId="0" applyNumberFormat="1" applyFont="1" applyBorder="1" applyAlignment="1">
      <alignment vertical="top" wrapText="1"/>
    </xf>
    <xf numFmtId="0" fontId="68" fillId="0" borderId="4" xfId="0" applyFont="1" applyBorder="1"/>
    <xf numFmtId="0" fontId="68" fillId="0" borderId="4" xfId="0" applyFont="1" applyBorder="1" applyAlignment="1">
      <alignment wrapText="1"/>
    </xf>
    <xf numFmtId="49" fontId="2" fillId="0" borderId="0" xfId="0" applyNumberFormat="1" applyFont="1" applyFill="1" applyProtection="1">
      <protection locked="0"/>
    </xf>
    <xf numFmtId="49" fontId="21" fillId="0" borderId="0" xfId="0" applyNumberFormat="1" applyFont="1" applyFill="1" applyBorder="1" applyProtection="1">
      <protection locked="0"/>
    </xf>
    <xf numFmtId="0" fontId="0" fillId="0" borderId="0" xfId="0"/>
    <xf numFmtId="0" fontId="0" fillId="0" borderId="0" xfId="0"/>
    <xf numFmtId="0" fontId="0" fillId="0" borderId="4" xfId="0" applyFont="1" applyBorder="1"/>
    <xf numFmtId="0" fontId="70" fillId="0" borderId="4" xfId="0" applyFont="1" applyBorder="1"/>
    <xf numFmtId="0" fontId="68" fillId="17" borderId="4" xfId="0" applyFont="1" applyFill="1" applyBorder="1" applyAlignment="1">
      <alignment wrapText="1"/>
    </xf>
    <xf numFmtId="0" fontId="72" fillId="0" borderId="4" xfId="0" applyFont="1" applyBorder="1"/>
    <xf numFmtId="0" fontId="60" fillId="0" borderId="4" xfId="0" applyFont="1" applyBorder="1"/>
    <xf numFmtId="0" fontId="2" fillId="0" borderId="0" xfId="0" applyFont="1" applyFill="1"/>
    <xf numFmtId="0" fontId="0" fillId="0" borderId="0" xfId="0"/>
    <xf numFmtId="0" fontId="5" fillId="0" borderId="0" xfId="0" applyFont="1"/>
    <xf numFmtId="0" fontId="0" fillId="0" borderId="0" xfId="0"/>
    <xf numFmtId="16" fontId="2" fillId="0" borderId="0" xfId="0" applyNumberFormat="1" applyFont="1" applyFill="1" applyAlignment="1">
      <alignment horizontal="left"/>
    </xf>
    <xf numFmtId="0" fontId="2" fillId="0" borderId="0" xfId="0" applyFont="1"/>
    <xf numFmtId="0" fontId="5" fillId="0" borderId="0" xfId="0" applyFont="1"/>
    <xf numFmtId="0" fontId="0" fillId="0" borderId="0" xfId="0"/>
    <xf numFmtId="169" fontId="2" fillId="0" borderId="18" xfId="8" applyNumberFormat="1" applyFont="1" applyFill="1" applyBorder="1" applyAlignment="1" applyProtection="1">
      <alignment vertical="center"/>
    </xf>
    <xf numFmtId="169" fontId="2" fillId="0" borderId="18" xfId="0" applyNumberFormat="1" applyFont="1" applyFill="1" applyBorder="1" applyAlignment="1" applyProtection="1">
      <alignment horizontal="right" vertical="center" wrapText="1" readingOrder="1"/>
      <protection locked="0"/>
    </xf>
    <xf numFmtId="169" fontId="2" fillId="0" borderId="17" xfId="8" applyNumberFormat="1" applyFont="1" applyFill="1" applyBorder="1" applyAlignment="1" applyProtection="1">
      <alignment vertical="center"/>
    </xf>
    <xf numFmtId="169" fontId="2" fillId="0" borderId="17" xfId="0" applyNumberFormat="1" applyFont="1" applyFill="1" applyBorder="1" applyAlignment="1" applyProtection="1">
      <alignment horizontal="right" vertical="center" wrapText="1" readingOrder="1"/>
      <protection locked="0"/>
    </xf>
    <xf numFmtId="169" fontId="2" fillId="0" borderId="13" xfId="8" applyNumberFormat="1" applyFont="1" applyFill="1" applyBorder="1" applyAlignment="1" applyProtection="1">
      <alignment vertical="center"/>
    </xf>
    <xf numFmtId="169" fontId="2" fillId="0" borderId="13" xfId="0" applyNumberFormat="1" applyFont="1" applyFill="1" applyBorder="1" applyAlignment="1" applyProtection="1">
      <alignment horizontal="right" vertical="center" wrapText="1" readingOrder="1"/>
      <protection locked="0"/>
    </xf>
    <xf numFmtId="0" fontId="5" fillId="0" borderId="0" xfId="0" applyNumberFormat="1" applyFont="1" applyFill="1" applyAlignment="1"/>
    <xf numFmtId="0" fontId="5" fillId="0" borderId="0" xfId="0" applyNumberFormat="1" applyFont="1" applyFill="1" applyBorder="1" applyAlignment="1"/>
    <xf numFmtId="0" fontId="6" fillId="0" borderId="0" xfId="3" applyFill="1"/>
    <xf numFmtId="0" fontId="5" fillId="0" borderId="17" xfId="4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169" fontId="0" fillId="0" borderId="18" xfId="0" applyNumberFormat="1" applyFill="1" applyBorder="1"/>
    <xf numFmtId="169" fontId="0" fillId="0" borderId="7" xfId="0" applyNumberFormat="1" applyFill="1" applyBorder="1"/>
    <xf numFmtId="169" fontId="0" fillId="0" borderId="17" xfId="0" applyNumberFormat="1" applyFill="1" applyBorder="1"/>
    <xf numFmtId="169" fontId="0" fillId="0" borderId="10" xfId="0" applyNumberFormat="1" applyFill="1" applyBorder="1"/>
    <xf numFmtId="169" fontId="0" fillId="0" borderId="13" xfId="0" applyNumberFormat="1" applyFill="1" applyBorder="1"/>
    <xf numFmtId="169" fontId="0" fillId="0" borderId="11" xfId="0" applyNumberFormat="1" applyFill="1" applyBorder="1"/>
    <xf numFmtId="3" fontId="2" fillId="0" borderId="0" xfId="3" applyNumberFormat="1" applyFont="1" applyFill="1" applyBorder="1"/>
    <xf numFmtId="3" fontId="2" fillId="0" borderId="0" xfId="0" applyNumberFormat="1" applyFont="1" applyFill="1" applyBorder="1"/>
    <xf numFmtId="0" fontId="74" fillId="0" borderId="17" xfId="0" applyFont="1" applyFill="1" applyBorder="1" applyAlignment="1">
      <alignment horizontal="center"/>
    </xf>
    <xf numFmtId="170" fontId="73" fillId="0" borderId="0" xfId="0" applyNumberFormat="1" applyFont="1" applyFill="1" applyAlignment="1">
      <alignment horizontal="right"/>
    </xf>
    <xf numFmtId="170" fontId="73" fillId="0" borderId="0" xfId="0" applyNumberFormat="1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center"/>
    </xf>
    <xf numFmtId="169" fontId="6" fillId="0" borderId="0" xfId="0" applyNumberFormat="1" applyFont="1" applyFill="1" applyBorder="1"/>
    <xf numFmtId="4" fontId="0" fillId="0" borderId="0" xfId="0" applyNumberFormat="1" applyFont="1"/>
    <xf numFmtId="0" fontId="74" fillId="0" borderId="0" xfId="0" applyFont="1" applyFill="1" applyAlignment="1"/>
    <xf numFmtId="0" fontId="74" fillId="0" borderId="0" xfId="0" applyFont="1"/>
    <xf numFmtId="0" fontId="74" fillId="0" borderId="0" xfId="0" applyFont="1" applyAlignment="1">
      <alignment horizontal="center"/>
    </xf>
    <xf numFmtId="169" fontId="2" fillId="0" borderId="0" xfId="0" applyNumberFormat="1" applyFont="1" applyFill="1" applyBorder="1"/>
    <xf numFmtId="169" fontId="6" fillId="0" borderId="0" xfId="0" applyNumberFormat="1" applyFont="1" applyFill="1" applyBorder="1" applyAlignment="1">
      <alignment vertical="top"/>
    </xf>
    <xf numFmtId="169" fontId="0" fillId="0" borderId="7" xfId="0" applyNumberFormat="1" applyFont="1" applyFill="1" applyBorder="1"/>
    <xf numFmtId="169" fontId="0" fillId="0" borderId="7" xfId="0" applyNumberFormat="1" applyFont="1" applyFill="1" applyBorder="1" applyAlignment="1">
      <alignment vertical="top"/>
    </xf>
    <xf numFmtId="0" fontId="74" fillId="0" borderId="0" xfId="0" applyFont="1" applyFill="1" applyBorder="1" applyAlignment="1">
      <alignment horizontal="center"/>
    </xf>
    <xf numFmtId="0" fontId="6" fillId="6" borderId="0" xfId="0" applyFont="1" applyFill="1" applyBorder="1"/>
    <xf numFmtId="0" fontId="75" fillId="12" borderId="0" xfId="0" applyFont="1" applyFill="1" applyBorder="1" applyAlignment="1">
      <alignment horizontal="center"/>
    </xf>
    <xf numFmtId="169" fontId="0" fillId="0" borderId="15" xfId="0" applyNumberFormat="1" applyFont="1" applyFill="1" applyBorder="1" applyAlignment="1">
      <alignment vertical="top"/>
    </xf>
    <xf numFmtId="169" fontId="75" fillId="12" borderId="20" xfId="0" applyNumberFormat="1" applyFont="1" applyFill="1" applyBorder="1" applyAlignment="1">
      <alignment horizontal="center"/>
    </xf>
    <xf numFmtId="169" fontId="0" fillId="0" borderId="18" xfId="0" applyNumberFormat="1" applyFont="1" applyFill="1" applyBorder="1"/>
    <xf numFmtId="169" fontId="0" fillId="0" borderId="18" xfId="0" applyNumberFormat="1" applyFont="1" applyFill="1" applyBorder="1" applyAlignment="1">
      <alignment vertical="top"/>
    </xf>
    <xf numFmtId="169" fontId="0" fillId="0" borderId="17" xfId="0" applyNumberFormat="1" applyFont="1" applyFill="1" applyBorder="1"/>
    <xf numFmtId="169" fontId="2" fillId="0" borderId="0" xfId="9" applyNumberFormat="1" applyFont="1" applyFill="1" applyBorder="1"/>
    <xf numFmtId="1" fontId="6" fillId="6" borderId="5" xfId="0" applyNumberFormat="1" applyFont="1" applyFill="1" applyBorder="1"/>
    <xf numFmtId="1" fontId="5" fillId="6" borderId="8" xfId="0" applyNumberFormat="1" applyFont="1" applyFill="1" applyBorder="1"/>
    <xf numFmtId="169" fontId="0" fillId="0" borderId="15" xfId="0" applyNumberFormat="1" applyFont="1" applyFill="1" applyBorder="1" applyAlignment="1">
      <alignment vertical="top" wrapText="1"/>
    </xf>
    <xf numFmtId="0" fontId="70" fillId="0" borderId="0" xfId="0" applyFont="1" applyFill="1"/>
    <xf numFmtId="0" fontId="0" fillId="0" borderId="0" xfId="0" applyFill="1" applyBorder="1"/>
    <xf numFmtId="0" fontId="2" fillId="0" borderId="3" xfId="0" applyFont="1" applyFill="1" applyBorder="1"/>
    <xf numFmtId="0" fontId="5" fillId="0" borderId="4" xfId="0" applyFont="1" applyFill="1" applyBorder="1"/>
    <xf numFmtId="0" fontId="68" fillId="0" borderId="4" xfId="0" applyFont="1" applyFill="1" applyBorder="1" applyAlignment="1">
      <alignment wrapText="1"/>
    </xf>
    <xf numFmtId="0" fontId="71" fillId="0" borderId="4" xfId="0" applyFont="1" applyFill="1" applyBorder="1" applyAlignment="1">
      <alignment wrapText="1"/>
    </xf>
    <xf numFmtId="0" fontId="5" fillId="0" borderId="27" xfId="0" applyFont="1" applyBorder="1"/>
    <xf numFmtId="0" fontId="3" fillId="0" borderId="27" xfId="0" applyFont="1" applyFill="1" applyBorder="1"/>
    <xf numFmtId="0" fontId="3" fillId="0" borderId="27" xfId="0" applyFont="1" applyBorder="1"/>
    <xf numFmtId="0" fontId="3" fillId="0" borderId="27" xfId="0" applyFont="1" applyBorder="1" applyAlignment="1">
      <alignment horizontal="left" vertical="top" wrapText="1"/>
    </xf>
    <xf numFmtId="0" fontId="3" fillId="0" borderId="27" xfId="0" applyFont="1" applyBorder="1" applyAlignment="1">
      <alignment wrapText="1"/>
    </xf>
    <xf numFmtId="0" fontId="3" fillId="0" borderId="27" xfId="0" applyFont="1" applyBorder="1" applyAlignment="1">
      <alignment vertical="top"/>
    </xf>
    <xf numFmtId="0" fontId="2" fillId="0" borderId="27" xfId="0" applyFont="1" applyBorder="1"/>
    <xf numFmtId="0" fontId="0" fillId="0" borderId="27" xfId="0" applyBorder="1"/>
    <xf numFmtId="0" fontId="0" fillId="0" borderId="4" xfId="0" applyFill="1" applyBorder="1"/>
    <xf numFmtId="0" fontId="2" fillId="0" borderId="4" xfId="0" applyFont="1" applyFill="1" applyBorder="1"/>
    <xf numFmtId="0" fontId="61" fillId="0" borderId="4" xfId="0" applyFont="1" applyFill="1" applyBorder="1"/>
    <xf numFmtId="0" fontId="61" fillId="0" borderId="0" xfId="0" applyFont="1" applyFill="1"/>
    <xf numFmtId="0" fontId="3" fillId="0" borderId="27" xfId="0" applyFont="1" applyFill="1" applyBorder="1" applyAlignment="1">
      <alignment wrapText="1"/>
    </xf>
    <xf numFmtId="0" fontId="68" fillId="0" borderId="4" xfId="0" applyFont="1" applyFill="1" applyBorder="1"/>
    <xf numFmtId="169" fontId="76" fillId="0" borderId="0" xfId="0" applyNumberFormat="1" applyFont="1" applyFill="1" applyBorder="1" applyAlignment="1"/>
    <xf numFmtId="1" fontId="77" fillId="0" borderId="0" xfId="0" applyNumberFormat="1" applyFont="1" applyFill="1" applyBorder="1" applyAlignment="1">
      <alignment horizontal="right"/>
    </xf>
    <xf numFmtId="1" fontId="77" fillId="0" borderId="0" xfId="0" applyNumberFormat="1" applyFont="1" applyFill="1" applyBorder="1" applyAlignment="1">
      <alignment horizontal="center"/>
    </xf>
    <xf numFmtId="0" fontId="6" fillId="0" borderId="17" xfId="0" applyNumberFormat="1" applyFont="1" applyFill="1" applyBorder="1" applyAlignment="1">
      <alignment horizontal="center"/>
    </xf>
    <xf numFmtId="0" fontId="6" fillId="6" borderId="17" xfId="0" applyFont="1" applyFill="1" applyBorder="1"/>
    <xf numFmtId="0" fontId="46" fillId="6" borderId="0" xfId="0" applyFont="1" applyFill="1" applyBorder="1" applyAlignment="1">
      <alignment horizontal="left"/>
    </xf>
    <xf numFmtId="0" fontId="5" fillId="0" borderId="0" xfId="0" applyFont="1"/>
    <xf numFmtId="3" fontId="6" fillId="6" borderId="18" xfId="0" applyNumberFormat="1" applyFont="1" applyFill="1" applyBorder="1" applyAlignment="1"/>
    <xf numFmtId="3" fontId="6" fillId="6" borderId="6" xfId="0" applyNumberFormat="1" applyFont="1" applyFill="1" applyBorder="1" applyAlignment="1"/>
    <xf numFmtId="0" fontId="2" fillId="0" borderId="0" xfId="0" applyFont="1" applyFill="1" applyAlignment="1"/>
    <xf numFmtId="165" fontId="6" fillId="0" borderId="0" xfId="11" applyNumberFormat="1" applyFont="1"/>
    <xf numFmtId="165" fontId="2" fillId="0" borderId="0" xfId="11" applyNumberFormat="1" applyFont="1" applyFill="1"/>
    <xf numFmtId="165" fontId="6" fillId="0" borderId="17" xfId="11" applyNumberFormat="1" applyFont="1" applyFill="1" applyBorder="1" applyAlignment="1">
      <alignment horizontal="center"/>
    </xf>
    <xf numFmtId="165" fontId="2" fillId="0" borderId="0" xfId="11" applyNumberFormat="1" applyFont="1"/>
    <xf numFmtId="165" fontId="0" fillId="0" borderId="28" xfId="11" applyNumberFormat="1" applyFont="1" applyFill="1" applyBorder="1" applyAlignment="1">
      <alignment horizontal="center"/>
    </xf>
    <xf numFmtId="165" fontId="0" fillId="0" borderId="29" xfId="11" applyNumberFormat="1" applyFont="1" applyFill="1" applyBorder="1" applyAlignment="1">
      <alignment horizontal="center"/>
    </xf>
    <xf numFmtId="165" fontId="0" fillId="0" borderId="17" xfId="11" applyNumberFormat="1" applyFont="1" applyFill="1" applyBorder="1" applyAlignment="1">
      <alignment horizontal="center"/>
    </xf>
    <xf numFmtId="165" fontId="0" fillId="0" borderId="0" xfId="11" applyNumberFormat="1" applyFont="1" applyFill="1"/>
    <xf numFmtId="2" fontId="6" fillId="0" borderId="0" xfId="11" applyNumberFormat="1" applyFont="1"/>
    <xf numFmtId="2" fontId="2" fillId="0" borderId="0" xfId="11" applyNumberFormat="1" applyFont="1"/>
    <xf numFmtId="2" fontId="0" fillId="0" borderId="0" xfId="11" applyNumberFormat="1" applyFont="1"/>
    <xf numFmtId="0" fontId="0" fillId="0" borderId="17" xfId="11" applyNumberFormat="1" applyFont="1" applyFill="1" applyBorder="1" applyAlignment="1">
      <alignment horizontal="center"/>
    </xf>
    <xf numFmtId="169" fontId="6" fillId="0" borderId="5" xfId="0" applyNumberFormat="1" applyFont="1" applyFill="1" applyBorder="1" applyAlignment="1">
      <alignment vertical="center"/>
    </xf>
    <xf numFmtId="169" fontId="6" fillId="0" borderId="9" xfId="0" applyNumberFormat="1" applyFont="1" applyFill="1" applyBorder="1" applyAlignment="1">
      <alignment vertical="center"/>
    </xf>
    <xf numFmtId="169" fontId="6" fillId="0" borderId="8" xfId="0" applyNumberFormat="1" applyFont="1" applyFill="1" applyBorder="1" applyAlignment="1">
      <alignment vertical="center"/>
    </xf>
    <xf numFmtId="169" fontId="6" fillId="0" borderId="5" xfId="0" applyNumberFormat="1" applyFont="1" applyFill="1" applyBorder="1"/>
    <xf numFmtId="169" fontId="6" fillId="0" borderId="5" xfId="0" applyNumberFormat="1" applyFont="1" applyFill="1" applyBorder="1" applyAlignment="1">
      <alignment vertical="top"/>
    </xf>
    <xf numFmtId="169" fontId="6" fillId="0" borderId="9" xfId="0" applyNumberFormat="1" applyFont="1" applyFill="1" applyBorder="1"/>
    <xf numFmtId="169" fontId="6" fillId="0" borderId="8" xfId="0" applyNumberFormat="1" applyFont="1" applyFill="1" applyBorder="1"/>
    <xf numFmtId="169" fontId="6" fillId="0" borderId="15" xfId="0" applyNumberFormat="1" applyFont="1" applyFill="1" applyBorder="1"/>
    <xf numFmtId="169" fontId="6" fillId="0" borderId="15" xfId="0" applyNumberFormat="1" applyFont="1" applyFill="1" applyBorder="1" applyAlignment="1">
      <alignment vertical="top"/>
    </xf>
    <xf numFmtId="0" fontId="0" fillId="0" borderId="17" xfId="0" applyNumberFormat="1" applyFont="1" applyFill="1" applyBorder="1" applyAlignment="1">
      <alignment horizontal="center"/>
    </xf>
    <xf numFmtId="0" fontId="6" fillId="0" borderId="0" xfId="0" applyNumberFormat="1" applyFont="1" applyProtection="1">
      <protection locked="0"/>
    </xf>
    <xf numFmtId="0" fontId="5" fillId="0" borderId="0" xfId="0" applyNumberFormat="1" applyFont="1" applyFill="1" applyBorder="1"/>
    <xf numFmtId="0" fontId="6" fillId="0" borderId="0" xfId="0" applyNumberFormat="1" applyFont="1" applyFill="1" applyBorder="1" applyAlignment="1">
      <alignment vertical="top" wrapText="1"/>
    </xf>
    <xf numFmtId="0" fontId="6" fillId="0" borderId="0" xfId="0" applyNumberFormat="1" applyFont="1"/>
    <xf numFmtId="169" fontId="6" fillId="0" borderId="15" xfId="16" applyNumberFormat="1" applyFont="1" applyFill="1" applyBorder="1"/>
    <xf numFmtId="169" fontId="33" fillId="0" borderId="15" xfId="16" applyNumberFormat="1" applyFont="1" applyFill="1" applyBorder="1"/>
    <xf numFmtId="169" fontId="2" fillId="0" borderId="15" xfId="16" applyNumberFormat="1" applyFont="1" applyFill="1" applyBorder="1"/>
    <xf numFmtId="169" fontId="6" fillId="0" borderId="15" xfId="16" applyNumberFormat="1" applyFont="1" applyFill="1" applyBorder="1" applyAlignment="1">
      <alignment vertical="top"/>
    </xf>
    <xf numFmtId="169" fontId="0" fillId="0" borderId="15" xfId="16" applyNumberFormat="1" applyFont="1" applyFill="1" applyBorder="1" applyAlignment="1">
      <alignment vertical="top" wrapText="1"/>
    </xf>
    <xf numFmtId="0" fontId="74" fillId="0" borderId="0" xfId="0" applyNumberFormat="1" applyFont="1" applyFill="1" applyBorder="1" applyAlignment="1">
      <alignment horizontal="center"/>
    </xf>
    <xf numFmtId="0" fontId="6" fillId="0" borderId="0" xfId="0" applyFont="1" applyFill="1" applyAlignment="1"/>
    <xf numFmtId="169" fontId="6" fillId="0" borderId="7" xfId="0" applyNumberFormat="1" applyFont="1" applyFill="1" applyBorder="1" applyAlignment="1"/>
    <xf numFmtId="3" fontId="6" fillId="0" borderId="0" xfId="0" applyNumberFormat="1" applyFont="1" applyFill="1" applyBorder="1" applyAlignment="1">
      <alignment wrapText="1"/>
    </xf>
    <xf numFmtId="169" fontId="6" fillId="0" borderId="5" xfId="0" applyNumberFormat="1" applyFont="1" applyFill="1" applyBorder="1" applyAlignment="1"/>
    <xf numFmtId="3" fontId="6" fillId="0" borderId="0" xfId="0" applyNumberFormat="1" applyFont="1" applyAlignment="1"/>
    <xf numFmtId="3" fontId="0" fillId="0" borderId="0" xfId="0" applyNumberFormat="1" applyFill="1" applyAlignment="1"/>
    <xf numFmtId="0" fontId="6" fillId="0" borderId="0" xfId="0" applyFont="1" applyFill="1" applyBorder="1" applyAlignment="1"/>
    <xf numFmtId="167" fontId="6" fillId="0" borderId="0" xfId="0" applyNumberFormat="1" applyFont="1" applyFill="1" applyBorder="1" applyAlignment="1" applyProtection="1"/>
    <xf numFmtId="167" fontId="2" fillId="0" borderId="0" xfId="0" applyNumberFormat="1" applyFont="1" applyFill="1" applyAlignment="1" applyProtection="1"/>
    <xf numFmtId="0" fontId="6" fillId="0" borderId="0" xfId="0" applyFont="1" applyFill="1" applyAlignment="1" applyProtection="1"/>
    <xf numFmtId="0" fontId="6" fillId="0" borderId="0" xfId="0" applyFont="1" applyFill="1" applyBorder="1" applyAlignment="1" applyProtection="1"/>
    <xf numFmtId="0" fontId="2" fillId="0" borderId="0" xfId="0" applyFont="1" applyFill="1" applyAlignment="1">
      <alignment vertical="center"/>
    </xf>
    <xf numFmtId="3" fontId="2" fillId="0" borderId="0" xfId="0" applyNumberFormat="1" applyFont="1" applyBorder="1" applyAlignment="1">
      <alignment vertical="center" wrapText="1"/>
    </xf>
    <xf numFmtId="169" fontId="2" fillId="0" borderId="7" xfId="0" applyNumberFormat="1" applyFont="1" applyFill="1" applyBorder="1" applyAlignment="1">
      <alignment vertical="center" wrapText="1"/>
    </xf>
    <xf numFmtId="169" fontId="2" fillId="0" borderId="7" xfId="3" applyNumberFormat="1" applyFont="1" applyFill="1" applyBorder="1" applyAlignment="1">
      <alignment vertical="center" wrapText="1"/>
    </xf>
    <xf numFmtId="169" fontId="2" fillId="0" borderId="7" xfId="1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6" borderId="18" xfId="0" applyFont="1" applyFill="1" applyBorder="1" applyAlignment="1">
      <alignment vertical="center"/>
    </xf>
    <xf numFmtId="169" fontId="2" fillId="0" borderId="13" xfId="0" applyNumberFormat="1" applyFont="1" applyFill="1" applyBorder="1" applyAlignment="1">
      <alignment vertical="center"/>
    </xf>
    <xf numFmtId="167" fontId="6" fillId="0" borderId="0" xfId="0" applyNumberFormat="1" applyFont="1" applyFill="1" applyBorder="1" applyAlignment="1" applyProtection="1">
      <alignment vertical="center"/>
    </xf>
    <xf numFmtId="0" fontId="6" fillId="0" borderId="0" xfId="0" applyFont="1" applyAlignment="1">
      <alignment vertical="center"/>
    </xf>
    <xf numFmtId="169" fontId="1" fillId="0" borderId="0" xfId="11" applyNumberFormat="1" applyFont="1" applyAlignment="1">
      <alignment vertical="center"/>
    </xf>
    <xf numFmtId="0" fontId="0" fillId="0" borderId="0" xfId="0"/>
    <xf numFmtId="1" fontId="13" fillId="0" borderId="0" xfId="0" applyNumberFormat="1" applyFont="1" applyFill="1" applyBorder="1" applyAlignment="1">
      <alignment horizontal="left"/>
    </xf>
    <xf numFmtId="1" fontId="18" fillId="0" borderId="0" xfId="0" applyNumberFormat="1" applyFont="1" applyFill="1" applyBorder="1" applyAlignment="1" applyProtection="1"/>
    <xf numFmtId="0" fontId="2" fillId="6" borderId="6" xfId="0" applyFont="1" applyFill="1" applyBorder="1" applyAlignment="1">
      <alignment horizontal="left" vertical="center"/>
    </xf>
    <xf numFmtId="0" fontId="2" fillId="6" borderId="18" xfId="0" applyFont="1" applyFill="1" applyBorder="1" applyAlignment="1">
      <alignment horizontal="left" vertical="center"/>
    </xf>
    <xf numFmtId="169" fontId="6" fillId="6" borderId="5" xfId="0" applyNumberFormat="1" applyFont="1" applyFill="1" applyBorder="1"/>
    <xf numFmtId="4" fontId="79" fillId="0" borderId="30" xfId="0" applyNumberFormat="1" applyFont="1" applyBorder="1" applyAlignment="1" applyProtection="1">
      <alignment horizontal="center"/>
      <protection locked="0"/>
    </xf>
    <xf numFmtId="0" fontId="5" fillId="0" borderId="0" xfId="0" applyFont="1"/>
    <xf numFmtId="0" fontId="5" fillId="6" borderId="6" xfId="0" applyFont="1" applyFill="1" applyBorder="1"/>
    <xf numFmtId="0" fontId="5" fillId="6" borderId="7" xfId="0" applyFont="1" applyFill="1" applyBorder="1"/>
    <xf numFmtId="172" fontId="80" fillId="0" borderId="31" xfId="0" applyNumberFormat="1" applyFont="1" applyFill="1" applyBorder="1" applyAlignment="1">
      <alignment horizontal="right" vertical="top" wrapText="1" readingOrder="1"/>
    </xf>
    <xf numFmtId="0" fontId="80" fillId="0" borderId="31" xfId="0" applyNumberFormat="1" applyFont="1" applyFill="1" applyBorder="1" applyAlignment="1">
      <alignment vertical="top" readingOrder="1"/>
    </xf>
    <xf numFmtId="169" fontId="80" fillId="0" borderId="7" xfId="0" applyNumberFormat="1" applyFont="1" applyFill="1" applyBorder="1" applyAlignment="1">
      <alignment vertical="top" readingOrder="1"/>
    </xf>
    <xf numFmtId="169" fontId="80" fillId="0" borderId="10" xfId="0" applyNumberFormat="1" applyFont="1" applyFill="1" applyBorder="1" applyAlignment="1">
      <alignment vertical="top" readingOrder="1"/>
    </xf>
    <xf numFmtId="1" fontId="5" fillId="18" borderId="9" xfId="0" applyNumberFormat="1" applyFont="1" applyFill="1" applyBorder="1" applyAlignment="1"/>
    <xf numFmtId="169" fontId="2" fillId="0" borderId="18" xfId="0" applyNumberFormat="1" applyFont="1" applyFill="1" applyBorder="1" applyAlignment="1">
      <alignment horizontal="center"/>
    </xf>
    <xf numFmtId="169" fontId="2" fillId="0" borderId="7" xfId="0" applyNumberFormat="1" applyFont="1" applyFill="1" applyBorder="1" applyAlignment="1">
      <alignment horizontal="center"/>
    </xf>
    <xf numFmtId="0" fontId="23" fillId="0" borderId="0" xfId="0" applyFont="1" applyFill="1" applyAlignment="1" applyProtection="1">
      <alignment horizontal="left"/>
    </xf>
    <xf numFmtId="165" fontId="2" fillId="0" borderId="0" xfId="0" applyNumberFormat="1" applyFont="1" applyFill="1"/>
    <xf numFmtId="0" fontId="2" fillId="0" borderId="0" xfId="0" applyFont="1" applyFill="1"/>
    <xf numFmtId="49" fontId="2" fillId="0" borderId="0" xfId="0" applyNumberFormat="1" applyFont="1" applyFill="1" applyBorder="1"/>
    <xf numFmtId="0" fontId="24" fillId="0" borderId="0" xfId="0" applyFont="1" applyAlignment="1" applyProtection="1"/>
    <xf numFmtId="2" fontId="21" fillId="0" borderId="0" xfId="0" applyNumberFormat="1" applyFont="1" applyFill="1" applyProtection="1">
      <protection hidden="1"/>
    </xf>
    <xf numFmtId="0" fontId="24" fillId="0" borderId="0" xfId="0" applyFont="1" applyFill="1" applyAlignment="1" applyProtection="1"/>
    <xf numFmtId="49" fontId="5" fillId="6" borderId="6" xfId="0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13" xfId="0" applyFont="1" applyFill="1" applyBorder="1"/>
    <xf numFmtId="0" fontId="2" fillId="0" borderId="0" xfId="0" applyFont="1" applyFill="1" applyBorder="1" applyAlignment="1">
      <alignment horizontal="left"/>
    </xf>
    <xf numFmtId="2" fontId="21" fillId="0" borderId="0" xfId="0" applyNumberFormat="1" applyFont="1" applyProtection="1">
      <protection hidden="1"/>
    </xf>
    <xf numFmtId="164" fontId="22" fillId="0" borderId="14" xfId="0" applyNumberFormat="1" applyFont="1" applyBorder="1" applyProtection="1">
      <protection locked="0"/>
    </xf>
    <xf numFmtId="164" fontId="22" fillId="0" borderId="0" xfId="0" applyNumberFormat="1" applyFont="1" applyProtection="1">
      <protection locked="0"/>
    </xf>
    <xf numFmtId="0" fontId="40" fillId="19" borderId="0" xfId="0" applyFont="1" applyFill="1"/>
    <xf numFmtId="0" fontId="41" fillId="19" borderId="0" xfId="0" applyFont="1" applyFill="1"/>
    <xf numFmtId="2" fontId="40" fillId="19" borderId="0" xfId="0" applyNumberFormat="1" applyFont="1" applyFill="1" applyBorder="1"/>
    <xf numFmtId="2" fontId="40" fillId="19" borderId="0" xfId="0" applyNumberFormat="1" applyFont="1" applyFill="1" applyBorder="1" applyProtection="1"/>
    <xf numFmtId="0" fontId="2" fillId="19" borderId="0" xfId="0" applyFont="1" applyFill="1"/>
    <xf numFmtId="0" fontId="8" fillId="19" borderId="0" xfId="0" applyFont="1" applyFill="1"/>
    <xf numFmtId="2" fontId="12" fillId="19" borderId="0" xfId="0" applyNumberFormat="1" applyFont="1" applyFill="1" applyBorder="1"/>
    <xf numFmtId="2" fontId="2" fillId="19" borderId="0" xfId="0" applyNumberFormat="1" applyFont="1" applyFill="1" applyBorder="1"/>
    <xf numFmtId="2" fontId="2" fillId="19" borderId="0" xfId="0" applyNumberFormat="1" applyFont="1" applyFill="1" applyBorder="1" applyProtection="1"/>
    <xf numFmtId="0" fontId="5" fillId="19" borderId="0" xfId="0" applyFont="1" applyFill="1"/>
    <xf numFmtId="0" fontId="0" fillId="19" borderId="0" xfId="0" applyFill="1"/>
    <xf numFmtId="0" fontId="2" fillId="0" borderId="3" xfId="0" applyFont="1" applyFill="1" applyBorder="1" applyAlignment="1">
      <alignment horizontal="left"/>
    </xf>
    <xf numFmtId="0" fontId="2" fillId="0" borderId="32" xfId="0" applyFont="1" applyFill="1" applyBorder="1"/>
    <xf numFmtId="0" fontId="2" fillId="21" borderId="3" xfId="0" applyFont="1" applyFill="1" applyBorder="1"/>
    <xf numFmtId="0" fontId="2" fillId="21" borderId="3" xfId="0" applyFont="1" applyFill="1" applyBorder="1" applyAlignment="1">
      <alignment horizontal="left"/>
    </xf>
    <xf numFmtId="0" fontId="2" fillId="16" borderId="3" xfId="0" applyFont="1" applyFill="1" applyBorder="1"/>
    <xf numFmtId="0" fontId="2" fillId="16" borderId="3" xfId="0" applyFont="1" applyFill="1" applyBorder="1" applyAlignment="1">
      <alignment horizontal="left"/>
    </xf>
    <xf numFmtId="0" fontId="2" fillId="16" borderId="0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/>
    </xf>
    <xf numFmtId="0" fontId="79" fillId="20" borderId="27" xfId="0" applyFont="1" applyFill="1" applyBorder="1" applyAlignment="1">
      <alignment wrapText="1"/>
    </xf>
    <xf numFmtId="0" fontId="3" fillId="0" borderId="0" xfId="0" applyFont="1" applyBorder="1"/>
    <xf numFmtId="2" fontId="2" fillId="0" borderId="0" xfId="0" applyNumberFormat="1" applyFont="1" applyFill="1" applyBorder="1" applyAlignment="1" applyProtection="1">
      <alignment horizontal="left"/>
    </xf>
    <xf numFmtId="0" fontId="6" fillId="19" borderId="0" xfId="0" applyFont="1" applyFill="1"/>
    <xf numFmtId="0" fontId="2" fillId="19" borderId="6" xfId="0" applyFont="1" applyFill="1" applyBorder="1"/>
    <xf numFmtId="0" fontId="2" fillId="19" borderId="6" xfId="0" applyFont="1" applyFill="1" applyBorder="1" applyAlignment="1"/>
    <xf numFmtId="0" fontId="2" fillId="19" borderId="18" xfId="0" applyFont="1" applyFill="1" applyBorder="1" applyAlignment="1"/>
    <xf numFmtId="0" fontId="2" fillId="19" borderId="16" xfId="0" applyFont="1" applyFill="1" applyBorder="1" applyAlignment="1"/>
    <xf numFmtId="0" fontId="5" fillId="0" borderId="12" xfId="0" applyFont="1" applyFill="1" applyBorder="1"/>
    <xf numFmtId="0" fontId="5" fillId="0" borderId="13" xfId="0" applyFont="1" applyFill="1" applyBorder="1"/>
    <xf numFmtId="0" fontId="5" fillId="0" borderId="16" xfId="0" applyFont="1" applyFill="1" applyBorder="1"/>
    <xf numFmtId="0" fontId="5" fillId="0" borderId="17" xfId="0" applyFont="1" applyFill="1" applyBorder="1"/>
    <xf numFmtId="0" fontId="6" fillId="5" borderId="6" xfId="0" applyFont="1" applyFill="1" applyBorder="1"/>
    <xf numFmtId="2" fontId="21" fillId="5" borderId="0" xfId="0" applyNumberFormat="1" applyFont="1" applyFill="1" applyBorder="1" applyProtection="1">
      <protection hidden="1"/>
    </xf>
    <xf numFmtId="3" fontId="6" fillId="5" borderId="7" xfId="0" applyNumberFormat="1" applyFont="1" applyFill="1" applyBorder="1"/>
    <xf numFmtId="3" fontId="6" fillId="5" borderId="5" xfId="0" applyNumberFormat="1" applyFont="1" applyFill="1" applyBorder="1"/>
    <xf numFmtId="3" fontId="6" fillId="0" borderId="10" xfId="0" applyNumberFormat="1" applyFont="1" applyFill="1" applyBorder="1"/>
    <xf numFmtId="49" fontId="6" fillId="6" borderId="10" xfId="0" applyNumberFormat="1" applyFont="1" applyFill="1" applyBorder="1"/>
    <xf numFmtId="0" fontId="0" fillId="0" borderId="17" xfId="0" applyBorder="1" applyAlignment="1">
      <alignment horizontal="left"/>
    </xf>
    <xf numFmtId="3" fontId="6" fillId="0" borderId="6" xfId="0" applyNumberFormat="1" applyFont="1" applyFill="1" applyBorder="1"/>
    <xf numFmtId="3" fontId="6" fillId="0" borderId="9" xfId="0" applyNumberFormat="1" applyFont="1" applyFill="1" applyBorder="1"/>
    <xf numFmtId="0" fontId="6" fillId="0" borderId="10" xfId="0" applyFont="1" applyFill="1" applyBorder="1"/>
    <xf numFmtId="0" fontId="2" fillId="0" borderId="0" xfId="0" applyFont="1" applyFill="1" applyProtection="1"/>
    <xf numFmtId="0" fontId="81" fillId="6" borderId="0" xfId="0" applyFont="1" applyFill="1" applyProtection="1"/>
    <xf numFmtId="49" fontId="21" fillId="0" borderId="0" xfId="0" applyNumberFormat="1" applyFont="1" applyBorder="1" applyProtection="1">
      <protection locked="0"/>
    </xf>
    <xf numFmtId="0" fontId="2" fillId="0" borderId="0" xfId="0" applyFont="1"/>
    <xf numFmtId="0" fontId="0" fillId="0" borderId="0" xfId="0"/>
    <xf numFmtId="0" fontId="5" fillId="0" borderId="0" xfId="0" applyFont="1" applyAlignment="1">
      <alignment horizontal="center"/>
    </xf>
    <xf numFmtId="169" fontId="6" fillId="19" borderId="7" xfId="0" applyNumberFormat="1" applyFont="1" applyFill="1" applyBorder="1" applyAlignment="1">
      <alignment vertical="center"/>
    </xf>
    <xf numFmtId="0" fontId="48" fillId="0" borderId="0" xfId="0" applyFont="1" applyFill="1" applyAlignment="1">
      <alignment horizontal="center"/>
    </xf>
    <xf numFmtId="0" fontId="40" fillId="19" borderId="0" xfId="0" applyFont="1" applyFill="1"/>
    <xf numFmtId="0" fontId="2" fillId="0" borderId="0" xfId="0" applyFont="1" applyFill="1"/>
    <xf numFmtId="0" fontId="2" fillId="0" borderId="0" xfId="0" applyFont="1"/>
    <xf numFmtId="0" fontId="2" fillId="0" borderId="0" xfId="0" applyFont="1" applyFill="1"/>
    <xf numFmtId="49" fontId="2" fillId="0" borderId="0" xfId="0" applyNumberFormat="1" applyFont="1" applyFill="1" applyBorder="1"/>
    <xf numFmtId="167" fontId="2" fillId="0" borderId="0" xfId="0" applyNumberFormat="1" applyFont="1" applyFill="1" applyBorder="1" applyAlignment="1" applyProtection="1">
      <alignment vertical="center"/>
    </xf>
    <xf numFmtId="169" fontId="2" fillId="0" borderId="11" xfId="3" applyNumberFormat="1" applyFont="1" applyFill="1" applyBorder="1" applyAlignment="1">
      <alignment vertical="top" wrapText="1"/>
    </xf>
    <xf numFmtId="169" fontId="2" fillId="0" borderId="11" xfId="1" applyNumberFormat="1" applyFont="1" applyFill="1" applyBorder="1" applyAlignment="1">
      <alignment vertical="top" wrapText="1"/>
    </xf>
    <xf numFmtId="169" fontId="6" fillId="0" borderId="13" xfId="0" applyNumberFormat="1" applyFont="1" applyFill="1" applyBorder="1" applyAlignment="1">
      <alignment vertical="center"/>
    </xf>
    <xf numFmtId="169" fontId="2" fillId="0" borderId="0" xfId="0" applyNumberFormat="1" applyFont="1" applyFill="1" applyBorder="1" applyAlignment="1">
      <alignment vertical="top" wrapText="1"/>
    </xf>
    <xf numFmtId="0" fontId="2" fillId="0" borderId="33" xfId="0" applyFont="1" applyFill="1" applyBorder="1"/>
    <xf numFmtId="0" fontId="6" fillId="19" borderId="5" xfId="0" applyFont="1" applyFill="1" applyBorder="1"/>
    <xf numFmtId="0" fontId="2" fillId="0" borderId="0" xfId="0" applyFont="1" applyFill="1"/>
    <xf numFmtId="0" fontId="0" fillId="0" borderId="0" xfId="0"/>
    <xf numFmtId="3" fontId="6" fillId="0" borderId="0" xfId="0" applyNumberFormat="1" applyFont="1" applyFill="1" applyBorder="1" applyAlignment="1"/>
    <xf numFmtId="2" fontId="21" fillId="0" borderId="0" xfId="0" applyNumberFormat="1" applyFont="1" applyAlignment="1" applyProtection="1">
      <protection hidden="1"/>
    </xf>
    <xf numFmtId="0" fontId="8" fillId="0" borderId="0" xfId="0" applyFont="1" applyFill="1" applyBorder="1" applyAlignment="1"/>
    <xf numFmtId="0" fontId="8" fillId="0" borderId="0" xfId="0" applyFont="1" applyFill="1" applyBorder="1"/>
    <xf numFmtId="3" fontId="2" fillId="0" borderId="11" xfId="0" applyNumberFormat="1" applyFont="1" applyFill="1" applyBorder="1" applyAlignment="1">
      <alignment horizontal="right" vertical="top"/>
    </xf>
    <xf numFmtId="3" fontId="2" fillId="0" borderId="15" xfId="0" applyNumberFormat="1" applyFont="1" applyFill="1" applyBorder="1" applyAlignment="1">
      <alignment horizontal="right" vertical="top"/>
    </xf>
    <xf numFmtId="3" fontId="2" fillId="0" borderId="11" xfId="0" applyNumberFormat="1" applyFont="1" applyFill="1" applyBorder="1"/>
    <xf numFmtId="3" fontId="2" fillId="0" borderId="15" xfId="0" applyNumberFormat="1" applyFont="1" applyFill="1" applyBorder="1"/>
    <xf numFmtId="165" fontId="6" fillId="0" borderId="13" xfId="11" applyNumberFormat="1" applyFont="1" applyFill="1" applyBorder="1"/>
    <xf numFmtId="165" fontId="2" fillId="0" borderId="13" xfId="11" applyNumberFormat="1" applyFont="1" applyFill="1" applyBorder="1"/>
    <xf numFmtId="169" fontId="2" fillId="0" borderId="17" xfId="11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/>
    <xf numFmtId="0" fontId="0" fillId="0" borderId="0" xfId="0" applyFill="1" applyAlignment="1"/>
    <xf numFmtId="2" fontId="2" fillId="0" borderId="0" xfId="0" applyNumberFormat="1" applyFont="1" applyFill="1" applyBorder="1" applyAlignment="1"/>
    <xf numFmtId="0" fontId="0" fillId="0" borderId="0" xfId="0"/>
    <xf numFmtId="0" fontId="5" fillId="0" borderId="0" xfId="0" applyFont="1"/>
    <xf numFmtId="172" fontId="82" fillId="0" borderId="31" xfId="0" applyNumberFormat="1" applyFont="1" applyFill="1" applyBorder="1" applyAlignment="1">
      <alignment horizontal="right" vertical="top" wrapText="1" readingOrder="1"/>
    </xf>
    <xf numFmtId="0" fontId="2" fillId="0" borderId="4" xfId="0" applyFont="1" applyFill="1" applyBorder="1" applyAlignment="1">
      <alignment wrapText="1"/>
    </xf>
    <xf numFmtId="0" fontId="2" fillId="0" borderId="0" xfId="0" applyFont="1" applyFill="1"/>
    <xf numFmtId="0" fontId="5" fillId="6" borderId="6" xfId="0" applyFont="1" applyFill="1" applyBorder="1" applyAlignment="1">
      <alignment horizontal="left"/>
    </xf>
    <xf numFmtId="0" fontId="5" fillId="6" borderId="18" xfId="0" applyFont="1" applyFill="1" applyBorder="1" applyAlignment="1">
      <alignment horizontal="left"/>
    </xf>
    <xf numFmtId="0" fontId="5" fillId="6" borderId="7" xfId="0" applyFont="1" applyFill="1" applyBorder="1" applyAlignment="1">
      <alignment horizontal="left"/>
    </xf>
    <xf numFmtId="0" fontId="5" fillId="6" borderId="6" xfId="0" applyFont="1" applyFill="1" applyBorder="1"/>
    <xf numFmtId="0" fontId="5" fillId="6" borderId="7" xfId="0" applyFont="1" applyFill="1" applyBorder="1"/>
    <xf numFmtId="0" fontId="2" fillId="0" borderId="18" xfId="0" applyFont="1" applyFill="1" applyBorder="1" applyAlignment="1">
      <alignment horizontal="left"/>
    </xf>
    <xf numFmtId="0" fontId="2" fillId="6" borderId="6" xfId="0" applyFont="1" applyFill="1" applyBorder="1" applyAlignment="1">
      <alignment horizontal="left"/>
    </xf>
    <xf numFmtId="0" fontId="2" fillId="6" borderId="18" xfId="0" applyFont="1" applyFill="1" applyBorder="1" applyAlignment="1">
      <alignment horizontal="left"/>
    </xf>
    <xf numFmtId="0" fontId="2" fillId="6" borderId="7" xfId="0" applyFont="1" applyFill="1" applyBorder="1" applyAlignment="1">
      <alignment horizontal="left"/>
    </xf>
    <xf numFmtId="0" fontId="2" fillId="6" borderId="6" xfId="0" applyFont="1" applyFill="1" applyBorder="1" applyAlignment="1">
      <alignment horizontal="left" vertical="center"/>
    </xf>
    <xf numFmtId="0" fontId="0" fillId="0" borderId="0" xfId="0"/>
    <xf numFmtId="3" fontId="6" fillId="19" borderId="5" xfId="0" applyNumberFormat="1" applyFont="1" applyFill="1" applyBorder="1"/>
    <xf numFmtId="0" fontId="2" fillId="0" borderId="6" xfId="0" applyFont="1" applyFill="1" applyBorder="1"/>
    <xf numFmtId="3" fontId="2" fillId="0" borderId="5" xfId="0" applyNumberFormat="1" applyFont="1" applyFill="1" applyBorder="1"/>
    <xf numFmtId="0" fontId="2" fillId="0" borderId="6" xfId="0" applyFont="1" applyFill="1" applyBorder="1" applyAlignment="1"/>
    <xf numFmtId="2" fontId="21" fillId="19" borderId="0" xfId="0" applyNumberFormat="1" applyFont="1" applyFill="1" applyProtection="1">
      <protection hidden="1"/>
    </xf>
    <xf numFmtId="0" fontId="2" fillId="19" borderId="0" xfId="0" applyNumberFormat="1" applyFont="1" applyFill="1" applyBorder="1" applyProtection="1"/>
    <xf numFmtId="164" fontId="6" fillId="19" borderId="0" xfId="0" applyNumberFormat="1" applyFont="1" applyFill="1" applyProtection="1">
      <protection locked="0"/>
    </xf>
    <xf numFmtId="0" fontId="2" fillId="0" borderId="16" xfId="0" applyFont="1" applyFill="1" applyBorder="1"/>
    <xf numFmtId="49" fontId="2" fillId="0" borderId="0" xfId="0" applyNumberFormat="1" applyFont="1" applyFill="1" applyBorder="1" applyAlignment="1"/>
    <xf numFmtId="0" fontId="2" fillId="5" borderId="6" xfId="0" applyFont="1" applyFill="1" applyBorder="1" applyAlignment="1">
      <alignment horizontal="left"/>
    </xf>
    <xf numFmtId="0" fontId="2" fillId="5" borderId="18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19" borderId="7" xfId="0" applyFont="1" applyFill="1" applyBorder="1"/>
    <xf numFmtId="3" fontId="2" fillId="19" borderId="5" xfId="0" applyNumberFormat="1" applyFont="1" applyFill="1" applyBorder="1"/>
    <xf numFmtId="2" fontId="21" fillId="0" borderId="0" xfId="0" applyNumberFormat="1" applyFont="1" applyBorder="1" applyProtection="1">
      <protection hidden="1"/>
    </xf>
    <xf numFmtId="0" fontId="2" fillId="0" borderId="0" xfId="0" applyFont="1" applyFill="1" applyBorder="1" applyAlignment="1" applyProtection="1"/>
    <xf numFmtId="0" fontId="61" fillId="0" borderId="0" xfId="0" applyFont="1" applyBorder="1"/>
    <xf numFmtId="0" fontId="61" fillId="0" borderId="0" xfId="0" applyFont="1" applyFill="1" applyBorder="1"/>
    <xf numFmtId="0" fontId="2" fillId="0" borderId="0" xfId="0" applyFont="1"/>
    <xf numFmtId="0" fontId="2" fillId="0" borderId="0" xfId="0" applyFont="1" applyFill="1"/>
    <xf numFmtId="0" fontId="5" fillId="0" borderId="0" xfId="0" applyFont="1" applyAlignment="1">
      <alignment horizontal="left"/>
    </xf>
    <xf numFmtId="0" fontId="5" fillId="0" borderId="14" xfId="0" applyFont="1" applyBorder="1" applyAlignment="1">
      <alignment horizontal="left"/>
    </xf>
    <xf numFmtId="0" fontId="5" fillId="6" borderId="6" xfId="0" applyFont="1" applyFill="1" applyBorder="1"/>
    <xf numFmtId="0" fontId="5" fillId="6" borderId="7" xfId="0" applyFont="1" applyFill="1" applyBorder="1"/>
    <xf numFmtId="0" fontId="2" fillId="0" borderId="18" xfId="0" applyFont="1" applyFill="1" applyBorder="1" applyAlignment="1">
      <alignment horizontal="left"/>
    </xf>
    <xf numFmtId="0" fontId="2" fillId="6" borderId="6" xfId="0" applyFont="1" applyFill="1" applyBorder="1" applyAlignment="1">
      <alignment horizontal="left"/>
    </xf>
    <xf numFmtId="0" fontId="2" fillId="6" borderId="18" xfId="0" applyFont="1" applyFill="1" applyBorder="1" applyAlignment="1">
      <alignment horizontal="left"/>
    </xf>
    <xf numFmtId="0" fontId="2" fillId="6" borderId="7" xfId="0" applyFont="1" applyFill="1" applyBorder="1" applyAlignment="1">
      <alignment horizontal="left"/>
    </xf>
    <xf numFmtId="4" fontId="0" fillId="0" borderId="30" xfId="0" applyNumberFormat="1" applyFill="1" applyBorder="1" applyProtection="1">
      <protection locked="0"/>
    </xf>
    <xf numFmtId="0" fontId="2" fillId="0" borderId="0" xfId="0" applyFont="1" applyFill="1"/>
    <xf numFmtId="0" fontId="5" fillId="0" borderId="6" xfId="0" applyFont="1" applyFill="1" applyBorder="1" applyAlignment="1"/>
    <xf numFmtId="0" fontId="5" fillId="0" borderId="7" xfId="0" applyFont="1" applyFill="1" applyBorder="1" applyAlignment="1"/>
    <xf numFmtId="0" fontId="2" fillId="0" borderId="6" xfId="0" applyFont="1" applyFill="1" applyBorder="1" applyAlignment="1">
      <alignment horizontal="left"/>
    </xf>
    <xf numFmtId="0" fontId="2" fillId="22" borderId="0" xfId="0" applyFont="1" applyFill="1"/>
    <xf numFmtId="0" fontId="2" fillId="0" borderId="0" xfId="0" applyFont="1" applyBorder="1" applyAlignment="1"/>
    <xf numFmtId="0" fontId="5" fillId="0" borderId="0" xfId="0" applyFont="1" applyBorder="1" applyAlignment="1"/>
    <xf numFmtId="0" fontId="0" fillId="0" borderId="0" xfId="0" applyBorder="1" applyAlignment="1"/>
    <xf numFmtId="0" fontId="0" fillId="0" borderId="0" xfId="0" applyFill="1" applyBorder="1" applyAlignment="1"/>
    <xf numFmtId="0" fontId="5" fillId="0" borderId="35" xfId="0" applyFont="1" applyBorder="1"/>
    <xf numFmtId="0" fontId="5" fillId="0" borderId="35" xfId="0" applyFont="1" applyFill="1" applyBorder="1"/>
    <xf numFmtId="0" fontId="5" fillId="0" borderId="34" xfId="0" applyFont="1" applyBorder="1"/>
    <xf numFmtId="0" fontId="2" fillId="5" borderId="11" xfId="0" applyFont="1" applyFill="1" applyBorder="1"/>
    <xf numFmtId="0" fontId="2" fillId="5" borderId="18" xfId="0" applyFont="1" applyFill="1" applyBorder="1"/>
    <xf numFmtId="49" fontId="6" fillId="19" borderId="0" xfId="0" applyNumberFormat="1" applyFont="1" applyFill="1" applyProtection="1">
      <protection locked="0"/>
    </xf>
    <xf numFmtId="0" fontId="0" fillId="22" borderId="0" xfId="0" applyFill="1"/>
    <xf numFmtId="49" fontId="2" fillId="6" borderId="0" xfId="0" applyNumberFormat="1" applyFont="1" applyFill="1"/>
    <xf numFmtId="0" fontId="2" fillId="0" borderId="0" xfId="0" applyFont="1" applyFill="1"/>
    <xf numFmtId="2" fontId="31" fillId="0" borderId="0" xfId="0" applyNumberFormat="1" applyFont="1" applyBorder="1" applyProtection="1"/>
    <xf numFmtId="0" fontId="31" fillId="0" borderId="0" xfId="0" applyFont="1" applyAlignment="1" applyProtection="1">
      <alignment horizontal="left"/>
    </xf>
    <xf numFmtId="0" fontId="31" fillId="0" borderId="0" xfId="0" applyFont="1" applyFill="1" applyAlignment="1" applyProtection="1">
      <alignment horizontal="left"/>
    </xf>
    <xf numFmtId="0" fontId="10" fillId="0" borderId="0" xfId="0" applyFont="1" applyFill="1"/>
    <xf numFmtId="0" fontId="8" fillId="3" borderId="0" xfId="0" applyFont="1" applyFill="1"/>
    <xf numFmtId="0" fontId="40" fillId="19" borderId="0" xfId="0" applyFont="1" applyFill="1"/>
    <xf numFmtId="2" fontId="40" fillId="0" borderId="0" xfId="0" applyNumberFormat="1" applyFont="1" applyBorder="1" applyAlignment="1"/>
    <xf numFmtId="0" fontId="2" fillId="7" borderId="2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5" fillId="0" borderId="0" xfId="0" applyFont="1" applyAlignment="1">
      <alignment horizontal="left"/>
    </xf>
    <xf numFmtId="0" fontId="2" fillId="0" borderId="17" xfId="0" applyFont="1" applyBorder="1" applyAlignment="1">
      <alignment horizontal="left"/>
    </xf>
    <xf numFmtId="0" fontId="0" fillId="0" borderId="0" xfId="0" applyAlignment="1" applyProtection="1">
      <alignment horizontal="left"/>
    </xf>
    <xf numFmtId="0" fontId="2" fillId="0" borderId="0" xfId="0" applyFont="1" applyAlignment="1"/>
    <xf numFmtId="0" fontId="2" fillId="0" borderId="0" xfId="0" applyFont="1"/>
    <xf numFmtId="0" fontId="24" fillId="0" borderId="0" xfId="0" applyFont="1" applyAlignment="1" applyProtection="1"/>
    <xf numFmtId="0" fontId="5" fillId="0" borderId="0" xfId="0" applyFont="1" applyFill="1" applyBorder="1" applyAlignment="1">
      <alignment horizontal="left"/>
    </xf>
    <xf numFmtId="0" fontId="5" fillId="0" borderId="0" xfId="0" applyFont="1"/>
    <xf numFmtId="0" fontId="5" fillId="0" borderId="1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24" fillId="0" borderId="0" xfId="0" applyFont="1" applyFill="1" applyAlignment="1" applyProtection="1"/>
    <xf numFmtId="0" fontId="2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4" fillId="0" borderId="0" xfId="0" applyFont="1" applyAlignment="1" applyProtection="1">
      <alignment horizontal="left"/>
    </xf>
    <xf numFmtId="0" fontId="5" fillId="0" borderId="17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6" xfId="0" applyFont="1" applyFill="1" applyBorder="1"/>
    <xf numFmtId="0" fontId="5" fillId="0" borderId="18" xfId="0" applyFont="1" applyFill="1" applyBorder="1"/>
    <xf numFmtId="0" fontId="5" fillId="0" borderId="7" xfId="0" applyFont="1" applyFill="1" applyBorder="1"/>
    <xf numFmtId="0" fontId="5" fillId="6" borderId="6" xfId="0" applyFont="1" applyFill="1" applyBorder="1" applyAlignment="1">
      <alignment horizontal="left"/>
    </xf>
    <xf numFmtId="0" fontId="5" fillId="6" borderId="18" xfId="0" applyFont="1" applyFill="1" applyBorder="1" applyAlignment="1">
      <alignment horizontal="left"/>
    </xf>
    <xf numFmtId="0" fontId="5" fillId="6" borderId="7" xfId="0" applyFont="1" applyFill="1" applyBorder="1" applyAlignment="1">
      <alignment horizontal="left"/>
    </xf>
    <xf numFmtId="49" fontId="5" fillId="6" borderId="6" xfId="0" applyNumberFormat="1" applyFont="1" applyFill="1" applyBorder="1" applyAlignment="1">
      <alignment horizontal="left"/>
    </xf>
    <xf numFmtId="49" fontId="5" fillId="6" borderId="7" xfId="0" applyNumberFormat="1" applyFont="1" applyFill="1" applyBorder="1" applyAlignment="1">
      <alignment horizontal="left"/>
    </xf>
    <xf numFmtId="0" fontId="5" fillId="6" borderId="6" xfId="0" applyFont="1" applyFill="1" applyBorder="1"/>
    <xf numFmtId="0" fontId="5" fillId="6" borderId="18" xfId="0" applyFont="1" applyFill="1" applyBorder="1"/>
    <xf numFmtId="0" fontId="5" fillId="6" borderId="7" xfId="0" applyFont="1" applyFill="1" applyBorder="1"/>
    <xf numFmtId="49" fontId="5" fillId="6" borderId="6" xfId="0" applyNumberFormat="1" applyFont="1" applyFill="1" applyBorder="1"/>
    <xf numFmtId="49" fontId="5" fillId="6" borderId="7" xfId="0" applyNumberFormat="1" applyFont="1" applyFill="1" applyBorder="1"/>
    <xf numFmtId="0" fontId="2" fillId="0" borderId="18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0" fontId="2" fillId="0" borderId="13" xfId="0" applyFont="1" applyFill="1" applyBorder="1"/>
    <xf numFmtId="0" fontId="2" fillId="6" borderId="6" xfId="0" applyFont="1" applyFill="1" applyBorder="1" applyAlignment="1">
      <alignment horizontal="left"/>
    </xf>
    <xf numFmtId="0" fontId="2" fillId="6" borderId="18" xfId="0" applyFont="1" applyFill="1" applyBorder="1" applyAlignment="1">
      <alignment horizontal="left"/>
    </xf>
    <xf numFmtId="0" fontId="2" fillId="6" borderId="7" xfId="0" applyFont="1" applyFill="1" applyBorder="1" applyAlignment="1">
      <alignment horizontal="left"/>
    </xf>
    <xf numFmtId="0" fontId="2" fillId="6" borderId="6" xfId="0" applyFont="1" applyFill="1" applyBorder="1" applyAlignment="1">
      <alignment horizontal="left" vertical="center"/>
    </xf>
    <xf numFmtId="0" fontId="2" fillId="6" borderId="18" xfId="0" applyFont="1" applyFill="1" applyBorder="1" applyAlignment="1">
      <alignment horizontal="left" vertical="center"/>
    </xf>
    <xf numFmtId="0" fontId="2" fillId="6" borderId="7" xfId="0" applyFont="1" applyFill="1" applyBorder="1" applyAlignment="1">
      <alignment horizontal="left" vertical="center"/>
    </xf>
    <xf numFmtId="49" fontId="22" fillId="0" borderId="0" xfId="0" applyNumberFormat="1" applyFont="1" applyAlignment="1">
      <alignment horizontal="left"/>
    </xf>
    <xf numFmtId="49" fontId="22" fillId="0" borderId="0" xfId="0" applyNumberFormat="1" applyFont="1" applyBorder="1" applyAlignment="1" applyProtection="1">
      <protection locked="0"/>
    </xf>
    <xf numFmtId="49" fontId="5" fillId="0" borderId="0" xfId="0" applyNumberFormat="1" applyFont="1" applyFill="1" applyBorder="1"/>
    <xf numFmtId="49" fontId="21" fillId="0" borderId="0" xfId="0" applyNumberFormat="1" applyFont="1" applyBorder="1" applyProtection="1">
      <protection locked="0"/>
    </xf>
    <xf numFmtId="49" fontId="2" fillId="0" borderId="0" xfId="0" applyNumberFormat="1" applyFont="1" applyFill="1" applyBorder="1"/>
    <xf numFmtId="2" fontId="21" fillId="0" borderId="0" xfId="0" applyNumberFormat="1" applyFont="1" applyProtection="1">
      <protection hidden="1"/>
    </xf>
    <xf numFmtId="49" fontId="22" fillId="0" borderId="0" xfId="0" applyNumberFormat="1" applyFont="1" applyBorder="1" applyAlignment="1" applyProtection="1">
      <alignment horizontal="left"/>
      <protection locked="0"/>
    </xf>
    <xf numFmtId="164" fontId="22" fillId="0" borderId="14" xfId="0" applyNumberFormat="1" applyFont="1" applyBorder="1" applyProtection="1">
      <protection locked="0"/>
    </xf>
    <xf numFmtId="164" fontId="22" fillId="0" borderId="0" xfId="0" applyNumberFormat="1" applyFont="1" applyProtection="1">
      <protection locked="0"/>
    </xf>
    <xf numFmtId="49" fontId="22" fillId="0" borderId="0" xfId="0" applyNumberFormat="1" applyFont="1" applyAlignment="1" applyProtection="1">
      <alignment horizontal="left"/>
      <protection locked="0"/>
    </xf>
    <xf numFmtId="49" fontId="22" fillId="0" borderId="14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center"/>
    </xf>
    <xf numFmtId="0" fontId="0" fillId="0" borderId="0" xfId="0" applyAlignment="1" applyProtection="1"/>
    <xf numFmtId="0" fontId="0" fillId="0" borderId="0" xfId="0"/>
  </cellXfs>
  <cellStyles count="25">
    <cellStyle name="Comma" xfId="11" builtinId="3"/>
    <cellStyle name="Comma 2" xfId="1" xr:uid="{00000000-0005-0000-0000-000001000000}"/>
    <cellStyle name="Comma 2 2" xfId="7" xr:uid="{00000000-0005-0000-0000-000002000000}"/>
    <cellStyle name="Comma 2 2 2" xfId="22" xr:uid="{00000000-0005-0000-0000-000003000000}"/>
    <cellStyle name="Comma 2 3" xfId="17" xr:uid="{00000000-0005-0000-0000-000004000000}"/>
    <cellStyle name="Comma 3" xfId="24" xr:uid="{00000000-0005-0000-0000-000005000000}"/>
    <cellStyle name="Currency" xfId="16" builtinId="4"/>
    <cellStyle name="Followed Hyperlink" xfId="14" builtinId="9" hidden="1"/>
    <cellStyle name="Followed Hyperlink" xfId="15" builtinId="9" hidden="1"/>
    <cellStyle name="Hyperlink" xfId="2" builtinId="8" hidden="1"/>
    <cellStyle name="Hyperlink" xfId="10" builtinId="8"/>
    <cellStyle name="Normal" xfId="0" builtinId="0"/>
    <cellStyle name="Normal 2" xfId="3" xr:uid="{00000000-0005-0000-0000-00000C000000}"/>
    <cellStyle name="Normal 2 2" xfId="8" xr:uid="{00000000-0005-0000-0000-00000D000000}"/>
    <cellStyle name="Normal 2 2 2" xfId="23" xr:uid="{00000000-0005-0000-0000-00000E000000}"/>
    <cellStyle name="Normal 2 3" xfId="18" xr:uid="{00000000-0005-0000-0000-00000F000000}"/>
    <cellStyle name="Normal 3" xfId="4" xr:uid="{00000000-0005-0000-0000-000010000000}"/>
    <cellStyle name="Normal 3 2" xfId="19" xr:uid="{00000000-0005-0000-0000-000011000000}"/>
    <cellStyle name="Normal 4" xfId="5" xr:uid="{00000000-0005-0000-0000-000012000000}"/>
    <cellStyle name="Normal 4 2" xfId="20" xr:uid="{00000000-0005-0000-0000-000013000000}"/>
    <cellStyle name="Normal 5" xfId="9" xr:uid="{00000000-0005-0000-0000-000014000000}"/>
    <cellStyle name="Normal 6" xfId="12" xr:uid="{00000000-0005-0000-0000-000015000000}"/>
    <cellStyle name="Normal_ale" xfId="13" xr:uid="{00000000-0005-0000-0000-000016000000}"/>
    <cellStyle name="Percent" xfId="6" builtinId="5"/>
    <cellStyle name="Percent 2" xfId="21" xr:uid="{00000000-0005-0000-0000-000018000000}"/>
  </cellStyles>
  <dxfs count="2598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bottom style="thin">
          <color theme="0" tint="-0.149967955565050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1" formatCode="#0.0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1" formatCode="#0.0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theme="0" tint="-0.149967955565050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bottom style="thin">
          <color theme="0" tint="-0.149967955565050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70" formatCode="#0.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theme="0" tint="-0.149967955565050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border outline="0">
        <bottom style="thin">
          <color theme="0" tint="-0.149967955565050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9" formatCode="&quot;$&quot;#,##0.00"/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border outline="0">
        <bottom style="thin">
          <color theme="0" tint="-0.149967955565050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9" formatCode="&quot;$&quot;#,##0.00"/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/>
      </border>
    </dxf>
    <dxf>
      <border outline="0">
        <left style="thin">
          <color theme="0" tint="-0.14996795556505021"/>
        </left>
        <right style="thin">
          <color theme="0" tint="-0.14996795556505021"/>
        </right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numFmt numFmtId="165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  <protection locked="1" hidden="1"/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2" formatCode="&quot;$&quot;#,##0.00_);[Red]\(&quot;$&quot;#,##0.00\)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right style="thin">
          <color theme="0" tint="-0.1499679555650502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top style="thin">
          <color theme="0" tint="-0.14996795556505021"/>
        </top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top style="thin">
          <color theme="0" tint="-0.14996795556505021"/>
        </top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top style="thin">
          <color theme="0" tint="-0.14996795556505021"/>
        </top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top style="thin">
          <color theme="0" tint="-0.14996795556505021"/>
        </top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top style="thin">
          <color theme="0" tint="-0.14996795556505021"/>
        </top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top style="thin">
          <color theme="0" tint="-0.14996795556505021"/>
        </top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top style="thin">
          <color theme="0" tint="-0.14996795556505021"/>
        </top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border outline="0">
        <top style="thin">
          <color theme="0" tint="-0.14996795556505021"/>
        </top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0"/>
        </patternFill>
      </fill>
    </dxf>
    <dxf>
      <border outline="0">
        <bottom style="thin">
          <color theme="0" tint="-0.149967955565050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0" tint="-0.14996795556505021"/>
        </top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/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/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/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/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/>
        <bottom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border outline="0">
        <right style="thin">
          <color theme="0" tint="-0.14996795556505021"/>
        </right>
      </border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border outline="0">
        <left style="thin">
          <color theme="0" tint="-0.149967955565050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border outline="0">
        <left style="thin">
          <color theme="0" tint="-0.149967955565050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border outline="0">
        <left style="thin">
          <color theme="0" tint="-0.149967955565050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2" formatCode="0.00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border outline="0">
        <left style="thin">
          <color theme="0" tint="-0.149967955565050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.0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auto="1"/>
        </patternFill>
      </fill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 outline="0">
        <left style="thin">
          <color theme="0" tint="-0.14996795556505021"/>
        </left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border outline="0">
        <right style="thin">
          <color theme="0" tint="-0.14996795556505021"/>
        </right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0" tint="-0.14996795556505021"/>
        </top>
        <bottom style="thin">
          <color theme="0" tint="-0.14996795556505021"/>
        </bottom>
      </border>
    </dxf>
    <dxf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8" formatCode="&quot;$&quot;#,##0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9" formatCode="&quot;$&quot;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3" formatCode="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2" formatCode="0.0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2" formatCode="0.0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8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2" formatCode="0.00"/>
      <protection locked="1" hidden="0"/>
    </dxf>
    <dxf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FFFF66"/>
      <color rgb="FFFFFF99"/>
      <color rgb="FF99FF99"/>
      <color rgb="FFCCECFF"/>
      <color rgb="FFCCFFCC"/>
      <color rgb="FF06CFEA"/>
      <color rgb="FF3333FF"/>
      <color rgb="FFFFFFCC"/>
      <color rgb="FF9A00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Budget Trends'!$A$31</c:f>
          <c:strCache>
            <c:ptCount val="1"/>
            <c:pt idx="0">
              <c:v>Douglas County General Revenue Receipts and Expenditures 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542980182397"/>
          <c:y val="0.11031347017989999"/>
          <c:w val="0.83345789864756403"/>
          <c:h val="0.71741981576627201"/>
        </c:manualLayout>
      </c:layout>
      <c:lineChart>
        <c:grouping val="standard"/>
        <c:varyColors val="0"/>
        <c:ser>
          <c:idx val="2"/>
          <c:order val="0"/>
          <c:tx>
            <c:strRef>
              <c:f>'County Budget Trends'!$A$33</c:f>
              <c:strCache>
                <c:ptCount val="1"/>
                <c:pt idx="0">
                  <c:v>Receipts</c:v>
                </c:pt>
              </c:strCache>
            </c:strRef>
          </c:tx>
          <c:marker>
            <c:symbol val="none"/>
          </c:marker>
          <c:cat>
            <c:strRef>
              <c:f>'County Budget Trends'!$B$32:$W$32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Trends'!$B$33:$W$33</c:f>
              <c:numCache>
                <c:formatCode>"$"#,##0</c:formatCode>
                <c:ptCount val="22"/>
                <c:pt idx="0">
                  <c:v>923130</c:v>
                </c:pt>
                <c:pt idx="1">
                  <c:v>908330</c:v>
                </c:pt>
                <c:pt idx="2">
                  <c:v>1041260</c:v>
                </c:pt>
                <c:pt idx="3">
                  <c:v>1064582</c:v>
                </c:pt>
                <c:pt idx="4">
                  <c:v>1256829</c:v>
                </c:pt>
                <c:pt idx="5">
                  <c:v>1272073</c:v>
                </c:pt>
                <c:pt idx="6">
                  <c:v>1336042</c:v>
                </c:pt>
                <c:pt idx="7">
                  <c:v>1481153</c:v>
                </c:pt>
                <c:pt idx="8">
                  <c:v>1618236.7699999998</c:v>
                </c:pt>
                <c:pt idx="9">
                  <c:v>1717038</c:v>
                </c:pt>
                <c:pt idx="10">
                  <c:v>1535872.4400000002</c:v>
                </c:pt>
                <c:pt idx="11">
                  <c:v>1655388.1599999999</c:v>
                </c:pt>
                <c:pt idx="12">
                  <c:v>1605375.1</c:v>
                </c:pt>
                <c:pt idx="13">
                  <c:v>1598760.62</c:v>
                </c:pt>
                <c:pt idx="14">
                  <c:v>1595524.4100000001</c:v>
                </c:pt>
                <c:pt idx="15">
                  <c:v>1604611.65</c:v>
                </c:pt>
                <c:pt idx="16">
                  <c:v>1561181.2799999998</c:v>
                </c:pt>
                <c:pt idx="17">
                  <c:v>1646133.95</c:v>
                </c:pt>
                <c:pt idx="18">
                  <c:v>1757824.48</c:v>
                </c:pt>
                <c:pt idx="19">
                  <c:v>1773306.2000000002</c:v>
                </c:pt>
                <c:pt idx="20">
                  <c:v>1791528.75</c:v>
                </c:pt>
                <c:pt idx="21">
                  <c:v>1726228.1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0-4946-A093-DC9B7F764782}"/>
            </c:ext>
          </c:extLst>
        </c:ser>
        <c:ser>
          <c:idx val="0"/>
          <c:order val="1"/>
          <c:tx>
            <c:strRef>
              <c:f>'County Budget Trends'!$A$34</c:f>
              <c:strCache>
                <c:ptCount val="1"/>
                <c:pt idx="0">
                  <c:v>Expenditures</c:v>
                </c:pt>
              </c:strCache>
            </c:strRef>
          </c:tx>
          <c:marker>
            <c:symbol val="none"/>
          </c:marker>
          <c:cat>
            <c:strRef>
              <c:f>'County Budget Trends'!$B$32:$W$32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Trends'!$B$34:$W$34</c:f>
              <c:numCache>
                <c:formatCode>"$"#,##0</c:formatCode>
                <c:ptCount val="22"/>
                <c:pt idx="0">
                  <c:v>876604</c:v>
                </c:pt>
                <c:pt idx="1">
                  <c:v>897649</c:v>
                </c:pt>
                <c:pt idx="2">
                  <c:v>1030241</c:v>
                </c:pt>
                <c:pt idx="3">
                  <c:v>1129511</c:v>
                </c:pt>
                <c:pt idx="4">
                  <c:v>1217165</c:v>
                </c:pt>
                <c:pt idx="5">
                  <c:v>1285387</c:v>
                </c:pt>
                <c:pt idx="6">
                  <c:v>1422457</c:v>
                </c:pt>
                <c:pt idx="7">
                  <c:v>1501953</c:v>
                </c:pt>
                <c:pt idx="8">
                  <c:v>1726493.46</c:v>
                </c:pt>
                <c:pt idx="9">
                  <c:v>1659223.1900000002</c:v>
                </c:pt>
                <c:pt idx="10">
                  <c:v>1569143.35</c:v>
                </c:pt>
                <c:pt idx="11">
                  <c:v>1567291.31</c:v>
                </c:pt>
                <c:pt idx="12">
                  <c:v>1649614.6800000002</c:v>
                </c:pt>
                <c:pt idx="13">
                  <c:v>1628139.66</c:v>
                </c:pt>
                <c:pt idx="14">
                  <c:v>1631478.86</c:v>
                </c:pt>
                <c:pt idx="15">
                  <c:v>1650316.23</c:v>
                </c:pt>
                <c:pt idx="16">
                  <c:v>1578669.83</c:v>
                </c:pt>
                <c:pt idx="17">
                  <c:v>1556946.65</c:v>
                </c:pt>
                <c:pt idx="18">
                  <c:v>1653872.9699999997</c:v>
                </c:pt>
                <c:pt idx="19">
                  <c:v>1727994.69</c:v>
                </c:pt>
                <c:pt idx="20">
                  <c:v>1824525.1300000004</c:v>
                </c:pt>
                <c:pt idx="21">
                  <c:v>1893068.06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0-4946-A093-DC9B7F764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274888"/>
        <c:axId val="451275280"/>
      </c:lineChart>
      <c:catAx>
        <c:axId val="45127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275280"/>
        <c:crosses val="autoZero"/>
        <c:auto val="1"/>
        <c:lblAlgn val="ctr"/>
        <c:lblOffset val="100"/>
        <c:noMultiLvlLbl val="0"/>
      </c:catAx>
      <c:valAx>
        <c:axId val="45127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2748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Base Trends'!$A$15</c:f>
          <c:strCache>
            <c:ptCount val="1"/>
            <c:pt idx="0">
              <c:v>Pike County per Capita Tax Bases: Property Tax Assessments and Taxable Sales</c:v>
            </c:pt>
          </c:strCache>
        </c:strRef>
      </c:tx>
      <c:layout>
        <c:manualLayout>
          <c:xMode val="edge"/>
          <c:yMode val="edge"/>
          <c:x val="0.12933300524934399"/>
          <c:y val="3.94397483402810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888998250219"/>
          <c:y val="0.191756607996976"/>
          <c:w val="0.79444531933509799"/>
          <c:h val="0.58622453883405401"/>
        </c:manualLayout>
      </c:layout>
      <c:lineChart>
        <c:grouping val="standard"/>
        <c:varyColors val="0"/>
        <c:ser>
          <c:idx val="0"/>
          <c:order val="0"/>
          <c:tx>
            <c:strRef>
              <c:f>'County Base Trends'!$A$17</c:f>
              <c:strCache>
                <c:ptCount val="1"/>
                <c:pt idx="0">
                  <c:v>Property Assessed Values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 Base Trends'!$B$16:$W$16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Trends'!$B$17:$W$17</c:f>
              <c:numCache>
                <c:formatCode>"$"#,##0</c:formatCode>
                <c:ptCount val="22"/>
                <c:pt idx="0">
                  <c:v>9277.3612906949893</c:v>
                </c:pt>
                <c:pt idx="1">
                  <c:v>9453.5723853683667</c:v>
                </c:pt>
                <c:pt idx="2">
                  <c:v>9463.2822831151534</c:v>
                </c:pt>
                <c:pt idx="3">
                  <c:v>10081.589815118696</c:v>
                </c:pt>
                <c:pt idx="4">
                  <c:v>10429.649199497295</c:v>
                </c:pt>
                <c:pt idx="5">
                  <c:v>10559.663435206485</c:v>
                </c:pt>
                <c:pt idx="6">
                  <c:v>10669.228714980067</c:v>
                </c:pt>
                <c:pt idx="7">
                  <c:v>10047.709432323891</c:v>
                </c:pt>
                <c:pt idx="8">
                  <c:v>10375.043294129224</c:v>
                </c:pt>
                <c:pt idx="9">
                  <c:v>10736.401832960315</c:v>
                </c:pt>
                <c:pt idx="10">
                  <c:v>10983.758982958081</c:v>
                </c:pt>
                <c:pt idx="11">
                  <c:v>12322.19126136876</c:v>
                </c:pt>
                <c:pt idx="12">
                  <c:v>12378.592143868755</c:v>
                </c:pt>
                <c:pt idx="13">
                  <c:v>13555.831405432275</c:v>
                </c:pt>
                <c:pt idx="14">
                  <c:v>13492.612193010928</c:v>
                </c:pt>
                <c:pt idx="15">
                  <c:v>13564.975737775159</c:v>
                </c:pt>
                <c:pt idx="16">
                  <c:v>14207.332507406411</c:v>
                </c:pt>
                <c:pt idx="17">
                  <c:v>14571.698055600193</c:v>
                </c:pt>
                <c:pt idx="18">
                  <c:v>14637.74803788904</c:v>
                </c:pt>
                <c:pt idx="19">
                  <c:v>15292.021303258145</c:v>
                </c:pt>
                <c:pt idx="20">
                  <c:v>15878.953574140362</c:v>
                </c:pt>
                <c:pt idx="21">
                  <c:v>15455.532396186783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4B-9C40-8213-FCB55E8BCC11}"/>
            </c:ext>
          </c:extLst>
        </c:ser>
        <c:ser>
          <c:idx val="1"/>
          <c:order val="1"/>
          <c:tx>
            <c:strRef>
              <c:f>'County Base Trends'!$A$18</c:f>
              <c:strCache>
                <c:ptCount val="1"/>
                <c:pt idx="0">
                  <c:v>Taxable Sales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'County Base Trends'!$B$16:$W$16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Trends'!$B$18:$W$18</c:f>
              <c:numCache>
                <c:formatCode>"$"#,##0</c:formatCode>
                <c:ptCount val="22"/>
                <c:pt idx="0">
                  <c:v>5653.7023337566388</c:v>
                </c:pt>
                <c:pt idx="1">
                  <c:v>6170.6204476501225</c:v>
                </c:pt>
                <c:pt idx="2">
                  <c:v>5945.4350510317281</c:v>
                </c:pt>
                <c:pt idx="3">
                  <c:v>5685.3054693140793</c:v>
                </c:pt>
                <c:pt idx="4">
                  <c:v>6161.0358494071361</c:v>
                </c:pt>
                <c:pt idx="5">
                  <c:v>6446.2369591411989</c:v>
                </c:pt>
                <c:pt idx="6">
                  <c:v>6496.7918011031625</c:v>
                </c:pt>
                <c:pt idx="7">
                  <c:v>6641.508665472702</c:v>
                </c:pt>
                <c:pt idx="8">
                  <c:v>6786.846107735706</c:v>
                </c:pt>
                <c:pt idx="9">
                  <c:v>6973.9081821094787</c:v>
                </c:pt>
                <c:pt idx="10">
                  <c:v>7168.3088277115512</c:v>
                </c:pt>
                <c:pt idx="11">
                  <c:v>7476.0589966645148</c:v>
                </c:pt>
                <c:pt idx="12">
                  <c:v>8003.4184098484029</c:v>
                </c:pt>
                <c:pt idx="13">
                  <c:v>8681.1209604184642</c:v>
                </c:pt>
                <c:pt idx="14">
                  <c:v>7886.1420550687008</c:v>
                </c:pt>
                <c:pt idx="15">
                  <c:v>7955.9241454662306</c:v>
                </c:pt>
                <c:pt idx="16">
                  <c:v>8227.0142149205494</c:v>
                </c:pt>
                <c:pt idx="17">
                  <c:v>8338.9108886389204</c:v>
                </c:pt>
                <c:pt idx="18">
                  <c:v>8815.3156654939103</c:v>
                </c:pt>
                <c:pt idx="19">
                  <c:v>9059.5114029639317</c:v>
                </c:pt>
                <c:pt idx="20">
                  <c:v>9147.9964291137858</c:v>
                </c:pt>
                <c:pt idx="21">
                  <c:v>9067.9713874077661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B-9C40-8213-FCB55E8BC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348432"/>
        <c:axId val="453345688"/>
      </c:lineChart>
      <c:catAx>
        <c:axId val="45334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5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3345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per Capita</a:t>
                </a:r>
                <a:r>
                  <a:rPr lang="en-US" sz="1200" baseline="0"/>
                  <a:t> Values</a:t>
                </a:r>
              </a:p>
            </c:rich>
          </c:tx>
          <c:layout>
            <c:manualLayout>
              <c:xMode val="edge"/>
              <c:yMode val="edge"/>
              <c:x val="9.3565179352590802E-3"/>
              <c:y val="0.458621123063855"/>
            </c:manualLayout>
          </c:layout>
          <c:overlay val="0"/>
          <c:spPr>
            <a:noFill/>
            <a:ln w="25400">
              <a:noFill/>
            </a:ln>
          </c:spPr>
        </c:title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84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8541858461377"/>
          <c:y val="0.90681162286420403"/>
          <c:w val="0.669792348014706"/>
          <c:h val="8.06453024286352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Base Trends'!$A$31</c:f>
          <c:strCache>
            <c:ptCount val="1"/>
            <c:pt idx="0">
              <c:v>Pike County Cumulative Growth Rates: General Revenue Property Tax Receipts and Property Assessed Values</c:v>
            </c:pt>
          </c:strCache>
        </c:strRef>
      </c:tx>
      <c:layout>
        <c:manualLayout>
          <c:xMode val="edge"/>
          <c:yMode val="edge"/>
          <c:x val="0.144200736663403"/>
          <c:y val="2.737226277372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3594651656638305E-2"/>
          <c:y val="0.176030284465506"/>
          <c:w val="0.87807696979971661"/>
          <c:h val="0.67486474287922182"/>
        </c:manualLayout>
      </c:layout>
      <c:lineChart>
        <c:grouping val="standard"/>
        <c:varyColors val="0"/>
        <c:ser>
          <c:idx val="0"/>
          <c:order val="0"/>
          <c:tx>
            <c:strRef>
              <c:f>'County Base Trends'!$A$33</c:f>
              <c:strCache>
                <c:ptCount val="1"/>
                <c:pt idx="0">
                  <c:v>Property Tax Receipts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 Base Trends'!$B$32:$W$32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Trends'!$B$33:$W$33</c:f>
              <c:numCache>
                <c:formatCode>0%</c:formatCode>
                <c:ptCount val="22"/>
                <c:pt idx="1">
                  <c:v>0.1469149757854917</c:v>
                </c:pt>
                <c:pt idx="2">
                  <c:v>0.15625579329170397</c:v>
                </c:pt>
                <c:pt idx="3">
                  <c:v>0.2226361794569835</c:v>
                </c:pt>
                <c:pt idx="4">
                  <c:v>0.17510885722930394</c:v>
                </c:pt>
                <c:pt idx="5">
                  <c:v>0.16652431129127132</c:v>
                </c:pt>
                <c:pt idx="6">
                  <c:v>0.27089689026879554</c:v>
                </c:pt>
                <c:pt idx="7">
                  <c:v>0.73400686688503902</c:v>
                </c:pt>
                <c:pt idx="8">
                  <c:v>0.48306421506998182</c:v>
                </c:pt>
                <c:pt idx="9">
                  <c:v>0.37628287038403518</c:v>
                </c:pt>
                <c:pt idx="10">
                  <c:v>0.57842697835280765</c:v>
                </c:pt>
                <c:pt idx="11">
                  <c:v>0.58334635010324432</c:v>
                </c:pt>
                <c:pt idx="12">
                  <c:v>0.72342948387374229</c:v>
                </c:pt>
                <c:pt idx="13">
                  <c:v>-1</c:v>
                </c:pt>
                <c:pt idx="14">
                  <c:v>0.58408283397024308</c:v>
                </c:pt>
                <c:pt idx="15">
                  <c:v>0.93034917112193938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7-834C-991D-0E827E7A90CD}"/>
            </c:ext>
          </c:extLst>
        </c:ser>
        <c:ser>
          <c:idx val="1"/>
          <c:order val="1"/>
          <c:tx>
            <c:strRef>
              <c:f>'County Base Trends'!$A$34</c:f>
              <c:strCache>
                <c:ptCount val="1"/>
                <c:pt idx="0">
                  <c:v>Property Assessed Values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'County Base Trends'!$B$32:$W$32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Trends'!$B$34:$W$34</c:f>
              <c:numCache>
                <c:formatCode>0%</c:formatCode>
                <c:ptCount val="22"/>
                <c:pt idx="1">
                  <c:v>2.752253163769687E-2</c:v>
                </c:pt>
                <c:pt idx="2">
                  <c:v>6.1491936769659486E-2</c:v>
                </c:pt>
                <c:pt idx="3">
                  <c:v>0.14677992902321724</c:v>
                </c:pt>
                <c:pt idx="4">
                  <c:v>0.18760461723587882</c:v>
                </c:pt>
                <c:pt idx="5">
                  <c:v>0.19958391624562183</c:v>
                </c:pt>
                <c:pt idx="6">
                  <c:v>0.21554892323440955</c:v>
                </c:pt>
                <c:pt idx="7">
                  <c:v>0.15192840970689039</c:v>
                </c:pt>
                <c:pt idx="8">
                  <c:v>0.18997231073831011</c:v>
                </c:pt>
                <c:pt idx="9">
                  <c:v>0.25085779435280608</c:v>
                </c:pt>
                <c:pt idx="10">
                  <c:v>0.27844631594547448</c:v>
                </c:pt>
                <c:pt idx="11">
                  <c:v>0.42510861175927361</c:v>
                </c:pt>
                <c:pt idx="12">
                  <c:v>0.43270985764945208</c:v>
                </c:pt>
                <c:pt idx="13">
                  <c:v>0.5640726889070331</c:v>
                </c:pt>
                <c:pt idx="14">
                  <c:v>0.55190932197183162</c:v>
                </c:pt>
                <c:pt idx="15">
                  <c:v>0.57584665954712444</c:v>
                </c:pt>
                <c:pt idx="16">
                  <c:v>0.64109927459575955</c:v>
                </c:pt>
                <c:pt idx="17">
                  <c:v>0.69261651652045708</c:v>
                </c:pt>
                <c:pt idx="18">
                  <c:v>0.68262008836218901</c:v>
                </c:pt>
                <c:pt idx="19">
                  <c:v>0.74631657826783027</c:v>
                </c:pt>
                <c:pt idx="20">
                  <c:v>0.82164205827804448</c:v>
                </c:pt>
                <c:pt idx="21">
                  <c:v>0.78547207584382539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7-834C-991D-0E827E7A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346472"/>
        <c:axId val="453348824"/>
      </c:lineChart>
      <c:catAx>
        <c:axId val="453346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8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3348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64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0459852219513503E-2"/>
          <c:y val="0.94343065693430705"/>
          <c:w val="0.86102491206342402"/>
          <c:h val="3.832116788321170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Base Trends'!$A$37</c:f>
          <c:strCache>
            <c:ptCount val="1"/>
            <c:pt idx="0">
              <c:v>Pike County Cumulative Growth Rates: General Revenue Sales Tax Receipts and Taxable Sales </c:v>
            </c:pt>
          </c:strCache>
        </c:strRef>
      </c:tx>
      <c:layout>
        <c:manualLayout>
          <c:xMode val="edge"/>
          <c:yMode val="edge"/>
          <c:x val="0.122335000095791"/>
          <c:y val="3.00073879653951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671185262426102E-2"/>
          <c:y val="0.18737270875763701"/>
          <c:w val="0.84497740702120305"/>
          <c:h val="0.70676058890579296"/>
        </c:manualLayout>
      </c:layout>
      <c:lineChart>
        <c:grouping val="standard"/>
        <c:varyColors val="0"/>
        <c:ser>
          <c:idx val="0"/>
          <c:order val="0"/>
          <c:tx>
            <c:strRef>
              <c:f>'County Base Trends'!$A$39</c:f>
              <c:strCache>
                <c:ptCount val="1"/>
                <c:pt idx="0">
                  <c:v>Sales Tax Receipts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 Base Trends'!$B$38:$W$38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Trends'!$B$39:$W$39</c:f>
              <c:numCache>
                <c:formatCode>0%</c:formatCode>
                <c:ptCount val="22"/>
                <c:pt idx="1">
                  <c:v>5.1338727803367214E-2</c:v>
                </c:pt>
                <c:pt idx="2">
                  <c:v>4.6518553650593229E-2</c:v>
                </c:pt>
                <c:pt idx="3">
                  <c:v>4.8356899490527468E-2</c:v>
                </c:pt>
                <c:pt idx="4">
                  <c:v>0.12614598817808309</c:v>
                </c:pt>
                <c:pt idx="5">
                  <c:v>0.16652431129127143</c:v>
                </c:pt>
                <c:pt idx="6">
                  <c:v>0.17028421978918251</c:v>
                </c:pt>
                <c:pt idx="7">
                  <c:v>0.16001848270781543</c:v>
                </c:pt>
                <c:pt idx="8">
                  <c:v>0.22860711137922152</c:v>
                </c:pt>
                <c:pt idx="9">
                  <c:v>0.2709978876905354</c:v>
                </c:pt>
                <c:pt idx="10">
                  <c:v>0.2853545212631009</c:v>
                </c:pt>
                <c:pt idx="11">
                  <c:v>0.35204472589777852</c:v>
                </c:pt>
                <c:pt idx="12">
                  <c:v>0.42046142012720206</c:v>
                </c:pt>
                <c:pt idx="13">
                  <c:v>0.35458952399118737</c:v>
                </c:pt>
                <c:pt idx="14">
                  <c:v>0.34920155313003293</c:v>
                </c:pt>
                <c:pt idx="15">
                  <c:v>0.43342830738988841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A-F447-ADA2-83CF78BCF208}"/>
            </c:ext>
          </c:extLst>
        </c:ser>
        <c:ser>
          <c:idx val="1"/>
          <c:order val="1"/>
          <c:tx>
            <c:strRef>
              <c:f>'County Base Trends'!$A$40</c:f>
              <c:strCache>
                <c:ptCount val="1"/>
                <c:pt idx="0">
                  <c:v>Taxable Sales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'County Base Trends'!$B$38:$W$38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Trends'!$B$40:$W$40</c:f>
              <c:numCache>
                <c:formatCode>0%</c:formatCode>
                <c:ptCount val="22"/>
                <c:pt idx="1">
                  <c:v>0.10056517019122385</c:v>
                </c:pt>
                <c:pt idx="2">
                  <c:v>9.4334457803834301E-2</c:v>
                </c:pt>
                <c:pt idx="3">
                  <c:v>6.1197930660925798E-2</c:v>
                </c:pt>
                <c:pt idx="4">
                  <c:v>0.15119115091241428</c:v>
                </c:pt>
                <c:pt idx="5">
                  <c:v>0.2016510057127241</c:v>
                </c:pt>
                <c:pt idx="6">
                  <c:v>0.21459054978587641</c:v>
                </c:pt>
                <c:pt idx="7">
                  <c:v>0.24944371318022443</c:v>
                </c:pt>
                <c:pt idx="8">
                  <c:v>0.27733987688927147</c:v>
                </c:pt>
                <c:pt idx="9">
                  <c:v>0.3332664085546107</c:v>
                </c:pt>
                <c:pt idx="10">
                  <c:v>0.36911440363431541</c:v>
                </c:pt>
                <c:pt idx="11">
                  <c:v>0.41881009355360749</c:v>
                </c:pt>
                <c:pt idx="12">
                  <c:v>0.5200366087084225</c:v>
                </c:pt>
                <c:pt idx="13">
                  <c:v>0.64360749087268765</c:v>
                </c:pt>
                <c:pt idx="14">
                  <c:v>0.48842319838804876</c:v>
                </c:pt>
                <c:pt idx="15">
                  <c:v>0.51662111602724403</c:v>
                </c:pt>
                <c:pt idx="16">
                  <c:v>0.55939481896357079</c:v>
                </c:pt>
                <c:pt idx="17">
                  <c:v>0.58945879690816738</c:v>
                </c:pt>
                <c:pt idx="18">
                  <c:v>0.66280453856286181</c:v>
                </c:pt>
                <c:pt idx="19">
                  <c:v>0.69767435798195232</c:v>
                </c:pt>
                <c:pt idx="20">
                  <c:v>0.72210125307411055</c:v>
                </c:pt>
                <c:pt idx="21">
                  <c:v>0.71897976423863508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A-F447-ADA2-83CF78BCF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349608"/>
        <c:axId val="453342944"/>
      </c:lineChart>
      <c:catAx>
        <c:axId val="453349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334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96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821689259645505E-2"/>
          <c:y val="0.94444615242721397"/>
          <c:w val="0.86757038581856005"/>
          <c:h val="4.44445248201044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Real per Capita'!$A$19</c:f>
          <c:strCache>
            <c:ptCount val="1"/>
            <c:pt idx="0">
              <c:v>Adair County General Revenue Receipts &amp; Expenditures: Real per Capita 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'County Real per Capita'!$A$21</c:f>
              <c:strCache>
                <c:ptCount val="1"/>
                <c:pt idx="0">
                  <c:v>Receipts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'County Real per Capita'!$B$20:$W$20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Capita'!$B$21:$W$21</c:f>
              <c:numCache>
                <c:formatCode>"$"#,##0.00</c:formatCode>
                <c:ptCount val="22"/>
                <c:pt idx="0">
                  <c:v>77.533818269501268</c:v>
                </c:pt>
                <c:pt idx="1">
                  <c:v>86.702914787481745</c:v>
                </c:pt>
                <c:pt idx="2">
                  <c:v>71.221720333173621</c:v>
                </c:pt>
                <c:pt idx="3">
                  <c:v>71.713833919053968</c:v>
                </c:pt>
                <c:pt idx="4">
                  <c:v>72.79615835532222</c:v>
                </c:pt>
                <c:pt idx="5">
                  <c:v>66.687437498799227</c:v>
                </c:pt>
                <c:pt idx="6">
                  <c:v>71.209218867814329</c:v>
                </c:pt>
                <c:pt idx="7">
                  <c:v>88.595735209586849</c:v>
                </c:pt>
                <c:pt idx="8">
                  <c:v>62.419580478599023</c:v>
                </c:pt>
                <c:pt idx="9">
                  <c:v>61.622936493212777</c:v>
                </c:pt>
                <c:pt idx="10">
                  <c:v>61.340661136310388</c:v>
                </c:pt>
                <c:pt idx="11">
                  <c:v>61.418530080936314</c:v>
                </c:pt>
                <c:pt idx="12">
                  <c:v>59.832382387294764</c:v>
                </c:pt>
                <c:pt idx="13">
                  <c:v>66.984122397320789</c:v>
                </c:pt>
                <c:pt idx="14">
                  <c:v>66.376001525297752</c:v>
                </c:pt>
                <c:pt idx="15">
                  <c:v>61.088458352440512</c:v>
                </c:pt>
                <c:pt idx="16">
                  <c:v>60.542969187920313</c:v>
                </c:pt>
                <c:pt idx="17">
                  <c:v>56.605194532811716</c:v>
                </c:pt>
                <c:pt idx="18">
                  <c:v>62.683745831497362</c:v>
                </c:pt>
                <c:pt idx="19">
                  <c:v>56.794518219323457</c:v>
                </c:pt>
                <c:pt idx="20">
                  <c:v>53.869001154262371</c:v>
                </c:pt>
                <c:pt idx="21">
                  <c:v>52.547445779456169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3-CF46-9166-02054CD2CC28}"/>
            </c:ext>
          </c:extLst>
        </c:ser>
        <c:ser>
          <c:idx val="1"/>
          <c:order val="1"/>
          <c:tx>
            <c:strRef>
              <c:f>'County Real per Capita'!$A$22</c:f>
              <c:strCache>
                <c:ptCount val="1"/>
                <c:pt idx="0">
                  <c:v>Expenditures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'County Real per Capita'!$B$20:$W$20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Capita'!$B$22:$W$22</c:f>
              <c:numCache>
                <c:formatCode>"$"#,##0.00</c:formatCode>
                <c:ptCount val="22"/>
                <c:pt idx="0">
                  <c:v>87.237712494474138</c:v>
                </c:pt>
                <c:pt idx="1">
                  <c:v>86.742067692317192</c:v>
                </c:pt>
                <c:pt idx="2">
                  <c:v>69.355815169850842</c:v>
                </c:pt>
                <c:pt idx="3">
                  <c:v>73.109757052262935</c:v>
                </c:pt>
                <c:pt idx="4">
                  <c:v>64.887219896595127</c:v>
                </c:pt>
                <c:pt idx="5">
                  <c:v>62.816912633619474</c:v>
                </c:pt>
                <c:pt idx="6">
                  <c:v>67.79278392891004</c:v>
                </c:pt>
                <c:pt idx="7">
                  <c:v>86.89148788354548</c:v>
                </c:pt>
                <c:pt idx="8">
                  <c:v>71.024044169098332</c:v>
                </c:pt>
                <c:pt idx="9">
                  <c:v>59.776353639577472</c:v>
                </c:pt>
                <c:pt idx="10">
                  <c:v>55.075122613882378</c:v>
                </c:pt>
                <c:pt idx="11">
                  <c:v>50.667782978101741</c:v>
                </c:pt>
                <c:pt idx="12">
                  <c:v>63.988172832200469</c:v>
                </c:pt>
                <c:pt idx="13">
                  <c:v>56.620994111771552</c:v>
                </c:pt>
                <c:pt idx="14">
                  <c:v>64.31932766658035</c:v>
                </c:pt>
                <c:pt idx="15">
                  <c:v>56.194840425726063</c:v>
                </c:pt>
                <c:pt idx="16">
                  <c:v>63.696008667733345</c:v>
                </c:pt>
                <c:pt idx="17">
                  <c:v>62.368343769739297</c:v>
                </c:pt>
                <c:pt idx="18">
                  <c:v>60.171898933675841</c:v>
                </c:pt>
                <c:pt idx="19">
                  <c:v>66.676592399151914</c:v>
                </c:pt>
                <c:pt idx="20">
                  <c:v>57.600439653286841</c:v>
                </c:pt>
                <c:pt idx="21">
                  <c:v>65.198639783781744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3-CF46-9166-02054CD2C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344120"/>
        <c:axId val="451271752"/>
      </c:lineChart>
      <c:catAx>
        <c:axId val="45334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51271752"/>
        <c:crosses val="autoZero"/>
        <c:auto val="1"/>
        <c:lblAlgn val="ctr"/>
        <c:lblOffset val="100"/>
        <c:noMultiLvlLbl val="0"/>
      </c:catAx>
      <c:valAx>
        <c:axId val="451271752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53344120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8101314638301798"/>
          <c:y val="0.91770419555764404"/>
          <c:w val="0.271599438228108"/>
          <c:h val="8.2295804442355194E-2"/>
        </c:manualLayout>
      </c:layout>
      <c:overlay val="0"/>
      <c:txPr>
        <a:bodyPr/>
        <a:lstStyle/>
        <a:p>
          <a:pPr>
            <a:defRPr sz="1400" b="1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Real per Capita'!$A$24</c:f>
          <c:strCache>
            <c:ptCount val="1"/>
            <c:pt idx="0">
              <c:v>Adair County General Revenue Tax Bases: Real per Capita 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'County Real per Capita'!$A$26</c:f>
              <c:strCache>
                <c:ptCount val="1"/>
                <c:pt idx="0">
                  <c:v>Property Assessed Values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'County Real per Capita'!$B$25:$W$25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Capita'!$B$26:$W$26</c:f>
              <c:numCache>
                <c:formatCode>"$"#,##0.00</c:formatCode>
                <c:ptCount val="22"/>
                <c:pt idx="0">
                  <c:v>6325.9342523007672</c:v>
                </c:pt>
                <c:pt idx="1">
                  <c:v>6850.865026330448</c:v>
                </c:pt>
                <c:pt idx="2">
                  <c:v>7101.1103566539023</c:v>
                </c:pt>
                <c:pt idx="3">
                  <c:v>7115.4002502680914</c:v>
                </c:pt>
                <c:pt idx="4">
                  <c:v>7111.8300939041883</c:v>
                </c:pt>
                <c:pt idx="5">
                  <c:v>7377.7320995421269</c:v>
                </c:pt>
                <c:pt idx="6">
                  <c:v>7488.569927762429</c:v>
                </c:pt>
                <c:pt idx="7">
                  <c:v>7473.086870778604</c:v>
                </c:pt>
                <c:pt idx="8">
                  <c:v>7002.0492226184797</c:v>
                </c:pt>
                <c:pt idx="9">
                  <c:v>7028.1093759155447</c:v>
                </c:pt>
                <c:pt idx="10">
                  <c:v>6912.051715669103</c:v>
                </c:pt>
                <c:pt idx="11">
                  <c:v>7140.3610560059078</c:v>
                </c:pt>
                <c:pt idx="12">
                  <c:v>6644.4363865192126</c:v>
                </c:pt>
                <c:pt idx="13">
                  <c:v>6735.7943013040076</c:v>
                </c:pt>
                <c:pt idx="14">
                  <c:v>6570.790390960552</c:v>
                </c:pt>
                <c:pt idx="15">
                  <c:v>6510.6451892744399</c:v>
                </c:pt>
                <c:pt idx="16">
                  <c:v>6512.2641691623667</c:v>
                </c:pt>
                <c:pt idx="17">
                  <c:v>6599.0073612708293</c:v>
                </c:pt>
                <c:pt idx="18">
                  <c:v>6526.0235181666749</c:v>
                </c:pt>
                <c:pt idx="19">
                  <c:v>6838.3746001607842</c:v>
                </c:pt>
                <c:pt idx="20">
                  <c:v>6851.7741947816667</c:v>
                </c:pt>
                <c:pt idx="21">
                  <c:v>6780.2455933469428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3F-5F4D-912E-8C26E5B81BF9}"/>
            </c:ext>
          </c:extLst>
        </c:ser>
        <c:ser>
          <c:idx val="2"/>
          <c:order val="1"/>
          <c:tx>
            <c:strRef>
              <c:f>'County Real per Capita'!$A$27</c:f>
              <c:strCache>
                <c:ptCount val="1"/>
                <c:pt idx="0">
                  <c:v>Taxable Sales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'County Real per Capita'!$B$25:$W$25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Capita'!$B$27:$W$27</c:f>
              <c:numCache>
                <c:formatCode>"$"#,##0.00</c:formatCode>
                <c:ptCount val="22"/>
                <c:pt idx="0">
                  <c:v>10134.364984125708</c:v>
                </c:pt>
                <c:pt idx="1">
                  <c:v>8465.3169944716083</c:v>
                </c:pt>
                <c:pt idx="2">
                  <c:v>9008.9732242148002</c:v>
                </c:pt>
                <c:pt idx="3">
                  <c:v>8895.9003493820346</c:v>
                </c:pt>
                <c:pt idx="4">
                  <c:v>8802.3751162584831</c:v>
                </c:pt>
                <c:pt idx="5">
                  <c:v>8706.7163851470923</c:v>
                </c:pt>
                <c:pt idx="6">
                  <c:v>9357.844678886393</c:v>
                </c:pt>
                <c:pt idx="7">
                  <c:v>8323.910349396634</c:v>
                </c:pt>
                <c:pt idx="8">
                  <c:v>8104.0176950369405</c:v>
                </c:pt>
                <c:pt idx="9">
                  <c:v>8145.666488327437</c:v>
                </c:pt>
                <c:pt idx="10">
                  <c:v>8049.5630609536447</c:v>
                </c:pt>
                <c:pt idx="11">
                  <c:v>7925.4327588388442</c:v>
                </c:pt>
                <c:pt idx="12">
                  <c:v>7477.5638770333107</c:v>
                </c:pt>
                <c:pt idx="13">
                  <c:v>7503.0890054087704</c:v>
                </c:pt>
                <c:pt idx="14">
                  <c:v>7241.003775465073</c:v>
                </c:pt>
                <c:pt idx="15">
                  <c:v>7146.8369848759658</c:v>
                </c:pt>
                <c:pt idx="16">
                  <c:v>6998.5719327693687</c:v>
                </c:pt>
                <c:pt idx="17">
                  <c:v>7550.6139346811078</c:v>
                </c:pt>
                <c:pt idx="18">
                  <c:v>7692.9675718599465</c:v>
                </c:pt>
                <c:pt idx="19">
                  <c:v>7769.807188016106</c:v>
                </c:pt>
                <c:pt idx="20">
                  <c:v>8041.3375046100718</c:v>
                </c:pt>
                <c:pt idx="21">
                  <c:v>8095.8656024709317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3F-5F4D-912E-8C26E5B81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273320"/>
        <c:axId val="451270184"/>
      </c:lineChart>
      <c:catAx>
        <c:axId val="451273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51270184"/>
        <c:crosses val="autoZero"/>
        <c:auto val="1"/>
        <c:lblAlgn val="ctr"/>
        <c:lblOffset val="100"/>
        <c:tickLblSkip val="1"/>
        <c:noMultiLvlLbl val="0"/>
      </c:catAx>
      <c:valAx>
        <c:axId val="451270184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51273320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Real per Capita'!$A$34</c:f>
          <c:strCache>
            <c:ptCount val="1"/>
            <c:pt idx="0">
              <c:v>Adair County Detailed General Revenue Receipts: Real per Capita</c:v>
            </c:pt>
          </c:strCache>
        </c:strRef>
      </c:tx>
      <c:overlay val="0"/>
      <c:txPr>
        <a:bodyPr/>
        <a:lstStyle/>
        <a:p>
          <a:pPr>
            <a:defRPr sz="1800"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'County Real per Capita'!$A$36</c:f>
              <c:strCache>
                <c:ptCount val="1"/>
                <c:pt idx="0">
                  <c:v>Property Tax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Capita'!$B$36:$W$36</c:f>
              <c:numCache>
                <c:formatCode>"$"#,##0.00</c:formatCode>
                <c:ptCount val="22"/>
                <c:pt idx="0">
                  <c:v>0</c:v>
                </c:pt>
                <c:pt idx="1">
                  <c:v>0.86702914787481744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A-5D4B-9802-0FEB28226376}"/>
            </c:ext>
          </c:extLst>
        </c:ser>
        <c:ser>
          <c:idx val="1"/>
          <c:order val="1"/>
          <c:tx>
            <c:strRef>
              <c:f>'County Real per Capita'!$A$37</c:f>
              <c:strCache>
                <c:ptCount val="1"/>
                <c:pt idx="0">
                  <c:v>Sales Tax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Capita'!$B$37:$W$37</c:f>
              <c:numCache>
                <c:formatCode>"$"#,##0.00</c:formatCode>
                <c:ptCount val="22"/>
                <c:pt idx="0">
                  <c:v>46.520290961700759</c:v>
                </c:pt>
                <c:pt idx="1">
                  <c:v>45.085515689490506</c:v>
                </c:pt>
                <c:pt idx="2">
                  <c:v>43.445249403235913</c:v>
                </c:pt>
                <c:pt idx="3">
                  <c:v>44.462577029813453</c:v>
                </c:pt>
                <c:pt idx="4">
                  <c:v>47.317502930959435</c:v>
                </c:pt>
                <c:pt idx="5">
                  <c:v>46.681206249159452</c:v>
                </c:pt>
                <c:pt idx="6">
                  <c:v>49.134361018791878</c:v>
                </c:pt>
                <c:pt idx="7">
                  <c:v>43.41191025269756</c:v>
                </c:pt>
                <c:pt idx="8">
                  <c:v>43.150552737224842</c:v>
                </c:pt>
                <c:pt idx="9">
                  <c:v>42.223317572037821</c:v>
                </c:pt>
                <c:pt idx="10">
                  <c:v>41.690306792669467</c:v>
                </c:pt>
                <c:pt idx="11">
                  <c:v>43.722078831776606</c:v>
                </c:pt>
                <c:pt idx="12">
                  <c:v>38.836748550202621</c:v>
                </c:pt>
                <c:pt idx="13">
                  <c:v>38.869760410687086</c:v>
                </c:pt>
                <c:pt idx="14">
                  <c:v>37.762945592828871</c:v>
                </c:pt>
                <c:pt idx="15">
                  <c:v>37.70040291634227</c:v>
                </c:pt>
                <c:pt idx="16">
                  <c:v>36.145409595748902</c:v>
                </c:pt>
                <c:pt idx="17">
                  <c:v>36.596441156558328</c:v>
                </c:pt>
                <c:pt idx="18">
                  <c:v>37.689009144765329</c:v>
                </c:pt>
                <c:pt idx="19">
                  <c:v>38.317281816345407</c:v>
                </c:pt>
                <c:pt idx="20">
                  <c:v>38.300050406744724</c:v>
                </c:pt>
                <c:pt idx="21">
                  <c:v>37.400975125305308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A-5D4B-9802-0FEB28226376}"/>
            </c:ext>
          </c:extLst>
        </c:ser>
        <c:ser>
          <c:idx val="2"/>
          <c:order val="2"/>
          <c:tx>
            <c:strRef>
              <c:f>'County Real per Capita'!$A$38</c:f>
              <c:strCache>
                <c:ptCount val="1"/>
                <c:pt idx="0">
                  <c:v>Intergovernmental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Capita'!$B$38:$W$38</c:f>
              <c:numCache>
                <c:formatCode>"$"#,##0.00</c:formatCode>
                <c:ptCount val="22"/>
                <c:pt idx="0">
                  <c:v>7.7533818269501262</c:v>
                </c:pt>
                <c:pt idx="1">
                  <c:v>12.138408070247444</c:v>
                </c:pt>
                <c:pt idx="2">
                  <c:v>7.834389236649101</c:v>
                </c:pt>
                <c:pt idx="3">
                  <c:v>7.1713833919053966</c:v>
                </c:pt>
                <c:pt idx="4">
                  <c:v>9.4635005861918877</c:v>
                </c:pt>
                <c:pt idx="5">
                  <c:v>6.0018693748919301</c:v>
                </c:pt>
                <c:pt idx="6">
                  <c:v>7.1209218867814323</c:v>
                </c:pt>
                <c:pt idx="7">
                  <c:v>19.491061746109107</c:v>
                </c:pt>
                <c:pt idx="8">
                  <c:v>2.7121165561234544</c:v>
                </c:pt>
                <c:pt idx="9">
                  <c:v>3.5305020371364568</c:v>
                </c:pt>
                <c:pt idx="10">
                  <c:v>3.2189042103925183</c:v>
                </c:pt>
                <c:pt idx="11">
                  <c:v>3.2325552183528674</c:v>
                </c:pt>
                <c:pt idx="12">
                  <c:v>7.2236759842669329</c:v>
                </c:pt>
                <c:pt idx="13">
                  <c:v>9.7907377908101729</c:v>
                </c:pt>
                <c:pt idx="14">
                  <c:v>13.022353374177712</c:v>
                </c:pt>
                <c:pt idx="15">
                  <c:v>9.7783995616900548</c:v>
                </c:pt>
                <c:pt idx="16">
                  <c:v>11.627666698068047</c:v>
                </c:pt>
                <c:pt idx="17">
                  <c:v>5.4878367143053008</c:v>
                </c:pt>
                <c:pt idx="18">
                  <c:v>0.93120900484639313</c:v>
                </c:pt>
                <c:pt idx="19">
                  <c:v>3.5800302215242619</c:v>
                </c:pt>
                <c:pt idx="20">
                  <c:v>3.9061584698473353</c:v>
                </c:pt>
                <c:pt idx="21">
                  <c:v>2.8923450372674742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A-5D4B-9802-0FEB28226376}"/>
            </c:ext>
          </c:extLst>
        </c:ser>
        <c:ser>
          <c:idx val="3"/>
          <c:order val="3"/>
          <c:tx>
            <c:strRef>
              <c:f>'County Real per Capita'!$A$39</c:f>
              <c:strCache>
                <c:ptCount val="1"/>
                <c:pt idx="0">
                  <c:v>Charges for Services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Capita'!$B$39:$W$39</c:f>
              <c:numCache>
                <c:formatCode>"$"#,##0.00</c:formatCode>
                <c:ptCount val="22"/>
                <c:pt idx="0">
                  <c:v>10.854734557730177</c:v>
                </c:pt>
                <c:pt idx="1">
                  <c:v>12.138408070247444</c:v>
                </c:pt>
                <c:pt idx="2">
                  <c:v>11.395475253307781</c:v>
                </c:pt>
                <c:pt idx="3">
                  <c:v>13.625628444620254</c:v>
                </c:pt>
                <c:pt idx="4">
                  <c:v>11.647385336851556</c:v>
                </c:pt>
                <c:pt idx="5">
                  <c:v>11.336864374795869</c:v>
                </c:pt>
                <c:pt idx="6">
                  <c:v>13.529751584884721</c:v>
                </c:pt>
                <c:pt idx="7">
                  <c:v>14.175317633533894</c:v>
                </c:pt>
                <c:pt idx="8">
                  <c:v>10.060703090514913</c:v>
                </c:pt>
                <c:pt idx="9">
                  <c:v>10.80792715863142</c:v>
                </c:pt>
                <c:pt idx="10">
                  <c:v>11.19802400327908</c:v>
                </c:pt>
                <c:pt idx="11">
                  <c:v>10.961556240863576</c:v>
                </c:pt>
                <c:pt idx="12">
                  <c:v>9.5733366946046807</c:v>
                </c:pt>
                <c:pt idx="13">
                  <c:v>10.08034162458396</c:v>
                </c:pt>
                <c:pt idx="14">
                  <c:v>9.8520531446983597</c:v>
                </c:pt>
                <c:pt idx="15">
                  <c:v>9.6520877771191902</c:v>
                </c:pt>
                <c:pt idx="16">
                  <c:v>10.133149370178911</c:v>
                </c:pt>
                <c:pt idx="17">
                  <c:v>9.8339804797543575</c:v>
                </c:pt>
                <c:pt idx="18">
                  <c:v>9.3849810001625507</c:v>
                </c:pt>
                <c:pt idx="19">
                  <c:v>9.5282767788050062</c:v>
                </c:pt>
                <c:pt idx="20">
                  <c:v>9.5180136715153356</c:v>
                </c:pt>
                <c:pt idx="21">
                  <c:v>8.8434605683784397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A-5D4B-9802-0FEB28226376}"/>
            </c:ext>
          </c:extLst>
        </c:ser>
        <c:ser>
          <c:idx val="4"/>
          <c:order val="4"/>
          <c:tx>
            <c:strRef>
              <c:f>'County Real per Capita'!$A$40</c:f>
              <c:strCache>
                <c:ptCount val="1"/>
                <c:pt idx="0">
                  <c:v>Interest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cat>
            <c:strRef>
              <c:f>'County Real per Capita'!$B$35:$W$35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Capita'!$B$40:$W$40</c:f>
              <c:numCache>
                <c:formatCode>"$"#,##0.00</c:formatCode>
                <c:ptCount val="22"/>
                <c:pt idx="0">
                  <c:v>0.77533818269501276</c:v>
                </c:pt>
                <c:pt idx="1">
                  <c:v>0</c:v>
                </c:pt>
                <c:pt idx="2">
                  <c:v>0.71221720333173633</c:v>
                </c:pt>
                <c:pt idx="3">
                  <c:v>0.7171383391905396</c:v>
                </c:pt>
                <c:pt idx="4">
                  <c:v>0.72796158355322227</c:v>
                </c:pt>
                <c:pt idx="5">
                  <c:v>0.66687437498799229</c:v>
                </c:pt>
                <c:pt idx="6">
                  <c:v>0.71209218867814317</c:v>
                </c:pt>
                <c:pt idx="7">
                  <c:v>0.88595735209586834</c:v>
                </c:pt>
                <c:pt idx="8">
                  <c:v>0.28366487809774166</c:v>
                </c:pt>
                <c:pt idx="9">
                  <c:v>0.20847039229988634</c:v>
                </c:pt>
                <c:pt idx="10">
                  <c:v>0.45864531681129272</c:v>
                </c:pt>
                <c:pt idx="11">
                  <c:v>0.97679864106835879</c:v>
                </c:pt>
                <c:pt idx="12">
                  <c:v>1.4868726695819536</c:v>
                </c:pt>
                <c:pt idx="13">
                  <c:v>1.1551593310767445</c:v>
                </c:pt>
                <c:pt idx="14">
                  <c:v>1.0312398179348494</c:v>
                </c:pt>
                <c:pt idx="15">
                  <c:v>0.89366245508139863</c:v>
                </c:pt>
                <c:pt idx="16">
                  <c:v>0.55390211320545446</c:v>
                </c:pt>
                <c:pt idx="17">
                  <c:v>0.45433914420771498</c:v>
                </c:pt>
                <c:pt idx="18">
                  <c:v>0.28115307712789595</c:v>
                </c:pt>
                <c:pt idx="19">
                  <c:v>0.27276971726151183</c:v>
                </c:pt>
                <c:pt idx="20">
                  <c:v>0.13254230027803879</c:v>
                </c:pt>
                <c:pt idx="21">
                  <c:v>0.1402536567198949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A-5D4B-9802-0FEB28226376}"/>
            </c:ext>
          </c:extLst>
        </c:ser>
        <c:ser>
          <c:idx val="5"/>
          <c:order val="5"/>
          <c:tx>
            <c:strRef>
              <c:f>'County Real per Capita'!$A$41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Capita'!$B$41:$W$41</c:f>
              <c:numCache>
                <c:formatCode>"$"#,##0.00</c:formatCode>
                <c:ptCount val="22"/>
                <c:pt idx="0">
                  <c:v>11.63007274042519</c:v>
                </c:pt>
                <c:pt idx="1">
                  <c:v>16.473553809621531</c:v>
                </c:pt>
                <c:pt idx="2">
                  <c:v>7.834389236649101</c:v>
                </c:pt>
                <c:pt idx="3">
                  <c:v>5.7371067135243168</c:v>
                </c:pt>
                <c:pt idx="4">
                  <c:v>3.6398079177661109</c:v>
                </c:pt>
                <c:pt idx="5">
                  <c:v>2.0006231249639765</c:v>
                </c:pt>
                <c:pt idx="6">
                  <c:v>0.71209218867814317</c:v>
                </c:pt>
                <c:pt idx="7">
                  <c:v>10.631488225150422</c:v>
                </c:pt>
                <c:pt idx="8">
                  <c:v>5.7161998298323642</c:v>
                </c:pt>
                <c:pt idx="9">
                  <c:v>3.6313065450144162</c:v>
                </c:pt>
                <c:pt idx="10">
                  <c:v>2.626485168081508</c:v>
                </c:pt>
                <c:pt idx="11">
                  <c:v>2.4894039146313389</c:v>
                </c:pt>
                <c:pt idx="12">
                  <c:v>2.6698893892977518</c:v>
                </c:pt>
                <c:pt idx="13">
                  <c:v>2.7530850783571315</c:v>
                </c:pt>
                <c:pt idx="14">
                  <c:v>2.1019185694249516</c:v>
                </c:pt>
                <c:pt idx="15">
                  <c:v>2.8226396017988953</c:v>
                </c:pt>
                <c:pt idx="16">
                  <c:v>2.0032307471223008</c:v>
                </c:pt>
                <c:pt idx="17">
                  <c:v>4.0299083927233452</c:v>
                </c:pt>
                <c:pt idx="18">
                  <c:v>2.9629728352609495</c:v>
                </c:pt>
                <c:pt idx="19">
                  <c:v>1.873175478936463</c:v>
                </c:pt>
                <c:pt idx="20">
                  <c:v>2.0122363058769337</c:v>
                </c:pt>
                <c:pt idx="21">
                  <c:v>2.6626455459988447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FA-5D4B-9802-0FEB28226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69632"/>
        <c:axId val="456572376"/>
      </c:areaChart>
      <c:catAx>
        <c:axId val="4565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456572376"/>
        <c:crosses val="autoZero"/>
        <c:auto val="1"/>
        <c:lblAlgn val="ctr"/>
        <c:lblOffset val="100"/>
        <c:noMultiLvlLbl val="0"/>
      </c:catAx>
      <c:valAx>
        <c:axId val="456572376"/>
        <c:scaling>
          <c:orientation val="minMax"/>
        </c:scaling>
        <c:delete val="0"/>
        <c:axPos val="l"/>
        <c:majorGridlines/>
        <c:numFmt formatCode="&quot;$&quot;#,##0.00" sourceLinked="1"/>
        <c:majorTickMark val="none"/>
        <c:minorTickMark val="none"/>
        <c:tickLblPos val="nextTo"/>
        <c:crossAx val="45656963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overlay val="0"/>
    </c:legend>
    <c:plotVisOnly val="1"/>
    <c:dispBlanksAs val="zero"/>
    <c:showDLblsOverMax val="0"/>
  </c:chart>
  <c:txPr>
    <a:bodyPr/>
    <a:lstStyle/>
    <a:p>
      <a:pPr>
        <a:defRPr sz="1400" b="1"/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Real per Capita'!$A$43</c:f>
          <c:strCache>
            <c:ptCount val="1"/>
            <c:pt idx="0">
              <c:v>Adair County Detailed General Revenue Expenditures: Real per Capita</c:v>
            </c:pt>
          </c:strCache>
        </c:strRef>
      </c:tx>
      <c:overlay val="0"/>
      <c:txPr>
        <a:bodyPr/>
        <a:lstStyle/>
        <a:p>
          <a:pPr>
            <a:defRPr sz="1800"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'County Real per Capita'!$A$45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Capita'!$B$44:$W$44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Capita'!$B$45:$W$45</c:f>
              <c:numCache>
                <c:formatCode>"$"#,##0.00</c:formatCode>
                <c:ptCount val="22"/>
                <c:pt idx="0">
                  <c:v>20.064673873729053</c:v>
                </c:pt>
                <c:pt idx="1">
                  <c:v>17.34841353846344</c:v>
                </c:pt>
                <c:pt idx="2">
                  <c:v>20.806744550955258</c:v>
                </c:pt>
                <c:pt idx="3">
                  <c:v>20.470731974633622</c:v>
                </c:pt>
                <c:pt idx="4">
                  <c:v>21.412782565876391</c:v>
                </c:pt>
                <c:pt idx="5">
                  <c:v>18.845073790085838</c:v>
                </c:pt>
                <c:pt idx="6">
                  <c:v>21.407964429270706</c:v>
                </c:pt>
                <c:pt idx="7">
                  <c:v>24.329616607392737</c:v>
                </c:pt>
                <c:pt idx="8">
                  <c:v>20.765997410606666</c:v>
                </c:pt>
                <c:pt idx="9">
                  <c:v>16.864209752201305</c:v>
                </c:pt>
                <c:pt idx="10">
                  <c:v>19.022213271355444</c:v>
                </c:pt>
                <c:pt idx="11">
                  <c:v>17.147185705836961</c:v>
                </c:pt>
                <c:pt idx="12">
                  <c:v>18.949484713997077</c:v>
                </c:pt>
                <c:pt idx="13">
                  <c:v>17.150194699173227</c:v>
                </c:pt>
                <c:pt idx="14">
                  <c:v>19.070265944514624</c:v>
                </c:pt>
                <c:pt idx="15">
                  <c:v>17.108026440657977</c:v>
                </c:pt>
                <c:pt idx="16">
                  <c:v>21.829117615780724</c:v>
                </c:pt>
                <c:pt idx="17">
                  <c:v>19.486271339848141</c:v>
                </c:pt>
                <c:pt idx="18">
                  <c:v>23.679595566150883</c:v>
                </c:pt>
                <c:pt idx="19">
                  <c:v>24.413745366396167</c:v>
                </c:pt>
                <c:pt idx="20">
                  <c:v>21.32553809340688</c:v>
                </c:pt>
                <c:pt idx="21">
                  <c:v>21.143426690424164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5-694B-BC87-E54EB3151AB3}"/>
            </c:ext>
          </c:extLst>
        </c:ser>
        <c:ser>
          <c:idx val="1"/>
          <c:order val="1"/>
          <c:tx>
            <c:strRef>
              <c:f>'County Real per Capita'!$A$46</c:f>
              <c:strCache>
                <c:ptCount val="1"/>
                <c:pt idx="0">
                  <c:v>Law Enforcement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Capita'!$B$44:$W$44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Capita'!$B$46:$W$46</c:f>
              <c:numCache>
                <c:formatCode>"$"#,##0.00</c:formatCode>
                <c:ptCount val="22"/>
                <c:pt idx="0">
                  <c:v>20.937050998673794</c:v>
                </c:pt>
                <c:pt idx="1">
                  <c:v>21.685516923079298</c:v>
                </c:pt>
                <c:pt idx="2">
                  <c:v>4.1613489101910499</c:v>
                </c:pt>
                <c:pt idx="3">
                  <c:v>5.1176829936584056</c:v>
                </c:pt>
                <c:pt idx="4">
                  <c:v>3.2443609948297563</c:v>
                </c:pt>
                <c:pt idx="5">
                  <c:v>1.2563382526723894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5-694B-BC87-E54EB3151AB3}"/>
            </c:ext>
          </c:extLst>
        </c:ser>
        <c:ser>
          <c:idx val="2"/>
          <c:order val="2"/>
          <c:tx>
            <c:strRef>
              <c:f>'County Real per Capita'!$A$47</c:f>
              <c:strCache>
                <c:ptCount val="1"/>
                <c:pt idx="0">
                  <c:v>Court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Capita'!$B$44:$W$44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Capita'!$B$47:$W$47</c:f>
              <c:numCache>
                <c:formatCode>"$"#,##0.00</c:formatCode>
                <c:ptCount val="22"/>
                <c:pt idx="0">
                  <c:v>15.702788249005346</c:v>
                </c:pt>
                <c:pt idx="1">
                  <c:v>17.34841353846344</c:v>
                </c:pt>
                <c:pt idx="2">
                  <c:v>14.564721185668677</c:v>
                </c:pt>
                <c:pt idx="3">
                  <c:v>13.159756269407328</c:v>
                </c:pt>
                <c:pt idx="4">
                  <c:v>10.38195518345522</c:v>
                </c:pt>
                <c:pt idx="5">
                  <c:v>8.1661986423705315</c:v>
                </c:pt>
                <c:pt idx="6">
                  <c:v>10.168917589336507</c:v>
                </c:pt>
                <c:pt idx="7">
                  <c:v>2.6067446365063645</c:v>
                </c:pt>
                <c:pt idx="8">
                  <c:v>2.775301069263822</c:v>
                </c:pt>
                <c:pt idx="9">
                  <c:v>2.5338988170164596</c:v>
                </c:pt>
                <c:pt idx="10">
                  <c:v>2.2197991401693233</c:v>
                </c:pt>
                <c:pt idx="11">
                  <c:v>1.8627370199848647</c:v>
                </c:pt>
                <c:pt idx="12">
                  <c:v>2.9061553340322459</c:v>
                </c:pt>
                <c:pt idx="13">
                  <c:v>2.5770129492283829</c:v>
                </c:pt>
                <c:pt idx="14">
                  <c:v>4.0657403447859997</c:v>
                </c:pt>
                <c:pt idx="15">
                  <c:v>2.4842405264623624</c:v>
                </c:pt>
                <c:pt idx="16">
                  <c:v>2.6436328939201301</c:v>
                </c:pt>
                <c:pt idx="17">
                  <c:v>3.63959813595419</c:v>
                </c:pt>
                <c:pt idx="18">
                  <c:v>0.93916582996224207</c:v>
                </c:pt>
                <c:pt idx="19">
                  <c:v>9.7518836835905596</c:v>
                </c:pt>
                <c:pt idx="20">
                  <c:v>5.1718238828851932</c:v>
                </c:pt>
                <c:pt idx="21">
                  <c:v>7.9328132108081011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5-694B-BC87-E54EB3151AB3}"/>
            </c:ext>
          </c:extLst>
        </c:ser>
        <c:ser>
          <c:idx val="3"/>
          <c:order val="3"/>
          <c:tx>
            <c:strRef>
              <c:f>'County Real per Capita'!$A$48</c:f>
              <c:strCache>
                <c:ptCount val="1"/>
                <c:pt idx="0">
                  <c:v>Fringe Benefits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Capita'!$B$44:$W$44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Capita'!$B$48:$W$48</c:f>
              <c:numCache>
                <c:formatCode>"$"#,##0.00</c:formatCode>
                <c:ptCount val="22"/>
                <c:pt idx="0">
                  <c:v>9.5961483743921558</c:v>
                </c:pt>
                <c:pt idx="1">
                  <c:v>10.409048123078064</c:v>
                </c:pt>
                <c:pt idx="2">
                  <c:v>6.9355815169850841</c:v>
                </c:pt>
                <c:pt idx="3">
                  <c:v>8.7731708462715527</c:v>
                </c:pt>
                <c:pt idx="4">
                  <c:v>9.7330829844892683</c:v>
                </c:pt>
                <c:pt idx="5">
                  <c:v>6.9098603896981414</c:v>
                </c:pt>
                <c:pt idx="6">
                  <c:v>4.7454948750237032</c:v>
                </c:pt>
                <c:pt idx="7">
                  <c:v>5.2134892730127289</c:v>
                </c:pt>
                <c:pt idx="8">
                  <c:v>7.3518567755193258</c:v>
                </c:pt>
                <c:pt idx="9">
                  <c:v>7.7083399092565204</c:v>
                </c:pt>
                <c:pt idx="10">
                  <c:v>7.3701895469268583</c:v>
                </c:pt>
                <c:pt idx="11">
                  <c:v>7.3201141485874111</c:v>
                </c:pt>
                <c:pt idx="12">
                  <c:v>7.4784191870193713</c:v>
                </c:pt>
                <c:pt idx="13">
                  <c:v>7.7591197593394003</c:v>
                </c:pt>
                <c:pt idx="14">
                  <c:v>9.4783044486129135</c:v>
                </c:pt>
                <c:pt idx="15">
                  <c:v>9.1548833492149768</c:v>
                </c:pt>
                <c:pt idx="16">
                  <c:v>10.090971447832395</c:v>
                </c:pt>
                <c:pt idx="17">
                  <c:v>9.7471907175775492</c:v>
                </c:pt>
                <c:pt idx="18">
                  <c:v>9.6322434516838733</c:v>
                </c:pt>
                <c:pt idx="19">
                  <c:v>9.55735212946961</c:v>
                </c:pt>
                <c:pt idx="20">
                  <c:v>8.8073257965575831</c:v>
                </c:pt>
                <c:pt idx="21">
                  <c:v>12.290872074944003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5-694B-BC87-E54EB3151AB3}"/>
            </c:ext>
          </c:extLst>
        </c:ser>
        <c:ser>
          <c:idx val="4"/>
          <c:order val="4"/>
          <c:tx>
            <c:strRef>
              <c:f>'County Real per Capita'!$A$49</c:f>
              <c:strCache>
                <c:ptCount val="1"/>
                <c:pt idx="0">
                  <c:v>Prosecuting Attorney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Capita'!$B$44:$W$44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Capita'!$B$49:$W$49</c:f>
              <c:numCache>
                <c:formatCode>"$"#,##0.00</c:formatCode>
                <c:ptCount val="22"/>
                <c:pt idx="0">
                  <c:v>6.1066398746131894</c:v>
                </c:pt>
                <c:pt idx="1">
                  <c:v>6.0719447384622036</c:v>
                </c:pt>
                <c:pt idx="2">
                  <c:v>5.5484652135880683</c:v>
                </c:pt>
                <c:pt idx="3">
                  <c:v>6.5798781347036641</c:v>
                </c:pt>
                <c:pt idx="4">
                  <c:v>6.4887219896595125</c:v>
                </c:pt>
                <c:pt idx="5">
                  <c:v>6.2816912633619459</c:v>
                </c:pt>
                <c:pt idx="6">
                  <c:v>6.1013505536019039</c:v>
                </c:pt>
                <c:pt idx="7">
                  <c:v>6.9513190306836394</c:v>
                </c:pt>
                <c:pt idx="8">
                  <c:v>6.8900582266441068</c:v>
                </c:pt>
                <c:pt idx="9">
                  <c:v>6.9274008177880351</c:v>
                </c:pt>
                <c:pt idx="10">
                  <c:v>6.5728725224794182</c:v>
                </c:pt>
                <c:pt idx="11">
                  <c:v>6.5232178467897874</c:v>
                </c:pt>
                <c:pt idx="12">
                  <c:v>6.3946324885203696</c:v>
                </c:pt>
                <c:pt idx="13">
                  <c:v>6.3275564775134994</c:v>
                </c:pt>
                <c:pt idx="14">
                  <c:v>6.003333917922693</c:v>
                </c:pt>
                <c:pt idx="15">
                  <c:v>5.999019748982759</c:v>
                </c:pt>
                <c:pt idx="16">
                  <c:v>6.1601061720822958</c:v>
                </c:pt>
                <c:pt idx="17">
                  <c:v>6.8299825961490512</c:v>
                </c:pt>
                <c:pt idx="18">
                  <c:v>6.7618681837124326</c:v>
                </c:pt>
                <c:pt idx="19">
                  <c:v>7.3728481836068491</c:v>
                </c:pt>
                <c:pt idx="20">
                  <c:v>7.5175872870698166</c:v>
                </c:pt>
                <c:pt idx="21">
                  <c:v>7.9723918577100781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05-694B-BC87-E54EB3151AB3}"/>
            </c:ext>
          </c:extLst>
        </c:ser>
        <c:ser>
          <c:idx val="5"/>
          <c:order val="5"/>
          <c:tx>
            <c:strRef>
              <c:f>'County Real per Capita'!$A$50</c:f>
              <c:strCache>
                <c:ptCount val="1"/>
                <c:pt idx="0">
                  <c:v>Public Administrator &amp; Coroner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Capita'!$B$44:$W$44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Capita'!$B$50:$W$50</c:f>
              <c:numCache>
                <c:formatCode>"$"#,##0.00</c:formatCode>
                <c:ptCount val="22"/>
                <c:pt idx="0">
                  <c:v>0.8723771249447414</c:v>
                </c:pt>
                <c:pt idx="1">
                  <c:v>1.7348413538463436</c:v>
                </c:pt>
                <c:pt idx="2">
                  <c:v>2.7742326067940342</c:v>
                </c:pt>
                <c:pt idx="3">
                  <c:v>2.1932927115678877</c:v>
                </c:pt>
                <c:pt idx="4">
                  <c:v>3.2443609948297563</c:v>
                </c:pt>
                <c:pt idx="5">
                  <c:v>2.5126765053447788</c:v>
                </c:pt>
                <c:pt idx="6">
                  <c:v>2.7117113571564015</c:v>
                </c:pt>
                <c:pt idx="7">
                  <c:v>2.6067446365063645</c:v>
                </c:pt>
                <c:pt idx="8">
                  <c:v>2.597909597297416</c:v>
                </c:pt>
                <c:pt idx="9">
                  <c:v>2.6894542962213852</c:v>
                </c:pt>
                <c:pt idx="10">
                  <c:v>2.7431180394489538</c:v>
                </c:pt>
                <c:pt idx="11">
                  <c:v>2.6249302770558951</c:v>
                </c:pt>
                <c:pt idx="12">
                  <c:v>2.7888889803999306</c:v>
                </c:pt>
                <c:pt idx="13">
                  <c:v>2.468865457857929</c:v>
                </c:pt>
                <c:pt idx="14">
                  <c:v>2.9971622386825505</c:v>
                </c:pt>
                <c:pt idx="15">
                  <c:v>3.0200911958035186</c:v>
                </c:pt>
                <c:pt idx="16">
                  <c:v>3.0390804924394472</c:v>
                </c:pt>
                <c:pt idx="17">
                  <c:v>3.1732268393462615</c:v>
                </c:pt>
                <c:pt idx="18">
                  <c:v>3.4481442377156024</c:v>
                </c:pt>
                <c:pt idx="19">
                  <c:v>3.6559304313503027</c:v>
                </c:pt>
                <c:pt idx="20">
                  <c:v>4.2172421583651936</c:v>
                </c:pt>
                <c:pt idx="21">
                  <c:v>3.9374325374866657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05-694B-BC87-E54EB3151AB3}"/>
            </c:ext>
          </c:extLst>
        </c:ser>
        <c:ser>
          <c:idx val="6"/>
          <c:order val="6"/>
          <c:tx>
            <c:strRef>
              <c:f>'County Real per Capita'!$A$51</c:f>
              <c:strCache>
                <c:ptCount val="1"/>
                <c:pt idx="0">
                  <c:v>Health and Welfare &amp; "Other"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Capita'!$B$44:$W$44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Capita'!$B$51:$W$51</c:f>
              <c:numCache>
                <c:formatCode>"$"#,##0.00</c:formatCode>
                <c:ptCount val="22"/>
                <c:pt idx="0">
                  <c:v>10.468525499336897</c:v>
                </c:pt>
                <c:pt idx="1">
                  <c:v>12.143889476924407</c:v>
                </c:pt>
                <c:pt idx="2">
                  <c:v>11.096930427176137</c:v>
                </c:pt>
                <c:pt idx="3">
                  <c:v>15.353048980975219</c:v>
                </c:pt>
                <c:pt idx="4">
                  <c:v>10.38195518345522</c:v>
                </c:pt>
                <c:pt idx="5">
                  <c:v>16.332397284741063</c:v>
                </c:pt>
                <c:pt idx="6">
                  <c:v>8.1351340714692064</c:v>
                </c:pt>
                <c:pt idx="7">
                  <c:v>31.280935638076375</c:v>
                </c:pt>
                <c:pt idx="8">
                  <c:v>10.113416743567226</c:v>
                </c:pt>
                <c:pt idx="9">
                  <c:v>8.2313877505816784</c:v>
                </c:pt>
                <c:pt idx="10">
                  <c:v>9.6767187419665319</c:v>
                </c:pt>
                <c:pt idx="11">
                  <c:v>8.1415274933530224</c:v>
                </c:pt>
                <c:pt idx="12">
                  <c:v>15.24804402964706</c:v>
                </c:pt>
                <c:pt idx="13">
                  <c:v>15.670812590705868</c:v>
                </c:pt>
                <c:pt idx="14">
                  <c:v>19.750848237559183</c:v>
                </c:pt>
                <c:pt idx="15">
                  <c:v>13.56360524909929</c:v>
                </c:pt>
                <c:pt idx="16">
                  <c:v>15.365067069137787</c:v>
                </c:pt>
                <c:pt idx="17">
                  <c:v>13.305631762511357</c:v>
                </c:pt>
                <c:pt idx="18">
                  <c:v>10.266536007418447</c:v>
                </c:pt>
                <c:pt idx="19">
                  <c:v>9.5939548158057271</c:v>
                </c:pt>
                <c:pt idx="20">
                  <c:v>8.5105469745755133</c:v>
                </c:pt>
                <c:pt idx="21">
                  <c:v>10.35553757903657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05-694B-BC87-E54EB3151AB3}"/>
            </c:ext>
          </c:extLst>
        </c:ser>
        <c:ser>
          <c:idx val="7"/>
          <c:order val="7"/>
          <c:tx>
            <c:strRef>
              <c:f>'County Real per Capita'!$A$52</c:f>
              <c:strCache>
                <c:ptCount val="1"/>
                <c:pt idx="0">
                  <c:v>Operating Transfers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cat>
            <c:strRef>
              <c:f>'County Real per Capita'!$B$44:$W$44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Capita'!$B$52:$W$52</c:f>
              <c:numCache>
                <c:formatCode>"$"#,##0.00</c:formatCode>
                <c:ptCount val="22"/>
                <c:pt idx="0">
                  <c:v>3.4895084997789656</c:v>
                </c:pt>
                <c:pt idx="1">
                  <c:v>0</c:v>
                </c:pt>
                <c:pt idx="2">
                  <c:v>3.467790758492542</c:v>
                </c:pt>
                <c:pt idx="3">
                  <c:v>1.4621951410452587</c:v>
                </c:pt>
                <c:pt idx="4">
                  <c:v>0</c:v>
                </c:pt>
                <c:pt idx="5">
                  <c:v>2.5126765053447788</c:v>
                </c:pt>
                <c:pt idx="6">
                  <c:v>14.23648462507111</c:v>
                </c:pt>
                <c:pt idx="7">
                  <c:v>13.902638061367279</c:v>
                </c:pt>
                <c:pt idx="8">
                  <c:v>19.701271357834262</c:v>
                </c:pt>
                <c:pt idx="9">
                  <c:v>13.250669090404006</c:v>
                </c:pt>
                <c:pt idx="10">
                  <c:v>5.7203441714891241</c:v>
                </c:pt>
                <c:pt idx="11">
                  <c:v>4.8098591894322675</c:v>
                </c:pt>
                <c:pt idx="12">
                  <c:v>9.2030212064814325</c:v>
                </c:pt>
                <c:pt idx="13">
                  <c:v>4.6674321779532519</c:v>
                </c:pt>
                <c:pt idx="14">
                  <c:v>2.9536725345023842</c:v>
                </c:pt>
                <c:pt idx="15">
                  <c:v>4.6627358907602865</c:v>
                </c:pt>
                <c:pt idx="16">
                  <c:v>4.5680329765405716</c:v>
                </c:pt>
                <c:pt idx="17">
                  <c:v>5.3612968703939528</c:v>
                </c:pt>
                <c:pt idx="18">
                  <c:v>5.4443456570323532</c:v>
                </c:pt>
                <c:pt idx="19">
                  <c:v>2.2699754403691341</c:v>
                </c:pt>
                <c:pt idx="20">
                  <c:v>2.0503754604266509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05-694B-BC87-E54EB3151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6572768"/>
        <c:axId val="456571984"/>
      </c:areaChart>
      <c:catAx>
        <c:axId val="45657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456571984"/>
        <c:crosses val="autoZero"/>
        <c:auto val="1"/>
        <c:lblAlgn val="ctr"/>
        <c:lblOffset val="100"/>
        <c:noMultiLvlLbl val="0"/>
      </c:catAx>
      <c:valAx>
        <c:axId val="456571984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crossAx val="45657276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</c:legend>
    <c:plotVisOnly val="1"/>
    <c:dispBlanksAs val="zero"/>
    <c:showDLblsOverMax val="0"/>
  </c:chart>
  <c:txPr>
    <a:bodyPr/>
    <a:lstStyle/>
    <a:p>
      <a:pPr>
        <a:defRPr sz="1400" b="1"/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Real per Capita'!$A$29</c:f>
          <c:strCache>
            <c:ptCount val="1"/>
            <c:pt idx="0">
              <c:v>Adair County General Revenue Property and Sales Tax Receipts: Real per Capita 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'County Real per Capita'!$A$31</c:f>
              <c:strCache>
                <c:ptCount val="1"/>
                <c:pt idx="0">
                  <c:v>Property Tax Receipts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'County Real per Capita'!$B$30:$W$30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Capita'!$B$31:$W$31</c:f>
              <c:numCache>
                <c:formatCode>"$"#,##0.00</c:formatCode>
                <c:ptCount val="22"/>
                <c:pt idx="0">
                  <c:v>0</c:v>
                </c:pt>
                <c:pt idx="1">
                  <c:v>0.86702914787481744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E-9040-84CA-C7B29BC7648B}"/>
            </c:ext>
          </c:extLst>
        </c:ser>
        <c:ser>
          <c:idx val="1"/>
          <c:order val="1"/>
          <c:tx>
            <c:strRef>
              <c:f>'County Real per Capita'!$A$32</c:f>
              <c:strCache>
                <c:ptCount val="1"/>
                <c:pt idx="0">
                  <c:v>Sales Tax Receipts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'County Real per Capita'!$B$30:$W$30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Capita'!$B$32:$W$32</c:f>
              <c:numCache>
                <c:formatCode>"$"#,##0.00</c:formatCode>
                <c:ptCount val="22"/>
                <c:pt idx="0">
                  <c:v>46.520290961700759</c:v>
                </c:pt>
                <c:pt idx="1">
                  <c:v>45.085515689490506</c:v>
                </c:pt>
                <c:pt idx="2">
                  <c:v>43.445249403235913</c:v>
                </c:pt>
                <c:pt idx="3">
                  <c:v>44.462577029813453</c:v>
                </c:pt>
                <c:pt idx="4">
                  <c:v>47.317502930959435</c:v>
                </c:pt>
                <c:pt idx="5">
                  <c:v>46.681206249159452</c:v>
                </c:pt>
                <c:pt idx="6">
                  <c:v>49.134361018791878</c:v>
                </c:pt>
                <c:pt idx="7">
                  <c:v>43.41191025269756</c:v>
                </c:pt>
                <c:pt idx="8">
                  <c:v>43.150552737224842</c:v>
                </c:pt>
                <c:pt idx="9">
                  <c:v>42.223317572037821</c:v>
                </c:pt>
                <c:pt idx="10">
                  <c:v>41.690306792669467</c:v>
                </c:pt>
                <c:pt idx="11">
                  <c:v>43.722078831776606</c:v>
                </c:pt>
                <c:pt idx="12">
                  <c:v>38.836748550202621</c:v>
                </c:pt>
                <c:pt idx="13">
                  <c:v>38.869760410687086</c:v>
                </c:pt>
                <c:pt idx="14">
                  <c:v>37.762945592828871</c:v>
                </c:pt>
                <c:pt idx="15">
                  <c:v>37.70040291634227</c:v>
                </c:pt>
                <c:pt idx="16">
                  <c:v>36.145409595748902</c:v>
                </c:pt>
                <c:pt idx="17">
                  <c:v>36.596441156558328</c:v>
                </c:pt>
                <c:pt idx="18">
                  <c:v>37.689009144765329</c:v>
                </c:pt>
                <c:pt idx="19">
                  <c:v>38.317281816345407</c:v>
                </c:pt>
                <c:pt idx="20">
                  <c:v>38.300050406744724</c:v>
                </c:pt>
                <c:pt idx="21">
                  <c:v>37.400975125305308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E-9040-84CA-C7B29BC76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6570808"/>
        <c:axId val="456576296"/>
      </c:lineChart>
      <c:catAx>
        <c:axId val="45657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56576296"/>
        <c:crosses val="autoZero"/>
        <c:auto val="1"/>
        <c:lblAlgn val="ctr"/>
        <c:lblOffset val="100"/>
        <c:noMultiLvlLbl val="0"/>
      </c:catAx>
      <c:valAx>
        <c:axId val="456576296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56570808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Real per Capita'!$A$10</c:f>
          <c:strCache>
            <c:ptCount val="1"/>
            <c:pt idx="0">
              <c:v>Adair County Population 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'County Real per Capita'!$A$12</c:f>
              <c:strCache>
                <c:ptCount val="1"/>
                <c:pt idx="0">
                  <c:v>Population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'County Real per Capita'!$B$11:$W$11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Capita'!$B$12:$W$12</c:f>
              <c:numCache>
                <c:formatCode>#,##0</c:formatCode>
                <c:ptCount val="22"/>
                <c:pt idx="0">
                  <c:v>24883</c:v>
                </c:pt>
                <c:pt idx="1">
                  <c:v>24871</c:v>
                </c:pt>
                <c:pt idx="2">
                  <c:v>24887</c:v>
                </c:pt>
                <c:pt idx="3">
                  <c:v>24961</c:v>
                </c:pt>
                <c:pt idx="4">
                  <c:v>24956</c:v>
                </c:pt>
                <c:pt idx="5">
                  <c:v>24967</c:v>
                </c:pt>
                <c:pt idx="6">
                  <c:v>25072</c:v>
                </c:pt>
                <c:pt idx="7">
                  <c:v>24958</c:v>
                </c:pt>
                <c:pt idx="8">
                  <c:v>24988</c:v>
                </c:pt>
                <c:pt idx="9">
                  <c:v>24849</c:v>
                </c:pt>
                <c:pt idx="10">
                  <c:v>25007</c:v>
                </c:pt>
                <c:pt idx="11">
                  <c:v>24983</c:v>
                </c:pt>
                <c:pt idx="12">
                  <c:v>25399</c:v>
                </c:pt>
                <c:pt idx="13">
                  <c:v>25577</c:v>
                </c:pt>
                <c:pt idx="14">
                  <c:v>25597</c:v>
                </c:pt>
                <c:pt idx="15">
                  <c:v>25556</c:v>
                </c:pt>
                <c:pt idx="16">
                  <c:v>25581</c:v>
                </c:pt>
                <c:pt idx="17">
                  <c:v>25572</c:v>
                </c:pt>
                <c:pt idx="18">
                  <c:v>25564</c:v>
                </c:pt>
                <c:pt idx="19">
                  <c:v>25430</c:v>
                </c:pt>
                <c:pt idx="20">
                  <c:v>25359</c:v>
                </c:pt>
                <c:pt idx="21">
                  <c:v>25377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2-3843-A42B-648F8DFA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6574728"/>
        <c:axId val="456573160"/>
      </c:lineChart>
      <c:catAx>
        <c:axId val="45657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56573160"/>
        <c:crosses val="autoZero"/>
        <c:auto val="1"/>
        <c:lblAlgn val="ctr"/>
        <c:lblOffset val="100"/>
        <c:noMultiLvlLbl val="0"/>
      </c:catAx>
      <c:valAx>
        <c:axId val="4565731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5657472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Real per Capita'!$A$14</c:f>
          <c:strCache>
            <c:ptCount val="1"/>
            <c:pt idx="0">
              <c:v>Adair County Real per Capita Income 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'County Real per Capita'!$A$16</c:f>
              <c:strCache>
                <c:ptCount val="1"/>
                <c:pt idx="0">
                  <c:v>Real per Capita Income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'County Real per Capita'!$B$15:$W$15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Capita'!$B$16:$W$16</c:f>
              <c:numCache>
                <c:formatCode>"$"#,##0</c:formatCode>
                <c:ptCount val="22"/>
                <c:pt idx="0">
                  <c:v>17519.913193746735</c:v>
                </c:pt>
                <c:pt idx="1">
                  <c:v>18009.953340545624</c:v>
                </c:pt>
                <c:pt idx="2">
                  <c:v>18058.475499441527</c:v>
                </c:pt>
                <c:pt idx="3">
                  <c:v>18298.335511441066</c:v>
                </c:pt>
                <c:pt idx="4">
                  <c:v>18849.987057360329</c:v>
                </c:pt>
                <c:pt idx="5">
                  <c:v>19064.373103496051</c:v>
                </c:pt>
                <c:pt idx="6">
                  <c:v>18512.828379447845</c:v>
                </c:pt>
                <c:pt idx="7">
                  <c:v>18468.038326127025</c:v>
                </c:pt>
                <c:pt idx="8">
                  <c:v>18844.786672827948</c:v>
                </c:pt>
                <c:pt idx="9">
                  <c:v>18889.293235906778</c:v>
                </c:pt>
                <c:pt idx="10">
                  <c:v>18956.804237670596</c:v>
                </c:pt>
                <c:pt idx="11">
                  <c:v>19427.184788981449</c:v>
                </c:pt>
                <c:pt idx="12">
                  <c:v>19811.818005880839</c:v>
                </c:pt>
                <c:pt idx="13">
                  <c:v>20570.68787126978</c:v>
                </c:pt>
                <c:pt idx="14">
                  <c:v>19801.417420731243</c:v>
                </c:pt>
                <c:pt idx="15">
                  <c:v>20039.768371950286</c:v>
                </c:pt>
                <c:pt idx="16">
                  <c:v>20199.668053504647</c:v>
                </c:pt>
                <c:pt idx="17">
                  <c:v>20625.212087819978</c:v>
                </c:pt>
                <c:pt idx="18">
                  <c:v>19594.562346615272</c:v>
                </c:pt>
                <c:pt idx="19">
                  <c:v>19942.817599818718</c:v>
                </c:pt>
                <c:pt idx="20">
                  <c:v>19727.727478724195</c:v>
                </c:pt>
                <c:pt idx="21">
                  <c:v>20506.990966563644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A-C846-A90B-09C36C182283}"/>
            </c:ext>
          </c:extLst>
        </c:ser>
        <c:ser>
          <c:idx val="1"/>
          <c:order val="1"/>
          <c:tx>
            <c:strRef>
              <c:f>'County Real per Capita'!$A$17</c:f>
              <c:strCache>
                <c:ptCount val="1"/>
                <c:pt idx="0">
                  <c:v>Per Capita Income</c:v>
                </c:pt>
              </c:strCache>
            </c:strRef>
          </c:tx>
          <c:marker>
            <c:symbol val="none"/>
          </c:marker>
          <c:cat>
            <c:strRef>
              <c:f>'County Real per Capita'!$B$15:$W$15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Real per Capita'!$B$17:$W$17</c:f>
              <c:numCache>
                <c:formatCode>"$"#,##0</c:formatCode>
                <c:ptCount val="22"/>
                <c:pt idx="0">
                  <c:v>17519.913193746735</c:v>
                </c:pt>
                <c:pt idx="1">
                  <c:v>18423.183627517992</c:v>
                </c:pt>
                <c:pt idx="2">
                  <c:v>18760.557720898461</c:v>
                </c:pt>
                <c:pt idx="3">
                  <c:v>19429.590160650616</c:v>
                </c:pt>
                <c:pt idx="4">
                  <c:v>20688.131110754926</c:v>
                </c:pt>
                <c:pt idx="5">
                  <c:v>21518.804822365521</c:v>
                </c:pt>
                <c:pt idx="6">
                  <c:v>21226.627313337587</c:v>
                </c:pt>
                <c:pt idx="7">
                  <c:v>21657.86521355878</c:v>
                </c:pt>
                <c:pt idx="8">
                  <c:v>22688.210340963666</c:v>
                </c:pt>
                <c:pt idx="9">
                  <c:v>23512.294257314177</c:v>
                </c:pt>
                <c:pt idx="10">
                  <c:v>24357.499900027993</c:v>
                </c:pt>
                <c:pt idx="11">
                  <c:v>25672.857543129328</c:v>
                </c:pt>
                <c:pt idx="12">
                  <c:v>27186.385290759477</c:v>
                </c:pt>
                <c:pt idx="13">
                  <c:v>28127.301872776323</c:v>
                </c:pt>
                <c:pt idx="14">
                  <c:v>27519.553072625698</c:v>
                </c:pt>
                <c:pt idx="15">
                  <c:v>28729.926436061982</c:v>
                </c:pt>
                <c:pt idx="16">
                  <c:v>29558.461358039171</c:v>
                </c:pt>
                <c:pt idx="17">
                  <c:v>31120.0140778977</c:v>
                </c:pt>
                <c:pt idx="18">
                  <c:v>29564.935064935064</c:v>
                </c:pt>
                <c:pt idx="19">
                  <c:v>30126.11089264648</c:v>
                </c:pt>
                <c:pt idx="20">
                  <c:v>30177.136322410188</c:v>
                </c:pt>
                <c:pt idx="21">
                  <c:v>32037.435473066162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A-C846-A90B-09C36C182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6576688"/>
        <c:axId val="456575512"/>
      </c:lineChart>
      <c:catAx>
        <c:axId val="4565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56575512"/>
        <c:crosses val="autoZero"/>
        <c:auto val="1"/>
        <c:lblAlgn val="ctr"/>
        <c:lblOffset val="100"/>
        <c:noMultiLvlLbl val="0"/>
      </c:catAx>
      <c:valAx>
        <c:axId val="45657551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5657668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Budget Trends'!$A$36</c:f>
          <c:strCache>
            <c:ptCount val="1"/>
            <c:pt idx="0">
              <c:v>Douglas County General Revenue Cash Balance </c:v>
            </c:pt>
          </c:strCache>
        </c:strRef>
      </c:tx>
      <c:layout>
        <c:manualLayout>
          <c:xMode val="edge"/>
          <c:yMode val="edge"/>
          <c:x val="0.17377745831563601"/>
          <c:y val="2.75862142998995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332011157536"/>
          <c:y val="0.13098864983014299"/>
          <c:w val="0.81690707435890098"/>
          <c:h val="0.641480634177513"/>
        </c:manualLayout>
      </c:layout>
      <c:lineChart>
        <c:grouping val="standard"/>
        <c:varyColors val="0"/>
        <c:ser>
          <c:idx val="0"/>
          <c:order val="0"/>
          <c:tx>
            <c:strRef>
              <c:f>'County Budget Trends'!$A$38</c:f>
              <c:strCache>
                <c:ptCount val="1"/>
                <c:pt idx="0">
                  <c:v>Cash Balance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'County Budget Trends'!$F$37:$W$37</c:f>
              <c:strCach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strCache>
            </c:strRef>
          </c:cat>
          <c:val>
            <c:numRef>
              <c:f>'County Budget Trends'!$F$38:$W$38</c:f>
              <c:numCache>
                <c:formatCode>"$"#,##0</c:formatCode>
                <c:ptCount val="18"/>
                <c:pt idx="0">
                  <c:v>405225</c:v>
                </c:pt>
                <c:pt idx="1">
                  <c:v>391911</c:v>
                </c:pt>
                <c:pt idx="2">
                  <c:v>305497</c:v>
                </c:pt>
                <c:pt idx="3">
                  <c:v>284697</c:v>
                </c:pt>
                <c:pt idx="4">
                  <c:v>176440.11999999988</c:v>
                </c:pt>
                <c:pt idx="5">
                  <c:v>234254.93</c:v>
                </c:pt>
                <c:pt idx="6">
                  <c:v>200984.02</c:v>
                </c:pt>
                <c:pt idx="7">
                  <c:v>289080.87</c:v>
                </c:pt>
                <c:pt idx="8">
                  <c:v>244841.29</c:v>
                </c:pt>
                <c:pt idx="9">
                  <c:v>215462.25</c:v>
                </c:pt>
                <c:pt idx="10">
                  <c:v>179507.8</c:v>
                </c:pt>
                <c:pt idx="11">
                  <c:v>133803.22</c:v>
                </c:pt>
                <c:pt idx="12">
                  <c:v>116314.67</c:v>
                </c:pt>
                <c:pt idx="13">
                  <c:v>205501.97</c:v>
                </c:pt>
                <c:pt idx="14">
                  <c:v>309453.48</c:v>
                </c:pt>
                <c:pt idx="15">
                  <c:v>354764.99</c:v>
                </c:pt>
                <c:pt idx="16">
                  <c:v>321768.60999999987</c:v>
                </c:pt>
                <c:pt idx="17">
                  <c:v>154928.64999999991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5-1E4C-BDD9-FEE84632C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275672"/>
        <c:axId val="451268224"/>
      </c:lineChart>
      <c:catAx>
        <c:axId val="451275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26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268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2756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813288044043401"/>
          <c:y val="0.90388728569003496"/>
          <c:w val="0.667012785985306"/>
          <c:h val="8.38447482201165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'!$A$57</c:f>
          <c:strCache>
            <c:ptCount val="1"/>
            <c:pt idx="0">
              <c:v>Adair County and Andrew County General Revenue Cash Balance</c:v>
            </c:pt>
          </c:strCache>
        </c:strRef>
      </c:tx>
      <c:layout>
        <c:manualLayout>
          <c:xMode val="edge"/>
          <c:yMode val="edge"/>
          <c:x val="0.12953278661744"/>
          <c:y val="2.75861671137275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332011157536"/>
          <c:y val="0.14704216153583999"/>
          <c:w val="0.83159767723335198"/>
          <c:h val="0.64509816272965903"/>
        </c:manualLayout>
      </c:layout>
      <c:lineChart>
        <c:grouping val="standard"/>
        <c:varyColors val="0"/>
        <c:ser>
          <c:idx val="0"/>
          <c:order val="0"/>
          <c:tx>
            <c:strRef>
              <c:f>'County-to-County Budget Trends '!$A$59</c:f>
              <c:strCache>
                <c:ptCount val="1"/>
                <c:pt idx="0">
                  <c:v>Adair County General Revenue Cash Balance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'County-to-County Budget Trends '!$B$58:$W$58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'!$B$59:$W$59</c:f>
              <c:numCache>
                <c:formatCode>"$"#,##0</c:formatCode>
                <c:ptCount val="22"/>
                <c:pt idx="0">
                  <c:v>16607</c:v>
                </c:pt>
                <c:pt idx="1">
                  <c:v>15606</c:v>
                </c:pt>
                <c:pt idx="2">
                  <c:v>63088</c:v>
                </c:pt>
                <c:pt idx="3">
                  <c:v>26504</c:v>
                </c:pt>
                <c:pt idx="4">
                  <c:v>240940</c:v>
                </c:pt>
                <c:pt idx="5">
                  <c:v>348207</c:v>
                </c:pt>
                <c:pt idx="6">
                  <c:v>444284</c:v>
                </c:pt>
                <c:pt idx="7">
                  <c:v>493392</c:v>
                </c:pt>
                <c:pt idx="8">
                  <c:v>233655.09000000032</c:v>
                </c:pt>
                <c:pt idx="9">
                  <c:v>291937.27</c:v>
                </c:pt>
                <c:pt idx="10">
                  <c:v>499610.88</c:v>
                </c:pt>
                <c:pt idx="11">
                  <c:v>866092.45</c:v>
                </c:pt>
                <c:pt idx="12">
                  <c:v>712960.75</c:v>
                </c:pt>
                <c:pt idx="13">
                  <c:v>1091265.3899999999</c:v>
                </c:pt>
                <c:pt idx="14">
                  <c:v>1168739.01</c:v>
                </c:pt>
                <c:pt idx="15">
                  <c:v>1361010.42</c:v>
                </c:pt>
                <c:pt idx="16">
                  <c:v>1234282.3400000001</c:v>
                </c:pt>
                <c:pt idx="17">
                  <c:v>999189.83</c:v>
                </c:pt>
                <c:pt idx="18">
                  <c:v>1171766.48</c:v>
                </c:pt>
                <c:pt idx="19">
                  <c:v>764725.1</c:v>
                </c:pt>
                <c:pt idx="20">
                  <c:v>610035.25</c:v>
                </c:pt>
                <c:pt idx="21">
                  <c:v>68821.810000000056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B-424E-93C3-6186BA2F98A4}"/>
            </c:ext>
          </c:extLst>
        </c:ser>
        <c:ser>
          <c:idx val="1"/>
          <c:order val="1"/>
          <c:tx>
            <c:strRef>
              <c:f>'County-to-County Budget Trends '!$A$60</c:f>
              <c:strCache>
                <c:ptCount val="1"/>
                <c:pt idx="0">
                  <c:v>Andrew County General Revenue Cash Balance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triangle"/>
            <c:size val="9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strRef>
              <c:f>'County-to-County Budget Trends '!$B$58:$W$58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'!$B$60:$W$60</c:f>
              <c:numCache>
                <c:formatCode>"$"#,##0</c:formatCode>
                <c:ptCount val="22"/>
                <c:pt idx="0">
                  <c:v>548299</c:v>
                </c:pt>
                <c:pt idx="1">
                  <c:v>780700</c:v>
                </c:pt>
                <c:pt idx="2">
                  <c:v>1115592</c:v>
                </c:pt>
                <c:pt idx="3">
                  <c:v>1264998</c:v>
                </c:pt>
                <c:pt idx="4">
                  <c:v>1326837</c:v>
                </c:pt>
                <c:pt idx="5">
                  <c:v>1319696</c:v>
                </c:pt>
                <c:pt idx="6">
                  <c:v>1334449</c:v>
                </c:pt>
                <c:pt idx="7">
                  <c:v>1490228</c:v>
                </c:pt>
                <c:pt idx="8">
                  <c:v>1742250</c:v>
                </c:pt>
                <c:pt idx="9">
                  <c:v>1611262</c:v>
                </c:pt>
                <c:pt idx="10">
                  <c:v>1384700.36</c:v>
                </c:pt>
                <c:pt idx="11">
                  <c:v>1144283</c:v>
                </c:pt>
                <c:pt idx="12">
                  <c:v>1278772</c:v>
                </c:pt>
                <c:pt idx="13">
                  <c:v>1133844</c:v>
                </c:pt>
                <c:pt idx="14">
                  <c:v>536944</c:v>
                </c:pt>
                <c:pt idx="15">
                  <c:v>539927</c:v>
                </c:pt>
                <c:pt idx="16">
                  <c:v>520125</c:v>
                </c:pt>
                <c:pt idx="17">
                  <c:v>223375</c:v>
                </c:pt>
                <c:pt idx="18">
                  <c:v>480403</c:v>
                </c:pt>
                <c:pt idx="19">
                  <c:v>508712</c:v>
                </c:pt>
                <c:pt idx="20">
                  <c:v>314123</c:v>
                </c:pt>
                <c:pt idx="21">
                  <c:v>3537.4300000001676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B-424E-93C3-6186BA2F9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6571592"/>
        <c:axId val="456573552"/>
      </c:lineChart>
      <c:catAx>
        <c:axId val="45657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7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57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65715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725388601036301E-2"/>
          <c:y val="0.91995216250142597"/>
          <c:w val="0.97512953367882005"/>
          <c:h val="7.45432386169120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'!$A$10</c:f>
          <c:strCache>
            <c:ptCount val="1"/>
            <c:pt idx="0">
              <c:v>Adair County 2017 General Revenue Receipts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907742410623402E-2"/>
          <c:y val="0.188491176468151"/>
          <c:w val="0.59853018781038803"/>
          <c:h val="0.646506160990725"/>
        </c:manualLayout>
      </c:layout>
      <c:pie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5F-CA42-938C-E77A1BE3BC55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5F-CA42-938C-E77A1BE3BC55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5F-CA42-938C-E77A1BE3BC55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5F-CA42-938C-E77A1BE3BC55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5F-CA42-938C-E77A1BE3BC55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5F-CA42-938C-E77A1BE3BC5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'County-to-County Budget Trends '!$A$12:$A$17</c:f>
              <c:strCache>
                <c:ptCount val="6"/>
                <c:pt idx="0">
                  <c:v>Property Tax</c:v>
                </c:pt>
                <c:pt idx="1">
                  <c:v>Sales Tax</c:v>
                </c:pt>
                <c:pt idx="2">
                  <c:v>Intergovernmental</c:v>
                </c:pt>
                <c:pt idx="3">
                  <c:v>Charges for Services</c:v>
                </c:pt>
                <c:pt idx="4">
                  <c:v>Interest</c:v>
                </c:pt>
                <c:pt idx="5">
                  <c:v>Other</c:v>
                </c:pt>
              </c:strCache>
            </c:strRef>
          </c:cat>
          <c:val>
            <c:numRef>
              <c:f>'County-to-County Budget Trends '!$B$12:$B$17</c:f>
              <c:numCache>
                <c:formatCode>"$"#,##0</c:formatCode>
                <c:ptCount val="6"/>
                <c:pt idx="0">
                  <c:v>0</c:v>
                </c:pt>
                <c:pt idx="1">
                  <c:v>1600000</c:v>
                </c:pt>
                <c:pt idx="2">
                  <c:v>123733.45999999999</c:v>
                </c:pt>
                <c:pt idx="3">
                  <c:v>378320</c:v>
                </c:pt>
                <c:pt idx="4">
                  <c:v>6000</c:v>
                </c:pt>
                <c:pt idx="5">
                  <c:v>113907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5F-CA42-938C-E77A1BE3BC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847087826925703"/>
          <c:y val="0.23446217085100601"/>
          <c:w val="0.26099790904229597"/>
          <c:h val="0.56840024775219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'!$A$19</c:f>
          <c:strCache>
            <c:ptCount val="1"/>
            <c:pt idx="0">
              <c:v>Andrew County 2017 General Revenue Receipts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24866148970996E-2"/>
          <c:y val="0.17612789501648499"/>
          <c:w val="0.62629730466336897"/>
          <c:h val="0.67688512004461199"/>
        </c:manualLayout>
      </c:layout>
      <c:pie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0C-F646-A842-2D9353485ECC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0C-F646-A842-2D9353485ECC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0C-F646-A842-2D9353485ECC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0C-F646-A842-2D9353485ECC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0C-F646-A842-2D9353485ECC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C0C-F646-A842-2D9353485E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'County-to-County Budget Trends '!$A$21:$A$26</c:f>
              <c:strCache>
                <c:ptCount val="6"/>
                <c:pt idx="0">
                  <c:v>Property Tax</c:v>
                </c:pt>
                <c:pt idx="1">
                  <c:v>Sales Tax</c:v>
                </c:pt>
                <c:pt idx="2">
                  <c:v>Intergovernmental</c:v>
                </c:pt>
                <c:pt idx="3">
                  <c:v>Charges for Services</c:v>
                </c:pt>
                <c:pt idx="4">
                  <c:v>Interest</c:v>
                </c:pt>
                <c:pt idx="5">
                  <c:v>Other</c:v>
                </c:pt>
              </c:strCache>
            </c:strRef>
          </c:cat>
          <c:val>
            <c:numRef>
              <c:f>'County-to-County Budget Trends '!$B$21:$B$26</c:f>
              <c:numCache>
                <c:formatCode>"$"#,##0</c:formatCode>
                <c:ptCount val="6"/>
                <c:pt idx="0">
                  <c:v>640000</c:v>
                </c:pt>
                <c:pt idx="1">
                  <c:v>550000</c:v>
                </c:pt>
                <c:pt idx="2">
                  <c:v>176506</c:v>
                </c:pt>
                <c:pt idx="3">
                  <c:v>466585</c:v>
                </c:pt>
                <c:pt idx="4">
                  <c:v>700</c:v>
                </c:pt>
                <c:pt idx="5">
                  <c:v>530125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0C-F646-A842-2D9353485E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750075022455897"/>
          <c:y val="0.232954976316466"/>
          <c:w val="0.23229190296621"/>
          <c:h val="0.465909952632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'!$A$39</c:f>
          <c:strCache>
            <c:ptCount val="1"/>
            <c:pt idx="0">
              <c:v>Andrew County 2017 General Revenue Expenditures</c:v>
            </c:pt>
          </c:strCache>
        </c:strRef>
      </c:tx>
      <c:layout>
        <c:manualLayout>
          <c:xMode val="edge"/>
          <c:yMode val="edge"/>
          <c:x val="0.17377747489593801"/>
          <c:y val="2.758634412575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111442570953399E-2"/>
          <c:y val="0.18960957892500699"/>
          <c:w val="0.64444425628163704"/>
          <c:h val="0.67222434300090095"/>
        </c:manualLayout>
      </c:layout>
      <c:pieChart>
        <c:varyColors val="1"/>
        <c:ser>
          <c:idx val="0"/>
          <c:order val="0"/>
          <c:tx>
            <c:strRef>
              <c:f>'County-to-County Budget Trends '!$B$40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02-2240-A57A-FD1A072311EB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A02-2240-A57A-FD1A072311EB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A02-2240-A57A-FD1A072311EB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A02-2240-A57A-FD1A072311EB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A02-2240-A57A-FD1A072311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A02-2240-A57A-FD1A072311EB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A02-2240-A57A-FD1A072311EB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A02-2240-A57A-FD1A072311E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'County-to-County Budget Trends '!$A$41:$A$50</c:f>
              <c:strCache>
                <c:ptCount val="10"/>
                <c:pt idx="0">
                  <c:v>General Government</c:v>
                </c:pt>
                <c:pt idx="1">
                  <c:v>Law Enforcement</c:v>
                </c:pt>
                <c:pt idx="2">
                  <c:v>Court</c:v>
                </c:pt>
                <c:pt idx="3">
                  <c:v>Fringe Benefits</c:v>
                </c:pt>
                <c:pt idx="4">
                  <c:v>Prosecuting Attorney</c:v>
                </c:pt>
                <c:pt idx="5">
                  <c:v>Public Administrator and Coroner</c:v>
                </c:pt>
                <c:pt idx="6">
                  <c:v>Health and Welfare and "Other"</c:v>
                </c:pt>
                <c:pt idx="7">
                  <c:v>Operating Transfers</c:v>
                </c:pt>
                <c:pt idx="9">
                  <c:v>Adair and Andrew County General Revenue Receipts and Expenditures </c:v>
                </c:pt>
              </c:strCache>
            </c:strRef>
          </c:cat>
          <c:val>
            <c:numRef>
              <c:f>'County-to-County Budget Trends '!$B$41:$B$50</c:f>
              <c:numCache>
                <c:formatCode>"$"#,##0</c:formatCode>
                <c:ptCount val="10"/>
                <c:pt idx="0">
                  <c:v>544572</c:v>
                </c:pt>
                <c:pt idx="1">
                  <c:v>0</c:v>
                </c:pt>
                <c:pt idx="2">
                  <c:v>169881</c:v>
                </c:pt>
                <c:pt idx="3">
                  <c:v>244102.57</c:v>
                </c:pt>
                <c:pt idx="4">
                  <c:v>153200</c:v>
                </c:pt>
                <c:pt idx="5">
                  <c:v>57380</c:v>
                </c:pt>
                <c:pt idx="6">
                  <c:v>748708</c:v>
                </c:pt>
                <c:pt idx="7">
                  <c:v>1012020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A02-2240-A57A-FD1A072311E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741397288842601"/>
          <c:y val="0.202166064981949"/>
          <c:w val="0.27111574556829998"/>
          <c:h val="0.635379061371841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'!$A$50</c:f>
          <c:strCache>
            <c:ptCount val="1"/>
            <c:pt idx="0">
              <c:v>Adair and Andrew County General Revenue Receipts and Expenditures </c:v>
            </c:pt>
          </c:strCache>
        </c:strRef>
      </c:tx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777660440223"/>
          <c:y val="0.147803767176167"/>
          <c:w val="0.80602149835005499"/>
          <c:h val="0.56623929862170397"/>
        </c:manualLayout>
      </c:layout>
      <c:lineChart>
        <c:grouping val="standard"/>
        <c:varyColors val="0"/>
        <c:ser>
          <c:idx val="0"/>
          <c:order val="0"/>
          <c:tx>
            <c:strRef>
              <c:f>'County-to-County Budget Trends '!$A$52</c:f>
              <c:strCache>
                <c:ptCount val="1"/>
                <c:pt idx="0">
                  <c:v>Adair County General Revenue Receipts</c:v>
                </c:pt>
              </c:strCache>
            </c:strRef>
          </c:tx>
          <c:spPr>
            <a:ln w="381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strRef>
              <c:f>'County-to-County Budget Trends 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'!$B$52:$W$52</c:f>
              <c:numCache>
                <c:formatCode>"$"#,##0</c:formatCode>
                <c:ptCount val="22"/>
                <c:pt idx="0">
                  <c:v>1929274</c:v>
                </c:pt>
                <c:pt idx="1">
                  <c:v>2216684</c:v>
                </c:pt>
                <c:pt idx="2">
                  <c:v>1812391</c:v>
                </c:pt>
                <c:pt idx="3">
                  <c:v>1879458</c:v>
                </c:pt>
                <c:pt idx="4">
                  <c:v>1973731</c:v>
                </c:pt>
                <c:pt idx="5">
                  <c:v>1853332</c:v>
                </c:pt>
                <c:pt idx="6">
                  <c:v>2002546</c:v>
                </c:pt>
                <c:pt idx="7">
                  <c:v>2552892</c:v>
                </c:pt>
                <c:pt idx="8">
                  <c:v>1886382.96</c:v>
                </c:pt>
                <c:pt idx="9">
                  <c:v>1944954.2</c:v>
                </c:pt>
                <c:pt idx="10">
                  <c:v>2033159.08</c:v>
                </c:pt>
                <c:pt idx="11">
                  <c:v>2093692.57</c:v>
                </c:pt>
                <c:pt idx="12">
                  <c:v>2199652.08</c:v>
                </c:pt>
                <c:pt idx="13">
                  <c:v>2445246.61</c:v>
                </c:pt>
                <c:pt idx="14">
                  <c:v>2500342.5300000003</c:v>
                </c:pt>
                <c:pt idx="15">
                  <c:v>2400180.0300000003</c:v>
                </c:pt>
                <c:pt idx="16">
                  <c:v>2433364.4699999997</c:v>
                </c:pt>
                <c:pt idx="17">
                  <c:v>2309059.98</c:v>
                </c:pt>
                <c:pt idx="18">
                  <c:v>2611158</c:v>
                </c:pt>
                <c:pt idx="19">
                  <c:v>2339358.9900000002</c:v>
                </c:pt>
                <c:pt idx="20">
                  <c:v>2233183.7200000002</c:v>
                </c:pt>
                <c:pt idx="21">
                  <c:v>2247960.46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8-CB41-9030-AA30A9D6DF69}"/>
            </c:ext>
          </c:extLst>
        </c:ser>
        <c:ser>
          <c:idx val="1"/>
          <c:order val="1"/>
          <c:tx>
            <c:strRef>
              <c:f>'County-to-County Budget Trends '!$A$53</c:f>
              <c:strCache>
                <c:ptCount val="1"/>
                <c:pt idx="0">
                  <c:v>Adair County General Revenue Expenditures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'County-to-County Budget Trends 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'!$B$53:$W$53</c:f>
              <c:numCache>
                <c:formatCode>"$"#,##0</c:formatCode>
                <c:ptCount val="22"/>
                <c:pt idx="0">
                  <c:v>2170736</c:v>
                </c:pt>
                <c:pt idx="1">
                  <c:v>2217685</c:v>
                </c:pt>
                <c:pt idx="2">
                  <c:v>1764909</c:v>
                </c:pt>
                <c:pt idx="3">
                  <c:v>1916042</c:v>
                </c:pt>
                <c:pt idx="4">
                  <c:v>1759295</c:v>
                </c:pt>
                <c:pt idx="5">
                  <c:v>1745765</c:v>
                </c:pt>
                <c:pt idx="6">
                  <c:v>1906469</c:v>
                </c:pt>
                <c:pt idx="7">
                  <c:v>2503784</c:v>
                </c:pt>
                <c:pt idx="8">
                  <c:v>2146418.5699999998</c:v>
                </c:pt>
                <c:pt idx="9">
                  <c:v>1886672.02</c:v>
                </c:pt>
                <c:pt idx="10">
                  <c:v>1825485.4699999997</c:v>
                </c:pt>
                <c:pt idx="11">
                  <c:v>1727211</c:v>
                </c:pt>
                <c:pt idx="12">
                  <c:v>2352433.7800000003</c:v>
                </c:pt>
                <c:pt idx="13">
                  <c:v>2066941.9699999997</c:v>
                </c:pt>
                <c:pt idx="14">
                  <c:v>2422868.91</c:v>
                </c:pt>
                <c:pt idx="15">
                  <c:v>2207908.62</c:v>
                </c:pt>
                <c:pt idx="16">
                  <c:v>2560092.5499999998</c:v>
                </c:pt>
                <c:pt idx="17">
                  <c:v>2544152.4900000002</c:v>
                </c:pt>
                <c:pt idx="18">
                  <c:v>2506524.35</c:v>
                </c:pt>
                <c:pt idx="19">
                  <c:v>2746400.37</c:v>
                </c:pt>
                <c:pt idx="20">
                  <c:v>2387873.5700000003</c:v>
                </c:pt>
                <c:pt idx="21">
                  <c:v>2789173.9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8-CB41-9030-AA30A9D6DF69}"/>
            </c:ext>
          </c:extLst>
        </c:ser>
        <c:ser>
          <c:idx val="2"/>
          <c:order val="2"/>
          <c:tx>
            <c:strRef>
              <c:f>'County-to-County Budget Trends '!$A$54</c:f>
              <c:strCache>
                <c:ptCount val="1"/>
                <c:pt idx="0">
                  <c:v>Andrew County General Revenue Receipts</c:v>
                </c:pt>
              </c:strCache>
            </c:strRef>
          </c:tx>
          <c:spPr>
            <a:ln w="38100">
              <a:solidFill>
                <a:srgbClr val="0000CC"/>
              </a:solidFill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cat>
            <c:strRef>
              <c:f>'County-to-County Budget Trends 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'!$B$54:$W$54</c:f>
              <c:numCache>
                <c:formatCode>"$"#,##0</c:formatCode>
                <c:ptCount val="22"/>
                <c:pt idx="0">
                  <c:v>909768</c:v>
                </c:pt>
                <c:pt idx="1">
                  <c:v>1048596</c:v>
                </c:pt>
                <c:pt idx="2">
                  <c:v>1097799</c:v>
                </c:pt>
                <c:pt idx="3">
                  <c:v>1124138</c:v>
                </c:pt>
                <c:pt idx="4">
                  <c:v>1117912</c:v>
                </c:pt>
                <c:pt idx="5">
                  <c:v>1161186</c:v>
                </c:pt>
                <c:pt idx="6">
                  <c:v>1385255</c:v>
                </c:pt>
                <c:pt idx="7">
                  <c:v>2114975</c:v>
                </c:pt>
                <c:pt idx="8">
                  <c:v>1621798</c:v>
                </c:pt>
                <c:pt idx="9">
                  <c:v>1595125</c:v>
                </c:pt>
                <c:pt idx="10">
                  <c:v>1654294</c:v>
                </c:pt>
                <c:pt idx="11">
                  <c:v>1530472</c:v>
                </c:pt>
                <c:pt idx="12">
                  <c:v>2289489</c:v>
                </c:pt>
                <c:pt idx="13">
                  <c:v>1884370</c:v>
                </c:pt>
                <c:pt idx="14">
                  <c:v>2119728</c:v>
                </c:pt>
                <c:pt idx="15">
                  <c:v>2093126</c:v>
                </c:pt>
                <c:pt idx="16">
                  <c:v>2146315</c:v>
                </c:pt>
                <c:pt idx="17">
                  <c:v>2515062</c:v>
                </c:pt>
                <c:pt idx="18">
                  <c:v>2245189</c:v>
                </c:pt>
                <c:pt idx="19">
                  <c:v>2415472</c:v>
                </c:pt>
                <c:pt idx="20">
                  <c:v>2573205</c:v>
                </c:pt>
                <c:pt idx="21">
                  <c:v>2619278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8-CB41-9030-AA30A9D6DF69}"/>
            </c:ext>
          </c:extLst>
        </c:ser>
        <c:ser>
          <c:idx val="3"/>
          <c:order val="3"/>
          <c:tx>
            <c:strRef>
              <c:f>'County-to-County Budget Trends '!$A$55</c:f>
              <c:strCache>
                <c:ptCount val="1"/>
                <c:pt idx="0">
                  <c:v>Andrew County General Revenue Expenditures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strRef>
              <c:f>'County-to-County Budget Trends 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'!$B$55:$W$55</c:f>
              <c:numCache>
                <c:formatCode>"$"#,##0</c:formatCode>
                <c:ptCount val="22"/>
                <c:pt idx="0">
                  <c:v>708764</c:v>
                </c:pt>
                <c:pt idx="1">
                  <c:v>816195</c:v>
                </c:pt>
                <c:pt idx="2">
                  <c:v>827817</c:v>
                </c:pt>
                <c:pt idx="3">
                  <c:v>974732</c:v>
                </c:pt>
                <c:pt idx="4">
                  <c:v>1056073</c:v>
                </c:pt>
                <c:pt idx="5">
                  <c:v>1153863</c:v>
                </c:pt>
                <c:pt idx="6">
                  <c:v>1370502</c:v>
                </c:pt>
                <c:pt idx="7">
                  <c:v>1959196</c:v>
                </c:pt>
                <c:pt idx="8">
                  <c:v>1369776</c:v>
                </c:pt>
                <c:pt idx="9">
                  <c:v>1712275</c:v>
                </c:pt>
                <c:pt idx="10">
                  <c:v>1877954</c:v>
                </c:pt>
                <c:pt idx="11">
                  <c:v>1773128</c:v>
                </c:pt>
                <c:pt idx="12">
                  <c:v>2152520</c:v>
                </c:pt>
                <c:pt idx="13">
                  <c:v>2026665</c:v>
                </c:pt>
                <c:pt idx="14">
                  <c:v>2717394</c:v>
                </c:pt>
                <c:pt idx="15">
                  <c:v>2101408</c:v>
                </c:pt>
                <c:pt idx="16">
                  <c:v>2166417</c:v>
                </c:pt>
                <c:pt idx="17">
                  <c:v>2561808</c:v>
                </c:pt>
                <c:pt idx="18">
                  <c:v>1988159</c:v>
                </c:pt>
                <c:pt idx="19">
                  <c:v>2387171</c:v>
                </c:pt>
                <c:pt idx="20">
                  <c:v>2767791</c:v>
                </c:pt>
                <c:pt idx="21">
                  <c:v>2929863.5700000003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28-CB41-9030-AA30A9D6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54936"/>
        <c:axId val="458248272"/>
      </c:lineChart>
      <c:catAx>
        <c:axId val="45825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24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49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2046481741649509E-3"/>
          <c:y val="0.84308437885054899"/>
          <c:w val="0.987123098201936"/>
          <c:h val="0.1499348183571370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'!$A$62</c:f>
          <c:strCache>
            <c:ptCount val="1"/>
            <c:pt idx="0">
              <c:v>Adair County Detailed General Revenue Receipts</c:v>
            </c:pt>
          </c:strCache>
        </c:strRef>
      </c:tx>
      <c:layout>
        <c:manualLayout>
          <c:xMode val="edge"/>
          <c:yMode val="edge"/>
          <c:x val="0.212616985960873"/>
          <c:y val="2.694141254321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73282172777206E-2"/>
          <c:y val="0.107425495863655"/>
          <c:w val="0.86270059128920096"/>
          <c:h val="0.72682245321822503"/>
        </c:manualLayout>
      </c:layout>
      <c:areaChart>
        <c:grouping val="stacked"/>
        <c:varyColors val="0"/>
        <c:ser>
          <c:idx val="0"/>
          <c:order val="0"/>
          <c:tx>
            <c:strRef>
              <c:f>'County-to-County Budget Trends '!$A$64</c:f>
              <c:strCache>
                <c:ptCount val="1"/>
                <c:pt idx="0">
                  <c:v>Property Tax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'!$B$63:$W$63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'!$B$64:$W$64</c:f>
              <c:numCache>
                <c:formatCode>"$"#,##0</c:formatCode>
                <c:ptCount val="22"/>
                <c:pt idx="0">
                  <c:v>0</c:v>
                </c:pt>
                <c:pt idx="1">
                  <c:v>22166.84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2-5246-B57F-02021344C50C}"/>
            </c:ext>
          </c:extLst>
        </c:ser>
        <c:ser>
          <c:idx val="1"/>
          <c:order val="1"/>
          <c:tx>
            <c:strRef>
              <c:f>'County-to-County Budget Trends '!$A$65</c:f>
              <c:strCache>
                <c:ptCount val="1"/>
                <c:pt idx="0">
                  <c:v>Sales Tax</c:v>
                </c:pt>
              </c:strCache>
            </c:strRef>
          </c:tx>
          <c:spPr>
            <a:solidFill>
              <a:srgbClr val="C0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'!$B$63:$W$63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'!$B$65:$W$65</c:f>
              <c:numCache>
                <c:formatCode>"$"#,##0</c:formatCode>
                <c:ptCount val="22"/>
                <c:pt idx="0">
                  <c:v>1157564.3999999999</c:v>
                </c:pt>
                <c:pt idx="1">
                  <c:v>1152675.68</c:v>
                </c:pt>
                <c:pt idx="2">
                  <c:v>1105558.51</c:v>
                </c:pt>
                <c:pt idx="3">
                  <c:v>1165263.96</c:v>
                </c:pt>
                <c:pt idx="4">
                  <c:v>1282925.1499999999</c:v>
                </c:pt>
                <c:pt idx="5">
                  <c:v>1297332.3999999999</c:v>
                </c:pt>
                <c:pt idx="6">
                  <c:v>1381756.74</c:v>
                </c:pt>
                <c:pt idx="7">
                  <c:v>1250917.08</c:v>
                </c:pt>
                <c:pt idx="8">
                  <c:v>1304053.42</c:v>
                </c:pt>
                <c:pt idx="9">
                  <c:v>1332659.94</c:v>
                </c:pt>
                <c:pt idx="10">
                  <c:v>1381840.76</c:v>
                </c:pt>
                <c:pt idx="11">
                  <c:v>1490439.31</c:v>
                </c:pt>
                <c:pt idx="12">
                  <c:v>1427777.59</c:v>
                </c:pt>
                <c:pt idx="13">
                  <c:v>1418935.51</c:v>
                </c:pt>
                <c:pt idx="14">
                  <c:v>1422506.58</c:v>
                </c:pt>
                <c:pt idx="15">
                  <c:v>1481257.78</c:v>
                </c:pt>
                <c:pt idx="16">
                  <c:v>1452769.11</c:v>
                </c:pt>
                <c:pt idx="17">
                  <c:v>1492855.53</c:v>
                </c:pt>
                <c:pt idx="18">
                  <c:v>1569975.7</c:v>
                </c:pt>
                <c:pt idx="19">
                  <c:v>1578283.97</c:v>
                </c:pt>
                <c:pt idx="20">
                  <c:v>1587760.07</c:v>
                </c:pt>
                <c:pt idx="21">
                  <c:v>1600000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2-5246-B57F-02021344C50C}"/>
            </c:ext>
          </c:extLst>
        </c:ser>
        <c:ser>
          <c:idx val="2"/>
          <c:order val="2"/>
          <c:tx>
            <c:strRef>
              <c:f>'County-to-County Budget Trends '!$A$66</c:f>
              <c:strCache>
                <c:ptCount val="1"/>
                <c:pt idx="0">
                  <c:v>Intergovernmental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'!$B$63:$W$63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'!$B$66:$W$66</c:f>
              <c:numCache>
                <c:formatCode>"$"#,##0</c:formatCode>
                <c:ptCount val="22"/>
                <c:pt idx="0">
                  <c:v>192927.4</c:v>
                </c:pt>
                <c:pt idx="1">
                  <c:v>310335.76</c:v>
                </c:pt>
                <c:pt idx="2">
                  <c:v>199363.01</c:v>
                </c:pt>
                <c:pt idx="3">
                  <c:v>187945.8</c:v>
                </c:pt>
                <c:pt idx="4">
                  <c:v>256585.03</c:v>
                </c:pt>
                <c:pt idx="5">
                  <c:v>166799.88</c:v>
                </c:pt>
                <c:pt idx="6">
                  <c:v>200254.6</c:v>
                </c:pt>
                <c:pt idx="7">
                  <c:v>561636.24</c:v>
                </c:pt>
                <c:pt idx="8">
                  <c:v>81962.909999999989</c:v>
                </c:pt>
                <c:pt idx="9">
                  <c:v>111430.34</c:v>
                </c:pt>
                <c:pt idx="10">
                  <c:v>106691.78000000001</c:v>
                </c:pt>
                <c:pt idx="11">
                  <c:v>110194.38</c:v>
                </c:pt>
                <c:pt idx="12">
                  <c:v>265568.13</c:v>
                </c:pt>
                <c:pt idx="13">
                  <c:v>357409.6</c:v>
                </c:pt>
                <c:pt idx="14">
                  <c:v>490543.92</c:v>
                </c:pt>
                <c:pt idx="15">
                  <c:v>384195.63999999996</c:v>
                </c:pt>
                <c:pt idx="16">
                  <c:v>467343.3</c:v>
                </c:pt>
                <c:pt idx="17">
                  <c:v>223861.86000000002</c:v>
                </c:pt>
                <c:pt idx="18">
                  <c:v>38790.5</c:v>
                </c:pt>
                <c:pt idx="19">
                  <c:v>147460.99</c:v>
                </c:pt>
                <c:pt idx="20">
                  <c:v>161933.01</c:v>
                </c:pt>
                <c:pt idx="21">
                  <c:v>123733.45999999999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02-5246-B57F-02021344C50C}"/>
            </c:ext>
          </c:extLst>
        </c:ser>
        <c:ser>
          <c:idx val="3"/>
          <c:order val="3"/>
          <c:tx>
            <c:strRef>
              <c:f>'County-to-County Budget Trends '!$A$67</c:f>
              <c:strCache>
                <c:ptCount val="1"/>
                <c:pt idx="0">
                  <c:v>Charges for Services</c:v>
                </c:pt>
              </c:strCache>
            </c:strRef>
          </c:tx>
          <c:spPr>
            <a:solidFill>
              <a:srgbClr val="7030A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'County-to-County Budget Trends '!$B$63:$W$63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'!$B$67:$W$67</c:f>
              <c:numCache>
                <c:formatCode>"$"#,##0</c:formatCode>
                <c:ptCount val="22"/>
                <c:pt idx="0">
                  <c:v>270098.36</c:v>
                </c:pt>
                <c:pt idx="1">
                  <c:v>310335.76</c:v>
                </c:pt>
                <c:pt idx="2">
                  <c:v>289982.56</c:v>
                </c:pt>
                <c:pt idx="3">
                  <c:v>357097.02</c:v>
                </c:pt>
                <c:pt idx="4">
                  <c:v>315796.96000000002</c:v>
                </c:pt>
                <c:pt idx="5">
                  <c:v>315066.44</c:v>
                </c:pt>
                <c:pt idx="6">
                  <c:v>380483.74</c:v>
                </c:pt>
                <c:pt idx="7">
                  <c:v>408462.72</c:v>
                </c:pt>
                <c:pt idx="8">
                  <c:v>304044.64</c:v>
                </c:pt>
                <c:pt idx="9">
                  <c:v>341121.74000000005</c:v>
                </c:pt>
                <c:pt idx="10">
                  <c:v>371162.68000000005</c:v>
                </c:pt>
                <c:pt idx="11">
                  <c:v>373667.83</c:v>
                </c:pt>
                <c:pt idx="12">
                  <c:v>351950.05</c:v>
                </c:pt>
                <c:pt idx="13">
                  <c:v>367981.55000000005</c:v>
                </c:pt>
                <c:pt idx="14">
                  <c:v>371120.68999999994</c:v>
                </c:pt>
                <c:pt idx="15">
                  <c:v>379232.82000000007</c:v>
                </c:pt>
                <c:pt idx="16">
                  <c:v>407275.12999999995</c:v>
                </c:pt>
                <c:pt idx="17">
                  <c:v>401151.36</c:v>
                </c:pt>
                <c:pt idx="18">
                  <c:v>390941.35</c:v>
                </c:pt>
                <c:pt idx="19">
                  <c:v>392468.51</c:v>
                </c:pt>
                <c:pt idx="20">
                  <c:v>394577.08000000007</c:v>
                </c:pt>
                <c:pt idx="21">
                  <c:v>378320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02-5246-B57F-02021344C50C}"/>
            </c:ext>
          </c:extLst>
        </c:ser>
        <c:ser>
          <c:idx val="4"/>
          <c:order val="4"/>
          <c:tx>
            <c:strRef>
              <c:f>'County-to-County Budget Trends '!$A$68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'!$B$63:$W$63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'!$B$68:$W$68</c:f>
              <c:numCache>
                <c:formatCode>"$"#,##0</c:formatCode>
                <c:ptCount val="22"/>
                <c:pt idx="0">
                  <c:v>19292.740000000002</c:v>
                </c:pt>
                <c:pt idx="1">
                  <c:v>0</c:v>
                </c:pt>
                <c:pt idx="2">
                  <c:v>18123.91</c:v>
                </c:pt>
                <c:pt idx="3">
                  <c:v>18794.580000000002</c:v>
                </c:pt>
                <c:pt idx="4">
                  <c:v>19737.310000000001</c:v>
                </c:pt>
                <c:pt idx="5">
                  <c:v>18533.32</c:v>
                </c:pt>
                <c:pt idx="6">
                  <c:v>20025.46</c:v>
                </c:pt>
                <c:pt idx="7">
                  <c:v>25528.92</c:v>
                </c:pt>
                <c:pt idx="8">
                  <c:v>8572.64</c:v>
                </c:pt>
                <c:pt idx="9">
                  <c:v>6579.78</c:v>
                </c:pt>
                <c:pt idx="10">
                  <c:v>15201.97</c:v>
                </c:pt>
                <c:pt idx="11">
                  <c:v>33298.03</c:v>
                </c:pt>
                <c:pt idx="12">
                  <c:v>54662.75</c:v>
                </c:pt>
                <c:pt idx="13">
                  <c:v>42168.94</c:v>
                </c:pt>
                <c:pt idx="14">
                  <c:v>38846.160000000003</c:v>
                </c:pt>
                <c:pt idx="15">
                  <c:v>35112.21</c:v>
                </c:pt>
                <c:pt idx="16">
                  <c:v>22262.63</c:v>
                </c:pt>
                <c:pt idx="17">
                  <c:v>18533.57</c:v>
                </c:pt>
                <c:pt idx="18">
                  <c:v>11711.73</c:v>
                </c:pt>
                <c:pt idx="19">
                  <c:v>11235.35</c:v>
                </c:pt>
                <c:pt idx="20">
                  <c:v>5494.65</c:v>
                </c:pt>
                <c:pt idx="2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02-5246-B57F-02021344C50C}"/>
            </c:ext>
          </c:extLst>
        </c:ser>
        <c:ser>
          <c:idx val="5"/>
          <c:order val="5"/>
          <c:tx>
            <c:strRef>
              <c:f>'County-to-County Budget Trends '!$A$69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'!$B$63:$W$63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'!$B$69:$W$69</c:f>
              <c:numCache>
                <c:formatCode>"$"#,##0</c:formatCode>
                <c:ptCount val="22"/>
                <c:pt idx="0">
                  <c:v>289391.09999999998</c:v>
                </c:pt>
                <c:pt idx="1">
                  <c:v>421169.96</c:v>
                </c:pt>
                <c:pt idx="2">
                  <c:v>199363.01</c:v>
                </c:pt>
                <c:pt idx="3">
                  <c:v>150356.64000000001</c:v>
                </c:pt>
                <c:pt idx="4">
                  <c:v>98686.55</c:v>
                </c:pt>
                <c:pt idx="5">
                  <c:v>55599.96</c:v>
                </c:pt>
                <c:pt idx="6">
                  <c:v>20025.46</c:v>
                </c:pt>
                <c:pt idx="7">
                  <c:v>306347.03999999998</c:v>
                </c:pt>
                <c:pt idx="8">
                  <c:v>172749.35</c:v>
                </c:pt>
                <c:pt idx="9">
                  <c:v>114611.95</c:v>
                </c:pt>
                <c:pt idx="10">
                  <c:v>87055.83</c:v>
                </c:pt>
                <c:pt idx="11">
                  <c:v>84861.140000000014</c:v>
                </c:pt>
                <c:pt idx="12">
                  <c:v>98154.67</c:v>
                </c:pt>
                <c:pt idx="13">
                  <c:v>100501.01</c:v>
                </c:pt>
                <c:pt idx="14">
                  <c:v>79177.960000000006</c:v>
                </c:pt>
                <c:pt idx="15">
                  <c:v>110902.18000000001</c:v>
                </c:pt>
                <c:pt idx="16">
                  <c:v>80514.559999999998</c:v>
                </c:pt>
                <c:pt idx="17">
                  <c:v>164389.51</c:v>
                </c:pt>
                <c:pt idx="18">
                  <c:v>123425.78</c:v>
                </c:pt>
                <c:pt idx="19">
                  <c:v>77155.86</c:v>
                </c:pt>
                <c:pt idx="20">
                  <c:v>83418.91</c:v>
                </c:pt>
                <c:pt idx="21">
                  <c:v>113907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02-5246-B57F-02021344C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249056"/>
        <c:axId val="458253760"/>
      </c:areaChart>
      <c:catAx>
        <c:axId val="4582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25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90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'!$A$71</c:f>
          <c:strCache>
            <c:ptCount val="1"/>
            <c:pt idx="0">
              <c:v>Andrew County Detailed General Revenue Receipts</c:v>
            </c:pt>
          </c:strCache>
        </c:strRef>
      </c:tx>
      <c:layout>
        <c:manualLayout>
          <c:xMode val="edge"/>
          <c:yMode val="edge"/>
          <c:x val="0.212616985960873"/>
          <c:y val="2.694141254321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73282172777206E-2"/>
          <c:y val="0.107425495863655"/>
          <c:w val="0.86293072143502403"/>
          <c:h val="0.72524453809473299"/>
        </c:manualLayout>
      </c:layout>
      <c:areaChart>
        <c:grouping val="stacked"/>
        <c:varyColors val="0"/>
        <c:ser>
          <c:idx val="0"/>
          <c:order val="0"/>
          <c:tx>
            <c:strRef>
              <c:f>'County-to-County Budget Trends '!$A$73</c:f>
              <c:strCache>
                <c:ptCount val="1"/>
                <c:pt idx="0">
                  <c:v>Property Tax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'!$B$72:$W$72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'!$B$73:$W$73</c:f>
              <c:numCache>
                <c:formatCode>"$"#,##0</c:formatCode>
                <c:ptCount val="22"/>
                <c:pt idx="0">
                  <c:v>209246.64</c:v>
                </c:pt>
                <c:pt idx="1">
                  <c:v>241177.08</c:v>
                </c:pt>
                <c:pt idx="2">
                  <c:v>230537.79</c:v>
                </c:pt>
                <c:pt idx="3">
                  <c:v>269793.12</c:v>
                </c:pt>
                <c:pt idx="4">
                  <c:v>212403.28</c:v>
                </c:pt>
                <c:pt idx="5">
                  <c:v>313520.21999999997</c:v>
                </c:pt>
                <c:pt idx="6">
                  <c:v>318608.65000000002</c:v>
                </c:pt>
                <c:pt idx="7">
                  <c:v>274946.75</c:v>
                </c:pt>
                <c:pt idx="8">
                  <c:v>348664</c:v>
                </c:pt>
                <c:pt idx="9">
                  <c:v>318133</c:v>
                </c:pt>
                <c:pt idx="10">
                  <c:v>376774</c:v>
                </c:pt>
                <c:pt idx="11">
                  <c:v>325959</c:v>
                </c:pt>
                <c:pt idx="12">
                  <c:v>416336</c:v>
                </c:pt>
                <c:pt idx="13">
                  <c:v>460093</c:v>
                </c:pt>
                <c:pt idx="14">
                  <c:v>420511</c:v>
                </c:pt>
                <c:pt idx="15">
                  <c:v>468403</c:v>
                </c:pt>
                <c:pt idx="16">
                  <c:v>450543</c:v>
                </c:pt>
                <c:pt idx="17">
                  <c:v>435764</c:v>
                </c:pt>
                <c:pt idx="18">
                  <c:v>535706</c:v>
                </c:pt>
                <c:pt idx="19">
                  <c:v>596503</c:v>
                </c:pt>
                <c:pt idx="20">
                  <c:v>616557</c:v>
                </c:pt>
                <c:pt idx="21">
                  <c:v>640000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7-6C47-9CFA-1C933E4EA00D}"/>
            </c:ext>
          </c:extLst>
        </c:ser>
        <c:ser>
          <c:idx val="1"/>
          <c:order val="1"/>
          <c:tx>
            <c:strRef>
              <c:f>'County-to-County Budget Trends '!$A$74</c:f>
              <c:strCache>
                <c:ptCount val="1"/>
                <c:pt idx="0">
                  <c:v>Sales Tax</c:v>
                </c:pt>
              </c:strCache>
            </c:strRef>
          </c:tx>
          <c:spPr>
            <a:solidFill>
              <a:srgbClr val="C0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'!$B$72:$W$72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'!$B$74:$W$74</c:f>
              <c:numCache>
                <c:formatCode>"$"#,##0</c:formatCode>
                <c:ptCount val="22"/>
                <c:pt idx="0">
                  <c:v>318418.8</c:v>
                </c:pt>
                <c:pt idx="1">
                  <c:v>335550.71999999997</c:v>
                </c:pt>
                <c:pt idx="2">
                  <c:v>373251.66</c:v>
                </c:pt>
                <c:pt idx="3">
                  <c:v>382206.92</c:v>
                </c:pt>
                <c:pt idx="4">
                  <c:v>413627.44</c:v>
                </c:pt>
                <c:pt idx="5">
                  <c:v>487698.12</c:v>
                </c:pt>
                <c:pt idx="6">
                  <c:v>443281.6</c:v>
                </c:pt>
                <c:pt idx="7">
                  <c:v>465294.5</c:v>
                </c:pt>
                <c:pt idx="8">
                  <c:v>464771</c:v>
                </c:pt>
                <c:pt idx="9">
                  <c:v>495764</c:v>
                </c:pt>
                <c:pt idx="10">
                  <c:v>371107</c:v>
                </c:pt>
                <c:pt idx="11">
                  <c:v>484468</c:v>
                </c:pt>
                <c:pt idx="12">
                  <c:v>486616</c:v>
                </c:pt>
                <c:pt idx="13">
                  <c:v>453668</c:v>
                </c:pt>
                <c:pt idx="14">
                  <c:v>459849</c:v>
                </c:pt>
                <c:pt idx="15">
                  <c:v>438595</c:v>
                </c:pt>
                <c:pt idx="16">
                  <c:v>506071</c:v>
                </c:pt>
                <c:pt idx="17">
                  <c:v>472970</c:v>
                </c:pt>
                <c:pt idx="18">
                  <c:v>498575</c:v>
                </c:pt>
                <c:pt idx="19">
                  <c:v>518483</c:v>
                </c:pt>
                <c:pt idx="20">
                  <c:v>538191</c:v>
                </c:pt>
                <c:pt idx="21">
                  <c:v>550000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7-6C47-9CFA-1C933E4EA00D}"/>
            </c:ext>
          </c:extLst>
        </c:ser>
        <c:ser>
          <c:idx val="2"/>
          <c:order val="2"/>
          <c:tx>
            <c:strRef>
              <c:f>'County-to-County Budget Trends '!$A$75</c:f>
              <c:strCache>
                <c:ptCount val="1"/>
                <c:pt idx="0">
                  <c:v>Intergovernmental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'!$B$72:$W$72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'!$B$75:$W$75</c:f>
              <c:numCache>
                <c:formatCode>"$"#,##0</c:formatCode>
                <c:ptCount val="22"/>
                <c:pt idx="0">
                  <c:v>9097.68</c:v>
                </c:pt>
                <c:pt idx="1">
                  <c:v>94373.64</c:v>
                </c:pt>
                <c:pt idx="2">
                  <c:v>65867.94</c:v>
                </c:pt>
                <c:pt idx="3">
                  <c:v>56206.9</c:v>
                </c:pt>
                <c:pt idx="4">
                  <c:v>11179.12</c:v>
                </c:pt>
                <c:pt idx="5">
                  <c:v>0</c:v>
                </c:pt>
                <c:pt idx="6">
                  <c:v>180083.15</c:v>
                </c:pt>
                <c:pt idx="7">
                  <c:v>697941.75</c:v>
                </c:pt>
                <c:pt idx="8">
                  <c:v>144711</c:v>
                </c:pt>
                <c:pt idx="9">
                  <c:v>173723</c:v>
                </c:pt>
                <c:pt idx="10">
                  <c:v>136681</c:v>
                </c:pt>
                <c:pt idx="11">
                  <c:v>182098</c:v>
                </c:pt>
                <c:pt idx="12">
                  <c:v>644801</c:v>
                </c:pt>
                <c:pt idx="13">
                  <c:v>442043</c:v>
                </c:pt>
                <c:pt idx="14">
                  <c:v>641678</c:v>
                </c:pt>
                <c:pt idx="15">
                  <c:v>208390</c:v>
                </c:pt>
                <c:pt idx="16">
                  <c:v>200040</c:v>
                </c:pt>
                <c:pt idx="17">
                  <c:v>166678</c:v>
                </c:pt>
                <c:pt idx="18">
                  <c:v>168272</c:v>
                </c:pt>
                <c:pt idx="19">
                  <c:v>128123</c:v>
                </c:pt>
                <c:pt idx="20">
                  <c:v>153596</c:v>
                </c:pt>
                <c:pt idx="21">
                  <c:v>176506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17-6C47-9CFA-1C933E4EA00D}"/>
            </c:ext>
          </c:extLst>
        </c:ser>
        <c:ser>
          <c:idx val="3"/>
          <c:order val="3"/>
          <c:tx>
            <c:strRef>
              <c:f>'County-to-County Budget Trends '!$A$76</c:f>
              <c:strCache>
                <c:ptCount val="1"/>
                <c:pt idx="0">
                  <c:v>Charges for Services</c:v>
                </c:pt>
              </c:strCache>
            </c:strRef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'!$B$72:$W$72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'!$B$76:$W$76</c:f>
              <c:numCache>
                <c:formatCode>"$"#,##0</c:formatCode>
                <c:ptCount val="22"/>
                <c:pt idx="0">
                  <c:v>291125.76000000001</c:v>
                </c:pt>
                <c:pt idx="1">
                  <c:v>230691.12</c:v>
                </c:pt>
                <c:pt idx="2">
                  <c:v>296405.73</c:v>
                </c:pt>
                <c:pt idx="3">
                  <c:v>269793.12</c:v>
                </c:pt>
                <c:pt idx="4">
                  <c:v>268298.88</c:v>
                </c:pt>
                <c:pt idx="5">
                  <c:v>267072.78000000003</c:v>
                </c:pt>
                <c:pt idx="6">
                  <c:v>346313.75</c:v>
                </c:pt>
                <c:pt idx="7">
                  <c:v>465294.5</c:v>
                </c:pt>
                <c:pt idx="8">
                  <c:v>420677</c:v>
                </c:pt>
                <c:pt idx="9">
                  <c:v>411789</c:v>
                </c:pt>
                <c:pt idx="10">
                  <c:v>359960</c:v>
                </c:pt>
                <c:pt idx="11">
                  <c:v>341087</c:v>
                </c:pt>
                <c:pt idx="12">
                  <c:v>408676</c:v>
                </c:pt>
                <c:pt idx="13">
                  <c:v>398851</c:v>
                </c:pt>
                <c:pt idx="14">
                  <c:v>378991</c:v>
                </c:pt>
                <c:pt idx="15">
                  <c:v>442779</c:v>
                </c:pt>
                <c:pt idx="16">
                  <c:v>481994</c:v>
                </c:pt>
                <c:pt idx="17">
                  <c:v>449530</c:v>
                </c:pt>
                <c:pt idx="18">
                  <c:v>446521</c:v>
                </c:pt>
                <c:pt idx="19">
                  <c:v>442704</c:v>
                </c:pt>
                <c:pt idx="20">
                  <c:v>507207</c:v>
                </c:pt>
                <c:pt idx="21">
                  <c:v>466585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17-6C47-9CFA-1C933E4EA00D}"/>
            </c:ext>
          </c:extLst>
        </c:ser>
        <c:ser>
          <c:idx val="4"/>
          <c:order val="4"/>
          <c:tx>
            <c:strRef>
              <c:f>'County-to-County Budget Trends '!$A$77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'!$B$72:$W$72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'!$B$77:$W$77</c:f>
              <c:numCache>
                <c:formatCode>"$"#,##0</c:formatCode>
                <c:ptCount val="22"/>
                <c:pt idx="0">
                  <c:v>54586.080000000002</c:v>
                </c:pt>
                <c:pt idx="1">
                  <c:v>62915.76</c:v>
                </c:pt>
                <c:pt idx="2">
                  <c:v>76845.929999999993</c:v>
                </c:pt>
                <c:pt idx="3">
                  <c:v>67448.28</c:v>
                </c:pt>
                <c:pt idx="4">
                  <c:v>100612.08</c:v>
                </c:pt>
                <c:pt idx="5">
                  <c:v>69671.16</c:v>
                </c:pt>
                <c:pt idx="6">
                  <c:v>27705.1</c:v>
                </c:pt>
                <c:pt idx="7">
                  <c:v>21149.75</c:v>
                </c:pt>
                <c:pt idx="8">
                  <c:v>22864</c:v>
                </c:pt>
                <c:pt idx="9">
                  <c:v>59564</c:v>
                </c:pt>
                <c:pt idx="10">
                  <c:v>80835</c:v>
                </c:pt>
                <c:pt idx="11">
                  <c:v>76556</c:v>
                </c:pt>
                <c:pt idx="12">
                  <c:v>29740</c:v>
                </c:pt>
                <c:pt idx="13">
                  <c:v>2707</c:v>
                </c:pt>
                <c:pt idx="14">
                  <c:v>1613</c:v>
                </c:pt>
                <c:pt idx="15">
                  <c:v>1138</c:v>
                </c:pt>
                <c:pt idx="16">
                  <c:v>1019</c:v>
                </c:pt>
                <c:pt idx="17">
                  <c:v>680</c:v>
                </c:pt>
                <c:pt idx="18">
                  <c:v>779</c:v>
                </c:pt>
                <c:pt idx="19">
                  <c:v>840</c:v>
                </c:pt>
                <c:pt idx="20">
                  <c:v>718</c:v>
                </c:pt>
                <c:pt idx="21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17-6C47-9CFA-1C933E4EA00D}"/>
            </c:ext>
          </c:extLst>
        </c:ser>
        <c:ser>
          <c:idx val="5"/>
          <c:order val="5"/>
          <c:tx>
            <c:strRef>
              <c:f>'County-to-County Budget Trends '!$A$78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'!$B$72:$W$72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'!$B$78:$W$78</c:f>
              <c:numCache>
                <c:formatCode>"$"#,##0</c:formatCode>
                <c:ptCount val="22"/>
                <c:pt idx="0">
                  <c:v>27293.040000000001</c:v>
                </c:pt>
                <c:pt idx="1">
                  <c:v>83887.679999999993</c:v>
                </c:pt>
                <c:pt idx="2">
                  <c:v>54889.95</c:v>
                </c:pt>
                <c:pt idx="3">
                  <c:v>78689.66</c:v>
                </c:pt>
                <c:pt idx="4">
                  <c:v>111791.2</c:v>
                </c:pt>
                <c:pt idx="5">
                  <c:v>23223.72</c:v>
                </c:pt>
                <c:pt idx="6">
                  <c:v>69262.75</c:v>
                </c:pt>
                <c:pt idx="7">
                  <c:v>190347.75</c:v>
                </c:pt>
                <c:pt idx="8">
                  <c:v>220111</c:v>
                </c:pt>
                <c:pt idx="9">
                  <c:v>136152</c:v>
                </c:pt>
                <c:pt idx="10">
                  <c:v>328937</c:v>
                </c:pt>
                <c:pt idx="11">
                  <c:v>114104</c:v>
                </c:pt>
                <c:pt idx="12">
                  <c:v>297120</c:v>
                </c:pt>
                <c:pt idx="13">
                  <c:v>119308</c:v>
                </c:pt>
                <c:pt idx="14">
                  <c:v>208586</c:v>
                </c:pt>
                <c:pt idx="15">
                  <c:v>115885</c:v>
                </c:pt>
                <c:pt idx="16">
                  <c:v>167613</c:v>
                </c:pt>
                <c:pt idx="17">
                  <c:v>829399</c:v>
                </c:pt>
                <c:pt idx="18">
                  <c:v>429369</c:v>
                </c:pt>
                <c:pt idx="19">
                  <c:v>584890</c:v>
                </c:pt>
                <c:pt idx="20">
                  <c:v>499929</c:v>
                </c:pt>
                <c:pt idx="21">
                  <c:v>530125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17-6C47-9CFA-1C933E4E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252584"/>
        <c:axId val="458250624"/>
      </c:areaChart>
      <c:catAx>
        <c:axId val="458252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25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25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'!$A$28</c:f>
          <c:strCache>
            <c:ptCount val="1"/>
            <c:pt idx="0">
              <c:v>Adair County 2017 General Revenue Expenditures</c:v>
            </c:pt>
          </c:strCache>
        </c:strRef>
      </c:tx>
      <c:layout>
        <c:manualLayout>
          <c:xMode val="edge"/>
          <c:yMode val="edge"/>
          <c:x val="0.17377747489593801"/>
          <c:y val="2.758634412575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009604959050799E-2"/>
          <c:y val="0.19307866767464499"/>
          <c:w val="0.60964100198932503"/>
          <c:h val="0.63559782022699796"/>
        </c:manualLayout>
      </c:layout>
      <c:pie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D7-9A4C-87F6-5B579D80BC29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D7-9A4C-87F6-5B579D80BC29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D7-9A4C-87F6-5B579D80BC29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D7-9A4C-87F6-5B579D80BC29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D7-9A4C-87F6-5B579D80BC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D7-9A4C-87F6-5B579D80BC29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4D7-9A4C-87F6-5B579D80BC29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4D7-9A4C-87F6-5B579D80BC2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'County-to-County Budget Trends '!$A$30:$A$37</c:f>
              <c:strCache>
                <c:ptCount val="8"/>
                <c:pt idx="0">
                  <c:v>General Government</c:v>
                </c:pt>
                <c:pt idx="1">
                  <c:v>Law Enforcement</c:v>
                </c:pt>
                <c:pt idx="2">
                  <c:v>Court</c:v>
                </c:pt>
                <c:pt idx="3">
                  <c:v>Fringe Benefits</c:v>
                </c:pt>
                <c:pt idx="4">
                  <c:v>Prosecuting Attorney</c:v>
                </c:pt>
                <c:pt idx="5">
                  <c:v>Public Administrator and Coroner</c:v>
                </c:pt>
                <c:pt idx="6">
                  <c:v>Health and Welfare and "Other"</c:v>
                </c:pt>
                <c:pt idx="7">
                  <c:v>Operating Transfers</c:v>
                </c:pt>
              </c:strCache>
            </c:strRef>
          </c:cat>
          <c:val>
            <c:numRef>
              <c:f>'County-to-County Budget Trends '!$B$30:$B$37</c:f>
              <c:numCache>
                <c:formatCode>"$"#,##0</c:formatCode>
                <c:ptCount val="8"/>
                <c:pt idx="0">
                  <c:v>904508.04</c:v>
                </c:pt>
                <c:pt idx="1">
                  <c:v>0</c:v>
                </c:pt>
                <c:pt idx="2">
                  <c:v>339362.83999999997</c:v>
                </c:pt>
                <c:pt idx="3">
                  <c:v>525799</c:v>
                </c:pt>
                <c:pt idx="4">
                  <c:v>341056</c:v>
                </c:pt>
                <c:pt idx="5">
                  <c:v>168441.91999999998</c:v>
                </c:pt>
                <c:pt idx="6">
                  <c:v>443006.1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4D7-9A4C-87F6-5B579D80BC2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741397288842601"/>
          <c:y val="0.202166064981949"/>
          <c:w val="0.27111574556829998"/>
          <c:h val="0.635379061371841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landscape" horizontalDpi="-3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'!$A$80</c:f>
          <c:strCache>
            <c:ptCount val="1"/>
            <c:pt idx="0">
              <c:v>Adair County Detailed General Revenue Expenditures</c:v>
            </c:pt>
          </c:strCache>
        </c:strRef>
      </c:tx>
      <c:layout>
        <c:manualLayout>
          <c:xMode val="edge"/>
          <c:yMode val="edge"/>
          <c:x val="0.212616978912119"/>
          <c:y val="2.69414599037188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139370713543307E-2"/>
          <c:y val="0.107425495863655"/>
          <c:w val="0.85915773959797503"/>
          <c:h val="0.68030046116359999"/>
        </c:manualLayout>
      </c:layout>
      <c:areaChart>
        <c:grouping val="stacked"/>
        <c:varyColors val="0"/>
        <c:ser>
          <c:idx val="0"/>
          <c:order val="0"/>
          <c:tx>
            <c:strRef>
              <c:f>'County-to-County Budget Trends '!$A$82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'!$B$81:$W$81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'!$B$82:$W$82</c:f>
              <c:numCache>
                <c:formatCode>"$"#,##0</c:formatCode>
                <c:ptCount val="22"/>
                <c:pt idx="0">
                  <c:v>499269.28</c:v>
                </c:pt>
                <c:pt idx="1">
                  <c:v>443537</c:v>
                </c:pt>
                <c:pt idx="2">
                  <c:v>529472.70000000007</c:v>
                </c:pt>
                <c:pt idx="3">
                  <c:v>536491.76</c:v>
                </c:pt>
                <c:pt idx="4">
                  <c:v>580567.35</c:v>
                </c:pt>
                <c:pt idx="5">
                  <c:v>523729.5</c:v>
                </c:pt>
                <c:pt idx="6">
                  <c:v>602034.88</c:v>
                </c:pt>
                <c:pt idx="7">
                  <c:v>701059.52</c:v>
                </c:pt>
                <c:pt idx="8">
                  <c:v>627569.48</c:v>
                </c:pt>
                <c:pt idx="9">
                  <c:v>532271.22</c:v>
                </c:pt>
                <c:pt idx="10">
                  <c:v>630498.35</c:v>
                </c:pt>
                <c:pt idx="11">
                  <c:v>584529.38</c:v>
                </c:pt>
                <c:pt idx="12">
                  <c:v>696650.74000000011</c:v>
                </c:pt>
                <c:pt idx="13">
                  <c:v>626065.61</c:v>
                </c:pt>
                <c:pt idx="14">
                  <c:v>718365.01</c:v>
                </c:pt>
                <c:pt idx="15">
                  <c:v>672178.41999999993</c:v>
                </c:pt>
                <c:pt idx="16">
                  <c:v>877363.63</c:v>
                </c:pt>
                <c:pt idx="17">
                  <c:v>794891.17000000016</c:v>
                </c:pt>
                <c:pt idx="18">
                  <c:v>986398.7</c:v>
                </c:pt>
                <c:pt idx="19">
                  <c:v>1005599.07</c:v>
                </c:pt>
                <c:pt idx="20">
                  <c:v>884067.71</c:v>
                </c:pt>
                <c:pt idx="21">
                  <c:v>904508.04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7-4F4F-882E-636894D9D214}"/>
            </c:ext>
          </c:extLst>
        </c:ser>
        <c:ser>
          <c:idx val="1"/>
          <c:order val="1"/>
          <c:tx>
            <c:strRef>
              <c:f>'County-to-County Budget Trends '!$A$83</c:f>
              <c:strCache>
                <c:ptCount val="1"/>
                <c:pt idx="0">
                  <c:v>Law Enforcement</c:v>
                </c:pt>
              </c:strCache>
            </c:strRef>
          </c:tx>
          <c:spPr>
            <a:solidFill>
              <a:srgbClr val="EEECE1">
                <a:lumMod val="25000"/>
              </a:srgb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'!$B$81:$W$81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'!$B$83:$W$83</c:f>
              <c:numCache>
                <c:formatCode>"$"#,##0</c:formatCode>
                <c:ptCount val="22"/>
                <c:pt idx="0">
                  <c:v>520976.64000000001</c:v>
                </c:pt>
                <c:pt idx="1">
                  <c:v>554421.25</c:v>
                </c:pt>
                <c:pt idx="2">
                  <c:v>105894.54</c:v>
                </c:pt>
                <c:pt idx="3">
                  <c:v>134122.94</c:v>
                </c:pt>
                <c:pt idx="4">
                  <c:v>87964.75</c:v>
                </c:pt>
                <c:pt idx="5">
                  <c:v>34915.300000000003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7-4F4F-882E-636894D9D214}"/>
            </c:ext>
          </c:extLst>
        </c:ser>
        <c:ser>
          <c:idx val="2"/>
          <c:order val="2"/>
          <c:tx>
            <c:strRef>
              <c:f>'County-to-County Budget Trends '!$A$84</c:f>
              <c:strCache>
                <c:ptCount val="1"/>
                <c:pt idx="0">
                  <c:v>Court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'!$B$81:$W$81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'!$B$84:$W$84</c:f>
              <c:numCache>
                <c:formatCode>"$"#,##0</c:formatCode>
                <c:ptCount val="22"/>
                <c:pt idx="0">
                  <c:v>390732.48000000004</c:v>
                </c:pt>
                <c:pt idx="1">
                  <c:v>443537</c:v>
                </c:pt>
                <c:pt idx="2">
                  <c:v>370630.89</c:v>
                </c:pt>
                <c:pt idx="3">
                  <c:v>344887.56</c:v>
                </c:pt>
                <c:pt idx="4">
                  <c:v>281487.2</c:v>
                </c:pt>
                <c:pt idx="5">
                  <c:v>226949.45</c:v>
                </c:pt>
                <c:pt idx="6">
                  <c:v>285970.34999999998</c:v>
                </c:pt>
                <c:pt idx="7">
                  <c:v>75113.52</c:v>
                </c:pt>
                <c:pt idx="8">
                  <c:v>83872.41</c:v>
                </c:pt>
                <c:pt idx="9">
                  <c:v>79975.37</c:v>
                </c:pt>
                <c:pt idx="10">
                  <c:v>73576.069999999992</c:v>
                </c:pt>
                <c:pt idx="11">
                  <c:v>63498.729999999996</c:v>
                </c:pt>
                <c:pt idx="12">
                  <c:v>106840.65</c:v>
                </c:pt>
                <c:pt idx="13">
                  <c:v>94073.52</c:v>
                </c:pt>
                <c:pt idx="14">
                  <c:v>153153.9</c:v>
                </c:pt>
                <c:pt idx="15">
                  <c:v>97606.400000000009</c:v>
                </c:pt>
                <c:pt idx="16">
                  <c:v>106253.83</c:v>
                </c:pt>
                <c:pt idx="17">
                  <c:v>148467.82999999999</c:v>
                </c:pt>
                <c:pt idx="18">
                  <c:v>39121.949999999997</c:v>
                </c:pt>
                <c:pt idx="19">
                  <c:v>401678.84999999992</c:v>
                </c:pt>
                <c:pt idx="20">
                  <c:v>214402.21</c:v>
                </c:pt>
                <c:pt idx="21">
                  <c:v>339362.83999999997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7-4F4F-882E-636894D9D214}"/>
            </c:ext>
          </c:extLst>
        </c:ser>
        <c:ser>
          <c:idx val="3"/>
          <c:order val="3"/>
          <c:tx>
            <c:strRef>
              <c:f>'County-to-County Budget Trends '!$A$85</c:f>
              <c:strCache>
                <c:ptCount val="1"/>
                <c:pt idx="0">
                  <c:v>Fringe Benefits</c:v>
                </c:pt>
              </c:strCache>
            </c:strRef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'!$B$81:$W$81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'!$B$85:$W$85</c:f>
              <c:numCache>
                <c:formatCode>"$"#,##0</c:formatCode>
                <c:ptCount val="22"/>
                <c:pt idx="0">
                  <c:v>238780.96</c:v>
                </c:pt>
                <c:pt idx="1">
                  <c:v>266122.2</c:v>
                </c:pt>
                <c:pt idx="2">
                  <c:v>176490.9</c:v>
                </c:pt>
                <c:pt idx="3">
                  <c:v>229925.04</c:v>
                </c:pt>
                <c:pt idx="4">
                  <c:v>263894.25</c:v>
                </c:pt>
                <c:pt idx="5">
                  <c:v>192034.15</c:v>
                </c:pt>
                <c:pt idx="6">
                  <c:v>133452.82999999999</c:v>
                </c:pt>
                <c:pt idx="7">
                  <c:v>150227.04</c:v>
                </c:pt>
                <c:pt idx="8">
                  <c:v>222180.56</c:v>
                </c:pt>
                <c:pt idx="9">
                  <c:v>243292.00999999998</c:v>
                </c:pt>
                <c:pt idx="10">
                  <c:v>244287.68</c:v>
                </c:pt>
                <c:pt idx="11">
                  <c:v>249534.93000000002</c:v>
                </c:pt>
                <c:pt idx="12">
                  <c:v>274933.40000000002</c:v>
                </c:pt>
                <c:pt idx="13">
                  <c:v>283245.64999999997</c:v>
                </c:pt>
                <c:pt idx="14">
                  <c:v>357041.81</c:v>
                </c:pt>
                <c:pt idx="15">
                  <c:v>359697.54000000004</c:v>
                </c:pt>
                <c:pt idx="16">
                  <c:v>405579.9</c:v>
                </c:pt>
                <c:pt idx="17">
                  <c:v>397611</c:v>
                </c:pt>
                <c:pt idx="18">
                  <c:v>401241.33</c:v>
                </c:pt>
                <c:pt idx="19">
                  <c:v>393666.12</c:v>
                </c:pt>
                <c:pt idx="20">
                  <c:v>365114.93000000011</c:v>
                </c:pt>
                <c:pt idx="21">
                  <c:v>525799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E7-4F4F-882E-636894D9D214}"/>
            </c:ext>
          </c:extLst>
        </c:ser>
        <c:ser>
          <c:idx val="4"/>
          <c:order val="4"/>
          <c:tx>
            <c:strRef>
              <c:f>'County-to-County Budget Trends '!$A$86</c:f>
              <c:strCache>
                <c:ptCount val="1"/>
                <c:pt idx="0">
                  <c:v>Prosecuting Attorney</c:v>
                </c:pt>
              </c:strCache>
            </c:strRef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'!$B$81:$W$81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'!$B$86:$W$86</c:f>
              <c:numCache>
                <c:formatCode>"$"#,##0</c:formatCode>
                <c:ptCount val="22"/>
                <c:pt idx="0">
                  <c:v>151951.51999999999</c:v>
                </c:pt>
                <c:pt idx="1">
                  <c:v>155237.95000000001</c:v>
                </c:pt>
                <c:pt idx="2">
                  <c:v>141192.72</c:v>
                </c:pt>
                <c:pt idx="3">
                  <c:v>172443.78</c:v>
                </c:pt>
                <c:pt idx="4">
                  <c:v>175929.5</c:v>
                </c:pt>
                <c:pt idx="5">
                  <c:v>174576.5</c:v>
                </c:pt>
                <c:pt idx="6">
                  <c:v>171582.21</c:v>
                </c:pt>
                <c:pt idx="7">
                  <c:v>200302.72</c:v>
                </c:pt>
                <c:pt idx="8">
                  <c:v>208224.53999999998</c:v>
                </c:pt>
                <c:pt idx="9">
                  <c:v>218643.87000000002</c:v>
                </c:pt>
                <c:pt idx="10">
                  <c:v>217860.31</c:v>
                </c:pt>
                <c:pt idx="11">
                  <c:v>222369.58000000002</c:v>
                </c:pt>
                <c:pt idx="12">
                  <c:v>235089.53000000003</c:v>
                </c:pt>
                <c:pt idx="13">
                  <c:v>230986.61999999997</c:v>
                </c:pt>
                <c:pt idx="14">
                  <c:v>226141.84</c:v>
                </c:pt>
                <c:pt idx="15">
                  <c:v>235702.90999999997</c:v>
                </c:pt>
                <c:pt idx="16">
                  <c:v>247589.16999999998</c:v>
                </c:pt>
                <c:pt idx="17">
                  <c:v>278611.17</c:v>
                </c:pt>
                <c:pt idx="18">
                  <c:v>281672.8</c:v>
                </c:pt>
                <c:pt idx="19">
                  <c:v>303686.68</c:v>
                </c:pt>
                <c:pt idx="20">
                  <c:v>311647.76</c:v>
                </c:pt>
                <c:pt idx="21">
                  <c:v>341056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E7-4F4F-882E-636894D9D214}"/>
            </c:ext>
          </c:extLst>
        </c:ser>
        <c:ser>
          <c:idx val="5"/>
          <c:order val="5"/>
          <c:tx>
            <c:strRef>
              <c:f>'County-to-County Budget Trends '!$A$87</c:f>
              <c:strCache>
                <c:ptCount val="1"/>
                <c:pt idx="0">
                  <c:v>Public Administrator and  Coroner</c:v>
                </c:pt>
              </c:strCache>
            </c:strRef>
          </c:tx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'!$B$81:$W$81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'!$B$87:$W$87</c:f>
              <c:numCache>
                <c:formatCode>"$"#,##0</c:formatCode>
                <c:ptCount val="22"/>
                <c:pt idx="0">
                  <c:v>21707.360000000001</c:v>
                </c:pt>
                <c:pt idx="1">
                  <c:v>44353.7</c:v>
                </c:pt>
                <c:pt idx="2">
                  <c:v>70596.36</c:v>
                </c:pt>
                <c:pt idx="3">
                  <c:v>57481.259999999995</c:v>
                </c:pt>
                <c:pt idx="4">
                  <c:v>87964.75</c:v>
                </c:pt>
                <c:pt idx="5">
                  <c:v>69830.600000000006</c:v>
                </c:pt>
                <c:pt idx="6">
                  <c:v>76258.759999999995</c:v>
                </c:pt>
                <c:pt idx="7">
                  <c:v>75113.52</c:v>
                </c:pt>
                <c:pt idx="8">
                  <c:v>78511.459999999992</c:v>
                </c:pt>
                <c:pt idx="9">
                  <c:v>84885.040000000008</c:v>
                </c:pt>
                <c:pt idx="10">
                  <c:v>90921.670000000013</c:v>
                </c:pt>
                <c:pt idx="11">
                  <c:v>89481.09</c:v>
                </c:pt>
                <c:pt idx="12">
                  <c:v>102529.52</c:v>
                </c:pt>
                <c:pt idx="13">
                  <c:v>90125.61</c:v>
                </c:pt>
                <c:pt idx="14">
                  <c:v>112901.23000000001</c:v>
                </c:pt>
                <c:pt idx="15">
                  <c:v>118660.09999999999</c:v>
                </c:pt>
                <c:pt idx="16">
                  <c:v>122147.80000000002</c:v>
                </c:pt>
                <c:pt idx="17">
                  <c:v>129443.44</c:v>
                </c:pt>
                <c:pt idx="18">
                  <c:v>143636.11000000002</c:v>
                </c:pt>
                <c:pt idx="19">
                  <c:v>150587.31</c:v>
                </c:pt>
                <c:pt idx="20">
                  <c:v>174829.24</c:v>
                </c:pt>
                <c:pt idx="21">
                  <c:v>168441.91999999998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E7-4F4F-882E-636894D9D214}"/>
            </c:ext>
          </c:extLst>
        </c:ser>
        <c:ser>
          <c:idx val="6"/>
          <c:order val="6"/>
          <c:tx>
            <c:strRef>
              <c:f>'County-to-County Budget Trends '!$A$88</c:f>
              <c:strCache>
                <c:ptCount val="1"/>
                <c:pt idx="0">
                  <c:v>Health and Welfare and "Other"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'!$B$81:$W$81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'!$B$88:$W$88</c:f>
              <c:numCache>
                <c:formatCode>"$"#,##0</c:formatCode>
                <c:ptCount val="22"/>
                <c:pt idx="0">
                  <c:v>260488.32000000001</c:v>
                </c:pt>
                <c:pt idx="1">
                  <c:v>310475.90000000002</c:v>
                </c:pt>
                <c:pt idx="2">
                  <c:v>282385.44</c:v>
                </c:pt>
                <c:pt idx="3">
                  <c:v>402368.82</c:v>
                </c:pt>
                <c:pt idx="4">
                  <c:v>281487.2</c:v>
                </c:pt>
                <c:pt idx="5">
                  <c:v>453898.9</c:v>
                </c:pt>
                <c:pt idx="6">
                  <c:v>228776.28</c:v>
                </c:pt>
                <c:pt idx="7">
                  <c:v>901362.24</c:v>
                </c:pt>
                <c:pt idx="8">
                  <c:v>305637.69999999995</c:v>
                </c:pt>
                <c:pt idx="9">
                  <c:v>259800.54000000004</c:v>
                </c:pt>
                <c:pt idx="10">
                  <c:v>320738.44999999995</c:v>
                </c:pt>
                <c:pt idx="11">
                  <c:v>277536.04000000004</c:v>
                </c:pt>
                <c:pt idx="12">
                  <c:v>560572.55999999994</c:v>
                </c:pt>
                <c:pt idx="13">
                  <c:v>572060.96000000008</c:v>
                </c:pt>
                <c:pt idx="14">
                  <c:v>744002.12000000011</c:v>
                </c:pt>
                <c:pt idx="15">
                  <c:v>532917.27</c:v>
                </c:pt>
                <c:pt idx="16">
                  <c:v>617558.22000000009</c:v>
                </c:pt>
                <c:pt idx="17">
                  <c:v>542768.24</c:v>
                </c:pt>
                <c:pt idx="18">
                  <c:v>427663.46</c:v>
                </c:pt>
                <c:pt idx="19">
                  <c:v>395173.78</c:v>
                </c:pt>
                <c:pt idx="20">
                  <c:v>352811.72</c:v>
                </c:pt>
                <c:pt idx="21">
                  <c:v>443006.1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E7-4F4F-882E-636894D9D214}"/>
            </c:ext>
          </c:extLst>
        </c:ser>
        <c:ser>
          <c:idx val="7"/>
          <c:order val="7"/>
          <c:tx>
            <c:strRef>
              <c:f>'County-to-County Budget Trends '!$A$89</c:f>
              <c:strCache>
                <c:ptCount val="1"/>
                <c:pt idx="0">
                  <c:v>Operating Transfers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'!$B$81:$W$81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'!$B$89:$W$89</c:f>
              <c:numCache>
                <c:formatCode>"$"#,##0</c:formatCode>
                <c:ptCount val="22"/>
                <c:pt idx="0">
                  <c:v>86829.440000000002</c:v>
                </c:pt>
                <c:pt idx="1">
                  <c:v>0</c:v>
                </c:pt>
                <c:pt idx="2">
                  <c:v>88245.45</c:v>
                </c:pt>
                <c:pt idx="3">
                  <c:v>38320.839999999997</c:v>
                </c:pt>
                <c:pt idx="4">
                  <c:v>0</c:v>
                </c:pt>
                <c:pt idx="5">
                  <c:v>69830.600000000006</c:v>
                </c:pt>
                <c:pt idx="6">
                  <c:v>400358.49</c:v>
                </c:pt>
                <c:pt idx="7">
                  <c:v>400605.44</c:v>
                </c:pt>
                <c:pt idx="8">
                  <c:v>595392.38</c:v>
                </c:pt>
                <c:pt idx="9">
                  <c:v>418220</c:v>
                </c:pt>
                <c:pt idx="10">
                  <c:v>189602.94</c:v>
                </c:pt>
                <c:pt idx="11">
                  <c:v>163963</c:v>
                </c:pt>
                <c:pt idx="12">
                  <c:v>338335.93</c:v>
                </c:pt>
                <c:pt idx="13">
                  <c:v>170384</c:v>
                </c:pt>
                <c:pt idx="14">
                  <c:v>111263</c:v>
                </c:pt>
                <c:pt idx="15">
                  <c:v>183200</c:v>
                </c:pt>
                <c:pt idx="16">
                  <c:v>183600</c:v>
                </c:pt>
                <c:pt idx="17">
                  <c:v>218700</c:v>
                </c:pt>
                <c:pt idx="18">
                  <c:v>226790</c:v>
                </c:pt>
                <c:pt idx="19">
                  <c:v>93500</c:v>
                </c:pt>
                <c:pt idx="20">
                  <c:v>85000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E7-4F4F-882E-636894D9D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255720"/>
        <c:axId val="458252976"/>
      </c:areaChart>
      <c:catAx>
        <c:axId val="45825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25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5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00269745311299E-2"/>
          <c:y val="0.90189081096322399"/>
          <c:w val="0.98687845994988699"/>
          <c:h val="8.583297420303280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Budget Trends '!$A$91</c:f>
          <c:strCache>
            <c:ptCount val="1"/>
            <c:pt idx="0">
              <c:v>Andrew County Detailed General Revenue Expenditures</c:v>
            </c:pt>
          </c:strCache>
        </c:strRef>
      </c:tx>
      <c:layout>
        <c:manualLayout>
          <c:xMode val="edge"/>
          <c:yMode val="edge"/>
          <c:x val="0.212617000498528"/>
          <c:y val="2.6941419556598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270418270255105E-2"/>
          <c:y val="0.107425495863655"/>
          <c:w val="0.872171603007598"/>
          <c:h val="0.67184732199143204"/>
        </c:manualLayout>
      </c:layout>
      <c:areaChart>
        <c:grouping val="stacked"/>
        <c:varyColors val="0"/>
        <c:ser>
          <c:idx val="0"/>
          <c:order val="0"/>
          <c:tx>
            <c:strRef>
              <c:f>'County-to-County Budget Trends '!$A$93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'!$B$92:$W$92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'!$B$93:$W$93</c:f>
              <c:numCache>
                <c:formatCode>"$"#,##0</c:formatCode>
                <c:ptCount val="22"/>
                <c:pt idx="0">
                  <c:v>297680.88</c:v>
                </c:pt>
                <c:pt idx="1">
                  <c:v>285668.25</c:v>
                </c:pt>
                <c:pt idx="2">
                  <c:v>314570.45999999996</c:v>
                </c:pt>
                <c:pt idx="3">
                  <c:v>350903.52</c:v>
                </c:pt>
                <c:pt idx="4">
                  <c:v>432989.93</c:v>
                </c:pt>
                <c:pt idx="5">
                  <c:v>461545.20000000007</c:v>
                </c:pt>
                <c:pt idx="6">
                  <c:v>478215.99</c:v>
                </c:pt>
                <c:pt idx="7">
                  <c:v>391839.19999999995</c:v>
                </c:pt>
                <c:pt idx="8">
                  <c:v>487854</c:v>
                </c:pt>
                <c:pt idx="9">
                  <c:v>522981</c:v>
                </c:pt>
                <c:pt idx="10">
                  <c:v>484203</c:v>
                </c:pt>
                <c:pt idx="11">
                  <c:v>526339</c:v>
                </c:pt>
                <c:pt idx="12">
                  <c:v>535828</c:v>
                </c:pt>
                <c:pt idx="13">
                  <c:v>490279</c:v>
                </c:pt>
                <c:pt idx="14">
                  <c:v>523057</c:v>
                </c:pt>
                <c:pt idx="15">
                  <c:v>508449</c:v>
                </c:pt>
                <c:pt idx="16">
                  <c:v>575309</c:v>
                </c:pt>
                <c:pt idx="17">
                  <c:v>514534</c:v>
                </c:pt>
                <c:pt idx="18">
                  <c:v>504521</c:v>
                </c:pt>
                <c:pt idx="19">
                  <c:v>474412</c:v>
                </c:pt>
                <c:pt idx="20">
                  <c:v>561917</c:v>
                </c:pt>
                <c:pt idx="21">
                  <c:v>544572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4-9148-87AA-84443A1B9186}"/>
            </c:ext>
          </c:extLst>
        </c:ser>
        <c:ser>
          <c:idx val="1"/>
          <c:order val="1"/>
          <c:tx>
            <c:strRef>
              <c:f>'County-to-County Budget Trends '!$A$94</c:f>
              <c:strCache>
                <c:ptCount val="1"/>
                <c:pt idx="0">
                  <c:v>Law Enforcement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'!$B$92:$W$92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'!$B$94:$W$94</c:f>
              <c:numCache>
                <c:formatCode>"$"#,##0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4-9148-87AA-84443A1B9186}"/>
            </c:ext>
          </c:extLst>
        </c:ser>
        <c:ser>
          <c:idx val="2"/>
          <c:order val="2"/>
          <c:tx>
            <c:strRef>
              <c:f>'County-to-County Budget Trends '!$A$95</c:f>
              <c:strCache>
                <c:ptCount val="1"/>
                <c:pt idx="0">
                  <c:v>Court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'!$B$92:$W$92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'!$B$95:$W$95</c:f>
              <c:numCache>
                <c:formatCode>"$"#,##0</c:formatCode>
                <c:ptCount val="22"/>
                <c:pt idx="0">
                  <c:v>63788.76</c:v>
                </c:pt>
                <c:pt idx="1">
                  <c:v>89781.45</c:v>
                </c:pt>
                <c:pt idx="2">
                  <c:v>82781.7</c:v>
                </c:pt>
                <c:pt idx="3">
                  <c:v>68231.239999999991</c:v>
                </c:pt>
                <c:pt idx="4">
                  <c:v>63364.38</c:v>
                </c:pt>
                <c:pt idx="5">
                  <c:v>92309.04</c:v>
                </c:pt>
                <c:pt idx="6">
                  <c:v>123345.18</c:v>
                </c:pt>
                <c:pt idx="7">
                  <c:v>117551.76</c:v>
                </c:pt>
                <c:pt idx="8">
                  <c:v>70852</c:v>
                </c:pt>
                <c:pt idx="9">
                  <c:v>74011</c:v>
                </c:pt>
                <c:pt idx="10">
                  <c:v>76318</c:v>
                </c:pt>
                <c:pt idx="11">
                  <c:v>100143</c:v>
                </c:pt>
                <c:pt idx="12">
                  <c:v>104452</c:v>
                </c:pt>
                <c:pt idx="13">
                  <c:v>99306</c:v>
                </c:pt>
                <c:pt idx="14">
                  <c:v>115252</c:v>
                </c:pt>
                <c:pt idx="15">
                  <c:v>114211</c:v>
                </c:pt>
                <c:pt idx="16">
                  <c:v>107370</c:v>
                </c:pt>
                <c:pt idx="17">
                  <c:v>115862</c:v>
                </c:pt>
                <c:pt idx="18">
                  <c:v>101836</c:v>
                </c:pt>
                <c:pt idx="19">
                  <c:v>101013</c:v>
                </c:pt>
                <c:pt idx="20">
                  <c:v>108374</c:v>
                </c:pt>
                <c:pt idx="21">
                  <c:v>169881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E4-9148-87AA-84443A1B9186}"/>
            </c:ext>
          </c:extLst>
        </c:ser>
        <c:ser>
          <c:idx val="3"/>
          <c:order val="3"/>
          <c:tx>
            <c:strRef>
              <c:f>'County-to-County Budget Trends '!$A$96</c:f>
              <c:strCache>
                <c:ptCount val="1"/>
                <c:pt idx="0">
                  <c:v>Fringe Benefits</c:v>
                </c:pt>
              </c:strCache>
            </c:strRef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'!$B$92:$W$92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'!$B$96:$W$96</c:f>
              <c:numCache>
                <c:formatCode>"$"#,##0</c:formatCode>
                <c:ptCount val="22"/>
                <c:pt idx="0">
                  <c:v>63788.76</c:v>
                </c:pt>
                <c:pt idx="1">
                  <c:v>97943.4</c:v>
                </c:pt>
                <c:pt idx="2">
                  <c:v>91059.87</c:v>
                </c:pt>
                <c:pt idx="3">
                  <c:v>116967.84</c:v>
                </c:pt>
                <c:pt idx="4">
                  <c:v>126728.76</c:v>
                </c:pt>
                <c:pt idx="5">
                  <c:v>138463.56</c:v>
                </c:pt>
                <c:pt idx="6">
                  <c:v>150755.22</c:v>
                </c:pt>
                <c:pt idx="7">
                  <c:v>195919.6</c:v>
                </c:pt>
                <c:pt idx="8">
                  <c:v>211001</c:v>
                </c:pt>
                <c:pt idx="9">
                  <c:v>212412</c:v>
                </c:pt>
                <c:pt idx="10">
                  <c:v>203255</c:v>
                </c:pt>
                <c:pt idx="11">
                  <c:v>214698</c:v>
                </c:pt>
                <c:pt idx="12">
                  <c:v>258340</c:v>
                </c:pt>
                <c:pt idx="13">
                  <c:v>264901</c:v>
                </c:pt>
                <c:pt idx="14">
                  <c:v>223331</c:v>
                </c:pt>
                <c:pt idx="15">
                  <c:v>257884</c:v>
                </c:pt>
                <c:pt idx="16">
                  <c:v>274457</c:v>
                </c:pt>
                <c:pt idx="17">
                  <c:v>235918</c:v>
                </c:pt>
                <c:pt idx="18">
                  <c:v>206859</c:v>
                </c:pt>
                <c:pt idx="19">
                  <c:v>215363</c:v>
                </c:pt>
                <c:pt idx="20">
                  <c:v>236210</c:v>
                </c:pt>
                <c:pt idx="21">
                  <c:v>244102.57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E4-9148-87AA-84443A1B9186}"/>
            </c:ext>
          </c:extLst>
        </c:ser>
        <c:ser>
          <c:idx val="4"/>
          <c:order val="4"/>
          <c:tx>
            <c:strRef>
              <c:f>'County-to-County Budget Trends '!$A$97</c:f>
              <c:strCache>
                <c:ptCount val="1"/>
                <c:pt idx="0">
                  <c:v>Prosecuting Attorney</c:v>
                </c:pt>
              </c:strCache>
            </c:strRef>
          </c:tx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'!$B$92:$W$92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'!$B$97:$W$97</c:f>
              <c:numCache>
                <c:formatCode>"$"#,##0</c:formatCode>
                <c:ptCount val="22"/>
                <c:pt idx="0">
                  <c:v>56701.120000000003</c:v>
                </c:pt>
                <c:pt idx="1">
                  <c:v>57133.65</c:v>
                </c:pt>
                <c:pt idx="2">
                  <c:v>66225.36</c:v>
                </c:pt>
                <c:pt idx="3">
                  <c:v>77978.559999999998</c:v>
                </c:pt>
                <c:pt idx="4">
                  <c:v>84485.84</c:v>
                </c:pt>
                <c:pt idx="5">
                  <c:v>80770.41</c:v>
                </c:pt>
                <c:pt idx="6">
                  <c:v>95935.14</c:v>
                </c:pt>
                <c:pt idx="7">
                  <c:v>78367.839999999997</c:v>
                </c:pt>
                <c:pt idx="8">
                  <c:v>90612</c:v>
                </c:pt>
                <c:pt idx="9">
                  <c:v>88149</c:v>
                </c:pt>
                <c:pt idx="10">
                  <c:v>101474</c:v>
                </c:pt>
                <c:pt idx="11">
                  <c:v>103805</c:v>
                </c:pt>
                <c:pt idx="12">
                  <c:v>101412</c:v>
                </c:pt>
                <c:pt idx="13">
                  <c:v>103952</c:v>
                </c:pt>
                <c:pt idx="14">
                  <c:v>108576</c:v>
                </c:pt>
                <c:pt idx="15">
                  <c:v>105022</c:v>
                </c:pt>
                <c:pt idx="16">
                  <c:v>103747</c:v>
                </c:pt>
                <c:pt idx="17">
                  <c:v>116934</c:v>
                </c:pt>
                <c:pt idx="18">
                  <c:v>117704</c:v>
                </c:pt>
                <c:pt idx="19">
                  <c:v>139333</c:v>
                </c:pt>
                <c:pt idx="20">
                  <c:v>140589</c:v>
                </c:pt>
                <c:pt idx="21">
                  <c:v>153200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E4-9148-87AA-84443A1B9186}"/>
            </c:ext>
          </c:extLst>
        </c:ser>
        <c:ser>
          <c:idx val="5"/>
          <c:order val="5"/>
          <c:tx>
            <c:strRef>
              <c:f>'County-to-County Budget Trends '!$A$98</c:f>
              <c:strCache>
                <c:ptCount val="1"/>
                <c:pt idx="0">
                  <c:v>Public Administrator and Coroner</c:v>
                </c:pt>
              </c:strCache>
            </c:strRef>
          </c:tx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'!$B$92:$W$92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'!$B$98:$W$98</c:f>
              <c:numCache>
                <c:formatCode>"$"#,##0</c:formatCode>
                <c:ptCount val="22"/>
                <c:pt idx="0">
                  <c:v>14175.28</c:v>
                </c:pt>
                <c:pt idx="1">
                  <c:v>24485.85</c:v>
                </c:pt>
                <c:pt idx="2">
                  <c:v>24834.510000000002</c:v>
                </c:pt>
                <c:pt idx="3">
                  <c:v>29241.96</c:v>
                </c:pt>
                <c:pt idx="4">
                  <c:v>31682.19</c:v>
                </c:pt>
                <c:pt idx="5">
                  <c:v>34615.89</c:v>
                </c:pt>
                <c:pt idx="6">
                  <c:v>41115.06</c:v>
                </c:pt>
                <c:pt idx="7">
                  <c:v>39183.919999999998</c:v>
                </c:pt>
                <c:pt idx="8">
                  <c:v>43462</c:v>
                </c:pt>
                <c:pt idx="9">
                  <c:v>45579</c:v>
                </c:pt>
                <c:pt idx="10">
                  <c:v>47657</c:v>
                </c:pt>
                <c:pt idx="11">
                  <c:v>43062</c:v>
                </c:pt>
                <c:pt idx="12">
                  <c:v>41491</c:v>
                </c:pt>
                <c:pt idx="13">
                  <c:v>48277</c:v>
                </c:pt>
                <c:pt idx="14">
                  <c:v>44295</c:v>
                </c:pt>
                <c:pt idx="15">
                  <c:v>46284</c:v>
                </c:pt>
                <c:pt idx="16">
                  <c:v>46027</c:v>
                </c:pt>
                <c:pt idx="17">
                  <c:v>45249</c:v>
                </c:pt>
                <c:pt idx="18">
                  <c:v>41192</c:v>
                </c:pt>
                <c:pt idx="19">
                  <c:v>40491</c:v>
                </c:pt>
                <c:pt idx="20">
                  <c:v>42262</c:v>
                </c:pt>
                <c:pt idx="21">
                  <c:v>57380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E4-9148-87AA-84443A1B9186}"/>
            </c:ext>
          </c:extLst>
        </c:ser>
        <c:ser>
          <c:idx val="6"/>
          <c:order val="6"/>
          <c:tx>
            <c:strRef>
              <c:f>'County-to-County Budget Trends '!$A$99</c:f>
              <c:strCache>
                <c:ptCount val="1"/>
                <c:pt idx="0">
                  <c:v>Health and Welfare and "Other"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'!$B$92:$W$92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'!$B$99:$W$99</c:f>
              <c:numCache>
                <c:formatCode>"$"#,##0</c:formatCode>
                <c:ptCount val="22"/>
                <c:pt idx="0">
                  <c:v>170103.36</c:v>
                </c:pt>
                <c:pt idx="1">
                  <c:v>212210.7</c:v>
                </c:pt>
                <c:pt idx="2">
                  <c:v>215232.42</c:v>
                </c:pt>
                <c:pt idx="3">
                  <c:v>243683</c:v>
                </c:pt>
                <c:pt idx="4">
                  <c:v>211214.6</c:v>
                </c:pt>
                <c:pt idx="5">
                  <c:v>253849.86000000002</c:v>
                </c:pt>
                <c:pt idx="6">
                  <c:v>424855.62</c:v>
                </c:pt>
                <c:pt idx="7">
                  <c:v>1077557.8</c:v>
                </c:pt>
                <c:pt idx="8">
                  <c:v>415995</c:v>
                </c:pt>
                <c:pt idx="9">
                  <c:v>509143</c:v>
                </c:pt>
                <c:pt idx="10">
                  <c:v>665047</c:v>
                </c:pt>
                <c:pt idx="11">
                  <c:v>777416</c:v>
                </c:pt>
                <c:pt idx="12">
                  <c:v>923026</c:v>
                </c:pt>
                <c:pt idx="13">
                  <c:v>721345</c:v>
                </c:pt>
                <c:pt idx="14">
                  <c:v>914724</c:v>
                </c:pt>
                <c:pt idx="15">
                  <c:v>644255</c:v>
                </c:pt>
                <c:pt idx="16">
                  <c:v>493315</c:v>
                </c:pt>
                <c:pt idx="17">
                  <c:v>913311</c:v>
                </c:pt>
                <c:pt idx="18">
                  <c:v>446047</c:v>
                </c:pt>
                <c:pt idx="19">
                  <c:v>767930</c:v>
                </c:pt>
                <c:pt idx="20">
                  <c:v>716552</c:v>
                </c:pt>
                <c:pt idx="21">
                  <c:v>748708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E4-9148-87AA-84443A1B9186}"/>
            </c:ext>
          </c:extLst>
        </c:ser>
        <c:ser>
          <c:idx val="7"/>
          <c:order val="7"/>
          <c:tx>
            <c:strRef>
              <c:f>'County-to-County Budget Trends '!$A$100</c:f>
              <c:strCache>
                <c:ptCount val="1"/>
                <c:pt idx="0">
                  <c:v>Operating Transfers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'County-to-County Budget Trends '!$B$92:$W$92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Budget Trends '!$B$100:$W$100</c:f>
              <c:numCache>
                <c:formatCode>"$"#,##0</c:formatCode>
                <c:ptCount val="22"/>
                <c:pt idx="0">
                  <c:v>42525.84</c:v>
                </c:pt>
                <c:pt idx="1">
                  <c:v>48971.7</c:v>
                </c:pt>
                <c:pt idx="2">
                  <c:v>33112.68</c:v>
                </c:pt>
                <c:pt idx="3">
                  <c:v>87725.88</c:v>
                </c:pt>
                <c:pt idx="4">
                  <c:v>105607.3</c:v>
                </c:pt>
                <c:pt idx="5">
                  <c:v>92309.04</c:v>
                </c:pt>
                <c:pt idx="6">
                  <c:v>41115.06</c:v>
                </c:pt>
                <c:pt idx="7">
                  <c:v>58775.88</c:v>
                </c:pt>
                <c:pt idx="8">
                  <c:v>50000</c:v>
                </c:pt>
                <c:pt idx="9">
                  <c:v>260000</c:v>
                </c:pt>
                <c:pt idx="10">
                  <c:v>300000</c:v>
                </c:pt>
                <c:pt idx="11">
                  <c:v>0</c:v>
                </c:pt>
                <c:pt idx="12">
                  <c:v>180000</c:v>
                </c:pt>
                <c:pt idx="13">
                  <c:v>288000</c:v>
                </c:pt>
                <c:pt idx="14">
                  <c:v>788159</c:v>
                </c:pt>
                <c:pt idx="15">
                  <c:v>425303</c:v>
                </c:pt>
                <c:pt idx="16">
                  <c:v>566192</c:v>
                </c:pt>
                <c:pt idx="17">
                  <c:v>620000</c:v>
                </c:pt>
                <c:pt idx="18">
                  <c:v>570000</c:v>
                </c:pt>
                <c:pt idx="19">
                  <c:v>648629</c:v>
                </c:pt>
                <c:pt idx="20">
                  <c:v>961887</c:v>
                </c:pt>
                <c:pt idx="21">
                  <c:v>1012020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E4-9148-87AA-84443A1B9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8249840"/>
        <c:axId val="458254152"/>
      </c:areaChart>
      <c:catAx>
        <c:axId val="45824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4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254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498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548094324290302E-3"/>
          <c:y val="0.89403188956301505"/>
          <c:w val="0.98349038113512"/>
          <c:h val="9.37294566889002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Budget Trends'!$A$10</c:f>
          <c:strCache>
            <c:ptCount val="1"/>
            <c:pt idx="0">
              <c:v>Douglas County 2017 General Revenue Receipts</c:v>
            </c:pt>
          </c:strCache>
        </c:strRef>
      </c:tx>
      <c:layout>
        <c:manualLayout>
          <c:xMode val="edge"/>
          <c:yMode val="edge"/>
          <c:x val="0.15624996927414"/>
          <c:y val="2.92652862836590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833269150409"/>
          <c:y val="0.18482216609717"/>
          <c:w val="0.52930996528659702"/>
          <c:h val="0.71981161788741399"/>
        </c:manualLayout>
      </c:layout>
      <c:pie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9A-C149-AC6B-2414D36956B6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9A-C149-AC6B-2414D36956B6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9A-C149-AC6B-2414D36956B6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89A-C149-AC6B-2414D36956B6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89A-C149-AC6B-2414D36956B6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89A-C149-AC6B-2414D36956B6}"/>
              </c:ext>
            </c:extLst>
          </c:dPt>
          <c:dLbls>
            <c:dLbl>
              <c:idx val="0"/>
              <c:layout>
                <c:manualLayout>
                  <c:x val="-9.7642055929273205E-2"/>
                  <c:y val="0.10459367674461199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9A-C149-AC6B-2414D36956B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'County Budget Trends'!$A$12:$A$17</c:f>
              <c:strCache>
                <c:ptCount val="6"/>
                <c:pt idx="0">
                  <c:v>Property Tax</c:v>
                </c:pt>
                <c:pt idx="1">
                  <c:v>Intergovernmental</c:v>
                </c:pt>
                <c:pt idx="2">
                  <c:v>Other</c:v>
                </c:pt>
                <c:pt idx="3">
                  <c:v>Interest</c:v>
                </c:pt>
                <c:pt idx="4">
                  <c:v>Charges for Services</c:v>
                </c:pt>
                <c:pt idx="5">
                  <c:v>Sales Tax</c:v>
                </c:pt>
              </c:strCache>
            </c:strRef>
          </c:cat>
          <c:val>
            <c:numRef>
              <c:f>'County Budget Trends'!$B$12:$B$17</c:f>
              <c:numCache>
                <c:formatCode>"$"#,##0</c:formatCode>
                <c:ptCount val="6"/>
                <c:pt idx="0">
                  <c:v>156000</c:v>
                </c:pt>
                <c:pt idx="1">
                  <c:v>290249.68</c:v>
                </c:pt>
                <c:pt idx="2">
                  <c:v>22000</c:v>
                </c:pt>
                <c:pt idx="3">
                  <c:v>2500</c:v>
                </c:pt>
                <c:pt idx="4">
                  <c:v>172500</c:v>
                </c:pt>
                <c:pt idx="5">
                  <c:v>1000000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9A-C149-AC6B-2414D36956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777352782620198"/>
          <c:y val="0.230905861456492"/>
          <c:w val="0.233090649129858"/>
          <c:h val="0.46891651865008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landscape" horizontalDpi="-3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Base Trends'!$A$10</c:f>
          <c:strCache>
            <c:ptCount val="1"/>
            <c:pt idx="0">
              <c:v>Bollinger County and Barton County Tax Bases: Property Assessed Values and Taxable Sales</c:v>
            </c:pt>
          </c:strCache>
        </c:strRef>
      </c:tx>
      <c:layout>
        <c:manualLayout>
          <c:xMode val="edge"/>
          <c:yMode val="edge"/>
          <c:x val="0.154373380042679"/>
          <c:y val="2.75860853214244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411642411645"/>
          <c:y val="0.17735849056605099"/>
          <c:w val="0.81016515693198499"/>
          <c:h val="0.611841642764543"/>
        </c:manualLayout>
      </c:layout>
      <c:lineChart>
        <c:grouping val="standard"/>
        <c:varyColors val="0"/>
        <c:ser>
          <c:idx val="0"/>
          <c:order val="0"/>
          <c:tx>
            <c:strRef>
              <c:f>'County-to-County Base Trends'!$A$12</c:f>
              <c:strCache>
                <c:ptCount val="1"/>
                <c:pt idx="0">
                  <c:v>Bollinger County Property Assessed Values</c:v>
                </c:pt>
              </c:strCache>
            </c:strRef>
          </c:tx>
          <c:spPr>
            <a:ln w="381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strRef>
              <c:f>'County-to-County Base Trends'!$B$11:$W$11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Trends'!$B$12:$W$12</c:f>
              <c:numCache>
                <c:formatCode>"$"#,##0</c:formatCode>
                <c:ptCount val="22"/>
                <c:pt idx="0">
                  <c:v>63000390</c:v>
                </c:pt>
                <c:pt idx="1">
                  <c:v>73685016</c:v>
                </c:pt>
                <c:pt idx="2">
                  <c:v>75332162</c:v>
                </c:pt>
                <c:pt idx="3">
                  <c:v>78751438</c:v>
                </c:pt>
                <c:pt idx="4">
                  <c:v>83373278</c:v>
                </c:pt>
                <c:pt idx="5">
                  <c:v>88079901</c:v>
                </c:pt>
                <c:pt idx="6">
                  <c:v>89974929</c:v>
                </c:pt>
                <c:pt idx="7">
                  <c:v>95944303</c:v>
                </c:pt>
                <c:pt idx="8">
                  <c:v>97346191.627981886</c:v>
                </c:pt>
                <c:pt idx="9">
                  <c:v>100565436.47539529</c:v>
                </c:pt>
                <c:pt idx="10">
                  <c:v>103377486.02063678</c:v>
                </c:pt>
                <c:pt idx="11">
                  <c:v>109540479.2031185</c:v>
                </c:pt>
                <c:pt idx="12">
                  <c:v>108322752.79696156</c:v>
                </c:pt>
                <c:pt idx="13">
                  <c:v>108934964.55618444</c:v>
                </c:pt>
                <c:pt idx="14">
                  <c:v>110269235</c:v>
                </c:pt>
                <c:pt idx="15">
                  <c:v>113915542</c:v>
                </c:pt>
                <c:pt idx="16">
                  <c:v>118413473</c:v>
                </c:pt>
                <c:pt idx="17">
                  <c:v>122039918</c:v>
                </c:pt>
                <c:pt idx="18">
                  <c:v>121900307</c:v>
                </c:pt>
                <c:pt idx="19">
                  <c:v>124878878</c:v>
                </c:pt>
                <c:pt idx="20">
                  <c:v>128315648</c:v>
                </c:pt>
                <c:pt idx="21">
                  <c:v>137169709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8-1446-AC36-A2A8E1464104}"/>
            </c:ext>
          </c:extLst>
        </c:ser>
        <c:ser>
          <c:idx val="1"/>
          <c:order val="1"/>
          <c:tx>
            <c:strRef>
              <c:f>'County-to-County Base Trends'!$A$13</c:f>
              <c:strCache>
                <c:ptCount val="1"/>
                <c:pt idx="0">
                  <c:v>Bollinger County Taxable Sales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'County-to-County Base Trends'!$B$11:$W$11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Trends'!$B$13:$W$13</c:f>
              <c:numCache>
                <c:formatCode>"$"#,##0</c:formatCode>
                <c:ptCount val="22"/>
                <c:pt idx="0">
                  <c:v>30064109.350000001</c:v>
                </c:pt>
                <c:pt idx="1">
                  <c:v>32663119.27</c:v>
                </c:pt>
                <c:pt idx="2">
                  <c:v>32694808.309999999</c:v>
                </c:pt>
                <c:pt idx="3">
                  <c:v>34337823.719999999</c:v>
                </c:pt>
                <c:pt idx="4">
                  <c:v>36660184.969999999</c:v>
                </c:pt>
                <c:pt idx="5">
                  <c:v>38137949.68</c:v>
                </c:pt>
                <c:pt idx="6">
                  <c:v>40743073.109999999</c:v>
                </c:pt>
                <c:pt idx="7">
                  <c:v>37875021.219999999</c:v>
                </c:pt>
                <c:pt idx="8">
                  <c:v>37886336.469999999</c:v>
                </c:pt>
                <c:pt idx="9">
                  <c:v>40686465.259999998</c:v>
                </c:pt>
                <c:pt idx="10">
                  <c:v>41559726.170000002</c:v>
                </c:pt>
                <c:pt idx="11">
                  <c:v>50007946.18</c:v>
                </c:pt>
                <c:pt idx="12">
                  <c:v>46472664.18</c:v>
                </c:pt>
                <c:pt idx="13">
                  <c:v>46132296.68</c:v>
                </c:pt>
                <c:pt idx="14">
                  <c:v>46016267.100000001</c:v>
                </c:pt>
                <c:pt idx="15">
                  <c:v>46901628.700000003</c:v>
                </c:pt>
                <c:pt idx="16">
                  <c:v>46768806.380000003</c:v>
                </c:pt>
                <c:pt idx="17">
                  <c:v>48695137.990000002</c:v>
                </c:pt>
                <c:pt idx="18">
                  <c:v>50796820.850000001</c:v>
                </c:pt>
                <c:pt idx="19">
                  <c:v>53110108.969999999</c:v>
                </c:pt>
                <c:pt idx="20">
                  <c:v>53242761.479999997</c:v>
                </c:pt>
                <c:pt idx="21">
                  <c:v>52942688.590000004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8-1446-AC36-A2A8E1464104}"/>
            </c:ext>
          </c:extLst>
        </c:ser>
        <c:ser>
          <c:idx val="2"/>
          <c:order val="2"/>
          <c:tx>
            <c:strRef>
              <c:f>'County-to-County Base Trends'!$A$14</c:f>
              <c:strCache>
                <c:ptCount val="1"/>
                <c:pt idx="0">
                  <c:v>Barton County Property Assessed Values</c:v>
                </c:pt>
              </c:strCache>
            </c:strRef>
          </c:tx>
          <c:spPr>
            <a:ln w="38100">
              <a:solidFill>
                <a:srgbClr val="0000CC"/>
              </a:solidFill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cat>
            <c:strRef>
              <c:f>'County-to-County Base Trends'!$B$11:$W$11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Trends'!$B$14:$W$14</c:f>
              <c:numCache>
                <c:formatCode>"$"#,##0</c:formatCode>
                <c:ptCount val="22"/>
                <c:pt idx="0">
                  <c:v>97462636</c:v>
                </c:pt>
                <c:pt idx="1">
                  <c:v>103305702</c:v>
                </c:pt>
                <c:pt idx="2">
                  <c:v>109748815</c:v>
                </c:pt>
                <c:pt idx="3">
                  <c:v>120448330</c:v>
                </c:pt>
                <c:pt idx="4">
                  <c:v>126081191</c:v>
                </c:pt>
                <c:pt idx="5">
                  <c:v>129857352</c:v>
                </c:pt>
                <c:pt idx="6">
                  <c:v>131934004</c:v>
                </c:pt>
                <c:pt idx="7">
                  <c:v>140444121</c:v>
                </c:pt>
                <c:pt idx="8">
                  <c:v>144608050.94903433</c:v>
                </c:pt>
                <c:pt idx="9">
                  <c:v>160215197.86937359</c:v>
                </c:pt>
                <c:pt idx="10">
                  <c:v>164746973.16112328</c:v>
                </c:pt>
                <c:pt idx="11">
                  <c:v>175312981.70158517</c:v>
                </c:pt>
                <c:pt idx="12">
                  <c:v>180077771.50942314</c:v>
                </c:pt>
                <c:pt idx="13">
                  <c:v>173780524.80936211</c:v>
                </c:pt>
                <c:pt idx="14">
                  <c:v>176133708</c:v>
                </c:pt>
                <c:pt idx="15">
                  <c:v>165538096</c:v>
                </c:pt>
                <c:pt idx="16">
                  <c:v>173074791</c:v>
                </c:pt>
                <c:pt idx="17">
                  <c:v>177756562</c:v>
                </c:pt>
                <c:pt idx="18">
                  <c:v>173487441</c:v>
                </c:pt>
                <c:pt idx="19">
                  <c:v>181787659</c:v>
                </c:pt>
                <c:pt idx="20">
                  <c:v>183962804</c:v>
                </c:pt>
                <c:pt idx="21">
                  <c:v>184140010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A8-1446-AC36-A2A8E1464104}"/>
            </c:ext>
          </c:extLst>
        </c:ser>
        <c:ser>
          <c:idx val="3"/>
          <c:order val="3"/>
          <c:tx>
            <c:strRef>
              <c:f>'County-to-County Base Trends'!$A$15</c:f>
              <c:strCache>
                <c:ptCount val="1"/>
                <c:pt idx="0">
                  <c:v>Barton County Taxable Sales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strRef>
              <c:f>'County-to-County Base Trends'!$B$11:$W$11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Trends'!$B$15:$W$15</c:f>
              <c:numCache>
                <c:formatCode>"$"#,##0</c:formatCode>
                <c:ptCount val="22"/>
                <c:pt idx="0">
                  <c:v>62135913.369999997</c:v>
                </c:pt>
                <c:pt idx="1">
                  <c:v>65812488.5</c:v>
                </c:pt>
                <c:pt idx="2">
                  <c:v>69838095.150000006</c:v>
                </c:pt>
                <c:pt idx="3">
                  <c:v>69825246.370000005</c:v>
                </c:pt>
                <c:pt idx="4">
                  <c:v>70964258.900000006</c:v>
                </c:pt>
                <c:pt idx="5">
                  <c:v>71426733.400000006</c:v>
                </c:pt>
                <c:pt idx="6">
                  <c:v>74208150.599999994</c:v>
                </c:pt>
                <c:pt idx="7">
                  <c:v>74984801.25</c:v>
                </c:pt>
                <c:pt idx="8">
                  <c:v>83626746.150000006</c:v>
                </c:pt>
                <c:pt idx="9">
                  <c:v>89400607.959999993</c:v>
                </c:pt>
                <c:pt idx="10">
                  <c:v>89986246.579999998</c:v>
                </c:pt>
                <c:pt idx="11">
                  <c:v>92387726.049999997</c:v>
                </c:pt>
                <c:pt idx="12">
                  <c:v>91145639.909999996</c:v>
                </c:pt>
                <c:pt idx="13">
                  <c:v>87704558.609999999</c:v>
                </c:pt>
                <c:pt idx="14">
                  <c:v>86503530.859999999</c:v>
                </c:pt>
                <c:pt idx="15">
                  <c:v>91483942.769999996</c:v>
                </c:pt>
                <c:pt idx="16">
                  <c:v>92543900.420000002</c:v>
                </c:pt>
                <c:pt idx="17">
                  <c:v>93018318.75</c:v>
                </c:pt>
                <c:pt idx="18">
                  <c:v>91910389.890000001</c:v>
                </c:pt>
                <c:pt idx="19">
                  <c:v>93610036.549999997</c:v>
                </c:pt>
                <c:pt idx="20">
                  <c:v>95703934.340000004</c:v>
                </c:pt>
                <c:pt idx="21">
                  <c:v>90500968.310000002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A8-1446-AC36-A2A8E1464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8251016"/>
        <c:axId val="458251408"/>
      </c:lineChart>
      <c:catAx>
        <c:axId val="45825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25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510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1086350974930192E-3"/>
          <c:y val="0.89153691287429004"/>
          <c:w val="0.98735376044568202"/>
          <c:h val="9.54700476825546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landscape" horizontalDpi="-3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Base Trends'!$A$17</c:f>
          <c:strCache>
            <c:ptCount val="1"/>
            <c:pt idx="0">
              <c:v>Bollinger County and Barton County per Capita Tax Bases: Property Assessed Values and Taxable Sales</c:v>
            </c:pt>
          </c:strCache>
        </c:strRef>
      </c:tx>
      <c:layout>
        <c:manualLayout>
          <c:xMode val="edge"/>
          <c:yMode val="edge"/>
          <c:x val="0.14877744969378801"/>
          <c:y val="3.70358576501486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12631463025"/>
          <c:y val="0.27555515596608099"/>
          <c:w val="0.83508969770390096"/>
          <c:h val="0.47773697758933997"/>
        </c:manualLayout>
      </c:layout>
      <c:lineChart>
        <c:grouping val="standard"/>
        <c:varyColors val="0"/>
        <c:ser>
          <c:idx val="0"/>
          <c:order val="0"/>
          <c:tx>
            <c:strRef>
              <c:f>'County-to-County Base Trends'!$A$19</c:f>
              <c:strCache>
                <c:ptCount val="1"/>
                <c:pt idx="0">
                  <c:v>Bollinger Property Assessed Values</c:v>
                </c:pt>
              </c:strCache>
            </c:strRef>
          </c:tx>
          <c:spPr>
            <a:ln w="381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strRef>
              <c:f>'County-to-County Base Trends'!$B$18:$W$18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Trends'!$B$19:$W$19</c:f>
              <c:numCache>
                <c:formatCode>"$"#,##0</c:formatCode>
                <c:ptCount val="22"/>
                <c:pt idx="0">
                  <c:v>5516.6716287215413</c:v>
                </c:pt>
                <c:pt idx="1">
                  <c:v>6400.1577347346474</c:v>
                </c:pt>
                <c:pt idx="2">
                  <c:v>6484.6485323233192</c:v>
                </c:pt>
                <c:pt idx="3">
                  <c:v>6622.7767218905055</c:v>
                </c:pt>
                <c:pt idx="4">
                  <c:v>6920.6672200547855</c:v>
                </c:pt>
                <c:pt idx="5">
                  <c:v>7164.4624206930212</c:v>
                </c:pt>
                <c:pt idx="6">
                  <c:v>7275.404625212258</c:v>
                </c:pt>
                <c:pt idx="7">
                  <c:v>7737.4437903225808</c:v>
                </c:pt>
                <c:pt idx="8">
                  <c:v>7833.4426352282844</c:v>
                </c:pt>
                <c:pt idx="9">
                  <c:v>8067.1776412157305</c:v>
                </c:pt>
                <c:pt idx="10">
                  <c:v>8272.8461924325202</c:v>
                </c:pt>
                <c:pt idx="11">
                  <c:v>8725.5439862289713</c:v>
                </c:pt>
                <c:pt idx="12">
                  <c:v>8715.3232598730028</c:v>
                </c:pt>
                <c:pt idx="13">
                  <c:v>8776.5843180941374</c:v>
                </c:pt>
                <c:pt idx="14">
                  <c:v>8936.6427587324742</c:v>
                </c:pt>
                <c:pt idx="15">
                  <c:v>9199.349269159331</c:v>
                </c:pt>
                <c:pt idx="16">
                  <c:v>9563.3559198837029</c:v>
                </c:pt>
                <c:pt idx="17">
                  <c:v>9771.0102481985596</c:v>
                </c:pt>
                <c:pt idx="18">
                  <c:v>9856.1050291073734</c:v>
                </c:pt>
                <c:pt idx="19">
                  <c:v>10268.800098676096</c:v>
                </c:pt>
                <c:pt idx="20">
                  <c:v>10646.83438433455</c:v>
                </c:pt>
                <c:pt idx="21">
                  <c:v>11146.571509832602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9-0B4F-B4CD-25817AFB323C}"/>
            </c:ext>
          </c:extLst>
        </c:ser>
        <c:ser>
          <c:idx val="1"/>
          <c:order val="1"/>
          <c:tx>
            <c:strRef>
              <c:f>'County-to-County Base Trends'!$A$20</c:f>
              <c:strCache>
                <c:ptCount val="1"/>
                <c:pt idx="0">
                  <c:v>Bollinger County Taxable Sales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'County-to-County Base Trends'!$B$18:$W$18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Trends'!$B$20:$W$20</c:f>
              <c:numCache>
                <c:formatCode>"$"#,##0</c:formatCode>
                <c:ptCount val="22"/>
                <c:pt idx="0">
                  <c:v>2632.5840061295971</c:v>
                </c:pt>
                <c:pt idx="1">
                  <c:v>2837.0641249022842</c:v>
                </c:pt>
                <c:pt idx="2">
                  <c:v>2814.3934156839114</c:v>
                </c:pt>
                <c:pt idx="3">
                  <c:v>2887.7153914725423</c:v>
                </c:pt>
                <c:pt idx="4">
                  <c:v>3043.0966190752883</c:v>
                </c:pt>
                <c:pt idx="5">
                  <c:v>3102.1595640149667</c:v>
                </c:pt>
                <c:pt idx="6">
                  <c:v>3294.4993215816285</c:v>
                </c:pt>
                <c:pt idx="7">
                  <c:v>3054.4371951612902</c:v>
                </c:pt>
                <c:pt idx="8">
                  <c:v>3048.7113921300393</c:v>
                </c:pt>
                <c:pt idx="9">
                  <c:v>3263.7947424995987</c:v>
                </c:pt>
                <c:pt idx="10">
                  <c:v>3325.84236315621</c:v>
                </c:pt>
                <c:pt idx="11">
                  <c:v>3983.4272885136211</c:v>
                </c:pt>
                <c:pt idx="12">
                  <c:v>3739.0509437605601</c:v>
                </c:pt>
                <c:pt idx="13">
                  <c:v>3716.7496519497258</c:v>
                </c:pt>
                <c:pt idx="14">
                  <c:v>3729.3352054461466</c:v>
                </c:pt>
                <c:pt idx="15">
                  <c:v>3787.5820641201649</c:v>
                </c:pt>
                <c:pt idx="16">
                  <c:v>3777.1609093845909</c:v>
                </c:pt>
                <c:pt idx="17">
                  <c:v>3898.7300232185748</c:v>
                </c:pt>
                <c:pt idx="18">
                  <c:v>4107.1168216364813</c:v>
                </c:pt>
                <c:pt idx="19">
                  <c:v>4367.2484968341414</c:v>
                </c:pt>
                <c:pt idx="20">
                  <c:v>4417.7531928310655</c:v>
                </c:pt>
                <c:pt idx="21">
                  <c:v>4302.184998374777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9-0B4F-B4CD-25817AFB323C}"/>
            </c:ext>
          </c:extLst>
        </c:ser>
        <c:ser>
          <c:idx val="2"/>
          <c:order val="2"/>
          <c:tx>
            <c:strRef>
              <c:f>'County-to-County Base Trends'!$A$21</c:f>
              <c:strCache>
                <c:ptCount val="1"/>
                <c:pt idx="0">
                  <c:v>Barton County Property Assessed Values</c:v>
                </c:pt>
              </c:strCache>
            </c:strRef>
          </c:tx>
          <c:spPr>
            <a:ln w="38100">
              <a:solidFill>
                <a:srgbClr val="0000CC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strRef>
              <c:f>'County-to-County Base Trends'!$B$18:$W$18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Trends'!$B$21:$W$21</c:f>
              <c:numCache>
                <c:formatCode>"$"#,##0</c:formatCode>
                <c:ptCount val="22"/>
                <c:pt idx="0">
                  <c:v>8034.1798697551731</c:v>
                </c:pt>
                <c:pt idx="1">
                  <c:v>8469.0688637481562</c:v>
                </c:pt>
                <c:pt idx="2">
                  <c:v>8857.1394560568151</c:v>
                </c:pt>
                <c:pt idx="3">
                  <c:v>9640.4938370417804</c:v>
                </c:pt>
                <c:pt idx="4">
                  <c:v>10052.718147025993</c:v>
                </c:pt>
                <c:pt idx="5">
                  <c:v>10237.88647114475</c:v>
                </c:pt>
                <c:pt idx="6">
                  <c:v>10323.474491392801</c:v>
                </c:pt>
                <c:pt idx="7">
                  <c:v>10866.923630454967</c:v>
                </c:pt>
                <c:pt idx="8">
                  <c:v>11174.410860755299</c:v>
                </c:pt>
                <c:pt idx="9">
                  <c:v>12347.040526308076</c:v>
                </c:pt>
                <c:pt idx="10">
                  <c:v>12700.198362713789</c:v>
                </c:pt>
                <c:pt idx="11">
                  <c:v>13729.57801719674</c:v>
                </c:pt>
                <c:pt idx="12">
                  <c:v>14304.374573788476</c:v>
                </c:pt>
                <c:pt idx="13">
                  <c:v>13953.791939084802</c:v>
                </c:pt>
                <c:pt idx="14">
                  <c:v>14230.726993617192</c:v>
                </c:pt>
                <c:pt idx="15">
                  <c:v>13367.094315245478</c:v>
                </c:pt>
                <c:pt idx="16">
                  <c:v>14028.920402042637</c:v>
                </c:pt>
                <c:pt idx="17">
                  <c:v>14481.186313645621</c:v>
                </c:pt>
                <c:pt idx="18">
                  <c:v>14428.429890219561</c:v>
                </c:pt>
                <c:pt idx="19">
                  <c:v>15305.856613622969</c:v>
                </c:pt>
                <c:pt idx="20">
                  <c:v>15448.673496808868</c:v>
                </c:pt>
                <c:pt idx="21">
                  <c:v>15539.24135021097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9-0B4F-B4CD-25817AFB323C}"/>
            </c:ext>
          </c:extLst>
        </c:ser>
        <c:ser>
          <c:idx val="3"/>
          <c:order val="3"/>
          <c:tx>
            <c:strRef>
              <c:f>'County-to-County Base Trends'!$A$22</c:f>
              <c:strCache>
                <c:ptCount val="1"/>
                <c:pt idx="0">
                  <c:v>Barton County Taxable Sales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strRef>
              <c:f>'County-to-County Base Trends'!$B$18:$W$18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Trends'!$B$22:$W$22</c:f>
              <c:numCache>
                <c:formatCode>"$"#,##0</c:formatCode>
                <c:ptCount val="22"/>
                <c:pt idx="0">
                  <c:v>5122.076776028357</c:v>
                </c:pt>
                <c:pt idx="1">
                  <c:v>5395.3507542220032</c:v>
                </c:pt>
                <c:pt idx="2">
                  <c:v>5636.1952344443553</c:v>
                </c:pt>
                <c:pt idx="3">
                  <c:v>5588.7022866976149</c:v>
                </c:pt>
                <c:pt idx="4">
                  <c:v>5658.1293972253234</c:v>
                </c:pt>
                <c:pt idx="5">
                  <c:v>5631.2467202775151</c:v>
                </c:pt>
                <c:pt idx="6">
                  <c:v>5806.5845539906095</c:v>
                </c:pt>
                <c:pt idx="7">
                  <c:v>5801.9809076137417</c:v>
                </c:pt>
                <c:pt idx="8">
                  <c:v>6462.1548682482035</c:v>
                </c:pt>
                <c:pt idx="9">
                  <c:v>6889.689269420468</c:v>
                </c:pt>
                <c:pt idx="10">
                  <c:v>6936.9601125501076</c:v>
                </c:pt>
                <c:pt idx="11">
                  <c:v>7235.3141240504347</c:v>
                </c:pt>
                <c:pt idx="12">
                  <c:v>7240.1016689173084</c:v>
                </c:pt>
                <c:pt idx="13">
                  <c:v>7042.2802802312508</c:v>
                </c:pt>
                <c:pt idx="14">
                  <c:v>6989.0547677143086</c:v>
                </c:pt>
                <c:pt idx="15">
                  <c:v>7387.2692805232555</c:v>
                </c:pt>
                <c:pt idx="16">
                  <c:v>7501.3293685661019</c:v>
                </c:pt>
                <c:pt idx="17">
                  <c:v>7577.8671079429732</c:v>
                </c:pt>
                <c:pt idx="18">
                  <c:v>7643.911334830339</c:v>
                </c:pt>
                <c:pt idx="19">
                  <c:v>7881.6230150711453</c:v>
                </c:pt>
                <c:pt idx="20">
                  <c:v>8036.9444356734975</c:v>
                </c:pt>
                <c:pt idx="21">
                  <c:v>7637.2125156118145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C9-0B4F-B4CD-25817AFB3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050744"/>
        <c:axId val="488048000"/>
      </c:lineChart>
      <c:catAx>
        <c:axId val="488050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04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04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aseline="0"/>
                  <a:t>per  Capita Values</a:t>
                </a:r>
              </a:p>
            </c:rich>
          </c:tx>
          <c:layout>
            <c:manualLayout>
              <c:xMode val="edge"/>
              <c:yMode val="edge"/>
              <c:x val="2.3052695336159899E-3"/>
              <c:y val="0.39612110084798602"/>
            </c:manualLayout>
          </c:layout>
          <c:overlay val="0"/>
          <c:spPr>
            <a:noFill/>
            <a:ln w="25400">
              <a:noFill/>
            </a:ln>
          </c:spPr>
        </c:title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050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9006993006996603E-2"/>
          <c:y val="0.84751324954572904"/>
          <c:w val="0.93135664335664303"/>
          <c:h val="0.1380636735311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Base Trends'!$A$25</c:f>
          <c:strCache>
            <c:ptCount val="1"/>
            <c:pt idx="0">
              <c:v>Bollinger County and Barton County Cumulative Growth Rates: General Revenue Property Tax Receipts and Property Assessed Values</c:v>
            </c:pt>
          </c:strCache>
        </c:strRef>
      </c:tx>
      <c:layout>
        <c:manualLayout>
          <c:xMode val="edge"/>
          <c:yMode val="edge"/>
          <c:x val="0.110021335690627"/>
          <c:y val="2.5169232577272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357588357588807E-2"/>
          <c:y val="0.17735849056605099"/>
          <c:w val="0.86832507384450697"/>
          <c:h val="0.61981352330960005"/>
        </c:manualLayout>
      </c:layout>
      <c:lineChart>
        <c:grouping val="standard"/>
        <c:varyColors val="0"/>
        <c:ser>
          <c:idx val="0"/>
          <c:order val="0"/>
          <c:tx>
            <c:strRef>
              <c:f>'County-to-County Base Trends'!$A$27</c:f>
              <c:strCache>
                <c:ptCount val="1"/>
                <c:pt idx="0">
                  <c:v>Bollinger County Property Tax Receipts</c:v>
                </c:pt>
              </c:strCache>
            </c:strRef>
          </c:tx>
          <c:spPr>
            <a:ln w="381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strRef>
              <c:f>'County-to-County Base Trends'!$B$26:$W$26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Trends'!$B$27:$W$27</c:f>
              <c:numCache>
                <c:formatCode>0%</c:formatCode>
                <c:ptCount val="22"/>
                <c:pt idx="1">
                  <c:v>-6.1018366787305947E-2</c:v>
                </c:pt>
                <c:pt idx="2">
                  <c:v>0.10410487330235206</c:v>
                </c:pt>
                <c:pt idx="3">
                  <c:v>0.19851111386361575</c:v>
                </c:pt>
                <c:pt idx="4">
                  <c:v>0.3559801183783125</c:v>
                </c:pt>
                <c:pt idx="5">
                  <c:v>0.29838884083044986</c:v>
                </c:pt>
                <c:pt idx="6">
                  <c:v>0.44224014993349819</c:v>
                </c:pt>
                <c:pt idx="7">
                  <c:v>0.57521455737956828</c:v>
                </c:pt>
                <c:pt idx="8">
                  <c:v>-8.7549412612536195E-2</c:v>
                </c:pt>
                <c:pt idx="9">
                  <c:v>-0.18968192121006591</c:v>
                </c:pt>
                <c:pt idx="10">
                  <c:v>-0.50454160528728198</c:v>
                </c:pt>
                <c:pt idx="11">
                  <c:v>-0.47276634789128702</c:v>
                </c:pt>
                <c:pt idx="12">
                  <c:v>0.32773089136113864</c:v>
                </c:pt>
                <c:pt idx="13">
                  <c:v>0.87551201004678969</c:v>
                </c:pt>
                <c:pt idx="14">
                  <c:v>1.0183254721355255</c:v>
                </c:pt>
                <c:pt idx="15">
                  <c:v>0.9957115018784739</c:v>
                </c:pt>
                <c:pt idx="16">
                  <c:v>-1</c:v>
                </c:pt>
                <c:pt idx="17">
                  <c:v>1.1312432272927186</c:v>
                </c:pt>
                <c:pt idx="18">
                  <c:v>1.1312432272927186</c:v>
                </c:pt>
                <c:pt idx="19">
                  <c:v>1.1312432272927186</c:v>
                </c:pt>
                <c:pt idx="20">
                  <c:v>1.1312432272927186</c:v>
                </c:pt>
                <c:pt idx="21">
                  <c:v>1.1312432272927186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3-C24F-B6B0-AF8E1B146536}"/>
            </c:ext>
          </c:extLst>
        </c:ser>
        <c:ser>
          <c:idx val="1"/>
          <c:order val="1"/>
          <c:tx>
            <c:strRef>
              <c:f>'County-to-County Base Trends'!$A$28</c:f>
              <c:strCache>
                <c:ptCount val="1"/>
                <c:pt idx="0">
                  <c:v>Bollinger County Property Assessed Values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'County-to-County Base Trends'!$B$26:$W$26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Trends'!$B$28:$W$28</c:f>
              <c:numCache>
                <c:formatCode>0%</c:formatCode>
                <c:ptCount val="22"/>
                <c:pt idx="1">
                  <c:v>0.16959618821407296</c:v>
                </c:pt>
                <c:pt idx="2">
                  <c:v>0.19574120096716863</c:v>
                </c:pt>
                <c:pt idx="3">
                  <c:v>0.25001508720819032</c:v>
                </c:pt>
                <c:pt idx="4">
                  <c:v>0.32337717274448619</c:v>
                </c:pt>
                <c:pt idx="5">
                  <c:v>0.39808501185468853</c:v>
                </c:pt>
                <c:pt idx="6">
                  <c:v>0.4281646351713061</c:v>
                </c:pt>
                <c:pt idx="7">
                  <c:v>0.52291601686910194</c:v>
                </c:pt>
                <c:pt idx="8">
                  <c:v>0.54516807956239455</c:v>
                </c:pt>
                <c:pt idx="9">
                  <c:v>0.59626688779855641</c:v>
                </c:pt>
                <c:pt idx="10">
                  <c:v>0.6409023185513103</c:v>
                </c:pt>
                <c:pt idx="11">
                  <c:v>0.7387270015807601</c:v>
                </c:pt>
                <c:pt idx="12">
                  <c:v>0.71939813066175562</c:v>
                </c:pt>
                <c:pt idx="13">
                  <c:v>0.7291157174770575</c:v>
                </c:pt>
                <c:pt idx="14">
                  <c:v>0.75029448230399842</c:v>
                </c:pt>
                <c:pt idx="15">
                  <c:v>0.80817201290341223</c:v>
                </c:pt>
                <c:pt idx="16">
                  <c:v>0.87956730109131065</c:v>
                </c:pt>
                <c:pt idx="17">
                  <c:v>0.93712956380111301</c:v>
                </c:pt>
                <c:pt idx="18">
                  <c:v>0.93491352990037047</c:v>
                </c:pt>
                <c:pt idx="19">
                  <c:v>0.98219214198515281</c:v>
                </c:pt>
                <c:pt idx="20">
                  <c:v>1.0367437090468805</c:v>
                </c:pt>
                <c:pt idx="21">
                  <c:v>1.1772834898323645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3-C24F-B6B0-AF8E1B146536}"/>
            </c:ext>
          </c:extLst>
        </c:ser>
        <c:ser>
          <c:idx val="2"/>
          <c:order val="2"/>
          <c:tx>
            <c:strRef>
              <c:f>'County-to-County Base Trends'!$A$29</c:f>
              <c:strCache>
                <c:ptCount val="1"/>
                <c:pt idx="0">
                  <c:v>Barton County Property Tax Receipts</c:v>
                </c:pt>
              </c:strCache>
            </c:strRef>
          </c:tx>
          <c:spPr>
            <a:ln w="38100">
              <a:solidFill>
                <a:srgbClr val="0000CC"/>
              </a:solidFill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cat>
            <c:strRef>
              <c:f>'County-to-County Base Trends'!$B$26:$W$26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Trends'!$B$29:$W$29</c:f>
              <c:numCache>
                <c:formatCode>0%</c:formatCode>
                <c:ptCount val="22"/>
                <c:pt idx="1">
                  <c:v>4.1879811351358057E-2</c:v>
                </c:pt>
                <c:pt idx="2">
                  <c:v>9.3143707345069743E-2</c:v>
                </c:pt>
                <c:pt idx="3">
                  <c:v>0.13164855456711871</c:v>
                </c:pt>
                <c:pt idx="4">
                  <c:v>0.18981365955907117</c:v>
                </c:pt>
                <c:pt idx="5">
                  <c:v>0.60923327178130726</c:v>
                </c:pt>
                <c:pt idx="6">
                  <c:v>0.63788732548129112</c:v>
                </c:pt>
                <c:pt idx="7">
                  <c:v>0.63589650213976456</c:v>
                </c:pt>
                <c:pt idx="8">
                  <c:v>0.67065169247276957</c:v>
                </c:pt>
                <c:pt idx="9">
                  <c:v>0.70952889306167255</c:v>
                </c:pt>
                <c:pt idx="10">
                  <c:v>0.92099909231556243</c:v>
                </c:pt>
                <c:pt idx="11">
                  <c:v>1.0311813778088312</c:v>
                </c:pt>
                <c:pt idx="12">
                  <c:v>1.040218647456612</c:v>
                </c:pt>
                <c:pt idx="13">
                  <c:v>1.1062600983792685</c:v>
                </c:pt>
                <c:pt idx="14">
                  <c:v>1.1223180810116158</c:v>
                </c:pt>
                <c:pt idx="15">
                  <c:v>0.71467984628629166</c:v>
                </c:pt>
                <c:pt idx="16">
                  <c:v>-0.14850017623426359</c:v>
                </c:pt>
                <c:pt idx="17">
                  <c:v>1.0379437828294804</c:v>
                </c:pt>
                <c:pt idx="18">
                  <c:v>1.0379437828294804</c:v>
                </c:pt>
                <c:pt idx="19">
                  <c:v>1.0379437828294804</c:v>
                </c:pt>
                <c:pt idx="20">
                  <c:v>1.0379437828294804</c:v>
                </c:pt>
                <c:pt idx="21">
                  <c:v>1.0379437828294804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3-C24F-B6B0-AF8E1B146536}"/>
            </c:ext>
          </c:extLst>
        </c:ser>
        <c:ser>
          <c:idx val="3"/>
          <c:order val="3"/>
          <c:tx>
            <c:strRef>
              <c:f>'County-to-County Base Trends'!$A$30</c:f>
              <c:strCache>
                <c:ptCount val="1"/>
                <c:pt idx="0">
                  <c:v>Barton County Property Assessed Values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strRef>
              <c:f>'County-to-County Base Trends'!$B$26:$W$26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Trends'!$B$30:$W$30</c:f>
              <c:numCache>
                <c:formatCode>0%</c:formatCode>
                <c:ptCount val="22"/>
                <c:pt idx="1">
                  <c:v>5.9951856832601985E-2</c:v>
                </c:pt>
                <c:pt idx="2">
                  <c:v>0.12606040123930159</c:v>
                </c:pt>
                <c:pt idx="3">
                  <c:v>0.23584108683454857</c:v>
                </c:pt>
                <c:pt idx="4">
                  <c:v>0.29363616842868889</c:v>
                </c:pt>
                <c:pt idx="5">
                  <c:v>0.33238087260434862</c:v>
                </c:pt>
                <c:pt idx="6">
                  <c:v>0.35368803281700689</c:v>
                </c:pt>
                <c:pt idx="7">
                  <c:v>0.44100474565452957</c:v>
                </c:pt>
                <c:pt idx="8">
                  <c:v>0.48372809195345723</c:v>
                </c:pt>
                <c:pt idx="9">
                  <c:v>0.64386276059036196</c:v>
                </c:pt>
                <c:pt idx="10">
                  <c:v>0.69036032599326858</c:v>
                </c:pt>
                <c:pt idx="11">
                  <c:v>0.79877118962373617</c:v>
                </c:pt>
                <c:pt idx="12">
                  <c:v>0.84765956370627138</c:v>
                </c:pt>
                <c:pt idx="13">
                  <c:v>0.78304765745677263</c:v>
                </c:pt>
                <c:pt idx="14">
                  <c:v>0.80719212232265092</c:v>
                </c:pt>
                <c:pt idx="15">
                  <c:v>0.69847751706612982</c:v>
                </c:pt>
                <c:pt idx="16">
                  <c:v>0.77580658704942063</c:v>
                </c:pt>
                <c:pt idx="17">
                  <c:v>0.82384315975200995</c:v>
                </c:pt>
                <c:pt idx="18">
                  <c:v>0.78004051727063894</c:v>
                </c:pt>
                <c:pt idx="19">
                  <c:v>0.86520359453442242</c:v>
                </c:pt>
                <c:pt idx="20">
                  <c:v>0.88752132663434224</c:v>
                </c:pt>
                <c:pt idx="21">
                  <c:v>0.88933952083955536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33-C24F-B6B0-AF8E1B146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053488"/>
        <c:axId val="488053880"/>
      </c:lineChart>
      <c:catAx>
        <c:axId val="48805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053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053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0534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8880646067494695E-3"/>
          <c:y val="0.89762451122181197"/>
          <c:w val="0.986380325597496"/>
          <c:h val="9.149113503669180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Base Trends'!$A$33</c:f>
          <c:strCache>
            <c:ptCount val="1"/>
            <c:pt idx="0">
              <c:v>Bollinger County and Barton County Cumulative Growth Rates: General Revenue Sales Tax Receipts and Taxable Sales </c:v>
            </c:pt>
          </c:strCache>
        </c:strRef>
      </c:tx>
      <c:layout>
        <c:manualLayout>
          <c:xMode val="edge"/>
          <c:yMode val="edge"/>
          <c:x val="0.14744337311267799"/>
          <c:y val="3.4866436088012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357588357588807E-2"/>
          <c:y val="0.17735849056605099"/>
          <c:w val="0.86139986139990399"/>
          <c:h val="0.70064128388244895"/>
        </c:manualLayout>
      </c:layout>
      <c:lineChart>
        <c:grouping val="standard"/>
        <c:varyColors val="0"/>
        <c:ser>
          <c:idx val="0"/>
          <c:order val="0"/>
          <c:tx>
            <c:strRef>
              <c:f>'County-to-County Base Trends'!$A$35</c:f>
              <c:strCache>
                <c:ptCount val="1"/>
                <c:pt idx="0">
                  <c:v>Bollinger County Sales Tax Receipts</c:v>
                </c:pt>
              </c:strCache>
            </c:strRef>
          </c:tx>
          <c:spPr>
            <a:ln w="381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strRef>
              <c:f>'County-to-County Base Trends'!$B$34:$W$34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Trends'!$B$35:$W$35</c:f>
              <c:numCache>
                <c:formatCode>0%</c:formatCode>
                <c:ptCount val="22"/>
                <c:pt idx="1">
                  <c:v>1.8849036497452006E-2</c:v>
                </c:pt>
                <c:pt idx="2">
                  <c:v>3.5574225993930293E-2</c:v>
                </c:pt>
                <c:pt idx="3">
                  <c:v>0.10856200389819236</c:v>
                </c:pt>
                <c:pt idx="4">
                  <c:v>0.21570631302883184</c:v>
                </c:pt>
                <c:pt idx="5">
                  <c:v>0.26555601956807057</c:v>
                </c:pt>
                <c:pt idx="6">
                  <c:v>0.27314992545853645</c:v>
                </c:pt>
                <c:pt idx="7">
                  <c:v>0.30362584058998748</c:v>
                </c:pt>
                <c:pt idx="8">
                  <c:v>0.92295949252968268</c:v>
                </c:pt>
                <c:pt idx="9">
                  <c:v>0.98221381203345326</c:v>
                </c:pt>
                <c:pt idx="10">
                  <c:v>1.0208981044961869</c:v>
                </c:pt>
                <c:pt idx="11">
                  <c:v>1.0601743250658302</c:v>
                </c:pt>
                <c:pt idx="12">
                  <c:v>1.0765082609556034</c:v>
                </c:pt>
                <c:pt idx="13">
                  <c:v>0.88012183632744745</c:v>
                </c:pt>
                <c:pt idx="14">
                  <c:v>1.0874666737806453</c:v>
                </c:pt>
                <c:pt idx="15">
                  <c:v>1.0851493926410154</c:v>
                </c:pt>
                <c:pt idx="16">
                  <c:v>-1</c:v>
                </c:pt>
                <c:pt idx="17">
                  <c:v>1.1089023694117428</c:v>
                </c:pt>
                <c:pt idx="18">
                  <c:v>1.1089023694117428</c:v>
                </c:pt>
                <c:pt idx="19">
                  <c:v>1.1089023694117428</c:v>
                </c:pt>
                <c:pt idx="20">
                  <c:v>1.1089023694117428</c:v>
                </c:pt>
                <c:pt idx="21">
                  <c:v>1.1089023694117428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A-3E4B-942C-69DEF00BECCB}"/>
            </c:ext>
          </c:extLst>
        </c:ser>
        <c:ser>
          <c:idx val="1"/>
          <c:order val="1"/>
          <c:tx>
            <c:strRef>
              <c:f>'County-to-County Base Trends'!$A$36</c:f>
              <c:strCache>
                <c:ptCount val="1"/>
                <c:pt idx="0">
                  <c:v>Bollinger County Taxable Sales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'County-to-County Base Trends'!$B$34:$W$34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Trends'!$B$36:$W$36</c:f>
              <c:numCache>
                <c:formatCode>0%</c:formatCode>
                <c:ptCount val="22"/>
                <c:pt idx="1">
                  <c:v>8.6448924521357814E-2</c:v>
                </c:pt>
                <c:pt idx="2">
                  <c:v>8.7502973375128343E-2</c:v>
                </c:pt>
                <c:pt idx="3">
                  <c:v>0.14215336700137426</c:v>
                </c:pt>
                <c:pt idx="4">
                  <c:v>0.21940033357415914</c:v>
                </c:pt>
                <c:pt idx="5">
                  <c:v>0.26855411667134577</c:v>
                </c:pt>
                <c:pt idx="6">
                  <c:v>0.35520639030671958</c:v>
                </c:pt>
                <c:pt idx="7">
                  <c:v>0.25980852381379449</c:v>
                </c:pt>
                <c:pt idx="8">
                  <c:v>0.26018489451775484</c:v>
                </c:pt>
                <c:pt idx="9">
                  <c:v>0.35332348569973504</c:v>
                </c:pt>
                <c:pt idx="10">
                  <c:v>0.38237011069147137</c:v>
                </c:pt>
                <c:pt idx="11">
                  <c:v>0.66337693885483417</c:v>
                </c:pt>
                <c:pt idx="12">
                  <c:v>0.54578549588730785</c:v>
                </c:pt>
                <c:pt idx="13">
                  <c:v>0.53446410611861339</c:v>
                </c:pt>
                <c:pt idx="14">
                  <c:v>0.53060470091724166</c:v>
                </c:pt>
                <c:pt idx="15">
                  <c:v>0.56005382211663624</c:v>
                </c:pt>
                <c:pt idx="16">
                  <c:v>0.55563585255519965</c:v>
                </c:pt>
                <c:pt idx="17">
                  <c:v>0.61970998119723109</c:v>
                </c:pt>
                <c:pt idx="18">
                  <c:v>0.68961668741402438</c:v>
                </c:pt>
                <c:pt idx="19">
                  <c:v>0.76656186124469361</c:v>
                </c:pt>
                <c:pt idx="20">
                  <c:v>0.77097418254301264</c:v>
                </c:pt>
                <c:pt idx="21">
                  <c:v>0.76099308227136953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A-3E4B-942C-69DEF00BECCB}"/>
            </c:ext>
          </c:extLst>
        </c:ser>
        <c:ser>
          <c:idx val="2"/>
          <c:order val="2"/>
          <c:tx>
            <c:strRef>
              <c:f>'County-to-County Base Trends'!$A$37</c:f>
              <c:strCache>
                <c:ptCount val="1"/>
                <c:pt idx="0">
                  <c:v>Barton County Sales Tax Receipts</c:v>
                </c:pt>
              </c:strCache>
            </c:strRef>
          </c:tx>
          <c:spPr>
            <a:ln w="38100">
              <a:solidFill>
                <a:srgbClr val="0000CC"/>
              </a:solidFill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cat>
            <c:strRef>
              <c:f>'County-to-County Base Trends'!$B$34:$W$34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Trends'!$B$37:$W$37</c:f>
              <c:numCache>
                <c:formatCode>0%</c:formatCode>
                <c:ptCount val="22"/>
                <c:pt idx="1">
                  <c:v>6.0484807982632359E-2</c:v>
                </c:pt>
                <c:pt idx="2">
                  <c:v>5.4102860654174335E-2</c:v>
                </c:pt>
                <c:pt idx="3">
                  <c:v>0.11144054466413446</c:v>
                </c:pt>
                <c:pt idx="4">
                  <c:v>0.21106033205119742</c:v>
                </c:pt>
                <c:pt idx="5">
                  <c:v>0.21214973718591967</c:v>
                </c:pt>
                <c:pt idx="6">
                  <c:v>0.25500457407008015</c:v>
                </c:pt>
                <c:pt idx="7">
                  <c:v>0.23860735162010743</c:v>
                </c:pt>
                <c:pt idx="8">
                  <c:v>0.34208950450321984</c:v>
                </c:pt>
                <c:pt idx="9">
                  <c:v>0.44378773106517683</c:v>
                </c:pt>
                <c:pt idx="10">
                  <c:v>0.41855760164550665</c:v>
                </c:pt>
                <c:pt idx="11">
                  <c:v>0.48020681458462194</c:v>
                </c:pt>
                <c:pt idx="12">
                  <c:v>0.43907541400569999</c:v>
                </c:pt>
                <c:pt idx="13">
                  <c:v>0.37252823647207067</c:v>
                </c:pt>
                <c:pt idx="14">
                  <c:v>0.40624108802712083</c:v>
                </c:pt>
                <c:pt idx="15">
                  <c:v>0.41222492081712081</c:v>
                </c:pt>
                <c:pt idx="16">
                  <c:v>0.42360250239286462</c:v>
                </c:pt>
                <c:pt idx="17">
                  <c:v>0.45411773807889944</c:v>
                </c:pt>
                <c:pt idx="18">
                  <c:v>0.45411773807889944</c:v>
                </c:pt>
                <c:pt idx="19">
                  <c:v>0.45411773807889944</c:v>
                </c:pt>
                <c:pt idx="20">
                  <c:v>0.45411773807889944</c:v>
                </c:pt>
                <c:pt idx="21">
                  <c:v>0.45411773807889944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A-3E4B-942C-69DEF00BECCB}"/>
            </c:ext>
          </c:extLst>
        </c:ser>
        <c:ser>
          <c:idx val="3"/>
          <c:order val="3"/>
          <c:tx>
            <c:strRef>
              <c:f>'County-to-County Base Trends'!$A$38</c:f>
              <c:strCache>
                <c:ptCount val="1"/>
                <c:pt idx="0">
                  <c:v>Barton County Taxable Sales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strRef>
              <c:f>'County-to-County Base Trends'!$B$34:$W$34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Base Trends'!$B$38:$W$38</c:f>
              <c:numCache>
                <c:formatCode>0%</c:formatCode>
                <c:ptCount val="22"/>
                <c:pt idx="1">
                  <c:v>5.9169889530828072E-2</c:v>
                </c:pt>
                <c:pt idx="2">
                  <c:v>0.12395700589666908</c:v>
                </c:pt>
                <c:pt idx="3">
                  <c:v>0.12375022081372533</c:v>
                </c:pt>
                <c:pt idx="4">
                  <c:v>0.1420812063617696</c:v>
                </c:pt>
                <c:pt idx="5">
                  <c:v>0.14952415641942962</c:v>
                </c:pt>
                <c:pt idx="6">
                  <c:v>0.19428759593688735</c:v>
                </c:pt>
                <c:pt idx="7">
                  <c:v>0.20678681913773247</c:v>
                </c:pt>
                <c:pt idx="8">
                  <c:v>0.34586813992785137</c:v>
                </c:pt>
                <c:pt idx="9">
                  <c:v>0.43879124183219514</c:v>
                </c:pt>
                <c:pt idx="10">
                  <c:v>0.44821636473193766</c:v>
                </c:pt>
                <c:pt idx="11">
                  <c:v>0.48686518052546979</c:v>
                </c:pt>
                <c:pt idx="12">
                  <c:v>0.46687535382728051</c:v>
                </c:pt>
                <c:pt idx="13">
                  <c:v>0.411495443669536</c:v>
                </c:pt>
                <c:pt idx="14">
                  <c:v>0.39216640053069529</c:v>
                </c:pt>
                <c:pt idx="15">
                  <c:v>0.47231991626551995</c:v>
                </c:pt>
                <c:pt idx="16">
                  <c:v>0.48937861215509815</c:v>
                </c:pt>
                <c:pt idx="17">
                  <c:v>0.49701378325453921</c:v>
                </c:pt>
                <c:pt idx="18">
                  <c:v>0.47918305059269467</c:v>
                </c:pt>
                <c:pt idx="19">
                  <c:v>0.50653674297151485</c:v>
                </c:pt>
                <c:pt idx="20">
                  <c:v>0.54023541538872866</c:v>
                </c:pt>
                <c:pt idx="21">
                  <c:v>0.45650016876866273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3A-3E4B-942C-69DEF00BE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051136"/>
        <c:axId val="488048784"/>
      </c:lineChart>
      <c:catAx>
        <c:axId val="48805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04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04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0511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370062370062401E-2"/>
          <c:y val="0.90467372286956305"/>
          <c:w val="0.902286902286902"/>
          <c:h val="8.97197080531798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Real per Capit'!$A$20</c:f>
          <c:strCache>
            <c:ptCount val="1"/>
            <c:pt idx="0">
              <c:v>Adair County and Maries County General Revenue Receipts &amp; Expenditures: Real per Capita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'County-to-County Real per Capit'!$A$22</c:f>
              <c:strCache>
                <c:ptCount val="1"/>
                <c:pt idx="0">
                  <c:v>Adair County General Revenue Receipts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'County-to-County Real per Capit'!$B$21:$W$21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Capit'!$B$22:$W$22</c:f>
              <c:numCache>
                <c:formatCode>"$"#,##0.00</c:formatCode>
                <c:ptCount val="22"/>
                <c:pt idx="0">
                  <c:v>77.533818269501268</c:v>
                </c:pt>
                <c:pt idx="1">
                  <c:v>86.702914787481745</c:v>
                </c:pt>
                <c:pt idx="2">
                  <c:v>71.221720333173621</c:v>
                </c:pt>
                <c:pt idx="3">
                  <c:v>71.713833919053968</c:v>
                </c:pt>
                <c:pt idx="4">
                  <c:v>72.79615835532222</c:v>
                </c:pt>
                <c:pt idx="5">
                  <c:v>66.687437498799227</c:v>
                </c:pt>
                <c:pt idx="6">
                  <c:v>71.209218867814329</c:v>
                </c:pt>
                <c:pt idx="7">
                  <c:v>88.595735209586849</c:v>
                </c:pt>
                <c:pt idx="8">
                  <c:v>62.419580478599023</c:v>
                </c:pt>
                <c:pt idx="9">
                  <c:v>61.622936493212777</c:v>
                </c:pt>
                <c:pt idx="10">
                  <c:v>61.340661136310388</c:v>
                </c:pt>
                <c:pt idx="11">
                  <c:v>61.418530080936314</c:v>
                </c:pt>
                <c:pt idx="12">
                  <c:v>59.832382387294764</c:v>
                </c:pt>
                <c:pt idx="13">
                  <c:v>66.984122397320789</c:v>
                </c:pt>
                <c:pt idx="14">
                  <c:v>66.376001525297752</c:v>
                </c:pt>
                <c:pt idx="15">
                  <c:v>61.088458352440512</c:v>
                </c:pt>
                <c:pt idx="16">
                  <c:v>60.542969187920313</c:v>
                </c:pt>
                <c:pt idx="17">
                  <c:v>56.605194532811716</c:v>
                </c:pt>
                <c:pt idx="18">
                  <c:v>62.683745831497362</c:v>
                </c:pt>
                <c:pt idx="19">
                  <c:v>56.794518219323457</c:v>
                </c:pt>
                <c:pt idx="20">
                  <c:v>53.869001154262371</c:v>
                </c:pt>
                <c:pt idx="21">
                  <c:v>52.547445779456169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4-7948-BA3C-562FD59B1D2E}"/>
            </c:ext>
          </c:extLst>
        </c:ser>
        <c:ser>
          <c:idx val="1"/>
          <c:order val="1"/>
          <c:tx>
            <c:strRef>
              <c:f>'County-to-County Real per Capit'!$A$23</c:f>
              <c:strCache>
                <c:ptCount val="1"/>
                <c:pt idx="0">
                  <c:v>Adair County General Revenue Expenditures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'County-to-County Real per Capit'!$B$21:$W$21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Capit'!$B$23:$W$23</c:f>
              <c:numCache>
                <c:formatCode>"$"#,##0.00</c:formatCode>
                <c:ptCount val="22"/>
                <c:pt idx="0">
                  <c:v>87.237712494474138</c:v>
                </c:pt>
                <c:pt idx="1">
                  <c:v>86.742067692317192</c:v>
                </c:pt>
                <c:pt idx="2">
                  <c:v>69.355815169850842</c:v>
                </c:pt>
                <c:pt idx="3">
                  <c:v>73.109757052262935</c:v>
                </c:pt>
                <c:pt idx="4">
                  <c:v>64.887219896595127</c:v>
                </c:pt>
                <c:pt idx="5">
                  <c:v>62.816912633619474</c:v>
                </c:pt>
                <c:pt idx="6">
                  <c:v>67.79278392891004</c:v>
                </c:pt>
                <c:pt idx="7">
                  <c:v>86.89148788354548</c:v>
                </c:pt>
                <c:pt idx="8">
                  <c:v>71.024044169098332</c:v>
                </c:pt>
                <c:pt idx="9">
                  <c:v>59.776353639577472</c:v>
                </c:pt>
                <c:pt idx="10">
                  <c:v>55.075122613882378</c:v>
                </c:pt>
                <c:pt idx="11">
                  <c:v>50.667782978101741</c:v>
                </c:pt>
                <c:pt idx="12">
                  <c:v>63.988172832200469</c:v>
                </c:pt>
                <c:pt idx="13">
                  <c:v>56.620994111771552</c:v>
                </c:pt>
                <c:pt idx="14">
                  <c:v>64.31932766658035</c:v>
                </c:pt>
                <c:pt idx="15">
                  <c:v>56.194840425726063</c:v>
                </c:pt>
                <c:pt idx="16">
                  <c:v>63.696008667733345</c:v>
                </c:pt>
                <c:pt idx="17">
                  <c:v>62.368343769739297</c:v>
                </c:pt>
                <c:pt idx="18">
                  <c:v>60.171898933675841</c:v>
                </c:pt>
                <c:pt idx="19">
                  <c:v>66.676592399151914</c:v>
                </c:pt>
                <c:pt idx="20">
                  <c:v>57.600439653286841</c:v>
                </c:pt>
                <c:pt idx="21">
                  <c:v>65.198639783781744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4-7948-BA3C-562FD59B1D2E}"/>
            </c:ext>
          </c:extLst>
        </c:ser>
        <c:ser>
          <c:idx val="2"/>
          <c:order val="2"/>
          <c:tx>
            <c:strRef>
              <c:f>'County-to-County Real per Capit'!$A$24</c:f>
              <c:strCache>
                <c:ptCount val="1"/>
                <c:pt idx="0">
                  <c:v>Maries County General Revenue Receipts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'County-to-County Real per Capit'!$B$21:$W$21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Capit'!$B$24:$W$24</c:f>
              <c:numCache>
                <c:formatCode>"$"#,##0.00</c:formatCode>
                <c:ptCount val="22"/>
                <c:pt idx="0">
                  <c:v>88.037865341379714</c:v>
                </c:pt>
                <c:pt idx="1">
                  <c:v>89.982837735538823</c:v>
                </c:pt>
                <c:pt idx="2">
                  <c:v>97.187956627667333</c:v>
                </c:pt>
                <c:pt idx="3">
                  <c:v>94.98790241487076</c:v>
                </c:pt>
                <c:pt idx="4">
                  <c:v>104.75201503680746</c:v>
                </c:pt>
                <c:pt idx="5">
                  <c:v>102.66361673421767</c:v>
                </c:pt>
                <c:pt idx="6">
                  <c:v>115.77369565477328</c:v>
                </c:pt>
                <c:pt idx="7">
                  <c:v>102.75796657860808</c:v>
                </c:pt>
                <c:pt idx="8">
                  <c:v>113.59306555511129</c:v>
                </c:pt>
                <c:pt idx="9">
                  <c:v>102.89595657673196</c:v>
                </c:pt>
                <c:pt idx="10">
                  <c:v>96.32617661845461</c:v>
                </c:pt>
                <c:pt idx="11">
                  <c:v>94.655080391541674</c:v>
                </c:pt>
                <c:pt idx="12">
                  <c:v>83.20707114941041</c:v>
                </c:pt>
                <c:pt idx="13">
                  <c:v>94.304667339005334</c:v>
                </c:pt>
                <c:pt idx="14">
                  <c:v>60.144266940270079</c:v>
                </c:pt>
                <c:pt idx="15">
                  <c:v>55.06212495825087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4-7948-BA3C-562FD59B1D2E}"/>
            </c:ext>
          </c:extLst>
        </c:ser>
        <c:ser>
          <c:idx val="3"/>
          <c:order val="3"/>
          <c:tx>
            <c:strRef>
              <c:f>'County-to-County Real per Capit'!$A$25</c:f>
              <c:strCache>
                <c:ptCount val="1"/>
                <c:pt idx="0">
                  <c:v>Maries County General Revenue Expenditures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'County-to-County Real per Capit'!$B$21:$W$21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Capit'!$B$25:$W$25</c:f>
              <c:numCache>
                <c:formatCode>"$"#,##0.00</c:formatCode>
                <c:ptCount val="22"/>
                <c:pt idx="0">
                  <c:v>95.120695775647846</c:v>
                </c:pt>
                <c:pt idx="1">
                  <c:v>90.494161925346901</c:v>
                </c:pt>
                <c:pt idx="2">
                  <c:v>96.326945589227392</c:v>
                </c:pt>
                <c:pt idx="3">
                  <c:v>92.358957177335668</c:v>
                </c:pt>
                <c:pt idx="4">
                  <c:v>105.80208863920258</c:v>
                </c:pt>
                <c:pt idx="5">
                  <c:v>110.00865399325042</c:v>
                </c:pt>
                <c:pt idx="6">
                  <c:v>109.84307010220384</c:v>
                </c:pt>
                <c:pt idx="7">
                  <c:v>94.419200897959328</c:v>
                </c:pt>
                <c:pt idx="8">
                  <c:v>115.6338902771048</c:v>
                </c:pt>
                <c:pt idx="9">
                  <c:v>109.27577272612943</c:v>
                </c:pt>
                <c:pt idx="10">
                  <c:v>99.795731978497912</c:v>
                </c:pt>
                <c:pt idx="11">
                  <c:v>95.781994271226949</c:v>
                </c:pt>
                <c:pt idx="12">
                  <c:v>86.518395971238007</c:v>
                </c:pt>
                <c:pt idx="13">
                  <c:v>89.190533365525326</c:v>
                </c:pt>
                <c:pt idx="14">
                  <c:v>60.634032385371022</c:v>
                </c:pt>
                <c:pt idx="15">
                  <c:v>52.409683528951483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04-7948-BA3C-562FD59B1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053096"/>
        <c:axId val="488052704"/>
      </c:lineChart>
      <c:catAx>
        <c:axId val="488053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88052704"/>
        <c:crosses val="autoZero"/>
        <c:auto val="1"/>
        <c:lblAlgn val="ctr"/>
        <c:lblOffset val="100"/>
        <c:noMultiLvlLbl val="0"/>
      </c:catAx>
      <c:valAx>
        <c:axId val="488052704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88053096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Real per Capit'!$A$27</c:f>
          <c:strCache>
            <c:ptCount val="1"/>
            <c:pt idx="0">
              <c:v>Adair County and Maries County General Revenue Property Assessed Values and Taxable Sales: Real per Capita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'County-to-County Real per Capit'!$A$29</c:f>
              <c:strCache>
                <c:ptCount val="1"/>
                <c:pt idx="0">
                  <c:v>Adair Property Assessed Values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'County-to-County Real per Capit'!$B$28:$W$28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Capit'!$B$29:$W$29</c:f>
              <c:numCache>
                <c:formatCode>"$"#,##0.00</c:formatCode>
                <c:ptCount val="22"/>
                <c:pt idx="0">
                  <c:v>6325.9342523007672</c:v>
                </c:pt>
                <c:pt idx="1">
                  <c:v>6850.865026330448</c:v>
                </c:pt>
                <c:pt idx="2">
                  <c:v>7101.1103566539023</c:v>
                </c:pt>
                <c:pt idx="3">
                  <c:v>7115.4002502680914</c:v>
                </c:pt>
                <c:pt idx="4">
                  <c:v>7111.8300939041883</c:v>
                </c:pt>
                <c:pt idx="5">
                  <c:v>7377.7320995421269</c:v>
                </c:pt>
                <c:pt idx="6">
                  <c:v>7488.569927762429</c:v>
                </c:pt>
                <c:pt idx="7">
                  <c:v>7473.086870778604</c:v>
                </c:pt>
                <c:pt idx="8">
                  <c:v>7002.0492226184797</c:v>
                </c:pt>
                <c:pt idx="9">
                  <c:v>7028.1093759155447</c:v>
                </c:pt>
                <c:pt idx="10">
                  <c:v>6912.051715669103</c:v>
                </c:pt>
                <c:pt idx="11">
                  <c:v>7140.3610560059078</c:v>
                </c:pt>
                <c:pt idx="12">
                  <c:v>6644.4363865192126</c:v>
                </c:pt>
                <c:pt idx="13">
                  <c:v>6735.7943013040076</c:v>
                </c:pt>
                <c:pt idx="14">
                  <c:v>6570.790390960552</c:v>
                </c:pt>
                <c:pt idx="15">
                  <c:v>6510.6451892744399</c:v>
                </c:pt>
                <c:pt idx="16">
                  <c:v>6512.2641691623667</c:v>
                </c:pt>
                <c:pt idx="17">
                  <c:v>6599.0073612708293</c:v>
                </c:pt>
                <c:pt idx="18">
                  <c:v>6526.0235181666749</c:v>
                </c:pt>
                <c:pt idx="19">
                  <c:v>6838.3746001607842</c:v>
                </c:pt>
                <c:pt idx="20">
                  <c:v>6851.7741947816667</c:v>
                </c:pt>
                <c:pt idx="21">
                  <c:v>6780.2455933469428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A-F247-80E1-743EB7DE8A9C}"/>
            </c:ext>
          </c:extLst>
        </c:ser>
        <c:ser>
          <c:idx val="2"/>
          <c:order val="1"/>
          <c:tx>
            <c:strRef>
              <c:f>'County-to-County Real per Capit'!$A$30</c:f>
              <c:strCache>
                <c:ptCount val="1"/>
                <c:pt idx="0">
                  <c:v>Adair County Taxable Sales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</c:spPr>
          </c:marker>
          <c:cat>
            <c:strRef>
              <c:f>'County-to-County Real per Capit'!$B$28:$W$28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Capit'!$B$30:$W$30</c:f>
              <c:numCache>
                <c:formatCode>"$"#,##0.00</c:formatCode>
                <c:ptCount val="22"/>
                <c:pt idx="0">
                  <c:v>10134.364984125708</c:v>
                </c:pt>
                <c:pt idx="1">
                  <c:v>8465.3169944716083</c:v>
                </c:pt>
                <c:pt idx="2">
                  <c:v>9008.9732242148002</c:v>
                </c:pt>
                <c:pt idx="3">
                  <c:v>8895.9003493820346</c:v>
                </c:pt>
                <c:pt idx="4">
                  <c:v>8802.3751162584831</c:v>
                </c:pt>
                <c:pt idx="5">
                  <c:v>8706.7163851470923</c:v>
                </c:pt>
                <c:pt idx="6">
                  <c:v>9357.844678886393</c:v>
                </c:pt>
                <c:pt idx="7">
                  <c:v>8323.910349396634</c:v>
                </c:pt>
                <c:pt idx="8">
                  <c:v>8104.0176950369405</c:v>
                </c:pt>
                <c:pt idx="9">
                  <c:v>8145.666488327437</c:v>
                </c:pt>
                <c:pt idx="10">
                  <c:v>8049.5630609536447</c:v>
                </c:pt>
                <c:pt idx="11">
                  <c:v>7925.4327588388442</c:v>
                </c:pt>
                <c:pt idx="12">
                  <c:v>7477.5638770333107</c:v>
                </c:pt>
                <c:pt idx="13">
                  <c:v>7503.0890054087704</c:v>
                </c:pt>
                <c:pt idx="14">
                  <c:v>7241.003775465073</c:v>
                </c:pt>
                <c:pt idx="15">
                  <c:v>7146.8369848759658</c:v>
                </c:pt>
                <c:pt idx="16">
                  <c:v>6998.5719327693687</c:v>
                </c:pt>
                <c:pt idx="17">
                  <c:v>7550.6139346811078</c:v>
                </c:pt>
                <c:pt idx="18">
                  <c:v>7692.9675718599465</c:v>
                </c:pt>
                <c:pt idx="19">
                  <c:v>7769.807188016106</c:v>
                </c:pt>
                <c:pt idx="20">
                  <c:v>8041.3375046100718</c:v>
                </c:pt>
                <c:pt idx="21">
                  <c:v>8095.8656024709317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A-F247-80E1-743EB7DE8A9C}"/>
            </c:ext>
          </c:extLst>
        </c:ser>
        <c:ser>
          <c:idx val="1"/>
          <c:order val="2"/>
          <c:tx>
            <c:strRef>
              <c:f>'County-to-County Real per Capit'!$A$31</c:f>
              <c:strCache>
                <c:ptCount val="1"/>
                <c:pt idx="0">
                  <c:v>Maries Property Assessed Values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'County-to-County Real per Capit'!$B$28:$W$28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Capit'!$B$31:$W$31</c:f>
              <c:numCache>
                <c:formatCode>"$"#,##0.00</c:formatCode>
                <c:ptCount val="22"/>
                <c:pt idx="0">
                  <c:v>7149.5492841083897</c:v>
                </c:pt>
                <c:pt idx="1">
                  <c:v>7752.1969426622873</c:v>
                </c:pt>
                <c:pt idx="2">
                  <c:v>7867.506078864234</c:v>
                </c:pt>
                <c:pt idx="3">
                  <c:v>7885.5119067099977</c:v>
                </c:pt>
                <c:pt idx="4">
                  <c:v>7983.1957090488622</c:v>
                </c:pt>
                <c:pt idx="5">
                  <c:v>8289.7413524577314</c:v>
                </c:pt>
                <c:pt idx="6">
                  <c:v>8425.7023043860227</c:v>
                </c:pt>
                <c:pt idx="7">
                  <c:v>8531.6497094406677</c:v>
                </c:pt>
                <c:pt idx="8">
                  <c:v>7997.8346853784451</c:v>
                </c:pt>
                <c:pt idx="9">
                  <c:v>8598.7220808709972</c:v>
                </c:pt>
                <c:pt idx="10">
                  <c:v>8467.9049057148386</c:v>
                </c:pt>
                <c:pt idx="11">
                  <c:v>8647.934078987415</c:v>
                </c:pt>
                <c:pt idx="12">
                  <c:v>8093.4551305993427</c:v>
                </c:pt>
                <c:pt idx="13">
                  <c:v>8319.9776223538101</c:v>
                </c:pt>
                <c:pt idx="14">
                  <c:v>6087.4480684844129</c:v>
                </c:pt>
                <c:pt idx="15">
                  <c:v>5901.2870166713974</c:v>
                </c:pt>
                <c:pt idx="16">
                  <c:v>5852.5791430943773</c:v>
                </c:pt>
                <c:pt idx="17">
                  <c:v>8249.18371872639</c:v>
                </c:pt>
                <c:pt idx="18">
                  <c:v>8219.2216860371518</c:v>
                </c:pt>
                <c:pt idx="19">
                  <c:v>8774.8454063520949</c:v>
                </c:pt>
                <c:pt idx="20">
                  <c:v>9170.1916926019003</c:v>
                </c:pt>
                <c:pt idx="21">
                  <c:v>9042.3940154237207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A-F247-80E1-743EB7DE8A9C}"/>
            </c:ext>
          </c:extLst>
        </c:ser>
        <c:ser>
          <c:idx val="3"/>
          <c:order val="3"/>
          <c:tx>
            <c:strRef>
              <c:f>'County-to-County Real per Capit'!$A$32</c:f>
              <c:strCache>
                <c:ptCount val="1"/>
                <c:pt idx="0">
                  <c:v>Maries County Taxable Sales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</c:spPr>
          </c:marker>
          <c:cat>
            <c:strRef>
              <c:f>'County-to-County Real per Capit'!$B$28:$W$28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Capit'!$B$32:$W$32</c:f>
              <c:numCache>
                <c:formatCode>"$"#,##0.00</c:formatCode>
                <c:ptCount val="22"/>
                <c:pt idx="0">
                  <c:v>3221.2347083185423</c:v>
                </c:pt>
                <c:pt idx="1">
                  <c:v>3302.1242823280363</c:v>
                </c:pt>
                <c:pt idx="2">
                  <c:v>3406.3868017680252</c:v>
                </c:pt>
                <c:pt idx="3">
                  <c:v>3472.3771913481473</c:v>
                </c:pt>
                <c:pt idx="4">
                  <c:v>3470.5720485922147</c:v>
                </c:pt>
                <c:pt idx="5">
                  <c:v>3345.6459765128934</c:v>
                </c:pt>
                <c:pt idx="6">
                  <c:v>3098.1619925216305</c:v>
                </c:pt>
                <c:pt idx="7">
                  <c:v>3156.2845294992926</c:v>
                </c:pt>
                <c:pt idx="8">
                  <c:v>3249.8971382298764</c:v>
                </c:pt>
                <c:pt idx="9">
                  <c:v>3142.8299631068567</c:v>
                </c:pt>
                <c:pt idx="10">
                  <c:v>3013.7769754911433</c:v>
                </c:pt>
                <c:pt idx="11">
                  <c:v>2930.3580242040348</c:v>
                </c:pt>
                <c:pt idx="12">
                  <c:v>2858.4808381429016</c:v>
                </c:pt>
                <c:pt idx="13">
                  <c:v>2868.9648359242292</c:v>
                </c:pt>
                <c:pt idx="14">
                  <c:v>2145.056245239557</c:v>
                </c:pt>
                <c:pt idx="15">
                  <c:v>2021.3923041410112</c:v>
                </c:pt>
                <c:pt idx="16">
                  <c:v>1943.2886096335324</c:v>
                </c:pt>
                <c:pt idx="17">
                  <c:v>2790.2583019020271</c:v>
                </c:pt>
                <c:pt idx="18">
                  <c:v>2918.6033604405948</c:v>
                </c:pt>
                <c:pt idx="19">
                  <c:v>3023.0442701296283</c:v>
                </c:pt>
                <c:pt idx="20">
                  <c:v>3158.6600316970002</c:v>
                </c:pt>
                <c:pt idx="21">
                  <c:v>3109.317223634474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2A-F247-80E1-743EB7DE8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047608"/>
        <c:axId val="488049960"/>
      </c:lineChart>
      <c:catAx>
        <c:axId val="48804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88049960"/>
        <c:crosses val="autoZero"/>
        <c:auto val="1"/>
        <c:lblAlgn val="ctr"/>
        <c:lblOffset val="100"/>
        <c:noMultiLvlLbl val="0"/>
      </c:catAx>
      <c:valAx>
        <c:axId val="488049960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8804760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Real per Capit'!$A$34</c:f>
          <c:strCache>
            <c:ptCount val="1"/>
            <c:pt idx="0">
              <c:v>Adair County and Maries County General Revenue Property Tax and Sales Tax Receipts: Real per Capita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'County-to-County Real per Capit'!$A$36</c:f>
              <c:strCache>
                <c:ptCount val="1"/>
                <c:pt idx="0">
                  <c:v>Adair County Property Tax Receipts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'County-to-County Real per Capit'!$B$35:$W$35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Capit'!$B$36:$W$36</c:f>
              <c:numCache>
                <c:formatCode>"$"#,##0.00</c:formatCode>
                <c:ptCount val="22"/>
                <c:pt idx="0">
                  <c:v>0</c:v>
                </c:pt>
                <c:pt idx="1">
                  <c:v>0.86702914787481744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6-F14E-B384-7668778BC857}"/>
            </c:ext>
          </c:extLst>
        </c:ser>
        <c:ser>
          <c:idx val="3"/>
          <c:order val="1"/>
          <c:tx>
            <c:strRef>
              <c:f>'County-to-County Real per Capit'!$A$37</c:f>
              <c:strCache>
                <c:ptCount val="1"/>
                <c:pt idx="0">
                  <c:v>Adair County Sales Tax Receipts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</c:spPr>
          </c:marker>
          <c:cat>
            <c:strRef>
              <c:f>'County-to-County Real per Capit'!$B$35:$W$35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Capit'!$B$37:$W$37</c:f>
              <c:numCache>
                <c:formatCode>"$"#,##0.00</c:formatCode>
                <c:ptCount val="22"/>
                <c:pt idx="0">
                  <c:v>46.520290961700759</c:v>
                </c:pt>
                <c:pt idx="1">
                  <c:v>45.085515689490506</c:v>
                </c:pt>
                <c:pt idx="2">
                  <c:v>43.445249403235913</c:v>
                </c:pt>
                <c:pt idx="3">
                  <c:v>44.462577029813453</c:v>
                </c:pt>
                <c:pt idx="4">
                  <c:v>47.317502930959435</c:v>
                </c:pt>
                <c:pt idx="5">
                  <c:v>46.681206249159452</c:v>
                </c:pt>
                <c:pt idx="6">
                  <c:v>49.134361018791878</c:v>
                </c:pt>
                <c:pt idx="7">
                  <c:v>43.41191025269756</c:v>
                </c:pt>
                <c:pt idx="8">
                  <c:v>43.150552737224842</c:v>
                </c:pt>
                <c:pt idx="9">
                  <c:v>42.223317572037821</c:v>
                </c:pt>
                <c:pt idx="10">
                  <c:v>41.690306792669467</c:v>
                </c:pt>
                <c:pt idx="11">
                  <c:v>43.722078831776606</c:v>
                </c:pt>
                <c:pt idx="12">
                  <c:v>38.836748550202621</c:v>
                </c:pt>
                <c:pt idx="13">
                  <c:v>38.869760410687086</c:v>
                </c:pt>
                <c:pt idx="14">
                  <c:v>37.762945592828871</c:v>
                </c:pt>
                <c:pt idx="15">
                  <c:v>37.70040291634227</c:v>
                </c:pt>
                <c:pt idx="16">
                  <c:v>36.145409595748902</c:v>
                </c:pt>
                <c:pt idx="17">
                  <c:v>36.596441156558328</c:v>
                </c:pt>
                <c:pt idx="18">
                  <c:v>37.689009144765329</c:v>
                </c:pt>
                <c:pt idx="19">
                  <c:v>38.317281816345407</c:v>
                </c:pt>
                <c:pt idx="20">
                  <c:v>38.300050406744724</c:v>
                </c:pt>
                <c:pt idx="21">
                  <c:v>37.400975125305308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D6-F14E-B384-7668778BC857}"/>
            </c:ext>
          </c:extLst>
        </c:ser>
        <c:ser>
          <c:idx val="0"/>
          <c:order val="2"/>
          <c:tx>
            <c:strRef>
              <c:f>'County-to-County Real per Capit'!$A$38</c:f>
              <c:strCache>
                <c:ptCount val="1"/>
                <c:pt idx="0">
                  <c:v>Maries County Property Tax Receipts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'County-to-County Real per Capit'!$B$35:$W$35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Capit'!$B$38:$W$38</c:f>
              <c:numCache>
                <c:formatCode>"$"#,##0.00</c:formatCode>
                <c:ptCount val="22"/>
                <c:pt idx="0">
                  <c:v>25.530980949000121</c:v>
                </c:pt>
                <c:pt idx="1">
                  <c:v>24.295366188595487</c:v>
                </c:pt>
                <c:pt idx="2">
                  <c:v>25.268868723193506</c:v>
                </c:pt>
                <c:pt idx="3">
                  <c:v>25.646733652015104</c:v>
                </c:pt>
                <c:pt idx="4">
                  <c:v>26.188003759201866</c:v>
                </c:pt>
                <c:pt idx="5">
                  <c:v>25.665904183554417</c:v>
                </c:pt>
                <c:pt idx="6">
                  <c:v>26.627950000597856</c:v>
                </c:pt>
                <c:pt idx="7">
                  <c:v>27.744650976224182</c:v>
                </c:pt>
                <c:pt idx="8">
                  <c:v>27.889631544936044</c:v>
                </c:pt>
                <c:pt idx="9">
                  <c:v>25.460624687620076</c:v>
                </c:pt>
                <c:pt idx="10">
                  <c:v>25.562736870600965</c:v>
                </c:pt>
                <c:pt idx="11">
                  <c:v>27.031640392088811</c:v>
                </c:pt>
                <c:pt idx="12">
                  <c:v>27.386757989081516</c:v>
                </c:pt>
                <c:pt idx="13">
                  <c:v>29.437588974301967</c:v>
                </c:pt>
                <c:pt idx="14">
                  <c:v>21.690823006589923</c:v>
                </c:pt>
                <c:pt idx="15">
                  <c:v>21.690180371340503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6-F14E-B384-7668778BC857}"/>
            </c:ext>
          </c:extLst>
        </c:ser>
        <c:ser>
          <c:idx val="2"/>
          <c:order val="3"/>
          <c:tx>
            <c:strRef>
              <c:f>'County-to-County Real per Capit'!$A$39</c:f>
              <c:strCache>
                <c:ptCount val="1"/>
                <c:pt idx="0">
                  <c:v>Maries County Sales Tax Receipts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</c:spPr>
          </c:marker>
          <c:cat>
            <c:strRef>
              <c:f>'County-to-County Real per Capit'!$B$35:$W$35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Capit'!$B$39:$W$39</c:f>
              <c:numCache>
                <c:formatCode>"$"#,##0.00</c:formatCode>
                <c:ptCount val="22"/>
                <c:pt idx="0">
                  <c:v>36.095524789965687</c:v>
                </c:pt>
                <c:pt idx="1">
                  <c:v>38.692620226281704</c:v>
                </c:pt>
                <c:pt idx="2">
                  <c:v>39.847062217343606</c:v>
                </c:pt>
                <c:pt idx="3">
                  <c:v>41.794677062543137</c:v>
                </c:pt>
                <c:pt idx="4">
                  <c:v>45.043366465827205</c:v>
                </c:pt>
                <c:pt idx="5">
                  <c:v>40.038810526344889</c:v>
                </c:pt>
                <c:pt idx="6">
                  <c:v>34.732108696431986</c:v>
                </c:pt>
                <c:pt idx="7">
                  <c:v>27.744650976224182</c:v>
                </c:pt>
                <c:pt idx="8">
                  <c:v>43.07466462636414</c:v>
                </c:pt>
                <c:pt idx="9">
                  <c:v>41.589604902749137</c:v>
                </c:pt>
                <c:pt idx="10">
                  <c:v>38.964832933714895</c:v>
                </c:pt>
                <c:pt idx="11">
                  <c:v>39.010993149693299</c:v>
                </c:pt>
                <c:pt idx="12">
                  <c:v>23.805051904561797</c:v>
                </c:pt>
                <c:pt idx="13">
                  <c:v>25.132017071302769</c:v>
                </c:pt>
                <c:pt idx="14">
                  <c:v>19.997882354676005</c:v>
                </c:pt>
                <c:pt idx="15">
                  <c:v>18.538479448363489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D6-F14E-B384-7668778BC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847536"/>
        <c:axId val="487840480"/>
      </c:lineChart>
      <c:catAx>
        <c:axId val="48784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87840480"/>
        <c:crosses val="autoZero"/>
        <c:auto val="1"/>
        <c:lblAlgn val="ctr"/>
        <c:lblOffset val="100"/>
        <c:noMultiLvlLbl val="0"/>
      </c:catAx>
      <c:valAx>
        <c:axId val="487840480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8784753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Real per Capit'!$A$41</c:f>
          <c:strCache>
            <c:ptCount val="1"/>
            <c:pt idx="0">
              <c:v>Adair County Detailed General Revenue Receipts: Real per Capita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'County-to-County Real per Capit'!$A$43</c:f>
              <c:strCache>
                <c:ptCount val="1"/>
                <c:pt idx="0">
                  <c:v>Property Tax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Capit'!$B$42:$W$42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Capit'!$B$43:$W$43</c:f>
              <c:numCache>
                <c:formatCode>"$"#,##0.00</c:formatCode>
                <c:ptCount val="22"/>
                <c:pt idx="0">
                  <c:v>0</c:v>
                </c:pt>
                <c:pt idx="1">
                  <c:v>0.86702914787481744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3-1040-9D50-929641CC65F5}"/>
            </c:ext>
          </c:extLst>
        </c:ser>
        <c:ser>
          <c:idx val="1"/>
          <c:order val="1"/>
          <c:tx>
            <c:strRef>
              <c:f>'County-to-County Real per Capit'!$A$44</c:f>
              <c:strCache>
                <c:ptCount val="1"/>
                <c:pt idx="0">
                  <c:v>Sales Tax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Capit'!$B$42:$W$42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Capit'!$B$44:$W$44</c:f>
              <c:numCache>
                <c:formatCode>"$"#,##0.00</c:formatCode>
                <c:ptCount val="22"/>
                <c:pt idx="0">
                  <c:v>46.520290961700759</c:v>
                </c:pt>
                <c:pt idx="1">
                  <c:v>45.085515689490506</c:v>
                </c:pt>
                <c:pt idx="2">
                  <c:v>43.445249403235913</c:v>
                </c:pt>
                <c:pt idx="3">
                  <c:v>44.462577029813453</c:v>
                </c:pt>
                <c:pt idx="4">
                  <c:v>47.317502930959435</c:v>
                </c:pt>
                <c:pt idx="5">
                  <c:v>46.681206249159452</c:v>
                </c:pt>
                <c:pt idx="6">
                  <c:v>49.134361018791878</c:v>
                </c:pt>
                <c:pt idx="7">
                  <c:v>43.41191025269756</c:v>
                </c:pt>
                <c:pt idx="8">
                  <c:v>43.150552737224842</c:v>
                </c:pt>
                <c:pt idx="9">
                  <c:v>42.223317572037821</c:v>
                </c:pt>
                <c:pt idx="10">
                  <c:v>41.690306792669467</c:v>
                </c:pt>
                <c:pt idx="11">
                  <c:v>43.722078831776606</c:v>
                </c:pt>
                <c:pt idx="12">
                  <c:v>38.836748550202621</c:v>
                </c:pt>
                <c:pt idx="13">
                  <c:v>38.869760410687086</c:v>
                </c:pt>
                <c:pt idx="14">
                  <c:v>37.762945592828871</c:v>
                </c:pt>
                <c:pt idx="15">
                  <c:v>37.70040291634227</c:v>
                </c:pt>
                <c:pt idx="16">
                  <c:v>36.145409595748902</c:v>
                </c:pt>
                <c:pt idx="17">
                  <c:v>36.596441156558328</c:v>
                </c:pt>
                <c:pt idx="18">
                  <c:v>37.689009144765329</c:v>
                </c:pt>
                <c:pt idx="19">
                  <c:v>38.317281816345407</c:v>
                </c:pt>
                <c:pt idx="20">
                  <c:v>38.300050406744724</c:v>
                </c:pt>
                <c:pt idx="21">
                  <c:v>37.400975125305308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3-1040-9D50-929641CC65F5}"/>
            </c:ext>
          </c:extLst>
        </c:ser>
        <c:ser>
          <c:idx val="2"/>
          <c:order val="2"/>
          <c:tx>
            <c:strRef>
              <c:f>'County-to-County Real per Capit'!$A$45</c:f>
              <c:strCache>
                <c:ptCount val="1"/>
                <c:pt idx="0">
                  <c:v>Intergovernmental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Capit'!$B$42:$W$42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Capit'!$B$45:$W$45</c:f>
              <c:numCache>
                <c:formatCode>"$"#,##0.00</c:formatCode>
                <c:ptCount val="22"/>
                <c:pt idx="0">
                  <c:v>7.7533818269501262</c:v>
                </c:pt>
                <c:pt idx="1">
                  <c:v>12.138408070247444</c:v>
                </c:pt>
                <c:pt idx="2">
                  <c:v>7.834389236649101</c:v>
                </c:pt>
                <c:pt idx="3">
                  <c:v>7.1713833919053966</c:v>
                </c:pt>
                <c:pt idx="4">
                  <c:v>9.4635005861918877</c:v>
                </c:pt>
                <c:pt idx="5">
                  <c:v>6.0018693748919301</c:v>
                </c:pt>
                <c:pt idx="6">
                  <c:v>7.1209218867814323</c:v>
                </c:pt>
                <c:pt idx="7">
                  <c:v>19.491061746109107</c:v>
                </c:pt>
                <c:pt idx="8">
                  <c:v>2.7121165561234544</c:v>
                </c:pt>
                <c:pt idx="9">
                  <c:v>3.5305020371364568</c:v>
                </c:pt>
                <c:pt idx="10">
                  <c:v>3.2189042103925183</c:v>
                </c:pt>
                <c:pt idx="11">
                  <c:v>3.2325552183528674</c:v>
                </c:pt>
                <c:pt idx="12">
                  <c:v>7.2236759842669329</c:v>
                </c:pt>
                <c:pt idx="13">
                  <c:v>9.7907377908101729</c:v>
                </c:pt>
                <c:pt idx="14">
                  <c:v>13.022353374177712</c:v>
                </c:pt>
                <c:pt idx="15">
                  <c:v>9.7783995616900548</c:v>
                </c:pt>
                <c:pt idx="16">
                  <c:v>11.627666698068047</c:v>
                </c:pt>
                <c:pt idx="17">
                  <c:v>5.4878367143053008</c:v>
                </c:pt>
                <c:pt idx="18">
                  <c:v>0.93120900484639313</c:v>
                </c:pt>
                <c:pt idx="19">
                  <c:v>3.5800302215242619</c:v>
                </c:pt>
                <c:pt idx="20">
                  <c:v>3.9061584698473353</c:v>
                </c:pt>
                <c:pt idx="21">
                  <c:v>2.8923450372674742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B3-1040-9D50-929641CC65F5}"/>
            </c:ext>
          </c:extLst>
        </c:ser>
        <c:ser>
          <c:idx val="3"/>
          <c:order val="3"/>
          <c:tx>
            <c:strRef>
              <c:f>'County-to-County Real per Capit'!$A$46</c:f>
              <c:strCache>
                <c:ptCount val="1"/>
                <c:pt idx="0">
                  <c:v>Charges for Services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Capit'!$B$42:$W$42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Capit'!$B$46:$W$46</c:f>
              <c:numCache>
                <c:formatCode>"$"#,##0.00</c:formatCode>
                <c:ptCount val="22"/>
                <c:pt idx="0">
                  <c:v>10.854734557730177</c:v>
                </c:pt>
                <c:pt idx="1">
                  <c:v>12.138408070247444</c:v>
                </c:pt>
                <c:pt idx="2">
                  <c:v>11.395475253307781</c:v>
                </c:pt>
                <c:pt idx="3">
                  <c:v>13.625628444620254</c:v>
                </c:pt>
                <c:pt idx="4">
                  <c:v>11.647385336851556</c:v>
                </c:pt>
                <c:pt idx="5">
                  <c:v>11.336864374795869</c:v>
                </c:pt>
                <c:pt idx="6">
                  <c:v>13.529751584884721</c:v>
                </c:pt>
                <c:pt idx="7">
                  <c:v>14.175317633533894</c:v>
                </c:pt>
                <c:pt idx="8">
                  <c:v>10.060703090514913</c:v>
                </c:pt>
                <c:pt idx="9">
                  <c:v>10.80792715863142</c:v>
                </c:pt>
                <c:pt idx="10">
                  <c:v>11.19802400327908</c:v>
                </c:pt>
                <c:pt idx="11">
                  <c:v>10.961556240863576</c:v>
                </c:pt>
                <c:pt idx="12">
                  <c:v>9.5733366946046807</c:v>
                </c:pt>
                <c:pt idx="13">
                  <c:v>10.08034162458396</c:v>
                </c:pt>
                <c:pt idx="14">
                  <c:v>9.8520531446983597</c:v>
                </c:pt>
                <c:pt idx="15">
                  <c:v>9.6520877771191902</c:v>
                </c:pt>
                <c:pt idx="16">
                  <c:v>10.133149370178911</c:v>
                </c:pt>
                <c:pt idx="17">
                  <c:v>9.8339804797543575</c:v>
                </c:pt>
                <c:pt idx="18">
                  <c:v>9.3849810001625507</c:v>
                </c:pt>
                <c:pt idx="19">
                  <c:v>9.5282767788050062</c:v>
                </c:pt>
                <c:pt idx="20">
                  <c:v>9.5180136715153356</c:v>
                </c:pt>
                <c:pt idx="21">
                  <c:v>8.8434605683784397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B3-1040-9D50-929641CC65F5}"/>
            </c:ext>
          </c:extLst>
        </c:ser>
        <c:ser>
          <c:idx val="4"/>
          <c:order val="4"/>
          <c:tx>
            <c:strRef>
              <c:f>'County-to-County Real per Capit'!$A$47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Capit'!$B$42:$W$42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Capit'!$B$47:$W$47</c:f>
              <c:numCache>
                <c:formatCode>"$"#,##0.00</c:formatCode>
                <c:ptCount val="22"/>
                <c:pt idx="0">
                  <c:v>0.77533818269501276</c:v>
                </c:pt>
                <c:pt idx="1">
                  <c:v>0</c:v>
                </c:pt>
                <c:pt idx="2">
                  <c:v>0.71221720333173633</c:v>
                </c:pt>
                <c:pt idx="3">
                  <c:v>0.7171383391905396</c:v>
                </c:pt>
                <c:pt idx="4">
                  <c:v>0.72796158355322227</c:v>
                </c:pt>
                <c:pt idx="5">
                  <c:v>0.66687437498799229</c:v>
                </c:pt>
                <c:pt idx="6">
                  <c:v>0.71209218867814317</c:v>
                </c:pt>
                <c:pt idx="7">
                  <c:v>0.88595735209586834</c:v>
                </c:pt>
                <c:pt idx="8">
                  <c:v>0.28366487809774166</c:v>
                </c:pt>
                <c:pt idx="9">
                  <c:v>0.20847039229988634</c:v>
                </c:pt>
                <c:pt idx="10">
                  <c:v>0.45864531681129272</c:v>
                </c:pt>
                <c:pt idx="11">
                  <c:v>0.97679864106835879</c:v>
                </c:pt>
                <c:pt idx="12">
                  <c:v>1.4868726695819536</c:v>
                </c:pt>
                <c:pt idx="13">
                  <c:v>1.1551593310767445</c:v>
                </c:pt>
                <c:pt idx="14">
                  <c:v>1.0312398179348494</c:v>
                </c:pt>
                <c:pt idx="15">
                  <c:v>0.89366245508139863</c:v>
                </c:pt>
                <c:pt idx="16">
                  <c:v>0.55390211320545446</c:v>
                </c:pt>
                <c:pt idx="17">
                  <c:v>0.45433914420771498</c:v>
                </c:pt>
                <c:pt idx="18">
                  <c:v>0.28115307712789595</c:v>
                </c:pt>
                <c:pt idx="19">
                  <c:v>0.27276971726151183</c:v>
                </c:pt>
                <c:pt idx="20">
                  <c:v>0.13254230027803879</c:v>
                </c:pt>
                <c:pt idx="21">
                  <c:v>0.1402536567198949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B3-1040-9D50-929641CC65F5}"/>
            </c:ext>
          </c:extLst>
        </c:ser>
        <c:ser>
          <c:idx val="5"/>
          <c:order val="5"/>
          <c:tx>
            <c:strRef>
              <c:f>'County-to-County Real per Capit'!$A$48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Capit'!$B$42:$W$42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Capit'!$B$48:$W$48</c:f>
              <c:numCache>
                <c:formatCode>"$"#,##0.00</c:formatCode>
                <c:ptCount val="22"/>
                <c:pt idx="0">
                  <c:v>11.63007274042519</c:v>
                </c:pt>
                <c:pt idx="1">
                  <c:v>16.473553809621531</c:v>
                </c:pt>
                <c:pt idx="2">
                  <c:v>7.834389236649101</c:v>
                </c:pt>
                <c:pt idx="3">
                  <c:v>5.7371067135243168</c:v>
                </c:pt>
                <c:pt idx="4">
                  <c:v>3.6398079177661109</c:v>
                </c:pt>
                <c:pt idx="5">
                  <c:v>2.0006231249639765</c:v>
                </c:pt>
                <c:pt idx="6">
                  <c:v>0.71209218867814317</c:v>
                </c:pt>
                <c:pt idx="7">
                  <c:v>10.631488225150422</c:v>
                </c:pt>
                <c:pt idx="8">
                  <c:v>5.7161998298323642</c:v>
                </c:pt>
                <c:pt idx="9">
                  <c:v>3.6313065450144162</c:v>
                </c:pt>
                <c:pt idx="10">
                  <c:v>2.626485168081508</c:v>
                </c:pt>
                <c:pt idx="11">
                  <c:v>2.4894039146313389</c:v>
                </c:pt>
                <c:pt idx="12">
                  <c:v>2.6698893892977518</c:v>
                </c:pt>
                <c:pt idx="13">
                  <c:v>2.7530850783571315</c:v>
                </c:pt>
                <c:pt idx="14">
                  <c:v>2.1019185694249516</c:v>
                </c:pt>
                <c:pt idx="15">
                  <c:v>2.8226396017988953</c:v>
                </c:pt>
                <c:pt idx="16">
                  <c:v>2.0032307471223008</c:v>
                </c:pt>
                <c:pt idx="17">
                  <c:v>4.0299083927233452</c:v>
                </c:pt>
                <c:pt idx="18">
                  <c:v>2.9629728352609495</c:v>
                </c:pt>
                <c:pt idx="19">
                  <c:v>1.873175478936463</c:v>
                </c:pt>
                <c:pt idx="20">
                  <c:v>2.0122363058769337</c:v>
                </c:pt>
                <c:pt idx="21">
                  <c:v>2.6626455459988447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B3-1040-9D50-929641CC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845968"/>
        <c:axId val="487840872"/>
      </c:areaChart>
      <c:catAx>
        <c:axId val="48784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87840872"/>
        <c:crosses val="autoZero"/>
        <c:auto val="1"/>
        <c:lblAlgn val="ctr"/>
        <c:lblOffset val="100"/>
        <c:tickLblSkip val="1"/>
        <c:noMultiLvlLbl val="0"/>
      </c:catAx>
      <c:valAx>
        <c:axId val="487840872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8784596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Real per Capit'!$A$50</c:f>
          <c:strCache>
            <c:ptCount val="1"/>
            <c:pt idx="0">
              <c:v>Maries County Detailed General Revenue Receipts: Real per Capita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'County-to-County Real per Capit'!$A$52</c:f>
              <c:strCache>
                <c:ptCount val="1"/>
                <c:pt idx="0">
                  <c:v>Property Tax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Capit'!$B$52:$W$52</c:f>
              <c:numCache>
                <c:formatCode>"$"#,##0.00</c:formatCode>
                <c:ptCount val="22"/>
                <c:pt idx="0">
                  <c:v>25.530980949000121</c:v>
                </c:pt>
                <c:pt idx="1">
                  <c:v>24.295366188595487</c:v>
                </c:pt>
                <c:pt idx="2">
                  <c:v>25.268868723193506</c:v>
                </c:pt>
                <c:pt idx="3">
                  <c:v>25.646733652015104</c:v>
                </c:pt>
                <c:pt idx="4">
                  <c:v>26.188003759201866</c:v>
                </c:pt>
                <c:pt idx="5">
                  <c:v>25.665904183554417</c:v>
                </c:pt>
                <c:pt idx="6">
                  <c:v>26.627950000597856</c:v>
                </c:pt>
                <c:pt idx="7">
                  <c:v>27.744650976224182</c:v>
                </c:pt>
                <c:pt idx="8">
                  <c:v>27.889631544936044</c:v>
                </c:pt>
                <c:pt idx="9">
                  <c:v>25.460624687620076</c:v>
                </c:pt>
                <c:pt idx="10">
                  <c:v>25.562736870600965</c:v>
                </c:pt>
                <c:pt idx="11">
                  <c:v>27.031640392088811</c:v>
                </c:pt>
                <c:pt idx="12">
                  <c:v>27.386757989081516</c:v>
                </c:pt>
                <c:pt idx="13">
                  <c:v>29.437588974301967</c:v>
                </c:pt>
                <c:pt idx="14">
                  <c:v>21.690823006589923</c:v>
                </c:pt>
                <c:pt idx="15">
                  <c:v>21.690180371340503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C-8449-B168-8FE6A2CA02CB}"/>
            </c:ext>
          </c:extLst>
        </c:ser>
        <c:ser>
          <c:idx val="1"/>
          <c:order val="1"/>
          <c:tx>
            <c:strRef>
              <c:f>'County-to-County Real per Capit'!$A$53</c:f>
              <c:strCache>
                <c:ptCount val="1"/>
                <c:pt idx="0">
                  <c:v>Sales Tax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Capit'!$B$53:$W$53</c:f>
              <c:numCache>
                <c:formatCode>"$"#,##0.00</c:formatCode>
                <c:ptCount val="22"/>
                <c:pt idx="0">
                  <c:v>36.095524789965687</c:v>
                </c:pt>
                <c:pt idx="1">
                  <c:v>38.692620226281704</c:v>
                </c:pt>
                <c:pt idx="2">
                  <c:v>39.847062217343606</c:v>
                </c:pt>
                <c:pt idx="3">
                  <c:v>41.794677062543137</c:v>
                </c:pt>
                <c:pt idx="4">
                  <c:v>45.043366465827205</c:v>
                </c:pt>
                <c:pt idx="5">
                  <c:v>40.038810526344889</c:v>
                </c:pt>
                <c:pt idx="6">
                  <c:v>34.732108696431986</c:v>
                </c:pt>
                <c:pt idx="7">
                  <c:v>27.744650976224182</c:v>
                </c:pt>
                <c:pt idx="8">
                  <c:v>43.07466462636414</c:v>
                </c:pt>
                <c:pt idx="9">
                  <c:v>41.589604902749137</c:v>
                </c:pt>
                <c:pt idx="10">
                  <c:v>38.964832933714895</c:v>
                </c:pt>
                <c:pt idx="11">
                  <c:v>39.010993149693299</c:v>
                </c:pt>
                <c:pt idx="12">
                  <c:v>23.805051904561797</c:v>
                </c:pt>
                <c:pt idx="13">
                  <c:v>25.132017071302769</c:v>
                </c:pt>
                <c:pt idx="14">
                  <c:v>19.997882354676005</c:v>
                </c:pt>
                <c:pt idx="15">
                  <c:v>18.538479448363489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C-8449-B168-8FE6A2CA02CB}"/>
            </c:ext>
          </c:extLst>
        </c:ser>
        <c:ser>
          <c:idx val="2"/>
          <c:order val="2"/>
          <c:tx>
            <c:strRef>
              <c:f>'County-to-County Real per Capit'!$A$54</c:f>
              <c:strCache>
                <c:ptCount val="1"/>
                <c:pt idx="0">
                  <c:v>Intergovernmental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Capit'!$B$54:$W$54</c:f>
              <c:numCache>
                <c:formatCode>"$"#,##0.00</c:formatCode>
                <c:ptCount val="22"/>
                <c:pt idx="0">
                  <c:v>5.282271920482783</c:v>
                </c:pt>
                <c:pt idx="1">
                  <c:v>3.5993135094215534</c:v>
                </c:pt>
                <c:pt idx="2">
                  <c:v>3.8875182651066935</c:v>
                </c:pt>
                <c:pt idx="3">
                  <c:v>3.7995160965948305</c:v>
                </c:pt>
                <c:pt idx="4">
                  <c:v>4.1900806014722987</c:v>
                </c:pt>
                <c:pt idx="5">
                  <c:v>2.0532723346843533</c:v>
                </c:pt>
                <c:pt idx="6">
                  <c:v>11.577369565477328</c:v>
                </c:pt>
                <c:pt idx="7">
                  <c:v>18.496433984149455</c:v>
                </c:pt>
                <c:pt idx="8">
                  <c:v>6.8250666084343123</c:v>
                </c:pt>
                <c:pt idx="9">
                  <c:v>10.427515352220109</c:v>
                </c:pt>
                <c:pt idx="10">
                  <c:v>8.6296499149199448</c:v>
                </c:pt>
                <c:pt idx="11">
                  <c:v>10.653367341889052</c:v>
                </c:pt>
                <c:pt idx="12">
                  <c:v>9.8835363706074659</c:v>
                </c:pt>
                <c:pt idx="13">
                  <c:v>10.208835420710216</c:v>
                </c:pt>
                <c:pt idx="14">
                  <c:v>4.2053716075415819</c:v>
                </c:pt>
                <c:pt idx="15">
                  <c:v>4.4096152531036763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3C-8449-B168-8FE6A2CA02CB}"/>
            </c:ext>
          </c:extLst>
        </c:ser>
        <c:ser>
          <c:idx val="3"/>
          <c:order val="3"/>
          <c:tx>
            <c:strRef>
              <c:f>'County-to-County Real per Capit'!$A$55</c:f>
              <c:strCache>
                <c:ptCount val="1"/>
                <c:pt idx="0">
                  <c:v>Charges for Services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Capit'!$B$55:$W$55</c:f>
              <c:numCache>
                <c:formatCode>"$"#,##0.00</c:formatCode>
                <c:ptCount val="22"/>
                <c:pt idx="0">
                  <c:v>16.727194414862144</c:v>
                </c:pt>
                <c:pt idx="1">
                  <c:v>14.397254037686213</c:v>
                </c:pt>
                <c:pt idx="2">
                  <c:v>14.578193494150099</c:v>
                </c:pt>
                <c:pt idx="3">
                  <c:v>14.248185362230613</c:v>
                </c:pt>
                <c:pt idx="4">
                  <c:v>13.617761954784969</c:v>
                </c:pt>
                <c:pt idx="5">
                  <c:v>15.399542510132653</c:v>
                </c:pt>
                <c:pt idx="6">
                  <c:v>17.366054348215993</c:v>
                </c:pt>
                <c:pt idx="7">
                  <c:v>17.468854318363373</c:v>
                </c:pt>
                <c:pt idx="8">
                  <c:v>16.654984364181573</c:v>
                </c:pt>
                <c:pt idx="9">
                  <c:v>14.508440975479528</c:v>
                </c:pt>
                <c:pt idx="10">
                  <c:v>15.316319417588362</c:v>
                </c:pt>
                <c:pt idx="11">
                  <c:v>14.767696672226197</c:v>
                </c:pt>
                <c:pt idx="12">
                  <c:v>14.25849612907494</c:v>
                </c:pt>
                <c:pt idx="13">
                  <c:v>16.199353285534965</c:v>
                </c:pt>
                <c:pt idx="14">
                  <c:v>10.178882317422893</c:v>
                </c:pt>
                <c:pt idx="15">
                  <c:v>9.1782349274910864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3C-8449-B168-8FE6A2CA02CB}"/>
            </c:ext>
          </c:extLst>
        </c:ser>
        <c:ser>
          <c:idx val="4"/>
          <c:order val="4"/>
          <c:tx>
            <c:strRef>
              <c:f>'County-to-County Real per Capit'!$A$56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Capit'!$B$56:$W$56</c:f>
              <c:numCache>
                <c:formatCode>"$"#,##0.00</c:formatCode>
                <c:ptCount val="22"/>
                <c:pt idx="0">
                  <c:v>0.88037865341379717</c:v>
                </c:pt>
                <c:pt idx="1">
                  <c:v>0.89982837735538834</c:v>
                </c:pt>
                <c:pt idx="2">
                  <c:v>0.97187956627667338</c:v>
                </c:pt>
                <c:pt idx="3">
                  <c:v>0.94987902414870762</c:v>
                </c:pt>
                <c:pt idx="4">
                  <c:v>1.0475201503680747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0.14456297240687691</c:v>
                </c:pt>
                <c:pt idx="9">
                  <c:v>0.13788535199349125</c:v>
                </c:pt>
                <c:pt idx="10">
                  <c:v>6.2415886766184529E-2</c:v>
                </c:pt>
                <c:pt idx="11">
                  <c:v>8.4492877251996001E-2</c:v>
                </c:pt>
                <c:pt idx="12">
                  <c:v>8.3361918355733963E-2</c:v>
                </c:pt>
                <c:pt idx="13">
                  <c:v>4.4779299619104651E-2</c:v>
                </c:pt>
                <c:pt idx="14">
                  <c:v>4.4650821935562982E-2</c:v>
                </c:pt>
                <c:pt idx="15">
                  <c:v>6.1549647877787848E-2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3C-8449-B168-8FE6A2CA02CB}"/>
            </c:ext>
          </c:extLst>
        </c:ser>
        <c:ser>
          <c:idx val="5"/>
          <c:order val="5"/>
          <c:tx>
            <c:strRef>
              <c:f>'County-to-County Real per Capit'!$A$57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Capit'!$B$51:$W$51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Capit'!$B$57:$W$57</c:f>
              <c:numCache>
                <c:formatCode>"$"#,##0.00</c:formatCode>
                <c:ptCount val="22"/>
                <c:pt idx="0">
                  <c:v>3.5215146136551887</c:v>
                </c:pt>
                <c:pt idx="1">
                  <c:v>8.098455396198494</c:v>
                </c:pt>
                <c:pt idx="2">
                  <c:v>12.634434361596753</c:v>
                </c:pt>
                <c:pt idx="3">
                  <c:v>8.5489112173383681</c:v>
                </c:pt>
                <c:pt idx="4">
                  <c:v>14.665282105153045</c:v>
                </c:pt>
                <c:pt idx="5">
                  <c:v>19.506087179501357</c:v>
                </c:pt>
                <c:pt idx="6">
                  <c:v>25.470213044050119</c:v>
                </c:pt>
                <c:pt idx="7">
                  <c:v>11.303376323646887</c:v>
                </c:pt>
                <c:pt idx="8">
                  <c:v>8.5540834825710039</c:v>
                </c:pt>
                <c:pt idx="9">
                  <c:v>6.4790661287900537</c:v>
                </c:pt>
                <c:pt idx="10">
                  <c:v>3.5583591151674523</c:v>
                </c:pt>
                <c:pt idx="11">
                  <c:v>3.10688995839232</c:v>
                </c:pt>
                <c:pt idx="12">
                  <c:v>2.7695099367886944</c:v>
                </c:pt>
                <c:pt idx="13">
                  <c:v>6.106191321473756</c:v>
                </c:pt>
                <c:pt idx="14">
                  <c:v>0.64991751928430574</c:v>
                </c:pt>
                <c:pt idx="15">
                  <c:v>1.1840653100743219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3C-8449-B168-8FE6A2CA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844008"/>
        <c:axId val="487841656"/>
      </c:areaChart>
      <c:catAx>
        <c:axId val="48784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87841656"/>
        <c:crosses val="autoZero"/>
        <c:auto val="1"/>
        <c:lblAlgn val="ctr"/>
        <c:lblOffset val="100"/>
        <c:noMultiLvlLbl val="0"/>
      </c:catAx>
      <c:valAx>
        <c:axId val="487841656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8784400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Real per Capit'!$A$59</c:f>
          <c:strCache>
            <c:ptCount val="1"/>
            <c:pt idx="0">
              <c:v>Adair County Detailed General Revenue Expenditures: Real per Capita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'County-to-County Real per Capit'!$A$61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Capit'!$B$60:$W$60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Capit'!$B$61:$W$61</c:f>
              <c:numCache>
                <c:formatCode>"$"#,##0.00</c:formatCode>
                <c:ptCount val="22"/>
                <c:pt idx="0">
                  <c:v>20.064673873729053</c:v>
                </c:pt>
                <c:pt idx="1">
                  <c:v>17.34841353846344</c:v>
                </c:pt>
                <c:pt idx="2">
                  <c:v>20.806744550955258</c:v>
                </c:pt>
                <c:pt idx="3">
                  <c:v>20.470731974633622</c:v>
                </c:pt>
                <c:pt idx="4">
                  <c:v>21.412782565876391</c:v>
                </c:pt>
                <c:pt idx="5">
                  <c:v>18.845073790085838</c:v>
                </c:pt>
                <c:pt idx="6">
                  <c:v>21.407964429270706</c:v>
                </c:pt>
                <c:pt idx="7">
                  <c:v>24.329616607392737</c:v>
                </c:pt>
                <c:pt idx="8">
                  <c:v>20.765997410606666</c:v>
                </c:pt>
                <c:pt idx="9">
                  <c:v>16.864209752201305</c:v>
                </c:pt>
                <c:pt idx="10">
                  <c:v>19.022213271355444</c:v>
                </c:pt>
                <c:pt idx="11">
                  <c:v>17.147185705836961</c:v>
                </c:pt>
                <c:pt idx="12">
                  <c:v>18.949484713997077</c:v>
                </c:pt>
                <c:pt idx="13">
                  <c:v>17.150194699173227</c:v>
                </c:pt>
                <c:pt idx="14">
                  <c:v>19.070265944514624</c:v>
                </c:pt>
                <c:pt idx="15">
                  <c:v>17.108026440657977</c:v>
                </c:pt>
                <c:pt idx="16">
                  <c:v>21.829117615780724</c:v>
                </c:pt>
                <c:pt idx="17">
                  <c:v>19.486271339848141</c:v>
                </c:pt>
                <c:pt idx="18">
                  <c:v>23.679595566150883</c:v>
                </c:pt>
                <c:pt idx="19">
                  <c:v>24.413745366396167</c:v>
                </c:pt>
                <c:pt idx="20">
                  <c:v>21.32553809340688</c:v>
                </c:pt>
                <c:pt idx="21">
                  <c:v>21.143426690424164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6-FF43-8FF0-38B683E54106}"/>
            </c:ext>
          </c:extLst>
        </c:ser>
        <c:ser>
          <c:idx val="1"/>
          <c:order val="1"/>
          <c:tx>
            <c:strRef>
              <c:f>'County-to-County Real per Capit'!$A$62</c:f>
              <c:strCache>
                <c:ptCount val="1"/>
                <c:pt idx="0">
                  <c:v>Law Enforcement</c:v>
                </c:pt>
              </c:strCache>
            </c:strRef>
          </c:tx>
          <c:spPr>
            <a:solidFill>
              <a:srgbClr val="EEECE1">
                <a:lumMod val="25000"/>
              </a:srgbClr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Capit'!$B$60:$W$60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Capit'!$B$62:$W$62</c:f>
              <c:numCache>
                <c:formatCode>"$"#,##0.00</c:formatCode>
                <c:ptCount val="22"/>
                <c:pt idx="0">
                  <c:v>20.937050998673794</c:v>
                </c:pt>
                <c:pt idx="1">
                  <c:v>21.685516923079298</c:v>
                </c:pt>
                <c:pt idx="2">
                  <c:v>4.1613489101910499</c:v>
                </c:pt>
                <c:pt idx="3">
                  <c:v>5.1176829936584056</c:v>
                </c:pt>
                <c:pt idx="4">
                  <c:v>3.2443609948297563</c:v>
                </c:pt>
                <c:pt idx="5">
                  <c:v>1.2563382526723894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6-FF43-8FF0-38B683E54106}"/>
            </c:ext>
          </c:extLst>
        </c:ser>
        <c:ser>
          <c:idx val="2"/>
          <c:order val="2"/>
          <c:tx>
            <c:strRef>
              <c:f>'County-to-County Real per Capit'!$A$63</c:f>
              <c:strCache>
                <c:ptCount val="1"/>
                <c:pt idx="0">
                  <c:v>Court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Capit'!$B$60:$W$60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Capit'!$B$63:$W$63</c:f>
              <c:numCache>
                <c:formatCode>"$"#,##0.00</c:formatCode>
                <c:ptCount val="22"/>
                <c:pt idx="0">
                  <c:v>15.702788249005346</c:v>
                </c:pt>
                <c:pt idx="1">
                  <c:v>17.34841353846344</c:v>
                </c:pt>
                <c:pt idx="2">
                  <c:v>14.564721185668677</c:v>
                </c:pt>
                <c:pt idx="3">
                  <c:v>13.159756269407328</c:v>
                </c:pt>
                <c:pt idx="4">
                  <c:v>10.38195518345522</c:v>
                </c:pt>
                <c:pt idx="5">
                  <c:v>8.1661986423705315</c:v>
                </c:pt>
                <c:pt idx="6">
                  <c:v>10.168917589336507</c:v>
                </c:pt>
                <c:pt idx="7">
                  <c:v>2.6067446365063645</c:v>
                </c:pt>
                <c:pt idx="8">
                  <c:v>2.775301069263822</c:v>
                </c:pt>
                <c:pt idx="9">
                  <c:v>2.5338988170164596</c:v>
                </c:pt>
                <c:pt idx="10">
                  <c:v>2.2197991401693233</c:v>
                </c:pt>
                <c:pt idx="11">
                  <c:v>1.8627370199848647</c:v>
                </c:pt>
                <c:pt idx="12">
                  <c:v>2.9061553340322459</c:v>
                </c:pt>
                <c:pt idx="13">
                  <c:v>2.5770129492283829</c:v>
                </c:pt>
                <c:pt idx="14">
                  <c:v>4.0657403447859997</c:v>
                </c:pt>
                <c:pt idx="15">
                  <c:v>2.4842405264623624</c:v>
                </c:pt>
                <c:pt idx="16">
                  <c:v>2.6436328939201301</c:v>
                </c:pt>
                <c:pt idx="17">
                  <c:v>3.63959813595419</c:v>
                </c:pt>
                <c:pt idx="18">
                  <c:v>0.93916582996224207</c:v>
                </c:pt>
                <c:pt idx="19">
                  <c:v>9.7518836835905596</c:v>
                </c:pt>
                <c:pt idx="20">
                  <c:v>5.1718238828851932</c:v>
                </c:pt>
                <c:pt idx="21">
                  <c:v>7.9328132108081011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26-FF43-8FF0-38B683E54106}"/>
            </c:ext>
          </c:extLst>
        </c:ser>
        <c:ser>
          <c:idx val="3"/>
          <c:order val="3"/>
          <c:tx>
            <c:strRef>
              <c:f>'County-to-County Real per Capit'!$A$64</c:f>
              <c:strCache>
                <c:ptCount val="1"/>
                <c:pt idx="0">
                  <c:v>Fringe Benefits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Capit'!$B$60:$W$60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Capit'!$B$64:$W$64</c:f>
              <c:numCache>
                <c:formatCode>"$"#,##0.00</c:formatCode>
                <c:ptCount val="22"/>
                <c:pt idx="0">
                  <c:v>9.5961483743921558</c:v>
                </c:pt>
                <c:pt idx="1">
                  <c:v>10.409048123078064</c:v>
                </c:pt>
                <c:pt idx="2">
                  <c:v>6.9355815169850841</c:v>
                </c:pt>
                <c:pt idx="3">
                  <c:v>8.7731708462715527</c:v>
                </c:pt>
                <c:pt idx="4">
                  <c:v>9.7330829844892683</c:v>
                </c:pt>
                <c:pt idx="5">
                  <c:v>6.9098603896981414</c:v>
                </c:pt>
                <c:pt idx="6">
                  <c:v>4.7454948750237032</c:v>
                </c:pt>
                <c:pt idx="7">
                  <c:v>5.2134892730127289</c:v>
                </c:pt>
                <c:pt idx="8">
                  <c:v>7.3518567755193258</c:v>
                </c:pt>
                <c:pt idx="9">
                  <c:v>7.7083399092565204</c:v>
                </c:pt>
                <c:pt idx="10">
                  <c:v>7.3701895469268583</c:v>
                </c:pt>
                <c:pt idx="11">
                  <c:v>7.3201141485874111</c:v>
                </c:pt>
                <c:pt idx="12">
                  <c:v>7.4784191870193713</c:v>
                </c:pt>
                <c:pt idx="13">
                  <c:v>7.7591197593394003</c:v>
                </c:pt>
                <c:pt idx="14">
                  <c:v>9.4783044486129135</c:v>
                </c:pt>
                <c:pt idx="15">
                  <c:v>9.1548833492149768</c:v>
                </c:pt>
                <c:pt idx="16">
                  <c:v>10.090971447832395</c:v>
                </c:pt>
                <c:pt idx="17">
                  <c:v>9.7471907175775492</c:v>
                </c:pt>
                <c:pt idx="18">
                  <c:v>9.6322434516838733</c:v>
                </c:pt>
                <c:pt idx="19">
                  <c:v>9.55735212946961</c:v>
                </c:pt>
                <c:pt idx="20">
                  <c:v>8.8073257965575831</c:v>
                </c:pt>
                <c:pt idx="21">
                  <c:v>12.290872074944003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26-FF43-8FF0-38B683E54106}"/>
            </c:ext>
          </c:extLst>
        </c:ser>
        <c:ser>
          <c:idx val="4"/>
          <c:order val="4"/>
          <c:tx>
            <c:strRef>
              <c:f>'County-to-County Real per Capit'!$A$65</c:f>
              <c:strCache>
                <c:ptCount val="1"/>
                <c:pt idx="0">
                  <c:v>Prosecuting Attorney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Capit'!$B$60:$W$60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Capit'!$B$65:$W$65</c:f>
              <c:numCache>
                <c:formatCode>"$"#,##0.00</c:formatCode>
                <c:ptCount val="22"/>
                <c:pt idx="0">
                  <c:v>6.1066398746131894</c:v>
                </c:pt>
                <c:pt idx="1">
                  <c:v>6.0719447384622036</c:v>
                </c:pt>
                <c:pt idx="2">
                  <c:v>5.5484652135880683</c:v>
                </c:pt>
                <c:pt idx="3">
                  <c:v>6.5798781347036641</c:v>
                </c:pt>
                <c:pt idx="4">
                  <c:v>6.4887219896595125</c:v>
                </c:pt>
                <c:pt idx="5">
                  <c:v>6.2816912633619459</c:v>
                </c:pt>
                <c:pt idx="6">
                  <c:v>6.1013505536019039</c:v>
                </c:pt>
                <c:pt idx="7">
                  <c:v>6.9513190306836394</c:v>
                </c:pt>
                <c:pt idx="8">
                  <c:v>6.8900582266441068</c:v>
                </c:pt>
                <c:pt idx="9">
                  <c:v>6.9274008177880351</c:v>
                </c:pt>
                <c:pt idx="10">
                  <c:v>6.5728725224794182</c:v>
                </c:pt>
                <c:pt idx="11">
                  <c:v>6.5232178467897874</c:v>
                </c:pt>
                <c:pt idx="12">
                  <c:v>6.3946324885203696</c:v>
                </c:pt>
                <c:pt idx="13">
                  <c:v>6.3275564775134994</c:v>
                </c:pt>
                <c:pt idx="14">
                  <c:v>6.003333917922693</c:v>
                </c:pt>
                <c:pt idx="15">
                  <c:v>5.999019748982759</c:v>
                </c:pt>
                <c:pt idx="16">
                  <c:v>6.1601061720822958</c:v>
                </c:pt>
                <c:pt idx="17">
                  <c:v>6.8299825961490512</c:v>
                </c:pt>
                <c:pt idx="18">
                  <c:v>6.7618681837124326</c:v>
                </c:pt>
                <c:pt idx="19">
                  <c:v>7.3728481836068491</c:v>
                </c:pt>
                <c:pt idx="20">
                  <c:v>7.5175872870698166</c:v>
                </c:pt>
                <c:pt idx="21">
                  <c:v>7.9723918577100781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6-FF43-8FF0-38B683E54106}"/>
            </c:ext>
          </c:extLst>
        </c:ser>
        <c:ser>
          <c:idx val="5"/>
          <c:order val="5"/>
          <c:tx>
            <c:strRef>
              <c:f>'County-to-County Real per Capit'!$A$66</c:f>
              <c:strCache>
                <c:ptCount val="1"/>
                <c:pt idx="0">
                  <c:v>Public Administrator &amp; Coroner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Capit'!$B$60:$W$60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Capit'!$B$66:$W$66</c:f>
              <c:numCache>
                <c:formatCode>"$"#,##0.00</c:formatCode>
                <c:ptCount val="22"/>
                <c:pt idx="0">
                  <c:v>0.8723771249447414</c:v>
                </c:pt>
                <c:pt idx="1">
                  <c:v>1.7348413538463436</c:v>
                </c:pt>
                <c:pt idx="2">
                  <c:v>2.7742326067940342</c:v>
                </c:pt>
                <c:pt idx="3">
                  <c:v>2.1932927115678877</c:v>
                </c:pt>
                <c:pt idx="4">
                  <c:v>3.2443609948297563</c:v>
                </c:pt>
                <c:pt idx="5">
                  <c:v>2.5126765053447788</c:v>
                </c:pt>
                <c:pt idx="6">
                  <c:v>2.7117113571564015</c:v>
                </c:pt>
                <c:pt idx="7">
                  <c:v>2.6067446365063645</c:v>
                </c:pt>
                <c:pt idx="8">
                  <c:v>2.597909597297416</c:v>
                </c:pt>
                <c:pt idx="9">
                  <c:v>2.6894542962213852</c:v>
                </c:pt>
                <c:pt idx="10">
                  <c:v>2.7431180394489538</c:v>
                </c:pt>
                <c:pt idx="11">
                  <c:v>2.6249302770558951</c:v>
                </c:pt>
                <c:pt idx="12">
                  <c:v>2.7888889803999306</c:v>
                </c:pt>
                <c:pt idx="13">
                  <c:v>2.468865457857929</c:v>
                </c:pt>
                <c:pt idx="14">
                  <c:v>2.9971622386825505</c:v>
                </c:pt>
                <c:pt idx="15">
                  <c:v>3.0200911958035186</c:v>
                </c:pt>
                <c:pt idx="16">
                  <c:v>3.0390804924394472</c:v>
                </c:pt>
                <c:pt idx="17">
                  <c:v>3.1732268393462615</c:v>
                </c:pt>
                <c:pt idx="18">
                  <c:v>3.4481442377156024</c:v>
                </c:pt>
                <c:pt idx="19">
                  <c:v>3.6559304313503027</c:v>
                </c:pt>
                <c:pt idx="20">
                  <c:v>4.2172421583651936</c:v>
                </c:pt>
                <c:pt idx="21">
                  <c:v>3.9374325374866657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26-FF43-8FF0-38B683E54106}"/>
            </c:ext>
          </c:extLst>
        </c:ser>
        <c:ser>
          <c:idx val="6"/>
          <c:order val="6"/>
          <c:tx>
            <c:strRef>
              <c:f>'County-to-County Real per Capit'!$A$67</c:f>
              <c:strCache>
                <c:ptCount val="1"/>
                <c:pt idx="0">
                  <c:v>Health and Welfare &amp; "Other"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Capit'!$B$60:$W$60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Capit'!$B$67:$W$67</c:f>
              <c:numCache>
                <c:formatCode>"$"#,##0.00</c:formatCode>
                <c:ptCount val="22"/>
                <c:pt idx="0">
                  <c:v>10.468525499336897</c:v>
                </c:pt>
                <c:pt idx="1">
                  <c:v>12.143889476924407</c:v>
                </c:pt>
                <c:pt idx="2">
                  <c:v>11.096930427176137</c:v>
                </c:pt>
                <c:pt idx="3">
                  <c:v>15.353048980975219</c:v>
                </c:pt>
                <c:pt idx="4">
                  <c:v>10.38195518345522</c:v>
                </c:pt>
                <c:pt idx="5">
                  <c:v>16.332397284741063</c:v>
                </c:pt>
                <c:pt idx="6">
                  <c:v>8.1351340714692064</c:v>
                </c:pt>
                <c:pt idx="7">
                  <c:v>31.280935638076375</c:v>
                </c:pt>
                <c:pt idx="8">
                  <c:v>10.113416743567226</c:v>
                </c:pt>
                <c:pt idx="9">
                  <c:v>8.2313877505816784</c:v>
                </c:pt>
                <c:pt idx="10">
                  <c:v>9.6767187419665319</c:v>
                </c:pt>
                <c:pt idx="11">
                  <c:v>8.1415274933530224</c:v>
                </c:pt>
                <c:pt idx="12">
                  <c:v>15.24804402964706</c:v>
                </c:pt>
                <c:pt idx="13">
                  <c:v>15.670812590705868</c:v>
                </c:pt>
                <c:pt idx="14">
                  <c:v>19.750848237559183</c:v>
                </c:pt>
                <c:pt idx="15">
                  <c:v>13.56360524909929</c:v>
                </c:pt>
                <c:pt idx="16">
                  <c:v>15.365067069137787</c:v>
                </c:pt>
                <c:pt idx="17">
                  <c:v>13.305631762511357</c:v>
                </c:pt>
                <c:pt idx="18">
                  <c:v>10.266536007418447</c:v>
                </c:pt>
                <c:pt idx="19">
                  <c:v>9.5939548158057271</c:v>
                </c:pt>
                <c:pt idx="20">
                  <c:v>8.5105469745755133</c:v>
                </c:pt>
                <c:pt idx="21">
                  <c:v>10.35553757903657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26-FF43-8FF0-38B683E54106}"/>
            </c:ext>
          </c:extLst>
        </c:ser>
        <c:ser>
          <c:idx val="7"/>
          <c:order val="7"/>
          <c:tx>
            <c:strRef>
              <c:f>'County-to-County Real per Capit'!$A$68</c:f>
              <c:strCache>
                <c:ptCount val="1"/>
                <c:pt idx="0">
                  <c:v>Operating Transfers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Capit'!$B$60:$W$60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Capit'!$B$68:$W$68</c:f>
              <c:numCache>
                <c:formatCode>"$"#,##0.00</c:formatCode>
                <c:ptCount val="22"/>
                <c:pt idx="0">
                  <c:v>3.4895084997789656</c:v>
                </c:pt>
                <c:pt idx="1">
                  <c:v>0</c:v>
                </c:pt>
                <c:pt idx="2">
                  <c:v>3.467790758492542</c:v>
                </c:pt>
                <c:pt idx="3">
                  <c:v>1.4621951410452587</c:v>
                </c:pt>
                <c:pt idx="4">
                  <c:v>0</c:v>
                </c:pt>
                <c:pt idx="5">
                  <c:v>2.5126765053447788</c:v>
                </c:pt>
                <c:pt idx="6">
                  <c:v>14.23648462507111</c:v>
                </c:pt>
                <c:pt idx="7">
                  <c:v>13.902638061367279</c:v>
                </c:pt>
                <c:pt idx="8">
                  <c:v>19.701271357834262</c:v>
                </c:pt>
                <c:pt idx="9">
                  <c:v>13.250669090404006</c:v>
                </c:pt>
                <c:pt idx="10">
                  <c:v>5.7203441714891241</c:v>
                </c:pt>
                <c:pt idx="11">
                  <c:v>4.8098591894322675</c:v>
                </c:pt>
                <c:pt idx="12">
                  <c:v>9.2030212064814325</c:v>
                </c:pt>
                <c:pt idx="13">
                  <c:v>4.6674321779532519</c:v>
                </c:pt>
                <c:pt idx="14">
                  <c:v>2.9536725345023842</c:v>
                </c:pt>
                <c:pt idx="15">
                  <c:v>4.6627358907602865</c:v>
                </c:pt>
                <c:pt idx="16">
                  <c:v>4.5680329765405716</c:v>
                </c:pt>
                <c:pt idx="17">
                  <c:v>5.3612968703939528</c:v>
                </c:pt>
                <c:pt idx="18">
                  <c:v>5.4443456570323532</c:v>
                </c:pt>
                <c:pt idx="19">
                  <c:v>2.2699754403691341</c:v>
                </c:pt>
                <c:pt idx="20">
                  <c:v>2.0503754604266509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26-FF43-8FF0-38B683E54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842048"/>
        <c:axId val="487842440"/>
      </c:areaChart>
      <c:catAx>
        <c:axId val="48784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87842440"/>
        <c:crosses val="autoZero"/>
        <c:auto val="1"/>
        <c:lblAlgn val="ctr"/>
        <c:lblOffset val="100"/>
        <c:tickLblSkip val="1"/>
        <c:noMultiLvlLbl val="0"/>
      </c:catAx>
      <c:valAx>
        <c:axId val="487842440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8784204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Budget Trends'!$A$20</c:f>
          <c:strCache>
            <c:ptCount val="1"/>
            <c:pt idx="0">
              <c:v>Douglas County 2017 General Revenue Expenditures</c:v>
            </c:pt>
          </c:strCache>
        </c:strRef>
      </c:tx>
      <c:layout>
        <c:manualLayout>
          <c:xMode val="edge"/>
          <c:yMode val="edge"/>
          <c:x val="0.173777449693788"/>
          <c:y val="2.75863058101343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202974628171"/>
          <c:y val="0.15309944989754301"/>
          <c:w val="0.50277821522313204"/>
          <c:h val="0.81531602468610298"/>
        </c:manualLayout>
      </c:layout>
      <c:pieChart>
        <c:varyColors val="1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27-F849-AE86-8B87985183F0}"/>
              </c:ext>
            </c:extLst>
          </c:dPt>
          <c:dPt>
            <c:idx val="1"/>
            <c:bubble3D val="0"/>
            <c:spPr>
              <a:solidFill>
                <a:schemeClr val="bg2">
                  <a:lumMod val="25000"/>
                </a:schemeClr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27-F849-AE86-8B87985183F0}"/>
              </c:ext>
            </c:extLst>
          </c:dPt>
          <c:dPt>
            <c:idx val="2"/>
            <c:bubble3D val="0"/>
            <c:spPr>
              <a:solidFill>
                <a:srgbClr val="33CC33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27-F849-AE86-8B87985183F0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27-F849-AE86-8B87985183F0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27-F849-AE86-8B87985183F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E27-F849-AE86-8B87985183F0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E27-F849-AE86-8B87985183F0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254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E27-F849-AE86-8B87985183F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'County Budget Trends'!$A$22:$A$29</c:f>
              <c:strCache>
                <c:ptCount val="8"/>
                <c:pt idx="0">
                  <c:v>General Government</c:v>
                </c:pt>
                <c:pt idx="1">
                  <c:v>Law Enforcement</c:v>
                </c:pt>
                <c:pt idx="2">
                  <c:v>Court</c:v>
                </c:pt>
                <c:pt idx="3">
                  <c:v>Fringe Benefits</c:v>
                </c:pt>
                <c:pt idx="4">
                  <c:v>Prosecuting Attorney</c:v>
                </c:pt>
                <c:pt idx="5">
                  <c:v>Public Administrator and Coroner</c:v>
                </c:pt>
                <c:pt idx="6">
                  <c:v>Health and Welfare and "Other"</c:v>
                </c:pt>
                <c:pt idx="7">
                  <c:v>Operating Transfers</c:v>
                </c:pt>
              </c:strCache>
            </c:strRef>
          </c:cat>
          <c:val>
            <c:numRef>
              <c:f>'County Budget Trends'!$B$22:$B$29</c:f>
              <c:numCache>
                <c:formatCode>"$"#,##0</c:formatCode>
                <c:ptCount val="8"/>
                <c:pt idx="0">
                  <c:v>477708</c:v>
                </c:pt>
                <c:pt idx="1">
                  <c:v>529490.89999999991</c:v>
                </c:pt>
                <c:pt idx="2">
                  <c:v>66772.179999999993</c:v>
                </c:pt>
                <c:pt idx="3">
                  <c:v>256736.64000000001</c:v>
                </c:pt>
                <c:pt idx="4">
                  <c:v>157858.45000000001</c:v>
                </c:pt>
                <c:pt idx="5">
                  <c:v>60515</c:v>
                </c:pt>
                <c:pt idx="6">
                  <c:v>243693.05</c:v>
                </c:pt>
                <c:pt idx="7">
                  <c:v>48507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E27-F849-AE86-8B87985183F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770906342479002"/>
          <c:y val="8.6392061266314296E-2"/>
          <c:w val="0.27187527656583299"/>
          <c:h val="0.913607938733685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Real per Capit'!$A$70</c:f>
          <c:strCache>
            <c:ptCount val="1"/>
            <c:pt idx="0">
              <c:v>Maries County Detailed General Revenue Expenditures: Real per Capita</c:v>
            </c:pt>
          </c:strCache>
        </c:strRef>
      </c:tx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'County-to-County Real per Capit'!$A$72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Capit'!$B$71:$W$71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Capit'!$B$72:$W$72</c:f>
              <c:numCache>
                <c:formatCode>"$"#,##0.00</c:formatCode>
                <c:ptCount val="22"/>
                <c:pt idx="0">
                  <c:v>25.68258785942492</c:v>
                </c:pt>
                <c:pt idx="1">
                  <c:v>23.5284821005902</c:v>
                </c:pt>
                <c:pt idx="2">
                  <c:v>26.971544764983669</c:v>
                </c:pt>
                <c:pt idx="3">
                  <c:v>27.707687153200698</c:v>
                </c:pt>
                <c:pt idx="4">
                  <c:v>29.624584818976722</c:v>
                </c:pt>
                <c:pt idx="5">
                  <c:v>26.402076958380103</c:v>
                </c:pt>
                <c:pt idx="6">
                  <c:v>31.819713653854684</c:v>
                </c:pt>
                <c:pt idx="7">
                  <c:v>26.437376251428617</c:v>
                </c:pt>
                <c:pt idx="8">
                  <c:v>29.411778532282558</c:v>
                </c:pt>
                <c:pt idx="9">
                  <c:v>26.109012096247003</c:v>
                </c:pt>
                <c:pt idx="10">
                  <c:v>30.917023261659828</c:v>
                </c:pt>
                <c:pt idx="11">
                  <c:v>26.214191546002212</c:v>
                </c:pt>
                <c:pt idx="12">
                  <c:v>29.477796622823451</c:v>
                </c:pt>
                <c:pt idx="13">
                  <c:v>25.785349356997635</c:v>
                </c:pt>
                <c:pt idx="14">
                  <c:v>23.169205589053178</c:v>
                </c:pt>
                <c:pt idx="15">
                  <c:v>19.828646638570191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7-374D-9837-C23F1AC8088B}"/>
            </c:ext>
          </c:extLst>
        </c:ser>
        <c:ser>
          <c:idx val="1"/>
          <c:order val="1"/>
          <c:tx>
            <c:strRef>
              <c:f>'County-to-County Real per Capit'!$A$73</c:f>
              <c:strCache>
                <c:ptCount val="1"/>
                <c:pt idx="0">
                  <c:v>Law Enforcement</c:v>
                </c:pt>
              </c:strCache>
            </c:strRef>
          </c:tx>
          <c:spPr>
            <a:solidFill>
              <a:srgbClr val="EEECE1">
                <a:lumMod val="25000"/>
              </a:srgbClr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Capit'!$B$71:$W$71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Capit'!$B$73:$W$73</c:f>
              <c:numCache>
                <c:formatCode>"$"#,##0.00</c:formatCode>
                <c:ptCount val="22"/>
                <c:pt idx="0">
                  <c:v>26.6337948171814</c:v>
                </c:pt>
                <c:pt idx="1">
                  <c:v>29.863073435364477</c:v>
                </c:pt>
                <c:pt idx="2">
                  <c:v>31.787892044445044</c:v>
                </c:pt>
                <c:pt idx="3">
                  <c:v>28.631276724974054</c:v>
                </c:pt>
                <c:pt idx="4">
                  <c:v>37.030731023720904</c:v>
                </c:pt>
                <c:pt idx="5">
                  <c:v>31.902509658042622</c:v>
                </c:pt>
                <c:pt idx="6">
                  <c:v>32.952921030661152</c:v>
                </c:pt>
                <c:pt idx="7">
                  <c:v>21.716416206530649</c:v>
                </c:pt>
                <c:pt idx="8">
                  <c:v>19.469999824981645</c:v>
                </c:pt>
                <c:pt idx="9">
                  <c:v>23.684513680964191</c:v>
                </c:pt>
                <c:pt idx="10">
                  <c:v>19.219599833707164</c:v>
                </c:pt>
                <c:pt idx="11">
                  <c:v>20.857658989449035</c:v>
                </c:pt>
                <c:pt idx="12">
                  <c:v>17.42188925088081</c:v>
                </c:pt>
                <c:pt idx="13">
                  <c:v>20.891732311830573</c:v>
                </c:pt>
                <c:pt idx="14">
                  <c:v>2.7797784487649433</c:v>
                </c:pt>
                <c:pt idx="15">
                  <c:v>2.1255743319853204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7-374D-9837-C23F1AC8088B}"/>
            </c:ext>
          </c:extLst>
        </c:ser>
        <c:ser>
          <c:idx val="2"/>
          <c:order val="2"/>
          <c:tx>
            <c:strRef>
              <c:f>'County-to-County Real per Capit'!$A$74</c:f>
              <c:strCache>
                <c:ptCount val="1"/>
                <c:pt idx="0">
                  <c:v>Court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Capit'!$B$71:$W$71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Capit'!$B$74:$W$74</c:f>
              <c:numCache>
                <c:formatCode>"$"#,##0.00</c:formatCode>
                <c:ptCount val="22"/>
                <c:pt idx="0">
                  <c:v>5.7072417465388705</c:v>
                </c:pt>
                <c:pt idx="1">
                  <c:v>6.3345913347742835</c:v>
                </c:pt>
                <c:pt idx="2">
                  <c:v>5.7796167353536427</c:v>
                </c:pt>
                <c:pt idx="3">
                  <c:v>5.5415374306401404</c:v>
                </c:pt>
                <c:pt idx="4">
                  <c:v>6.3481253183521549</c:v>
                </c:pt>
                <c:pt idx="5">
                  <c:v>6.6005192395950258</c:v>
                </c:pt>
                <c:pt idx="6">
                  <c:v>5.492153505110192</c:v>
                </c:pt>
                <c:pt idx="7">
                  <c:v>4.7209600448979661</c:v>
                </c:pt>
                <c:pt idx="8">
                  <c:v>5.2948124348595638</c:v>
                </c:pt>
                <c:pt idx="9">
                  <c:v>5.6157801921184749</c:v>
                </c:pt>
                <c:pt idx="10">
                  <c:v>7.4026548843684727</c:v>
                </c:pt>
                <c:pt idx="11">
                  <c:v>5.262405911988334</c:v>
                </c:pt>
                <c:pt idx="12">
                  <c:v>4.8113131724034837</c:v>
                </c:pt>
                <c:pt idx="13">
                  <c:v>6.6493035472142177</c:v>
                </c:pt>
                <c:pt idx="14">
                  <c:v>4.1675215350144317</c:v>
                </c:pt>
                <c:pt idx="15">
                  <c:v>4.0725702259169898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7-374D-9837-C23F1AC8088B}"/>
            </c:ext>
          </c:extLst>
        </c:ser>
        <c:ser>
          <c:idx val="3"/>
          <c:order val="3"/>
          <c:tx>
            <c:strRef>
              <c:f>'County-to-County Real per Capit'!$A$75</c:f>
              <c:strCache>
                <c:ptCount val="1"/>
                <c:pt idx="0">
                  <c:v>Fringe Benefits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Capit'!$B$71:$W$71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Capit'!$B$75:$W$75</c:f>
              <c:numCache>
                <c:formatCode>"$"#,##0.00</c:formatCode>
                <c:ptCount val="22"/>
                <c:pt idx="0">
                  <c:v>0</c:v>
                </c:pt>
                <c:pt idx="1">
                  <c:v>9.049416192534693</c:v>
                </c:pt>
                <c:pt idx="2">
                  <c:v>8.6694251030304663</c:v>
                </c:pt>
                <c:pt idx="3">
                  <c:v>8.3123061459602088</c:v>
                </c:pt>
                <c:pt idx="4">
                  <c:v>9.5221879775282332</c:v>
                </c:pt>
                <c:pt idx="5">
                  <c:v>9.9007788593925383</c:v>
                </c:pt>
                <c:pt idx="6">
                  <c:v>13.18116841226446</c:v>
                </c:pt>
                <c:pt idx="7">
                  <c:v>12.274496116734714</c:v>
                </c:pt>
                <c:pt idx="8">
                  <c:v>12.531432609352017</c:v>
                </c:pt>
                <c:pt idx="9">
                  <c:v>12.781268107451469</c:v>
                </c:pt>
                <c:pt idx="10">
                  <c:v>9.1806089991491966</c:v>
                </c:pt>
                <c:pt idx="11">
                  <c:v>8.1491405976904066</c:v>
                </c:pt>
                <c:pt idx="12">
                  <c:v>6.3058893876127335</c:v>
                </c:pt>
                <c:pt idx="13">
                  <c:v>7.1478668985480232</c:v>
                </c:pt>
                <c:pt idx="14">
                  <c:v>3.5179384788157857</c:v>
                </c:pt>
                <c:pt idx="15">
                  <c:v>3.0051114099782033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7-374D-9837-C23F1AC8088B}"/>
            </c:ext>
          </c:extLst>
        </c:ser>
        <c:ser>
          <c:idx val="4"/>
          <c:order val="4"/>
          <c:tx>
            <c:strRef>
              <c:f>'County-to-County Real per Capit'!$A$76</c:f>
              <c:strCache>
                <c:ptCount val="1"/>
                <c:pt idx="0">
                  <c:v>Prosecuting Attorney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Capit'!$B$71:$W$71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Capit'!$B$76:$W$76</c:f>
              <c:numCache>
                <c:formatCode>"$"#,##0.00</c:formatCode>
                <c:ptCount val="22"/>
                <c:pt idx="0">
                  <c:v>4.7560347887823928</c:v>
                </c:pt>
                <c:pt idx="1">
                  <c:v>4.5247080962673465</c:v>
                </c:pt>
                <c:pt idx="2">
                  <c:v>4.81634727946137</c:v>
                </c:pt>
                <c:pt idx="3">
                  <c:v>5.5415374306401404</c:v>
                </c:pt>
                <c:pt idx="4">
                  <c:v>5.2901044319601294</c:v>
                </c:pt>
                <c:pt idx="5">
                  <c:v>5.5004326996625208</c:v>
                </c:pt>
                <c:pt idx="6">
                  <c:v>5.492153505110192</c:v>
                </c:pt>
                <c:pt idx="7">
                  <c:v>6.6093440628571534</c:v>
                </c:pt>
                <c:pt idx="8">
                  <c:v>5.6362251762464419</c:v>
                </c:pt>
                <c:pt idx="9">
                  <c:v>5.8547185075592507</c:v>
                </c:pt>
                <c:pt idx="10">
                  <c:v>6.5642886147420505</c:v>
                </c:pt>
                <c:pt idx="11">
                  <c:v>6.1485545741583332</c:v>
                </c:pt>
                <c:pt idx="12">
                  <c:v>6.2381625269828724</c:v>
                </c:pt>
                <c:pt idx="13">
                  <c:v>6.7863297402167611</c:v>
                </c:pt>
                <c:pt idx="14">
                  <c:v>4.7457524662723536</c:v>
                </c:pt>
                <c:pt idx="15">
                  <c:v>4.5227378049065061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7-374D-9837-C23F1AC8088B}"/>
            </c:ext>
          </c:extLst>
        </c:ser>
        <c:ser>
          <c:idx val="5"/>
          <c:order val="5"/>
          <c:tx>
            <c:strRef>
              <c:f>'County-to-County Real per Capit'!$A$77</c:f>
              <c:strCache>
                <c:ptCount val="1"/>
                <c:pt idx="0">
                  <c:v>Public Administrator &amp; Coroner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Capit'!$B$71:$W$71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Capit'!$B$77:$W$77</c:f>
              <c:numCache>
                <c:formatCode>"$"#,##0.00</c:formatCode>
                <c:ptCount val="22"/>
                <c:pt idx="0">
                  <c:v>1.9024139155129569</c:v>
                </c:pt>
                <c:pt idx="1">
                  <c:v>1.8098832385069381</c:v>
                </c:pt>
                <c:pt idx="2">
                  <c:v>1.9265389117845479</c:v>
                </c:pt>
                <c:pt idx="3">
                  <c:v>1.8471791435467133</c:v>
                </c:pt>
                <c:pt idx="4">
                  <c:v>2.1160417727840515</c:v>
                </c:pt>
                <c:pt idx="5">
                  <c:v>3.3002596197975129</c:v>
                </c:pt>
                <c:pt idx="6">
                  <c:v>2.1968614020440769</c:v>
                </c:pt>
                <c:pt idx="7">
                  <c:v>2.8325760269387801</c:v>
                </c:pt>
                <c:pt idx="8">
                  <c:v>2.3912555694095312</c:v>
                </c:pt>
                <c:pt idx="9">
                  <c:v>3.2743907561194088</c:v>
                </c:pt>
                <c:pt idx="10">
                  <c:v>3.2091079163121656</c:v>
                </c:pt>
                <c:pt idx="11">
                  <c:v>3.0346367035459876</c:v>
                </c:pt>
                <c:pt idx="12">
                  <c:v>2.8851943302507994</c:v>
                </c:pt>
                <c:pt idx="13">
                  <c:v>3.3011484019373905</c:v>
                </c:pt>
                <c:pt idx="14">
                  <c:v>2.6466063968247937</c:v>
                </c:pt>
                <c:pt idx="15">
                  <c:v>2.5547326829685235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87-374D-9837-C23F1AC8088B}"/>
            </c:ext>
          </c:extLst>
        </c:ser>
        <c:ser>
          <c:idx val="6"/>
          <c:order val="6"/>
          <c:tx>
            <c:strRef>
              <c:f>'County-to-County Real per Capit'!$A$78</c:f>
              <c:strCache>
                <c:ptCount val="1"/>
                <c:pt idx="0">
                  <c:v>Health and Welfare &amp; "Other"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Capit'!$B$71:$W$71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Capit'!$B$78:$W$78</c:f>
              <c:numCache>
                <c:formatCode>"$"#,##0.00</c:formatCode>
                <c:ptCount val="22"/>
                <c:pt idx="0">
                  <c:v>24.731380901668441</c:v>
                </c:pt>
                <c:pt idx="1">
                  <c:v>12.669182669548569</c:v>
                </c:pt>
                <c:pt idx="2">
                  <c:v>14.44904183838411</c:v>
                </c:pt>
                <c:pt idx="3">
                  <c:v>14.777433148373706</c:v>
                </c:pt>
                <c:pt idx="4">
                  <c:v>15.870313295880388</c:v>
                </c:pt>
                <c:pt idx="5">
                  <c:v>24.201903878515093</c:v>
                </c:pt>
                <c:pt idx="6">
                  <c:v>16.476460515330576</c:v>
                </c:pt>
                <c:pt idx="7">
                  <c:v>19.828032188571459</c:v>
                </c:pt>
                <c:pt idx="8">
                  <c:v>40.898386129973026</c:v>
                </c:pt>
                <c:pt idx="9">
                  <c:v>18.799457169304372</c:v>
                </c:pt>
                <c:pt idx="10">
                  <c:v>15.132829781885679</c:v>
                </c:pt>
                <c:pt idx="11">
                  <c:v>15.895716066193266</c:v>
                </c:pt>
                <c:pt idx="12">
                  <c:v>15.645205479685021</c:v>
                </c:pt>
                <c:pt idx="13">
                  <c:v>13.259434808312239</c:v>
                </c:pt>
                <c:pt idx="14">
                  <c:v>8.816558425683537</c:v>
                </c:pt>
                <c:pt idx="15">
                  <c:v>7.5947303502716359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87-374D-9837-C23F1AC8088B}"/>
            </c:ext>
          </c:extLst>
        </c:ser>
        <c:ser>
          <c:idx val="7"/>
          <c:order val="7"/>
          <c:tx>
            <c:strRef>
              <c:f>'County-to-County Real per Capit'!$A$79</c:f>
              <c:strCache>
                <c:ptCount val="1"/>
                <c:pt idx="0">
                  <c:v>Operating Transfers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cat>
            <c:strRef>
              <c:f>'County-to-County Real per Capit'!$B$71:$W$71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Capit'!$B$79:$W$79</c:f>
              <c:numCache>
                <c:formatCode>"$"#,##0.00</c:formatCode>
                <c:ptCount val="22"/>
                <c:pt idx="0">
                  <c:v>5.7072417465388714</c:v>
                </c:pt>
                <c:pt idx="1">
                  <c:v>2.7148248577604073</c:v>
                </c:pt>
                <c:pt idx="2">
                  <c:v>1.9265389117845479</c:v>
                </c:pt>
                <c:pt idx="3">
                  <c:v>0</c:v>
                </c:pt>
                <c:pt idx="4">
                  <c:v>0</c:v>
                </c:pt>
                <c:pt idx="5">
                  <c:v>2.2001730798650083</c:v>
                </c:pt>
                <c:pt idx="6">
                  <c:v>2.1968614020440769</c:v>
                </c:pt>
                <c:pt idx="7">
                  <c:v>0</c:v>
                </c:pt>
                <c:pt idx="8">
                  <c:v>0</c:v>
                </c:pt>
                <c:pt idx="9">
                  <c:v>13.156632216365256</c:v>
                </c:pt>
                <c:pt idx="10">
                  <c:v>8.1696186866733687</c:v>
                </c:pt>
                <c:pt idx="11">
                  <c:v>10.219689882199367</c:v>
                </c:pt>
                <c:pt idx="12">
                  <c:v>3.7329452005988317</c:v>
                </c:pt>
                <c:pt idx="13">
                  <c:v>5.3693683004684898</c:v>
                </c:pt>
                <c:pt idx="14">
                  <c:v>10.790671044942</c:v>
                </c:pt>
                <c:pt idx="15">
                  <c:v>8.7055800843541125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87-374D-9837-C23F1AC80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847928"/>
        <c:axId val="487845184"/>
      </c:areaChart>
      <c:catAx>
        <c:axId val="487847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87845184"/>
        <c:crosses val="autoZero"/>
        <c:auto val="1"/>
        <c:lblAlgn val="ctr"/>
        <c:lblOffset val="100"/>
        <c:noMultiLvlLbl val="0"/>
      </c:catAx>
      <c:valAx>
        <c:axId val="487845184"/>
        <c:scaling>
          <c:orientation val="minMax"/>
        </c:scaling>
        <c:delete val="0"/>
        <c:axPos val="l"/>
        <c:majorGridlines/>
        <c:numFmt formatCode="&quot;$&quot;#,##0.0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87847928"/>
        <c:crosses val="autoZero"/>
        <c:crossBetween val="midCat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Real per Capit'!$A$10</c:f>
          <c:strCache>
            <c:ptCount val="1"/>
            <c:pt idx="0">
              <c:v>Adair County and Maries County Population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'County-to-County Real per Capit'!$A$12</c:f>
              <c:strCache>
                <c:ptCount val="1"/>
                <c:pt idx="0">
                  <c:v>Adair County Population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'County-to-County Real per Capit'!$B$11:$W$11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Capit'!$B$12:$W$12</c:f>
              <c:numCache>
                <c:formatCode>#,##0</c:formatCode>
                <c:ptCount val="22"/>
                <c:pt idx="0">
                  <c:v>24883</c:v>
                </c:pt>
                <c:pt idx="1">
                  <c:v>24871</c:v>
                </c:pt>
                <c:pt idx="2">
                  <c:v>24887</c:v>
                </c:pt>
                <c:pt idx="3">
                  <c:v>24961</c:v>
                </c:pt>
                <c:pt idx="4">
                  <c:v>24956</c:v>
                </c:pt>
                <c:pt idx="5">
                  <c:v>24967</c:v>
                </c:pt>
                <c:pt idx="6">
                  <c:v>25072</c:v>
                </c:pt>
                <c:pt idx="7">
                  <c:v>24958</c:v>
                </c:pt>
                <c:pt idx="8">
                  <c:v>24988</c:v>
                </c:pt>
                <c:pt idx="9">
                  <c:v>24849</c:v>
                </c:pt>
                <c:pt idx="10">
                  <c:v>25007</c:v>
                </c:pt>
                <c:pt idx="11">
                  <c:v>24983</c:v>
                </c:pt>
                <c:pt idx="12">
                  <c:v>25399</c:v>
                </c:pt>
                <c:pt idx="13">
                  <c:v>25577</c:v>
                </c:pt>
                <c:pt idx="14">
                  <c:v>25597</c:v>
                </c:pt>
                <c:pt idx="15">
                  <c:v>25556</c:v>
                </c:pt>
                <c:pt idx="16">
                  <c:v>25581</c:v>
                </c:pt>
                <c:pt idx="17">
                  <c:v>25572</c:v>
                </c:pt>
                <c:pt idx="18">
                  <c:v>25564</c:v>
                </c:pt>
                <c:pt idx="19">
                  <c:v>25430</c:v>
                </c:pt>
                <c:pt idx="20">
                  <c:v>25359</c:v>
                </c:pt>
                <c:pt idx="21">
                  <c:v>25377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5-664A-B0F4-AAADDC2CE537}"/>
            </c:ext>
          </c:extLst>
        </c:ser>
        <c:ser>
          <c:idx val="1"/>
          <c:order val="1"/>
          <c:tx>
            <c:strRef>
              <c:f>'County-to-County Real per Capit'!$A$13</c:f>
              <c:strCache>
                <c:ptCount val="1"/>
                <c:pt idx="0">
                  <c:v>Maries County Population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'County-to-County Real per Capit'!$B$11:$W$11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Capit'!$B$13:$W$13</c:f>
              <c:numCache>
                <c:formatCode>#,##0</c:formatCode>
                <c:ptCount val="22"/>
                <c:pt idx="0">
                  <c:v>8451</c:v>
                </c:pt>
                <c:pt idx="1">
                  <c:v>8567</c:v>
                </c:pt>
                <c:pt idx="2">
                  <c:v>8695</c:v>
                </c:pt>
                <c:pt idx="3">
                  <c:v>8776</c:v>
                </c:pt>
                <c:pt idx="4">
                  <c:v>8918</c:v>
                </c:pt>
                <c:pt idx="5">
                  <c:v>8822</c:v>
                </c:pt>
                <c:pt idx="6">
                  <c:v>8824</c:v>
                </c:pt>
                <c:pt idx="7">
                  <c:v>8850</c:v>
                </c:pt>
                <c:pt idx="8">
                  <c:v>9077</c:v>
                </c:pt>
                <c:pt idx="9">
                  <c:v>9170</c:v>
                </c:pt>
                <c:pt idx="10">
                  <c:v>9235</c:v>
                </c:pt>
                <c:pt idx="11">
                  <c:v>9281</c:v>
                </c:pt>
                <c:pt idx="12">
                  <c:v>9191</c:v>
                </c:pt>
                <c:pt idx="13">
                  <c:v>9122</c:v>
                </c:pt>
                <c:pt idx="14">
                  <c:v>12190</c:v>
                </c:pt>
                <c:pt idx="15">
                  <c:v>12322</c:v>
                </c:pt>
                <c:pt idx="16">
                  <c:v>12448</c:v>
                </c:pt>
                <c:pt idx="17">
                  <c:v>9018</c:v>
                </c:pt>
                <c:pt idx="18">
                  <c:v>8998</c:v>
                </c:pt>
                <c:pt idx="19">
                  <c:v>8958</c:v>
                </c:pt>
                <c:pt idx="20">
                  <c:v>8858</c:v>
                </c:pt>
                <c:pt idx="21">
                  <c:v>8867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5-664A-B0F4-AAADDC2CE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843616"/>
        <c:axId val="487845576"/>
      </c:lineChart>
      <c:catAx>
        <c:axId val="48784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87845576"/>
        <c:crosses val="autoZero"/>
        <c:auto val="1"/>
        <c:lblAlgn val="ctr"/>
        <c:lblOffset val="100"/>
        <c:noMultiLvlLbl val="0"/>
      </c:catAx>
      <c:valAx>
        <c:axId val="4878455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8784361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99" l="0.70000000000000095" r="0.70000000000000095" t="0.75000000000001499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'County-to-County Real per Capit'!$A$15</c:f>
          <c:strCache>
            <c:ptCount val="1"/>
            <c:pt idx="0">
              <c:v>Adair County and Maries County Real per Capita Income</c:v>
            </c:pt>
          </c:strCache>
        </c:strRef>
      </c:tx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'County-to-County Real per Capit'!$A$17</c:f>
              <c:strCache>
                <c:ptCount val="1"/>
                <c:pt idx="0">
                  <c:v>Adair County Real per Capita Income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strRef>
              <c:f>'County-to-County Real per Capit'!$B$16:$W$16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Capit'!$B$17:$W$17</c:f>
              <c:numCache>
                <c:formatCode>"$"#,##0</c:formatCode>
                <c:ptCount val="22"/>
                <c:pt idx="0">
                  <c:v>17519.913193746735</c:v>
                </c:pt>
                <c:pt idx="1">
                  <c:v>18009.953340545624</c:v>
                </c:pt>
                <c:pt idx="2">
                  <c:v>18058.475499441527</c:v>
                </c:pt>
                <c:pt idx="3">
                  <c:v>18298.335511441066</c:v>
                </c:pt>
                <c:pt idx="4">
                  <c:v>18849.987057360329</c:v>
                </c:pt>
                <c:pt idx="5">
                  <c:v>19064.373103496051</c:v>
                </c:pt>
                <c:pt idx="6">
                  <c:v>18512.828379447845</c:v>
                </c:pt>
                <c:pt idx="7">
                  <c:v>18468.038326127025</c:v>
                </c:pt>
                <c:pt idx="8">
                  <c:v>18844.786672827948</c:v>
                </c:pt>
                <c:pt idx="9">
                  <c:v>18889.293235906778</c:v>
                </c:pt>
                <c:pt idx="10">
                  <c:v>18956.804237670596</c:v>
                </c:pt>
                <c:pt idx="11">
                  <c:v>19427.184788981449</c:v>
                </c:pt>
                <c:pt idx="12">
                  <c:v>19811.818005880839</c:v>
                </c:pt>
                <c:pt idx="13">
                  <c:v>20570.68787126978</c:v>
                </c:pt>
                <c:pt idx="14">
                  <c:v>19801.417420731243</c:v>
                </c:pt>
                <c:pt idx="15">
                  <c:v>20039.768371950286</c:v>
                </c:pt>
                <c:pt idx="16">
                  <c:v>20199.668053504647</c:v>
                </c:pt>
                <c:pt idx="17">
                  <c:v>20625.212087819978</c:v>
                </c:pt>
                <c:pt idx="18">
                  <c:v>19594.562346615272</c:v>
                </c:pt>
                <c:pt idx="19">
                  <c:v>19942.817599818718</c:v>
                </c:pt>
                <c:pt idx="20">
                  <c:v>19727.727478724195</c:v>
                </c:pt>
                <c:pt idx="21">
                  <c:v>20506.990966563644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C-B64D-8A50-1DDF3C0C7ED7}"/>
            </c:ext>
          </c:extLst>
        </c:ser>
        <c:ser>
          <c:idx val="1"/>
          <c:order val="1"/>
          <c:tx>
            <c:strRef>
              <c:f>'County-to-County Real per Capit'!$A$18</c:f>
              <c:strCache>
                <c:ptCount val="1"/>
                <c:pt idx="0">
                  <c:v>Maries County Real per Capita Income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'County-to-County Real per Capit'!$B$16:$W$16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'County-to-County Real per Capit'!$B$18:$W$18</c:f>
              <c:numCache>
                <c:formatCode>"$"#,##0</c:formatCode>
                <c:ptCount val="22"/>
                <c:pt idx="0">
                  <c:v>17241.983197254762</c:v>
                </c:pt>
                <c:pt idx="1">
                  <c:v>18245.426648004894</c:v>
                </c:pt>
                <c:pt idx="2">
                  <c:v>18133.41706149434</c:v>
                </c:pt>
                <c:pt idx="3">
                  <c:v>18495.138164655105</c:v>
                </c:pt>
                <c:pt idx="4">
                  <c:v>18392.496130052132</c:v>
                </c:pt>
                <c:pt idx="5">
                  <c:v>19220.643210002814</c:v>
                </c:pt>
                <c:pt idx="6">
                  <c:v>18847.124069632722</c:v>
                </c:pt>
                <c:pt idx="7">
                  <c:v>19097.01547531319</c:v>
                </c:pt>
                <c:pt idx="8">
                  <c:v>19897.022433736005</c:v>
                </c:pt>
                <c:pt idx="9">
                  <c:v>19692.257528473096</c:v>
                </c:pt>
                <c:pt idx="10">
                  <c:v>19437.799230412253</c:v>
                </c:pt>
                <c:pt idx="11">
                  <c:v>19783.262572541571</c:v>
                </c:pt>
                <c:pt idx="12">
                  <c:v>21195.475954127625</c:v>
                </c:pt>
                <c:pt idx="13">
                  <c:v>21991.341874501293</c:v>
                </c:pt>
                <c:pt idx="14">
                  <c:v>16896.497646155607</c:v>
                </c:pt>
                <c:pt idx="15">
                  <c:v>17016.785056665969</c:v>
                </c:pt>
                <c:pt idx="16">
                  <c:v>17159.717044839159</c:v>
                </c:pt>
                <c:pt idx="17">
                  <c:v>24282.831975955884</c:v>
                </c:pt>
                <c:pt idx="18">
                  <c:v>21754.820605804631</c:v>
                </c:pt>
                <c:pt idx="19">
                  <c:v>22128.741017644177</c:v>
                </c:pt>
                <c:pt idx="20">
                  <c:v>22014.230491092876</c:v>
                </c:pt>
                <c:pt idx="21">
                  <c:v>20454.225544314428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C-B64D-8A50-1DDF3C0C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846752"/>
        <c:axId val="487847144"/>
      </c:lineChart>
      <c:catAx>
        <c:axId val="4878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400" b="1"/>
            </a:pPr>
            <a:endParaRPr lang="en-US"/>
          </a:p>
        </c:txPr>
        <c:crossAx val="487847144"/>
        <c:crosses val="autoZero"/>
        <c:auto val="1"/>
        <c:lblAlgn val="ctr"/>
        <c:lblOffset val="100"/>
        <c:noMultiLvlLbl val="0"/>
      </c:catAx>
      <c:valAx>
        <c:axId val="487847144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87846752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Budget Trends'!$A$49</c:f>
          <c:strCache>
            <c:ptCount val="1"/>
            <c:pt idx="0">
              <c:v>Douglas County Detailed General Revenue Expenditures</c:v>
            </c:pt>
          </c:strCache>
        </c:strRef>
      </c:tx>
      <c:layout>
        <c:manualLayout>
          <c:xMode val="edge"/>
          <c:yMode val="edge"/>
          <c:x val="0.212616985960873"/>
          <c:y val="2.694141254321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73282172777206E-2"/>
          <c:y val="0.107425495863655"/>
          <c:w val="0.85497863555151399"/>
          <c:h val="0.66861269792256395"/>
        </c:manualLayout>
      </c:layout>
      <c:areaChart>
        <c:grouping val="stacked"/>
        <c:varyColors val="0"/>
        <c:ser>
          <c:idx val="0"/>
          <c:order val="0"/>
          <c:tx>
            <c:strRef>
              <c:f>'County Budget Trends'!$A$51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Trends'!$B$50:$W$50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Trends'!$B$51:$W$51</c:f>
              <c:numCache>
                <c:formatCode>"$"#,##0</c:formatCode>
                <c:ptCount val="22"/>
                <c:pt idx="0">
                  <c:v>262981.19999999995</c:v>
                </c:pt>
                <c:pt idx="1">
                  <c:v>224412.25</c:v>
                </c:pt>
                <c:pt idx="2">
                  <c:v>288467.48</c:v>
                </c:pt>
                <c:pt idx="3">
                  <c:v>293672.86</c:v>
                </c:pt>
                <c:pt idx="4">
                  <c:v>328634.55000000005</c:v>
                </c:pt>
                <c:pt idx="5">
                  <c:v>321346.75</c:v>
                </c:pt>
                <c:pt idx="6">
                  <c:v>348760.75</c:v>
                </c:pt>
                <c:pt idx="7">
                  <c:v>285371.07</c:v>
                </c:pt>
                <c:pt idx="8">
                  <c:v>338671.12999999995</c:v>
                </c:pt>
                <c:pt idx="9">
                  <c:v>391299.78</c:v>
                </c:pt>
                <c:pt idx="10">
                  <c:v>348318.77</c:v>
                </c:pt>
                <c:pt idx="11">
                  <c:v>337857.52999999997</c:v>
                </c:pt>
                <c:pt idx="12">
                  <c:v>421625.16000000003</c:v>
                </c:pt>
                <c:pt idx="13">
                  <c:v>377990.46</c:v>
                </c:pt>
                <c:pt idx="14">
                  <c:v>441632.21</c:v>
                </c:pt>
                <c:pt idx="15">
                  <c:v>396043.94</c:v>
                </c:pt>
                <c:pt idx="16">
                  <c:v>427666.96000000008</c:v>
                </c:pt>
                <c:pt idx="17">
                  <c:v>405856.02999999997</c:v>
                </c:pt>
                <c:pt idx="18">
                  <c:v>448936.26</c:v>
                </c:pt>
                <c:pt idx="19">
                  <c:v>449558.93999999994</c:v>
                </c:pt>
                <c:pt idx="20">
                  <c:v>563386.34000000008</c:v>
                </c:pt>
                <c:pt idx="21">
                  <c:v>477708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3-0647-8594-A9D33FC59DE8}"/>
            </c:ext>
          </c:extLst>
        </c:ser>
        <c:ser>
          <c:idx val="1"/>
          <c:order val="1"/>
          <c:tx>
            <c:strRef>
              <c:f>'County Budget Trends'!$A$52</c:f>
              <c:strCache>
                <c:ptCount val="1"/>
                <c:pt idx="0">
                  <c:v>Law Enforcement</c:v>
                </c:pt>
              </c:strCache>
            </c:strRef>
          </c:tx>
          <c:spPr>
            <a:solidFill>
              <a:srgbClr val="EEECE1">
                <a:lumMod val="25000"/>
              </a:srgbClr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Trends'!$B$50:$W$50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Trends'!$B$52:$W$52</c:f>
              <c:numCache>
                <c:formatCode>"$"#,##0</c:formatCode>
                <c:ptCount val="22"/>
                <c:pt idx="0">
                  <c:v>157788.72000000003</c:v>
                </c:pt>
                <c:pt idx="1">
                  <c:v>233388.74</c:v>
                </c:pt>
                <c:pt idx="2">
                  <c:v>267862.65999999997</c:v>
                </c:pt>
                <c:pt idx="3">
                  <c:v>338853.3</c:v>
                </c:pt>
                <c:pt idx="4">
                  <c:v>328634.55</c:v>
                </c:pt>
                <c:pt idx="5">
                  <c:v>398469.97</c:v>
                </c:pt>
                <c:pt idx="6">
                  <c:v>412512.53</c:v>
                </c:pt>
                <c:pt idx="7">
                  <c:v>435566.37</c:v>
                </c:pt>
                <c:pt idx="8">
                  <c:v>441023.85</c:v>
                </c:pt>
                <c:pt idx="9">
                  <c:v>462623.9</c:v>
                </c:pt>
                <c:pt idx="10">
                  <c:v>398005.23</c:v>
                </c:pt>
                <c:pt idx="11">
                  <c:v>450454.03</c:v>
                </c:pt>
                <c:pt idx="12">
                  <c:v>504749.97000000009</c:v>
                </c:pt>
                <c:pt idx="13">
                  <c:v>521170.93000000005</c:v>
                </c:pt>
                <c:pt idx="14">
                  <c:v>490082.24000000011</c:v>
                </c:pt>
                <c:pt idx="15">
                  <c:v>508626.49</c:v>
                </c:pt>
                <c:pt idx="16">
                  <c:v>477778.23</c:v>
                </c:pt>
                <c:pt idx="17">
                  <c:v>503487.36</c:v>
                </c:pt>
                <c:pt idx="18">
                  <c:v>504268.79000000004</c:v>
                </c:pt>
                <c:pt idx="19">
                  <c:v>535955.5199999999</c:v>
                </c:pt>
                <c:pt idx="20">
                  <c:v>517842.18000000011</c:v>
                </c:pt>
                <c:pt idx="21">
                  <c:v>529490.89999999991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83-0647-8594-A9D33FC59DE8}"/>
            </c:ext>
          </c:extLst>
        </c:ser>
        <c:ser>
          <c:idx val="2"/>
          <c:order val="2"/>
          <c:tx>
            <c:strRef>
              <c:f>'County Budget Trends'!$A$53</c:f>
              <c:strCache>
                <c:ptCount val="1"/>
                <c:pt idx="0">
                  <c:v>Court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Trends'!$B$50:$W$50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Trends'!$B$53:$W$53</c:f>
              <c:numCache>
                <c:formatCode>"$"#,##0</c:formatCode>
                <c:ptCount val="22"/>
                <c:pt idx="0">
                  <c:v>70128.320000000007</c:v>
                </c:pt>
                <c:pt idx="1">
                  <c:v>89764.9</c:v>
                </c:pt>
                <c:pt idx="2">
                  <c:v>103024.1</c:v>
                </c:pt>
                <c:pt idx="3">
                  <c:v>79065.77</c:v>
                </c:pt>
                <c:pt idx="4">
                  <c:v>73029.899999999994</c:v>
                </c:pt>
                <c:pt idx="5">
                  <c:v>64269.350000000006</c:v>
                </c:pt>
                <c:pt idx="6">
                  <c:v>85347.42</c:v>
                </c:pt>
                <c:pt idx="7">
                  <c:v>60078.12</c:v>
                </c:pt>
                <c:pt idx="8">
                  <c:v>72997.02</c:v>
                </c:pt>
                <c:pt idx="9">
                  <c:v>89701.26999999999</c:v>
                </c:pt>
                <c:pt idx="10">
                  <c:v>88919.6</c:v>
                </c:pt>
                <c:pt idx="11">
                  <c:v>126239.22</c:v>
                </c:pt>
                <c:pt idx="12">
                  <c:v>98322.92</c:v>
                </c:pt>
                <c:pt idx="13">
                  <c:v>70727.69</c:v>
                </c:pt>
                <c:pt idx="14">
                  <c:v>60089.599999999999</c:v>
                </c:pt>
                <c:pt idx="15">
                  <c:v>63451.100000000006</c:v>
                </c:pt>
                <c:pt idx="16">
                  <c:v>60877.759999999995</c:v>
                </c:pt>
                <c:pt idx="17">
                  <c:v>51769.89</c:v>
                </c:pt>
                <c:pt idx="18">
                  <c:v>49348.75</c:v>
                </c:pt>
                <c:pt idx="19">
                  <c:v>58345.209999999992</c:v>
                </c:pt>
                <c:pt idx="20">
                  <c:v>58957.83</c:v>
                </c:pt>
                <c:pt idx="21">
                  <c:v>66772.179999999993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83-0647-8594-A9D33FC59DE8}"/>
            </c:ext>
          </c:extLst>
        </c:ser>
        <c:ser>
          <c:idx val="3"/>
          <c:order val="3"/>
          <c:tx>
            <c:strRef>
              <c:f>'County Budget Trends'!$A$54</c:f>
              <c:strCache>
                <c:ptCount val="1"/>
                <c:pt idx="0">
                  <c:v>Fringe Benefits</c:v>
                </c:pt>
              </c:strCache>
            </c:strRef>
          </c:tx>
          <c:spPr>
            <a:solidFill>
              <a:srgbClr val="7030A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Trends'!$B$50:$W$50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Trends'!$B$54:$W$54</c:f>
              <c:numCache>
                <c:formatCode>"$"#,##0</c:formatCode>
                <c:ptCount val="22"/>
                <c:pt idx="0">
                  <c:v>70128.320000000007</c:v>
                </c:pt>
                <c:pt idx="1">
                  <c:v>80788.41</c:v>
                </c:pt>
                <c:pt idx="2">
                  <c:v>92721.69</c:v>
                </c:pt>
                <c:pt idx="3">
                  <c:v>124246.21</c:v>
                </c:pt>
                <c:pt idx="4">
                  <c:v>146059.79999999999</c:v>
                </c:pt>
                <c:pt idx="5">
                  <c:v>154246.44</c:v>
                </c:pt>
                <c:pt idx="6">
                  <c:v>184919.41</c:v>
                </c:pt>
                <c:pt idx="7">
                  <c:v>165214.82999999999</c:v>
                </c:pt>
                <c:pt idx="8">
                  <c:v>175498.97</c:v>
                </c:pt>
                <c:pt idx="9">
                  <c:v>206813.76</c:v>
                </c:pt>
                <c:pt idx="10">
                  <c:v>208731.69</c:v>
                </c:pt>
                <c:pt idx="11">
                  <c:v>195808.85</c:v>
                </c:pt>
                <c:pt idx="12">
                  <c:v>193005.30000000002</c:v>
                </c:pt>
                <c:pt idx="13">
                  <c:v>200921.53</c:v>
                </c:pt>
                <c:pt idx="14">
                  <c:v>207298.31999999998</c:v>
                </c:pt>
                <c:pt idx="15">
                  <c:v>221984.17000000004</c:v>
                </c:pt>
                <c:pt idx="16">
                  <c:v>196901.35</c:v>
                </c:pt>
                <c:pt idx="17">
                  <c:v>204719.71</c:v>
                </c:pt>
                <c:pt idx="18">
                  <c:v>206657.53999999998</c:v>
                </c:pt>
                <c:pt idx="19">
                  <c:v>221705.42</c:v>
                </c:pt>
                <c:pt idx="20">
                  <c:v>206335.54</c:v>
                </c:pt>
                <c:pt idx="21">
                  <c:v>256736.64000000001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83-0647-8594-A9D33FC59DE8}"/>
            </c:ext>
          </c:extLst>
        </c:ser>
        <c:ser>
          <c:idx val="4"/>
          <c:order val="4"/>
          <c:tx>
            <c:strRef>
              <c:f>'County Budget Trends'!$A$55</c:f>
              <c:strCache>
                <c:ptCount val="1"/>
                <c:pt idx="0">
                  <c:v>Prosecuting Attorney</c:v>
                </c:pt>
              </c:strCache>
            </c:strRef>
          </c:tx>
          <c:spPr>
            <a:solidFill>
              <a:srgbClr val="00B0F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Trends'!$B$50:$W$50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Trends'!$B$55:$W$55</c:f>
              <c:numCache>
                <c:formatCode>"$"#,##0</c:formatCode>
                <c:ptCount val="22"/>
                <c:pt idx="0">
                  <c:v>87660.4</c:v>
                </c:pt>
                <c:pt idx="1">
                  <c:v>89764.9</c:v>
                </c:pt>
                <c:pt idx="2">
                  <c:v>103024.1</c:v>
                </c:pt>
                <c:pt idx="3">
                  <c:v>112951.1</c:v>
                </c:pt>
                <c:pt idx="4">
                  <c:v>121716.5</c:v>
                </c:pt>
                <c:pt idx="5">
                  <c:v>115684.83</c:v>
                </c:pt>
                <c:pt idx="6">
                  <c:v>128021.13</c:v>
                </c:pt>
                <c:pt idx="7">
                  <c:v>135175.76999999999</c:v>
                </c:pt>
                <c:pt idx="8">
                  <c:v>141335.22999999998</c:v>
                </c:pt>
                <c:pt idx="9">
                  <c:v>146037.94000000003</c:v>
                </c:pt>
                <c:pt idx="10">
                  <c:v>150049.21000000002</c:v>
                </c:pt>
                <c:pt idx="11">
                  <c:v>149242.5</c:v>
                </c:pt>
                <c:pt idx="12">
                  <c:v>149006.72000000003</c:v>
                </c:pt>
                <c:pt idx="13">
                  <c:v>153277.4</c:v>
                </c:pt>
                <c:pt idx="14">
                  <c:v>151357.26999999999</c:v>
                </c:pt>
                <c:pt idx="15">
                  <c:v>122705.11</c:v>
                </c:pt>
                <c:pt idx="16">
                  <c:v>128086.5</c:v>
                </c:pt>
                <c:pt idx="17">
                  <c:v>133189.03</c:v>
                </c:pt>
                <c:pt idx="18">
                  <c:v>142501.65000000002</c:v>
                </c:pt>
                <c:pt idx="19">
                  <c:v>154123.12000000002</c:v>
                </c:pt>
                <c:pt idx="20">
                  <c:v>155211.94</c:v>
                </c:pt>
                <c:pt idx="21">
                  <c:v>157858.45000000001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83-0647-8594-A9D33FC59DE8}"/>
            </c:ext>
          </c:extLst>
        </c:ser>
        <c:ser>
          <c:idx val="5"/>
          <c:order val="5"/>
          <c:tx>
            <c:strRef>
              <c:f>'County Budget Trends'!$A$56</c:f>
              <c:strCache>
                <c:ptCount val="1"/>
                <c:pt idx="0">
                  <c:v>Public Administrator and Coroner</c:v>
                </c:pt>
              </c:strCache>
            </c:strRef>
          </c:tx>
          <c:spPr>
            <a:solidFill>
              <a:schemeClr val="accent6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Trends'!$B$50:$W$50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Trends'!$B$56:$W$56</c:f>
              <c:numCache>
                <c:formatCode>"$"#,##0</c:formatCode>
                <c:ptCount val="22"/>
                <c:pt idx="0">
                  <c:v>26298.120000000003</c:v>
                </c:pt>
                <c:pt idx="1">
                  <c:v>26929.47</c:v>
                </c:pt>
                <c:pt idx="2">
                  <c:v>41209.64</c:v>
                </c:pt>
                <c:pt idx="3">
                  <c:v>33885.33</c:v>
                </c:pt>
                <c:pt idx="4">
                  <c:v>48686.6</c:v>
                </c:pt>
                <c:pt idx="5">
                  <c:v>51415.48</c:v>
                </c:pt>
                <c:pt idx="6">
                  <c:v>56898.28</c:v>
                </c:pt>
                <c:pt idx="7">
                  <c:v>45058.590000000004</c:v>
                </c:pt>
                <c:pt idx="8">
                  <c:v>45798.27</c:v>
                </c:pt>
                <c:pt idx="9">
                  <c:v>48884.3</c:v>
                </c:pt>
                <c:pt idx="10">
                  <c:v>48375.259999999995</c:v>
                </c:pt>
                <c:pt idx="11">
                  <c:v>51141.37</c:v>
                </c:pt>
                <c:pt idx="12">
                  <c:v>51631.100000000006</c:v>
                </c:pt>
                <c:pt idx="13">
                  <c:v>56012.82</c:v>
                </c:pt>
                <c:pt idx="14">
                  <c:v>53948.91</c:v>
                </c:pt>
                <c:pt idx="15">
                  <c:v>56226.41</c:v>
                </c:pt>
                <c:pt idx="16">
                  <c:v>55696.78</c:v>
                </c:pt>
                <c:pt idx="17">
                  <c:v>58441.24</c:v>
                </c:pt>
                <c:pt idx="18">
                  <c:v>58715.94</c:v>
                </c:pt>
                <c:pt idx="19">
                  <c:v>58614.53</c:v>
                </c:pt>
                <c:pt idx="20">
                  <c:v>58859.660000000011</c:v>
                </c:pt>
                <c:pt idx="21">
                  <c:v>60515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83-0647-8594-A9D33FC59DE8}"/>
            </c:ext>
          </c:extLst>
        </c:ser>
        <c:ser>
          <c:idx val="6"/>
          <c:order val="6"/>
          <c:tx>
            <c:strRef>
              <c:f>'County Budget Trends'!$A$57</c:f>
              <c:strCache>
                <c:ptCount val="1"/>
                <c:pt idx="0">
                  <c:v>Health and Welfare and "Other"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Trends'!$B$50:$W$50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Trends'!$B$57:$W$57</c:f>
              <c:numCache>
                <c:formatCode>"$"#,##0</c:formatCode>
                <c:ptCount val="22"/>
                <c:pt idx="0">
                  <c:v>175320.8</c:v>
                </c:pt>
                <c:pt idx="1">
                  <c:v>107717.88</c:v>
                </c:pt>
                <c:pt idx="2">
                  <c:v>103024.1</c:v>
                </c:pt>
                <c:pt idx="3">
                  <c:v>90360.88</c:v>
                </c:pt>
                <c:pt idx="4">
                  <c:v>133888.15</c:v>
                </c:pt>
                <c:pt idx="5">
                  <c:v>141392.57</c:v>
                </c:pt>
                <c:pt idx="6">
                  <c:v>156470.26999999999</c:v>
                </c:pt>
                <c:pt idx="7">
                  <c:v>300390.59999999998</c:v>
                </c:pt>
                <c:pt idx="8">
                  <c:v>459010.63000000006</c:v>
                </c:pt>
                <c:pt idx="9">
                  <c:v>264662.74</c:v>
                </c:pt>
                <c:pt idx="10">
                  <c:v>166694.44</c:v>
                </c:pt>
                <c:pt idx="11">
                  <c:v>168852.24</c:v>
                </c:pt>
                <c:pt idx="12">
                  <c:v>177083.23</c:v>
                </c:pt>
                <c:pt idx="13">
                  <c:v>189707.15</c:v>
                </c:pt>
                <c:pt idx="14">
                  <c:v>170103.97</c:v>
                </c:pt>
                <c:pt idx="15">
                  <c:v>221452.83000000002</c:v>
                </c:pt>
                <c:pt idx="16">
                  <c:v>194942.25</c:v>
                </c:pt>
                <c:pt idx="17">
                  <c:v>160745.05000000002</c:v>
                </c:pt>
                <c:pt idx="18">
                  <c:v>200106.09</c:v>
                </c:pt>
                <c:pt idx="19">
                  <c:v>194471.95</c:v>
                </c:pt>
                <c:pt idx="20">
                  <c:v>212526.97000000003</c:v>
                </c:pt>
                <c:pt idx="21">
                  <c:v>243693.05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83-0647-8594-A9D33FC59DE8}"/>
            </c:ext>
          </c:extLst>
        </c:ser>
        <c:ser>
          <c:idx val="7"/>
          <c:order val="7"/>
          <c:tx>
            <c:strRef>
              <c:f>'County Budget Trends'!$A$58</c:f>
              <c:strCache>
                <c:ptCount val="1"/>
                <c:pt idx="0">
                  <c:v>Operating Transfers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Trends'!$B$50:$W$50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Trends'!$B$58:$W$58</c:f>
              <c:numCache>
                <c:formatCode>"$"#,##0</c:formatCode>
                <c:ptCount val="22"/>
                <c:pt idx="0">
                  <c:v>26298.12</c:v>
                </c:pt>
                <c:pt idx="1">
                  <c:v>44882.45</c:v>
                </c:pt>
                <c:pt idx="2">
                  <c:v>30907.23</c:v>
                </c:pt>
                <c:pt idx="3">
                  <c:v>56475.55</c:v>
                </c:pt>
                <c:pt idx="4">
                  <c:v>36514.949999999997</c:v>
                </c:pt>
                <c:pt idx="5">
                  <c:v>38561.61</c:v>
                </c:pt>
                <c:pt idx="6">
                  <c:v>42673.71</c:v>
                </c:pt>
                <c:pt idx="7">
                  <c:v>75097.649999999994</c:v>
                </c:pt>
                <c:pt idx="8">
                  <c:v>52158.36</c:v>
                </c:pt>
                <c:pt idx="9">
                  <c:v>49199.5</c:v>
                </c:pt>
                <c:pt idx="10">
                  <c:v>149261.76000000001</c:v>
                </c:pt>
                <c:pt idx="11">
                  <c:v>59000.57</c:v>
                </c:pt>
                <c:pt idx="12">
                  <c:v>54190.280000000006</c:v>
                </c:pt>
                <c:pt idx="13">
                  <c:v>58331.68</c:v>
                </c:pt>
                <c:pt idx="14">
                  <c:v>56966.340000000004</c:v>
                </c:pt>
                <c:pt idx="15">
                  <c:v>59826.180000000008</c:v>
                </c:pt>
                <c:pt idx="16">
                  <c:v>36720</c:v>
                </c:pt>
                <c:pt idx="17">
                  <c:v>38738.339999999997</c:v>
                </c:pt>
                <c:pt idx="18">
                  <c:v>43337.95</c:v>
                </c:pt>
                <c:pt idx="19">
                  <c:v>55220</c:v>
                </c:pt>
                <c:pt idx="20">
                  <c:v>51404.67</c:v>
                </c:pt>
                <c:pt idx="21">
                  <c:v>48507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83-0647-8594-A9D33FC59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273712"/>
        <c:axId val="451274104"/>
      </c:areaChart>
      <c:catAx>
        <c:axId val="45127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27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274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2737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ysClr val="windowText" lastClr="000000"/>
      </a:solidFill>
      <a:prstDash val="solid"/>
    </a:ln>
  </c:spPr>
  <c:txPr>
    <a:bodyPr/>
    <a:lstStyle/>
    <a:p>
      <a:pPr>
        <a:defRPr sz="2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Budget Trends'!$A$40</c:f>
          <c:strCache>
            <c:ptCount val="1"/>
            <c:pt idx="0">
              <c:v>Douglas County Detailed General Revenue Receipts</c:v>
            </c:pt>
          </c:strCache>
        </c:strRef>
      </c:tx>
      <c:layout>
        <c:manualLayout>
          <c:xMode val="edge"/>
          <c:yMode val="edge"/>
          <c:x val="0.212616985960873"/>
          <c:y val="2.694141254321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73282172777206E-2"/>
          <c:y val="0.107425495863655"/>
          <c:w val="0.86723832375340804"/>
          <c:h val="0.73568110036669099"/>
        </c:manualLayout>
      </c:layout>
      <c:areaChart>
        <c:grouping val="stacked"/>
        <c:varyColors val="0"/>
        <c:ser>
          <c:idx val="0"/>
          <c:order val="0"/>
          <c:tx>
            <c:strRef>
              <c:f>'County Budget Trends'!$A$42</c:f>
              <c:strCache>
                <c:ptCount val="1"/>
                <c:pt idx="0">
                  <c:v>Property Tax</c:v>
                </c:pt>
              </c:strCache>
            </c:strRef>
          </c:tx>
          <c:spPr>
            <a:solidFill>
              <a:srgbClr val="0070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'County Budget Trends'!$B$41:$W$41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Trends'!$B$42:$W$42</c:f>
              <c:numCache>
                <c:formatCode>"$"#,##0</c:formatCode>
                <c:ptCount val="22"/>
                <c:pt idx="0">
                  <c:v>64619.1</c:v>
                </c:pt>
                <c:pt idx="1">
                  <c:v>63583.1</c:v>
                </c:pt>
                <c:pt idx="2">
                  <c:v>72888.2</c:v>
                </c:pt>
                <c:pt idx="3">
                  <c:v>85166.56</c:v>
                </c:pt>
                <c:pt idx="4">
                  <c:v>87978.03</c:v>
                </c:pt>
                <c:pt idx="5">
                  <c:v>89045.11</c:v>
                </c:pt>
                <c:pt idx="6">
                  <c:v>93522.94</c:v>
                </c:pt>
                <c:pt idx="7">
                  <c:v>118492.24</c:v>
                </c:pt>
                <c:pt idx="8">
                  <c:v>125288.01</c:v>
                </c:pt>
                <c:pt idx="9">
                  <c:v>100490.12</c:v>
                </c:pt>
                <c:pt idx="10">
                  <c:v>105347.59</c:v>
                </c:pt>
                <c:pt idx="11">
                  <c:v>116047.3</c:v>
                </c:pt>
                <c:pt idx="12">
                  <c:v>135650.78</c:v>
                </c:pt>
                <c:pt idx="13">
                  <c:v>157372.6</c:v>
                </c:pt>
                <c:pt idx="14">
                  <c:v>172939.09</c:v>
                </c:pt>
                <c:pt idx="15">
                  <c:v>168144.77</c:v>
                </c:pt>
                <c:pt idx="16">
                  <c:v>178898.61</c:v>
                </c:pt>
                <c:pt idx="17">
                  <c:v>184943.03</c:v>
                </c:pt>
                <c:pt idx="18">
                  <c:v>205846.8</c:v>
                </c:pt>
                <c:pt idx="19">
                  <c:v>192388.14</c:v>
                </c:pt>
                <c:pt idx="20">
                  <c:v>158130.96</c:v>
                </c:pt>
                <c:pt idx="21">
                  <c:v>156000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3-7643-8AA1-EDF0F8EC4425}"/>
            </c:ext>
          </c:extLst>
        </c:ser>
        <c:ser>
          <c:idx val="1"/>
          <c:order val="1"/>
          <c:tx>
            <c:strRef>
              <c:f>'County Budget Trends'!$A$43</c:f>
              <c:strCache>
                <c:ptCount val="1"/>
                <c:pt idx="0">
                  <c:v>Sales Tax</c:v>
                </c:pt>
              </c:strCache>
            </c:strRef>
          </c:tx>
          <c:spPr>
            <a:solidFill>
              <a:srgbClr val="C0000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Trends'!$B$41:$W$41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Trends'!$B$43:$W$43</c:f>
              <c:numCache>
                <c:formatCode>"$"#,##0</c:formatCode>
                <c:ptCount val="22"/>
                <c:pt idx="0">
                  <c:v>535415.4</c:v>
                </c:pt>
                <c:pt idx="1">
                  <c:v>563164.6</c:v>
                </c:pt>
                <c:pt idx="2">
                  <c:v>583105.6</c:v>
                </c:pt>
                <c:pt idx="3">
                  <c:v>617457.56000000006</c:v>
                </c:pt>
                <c:pt idx="4">
                  <c:v>666119.37</c:v>
                </c:pt>
                <c:pt idx="5">
                  <c:v>712360.88</c:v>
                </c:pt>
                <c:pt idx="6">
                  <c:v>708102.26</c:v>
                </c:pt>
                <c:pt idx="7">
                  <c:v>725764.97</c:v>
                </c:pt>
                <c:pt idx="8">
                  <c:v>804566.32</c:v>
                </c:pt>
                <c:pt idx="9">
                  <c:v>877771.38</c:v>
                </c:pt>
                <c:pt idx="10">
                  <c:v>900304.31</c:v>
                </c:pt>
                <c:pt idx="11">
                  <c:v>946102.38</c:v>
                </c:pt>
                <c:pt idx="12">
                  <c:v>911394.79</c:v>
                </c:pt>
                <c:pt idx="13">
                  <c:v>858799.6</c:v>
                </c:pt>
                <c:pt idx="14">
                  <c:v>877124.05</c:v>
                </c:pt>
                <c:pt idx="15">
                  <c:v>891858.62</c:v>
                </c:pt>
                <c:pt idx="16">
                  <c:v>852530.38</c:v>
                </c:pt>
                <c:pt idx="17">
                  <c:v>871481.91</c:v>
                </c:pt>
                <c:pt idx="18">
                  <c:v>957544.01</c:v>
                </c:pt>
                <c:pt idx="19">
                  <c:v>987948.21</c:v>
                </c:pt>
                <c:pt idx="20">
                  <c:v>1000662.52</c:v>
                </c:pt>
                <c:pt idx="21">
                  <c:v>1000000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3-7643-8AA1-EDF0F8EC4425}"/>
            </c:ext>
          </c:extLst>
        </c:ser>
        <c:ser>
          <c:idx val="2"/>
          <c:order val="2"/>
          <c:tx>
            <c:strRef>
              <c:f>'County Budget Trends'!$A$44</c:f>
              <c:strCache>
                <c:ptCount val="1"/>
                <c:pt idx="0">
                  <c:v>Intergovernmental</c:v>
                </c:pt>
              </c:strCache>
            </c:strRef>
          </c:tx>
          <c:spPr>
            <a:solidFill>
              <a:srgbClr val="33CC33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Trends'!$B$41:$W$41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Trends'!$B$44:$W$44</c:f>
              <c:numCache>
                <c:formatCode>"$"#,##0</c:formatCode>
                <c:ptCount val="22"/>
                <c:pt idx="0">
                  <c:v>101544.3</c:v>
                </c:pt>
                <c:pt idx="1">
                  <c:v>99916.3</c:v>
                </c:pt>
                <c:pt idx="2">
                  <c:v>166601.60000000001</c:v>
                </c:pt>
                <c:pt idx="3">
                  <c:v>170333.12</c:v>
                </c:pt>
                <c:pt idx="4">
                  <c:v>276502.38</c:v>
                </c:pt>
                <c:pt idx="5">
                  <c:v>279856.06</c:v>
                </c:pt>
                <c:pt idx="6">
                  <c:v>280568.82</c:v>
                </c:pt>
                <c:pt idx="7">
                  <c:v>399911.31</c:v>
                </c:pt>
                <c:pt idx="8">
                  <c:v>450565.43</c:v>
                </c:pt>
                <c:pt idx="9">
                  <c:v>504088.17</c:v>
                </c:pt>
                <c:pt idx="10">
                  <c:v>271293.46999999997</c:v>
                </c:pt>
                <c:pt idx="11">
                  <c:v>275160.04999999993</c:v>
                </c:pt>
                <c:pt idx="12">
                  <c:v>287848.78999999998</c:v>
                </c:pt>
                <c:pt idx="13">
                  <c:v>309449.87</c:v>
                </c:pt>
                <c:pt idx="14">
                  <c:v>287456.28000000003</c:v>
                </c:pt>
                <c:pt idx="15">
                  <c:v>258947.78999999998</c:v>
                </c:pt>
                <c:pt idx="16">
                  <c:v>254854.33000000002</c:v>
                </c:pt>
                <c:pt idx="17">
                  <c:v>286102.00000000006</c:v>
                </c:pt>
                <c:pt idx="18">
                  <c:v>331485.13</c:v>
                </c:pt>
                <c:pt idx="19">
                  <c:v>294254.82999999996</c:v>
                </c:pt>
                <c:pt idx="20">
                  <c:v>310690.24</c:v>
                </c:pt>
                <c:pt idx="21">
                  <c:v>290249.68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F3-7643-8AA1-EDF0F8EC4425}"/>
            </c:ext>
          </c:extLst>
        </c:ser>
        <c:ser>
          <c:idx val="3"/>
          <c:order val="3"/>
          <c:tx>
            <c:strRef>
              <c:f>'County Budget Trends'!$A$45</c:f>
              <c:strCache>
                <c:ptCount val="1"/>
                <c:pt idx="0">
                  <c:v>Charges for Services</c:v>
                </c:pt>
              </c:strCache>
            </c:strRef>
          </c:tx>
          <c:spPr>
            <a:solidFill>
              <a:srgbClr val="7030A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Trends'!$B$41:$W$41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Trends'!$B$45:$W$45</c:f>
              <c:numCache>
                <c:formatCode>"$"#,##0</c:formatCode>
                <c:ptCount val="22"/>
                <c:pt idx="0">
                  <c:v>120006.9</c:v>
                </c:pt>
                <c:pt idx="1">
                  <c:v>118082.9</c:v>
                </c:pt>
                <c:pt idx="2">
                  <c:v>156189</c:v>
                </c:pt>
                <c:pt idx="3">
                  <c:v>159687.29999999999</c:v>
                </c:pt>
                <c:pt idx="4">
                  <c:v>175956.06</c:v>
                </c:pt>
                <c:pt idx="5">
                  <c:v>152648.76</c:v>
                </c:pt>
                <c:pt idx="6">
                  <c:v>173685.46</c:v>
                </c:pt>
                <c:pt idx="7">
                  <c:v>177738.36</c:v>
                </c:pt>
                <c:pt idx="8">
                  <c:v>173271.38999999998</c:v>
                </c:pt>
                <c:pt idx="9">
                  <c:v>191064.80000000002</c:v>
                </c:pt>
                <c:pt idx="10">
                  <c:v>183401.8</c:v>
                </c:pt>
                <c:pt idx="11">
                  <c:v>188980.52999999997</c:v>
                </c:pt>
                <c:pt idx="12">
                  <c:v>176297.74</c:v>
                </c:pt>
                <c:pt idx="13">
                  <c:v>179776.22</c:v>
                </c:pt>
                <c:pt idx="14">
                  <c:v>164448.54999999999</c:v>
                </c:pt>
                <c:pt idx="15">
                  <c:v>172861.3</c:v>
                </c:pt>
                <c:pt idx="16">
                  <c:v>187816.03000000003</c:v>
                </c:pt>
                <c:pt idx="17">
                  <c:v>180266.78000000003</c:v>
                </c:pt>
                <c:pt idx="18">
                  <c:v>171988.27</c:v>
                </c:pt>
                <c:pt idx="19">
                  <c:v>181415.01</c:v>
                </c:pt>
                <c:pt idx="20">
                  <c:v>186549.95</c:v>
                </c:pt>
                <c:pt idx="21">
                  <c:v>172500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F3-7643-8AA1-EDF0F8EC4425}"/>
            </c:ext>
          </c:extLst>
        </c:ser>
        <c:ser>
          <c:idx val="4"/>
          <c:order val="4"/>
          <c:tx>
            <c:strRef>
              <c:f>'County Budget Trends'!$A$46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rgbClr val="00B0F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Trends'!$B$41:$W$41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Trends'!$B$46:$W$46</c:f>
              <c:numCache>
                <c:formatCode>"$"#,##0</c:formatCode>
                <c:ptCount val="22"/>
                <c:pt idx="0">
                  <c:v>18462.599999999999</c:v>
                </c:pt>
                <c:pt idx="1">
                  <c:v>18166.599999999999</c:v>
                </c:pt>
                <c:pt idx="2">
                  <c:v>20825.2</c:v>
                </c:pt>
                <c:pt idx="3">
                  <c:v>10645.82</c:v>
                </c:pt>
                <c:pt idx="4">
                  <c:v>25136.58</c:v>
                </c:pt>
                <c:pt idx="5">
                  <c:v>25441.46</c:v>
                </c:pt>
                <c:pt idx="6">
                  <c:v>13360.42</c:v>
                </c:pt>
                <c:pt idx="7">
                  <c:v>0</c:v>
                </c:pt>
                <c:pt idx="8">
                  <c:v>4337.3100000000004</c:v>
                </c:pt>
                <c:pt idx="9">
                  <c:v>4550.54</c:v>
                </c:pt>
                <c:pt idx="10">
                  <c:v>9425.57</c:v>
                </c:pt>
                <c:pt idx="11">
                  <c:v>11098.24</c:v>
                </c:pt>
                <c:pt idx="12">
                  <c:v>9585.76</c:v>
                </c:pt>
                <c:pt idx="13">
                  <c:v>5130.28</c:v>
                </c:pt>
                <c:pt idx="14">
                  <c:v>4264.3599999999997</c:v>
                </c:pt>
                <c:pt idx="15">
                  <c:v>3336.88</c:v>
                </c:pt>
                <c:pt idx="16">
                  <c:v>3769.34</c:v>
                </c:pt>
                <c:pt idx="17">
                  <c:v>3814.21</c:v>
                </c:pt>
                <c:pt idx="18">
                  <c:v>4343.75</c:v>
                </c:pt>
                <c:pt idx="19">
                  <c:v>3956.37</c:v>
                </c:pt>
                <c:pt idx="20">
                  <c:v>3945.44</c:v>
                </c:pt>
                <c:pt idx="21">
                  <c:v>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F3-7643-8AA1-EDF0F8EC4425}"/>
            </c:ext>
          </c:extLst>
        </c:ser>
        <c:ser>
          <c:idx val="5"/>
          <c:order val="5"/>
          <c:tx>
            <c:strRef>
              <c:f>'County Budget Trends'!$A$47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ysClr val="windowText" lastClr="000000"/>
              </a:solidFill>
              <a:prstDash val="solid"/>
            </a:ln>
          </c:spPr>
          <c:cat>
            <c:strRef>
              <c:f>'County Budget Trends'!$B$41:$W$41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Budget Trends'!$B$47:$W$47</c:f>
              <c:numCache>
                <c:formatCode>"$"#,##0</c:formatCode>
                <c:ptCount val="22"/>
                <c:pt idx="0">
                  <c:v>83081.7</c:v>
                </c:pt>
                <c:pt idx="1">
                  <c:v>45416.5</c:v>
                </c:pt>
                <c:pt idx="2">
                  <c:v>41650.400000000001</c:v>
                </c:pt>
                <c:pt idx="3">
                  <c:v>21291.64</c:v>
                </c:pt>
                <c:pt idx="4">
                  <c:v>25136.58</c:v>
                </c:pt>
                <c:pt idx="5">
                  <c:v>12720.73</c:v>
                </c:pt>
                <c:pt idx="6">
                  <c:v>66802.100000000006</c:v>
                </c:pt>
                <c:pt idx="7">
                  <c:v>59246.12</c:v>
                </c:pt>
                <c:pt idx="8">
                  <c:v>13458.310000000003</c:v>
                </c:pt>
                <c:pt idx="9">
                  <c:v>17727.22</c:v>
                </c:pt>
                <c:pt idx="10">
                  <c:v>12763.390000000001</c:v>
                </c:pt>
                <c:pt idx="11">
                  <c:v>7423.17</c:v>
                </c:pt>
                <c:pt idx="12">
                  <c:v>13522.849999999999</c:v>
                </c:pt>
                <c:pt idx="13">
                  <c:v>36285.06</c:v>
                </c:pt>
                <c:pt idx="14">
                  <c:v>32756.030000000006</c:v>
                </c:pt>
                <c:pt idx="15">
                  <c:v>34985.370000000003</c:v>
                </c:pt>
                <c:pt idx="16">
                  <c:v>26196.629999999997</c:v>
                </c:pt>
                <c:pt idx="17">
                  <c:v>45498.19</c:v>
                </c:pt>
                <c:pt idx="18">
                  <c:v>30617.600000000002</c:v>
                </c:pt>
                <c:pt idx="19">
                  <c:v>33967.230000000003</c:v>
                </c:pt>
                <c:pt idx="20">
                  <c:v>62230.59</c:v>
                </c:pt>
                <c:pt idx="2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F3-7643-8AA1-EDF0F8EC4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802576"/>
        <c:axId val="378802968"/>
      </c:areaChart>
      <c:catAx>
        <c:axId val="37880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0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8802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88025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ysClr val="windowText" lastClr="000000"/>
      </a:solidFill>
      <a:prstDash val="solid"/>
    </a:ln>
  </c:spPr>
  <c:txPr>
    <a:bodyPr/>
    <a:lstStyle/>
    <a:p>
      <a:pPr>
        <a:defRPr sz="2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Base Trends'!$A$20</c:f>
          <c:strCache>
            <c:ptCount val="1"/>
            <c:pt idx="0">
              <c:v>Pike County Annual Growth Rates: General Revenue Property Tax Receipts and Property Assessed Values</c:v>
            </c:pt>
          </c:strCache>
        </c:strRef>
      </c:tx>
      <c:layout>
        <c:manualLayout>
          <c:xMode val="edge"/>
          <c:yMode val="edge"/>
          <c:x val="0.144200736663403"/>
          <c:y val="2.737226277372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920346555434996E-2"/>
          <c:y val="0.169789985300205"/>
          <c:w val="0.84500261918670905"/>
          <c:h val="0.72904458859785704"/>
        </c:manualLayout>
      </c:layout>
      <c:lineChart>
        <c:grouping val="standard"/>
        <c:varyColors val="0"/>
        <c:ser>
          <c:idx val="0"/>
          <c:order val="0"/>
          <c:tx>
            <c:strRef>
              <c:f>'County Base Trends'!$A$22</c:f>
              <c:strCache>
                <c:ptCount val="1"/>
                <c:pt idx="0">
                  <c:v>Property Tax Receipts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 Base Trends'!$B$21:$W$21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Trends'!$B$22:$W$22</c:f>
              <c:numCache>
                <c:formatCode>0%</c:formatCode>
                <c:ptCount val="22"/>
                <c:pt idx="1">
                  <c:v>0.1469149757854917</c:v>
                </c:pt>
                <c:pt idx="2">
                  <c:v>8.1442981419045449E-3</c:v>
                </c:pt>
                <c:pt idx="3">
                  <c:v>5.7409776063740647E-2</c:v>
                </c:pt>
                <c:pt idx="4">
                  <c:v>-3.8872824987714771E-2</c:v>
                </c:pt>
                <c:pt idx="5">
                  <c:v>-7.3053197456731398E-3</c:v>
                </c:pt>
                <c:pt idx="6">
                  <c:v>8.9473127964208587E-2</c:v>
                </c:pt>
                <c:pt idx="7">
                  <c:v>0.3643961836418495</c:v>
                </c:pt>
                <c:pt idx="8">
                  <c:v>-0.14471837257821779</c:v>
                </c:pt>
                <c:pt idx="9">
                  <c:v>-7.200048629108613E-2</c:v>
                </c:pt>
                <c:pt idx="10">
                  <c:v>0.14687686108624354</c:v>
                </c:pt>
                <c:pt idx="11">
                  <c:v>3.1166292884643888E-3</c:v>
                </c:pt>
                <c:pt idx="12">
                  <c:v>8.8472830825273102E-2</c:v>
                </c:pt>
                <c:pt idx="13">
                  <c:v>-1</c:v>
                </c:pt>
                <c:pt idx="14">
                  <c:v>0</c:v>
                </c:pt>
                <c:pt idx="15">
                  <c:v>0.2185910545371145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5-AA47-A868-F348203FCC0C}"/>
            </c:ext>
          </c:extLst>
        </c:ser>
        <c:ser>
          <c:idx val="1"/>
          <c:order val="1"/>
          <c:tx>
            <c:strRef>
              <c:f>'County Base Trends'!$A$23</c:f>
              <c:strCache>
                <c:ptCount val="1"/>
                <c:pt idx="0">
                  <c:v>Property Assessed Values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'County Base Trends'!$B$21:$W$21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Trends'!$B$23:$W$23</c:f>
              <c:numCache>
                <c:formatCode>0%</c:formatCode>
                <c:ptCount val="22"/>
                <c:pt idx="1">
                  <c:v>2.752253163769687E-2</c:v>
                </c:pt>
                <c:pt idx="2">
                  <c:v>3.3059523354510914E-2</c:v>
                </c:pt>
                <c:pt idx="3">
                  <c:v>8.0347282253605073E-2</c:v>
                </c:pt>
                <c:pt idx="4">
                  <c:v>3.5599409424120695E-2</c:v>
                </c:pt>
                <c:pt idx="5">
                  <c:v>1.0086942098309237E-2</c:v>
                </c:pt>
                <c:pt idx="6">
                  <c:v>1.3308787132419998E-2</c:v>
                </c:pt>
                <c:pt idx="7">
                  <c:v>-5.2338916444624586E-2</c:v>
                </c:pt>
                <c:pt idx="8">
                  <c:v>3.3026272041593314E-2</c:v>
                </c:pt>
                <c:pt idx="9">
                  <c:v>5.1165462477626898E-2</c:v>
                </c:pt>
                <c:pt idx="10">
                  <c:v>2.2055681882641721E-2</c:v>
                </c:pt>
                <c:pt idx="11">
                  <c:v>0.11471916652623393</c:v>
                </c:pt>
                <c:pt idx="12">
                  <c:v>5.3338011064257103E-3</c:v>
                </c:pt>
                <c:pt idx="13">
                  <c:v>9.1688369809292028E-2</c:v>
                </c:pt>
                <c:pt idx="14">
                  <c:v>-7.7767273998635335E-3</c:v>
                </c:pt>
                <c:pt idx="15">
                  <c:v>1.5424443449362371E-2</c:v>
                </c:pt>
                <c:pt idx="16">
                  <c:v>4.1407972440280348E-2</c:v>
                </c:pt>
                <c:pt idx="17">
                  <c:v>3.1391910728488605E-2</c:v>
                </c:pt>
                <c:pt idx="18">
                  <c:v>-5.9059025247005827E-3</c:v>
                </c:pt>
                <c:pt idx="19">
                  <c:v>3.7855538719760259E-2</c:v>
                </c:pt>
                <c:pt idx="20">
                  <c:v>4.3133920245394163E-2</c:v>
                </c:pt>
                <c:pt idx="21">
                  <c:v>-1.9855702315310891E-2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5-AA47-A868-F348203FC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350000"/>
        <c:axId val="453347256"/>
      </c:lineChart>
      <c:catAx>
        <c:axId val="453350000"/>
        <c:scaling>
          <c:orientation val="minMax"/>
        </c:scaling>
        <c:delete val="0"/>
        <c:axPos val="b"/>
        <c:title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7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3347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500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54876847893899"/>
          <c:y val="0.90328467153284697"/>
          <c:w val="0.67189201269028598"/>
          <c:h val="7.664233576642340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Base Trends'!$A$26</c:f>
          <c:strCache>
            <c:ptCount val="1"/>
            <c:pt idx="0">
              <c:v>Pike County Annual Growth Rates: General Revenue Sales Tax Receipts and Taxable Sales </c:v>
            </c:pt>
          </c:strCache>
        </c:strRef>
      </c:tx>
      <c:layout>
        <c:manualLayout>
          <c:xMode val="edge"/>
          <c:yMode val="edge"/>
          <c:x val="0.11399297715522801"/>
          <c:y val="3.242871905337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938825165103096E-2"/>
          <c:y val="0.18737270875763701"/>
          <c:w val="0.85470976711857005"/>
          <c:h val="0.70672097759677599"/>
        </c:manualLayout>
      </c:layout>
      <c:lineChart>
        <c:grouping val="standard"/>
        <c:varyColors val="0"/>
        <c:ser>
          <c:idx val="0"/>
          <c:order val="0"/>
          <c:tx>
            <c:strRef>
              <c:f>'County Base Trends'!$A$28</c:f>
              <c:strCache>
                <c:ptCount val="1"/>
                <c:pt idx="0">
                  <c:v>Sales Tax Receipts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 Base Trends'!$B$27:$W$27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Trends'!$B$28:$W$28</c:f>
              <c:numCache>
                <c:formatCode>0%</c:formatCode>
                <c:ptCount val="22"/>
                <c:pt idx="1">
                  <c:v>5.1338727803367214E-2</c:v>
                </c:pt>
                <c:pt idx="2">
                  <c:v>-4.5847965316041326E-3</c:v>
                </c:pt>
                <c:pt idx="3">
                  <c:v>1.7566299551226255E-3</c:v>
                </c:pt>
                <c:pt idx="4">
                  <c:v>7.4200960307848382E-2</c:v>
                </c:pt>
                <c:pt idx="5">
                  <c:v>3.58553185262541E-2</c:v>
                </c:pt>
                <c:pt idx="6">
                  <c:v>3.2231720003752704E-3</c:v>
                </c:pt>
                <c:pt idx="7">
                  <c:v>-8.7720033371178549E-3</c:v>
                </c:pt>
                <c:pt idx="8">
                  <c:v>5.9127186069743091E-2</c:v>
                </c:pt>
                <c:pt idx="9">
                  <c:v>3.4503118139798526E-2</c:v>
                </c:pt>
                <c:pt idx="10">
                  <c:v>1.1295560528941716E-2</c:v>
                </c:pt>
                <c:pt idx="11">
                  <c:v>5.1884677364453527E-2</c:v>
                </c:pt>
                <c:pt idx="12">
                  <c:v>5.060238978706405E-2</c:v>
                </c:pt>
                <c:pt idx="13">
                  <c:v>-4.6373590442263378E-2</c:v>
                </c:pt>
                <c:pt idx="14">
                  <c:v>-3.9775672007851112E-3</c:v>
                </c:pt>
                <c:pt idx="15">
                  <c:v>6.2427110363500966E-2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3-AE4E-AEAA-4654FE2CB070}"/>
            </c:ext>
          </c:extLst>
        </c:ser>
        <c:ser>
          <c:idx val="1"/>
          <c:order val="1"/>
          <c:tx>
            <c:strRef>
              <c:f>'County Base Trends'!$A$29</c:f>
              <c:strCache>
                <c:ptCount val="1"/>
                <c:pt idx="0">
                  <c:v>Taxable Sales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'County Base Trends'!$B$27:$W$27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Trends'!$B$29:$W$29</c:f>
              <c:numCache>
                <c:formatCode>0%</c:formatCode>
                <c:ptCount val="22"/>
                <c:pt idx="1">
                  <c:v>0.10056517019122385</c:v>
                </c:pt>
                <c:pt idx="2">
                  <c:v>-5.6613752244285154E-3</c:v>
                </c:pt>
                <c:pt idx="3">
                  <c:v>-3.0280072885037871E-2</c:v>
                </c:pt>
                <c:pt idx="4">
                  <c:v>8.4803426063448609E-2</c:v>
                </c:pt>
                <c:pt idx="5">
                  <c:v>4.3832733391249747E-2</c:v>
                </c:pt>
                <c:pt idx="6">
                  <c:v>1.076813817958535E-2</c:v>
                </c:pt>
                <c:pt idx="7">
                  <c:v>2.8695401426013397E-2</c:v>
                </c:pt>
                <c:pt idx="8">
                  <c:v>2.2326867080744769E-2</c:v>
                </c:pt>
                <c:pt idx="9">
                  <c:v>4.378359485772737E-2</c:v>
                </c:pt>
                <c:pt idx="10">
                  <c:v>2.6887345882033727E-2</c:v>
                </c:pt>
                <c:pt idx="11">
                  <c:v>3.6297689796685219E-2</c:v>
                </c:pt>
                <c:pt idx="12">
                  <c:v>7.1346063588594202E-2</c:v>
                </c:pt>
                <c:pt idx="13">
                  <c:v>8.1294675046848758E-2</c:v>
                </c:pt>
                <c:pt idx="14">
                  <c:v>-9.4416880761624189E-2</c:v>
                </c:pt>
                <c:pt idx="15">
                  <c:v>1.8944825416409392E-2</c:v>
                </c:pt>
                <c:pt idx="16">
                  <c:v>2.8203288536804441E-2</c:v>
                </c:pt>
                <c:pt idx="17">
                  <c:v>1.9279259863501551E-2</c:v>
                </c:pt>
                <c:pt idx="18">
                  <c:v>4.6145104105477494E-2</c:v>
                </c:pt>
                <c:pt idx="19">
                  <c:v>2.0970486073623507E-2</c:v>
                </c:pt>
                <c:pt idx="20">
                  <c:v>1.4388445568085743E-2</c:v>
                </c:pt>
                <c:pt idx="21">
                  <c:v>-1.8126047059679406E-3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3-AE4E-AEAA-4654FE2CB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347648"/>
        <c:axId val="453344512"/>
      </c:lineChart>
      <c:catAx>
        <c:axId val="4533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334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76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7883211678832"/>
          <c:y val="0.90555719320962302"/>
          <c:w val="0.67049009384775804"/>
          <c:h val="8.333348403769540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'County Base Trends'!$A$10</c:f>
          <c:strCache>
            <c:ptCount val="1"/>
            <c:pt idx="0">
              <c:v>Pike County Tax Bases: Property Assessed Values and Taxable Sales</c:v>
            </c:pt>
          </c:strCache>
        </c:strRef>
      </c:tx>
      <c:layout>
        <c:manualLayout>
          <c:xMode val="edge"/>
          <c:yMode val="edge"/>
          <c:x val="0.17377739944670001"/>
          <c:y val="2.758626679018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2411642411645"/>
          <c:y val="0.17735849056605099"/>
          <c:w val="0.80041580041580096"/>
          <c:h val="0.64339622641513905"/>
        </c:manualLayout>
      </c:layout>
      <c:lineChart>
        <c:grouping val="standard"/>
        <c:varyColors val="0"/>
        <c:ser>
          <c:idx val="0"/>
          <c:order val="0"/>
          <c:tx>
            <c:strRef>
              <c:f>'County Base Trends'!$A$12</c:f>
              <c:strCache>
                <c:ptCount val="1"/>
                <c:pt idx="0">
                  <c:v>Property Assessed Values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'County Base Trends'!$B$11:$W$11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Trends'!$B$12:$W$12</c:f>
              <c:numCache>
                <c:formatCode>"$"#,##0</c:formatCode>
                <c:ptCount val="22"/>
                <c:pt idx="0">
                  <c:v>160721007</c:v>
                </c:pt>
                <c:pt idx="1">
                  <c:v>165144456</c:v>
                </c:pt>
                <c:pt idx="2">
                  <c:v>170604053</c:v>
                </c:pt>
                <c:pt idx="3">
                  <c:v>184311625</c:v>
                </c:pt>
                <c:pt idx="4">
                  <c:v>190873010</c:v>
                </c:pt>
                <c:pt idx="5">
                  <c:v>192798335</c:v>
                </c:pt>
                <c:pt idx="6">
                  <c:v>195364247</c:v>
                </c:pt>
                <c:pt idx="7">
                  <c:v>185139094</c:v>
                </c:pt>
                <c:pt idx="8">
                  <c:v>191253548.08397812</c:v>
                </c:pt>
                <c:pt idx="9">
                  <c:v>201039124.32218191</c:v>
                </c:pt>
                <c:pt idx="10">
                  <c:v>205473179.29419681</c:v>
                </c:pt>
                <c:pt idx="11">
                  <c:v>229044891.1663225</c:v>
                </c:pt>
                <c:pt idx="12">
                  <c:v>230266571.06024659</c:v>
                </c:pt>
                <c:pt idx="13">
                  <c:v>251379337.5823361</c:v>
                </c:pt>
                <c:pt idx="14">
                  <c:v>249424429</c:v>
                </c:pt>
                <c:pt idx="15">
                  <c:v>253271662</c:v>
                </c:pt>
                <c:pt idx="16">
                  <c:v>263759128</c:v>
                </c:pt>
                <c:pt idx="17">
                  <c:v>272039031</c:v>
                </c:pt>
                <c:pt idx="18">
                  <c:v>270432395</c:v>
                </c:pt>
                <c:pt idx="19">
                  <c:v>280669759</c:v>
                </c:pt>
                <c:pt idx="20">
                  <c:v>292776146</c:v>
                </c:pt>
                <c:pt idx="21">
                  <c:v>286962870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7-5347-85DC-E1AEFB72C44B}"/>
            </c:ext>
          </c:extLst>
        </c:ser>
        <c:ser>
          <c:idx val="1"/>
          <c:order val="1"/>
          <c:tx>
            <c:strRef>
              <c:f>'County Base Trends'!$A$13</c:f>
              <c:strCache>
                <c:ptCount val="1"/>
                <c:pt idx="0">
                  <c:v>Taxable Sales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'County Base Trends'!$B$11:$W$11</c:f>
              <c:strCache>
                <c:ptCount val="2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</c:strCache>
            </c:strRef>
          </c:cat>
          <c:val>
            <c:numRef>
              <c:f>'County Base Trends'!$B$13:$W$13</c:f>
              <c:numCache>
                <c:formatCode>"$"#,##0</c:formatCode>
                <c:ptCount val="22"/>
                <c:pt idx="0">
                  <c:v>97944739.230000004</c:v>
                </c:pt>
                <c:pt idx="1">
                  <c:v>107794568.59999999</c:v>
                </c:pt>
                <c:pt idx="2">
                  <c:v>107184303.09999999</c:v>
                </c:pt>
                <c:pt idx="3">
                  <c:v>103938754.59</c:v>
                </c:pt>
                <c:pt idx="4">
                  <c:v>112753117.08</c:v>
                </c:pt>
                <c:pt idx="5">
                  <c:v>117695394.40000001</c:v>
                </c:pt>
                <c:pt idx="6">
                  <c:v>118962754.67</c:v>
                </c:pt>
                <c:pt idx="7">
                  <c:v>122376438.67</c:v>
                </c:pt>
                <c:pt idx="8">
                  <c:v>125108721.15000001</c:v>
                </c:pt>
                <c:pt idx="9">
                  <c:v>130586430.70999999</c:v>
                </c:pt>
                <c:pt idx="10">
                  <c:v>134097553.23999999</c:v>
                </c:pt>
                <c:pt idx="11">
                  <c:v>138964984.63</c:v>
                </c:pt>
                <c:pt idx="12">
                  <c:v>148879589.25999999</c:v>
                </c:pt>
                <c:pt idx="13">
                  <c:v>160982707.09</c:v>
                </c:pt>
                <c:pt idx="14">
                  <c:v>145783222.03</c:v>
                </c:pt>
                <c:pt idx="15">
                  <c:v>148545059.72</c:v>
                </c:pt>
                <c:pt idx="16">
                  <c:v>152734518.90000001</c:v>
                </c:pt>
                <c:pt idx="17">
                  <c:v>155679127.38</c:v>
                </c:pt>
                <c:pt idx="18">
                  <c:v>162862956.91999999</c:v>
                </c:pt>
                <c:pt idx="19">
                  <c:v>166278272.28999999</c:v>
                </c:pt>
                <c:pt idx="20">
                  <c:v>168670758.16</c:v>
                </c:pt>
                <c:pt idx="21">
                  <c:v>168365024.75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87-5347-85DC-E1AEFB72C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345296"/>
        <c:axId val="453348040"/>
      </c:lineChart>
      <c:catAx>
        <c:axId val="45334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5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8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3348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3452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7900207900208"/>
          <c:y val="0.9080890503729"/>
          <c:w val="0.66839916839920799"/>
          <c:h val="7.72059516511370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99" r="0.75000000000001499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4.emf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image" Target="../media/image6.emf"/><Relationship Id="rId5" Type="http://schemas.openxmlformats.org/officeDocument/2006/relationships/chart" Target="../charts/chart2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7.emf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10" Type="http://schemas.openxmlformats.org/officeDocument/2006/relationships/image" Target="../media/image8.emf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</xdr:rowOff>
    </xdr:from>
    <xdr:to>
      <xdr:col>0</xdr:col>
      <xdr:colOff>2103120</xdr:colOff>
      <xdr:row>2</xdr:row>
      <xdr:rowOff>515523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0AB5B3-185C-1E42-9B34-3602DDB9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602"/>
          <a:ext cx="2103120" cy="5155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2057400</xdr:colOff>
      <xdr:row>4</xdr:row>
      <xdr:rowOff>66675</xdr:rowOff>
    </xdr:to>
    <xdr:pic>
      <xdr:nvPicPr>
        <xdr:cNvPr id="1025" name="Picture 1" descr="Extension-Logo-C-3in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"/>
          <a:ext cx="20574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0</xdr:col>
      <xdr:colOff>2057400</xdr:colOff>
      <xdr:row>4</xdr:row>
      <xdr:rowOff>66675</xdr:rowOff>
    </xdr:to>
    <xdr:pic>
      <xdr:nvPicPr>
        <xdr:cNvPr id="3" name="Picture 1" descr="Extension-Logo-C-3i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"/>
          <a:ext cx="20574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0</xdr:colOff>
      <xdr:row>9</xdr:row>
      <xdr:rowOff>0</xdr:rowOff>
    </xdr:from>
    <xdr:to>
      <xdr:col>55</xdr:col>
      <xdr:colOff>12700</xdr:colOff>
      <xdr:row>46</xdr:row>
      <xdr:rowOff>152400</xdr:rowOff>
    </xdr:to>
    <xdr:graphicFrame macro="">
      <xdr:nvGraphicFramePr>
        <xdr:cNvPr id="2049" name="Chart 6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0</xdr:colOff>
      <xdr:row>54</xdr:row>
      <xdr:rowOff>0</xdr:rowOff>
    </xdr:from>
    <xdr:to>
      <xdr:col>55</xdr:col>
      <xdr:colOff>317500</xdr:colOff>
      <xdr:row>86</xdr:row>
      <xdr:rowOff>0</xdr:rowOff>
    </xdr:to>
    <xdr:graphicFrame macro="">
      <xdr:nvGraphicFramePr>
        <xdr:cNvPr id="2050" name="Chart 7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382361</xdr:colOff>
      <xdr:row>10</xdr:row>
      <xdr:rowOff>149678</xdr:rowOff>
    </xdr:from>
    <xdr:to>
      <xdr:col>38</xdr:col>
      <xdr:colOff>312965</xdr:colOff>
      <xdr:row>47</xdr:row>
      <xdr:rowOff>27214</xdr:rowOff>
    </xdr:to>
    <xdr:graphicFrame macro="">
      <xdr:nvGraphicFramePr>
        <xdr:cNvPr id="2051" name="Chart 21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503465</xdr:colOff>
      <xdr:row>52</xdr:row>
      <xdr:rowOff>19051</xdr:rowOff>
    </xdr:from>
    <xdr:to>
      <xdr:col>37</xdr:col>
      <xdr:colOff>592365</xdr:colOff>
      <xdr:row>82</xdr:row>
      <xdr:rowOff>159658</xdr:rowOff>
    </xdr:to>
    <xdr:graphicFrame macro="">
      <xdr:nvGraphicFramePr>
        <xdr:cNvPr id="2052" name="Chart 22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3174</xdr:colOff>
      <xdr:row>55</xdr:row>
      <xdr:rowOff>158750</xdr:rowOff>
    </xdr:from>
    <xdr:to>
      <xdr:col>78</xdr:col>
      <xdr:colOff>381000</xdr:colOff>
      <xdr:row>89</xdr:row>
      <xdr:rowOff>158749</xdr:rowOff>
    </xdr:to>
    <xdr:graphicFrame macro="">
      <xdr:nvGraphicFramePr>
        <xdr:cNvPr id="2053" name="Chart 1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559594</xdr:colOff>
      <xdr:row>8</xdr:row>
      <xdr:rowOff>71438</xdr:rowOff>
    </xdr:from>
    <xdr:to>
      <xdr:col>78</xdr:col>
      <xdr:colOff>320675</xdr:colOff>
      <xdr:row>48</xdr:row>
      <xdr:rowOff>57943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127000</xdr:colOff>
      <xdr:row>0</xdr:row>
      <xdr:rowOff>127000</xdr:rowOff>
    </xdr:from>
    <xdr:to>
      <xdr:col>0</xdr:col>
      <xdr:colOff>139700</xdr:colOff>
      <xdr:row>0</xdr:row>
      <xdr:rowOff>444500</xdr:rowOff>
    </xdr:to>
    <xdr:sp macro="" textlink="">
      <xdr:nvSpPr>
        <xdr:cNvPr id="3073" name="CountyComboBox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95250</xdr:colOff>
      <xdr:row>0</xdr:row>
      <xdr:rowOff>95250</xdr:rowOff>
    </xdr:from>
    <xdr:to>
      <xdr:col>0</xdr:col>
      <xdr:colOff>104775</xdr:colOff>
      <xdr:row>0</xdr:row>
      <xdr:rowOff>333375</xdr:rowOff>
    </xdr:to>
    <xdr:pic>
      <xdr:nvPicPr>
        <xdr:cNvPr id="2" name="CountyComboBox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9525" cy="2381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9525</xdr:colOff>
      <xdr:row>9</xdr:row>
      <xdr:rowOff>0</xdr:rowOff>
    </xdr:from>
    <xdr:to>
      <xdr:col>55</xdr:col>
      <xdr:colOff>590550</xdr:colOff>
      <xdr:row>38</xdr:row>
      <xdr:rowOff>123825</xdr:rowOff>
    </xdr:to>
    <xdr:graphicFrame macro="">
      <xdr:nvGraphicFramePr>
        <xdr:cNvPr id="8193" name="Chart 12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0</xdr:colOff>
      <xdr:row>48</xdr:row>
      <xdr:rowOff>28575</xdr:rowOff>
    </xdr:from>
    <xdr:to>
      <xdr:col>55</xdr:col>
      <xdr:colOff>600075</xdr:colOff>
      <xdr:row>79</xdr:row>
      <xdr:rowOff>152400</xdr:rowOff>
    </xdr:to>
    <xdr:graphicFrame macro="">
      <xdr:nvGraphicFramePr>
        <xdr:cNvPr id="8194" name="Chart 13">
          <a:extLst>
            <a:ext uri="{FF2B5EF4-FFF2-40B4-BE49-F238E27FC236}">
              <a16:creationId xmlns:a16="http://schemas.microsoft.com/office/drawing/2014/main" id="{00000000-0008-0000-0400-000002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9</xdr:row>
      <xdr:rowOff>9525</xdr:rowOff>
    </xdr:from>
    <xdr:to>
      <xdr:col>40</xdr:col>
      <xdr:colOff>19050</xdr:colOff>
      <xdr:row>38</xdr:row>
      <xdr:rowOff>95250</xdr:rowOff>
    </xdr:to>
    <xdr:graphicFrame macro="">
      <xdr:nvGraphicFramePr>
        <xdr:cNvPr id="8195" name="Chart 15">
          <a:extLst>
            <a:ext uri="{FF2B5EF4-FFF2-40B4-BE49-F238E27FC236}">
              <a16:creationId xmlns:a16="http://schemas.microsoft.com/office/drawing/2014/main" id="{00000000-0008-0000-0400-000003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587375</xdr:colOff>
      <xdr:row>48</xdr:row>
      <xdr:rowOff>0</xdr:rowOff>
    </xdr:from>
    <xdr:to>
      <xdr:col>38</xdr:col>
      <xdr:colOff>587375</xdr:colOff>
      <xdr:row>80</xdr:row>
      <xdr:rowOff>127000</xdr:rowOff>
    </xdr:to>
    <xdr:graphicFrame macro="">
      <xdr:nvGraphicFramePr>
        <xdr:cNvPr id="8196" name="Chart 11">
          <a:extLst>
            <a:ext uri="{FF2B5EF4-FFF2-40B4-BE49-F238E27FC236}">
              <a16:creationId xmlns:a16="http://schemas.microsoft.com/office/drawing/2014/main" id="{00000000-0008-0000-0400-000004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0</xdr:colOff>
      <xdr:row>9</xdr:row>
      <xdr:rowOff>0</xdr:rowOff>
    </xdr:from>
    <xdr:to>
      <xdr:col>74</xdr:col>
      <xdr:colOff>0</xdr:colOff>
      <xdr:row>40</xdr:row>
      <xdr:rowOff>35719</xdr:rowOff>
    </xdr:to>
    <xdr:graphicFrame macro="">
      <xdr:nvGraphicFramePr>
        <xdr:cNvPr id="8197" name="Chart 12">
          <a:extLst>
            <a:ext uri="{FF2B5EF4-FFF2-40B4-BE49-F238E27FC236}">
              <a16:creationId xmlns:a16="http://schemas.microsoft.com/office/drawing/2014/main" id="{00000000-0008-0000-0400-000005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0</xdr:colOff>
      <xdr:row>48</xdr:row>
      <xdr:rowOff>0</xdr:rowOff>
    </xdr:from>
    <xdr:to>
      <xdr:col>73</xdr:col>
      <xdr:colOff>596900</xdr:colOff>
      <xdr:row>79</xdr:row>
      <xdr:rowOff>123825</xdr:rowOff>
    </xdr:to>
    <xdr:graphicFrame macro="">
      <xdr:nvGraphicFramePr>
        <xdr:cNvPr id="8198" name="Chart 13">
          <a:extLst>
            <a:ext uri="{FF2B5EF4-FFF2-40B4-BE49-F238E27FC236}">
              <a16:creationId xmlns:a16="http://schemas.microsoft.com/office/drawing/2014/main" id="{00000000-0008-0000-0400-000006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127000</xdr:colOff>
      <xdr:row>0</xdr:row>
      <xdr:rowOff>127000</xdr:rowOff>
    </xdr:from>
    <xdr:to>
      <xdr:col>0</xdr:col>
      <xdr:colOff>139700</xdr:colOff>
      <xdr:row>0</xdr:row>
      <xdr:rowOff>457200</xdr:rowOff>
    </xdr:to>
    <xdr:sp macro="" textlink="">
      <xdr:nvSpPr>
        <xdr:cNvPr id="4097" name="CountyComboBox" hidden="1">
          <a:extLst>
            <a:ext uri="{63B3BB69-23CF-44E3-9099-C40C66FF867C}">
              <a14:compatExt xmlns:a14="http://schemas.microsoft.com/office/drawing/2010/main" spid="_x0000_s4097"/>
            </a:ext>
            <a:ext uri="{FF2B5EF4-FFF2-40B4-BE49-F238E27FC236}">
              <a16:creationId xmlns:a16="http://schemas.microsoft.com/office/drawing/2014/main" id="{00000000-0008-0000-0400-0000011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95250</xdr:colOff>
      <xdr:row>0</xdr:row>
      <xdr:rowOff>95250</xdr:rowOff>
    </xdr:from>
    <xdr:to>
      <xdr:col>0</xdr:col>
      <xdr:colOff>104775</xdr:colOff>
      <xdr:row>0</xdr:row>
      <xdr:rowOff>342900</xdr:rowOff>
    </xdr:to>
    <xdr:pic>
      <xdr:nvPicPr>
        <xdr:cNvPr id="2" name="CountyComboBox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9525" cy="2476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25</xdr:row>
      <xdr:rowOff>25400</xdr:rowOff>
    </xdr:from>
    <xdr:to>
      <xdr:col>37</xdr:col>
      <xdr:colOff>165100</xdr:colOff>
      <xdr:row>50</xdr:row>
      <xdr:rowOff>103632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37</xdr:col>
      <xdr:colOff>152400</xdr:colOff>
      <xdr:row>85</xdr:row>
      <xdr:rowOff>129032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596900</xdr:colOff>
      <xdr:row>25</xdr:row>
      <xdr:rowOff>0</xdr:rowOff>
    </xdr:from>
    <xdr:to>
      <xdr:col>52</xdr:col>
      <xdr:colOff>139700</xdr:colOff>
      <xdr:row>50</xdr:row>
      <xdr:rowOff>78232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12700</xdr:colOff>
      <xdr:row>25</xdr:row>
      <xdr:rowOff>0</xdr:rowOff>
    </xdr:from>
    <xdr:to>
      <xdr:col>67</xdr:col>
      <xdr:colOff>165100</xdr:colOff>
      <xdr:row>50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12700</xdr:colOff>
      <xdr:row>51</xdr:row>
      <xdr:rowOff>0</xdr:rowOff>
    </xdr:from>
    <xdr:to>
      <xdr:col>52</xdr:col>
      <xdr:colOff>165100</xdr:colOff>
      <xdr:row>85</xdr:row>
      <xdr:rowOff>129032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0</xdr:colOff>
      <xdr:row>0</xdr:row>
      <xdr:rowOff>0</xdr:rowOff>
    </xdr:from>
    <xdr:to>
      <xdr:col>37</xdr:col>
      <xdr:colOff>165100</xdr:colOff>
      <xdr:row>24</xdr:row>
      <xdr:rowOff>129032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127000</xdr:colOff>
      <xdr:row>0</xdr:row>
      <xdr:rowOff>127000</xdr:rowOff>
    </xdr:from>
    <xdr:to>
      <xdr:col>0</xdr:col>
      <xdr:colOff>139700</xdr:colOff>
      <xdr:row>0</xdr:row>
      <xdr:rowOff>457200</xdr:rowOff>
    </xdr:to>
    <xdr:sp macro="" textlink="">
      <xdr:nvSpPr>
        <xdr:cNvPr id="5121" name="CountyComboBox" hidden="1">
          <a:extLst>
            <a:ext uri="{63B3BB69-23CF-44E3-9099-C40C66FF867C}">
              <a14:compatExt xmlns:a14="http://schemas.microsoft.com/office/drawing/2010/main" spid="_x0000_s5121"/>
            </a:ext>
            <a:ext uri="{FF2B5EF4-FFF2-40B4-BE49-F238E27FC236}">
              <a16:creationId xmlns:a16="http://schemas.microsoft.com/office/drawing/2014/main" id="{00000000-0008-0000-0500-0000011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38</xdr:col>
      <xdr:colOff>0</xdr:colOff>
      <xdr:row>0</xdr:row>
      <xdr:rowOff>0</xdr:rowOff>
    </xdr:from>
    <xdr:to>
      <xdr:col>53</xdr:col>
      <xdr:colOff>0</xdr:colOff>
      <xdr:row>24</xdr:row>
      <xdr:rowOff>129032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95250</xdr:colOff>
      <xdr:row>0</xdr:row>
      <xdr:rowOff>95250</xdr:rowOff>
    </xdr:from>
    <xdr:to>
      <xdr:col>0</xdr:col>
      <xdr:colOff>104775</xdr:colOff>
      <xdr:row>0</xdr:row>
      <xdr:rowOff>342900</xdr:rowOff>
    </xdr:to>
    <xdr:pic>
      <xdr:nvPicPr>
        <xdr:cNvPr id="7" name="CountyComboBox" hidden="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9525" cy="2476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587375</xdr:colOff>
      <xdr:row>69</xdr:row>
      <xdr:rowOff>60325</xdr:rowOff>
    </xdr:from>
    <xdr:to>
      <xdr:col>70</xdr:col>
      <xdr:colOff>25400</xdr:colOff>
      <xdr:row>99</xdr:row>
      <xdr:rowOff>152400</xdr:rowOff>
    </xdr:to>
    <xdr:graphicFrame macro="">
      <xdr:nvGraphicFramePr>
        <xdr:cNvPr id="15362" name="Chart 7">
          <a:extLst>
            <a:ext uri="{FF2B5EF4-FFF2-40B4-BE49-F238E27FC236}">
              <a16:creationId xmlns:a16="http://schemas.microsoft.com/office/drawing/2014/main" id="{00000000-0008-0000-0600-000002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6350</xdr:colOff>
      <xdr:row>9</xdr:row>
      <xdr:rowOff>43295</xdr:rowOff>
    </xdr:from>
    <xdr:to>
      <xdr:col>39</xdr:col>
      <xdr:colOff>15875</xdr:colOff>
      <xdr:row>59</xdr:row>
      <xdr:rowOff>52820</xdr:rowOff>
    </xdr:to>
    <xdr:graphicFrame macro="">
      <xdr:nvGraphicFramePr>
        <xdr:cNvPr id="15366" name="Chart 21">
          <a:extLst>
            <a:ext uri="{FF2B5EF4-FFF2-40B4-BE49-F238E27FC236}">
              <a16:creationId xmlns:a16="http://schemas.microsoft.com/office/drawing/2014/main" id="{00000000-0008-0000-0600-000006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520700</xdr:colOff>
      <xdr:row>9</xdr:row>
      <xdr:rowOff>44450</xdr:rowOff>
    </xdr:from>
    <xdr:to>
      <xdr:col>53</xdr:col>
      <xdr:colOff>587375</xdr:colOff>
      <xdr:row>59</xdr:row>
      <xdr:rowOff>53975</xdr:rowOff>
    </xdr:to>
    <xdr:graphicFrame macro="">
      <xdr:nvGraphicFramePr>
        <xdr:cNvPr id="15368" name="Chart 21">
          <a:extLst>
            <a:ext uri="{FF2B5EF4-FFF2-40B4-BE49-F238E27FC236}">
              <a16:creationId xmlns:a16="http://schemas.microsoft.com/office/drawing/2014/main" id="{00000000-0008-0000-0600-000008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603250</xdr:colOff>
      <xdr:row>68</xdr:row>
      <xdr:rowOff>228600</xdr:rowOff>
    </xdr:from>
    <xdr:to>
      <xdr:col>54</xdr:col>
      <xdr:colOff>50800</xdr:colOff>
      <xdr:row>98</xdr:row>
      <xdr:rowOff>304800</xdr:rowOff>
    </xdr:to>
    <xdr:graphicFrame macro="">
      <xdr:nvGraphicFramePr>
        <xdr:cNvPr id="15369" name="Chart 22">
          <a:extLst>
            <a:ext uri="{FF2B5EF4-FFF2-40B4-BE49-F238E27FC236}">
              <a16:creationId xmlns:a16="http://schemas.microsoft.com/office/drawing/2014/main" id="{00000000-0008-0000-0600-000009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55</xdr:col>
      <xdr:colOff>0</xdr:colOff>
      <xdr:row>9</xdr:row>
      <xdr:rowOff>155864</xdr:rowOff>
    </xdr:from>
    <xdr:to>
      <xdr:col>70</xdr:col>
      <xdr:colOff>38100</xdr:colOff>
      <xdr:row>59</xdr:row>
      <xdr:rowOff>232064</xdr:rowOff>
    </xdr:to>
    <xdr:graphicFrame macro="">
      <xdr:nvGraphicFramePr>
        <xdr:cNvPr id="15370" name="Chart 6">
          <a:extLst>
            <a:ext uri="{FF2B5EF4-FFF2-40B4-BE49-F238E27FC236}">
              <a16:creationId xmlns:a16="http://schemas.microsoft.com/office/drawing/2014/main" id="{00000000-0008-0000-0600-00000A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12701</xdr:colOff>
      <xdr:row>9</xdr:row>
      <xdr:rowOff>34636</xdr:rowOff>
    </xdr:from>
    <xdr:to>
      <xdr:col>89</xdr:col>
      <xdr:colOff>502228</xdr:colOff>
      <xdr:row>63</xdr:row>
      <xdr:rowOff>258619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91</xdr:col>
      <xdr:colOff>184150</xdr:colOff>
      <xdr:row>9</xdr:row>
      <xdr:rowOff>6351</xdr:rowOff>
    </xdr:from>
    <xdr:to>
      <xdr:col>109</xdr:col>
      <xdr:colOff>171450</xdr:colOff>
      <xdr:row>64</xdr:row>
      <xdr:rowOff>31751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68</xdr:row>
      <xdr:rowOff>203200</xdr:rowOff>
    </xdr:from>
    <xdr:to>
      <xdr:col>38</xdr:col>
      <xdr:colOff>603250</xdr:colOff>
      <xdr:row>98</xdr:row>
      <xdr:rowOff>279400</xdr:rowOff>
    </xdr:to>
    <xdr:graphicFrame macro="">
      <xdr:nvGraphicFramePr>
        <xdr:cNvPr id="12" name="Chart 2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0</xdr:colOff>
      <xdr:row>69</xdr:row>
      <xdr:rowOff>60325</xdr:rowOff>
    </xdr:from>
    <xdr:to>
      <xdr:col>90</xdr:col>
      <xdr:colOff>19050</xdr:colOff>
      <xdr:row>104</xdr:row>
      <xdr:rowOff>31750</xdr:rowOff>
    </xdr:to>
    <xdr:graphicFrame macro="">
      <xdr:nvGraphicFramePr>
        <xdr:cNvPr id="13" name="Chart 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273050</xdr:colOff>
      <xdr:row>69</xdr:row>
      <xdr:rowOff>63500</xdr:rowOff>
    </xdr:from>
    <xdr:to>
      <xdr:col>109</xdr:col>
      <xdr:colOff>282575</xdr:colOff>
      <xdr:row>104</xdr:row>
      <xdr:rowOff>53975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127000</xdr:colOff>
      <xdr:row>0</xdr:row>
      <xdr:rowOff>127000</xdr:rowOff>
    </xdr:from>
    <xdr:to>
      <xdr:col>0</xdr:col>
      <xdr:colOff>139700</xdr:colOff>
      <xdr:row>1</xdr:row>
      <xdr:rowOff>101600</xdr:rowOff>
    </xdr:to>
    <xdr:sp macro="" textlink="">
      <xdr:nvSpPr>
        <xdr:cNvPr id="6146" name="CountyComboBox" hidden="1">
          <a:extLst>
            <a:ext uri="{63B3BB69-23CF-44E3-9099-C40C66FF867C}">
              <a14:compatExt xmlns:a14="http://schemas.microsoft.com/office/drawing/2010/main" spid="_x0000_s6146"/>
            </a:ext>
            <a:ext uri="{FF2B5EF4-FFF2-40B4-BE49-F238E27FC236}">
              <a16:creationId xmlns:a16="http://schemas.microsoft.com/office/drawing/2014/main" id="{00000000-0008-0000-0600-0000021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95250</xdr:colOff>
      <xdr:row>0</xdr:row>
      <xdr:rowOff>95250</xdr:rowOff>
    </xdr:from>
    <xdr:to>
      <xdr:col>0</xdr:col>
      <xdr:colOff>104775</xdr:colOff>
      <xdr:row>1</xdr:row>
      <xdr:rowOff>76200</xdr:rowOff>
    </xdr:to>
    <xdr:pic>
      <xdr:nvPicPr>
        <xdr:cNvPr id="2" name="CountyComboBox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9525" cy="4476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10</xdr:row>
      <xdr:rowOff>0</xdr:rowOff>
    </xdr:from>
    <xdr:to>
      <xdr:col>39</xdr:col>
      <xdr:colOff>584200</xdr:colOff>
      <xdr:row>40</xdr:row>
      <xdr:rowOff>9525</xdr:rowOff>
    </xdr:to>
    <xdr:graphicFrame macro="">
      <xdr:nvGraphicFramePr>
        <xdr:cNvPr id="26625" name="Chart 15">
          <a:extLst>
            <a:ext uri="{FF2B5EF4-FFF2-40B4-BE49-F238E27FC236}">
              <a16:creationId xmlns:a16="http://schemas.microsoft.com/office/drawing/2014/main" id="{00000000-0008-0000-0700-000001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25400</xdr:colOff>
      <xdr:row>44</xdr:row>
      <xdr:rowOff>0</xdr:rowOff>
    </xdr:from>
    <xdr:to>
      <xdr:col>39</xdr:col>
      <xdr:colOff>571500</xdr:colOff>
      <xdr:row>76</xdr:row>
      <xdr:rowOff>0</xdr:rowOff>
    </xdr:to>
    <xdr:graphicFrame macro="">
      <xdr:nvGraphicFramePr>
        <xdr:cNvPr id="26626" name="Chart 11">
          <a:extLst>
            <a:ext uri="{FF2B5EF4-FFF2-40B4-BE49-F238E27FC236}">
              <a16:creationId xmlns:a16="http://schemas.microsoft.com/office/drawing/2014/main" id="{00000000-0008-0000-0700-000002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25400</xdr:colOff>
      <xdr:row>9</xdr:row>
      <xdr:rowOff>123825</xdr:rowOff>
    </xdr:from>
    <xdr:to>
      <xdr:col>57</xdr:col>
      <xdr:colOff>47625</xdr:colOff>
      <xdr:row>40</xdr:row>
      <xdr:rowOff>25400</xdr:rowOff>
    </xdr:to>
    <xdr:graphicFrame macro="">
      <xdr:nvGraphicFramePr>
        <xdr:cNvPr id="26627" name="Chart 15">
          <a:extLst>
            <a:ext uri="{FF2B5EF4-FFF2-40B4-BE49-F238E27FC236}">
              <a16:creationId xmlns:a16="http://schemas.microsoft.com/office/drawing/2014/main" id="{00000000-0008-0000-07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25400</xdr:colOff>
      <xdr:row>43</xdr:row>
      <xdr:rowOff>161924</xdr:rowOff>
    </xdr:from>
    <xdr:to>
      <xdr:col>57</xdr:col>
      <xdr:colOff>44450</xdr:colOff>
      <xdr:row>75</xdr:row>
      <xdr:rowOff>165099</xdr:rowOff>
    </xdr:to>
    <xdr:graphicFrame macro="">
      <xdr:nvGraphicFramePr>
        <xdr:cNvPr id="26628" name="Chart 15">
          <a:extLst>
            <a:ext uri="{FF2B5EF4-FFF2-40B4-BE49-F238E27FC236}">
              <a16:creationId xmlns:a16="http://schemas.microsoft.com/office/drawing/2014/main" id="{00000000-0008-0000-07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127000</xdr:colOff>
      <xdr:row>0</xdr:row>
      <xdr:rowOff>127000</xdr:rowOff>
    </xdr:from>
    <xdr:to>
      <xdr:col>0</xdr:col>
      <xdr:colOff>139700</xdr:colOff>
      <xdr:row>1</xdr:row>
      <xdr:rowOff>76200</xdr:rowOff>
    </xdr:to>
    <xdr:sp macro="" textlink="">
      <xdr:nvSpPr>
        <xdr:cNvPr id="7169" name="CountyComboBox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id="{00000000-0008-0000-07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95250</xdr:colOff>
      <xdr:row>0</xdr:row>
      <xdr:rowOff>95250</xdr:rowOff>
    </xdr:from>
    <xdr:to>
      <xdr:col>0</xdr:col>
      <xdr:colOff>104775</xdr:colOff>
      <xdr:row>1</xdr:row>
      <xdr:rowOff>57150</xdr:rowOff>
    </xdr:to>
    <xdr:pic>
      <xdr:nvPicPr>
        <xdr:cNvPr id="2" name="CountyComboBox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9525" cy="4286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24</xdr:row>
      <xdr:rowOff>139700</xdr:rowOff>
    </xdr:from>
    <xdr:to>
      <xdr:col>40</xdr:col>
      <xdr:colOff>82550</xdr:colOff>
      <xdr:row>49</xdr:row>
      <xdr:rowOff>52832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279400</xdr:colOff>
      <xdr:row>24</xdr:row>
      <xdr:rowOff>50800</xdr:rowOff>
    </xdr:from>
    <xdr:to>
      <xdr:col>53</xdr:col>
      <xdr:colOff>584200</xdr:colOff>
      <xdr:row>48</xdr:row>
      <xdr:rowOff>154432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425450</xdr:colOff>
      <xdr:row>24</xdr:row>
      <xdr:rowOff>12700</xdr:rowOff>
    </xdr:from>
    <xdr:to>
      <xdr:col>69</xdr:col>
      <xdr:colOff>120650</xdr:colOff>
      <xdr:row>48</xdr:row>
      <xdr:rowOff>116332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49</xdr:row>
      <xdr:rowOff>247650</xdr:rowOff>
    </xdr:from>
    <xdr:to>
      <xdr:col>36</xdr:col>
      <xdr:colOff>304800</xdr:colOff>
      <xdr:row>74</xdr:row>
      <xdr:rowOff>160782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19050</xdr:colOff>
      <xdr:row>50</xdr:row>
      <xdr:rowOff>0</xdr:rowOff>
    </xdr:from>
    <xdr:to>
      <xdr:col>50</xdr:col>
      <xdr:colOff>323850</xdr:colOff>
      <xdr:row>74</xdr:row>
      <xdr:rowOff>179832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0</xdr:colOff>
      <xdr:row>76</xdr:row>
      <xdr:rowOff>25400</xdr:rowOff>
    </xdr:from>
    <xdr:to>
      <xdr:col>36</xdr:col>
      <xdr:colOff>304800</xdr:colOff>
      <xdr:row>108</xdr:row>
      <xdr:rowOff>109982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19050</xdr:colOff>
      <xdr:row>75</xdr:row>
      <xdr:rowOff>222250</xdr:rowOff>
    </xdr:from>
    <xdr:to>
      <xdr:col>50</xdr:col>
      <xdr:colOff>323850</xdr:colOff>
      <xdr:row>108</xdr:row>
      <xdr:rowOff>78232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533400</xdr:colOff>
      <xdr:row>0</xdr:row>
      <xdr:rowOff>107950</xdr:rowOff>
    </xdr:from>
    <xdr:to>
      <xdr:col>41</xdr:col>
      <xdr:colOff>228600</xdr:colOff>
      <xdr:row>23</xdr:row>
      <xdr:rowOff>116332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279400</xdr:colOff>
      <xdr:row>0</xdr:row>
      <xdr:rowOff>95250</xdr:rowOff>
    </xdr:from>
    <xdr:to>
      <xdr:col>61</xdr:col>
      <xdr:colOff>584200</xdr:colOff>
      <xdr:row>23</xdr:row>
      <xdr:rowOff>103632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127000</xdr:colOff>
      <xdr:row>0</xdr:row>
      <xdr:rowOff>127000</xdr:rowOff>
    </xdr:from>
    <xdr:to>
      <xdr:col>0</xdr:col>
      <xdr:colOff>139700</xdr:colOff>
      <xdr:row>1</xdr:row>
      <xdr:rowOff>12700</xdr:rowOff>
    </xdr:to>
    <xdr:sp macro="" textlink="">
      <xdr:nvSpPr>
        <xdr:cNvPr id="8193" name="CountyComboBox" hidden="1">
          <a:extLst>
            <a:ext uri="{63B3BB69-23CF-44E3-9099-C40C66FF867C}">
              <a14:compatExt xmlns:a14="http://schemas.microsoft.com/office/drawing/2010/main" spid="_x0000_s8193"/>
            </a:ext>
            <a:ext uri="{FF2B5EF4-FFF2-40B4-BE49-F238E27FC236}">
              <a16:creationId xmlns:a16="http://schemas.microsoft.com/office/drawing/2014/main" id="{00000000-0008-0000-0800-000001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95250</xdr:colOff>
      <xdr:row>0</xdr:row>
      <xdr:rowOff>95250</xdr:rowOff>
    </xdr:from>
    <xdr:to>
      <xdr:col>0</xdr:col>
      <xdr:colOff>104775</xdr:colOff>
      <xdr:row>1</xdr:row>
      <xdr:rowOff>9525</xdr:rowOff>
    </xdr:to>
    <xdr:pic>
      <xdr:nvPicPr>
        <xdr:cNvPr id="3" name="CountyComboBox" hidden="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9525" cy="3905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0000000}" name="CountyCurrentYearGRR" displayName="CountyCurrentYearGRR" ref="A11:B17" totalsRowShown="0" headerRowDxfId="2597">
  <autoFilter ref="A11:B17" xr:uid="{00000000-0009-0000-0100-000027000000}"/>
  <tableColumns count="2">
    <tableColumn id="1" xr3:uid="{00000000-0010-0000-0000-000001000000}" name="Category" dataDxfId="2596"/>
    <tableColumn id="2" xr3:uid="{00000000-0010-0000-0000-000002000000}" name="2017" dataDxfId="2595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09000000}" name="CountyAllYearsAGRSales" displayName="CountyAllYearsAGRSales" ref="A27:W29" totalsRowShown="0" headerRowDxfId="2461" dataDxfId="2460">
  <autoFilter ref="A27:W29" xr:uid="{00000000-0009-0000-0100-00002F000000}"/>
  <tableColumns count="23">
    <tableColumn id="1" xr3:uid="{00000000-0010-0000-0900-000001000000}" name="Category" dataDxfId="2459"/>
    <tableColumn id="2" xr3:uid="{00000000-0010-0000-0900-000002000000}" name="1996" dataDxfId="2458"/>
    <tableColumn id="3" xr3:uid="{00000000-0010-0000-0900-000003000000}" name="1997" dataDxfId="2457">
      <calculatedColumnFormula>VLOOKUP($A$3,'Sales Base'!$AX$10:$BN$99,2)</calculatedColumnFormula>
    </tableColumn>
    <tableColumn id="4" xr3:uid="{00000000-0010-0000-0900-000004000000}" name="1998" dataDxfId="2456">
      <calculatedColumnFormula>VLOOKUP($A$3,'Sales Base'!$AX$10:$BN$99,3)</calculatedColumnFormula>
    </tableColumn>
    <tableColumn id="5" xr3:uid="{00000000-0010-0000-0900-000005000000}" name="1999" dataDxfId="2455">
      <calculatedColumnFormula>VLOOKUP($A$3,'Sales Base'!$AX$10:$BN$99,4)</calculatedColumnFormula>
    </tableColumn>
    <tableColumn id="6" xr3:uid="{00000000-0010-0000-0900-000006000000}" name="2000" dataDxfId="2454">
      <calculatedColumnFormula>VLOOKUP($A$3,'Sales Base'!$AX$10:$BN$99,5)</calculatedColumnFormula>
    </tableColumn>
    <tableColumn id="7" xr3:uid="{00000000-0010-0000-0900-000007000000}" name="2001" dataDxfId="2453">
      <calculatedColumnFormula>VLOOKUP($A$3,'Sales Base'!$AX$10:$BN$99,6)</calculatedColumnFormula>
    </tableColumn>
    <tableColumn id="8" xr3:uid="{00000000-0010-0000-0900-000008000000}" name="2002" dataDxfId="2452">
      <calculatedColumnFormula>VLOOKUP($A$3,'Sales Base'!$AX$10:$BN$99,7)</calculatedColumnFormula>
    </tableColumn>
    <tableColumn id="9" xr3:uid="{00000000-0010-0000-0900-000009000000}" name="2003" dataDxfId="2451">
      <calculatedColumnFormula>VLOOKUP($A$3,'Sales Base'!$AX$10:$BN$99,8)</calculatedColumnFormula>
    </tableColumn>
    <tableColumn id="10" xr3:uid="{00000000-0010-0000-0900-00000A000000}" name="2004" dataDxfId="2450">
      <calculatedColumnFormula>VLOOKUP($A$3,'Sales Base'!$AX$10:$BN$99,9)</calculatedColumnFormula>
    </tableColumn>
    <tableColumn id="11" xr3:uid="{00000000-0010-0000-0900-00000B000000}" name="2005" dataDxfId="2449">
      <calculatedColumnFormula>VLOOKUP($A$3,'Sales Base'!$AX$10:$BN$99,10)</calculatedColumnFormula>
    </tableColumn>
    <tableColumn id="12" xr3:uid="{00000000-0010-0000-0900-00000C000000}" name="2006" dataDxfId="2448">
      <calculatedColumnFormula>VLOOKUP($A$3,'Sales Base'!$AX$10:$BN$99,11)</calculatedColumnFormula>
    </tableColumn>
    <tableColumn id="13" xr3:uid="{00000000-0010-0000-0900-00000D000000}" name="2007" dataDxfId="2447">
      <calculatedColumnFormula>VLOOKUP($A$3,'Sales Base'!$AX$10:$BN$99,12)</calculatedColumnFormula>
    </tableColumn>
    <tableColumn id="14" xr3:uid="{00000000-0010-0000-0900-00000E000000}" name="2008" dataDxfId="2446">
      <calculatedColumnFormula>VLOOKUP($A$3,'Sales Base'!$AX$10:$BN$99,13)</calculatedColumnFormula>
    </tableColumn>
    <tableColumn id="15" xr3:uid="{00000000-0010-0000-0900-00000F000000}" name="2009" dataDxfId="2445">
      <calculatedColumnFormula>VLOOKUP($A$3,'Sales Base'!$AX$10:$BN$99,14)</calculatedColumnFormula>
    </tableColumn>
    <tableColumn id="16" xr3:uid="{00000000-0010-0000-0900-000010000000}" name="2010" dataDxfId="2444">
      <calculatedColumnFormula>VLOOKUP($A$3,'Sales Base'!$AX$10:$BN$99,15)</calculatedColumnFormula>
    </tableColumn>
    <tableColumn id="17" xr3:uid="{00000000-0010-0000-0900-000011000000}" name="2011" dataDxfId="2443">
      <calculatedColumnFormula>VLOOKUP($A$3,'Sales Base'!$AX$10:$BN$99,16)</calculatedColumnFormula>
    </tableColumn>
    <tableColumn id="18" xr3:uid="{00000000-0010-0000-0900-000012000000}" name="2012" dataDxfId="2442">
      <calculatedColumnFormula>VLOOKUP($A$3,'Sales Base'!$AX$10:$BN$99,17)</calculatedColumnFormula>
    </tableColumn>
    <tableColumn id="19" xr3:uid="{00000000-0010-0000-0900-000013000000}" name="2013" dataDxfId="2441">
      <calculatedColumnFormula>INDEX(SalesBaseTaxableSalesAGRTable[],MATCH($A$3,SalesBaseTaxableSalesAGRTable[County]),MATCH(S26,SalesBaseTaxableSalesAGRTable[#Headers]))</calculatedColumnFormula>
    </tableColumn>
    <tableColumn id="20" xr3:uid="{00000000-0010-0000-0900-000014000000}" name="2014" dataDxfId="2440"/>
    <tableColumn id="21" xr3:uid="{00000000-0010-0000-0900-000015000000}" name="2015" dataDxfId="2439"/>
    <tableColumn id="22" xr3:uid="{00000000-0010-0000-0900-000016000000}" name="2016" dataDxfId="2438"/>
    <tableColumn id="23" xr3:uid="{00000000-0010-0000-0900-000017000000}" name="2017" dataDxfId="2437"/>
  </tableColumns>
  <tableStyleInfo name="TableStyleMedium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63000000}" name="SpecialRoadandBridgeFundsOtherRevenuesTable" displayName="SpecialRoadandBridgeFundsOtherRevenuesTable" ref="DQ17:EM106" totalsRowShown="0" headerRowDxfId="274" dataDxfId="272" headerRowBorderDxfId="273" tableBorderDxfId="271">
  <autoFilter ref="DQ17:EM106" xr:uid="{00000000-0009-0000-0100-000025000000}"/>
  <tableColumns count="23">
    <tableColumn id="1" xr3:uid="{00000000-0010-0000-6300-000001000000}" name="County" dataDxfId="270"/>
    <tableColumn id="2" xr3:uid="{00000000-0010-0000-6300-000002000000}" name="1996" dataDxfId="269"/>
    <tableColumn id="3" xr3:uid="{00000000-0010-0000-6300-000003000000}" name="1997" dataDxfId="268"/>
    <tableColumn id="4" xr3:uid="{00000000-0010-0000-6300-000004000000}" name="1998" dataDxfId="267"/>
    <tableColumn id="5" xr3:uid="{00000000-0010-0000-6300-000005000000}" name="1999" dataDxfId="266"/>
    <tableColumn id="6" xr3:uid="{00000000-0010-0000-6300-000006000000}" name="2000" dataDxfId="265"/>
    <tableColumn id="7" xr3:uid="{00000000-0010-0000-6300-000007000000}" name="2001" dataDxfId="264"/>
    <tableColumn id="8" xr3:uid="{00000000-0010-0000-6300-000008000000}" name="2002" dataDxfId="263"/>
    <tableColumn id="9" xr3:uid="{00000000-0010-0000-6300-000009000000}" name="2003" dataDxfId="262"/>
    <tableColumn id="10" xr3:uid="{00000000-0010-0000-6300-00000A000000}" name="2004" dataDxfId="261"/>
    <tableColumn id="11" xr3:uid="{00000000-0010-0000-6300-00000B000000}" name="2005" dataDxfId="260"/>
    <tableColumn id="12" xr3:uid="{00000000-0010-0000-6300-00000C000000}" name="2006" dataDxfId="259"/>
    <tableColumn id="13" xr3:uid="{00000000-0010-0000-6300-00000D000000}" name="2007" dataDxfId="258"/>
    <tableColumn id="14" xr3:uid="{00000000-0010-0000-6300-00000E000000}" name="2008" dataDxfId="257"/>
    <tableColumn id="15" xr3:uid="{00000000-0010-0000-6300-00000F000000}" name="2009" dataDxfId="256"/>
    <tableColumn id="16" xr3:uid="{00000000-0010-0000-6300-000010000000}" name="2010" dataDxfId="255"/>
    <tableColumn id="17" xr3:uid="{00000000-0010-0000-6300-000011000000}" name="2011" dataDxfId="254"/>
    <tableColumn id="18" xr3:uid="{00000000-0010-0000-6300-000012000000}" name="2012" dataDxfId="253"/>
    <tableColumn id="19" xr3:uid="{00000000-0010-0000-6300-000013000000}" name="2013" dataDxfId="252"/>
    <tableColumn id="20" xr3:uid="{00000000-0010-0000-6300-000014000000}" name="2014" dataDxfId="251" dataCellStyle="Currency"/>
    <tableColumn id="21" xr3:uid="{00000000-0010-0000-6300-000015000000}" name="2015" dataDxfId="250"/>
    <tableColumn id="22" xr3:uid="{00000000-0010-0000-6300-000016000000}" name="2016" dataDxfId="249"/>
    <tableColumn id="23" xr3:uid="{00000000-0010-0000-6300-000017000000}" name="2017" dataDxfId="248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64000000}" name="SpecialRoadandBridgeFundTotalExpendituresTable" displayName="SpecialRoadandBridgeFundTotalExpendituresTable" ref="EO17:FK106" totalsRowShown="0" headerRowDxfId="247" dataDxfId="245" headerRowBorderDxfId="246">
  <autoFilter ref="EO17:FK106" xr:uid="{00000000-0009-0000-0100-000026000000}"/>
  <tableColumns count="23">
    <tableColumn id="1" xr3:uid="{00000000-0010-0000-6400-000001000000}" name="County" dataDxfId="244"/>
    <tableColumn id="2" xr3:uid="{00000000-0010-0000-6400-000002000000}" name="1996" dataDxfId="243"/>
    <tableColumn id="3" xr3:uid="{00000000-0010-0000-6400-000003000000}" name="1997" dataDxfId="242"/>
    <tableColumn id="4" xr3:uid="{00000000-0010-0000-6400-000004000000}" name="1998" dataDxfId="241"/>
    <tableColumn id="5" xr3:uid="{00000000-0010-0000-6400-000005000000}" name="1999" dataDxfId="240"/>
    <tableColumn id="6" xr3:uid="{00000000-0010-0000-6400-000006000000}" name="2000" dataDxfId="239"/>
    <tableColumn id="7" xr3:uid="{00000000-0010-0000-6400-000007000000}" name="2001" dataDxfId="238"/>
    <tableColumn id="8" xr3:uid="{00000000-0010-0000-6400-000008000000}" name="2002" dataDxfId="237"/>
    <tableColumn id="9" xr3:uid="{00000000-0010-0000-6400-000009000000}" name="2003" dataDxfId="236"/>
    <tableColumn id="10" xr3:uid="{00000000-0010-0000-6400-00000A000000}" name="2004" dataDxfId="235"/>
    <tableColumn id="11" xr3:uid="{00000000-0010-0000-6400-00000B000000}" name="2005" dataDxfId="234"/>
    <tableColumn id="12" xr3:uid="{00000000-0010-0000-6400-00000C000000}" name="2006" dataDxfId="233"/>
    <tableColumn id="13" xr3:uid="{00000000-0010-0000-6400-00000D000000}" name="2007" dataDxfId="232"/>
    <tableColumn id="14" xr3:uid="{00000000-0010-0000-6400-00000E000000}" name="2008" dataDxfId="231"/>
    <tableColumn id="15" xr3:uid="{00000000-0010-0000-6400-00000F000000}" name="2009" dataDxfId="230"/>
    <tableColumn id="16" xr3:uid="{00000000-0010-0000-6400-000010000000}" name="2010" dataDxfId="229"/>
    <tableColumn id="17" xr3:uid="{00000000-0010-0000-6400-000011000000}" name="2011" dataDxfId="228"/>
    <tableColumn id="18" xr3:uid="{00000000-0010-0000-6400-000012000000}" name="2012" dataDxfId="227"/>
    <tableColumn id="19" xr3:uid="{00000000-0010-0000-6400-000013000000}" name="2013" dataDxfId="226"/>
    <tableColumn id="20" xr3:uid="{00000000-0010-0000-6400-000014000000}" name="2014" dataDxfId="225"/>
    <tableColumn id="21" xr3:uid="{00000000-0010-0000-6400-000015000000}" name="2015" dataDxfId="224"/>
    <tableColumn id="22" xr3:uid="{00000000-0010-0000-6400-000016000000}" name="2016" dataDxfId="223"/>
    <tableColumn id="23" xr3:uid="{00000000-0010-0000-6400-000017000000}" name="2017" dataDxfId="222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65000000}" name="Population" displayName="Population" ref="A8:X100" totalsRowCount="1" headerRowDxfId="221" dataDxfId="219" headerRowBorderDxfId="220" tableBorderDxfId="218">
  <autoFilter ref="A8:X99" xr:uid="{00000000-0009-0000-0100-000067000000}"/>
  <tableColumns count="24">
    <tableColumn id="1" xr3:uid="{00000000-0010-0000-6500-000001000000}" name="County" totalsRowLabel="3rd Class population" dataDxfId="217" totalsRowDxfId="216"/>
    <tableColumn id="2" xr3:uid="{00000000-0010-0000-6500-000002000000}" name="1996" totalsRowFunction="custom" dataDxfId="215" totalsRowDxfId="214">
      <totalsRowFormula>SUM(B9:B99)</totalsRowFormula>
    </tableColumn>
    <tableColumn id="3" xr3:uid="{00000000-0010-0000-6500-000003000000}" name="1997" totalsRowFunction="custom" dataDxfId="213" totalsRowDxfId="212">
      <totalsRowFormula>SUM(C9:C99)</totalsRowFormula>
    </tableColumn>
    <tableColumn id="4" xr3:uid="{00000000-0010-0000-6500-000004000000}" name="1998" totalsRowFunction="custom" dataDxfId="211" totalsRowDxfId="210">
      <totalsRowFormula>SUM(D9:D99)</totalsRowFormula>
    </tableColumn>
    <tableColumn id="5" xr3:uid="{00000000-0010-0000-6500-000005000000}" name="1999" totalsRowFunction="custom" dataDxfId="209" totalsRowDxfId="208">
      <totalsRowFormula>SUM(E9:E99)</totalsRowFormula>
    </tableColumn>
    <tableColumn id="6" xr3:uid="{00000000-0010-0000-6500-000006000000}" name="2000" totalsRowFunction="custom" dataDxfId="207" totalsRowDxfId="206">
      <totalsRowFormula>SUM(F9:F99)</totalsRowFormula>
    </tableColumn>
    <tableColumn id="7" xr3:uid="{00000000-0010-0000-6500-000007000000}" name="2001" totalsRowFunction="custom" dataDxfId="205" totalsRowDxfId="204">
      <totalsRowFormula>SUM(G9:G99)</totalsRowFormula>
    </tableColumn>
    <tableColumn id="8" xr3:uid="{00000000-0010-0000-6500-000008000000}" name="2002" totalsRowFunction="custom" dataDxfId="203" totalsRowDxfId="202">
      <totalsRowFormula>SUM(H9:H99)</totalsRowFormula>
    </tableColumn>
    <tableColumn id="9" xr3:uid="{00000000-0010-0000-6500-000009000000}" name="2003" totalsRowFunction="custom" dataDxfId="201" totalsRowDxfId="200">
      <totalsRowFormula>SUM(I9:I99)</totalsRowFormula>
    </tableColumn>
    <tableColumn id="10" xr3:uid="{00000000-0010-0000-6500-00000A000000}" name="2004" totalsRowFunction="custom" dataDxfId="199" totalsRowDxfId="198">
      <totalsRowFormula>SUM(J9:J99)</totalsRowFormula>
    </tableColumn>
    <tableColumn id="11" xr3:uid="{00000000-0010-0000-6500-00000B000000}" name="2005" totalsRowFunction="custom" dataDxfId="197" totalsRowDxfId="196">
      <totalsRowFormula>SUM(K9:K99)</totalsRowFormula>
    </tableColumn>
    <tableColumn id="12" xr3:uid="{00000000-0010-0000-6500-00000C000000}" name="2006" totalsRowFunction="custom" dataDxfId="195" totalsRowDxfId="194">
      <totalsRowFormula>SUM(L9:L99)</totalsRowFormula>
    </tableColumn>
    <tableColumn id="13" xr3:uid="{00000000-0010-0000-6500-00000D000000}" name="2007" totalsRowFunction="custom" dataDxfId="193" totalsRowDxfId="192">
      <totalsRowFormula>SUM(M9:M99)</totalsRowFormula>
    </tableColumn>
    <tableColumn id="14" xr3:uid="{00000000-0010-0000-6500-00000E000000}" name="2008" totalsRowFunction="custom" dataDxfId="191" totalsRowDxfId="190">
      <totalsRowFormula>SUM(N9:N99)</totalsRowFormula>
    </tableColumn>
    <tableColumn id="15" xr3:uid="{00000000-0010-0000-6500-00000F000000}" name="2009" totalsRowFunction="custom" dataDxfId="189" totalsRowDxfId="188">
      <totalsRowFormula>SUM(O9:O99)</totalsRowFormula>
    </tableColumn>
    <tableColumn id="16" xr3:uid="{00000000-0010-0000-6500-000010000000}" name="2010" totalsRowFunction="custom" dataDxfId="187" totalsRowDxfId="186">
      <totalsRowFormula>SUM(P9:P99)</totalsRowFormula>
    </tableColumn>
    <tableColumn id="17" xr3:uid="{00000000-0010-0000-6500-000011000000}" name="2011" totalsRowFunction="custom" dataDxfId="185" totalsRowDxfId="184">
      <totalsRowFormula>SUM(Q9:Q99)</totalsRowFormula>
    </tableColumn>
    <tableColumn id="18" xr3:uid="{00000000-0010-0000-6500-000012000000}" name="2012" totalsRowFunction="custom" dataDxfId="183" totalsRowDxfId="182">
      <totalsRowFormula>SUM(R9:R99)</totalsRowFormula>
    </tableColumn>
    <tableColumn id="19" xr3:uid="{00000000-0010-0000-6500-000013000000}" name="2013" totalsRowFunction="custom" dataDxfId="181" totalsRowDxfId="180" dataCellStyle="Comma">
      <totalsRowFormula>SUM(S9:S99)</totalsRowFormula>
    </tableColumn>
    <tableColumn id="25" xr3:uid="{00000000-0010-0000-6500-000019000000}" name="2014" totalsRowFunction="custom" dataDxfId="179" totalsRowDxfId="178" dataCellStyle="Comma">
      <totalsRowFormula>SUM(T9:T99)</totalsRowFormula>
    </tableColumn>
    <tableColumn id="26" xr3:uid="{00000000-0010-0000-6500-00001A000000}" name="2015" totalsRowFunction="custom" dataDxfId="177" totalsRowDxfId="176" dataCellStyle="Comma">
      <totalsRowFormula>SUM(U9:U99)</totalsRowFormula>
    </tableColumn>
    <tableColumn id="27" xr3:uid="{00000000-0010-0000-6500-00001B000000}" name="2016" totalsRowFunction="custom" dataDxfId="175" totalsRowDxfId="174" dataCellStyle="Comma">
      <totalsRowFormula>SUM(V9:V99)</totalsRowFormula>
    </tableColumn>
    <tableColumn id="28" xr3:uid="{00000000-0010-0000-6500-00001C000000}" name="2017" dataDxfId="173" totalsRowDxfId="172" dataCellStyle="Comma"/>
    <tableColumn id="20" xr3:uid="{00000000-0010-0000-6500-000014000000}" name="2018" dataDxfId="171" totalsRowDxfId="170" dataCellStyle="Comma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66000000}" name="PersonalIncomeTotal" displayName="PersonalIncomeTotal" ref="Z8:AW97" totalsRowShown="0" headerRowDxfId="169" dataDxfId="167" headerRowBorderDxfId="168" tableBorderDxfId="166">
  <autoFilter ref="Z8:AW97" xr:uid="{00000000-0009-0000-0100-00006C000000}"/>
  <tableColumns count="24">
    <tableColumn id="2" xr3:uid="{00000000-0010-0000-6600-000002000000}" name="AreaName" dataDxfId="165" totalsRowDxfId="164"/>
    <tableColumn id="3" xr3:uid="{00000000-0010-0000-6600-000003000000}" name="1996" dataDxfId="163" totalsRowDxfId="162"/>
    <tableColumn id="4" xr3:uid="{00000000-0010-0000-6600-000004000000}" name="1997" dataDxfId="161" totalsRowDxfId="160"/>
    <tableColumn id="5" xr3:uid="{00000000-0010-0000-6600-000005000000}" name="1998" dataDxfId="159" totalsRowDxfId="158"/>
    <tableColumn id="6" xr3:uid="{00000000-0010-0000-6600-000006000000}" name="1999" dataDxfId="157" totalsRowDxfId="156"/>
    <tableColumn id="7" xr3:uid="{00000000-0010-0000-6600-000007000000}" name="2000" dataDxfId="155" totalsRowDxfId="154"/>
    <tableColumn id="8" xr3:uid="{00000000-0010-0000-6600-000008000000}" name="2001" dataDxfId="153" totalsRowDxfId="152"/>
    <tableColumn id="9" xr3:uid="{00000000-0010-0000-6600-000009000000}" name="2002" dataDxfId="151" totalsRowDxfId="150"/>
    <tableColumn id="10" xr3:uid="{00000000-0010-0000-6600-00000A000000}" name="2003" dataDxfId="149" totalsRowDxfId="148"/>
    <tableColumn id="11" xr3:uid="{00000000-0010-0000-6600-00000B000000}" name="2004" dataDxfId="147" totalsRowDxfId="146"/>
    <tableColumn id="12" xr3:uid="{00000000-0010-0000-6600-00000C000000}" name="2005" dataDxfId="145" totalsRowDxfId="144"/>
    <tableColumn id="13" xr3:uid="{00000000-0010-0000-6600-00000D000000}" name="2006" dataDxfId="143" totalsRowDxfId="142"/>
    <tableColumn id="14" xr3:uid="{00000000-0010-0000-6600-00000E000000}" name="2007" dataDxfId="141" totalsRowDxfId="140"/>
    <tableColumn id="15" xr3:uid="{00000000-0010-0000-6600-00000F000000}" name="2008" dataDxfId="139" totalsRowDxfId="138"/>
    <tableColumn id="16" xr3:uid="{00000000-0010-0000-6600-000010000000}" name="2009" dataDxfId="137"/>
    <tableColumn id="17" xr3:uid="{00000000-0010-0000-6600-000011000000}" name="2010" dataDxfId="136"/>
    <tableColumn id="18" xr3:uid="{00000000-0010-0000-6600-000012000000}" name="2011" dataDxfId="135" totalsRowDxfId="134"/>
    <tableColumn id="19" xr3:uid="{00000000-0010-0000-6600-000013000000}" name="2012" dataDxfId="133" totalsRowDxfId="132"/>
    <tableColumn id="20" xr3:uid="{00000000-0010-0000-6600-000014000000}" name="2013" dataDxfId="131" totalsRowDxfId="130"/>
    <tableColumn id="21" xr3:uid="{00000000-0010-0000-6600-000015000000}" name="2014" dataDxfId="129"/>
    <tableColumn id="22" xr3:uid="{00000000-0010-0000-6600-000016000000}" name="2015" dataDxfId="128"/>
    <tableColumn id="23" xr3:uid="{00000000-0010-0000-6600-000017000000}" name="2016" dataDxfId="127"/>
    <tableColumn id="24" xr3:uid="{00000000-0010-0000-6600-000018000000}" name="2017" dataDxfId="126" dataCellStyle="Normal 2"/>
    <tableColumn id="1" xr3:uid="{00000000-0010-0000-6600-000001000000}" name="2018" dataDxfId="125"/>
  </tableColumns>
  <tableStyleInfo name="TableStyleMedium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67000000}" name="PercapitaIncome" displayName="PercapitaIncome" ref="AY8:BU98" totalsRowShown="0" headerRowDxfId="124" dataDxfId="122" headerRowBorderDxfId="123">
  <autoFilter ref="AY8:BU98" xr:uid="{00000000-0009-0000-0100-00006D000000}"/>
  <tableColumns count="23">
    <tableColumn id="1" xr3:uid="{00000000-0010-0000-6700-000001000000}" name="AreaName"/>
    <tableColumn id="2" xr3:uid="{00000000-0010-0000-6700-000002000000}" name="1996" dataDxfId="121">
      <calculatedColumnFormula>(#REF!/B8)*1000</calculatedColumnFormula>
    </tableColumn>
    <tableColumn id="3" xr3:uid="{00000000-0010-0000-6700-000003000000}" name="1997" dataDxfId="120">
      <calculatedColumnFormula>(#REF!/C8)*1000</calculatedColumnFormula>
    </tableColumn>
    <tableColumn id="4" xr3:uid="{00000000-0010-0000-6700-000004000000}" name="1998" dataDxfId="119">
      <calculatedColumnFormula>(#REF!/D8)*1000</calculatedColumnFormula>
    </tableColumn>
    <tableColumn id="5" xr3:uid="{00000000-0010-0000-6700-000005000000}" name="1999" dataDxfId="118">
      <calculatedColumnFormula>(#REF!/E8)*1000</calculatedColumnFormula>
    </tableColumn>
    <tableColumn id="6" xr3:uid="{00000000-0010-0000-6700-000006000000}" name="2000" dataDxfId="117">
      <calculatedColumnFormula>(#REF!/F8)*1000</calculatedColumnFormula>
    </tableColumn>
    <tableColumn id="7" xr3:uid="{00000000-0010-0000-6700-000007000000}" name="2001" dataDxfId="116">
      <calculatedColumnFormula>(#REF!/G8)*1000</calculatedColumnFormula>
    </tableColumn>
    <tableColumn id="8" xr3:uid="{00000000-0010-0000-6700-000008000000}" name="2002" dataDxfId="115">
      <calculatedColumnFormula>(#REF!/H8)*1000</calculatedColumnFormula>
    </tableColumn>
    <tableColumn id="9" xr3:uid="{00000000-0010-0000-6700-000009000000}" name="2003" dataDxfId="114">
      <calculatedColumnFormula>(#REF!/I8)*1000</calculatedColumnFormula>
    </tableColumn>
    <tableColumn id="10" xr3:uid="{00000000-0010-0000-6700-00000A000000}" name="2004" dataDxfId="113">
      <calculatedColumnFormula>(#REF!/J8)*1000</calculatedColumnFormula>
    </tableColumn>
    <tableColumn id="11" xr3:uid="{00000000-0010-0000-6700-00000B000000}" name="2005" dataDxfId="112">
      <calculatedColumnFormula>(#REF!/K8)*1000</calculatedColumnFormula>
    </tableColumn>
    <tableColumn id="12" xr3:uid="{00000000-0010-0000-6700-00000C000000}" name="2006" dataDxfId="111">
      <calculatedColumnFormula>(#REF!/L8)*1000</calculatedColumnFormula>
    </tableColumn>
    <tableColumn id="13" xr3:uid="{00000000-0010-0000-6700-00000D000000}" name="2007" dataDxfId="110">
      <calculatedColumnFormula>(#REF!/M8)*1000</calculatedColumnFormula>
    </tableColumn>
    <tableColumn id="14" xr3:uid="{00000000-0010-0000-6700-00000E000000}" name="2008" dataDxfId="109">
      <calculatedColumnFormula>(#REF!/N8)*1000</calculatedColumnFormula>
    </tableColumn>
    <tableColumn id="15" xr3:uid="{00000000-0010-0000-6700-00000F000000}" name="2009" dataDxfId="108">
      <calculatedColumnFormula>(#REF!/O8)*1000</calculatedColumnFormula>
    </tableColumn>
    <tableColumn id="16" xr3:uid="{00000000-0010-0000-6700-000010000000}" name="2010" dataDxfId="107">
      <calculatedColumnFormula>(#REF!/P8)*1000</calculatedColumnFormula>
    </tableColumn>
    <tableColumn id="17" xr3:uid="{00000000-0010-0000-6700-000011000000}" name="2011" dataDxfId="106">
      <calculatedColumnFormula>(#REF!/Q8)*1000</calculatedColumnFormula>
    </tableColumn>
    <tableColumn id="18" xr3:uid="{00000000-0010-0000-6700-000012000000}" name="2012" dataDxfId="105">
      <calculatedColumnFormula>(#REF!/R8)*1000</calculatedColumnFormula>
    </tableColumn>
    <tableColumn id="19" xr3:uid="{00000000-0010-0000-6700-000013000000}" name="2013" dataDxfId="104">
      <calculatedColumnFormula>(#REF!/S8)*1000</calculatedColumnFormula>
    </tableColumn>
    <tableColumn id="20" xr3:uid="{00000000-0010-0000-6700-000014000000}" name="2014" dataDxfId="103"/>
    <tableColumn id="21" xr3:uid="{00000000-0010-0000-6700-000015000000}" name="2015" dataDxfId="102"/>
    <tableColumn id="22" xr3:uid="{00000000-0010-0000-6700-000016000000}" name="2016" dataDxfId="101"/>
    <tableColumn id="23" xr3:uid="{00000000-0010-0000-6700-000017000000}" name="2017" dataDxfId="100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68000000}" name="RealPercapitaIncome" displayName="RealPercapitaIncome" ref="BW8:CS98" totalsRowShown="0" headerRowDxfId="99" dataDxfId="97" headerRowBorderDxfId="98">
  <autoFilter ref="BW8:CS98" xr:uid="{00000000-0009-0000-0100-00006E000000}"/>
  <tableColumns count="23">
    <tableColumn id="1" xr3:uid="{00000000-0010-0000-6800-000001000000}" name="AreaName"/>
    <tableColumn id="2" xr3:uid="{00000000-0010-0000-6800-000002000000}" name="1996" dataDxfId="96">
      <calculatedColumnFormula>(#REF!/CPINormalized[1996])*100</calculatedColumnFormula>
    </tableColumn>
    <tableColumn id="3" xr3:uid="{00000000-0010-0000-6800-000003000000}" name="1997" dataDxfId="95">
      <calculatedColumnFormula>(#REF!/CPINormalized[1997])*100</calculatedColumnFormula>
    </tableColumn>
    <tableColumn id="4" xr3:uid="{00000000-0010-0000-6800-000004000000}" name="1998" dataDxfId="94">
      <calculatedColumnFormula>(#REF!/CPINormalized[1998])*100</calculatedColumnFormula>
    </tableColumn>
    <tableColumn id="5" xr3:uid="{00000000-0010-0000-6800-000005000000}" name="1999" dataDxfId="93">
      <calculatedColumnFormula>(#REF!/CPINormalized[1999])*100</calculatedColumnFormula>
    </tableColumn>
    <tableColumn id="6" xr3:uid="{00000000-0010-0000-6800-000006000000}" name="2000" dataDxfId="92">
      <calculatedColumnFormula>(#REF!/CPINormalized[2000])*100</calculatedColumnFormula>
    </tableColumn>
    <tableColumn id="7" xr3:uid="{00000000-0010-0000-6800-000007000000}" name="2001" dataDxfId="91">
      <calculatedColumnFormula>(#REF!/CPINormalized[2001])*100</calculatedColumnFormula>
    </tableColumn>
    <tableColumn id="8" xr3:uid="{00000000-0010-0000-6800-000008000000}" name="2002" dataDxfId="90">
      <calculatedColumnFormula>(#REF!/CPINormalized[2002])*100</calculatedColumnFormula>
    </tableColumn>
    <tableColumn id="9" xr3:uid="{00000000-0010-0000-6800-000009000000}" name="2003" dataDxfId="89">
      <calculatedColumnFormula>(#REF!/CPINormalized[2003])*100</calculatedColumnFormula>
    </tableColumn>
    <tableColumn id="10" xr3:uid="{00000000-0010-0000-6800-00000A000000}" name="2004" dataDxfId="88">
      <calculatedColumnFormula>(#REF!/CPINormalized[2004])*100</calculatedColumnFormula>
    </tableColumn>
    <tableColumn id="11" xr3:uid="{00000000-0010-0000-6800-00000B000000}" name="2005" dataDxfId="87">
      <calculatedColumnFormula>(#REF!/CPINormalized[2005])*100</calculatedColumnFormula>
    </tableColumn>
    <tableColumn id="12" xr3:uid="{00000000-0010-0000-6800-00000C000000}" name="2006" dataDxfId="86">
      <calculatedColumnFormula>(#REF!/CPINormalized[2006])*100</calculatedColumnFormula>
    </tableColumn>
    <tableColumn id="13" xr3:uid="{00000000-0010-0000-6800-00000D000000}" name="2007" dataDxfId="85">
      <calculatedColumnFormula>(#REF!/CPINormalized[2007])*100</calculatedColumnFormula>
    </tableColumn>
    <tableColumn id="14" xr3:uid="{00000000-0010-0000-6800-00000E000000}" name="2008" dataDxfId="84">
      <calculatedColumnFormula>(#REF!/CPINormalized[2008])*100</calculatedColumnFormula>
    </tableColumn>
    <tableColumn id="15" xr3:uid="{00000000-0010-0000-6800-00000F000000}" name="2009" dataDxfId="83">
      <calculatedColumnFormula>(#REF!/CPINormalized[2009])*100</calculatedColumnFormula>
    </tableColumn>
    <tableColumn id="16" xr3:uid="{00000000-0010-0000-6800-000010000000}" name="2010" dataDxfId="82">
      <calculatedColumnFormula>(#REF!/CPINormalized[2010])*100</calculatedColumnFormula>
    </tableColumn>
    <tableColumn id="17" xr3:uid="{00000000-0010-0000-6800-000011000000}" name="2011" dataDxfId="81">
      <calculatedColumnFormula>(#REF!/CPINormalized[2011])*100</calculatedColumnFormula>
    </tableColumn>
    <tableColumn id="18" xr3:uid="{00000000-0010-0000-6800-000012000000}" name="2012" dataDxfId="80">
      <calculatedColumnFormula>(#REF!/CPINormalized[2012])*100</calculatedColumnFormula>
    </tableColumn>
    <tableColumn id="19" xr3:uid="{00000000-0010-0000-6800-000013000000}" name="2013" dataDxfId="79">
      <calculatedColumnFormula>(#REF!/CPINormalized[2013])*100</calculatedColumnFormula>
    </tableColumn>
    <tableColumn id="20" xr3:uid="{00000000-0010-0000-6800-000014000000}" name="2014" dataDxfId="78">
      <calculatedColumnFormula>(BR9/CPINormalized[2014])*100</calculatedColumnFormula>
    </tableColumn>
    <tableColumn id="21" xr3:uid="{00000000-0010-0000-6800-000015000000}" name="2015" dataDxfId="77">
      <calculatedColumnFormula>(BS9/CPINormalized[2015])*100</calculatedColumnFormula>
    </tableColumn>
    <tableColumn id="22" xr3:uid="{00000000-0010-0000-6800-000016000000}" name="2016" dataDxfId="76">
      <calculatedColumnFormula>(BT9/CPINormalized[2016])*100</calculatedColumnFormula>
    </tableColumn>
    <tableColumn id="23" xr3:uid="{00000000-0010-0000-6800-000017000000}" name="2017" dataDxfId="75">
      <calculatedColumnFormula>(BU9/CPINormalized[2017])*100</calculatedColumnFormula>
    </tableColumn>
  </tableColumns>
  <tableStyleInfo name="TableStyleMedium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69000000}" name="MCI" displayName="MCI" ref="A3:V4" totalsRowShown="0" headerRowDxfId="74" dataDxfId="72" headerRowBorderDxfId="73">
  <autoFilter ref="A3:V4" xr:uid="{00000000-0009-0000-0100-000068000000}"/>
  <tableColumns count="22">
    <tableColumn id="1" xr3:uid="{00000000-0010-0000-6900-000001000000}" name="1996" dataDxfId="71"/>
    <tableColumn id="2" xr3:uid="{00000000-0010-0000-6900-000002000000}" name="1997" dataDxfId="70"/>
    <tableColumn id="3" xr3:uid="{00000000-0010-0000-6900-000003000000}" name="1998" dataDxfId="69"/>
    <tableColumn id="4" xr3:uid="{00000000-0010-0000-6900-000004000000}" name="1999" dataDxfId="68"/>
    <tableColumn id="5" xr3:uid="{00000000-0010-0000-6900-000005000000}" name="2000" dataDxfId="67"/>
    <tableColumn id="6" xr3:uid="{00000000-0010-0000-6900-000006000000}" name="2001" dataDxfId="66"/>
    <tableColumn id="7" xr3:uid="{00000000-0010-0000-6900-000007000000}" name="2002" dataDxfId="65"/>
    <tableColumn id="8" xr3:uid="{00000000-0010-0000-6900-000008000000}" name="2003" dataDxfId="64"/>
    <tableColumn id="9" xr3:uid="{00000000-0010-0000-6900-000009000000}" name="2004" dataDxfId="63"/>
    <tableColumn id="10" xr3:uid="{00000000-0010-0000-6900-00000A000000}" name="2005" dataDxfId="62"/>
    <tableColumn id="11" xr3:uid="{00000000-0010-0000-6900-00000B000000}" name="2006" dataDxfId="61"/>
    <tableColumn id="12" xr3:uid="{00000000-0010-0000-6900-00000C000000}" name="2007" dataDxfId="60"/>
    <tableColumn id="13" xr3:uid="{00000000-0010-0000-6900-00000D000000}" name="2008" dataDxfId="59"/>
    <tableColumn id="14" xr3:uid="{00000000-0010-0000-6900-00000E000000}" name="2009" dataDxfId="58"/>
    <tableColumn id="15" xr3:uid="{00000000-0010-0000-6900-00000F000000}" name="2010"/>
    <tableColumn id="16" xr3:uid="{00000000-0010-0000-6900-000010000000}" name="2011"/>
    <tableColumn id="17" xr3:uid="{00000000-0010-0000-6900-000011000000}" name="2012" dataDxfId="57"/>
    <tableColumn id="18" xr3:uid="{00000000-0010-0000-6900-000012000000}" name="2013" dataDxfId="56"/>
    <tableColumn id="19" xr3:uid="{00000000-0010-0000-6900-000013000000}" name="2014" dataDxfId="55"/>
    <tableColumn id="20" xr3:uid="{00000000-0010-0000-6900-000014000000}" name="2015" dataDxfId="54"/>
    <tableColumn id="21" xr3:uid="{00000000-0010-0000-6900-000015000000}" name="2016" dataDxfId="53"/>
    <tableColumn id="22" xr3:uid="{00000000-0010-0000-6900-000016000000}" name="2017" dataDxfId="52"/>
  </tableColumns>
  <tableStyleInfo name="TableStyleMedium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6A000000}" name="MCINormalized" displayName="MCINormalized" ref="A8:V9" totalsRowShown="0" headerRowDxfId="51" headerRowBorderDxfId="50">
  <autoFilter ref="A8:V9" xr:uid="{00000000-0009-0000-0100-000069000000}"/>
  <tableColumns count="22">
    <tableColumn id="1" xr3:uid="{00000000-0010-0000-6A00-000001000000}" name="1996" dataDxfId="49">
      <calculatedColumnFormula>A4/$A4*100</calculatedColumnFormula>
    </tableColumn>
    <tableColumn id="2" xr3:uid="{00000000-0010-0000-6A00-000002000000}" name="1997" dataDxfId="48">
      <calculatedColumnFormula>B4/$A4*100</calculatedColumnFormula>
    </tableColumn>
    <tableColumn id="3" xr3:uid="{00000000-0010-0000-6A00-000003000000}" name="1998" dataDxfId="47">
      <calculatedColumnFormula>C4/$A4*100</calculatedColumnFormula>
    </tableColumn>
    <tableColumn id="4" xr3:uid="{00000000-0010-0000-6A00-000004000000}" name="1999" dataDxfId="46">
      <calculatedColumnFormula>D4/$A4*100</calculatedColumnFormula>
    </tableColumn>
    <tableColumn id="5" xr3:uid="{00000000-0010-0000-6A00-000005000000}" name="2000" dataDxfId="45">
      <calculatedColumnFormula>E4/$A4*100</calculatedColumnFormula>
    </tableColumn>
    <tableColumn id="6" xr3:uid="{00000000-0010-0000-6A00-000006000000}" name="2001" dataDxfId="44">
      <calculatedColumnFormula>F4/$A4*100</calculatedColumnFormula>
    </tableColumn>
    <tableColumn id="7" xr3:uid="{00000000-0010-0000-6A00-000007000000}" name="2002" dataDxfId="43">
      <calculatedColumnFormula>G4/$A4*100</calculatedColumnFormula>
    </tableColumn>
    <tableColumn id="8" xr3:uid="{00000000-0010-0000-6A00-000008000000}" name="2003" dataDxfId="42">
      <calculatedColumnFormula>H4/$A4*100</calculatedColumnFormula>
    </tableColumn>
    <tableColumn id="9" xr3:uid="{00000000-0010-0000-6A00-000009000000}" name="2004" dataDxfId="41">
      <calculatedColumnFormula>I4/$A4*100</calculatedColumnFormula>
    </tableColumn>
    <tableColumn id="10" xr3:uid="{00000000-0010-0000-6A00-00000A000000}" name="2005" dataDxfId="40">
      <calculatedColumnFormula>J4/$A4*100</calculatedColumnFormula>
    </tableColumn>
    <tableColumn id="11" xr3:uid="{00000000-0010-0000-6A00-00000B000000}" name="2006" dataDxfId="39">
      <calculatedColumnFormula>K4/$A4*100</calculatedColumnFormula>
    </tableColumn>
    <tableColumn id="12" xr3:uid="{00000000-0010-0000-6A00-00000C000000}" name="2007" dataDxfId="38">
      <calculatedColumnFormula>L4/$A4*100</calculatedColumnFormula>
    </tableColumn>
    <tableColumn id="13" xr3:uid="{00000000-0010-0000-6A00-00000D000000}" name="2008" dataDxfId="37">
      <calculatedColumnFormula>M4/$A4*100</calculatedColumnFormula>
    </tableColumn>
    <tableColumn id="14" xr3:uid="{00000000-0010-0000-6A00-00000E000000}" name="2009" dataDxfId="36">
      <calculatedColumnFormula>N4/$A4*100</calculatedColumnFormula>
    </tableColumn>
    <tableColumn id="15" xr3:uid="{00000000-0010-0000-6A00-00000F000000}" name="2010" dataDxfId="35">
      <calculatedColumnFormula>O4/$A4*100</calculatedColumnFormula>
    </tableColumn>
    <tableColumn id="16" xr3:uid="{00000000-0010-0000-6A00-000010000000}" name="2011" dataDxfId="34">
      <calculatedColumnFormula>P4/$A4*100</calculatedColumnFormula>
    </tableColumn>
    <tableColumn id="17" xr3:uid="{00000000-0010-0000-6A00-000011000000}" name="2012" dataDxfId="33">
      <calculatedColumnFormula>Q4/$A4*100</calculatedColumnFormula>
    </tableColumn>
    <tableColumn id="18" xr3:uid="{00000000-0010-0000-6A00-000012000000}" name="2013" dataDxfId="32">
      <calculatedColumnFormula>R4/$A4*100</calculatedColumnFormula>
    </tableColumn>
    <tableColumn id="19" xr3:uid="{00000000-0010-0000-6A00-000013000000}" name="2014" dataDxfId="31">
      <calculatedColumnFormula>S4/$A4*100</calculatedColumnFormula>
    </tableColumn>
    <tableColumn id="20" xr3:uid="{00000000-0010-0000-6A00-000014000000}" name="2015" dataDxfId="30">
      <calculatedColumnFormula>T4/$A4*100</calculatedColumnFormula>
    </tableColumn>
    <tableColumn id="21" xr3:uid="{00000000-0010-0000-6A00-000015000000}" name="2016" dataDxfId="29">
      <calculatedColumnFormula>U4/$A4*100</calculatedColumnFormula>
    </tableColumn>
    <tableColumn id="22" xr3:uid="{00000000-0010-0000-6A00-000016000000}" name="2017" dataDxfId="28">
      <calculatedColumnFormula>V4/$A4*100</calculatedColumnFormula>
    </tableColumn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6B000000}" name="CPI" displayName="CPI" ref="A13:V14" totalsRowShown="0" headerRowDxfId="27" headerRowBorderDxfId="26" dataCellStyle="Normal 2">
  <autoFilter ref="A13:V14" xr:uid="{00000000-0009-0000-0100-00006A000000}"/>
  <tableColumns count="22">
    <tableColumn id="1" xr3:uid="{00000000-0010-0000-6B00-000001000000}" name="1996" dataCellStyle="Normal 2"/>
    <tableColumn id="2" xr3:uid="{00000000-0010-0000-6B00-000002000000}" name="1997" dataCellStyle="Normal 2"/>
    <tableColumn id="3" xr3:uid="{00000000-0010-0000-6B00-000003000000}" name="1998" dataCellStyle="Normal 2"/>
    <tableColumn id="4" xr3:uid="{00000000-0010-0000-6B00-000004000000}" name="1999" dataCellStyle="Normal 2"/>
    <tableColumn id="5" xr3:uid="{00000000-0010-0000-6B00-000005000000}" name="2000" dataCellStyle="Normal 2"/>
    <tableColumn id="6" xr3:uid="{00000000-0010-0000-6B00-000006000000}" name="2001" dataCellStyle="Normal 2"/>
    <tableColumn id="7" xr3:uid="{00000000-0010-0000-6B00-000007000000}" name="2002" dataCellStyle="Normal 2"/>
    <tableColumn id="8" xr3:uid="{00000000-0010-0000-6B00-000008000000}" name="2003" dataCellStyle="Normal 2"/>
    <tableColumn id="9" xr3:uid="{00000000-0010-0000-6B00-000009000000}" name="2004" dataCellStyle="Normal 2"/>
    <tableColumn id="10" xr3:uid="{00000000-0010-0000-6B00-00000A000000}" name="2005" dataCellStyle="Normal 2"/>
    <tableColumn id="11" xr3:uid="{00000000-0010-0000-6B00-00000B000000}" name="2006" dataCellStyle="Normal 2"/>
    <tableColumn id="12" xr3:uid="{00000000-0010-0000-6B00-00000C000000}" name="2007" dataCellStyle="Normal 2"/>
    <tableColumn id="13" xr3:uid="{00000000-0010-0000-6B00-00000D000000}" name="2008" dataCellStyle="Normal 2"/>
    <tableColumn id="14" xr3:uid="{00000000-0010-0000-6B00-00000E000000}" name="2009" dataCellStyle="Normal 2"/>
    <tableColumn id="15" xr3:uid="{00000000-0010-0000-6B00-00000F000000}" name="2010" dataCellStyle="Normal 2"/>
    <tableColumn id="16" xr3:uid="{00000000-0010-0000-6B00-000010000000}" name="2011" dataCellStyle="Normal 2"/>
    <tableColumn id="17" xr3:uid="{00000000-0010-0000-6B00-000011000000}" name="2012" dataDxfId="25"/>
    <tableColumn id="18" xr3:uid="{00000000-0010-0000-6B00-000012000000}" name="2013" dataDxfId="24"/>
    <tableColumn id="20" xr3:uid="{00000000-0010-0000-6B00-000014000000}" name="2014" dataCellStyle="Normal 2"/>
    <tableColumn id="21" xr3:uid="{00000000-0010-0000-6B00-000015000000}" name="2015" dataCellStyle="Normal 2"/>
    <tableColumn id="22" xr3:uid="{00000000-0010-0000-6B00-000016000000}" name="2016" dataCellStyle="Normal 2"/>
    <tableColumn id="23" xr3:uid="{00000000-0010-0000-6B00-000017000000}" name="2017" dataCellStyle="Normal 2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6C000000}" name="CPINormalized" displayName="CPINormalized" ref="A17:V18" totalsRowShown="0" headerRowDxfId="23" headerRowBorderDxfId="22">
  <autoFilter ref="A17:V18" xr:uid="{00000000-0009-0000-0100-00006B000000}"/>
  <tableColumns count="22">
    <tableColumn id="1" xr3:uid="{00000000-0010-0000-6C00-000001000000}" name="1996" dataDxfId="21">
      <calculatedColumnFormula>(A14/$A14)*100</calculatedColumnFormula>
    </tableColumn>
    <tableColumn id="2" xr3:uid="{00000000-0010-0000-6C00-000002000000}" name="1997" dataDxfId="20">
      <calculatedColumnFormula>(B14/$A14)*100</calculatedColumnFormula>
    </tableColumn>
    <tableColumn id="3" xr3:uid="{00000000-0010-0000-6C00-000003000000}" name="1998" dataDxfId="19">
      <calculatedColumnFormula>(C14/$A14)*100</calculatedColumnFormula>
    </tableColumn>
    <tableColumn id="4" xr3:uid="{00000000-0010-0000-6C00-000004000000}" name="1999" dataDxfId="18">
      <calculatedColumnFormula>(D14/$A14)*100</calculatedColumnFormula>
    </tableColumn>
    <tableColumn id="5" xr3:uid="{00000000-0010-0000-6C00-000005000000}" name="2000" dataDxfId="17">
      <calculatedColumnFormula>(E14/$A14)*100</calculatedColumnFormula>
    </tableColumn>
    <tableColumn id="6" xr3:uid="{00000000-0010-0000-6C00-000006000000}" name="2001" dataDxfId="16">
      <calculatedColumnFormula>(F14/$A14)*100</calculatedColumnFormula>
    </tableColumn>
    <tableColumn id="7" xr3:uid="{00000000-0010-0000-6C00-000007000000}" name="2002" dataDxfId="15">
      <calculatedColumnFormula>(G14/$A14)*100</calculatedColumnFormula>
    </tableColumn>
    <tableColumn id="8" xr3:uid="{00000000-0010-0000-6C00-000008000000}" name="2003" dataDxfId="14">
      <calculatedColumnFormula>(H14/$A14)*100</calculatedColumnFormula>
    </tableColumn>
    <tableColumn id="9" xr3:uid="{00000000-0010-0000-6C00-000009000000}" name="2004" dataDxfId="13">
      <calculatedColumnFormula>(I14/$A14)*100</calculatedColumnFormula>
    </tableColumn>
    <tableColumn id="10" xr3:uid="{00000000-0010-0000-6C00-00000A000000}" name="2005" dataDxfId="12">
      <calculatedColumnFormula>(J14/$A14)*100</calculatedColumnFormula>
    </tableColumn>
    <tableColumn id="11" xr3:uid="{00000000-0010-0000-6C00-00000B000000}" name="2006" dataDxfId="11">
      <calculatedColumnFormula>(K14/$A14)*100</calculatedColumnFormula>
    </tableColumn>
    <tableColumn id="12" xr3:uid="{00000000-0010-0000-6C00-00000C000000}" name="2007" dataDxfId="10">
      <calculatedColumnFormula>(L14/$A14)*100</calculatedColumnFormula>
    </tableColumn>
    <tableColumn id="13" xr3:uid="{00000000-0010-0000-6C00-00000D000000}" name="2008" dataDxfId="9">
      <calculatedColumnFormula>(M14/$A14)*100</calculatedColumnFormula>
    </tableColumn>
    <tableColumn id="14" xr3:uid="{00000000-0010-0000-6C00-00000E000000}" name="2009" dataDxfId="8">
      <calculatedColumnFormula>(N14/$A14)*100</calculatedColumnFormula>
    </tableColumn>
    <tableColumn id="15" xr3:uid="{00000000-0010-0000-6C00-00000F000000}" name="2010" dataDxfId="7">
      <calculatedColumnFormula>(O14/$A14)*100</calculatedColumnFormula>
    </tableColumn>
    <tableColumn id="16" xr3:uid="{00000000-0010-0000-6C00-000010000000}" name="2011" dataDxfId="6">
      <calculatedColumnFormula>(P14/$A14)*100</calculatedColumnFormula>
    </tableColumn>
    <tableColumn id="17" xr3:uid="{00000000-0010-0000-6C00-000011000000}" name="2012" dataDxfId="5">
      <calculatedColumnFormula>(Q14/$A14)*100</calculatedColumnFormula>
    </tableColumn>
    <tableColumn id="18" xr3:uid="{00000000-0010-0000-6C00-000012000000}" name="2013" dataDxfId="4">
      <calculatedColumnFormula>(R14/$A14)*100</calculatedColumnFormula>
    </tableColumn>
    <tableColumn id="19" xr3:uid="{00000000-0010-0000-6C00-000013000000}" name="2014" dataDxfId="3">
      <calculatedColumnFormula>(S14/$A14)*100</calculatedColumnFormula>
    </tableColumn>
    <tableColumn id="20" xr3:uid="{00000000-0010-0000-6C00-000014000000}" name="2015" dataDxfId="2">
      <calculatedColumnFormula>(T14/$A14)*100</calculatedColumnFormula>
    </tableColumn>
    <tableColumn id="21" xr3:uid="{00000000-0010-0000-6C00-000015000000}" name="2016" dataDxfId="1">
      <calculatedColumnFormula>(U14/$A14)*100</calculatedColumnFormula>
    </tableColumn>
    <tableColumn id="22" xr3:uid="{00000000-0010-0000-6C00-000016000000}" name="2017" dataDxfId="0">
      <calculatedColumnFormula>(V14/$A14)*100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0A000000}" name="CountyAllYearsCGRProperty" displayName="CountyAllYearsCGRProperty" ref="A32:W34" totalsRowShown="0" headerRowDxfId="2436" dataDxfId="2435">
  <autoFilter ref="A32:W34" xr:uid="{00000000-0009-0000-0100-000030000000}"/>
  <tableColumns count="23">
    <tableColumn id="1" xr3:uid="{00000000-0010-0000-0A00-000001000000}" name="Category" dataDxfId="2434"/>
    <tableColumn id="2" xr3:uid="{00000000-0010-0000-0A00-000002000000}" name="1996" dataDxfId="2433"/>
    <tableColumn id="3" xr3:uid="{00000000-0010-0000-0A00-000003000000}" name="1997" dataDxfId="2432">
      <calculatedColumnFormula>VLOOKUP($A$3,'Property Base'!$BV$10:$CL$98,2)</calculatedColumnFormula>
    </tableColumn>
    <tableColumn id="4" xr3:uid="{00000000-0010-0000-0A00-000004000000}" name="1998" dataDxfId="2431">
      <calculatedColumnFormula>VLOOKUP($A$3,'Property Base'!$BV$10:$CL$98,3)</calculatedColumnFormula>
    </tableColumn>
    <tableColumn id="5" xr3:uid="{00000000-0010-0000-0A00-000005000000}" name="1999" dataDxfId="2430">
      <calculatedColumnFormula>VLOOKUP($A$3,'Property Base'!$BV$10:$CL$98,4)</calculatedColumnFormula>
    </tableColumn>
    <tableColumn id="6" xr3:uid="{00000000-0010-0000-0A00-000006000000}" name="2000" dataDxfId="2429">
      <calculatedColumnFormula>VLOOKUP($A$3,'Property Base'!$BV$10:$CL$98,5)</calculatedColumnFormula>
    </tableColumn>
    <tableColumn id="7" xr3:uid="{00000000-0010-0000-0A00-000007000000}" name="2001" dataDxfId="2428">
      <calculatedColumnFormula>VLOOKUP($A$3,'Property Base'!$BV$10:$CL$98,6)</calculatedColumnFormula>
    </tableColumn>
    <tableColumn id="8" xr3:uid="{00000000-0010-0000-0A00-000008000000}" name="2002" dataDxfId="2427">
      <calculatedColumnFormula>VLOOKUP($A$3,'Property Base'!$BV$10:$CL$98,7)</calculatedColumnFormula>
    </tableColumn>
    <tableColumn id="9" xr3:uid="{00000000-0010-0000-0A00-000009000000}" name="2003" dataDxfId="2426">
      <calculatedColumnFormula>VLOOKUP($A$3,'Property Base'!$BV$10:$CL$98,8)</calculatedColumnFormula>
    </tableColumn>
    <tableColumn id="10" xr3:uid="{00000000-0010-0000-0A00-00000A000000}" name="2004" dataDxfId="2425">
      <calculatedColumnFormula>VLOOKUP($A$3,'Property Base'!$BV$10:$CL$98,9)</calculatedColumnFormula>
    </tableColumn>
    <tableColumn id="11" xr3:uid="{00000000-0010-0000-0A00-00000B000000}" name="2005" dataDxfId="2424">
      <calculatedColumnFormula>VLOOKUP($A$3,'Property Base'!$BV$10:$CL$98,10)</calculatedColumnFormula>
    </tableColumn>
    <tableColumn id="12" xr3:uid="{00000000-0010-0000-0A00-00000C000000}" name="2006" dataDxfId="2423">
      <calculatedColumnFormula>VLOOKUP($A$3,'Property Base'!$BV$10:$CL$98,11)</calculatedColumnFormula>
    </tableColumn>
    <tableColumn id="13" xr3:uid="{00000000-0010-0000-0A00-00000D000000}" name="2007" dataDxfId="2422">
      <calculatedColumnFormula>VLOOKUP($A$3,'Property Base'!$BV$10:$CL$98,12)</calculatedColumnFormula>
    </tableColumn>
    <tableColumn id="14" xr3:uid="{00000000-0010-0000-0A00-00000E000000}" name="2008" dataDxfId="2421">
      <calculatedColumnFormula>VLOOKUP($A$3,'Property Base'!$BV$10:$CL$98,13)</calculatedColumnFormula>
    </tableColumn>
    <tableColumn id="15" xr3:uid="{00000000-0010-0000-0A00-00000F000000}" name="2009" dataDxfId="2420">
      <calculatedColumnFormula>VLOOKUP($A$3,'Property Base'!$BV$10:$CL$98,14)</calculatedColumnFormula>
    </tableColumn>
    <tableColumn id="16" xr3:uid="{00000000-0010-0000-0A00-000010000000}" name="2010" dataDxfId="2419">
      <calculatedColumnFormula>VLOOKUP($A$3,'Property Base'!$BV$10:$CL$98,15)</calculatedColumnFormula>
    </tableColumn>
    <tableColumn id="17" xr3:uid="{00000000-0010-0000-0A00-000011000000}" name="2011" dataDxfId="2418">
      <calculatedColumnFormula>VLOOKUP($A$3,'Property Base'!$BV$10:$CL$98,16)</calculatedColumnFormula>
    </tableColumn>
    <tableColumn id="18" xr3:uid="{00000000-0010-0000-0A00-000012000000}" name="2012" dataDxfId="2417">
      <calculatedColumnFormula>VLOOKUP($A$3,'Property Base'!$BV$10:$CL$98,17)</calculatedColumnFormula>
    </tableColumn>
    <tableColumn id="19" xr3:uid="{00000000-0010-0000-0A00-000013000000}" name="2013" dataDxfId="2416">
      <calculatedColumnFormula>INDEX(PropertyBaseAssessedValuesCGRTable[],MATCH($A$3,PropertyBaseAssessedValuesCGRTable[County]),MATCH(S31,PropertyBaseAssessedValuesCGRTable[#Headers]))</calculatedColumnFormula>
    </tableColumn>
    <tableColumn id="20" xr3:uid="{00000000-0010-0000-0A00-000014000000}" name="2014" dataDxfId="2415"/>
    <tableColumn id="21" xr3:uid="{00000000-0010-0000-0A00-000015000000}" name="2015" dataDxfId="2414"/>
    <tableColumn id="22" xr3:uid="{00000000-0010-0000-0A00-000016000000}" name="2016" dataDxfId="2413"/>
    <tableColumn id="23" xr3:uid="{00000000-0010-0000-0A00-000017000000}" name="2017" dataDxfId="2412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0B000000}" name="CountyAllYearsCGRSales" displayName="CountyAllYearsCGRSales" ref="A38:W40" totalsRowShown="0" headerRowDxfId="2411" dataDxfId="2410">
  <autoFilter ref="A38:W40" xr:uid="{00000000-0009-0000-0100-000031000000}"/>
  <tableColumns count="23">
    <tableColumn id="1" xr3:uid="{00000000-0010-0000-0B00-000001000000}" name="Category" dataDxfId="2409"/>
    <tableColumn id="2" xr3:uid="{00000000-0010-0000-0B00-000002000000}" name="1996" dataDxfId="2408"/>
    <tableColumn id="3" xr3:uid="{00000000-0010-0000-0B00-000003000000}" name="1997" dataDxfId="2407">
      <calculatedColumnFormula>VLOOKUP($A$3,'Sales Base'!$BV$10:$CL$98,2)</calculatedColumnFormula>
    </tableColumn>
    <tableColumn id="4" xr3:uid="{00000000-0010-0000-0B00-000004000000}" name="1998" dataDxfId="2406">
      <calculatedColumnFormula>VLOOKUP($A$3,'Sales Base'!$BV$10:$CL$98,3)</calculatedColumnFormula>
    </tableColumn>
    <tableColumn id="5" xr3:uid="{00000000-0010-0000-0B00-000005000000}" name="1999" dataDxfId="2405">
      <calculatedColumnFormula>VLOOKUP($A$3,'Sales Base'!$BV$10:$CL$98,4)</calculatedColumnFormula>
    </tableColumn>
    <tableColumn id="6" xr3:uid="{00000000-0010-0000-0B00-000006000000}" name="2000" dataDxfId="2404">
      <calculatedColumnFormula>VLOOKUP($A$3,'Sales Base'!$BV$10:$CL$98,5)</calculatedColumnFormula>
    </tableColumn>
    <tableColumn id="7" xr3:uid="{00000000-0010-0000-0B00-000007000000}" name="2001" dataDxfId="2403">
      <calculatedColumnFormula>VLOOKUP($A$3,'Sales Base'!$BV$10:$CL$98,6)</calculatedColumnFormula>
    </tableColumn>
    <tableColumn id="8" xr3:uid="{00000000-0010-0000-0B00-000008000000}" name="2002" dataDxfId="2402">
      <calculatedColumnFormula>VLOOKUP($A$3,'Sales Base'!$BV$10:$CL$98,7)</calculatedColumnFormula>
    </tableColumn>
    <tableColumn id="9" xr3:uid="{00000000-0010-0000-0B00-000009000000}" name="2003" dataDxfId="2401">
      <calculatedColumnFormula>VLOOKUP($A$3,'Sales Base'!$BV$10:$CL$98,8)</calculatedColumnFormula>
    </tableColumn>
    <tableColumn id="10" xr3:uid="{00000000-0010-0000-0B00-00000A000000}" name="2004" dataDxfId="2400">
      <calculatedColumnFormula>VLOOKUP($A$3,'Sales Base'!$BV$10:$CL$98,9)</calculatedColumnFormula>
    </tableColumn>
    <tableColumn id="11" xr3:uid="{00000000-0010-0000-0B00-00000B000000}" name="2005" dataDxfId="2399">
      <calculatedColumnFormula>VLOOKUP($A$3,'Sales Base'!$BV$10:$CL$98,10)</calculatedColumnFormula>
    </tableColumn>
    <tableColumn id="12" xr3:uid="{00000000-0010-0000-0B00-00000C000000}" name="2006" dataDxfId="2398">
      <calculatedColumnFormula>VLOOKUP($A$3,'Sales Base'!$BV$10:$CL$98,11)</calculatedColumnFormula>
    </tableColumn>
    <tableColumn id="13" xr3:uid="{00000000-0010-0000-0B00-00000D000000}" name="2007" dataDxfId="2397">
      <calculatedColumnFormula>VLOOKUP($A$3,'Sales Base'!$BV$10:$CL$98,12)</calculatedColumnFormula>
    </tableColumn>
    <tableColumn id="14" xr3:uid="{00000000-0010-0000-0B00-00000E000000}" name="2008" dataDxfId="2396">
      <calculatedColumnFormula>VLOOKUP($A$3,'Sales Base'!$BV$10:$CL$98,13)</calculatedColumnFormula>
    </tableColumn>
    <tableColumn id="15" xr3:uid="{00000000-0010-0000-0B00-00000F000000}" name="2009" dataDxfId="2395">
      <calculatedColumnFormula>VLOOKUP($A$3,'Sales Base'!$BV$10:$CL$98,14)</calculatedColumnFormula>
    </tableColumn>
    <tableColumn id="16" xr3:uid="{00000000-0010-0000-0B00-000010000000}" name="2010" dataDxfId="2394">
      <calculatedColumnFormula>VLOOKUP($A$3,'Sales Base'!$BV$10:$CL$98,15)</calculatedColumnFormula>
    </tableColumn>
    <tableColumn id="17" xr3:uid="{00000000-0010-0000-0B00-000011000000}" name="2011" dataDxfId="2393">
      <calculatedColumnFormula>VLOOKUP($A$3,'Sales Base'!$BV$10:$CL$98,16)</calculatedColumnFormula>
    </tableColumn>
    <tableColumn id="18" xr3:uid="{00000000-0010-0000-0B00-000012000000}" name="2012" dataDxfId="2392">
      <calculatedColumnFormula>VLOOKUP($A$3,'Sales Base'!$BV$10:$CL$98,17)</calculatedColumnFormula>
    </tableColumn>
    <tableColumn id="19" xr3:uid="{00000000-0010-0000-0B00-000013000000}" name="2013" dataDxfId="2391"/>
    <tableColumn id="20" xr3:uid="{00000000-0010-0000-0B00-000014000000}" name="2014" dataDxfId="2390"/>
    <tableColumn id="21" xr3:uid="{00000000-0010-0000-0B00-000015000000}" name="2015" dataDxfId="2389"/>
    <tableColumn id="22" xr3:uid="{00000000-0010-0000-0B00-000016000000}" name="2016" dataDxfId="2388"/>
    <tableColumn id="23" xr3:uid="{00000000-0010-0000-0B00-000017000000}" name="2017" dataDxfId="2387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0C000000}" name="CountyAllYearsPopulation" displayName="CountyAllYearsPopulation" ref="A11:W12" totalsRowShown="0" headerRowDxfId="2386" dataDxfId="2385">
  <autoFilter ref="A11:W12" xr:uid="{00000000-0009-0000-0100-000032000000}"/>
  <tableColumns count="23">
    <tableColumn id="1" xr3:uid="{00000000-0010-0000-0C00-000001000000}" name="Category" dataDxfId="2384"/>
    <tableColumn id="2" xr3:uid="{00000000-0010-0000-0C00-000002000000}" name="1996" dataDxfId="2383">
      <calculatedColumnFormula>INDEX(Population[],MATCH($A$3,Population[County]),MATCH(B11,Population[#Headers],0))</calculatedColumnFormula>
    </tableColumn>
    <tableColumn id="3" xr3:uid="{00000000-0010-0000-0C00-000003000000}" name="1997" dataDxfId="2382">
      <calculatedColumnFormula>INDEX(Population[],MATCH($A$3,Population[County]),MATCH(C11,Population[#Headers]))</calculatedColumnFormula>
    </tableColumn>
    <tableColumn id="4" xr3:uid="{00000000-0010-0000-0C00-000004000000}" name="1998" dataDxfId="2381">
      <calculatedColumnFormula>INDEX(Population[],MATCH($A$3,Population[County]),MATCH(D11,Population[#Headers]))</calculatedColumnFormula>
    </tableColumn>
    <tableColumn id="5" xr3:uid="{00000000-0010-0000-0C00-000005000000}" name="1999" dataDxfId="2380">
      <calculatedColumnFormula>INDEX(Population[],MATCH($A$3,Population[County]),MATCH(E11,Population[#Headers]))</calculatedColumnFormula>
    </tableColumn>
    <tableColumn id="6" xr3:uid="{00000000-0010-0000-0C00-000006000000}" name="2000" dataDxfId="2379">
      <calculatedColumnFormula>INDEX(Population[],MATCH($A$3,Population[County]),MATCH(F11,Population[#Headers]))</calculatedColumnFormula>
    </tableColumn>
    <tableColumn id="7" xr3:uid="{00000000-0010-0000-0C00-000007000000}" name="2001" dataDxfId="2378">
      <calculatedColumnFormula>INDEX(Population[],MATCH($A$3,Population[County]),MATCH(G11,Population[#Headers]))</calculatedColumnFormula>
    </tableColumn>
    <tableColumn id="8" xr3:uid="{00000000-0010-0000-0C00-000008000000}" name="2002" dataDxfId="2377">
      <calculatedColumnFormula>INDEX(Population[],MATCH($A$3,Population[County]),MATCH(H11,Population[#Headers]))</calculatedColumnFormula>
    </tableColumn>
    <tableColumn id="9" xr3:uid="{00000000-0010-0000-0C00-000009000000}" name="2003" dataDxfId="2376">
      <calculatedColumnFormula>INDEX(Population[],MATCH($A$3,Population[County]),MATCH(I11,Population[#Headers]))</calculatedColumnFormula>
    </tableColumn>
    <tableColumn id="10" xr3:uid="{00000000-0010-0000-0C00-00000A000000}" name="2004" dataDxfId="2375">
      <calculatedColumnFormula>INDEX(Population[],MATCH($A$3,Population[County]),MATCH(J11,Population[#Headers]))</calculatedColumnFormula>
    </tableColumn>
    <tableColumn id="11" xr3:uid="{00000000-0010-0000-0C00-00000B000000}" name="2005" dataDxfId="2374">
      <calculatedColumnFormula>INDEX(Population[],MATCH($A$3,Population[County]),MATCH(K11,Population[#Headers]))</calculatedColumnFormula>
    </tableColumn>
    <tableColumn id="12" xr3:uid="{00000000-0010-0000-0C00-00000C000000}" name="2006" dataDxfId="2373">
      <calculatedColumnFormula>INDEX(Population[],MATCH($A$3,Population[County]),MATCH(L11,Population[#Headers]))</calculatedColumnFormula>
    </tableColumn>
    <tableColumn id="13" xr3:uid="{00000000-0010-0000-0C00-00000D000000}" name="2007" dataDxfId="2372">
      <calculatedColumnFormula>INDEX(Population[],MATCH($A$3,Population[County]),MATCH(M11,Population[#Headers]))</calculatedColumnFormula>
    </tableColumn>
    <tableColumn id="14" xr3:uid="{00000000-0010-0000-0C00-00000E000000}" name="2008" dataDxfId="2371">
      <calculatedColumnFormula>INDEX(Population[],MATCH($A$3,Population[County]),MATCH(N11,Population[#Headers]))</calculatedColumnFormula>
    </tableColumn>
    <tableColumn id="15" xr3:uid="{00000000-0010-0000-0C00-00000F000000}" name="2009" dataDxfId="2370">
      <calculatedColumnFormula>INDEX(Population[],MATCH($A$3,Population[County]),MATCH(O11,Population[#Headers]))</calculatedColumnFormula>
    </tableColumn>
    <tableColumn id="16" xr3:uid="{00000000-0010-0000-0C00-000010000000}" name="2010" dataDxfId="2369">
      <calculatedColumnFormula>INDEX(Population[],MATCH($A$3,Population[County]),MATCH(P11,Population[#Headers]))</calculatedColumnFormula>
    </tableColumn>
    <tableColumn id="17" xr3:uid="{00000000-0010-0000-0C00-000011000000}" name="2011" dataDxfId="2368">
      <calculatedColumnFormula>INDEX(Population[],MATCH($A$3,Population[County]),MATCH(Q11,Population[#Headers]))</calculatedColumnFormula>
    </tableColumn>
    <tableColumn id="18" xr3:uid="{00000000-0010-0000-0C00-000012000000}" name="2012" dataDxfId="2367">
      <calculatedColumnFormula>INDEX(Population[],MATCH($A$3,Population[County]),MATCH(R11,Population[#Headers]))</calculatedColumnFormula>
    </tableColumn>
    <tableColumn id="19" xr3:uid="{00000000-0010-0000-0C00-000013000000}" name="2013" dataDxfId="2366">
      <calculatedColumnFormula>INDEX(Population[],MATCH($A$3,Population[County]),MATCH(S11,Population[#Headers]))</calculatedColumnFormula>
    </tableColumn>
    <tableColumn id="20" xr3:uid="{00000000-0010-0000-0C00-000014000000}" name="2014" dataDxfId="2365">
      <calculatedColumnFormula>INDEX(Population[],MATCH($A$3,Population[County]),MATCH(T11,Population[#Headers]))</calculatedColumnFormula>
    </tableColumn>
    <tableColumn id="21" xr3:uid="{00000000-0010-0000-0C00-000015000000}" name="2015" dataDxfId="2364">
      <calculatedColumnFormula>INDEX(Population[],MATCH($A$3,Population[County]),MATCH(U11,Population[#Headers]))</calculatedColumnFormula>
    </tableColumn>
    <tableColumn id="22" xr3:uid="{00000000-0010-0000-0C00-000016000000}" name="2016" dataDxfId="2363">
      <calculatedColumnFormula>INDEX(Population[],MATCH($A$3,Population[County]),MATCH(V11,Population[#Headers]))</calculatedColumnFormula>
    </tableColumn>
    <tableColumn id="23" xr3:uid="{00000000-0010-0000-0C00-000017000000}" name="2017" dataDxfId="2362">
      <calculatedColumnFormula>INDEX(Population[],MATCH($A$3,Population[County]),MATCH(W11,Population[#Headers]))</calculatedColumnFormula>
    </tableColumn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0D000000}" name="CountyAllYearsRealIncomePerCapita" displayName="CountyAllYearsRealIncomePerCapita" ref="A15:W17" totalsRowShown="0" headerRowDxfId="2361" dataDxfId="2360">
  <autoFilter ref="A15:W17" xr:uid="{00000000-0009-0000-0100-000033000000}"/>
  <tableColumns count="23">
    <tableColumn id="1" xr3:uid="{00000000-0010-0000-0D00-000001000000}" name="Category" dataDxfId="2359"/>
    <tableColumn id="2" xr3:uid="{00000000-0010-0000-0D00-000002000000}" name="1996" dataDxfId="2358"/>
    <tableColumn id="3" xr3:uid="{00000000-0010-0000-0D00-000003000000}" name="1997" dataDxfId="2357">
      <calculatedColumnFormula>INDEX(PercapitaIncome[],MATCH($A$3,PercapitaIncome[AreaName]),MATCH(C14,PercapitaIncome[#Headers]))</calculatedColumnFormula>
    </tableColumn>
    <tableColumn id="4" xr3:uid="{00000000-0010-0000-0D00-000004000000}" name="1998" dataDxfId="2356">
      <calculatedColumnFormula>INDEX(PercapitaIncome[],MATCH($A$3,PercapitaIncome[AreaName]),MATCH(D14,PercapitaIncome[#Headers]))</calculatedColumnFormula>
    </tableColumn>
    <tableColumn id="5" xr3:uid="{00000000-0010-0000-0D00-000005000000}" name="1999" dataDxfId="2355">
      <calculatedColumnFormula>INDEX(PercapitaIncome[],MATCH($A$3,PercapitaIncome[AreaName]),MATCH(E14,PercapitaIncome[#Headers]))</calculatedColumnFormula>
    </tableColumn>
    <tableColumn id="6" xr3:uid="{00000000-0010-0000-0D00-000006000000}" name="2000" dataDxfId="2354">
      <calculatedColumnFormula>INDEX(PercapitaIncome[],MATCH($A$3,PercapitaIncome[AreaName]),MATCH(F14,PercapitaIncome[#Headers]))</calculatedColumnFormula>
    </tableColumn>
    <tableColumn id="7" xr3:uid="{00000000-0010-0000-0D00-000007000000}" name="2001" dataDxfId="2353">
      <calculatedColumnFormula>INDEX(PercapitaIncome[],MATCH($A$3,PercapitaIncome[AreaName]),MATCH(G14,PercapitaIncome[#Headers]))</calculatedColumnFormula>
    </tableColumn>
    <tableColumn id="8" xr3:uid="{00000000-0010-0000-0D00-000008000000}" name="2002" dataDxfId="2352">
      <calculatedColumnFormula>INDEX(PercapitaIncome[],MATCH($A$3,PercapitaIncome[AreaName]),MATCH(H14,PercapitaIncome[#Headers]))</calculatedColumnFormula>
    </tableColumn>
    <tableColumn id="9" xr3:uid="{00000000-0010-0000-0D00-000009000000}" name="2003" dataDxfId="2351">
      <calculatedColumnFormula>INDEX(PercapitaIncome[],MATCH($A$3,PercapitaIncome[AreaName]),MATCH(I14,PercapitaIncome[#Headers]))</calculatedColumnFormula>
    </tableColumn>
    <tableColumn id="10" xr3:uid="{00000000-0010-0000-0D00-00000A000000}" name="2004" dataDxfId="2350">
      <calculatedColumnFormula>INDEX(PercapitaIncome[],MATCH($A$3,PercapitaIncome[AreaName]),MATCH(J14,PercapitaIncome[#Headers]))</calculatedColumnFormula>
    </tableColumn>
    <tableColumn id="11" xr3:uid="{00000000-0010-0000-0D00-00000B000000}" name="2005" dataDxfId="2349">
      <calculatedColumnFormula>INDEX(PercapitaIncome[],MATCH($A$3,PercapitaIncome[AreaName]),MATCH(K14,PercapitaIncome[#Headers]))</calculatedColumnFormula>
    </tableColumn>
    <tableColumn id="12" xr3:uid="{00000000-0010-0000-0D00-00000C000000}" name="2006" dataDxfId="2348">
      <calculatedColumnFormula>INDEX(PercapitaIncome[],MATCH($A$3,PercapitaIncome[AreaName]),MATCH(L14,PercapitaIncome[#Headers]))</calculatedColumnFormula>
    </tableColumn>
    <tableColumn id="13" xr3:uid="{00000000-0010-0000-0D00-00000D000000}" name="2007" dataDxfId="2347">
      <calculatedColumnFormula>INDEX(PercapitaIncome[],MATCH($A$3,PercapitaIncome[AreaName]),MATCH(M14,PercapitaIncome[#Headers]))</calculatedColumnFormula>
    </tableColumn>
    <tableColumn id="14" xr3:uid="{00000000-0010-0000-0D00-00000E000000}" name="2008" dataDxfId="2346">
      <calculatedColumnFormula>INDEX(PercapitaIncome[],MATCH($A$3,PercapitaIncome[AreaName]),MATCH(N14,PercapitaIncome[#Headers]))</calculatedColumnFormula>
    </tableColumn>
    <tableColumn id="15" xr3:uid="{00000000-0010-0000-0D00-00000F000000}" name="2009" dataDxfId="2345">
      <calculatedColumnFormula>INDEX(PercapitaIncome[],MATCH($A$3,PercapitaIncome[AreaName]),MATCH(O14,PercapitaIncome[#Headers]))</calculatedColumnFormula>
    </tableColumn>
    <tableColumn id="16" xr3:uid="{00000000-0010-0000-0D00-000010000000}" name="2010" dataDxfId="2344">
      <calculatedColumnFormula>INDEX(PercapitaIncome[],MATCH($A$3,PercapitaIncome[AreaName]),MATCH(P14,PercapitaIncome[#Headers]))</calculatedColumnFormula>
    </tableColumn>
    <tableColumn id="17" xr3:uid="{00000000-0010-0000-0D00-000011000000}" name="2011" dataDxfId="2343">
      <calculatedColumnFormula>INDEX(PercapitaIncome[],MATCH($A$3,PercapitaIncome[AreaName]),MATCH(Q14,PercapitaIncome[#Headers]))</calculatedColumnFormula>
    </tableColumn>
    <tableColumn id="18" xr3:uid="{00000000-0010-0000-0D00-000012000000}" name="2012" dataDxfId="2342">
      <calculatedColumnFormula>INDEX(PercapitaIncome[],MATCH($A$3,PercapitaIncome[AreaName]),MATCH(R14,PercapitaIncome[#Headers]))</calculatedColumnFormula>
    </tableColumn>
    <tableColumn id="19" xr3:uid="{00000000-0010-0000-0D00-000013000000}" name="2013" dataDxfId="2341">
      <calculatedColumnFormula>INDEX(PercapitaIncome[],MATCH($A$3,PercapitaIncome[AreaName]),MATCH(S14,PercapitaIncome[#Headers]))</calculatedColumnFormula>
    </tableColumn>
    <tableColumn id="20" xr3:uid="{00000000-0010-0000-0D00-000014000000}" name="2014" dataDxfId="2340"/>
    <tableColumn id="21" xr3:uid="{00000000-0010-0000-0D00-000015000000}" name="2015" dataDxfId="2339"/>
    <tableColumn id="22" xr3:uid="{00000000-0010-0000-0D00-000016000000}" name="2016" dataDxfId="2338"/>
    <tableColumn id="23" xr3:uid="{00000000-0010-0000-0D00-000017000000}" name="2017" dataDxfId="2337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0E000000}" name="CountyAllYearsRealGRREPerCapita" displayName="CountyAllYearsRealGRREPerCapita" ref="A20:W22" totalsRowShown="0" headerRowDxfId="2336" dataDxfId="2335">
  <autoFilter ref="A20:W22" xr:uid="{00000000-0009-0000-0100-000034000000}"/>
  <tableColumns count="23">
    <tableColumn id="1" xr3:uid="{00000000-0010-0000-0E00-000001000000}" name="Category" dataDxfId="2334"/>
    <tableColumn id="2" xr3:uid="{00000000-0010-0000-0E00-000002000000}" name="1996" dataDxfId="2333">
      <calculatedColumnFormula>(VLOOKUP($A$3,'4GF Expenditures'!$A$17:$R$106,2)/VLOOKUP('County Real per Capita'!$A$3,'Population &amp; Income'!$A$8:$R$99,2))/('Price Indices'!A$4/'Price Indices'!$A$4)</calculatedColumnFormula>
    </tableColumn>
    <tableColumn id="3" xr3:uid="{00000000-0010-0000-0E00-000003000000}" name="1997" dataDxfId="2332">
      <calculatedColumnFormula>(VLOOKUP($A$3,'4GF Expenditures'!$A$17:$R$106,3)/VLOOKUP('County Real per Capita'!$A$3,'Population &amp; Income'!$A$8:$R$99,3))/('Price Indices'!B$4/'Price Indices'!$A$4)</calculatedColumnFormula>
    </tableColumn>
    <tableColumn id="4" xr3:uid="{00000000-0010-0000-0E00-000004000000}" name="1998" dataDxfId="2331">
      <calculatedColumnFormula>(VLOOKUP($A$3,'4GF Expenditures'!$A$17:$R$106,4)/VLOOKUP('County Real per Capita'!$A$3,'Population &amp; Income'!$A$8:$R$99,4))/('Price Indices'!C$4/'Price Indices'!$A$4)</calculatedColumnFormula>
    </tableColumn>
    <tableColumn id="5" xr3:uid="{00000000-0010-0000-0E00-000005000000}" name="1999" dataDxfId="2330">
      <calculatedColumnFormula>(VLOOKUP($A$3,'4GF Expenditures'!$A$17:$R$106,5)/VLOOKUP('County Real per Capita'!$A$3,'Population &amp; Income'!$A$8:$R$99,5))/('Price Indices'!D$4/'Price Indices'!$A$4)</calculatedColumnFormula>
    </tableColumn>
    <tableColumn id="6" xr3:uid="{00000000-0010-0000-0E00-000006000000}" name="2000" dataDxfId="2329">
      <calculatedColumnFormula>(VLOOKUP($A$3,'4GF Expenditures'!$A$17:$R$106,6)/VLOOKUP('County Real per Capita'!$A$3,'Population &amp; Income'!$A$8:$R$99,6))/('Price Indices'!E$4/'Price Indices'!$A$4)</calculatedColumnFormula>
    </tableColumn>
    <tableColumn id="7" xr3:uid="{00000000-0010-0000-0E00-000007000000}" name="2001" dataDxfId="2328">
      <calculatedColumnFormula>(VLOOKUP($A$3,'4GF Expenditures'!$A$17:$R$106,7)/VLOOKUP('County Real per Capita'!$A$3,'Population &amp; Income'!$A$8:$R$99,7))/('Price Indices'!F$4/'Price Indices'!$A$4)</calculatedColumnFormula>
    </tableColumn>
    <tableColumn id="8" xr3:uid="{00000000-0010-0000-0E00-000008000000}" name="2002" dataDxfId="2327">
      <calculatedColumnFormula>(VLOOKUP($A$3,'4GF Expenditures'!$A$17:$R$106,8)/VLOOKUP('County Real per Capita'!$A$3,'Population &amp; Income'!$A$8:$R$99,8))/('Price Indices'!G$4/'Price Indices'!$A$4)</calculatedColumnFormula>
    </tableColumn>
    <tableColumn id="9" xr3:uid="{00000000-0010-0000-0E00-000009000000}" name="2003" dataDxfId="2326">
      <calculatedColumnFormula>(VLOOKUP($A$3,'4GF Expenditures'!$A$17:$R$106,9)/VLOOKUP('County Real per Capita'!$A$3,'Population &amp; Income'!$A$8:$R$99,9))/('Price Indices'!H$4/'Price Indices'!$A$4)</calculatedColumnFormula>
    </tableColumn>
    <tableColumn id="10" xr3:uid="{00000000-0010-0000-0E00-00000A000000}" name="2004" dataDxfId="2325">
      <calculatedColumnFormula>(VLOOKUP($A$3,'4GF Expenditures'!$A$17:$R$106,10)/VLOOKUP('County Real per Capita'!$A$3,'Population &amp; Income'!$A$8:$R$99,10))/('Price Indices'!I$4/'Price Indices'!$A$4)</calculatedColumnFormula>
    </tableColumn>
    <tableColumn id="11" xr3:uid="{00000000-0010-0000-0E00-00000B000000}" name="2005" dataDxfId="2324">
      <calculatedColumnFormula>(VLOOKUP($A$3,'4GF Expenditures'!$A$17:$R$106,11)/VLOOKUP('County Real per Capita'!$A$3,'Population &amp; Income'!$A$8:$R$99,11))/('Price Indices'!J$4/'Price Indices'!$A$4)</calculatedColumnFormula>
    </tableColumn>
    <tableColumn id="12" xr3:uid="{00000000-0010-0000-0E00-00000C000000}" name="2006" dataDxfId="2323">
      <calculatedColumnFormula>(VLOOKUP($A$3,'4GF Expenditures'!$A$17:$R$106,12)/VLOOKUP('County Real per Capita'!$A$3,'Population &amp; Income'!$A$8:$R$99,12))/('Price Indices'!K$4/'Price Indices'!$A$4)</calculatedColumnFormula>
    </tableColumn>
    <tableColumn id="13" xr3:uid="{00000000-0010-0000-0E00-00000D000000}" name="2007" dataDxfId="2322">
      <calculatedColumnFormula>(VLOOKUP($A$3,'4GF Expenditures'!$A$17:$R$106,13)/VLOOKUP('County Real per Capita'!$A$3,'Population &amp; Income'!$A$8:$R$99,13))/('Price Indices'!L$4/'Price Indices'!$A$4)</calculatedColumnFormula>
    </tableColumn>
    <tableColumn id="14" xr3:uid="{00000000-0010-0000-0E00-00000E000000}" name="2008" dataDxfId="2321">
      <calculatedColumnFormula>(VLOOKUP($A$3,'4GF Expenditures'!$A$17:$R$106,14)/VLOOKUP('County Real per Capita'!$A$3,'Population &amp; Income'!$A$8:$R$99,14))/('Price Indices'!M$4/'Price Indices'!$A$4)</calculatedColumnFormula>
    </tableColumn>
    <tableColumn id="15" xr3:uid="{00000000-0010-0000-0E00-00000F000000}" name="2009" dataDxfId="2320">
      <calculatedColumnFormula>(VLOOKUP($A$3,'4GF Expenditures'!$A$17:$R$106,15)/VLOOKUP('County Real per Capita'!$A$3,'Population &amp; Income'!$A$8:$R$99,15))/('Price Indices'!N$4/'Price Indices'!$A$4)</calculatedColumnFormula>
    </tableColumn>
    <tableColumn id="16" xr3:uid="{00000000-0010-0000-0E00-000010000000}" name="2010" dataDxfId="2319">
      <calculatedColumnFormula>(VLOOKUP($A$3,'4GF Expenditures'!$A$17:$R$106, 16)/VLOOKUP('County Real per Capita'!$A$3,'Population &amp; Income'!$A$8:$R$99, 16))/('Price Indices'!O$4/'Price Indices'!$A$4)</calculatedColumnFormula>
    </tableColumn>
    <tableColumn id="17" xr3:uid="{00000000-0010-0000-0E00-000011000000}" name="2011" dataDxfId="2318">
      <calculatedColumnFormula>(VLOOKUP($A$3,'4GF Expenditures'!$A$17:$R$106, 17)/VLOOKUP('County Real per Capita'!$A$3,'Population &amp; Income'!$A$8:$R$99, 17))/('Price Indices'!P$4/'Price Indices'!$A$4)</calculatedColumnFormula>
    </tableColumn>
    <tableColumn id="18" xr3:uid="{00000000-0010-0000-0E00-000012000000}" name="2012" dataDxfId="2317"/>
    <tableColumn id="19" xr3:uid="{00000000-0010-0000-0E00-000013000000}" name="2013" dataDxfId="2316"/>
    <tableColumn id="20" xr3:uid="{00000000-0010-0000-0E00-000014000000}" name="2014" dataDxfId="2315"/>
    <tableColumn id="21" xr3:uid="{00000000-0010-0000-0E00-000015000000}" name="2015" dataDxfId="2314"/>
    <tableColumn id="22" xr3:uid="{00000000-0010-0000-0E00-000016000000}" name="2016" dataDxfId="2313"/>
    <tableColumn id="23" xr3:uid="{00000000-0010-0000-0E00-000017000000}" name="2017" dataDxfId="2312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0F000000}" name="CountyAllYearsRealTaxBasePerCapita" displayName="CountyAllYearsRealTaxBasePerCapita" ref="A25:W27" totalsRowShown="0" headerRowDxfId="2311">
  <autoFilter ref="A25:W27" xr:uid="{00000000-0009-0000-0100-000035000000}"/>
  <tableColumns count="23">
    <tableColumn id="1" xr3:uid="{00000000-0010-0000-0F00-000001000000}" name="Category" dataDxfId="2310"/>
    <tableColumn id="2" xr3:uid="{00000000-0010-0000-0F00-000002000000}" name="1996">
      <calculatedColumnFormula>(VLOOKUP($A$3,'Sales Base'!$A$10:$R$98,2)/VLOOKUP('County Real per Capita'!$A$3,'Population &amp; Income'!$A$8:$R$99,2))/('Price Indices'!A$4/'Price Indices'!$A$4)</calculatedColumnFormula>
    </tableColumn>
    <tableColumn id="3" xr3:uid="{00000000-0010-0000-0F00-000003000000}" name="1997">
      <calculatedColumnFormula>(VLOOKUP($A$3,'Sales Base'!$A$10:$R$98,3)/VLOOKUP('County Real per Capita'!$A$3,'Population &amp; Income'!$A$8:$R$99,3))/('Price Indices'!B$4/'Price Indices'!$A$4)</calculatedColumnFormula>
    </tableColumn>
    <tableColumn id="4" xr3:uid="{00000000-0010-0000-0F00-000004000000}" name="1998">
      <calculatedColumnFormula>(VLOOKUP($A$3,'Sales Base'!$A$10:$R$98,4)/VLOOKUP('County Real per Capita'!$A$3,'Population &amp; Income'!$A$8:$R$99,4))/('Price Indices'!C$4/'Price Indices'!$A$4)</calculatedColumnFormula>
    </tableColumn>
    <tableColumn id="5" xr3:uid="{00000000-0010-0000-0F00-000005000000}" name="1999">
      <calculatedColumnFormula>(VLOOKUP($A$3,'Sales Base'!$A$10:$R$98,5)/VLOOKUP('County Real per Capita'!$A$3,'Population &amp; Income'!$A$8:$R$99,5))/('Price Indices'!D$4/'Price Indices'!$A$4)</calculatedColumnFormula>
    </tableColumn>
    <tableColumn id="6" xr3:uid="{00000000-0010-0000-0F00-000006000000}" name="2000">
      <calculatedColumnFormula>(VLOOKUP($A$3,'Sales Base'!$A$10:$R$98,6)/VLOOKUP('County Real per Capita'!$A$3,'Population &amp; Income'!$A$8:$R$99,6))/('Price Indices'!E$4/'Price Indices'!$A$4)</calculatedColumnFormula>
    </tableColumn>
    <tableColumn id="7" xr3:uid="{00000000-0010-0000-0F00-000007000000}" name="2001">
      <calculatedColumnFormula>(VLOOKUP($A$3,'Sales Base'!$A$10:$R$98,7)/VLOOKUP('County Real per Capita'!$A$3,'Population &amp; Income'!$A$8:$R$99,7))/('Price Indices'!F$4/'Price Indices'!$A$4)</calculatedColumnFormula>
    </tableColumn>
    <tableColumn id="8" xr3:uid="{00000000-0010-0000-0F00-000008000000}" name="2002">
      <calculatedColumnFormula>(VLOOKUP($A$3,'Sales Base'!$A$10:$R$98,8)/VLOOKUP('County Real per Capita'!$A$3,'Population &amp; Income'!$A$8:$R$99,8))/('Price Indices'!G$4/'Price Indices'!$A$4)</calculatedColumnFormula>
    </tableColumn>
    <tableColumn id="9" xr3:uid="{00000000-0010-0000-0F00-000009000000}" name="2003">
      <calculatedColumnFormula>(VLOOKUP($A$3,'Sales Base'!$A$10:$R$98,9)/VLOOKUP('County Real per Capita'!$A$3,'Population &amp; Income'!$A$8:$R$99,9))/('Price Indices'!H$4/'Price Indices'!$A$4)</calculatedColumnFormula>
    </tableColumn>
    <tableColumn id="10" xr3:uid="{00000000-0010-0000-0F00-00000A000000}" name="2004">
      <calculatedColumnFormula>(VLOOKUP($A$3,'Sales Base'!$A$10:$R$98,10)/VLOOKUP('County Real per Capita'!$A$3,'Population &amp; Income'!$A$8:$R$99,10))/('Price Indices'!I$4/'Price Indices'!$A$4)</calculatedColumnFormula>
    </tableColumn>
    <tableColumn id="11" xr3:uid="{00000000-0010-0000-0F00-00000B000000}" name="2005">
      <calculatedColumnFormula>(VLOOKUP($A$3,'Sales Base'!$A$10:$R$98,11)/VLOOKUP('County Real per Capita'!$A$3,'Population &amp; Income'!$A$8:$R$99,11))/('Price Indices'!J$4/'Price Indices'!$A$4)</calculatedColumnFormula>
    </tableColumn>
    <tableColumn id="12" xr3:uid="{00000000-0010-0000-0F00-00000C000000}" name="2006">
      <calculatedColumnFormula>(VLOOKUP($A$3,'Sales Base'!$A$10:$R$98,12)/VLOOKUP('County Real per Capita'!$A$3,'Population &amp; Income'!$A$8:$R$99,12))/('Price Indices'!K$4/'Price Indices'!$A$4)</calculatedColumnFormula>
    </tableColumn>
    <tableColumn id="13" xr3:uid="{00000000-0010-0000-0F00-00000D000000}" name="2007">
      <calculatedColumnFormula>(VLOOKUP($A$3,'Sales Base'!$A$10:$R$98,13)/VLOOKUP('County Real per Capita'!$A$3,'Population &amp; Income'!$A$8:$R$99,13))/('Price Indices'!L$4/'Price Indices'!$A$4)</calculatedColumnFormula>
    </tableColumn>
    <tableColumn id="14" xr3:uid="{00000000-0010-0000-0F00-00000E000000}" name="2008">
      <calculatedColumnFormula>(VLOOKUP($A$3,'Sales Base'!$A$10:$R$98,14)/VLOOKUP('County Real per Capita'!$A$3,'Population &amp; Income'!$A$8:$R$99,14))/('Price Indices'!M$4/'Price Indices'!$A$4)</calculatedColumnFormula>
    </tableColumn>
    <tableColumn id="15" xr3:uid="{00000000-0010-0000-0F00-00000F000000}" name="2009">
      <calculatedColumnFormula>(VLOOKUP($A$3,'Sales Base'!$A$10:$R$98,15)/VLOOKUP('County Real per Capita'!$A$3,'Population &amp; Income'!$A$8:$R$99,15))/('Price Indices'!N$4/'Price Indices'!$A$4)</calculatedColumnFormula>
    </tableColumn>
    <tableColumn id="16" xr3:uid="{00000000-0010-0000-0F00-000010000000}" name="2010">
      <calculatedColumnFormula>(VLOOKUP($A$3,'Sales Base'!$A$10:$R$98, 16)/VLOOKUP('County Real per Capita'!$A$3,'Population &amp; Income'!$A$8:$R$99, 16))/('Price Indices'!O$4/'Price Indices'!$A$4)</calculatedColumnFormula>
    </tableColumn>
    <tableColumn id="17" xr3:uid="{00000000-0010-0000-0F00-000011000000}" name="2011">
      <calculatedColumnFormula>(VLOOKUP($A$3,'Sales Base'!$A$10:$R$98, 17)/VLOOKUP('County Real per Capita'!$A$3,'Population &amp; Income'!$A$8:$R$99, 17))/('Price Indices'!P$4/'Price Indices'!$A$4)</calculatedColumnFormula>
    </tableColumn>
    <tableColumn id="18" xr3:uid="{00000000-0010-0000-0F00-000012000000}" name="2012">
      <calculatedColumnFormula>(INDEX(SalesBaseTaxableSalesTable[],MATCH($A$3,SalesBaseTaxableSalesTable[County]),MATCH(R24,SalesBaseTaxableSalesTable[#Headers]))/INDEX(CountyAllYearsPopulation[],1,MATCH(R24,Population[#Headers])))/(INDEX(MCINormalized[],1,MATCH(R24,MCINormalized[#Headers]))/100)</calculatedColumnFormula>
    </tableColumn>
    <tableColumn id="19" xr3:uid="{00000000-0010-0000-0F00-000013000000}" name="2013">
      <calculatedColumnFormula>(INDEX(SalesBaseTaxableSalesTable[],MATCH($A$3,SalesBaseTaxableSalesTable[County]),MATCH(S24,SalesBaseTaxableSalesTable[#Headers]))/INDEX(CountyAllYearsPopulation[],1,MATCH(S24,Population[#Headers])))/(INDEX(MCINormalized[],1,MATCH(S24,MCINormalized[#Headers]))/100)</calculatedColumnFormula>
    </tableColumn>
    <tableColumn id="20" xr3:uid="{00000000-0010-0000-0F00-000014000000}" name="2014"/>
    <tableColumn id="21" xr3:uid="{00000000-0010-0000-0F00-000015000000}" name="2015"/>
    <tableColumn id="22" xr3:uid="{00000000-0010-0000-0F00-000016000000}" name="2016"/>
    <tableColumn id="23" xr3:uid="{00000000-0010-0000-0F00-000017000000}" name="2017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10000000}" name="CountyAllYearsRealPropertySalesTaxPerCapita" displayName="CountyAllYearsRealPropertySalesTaxPerCapita" ref="A30:W32" totalsRowShown="0" headerRowDxfId="2309" dataDxfId="2308">
  <autoFilter ref="A30:W32" xr:uid="{00000000-0009-0000-0100-000036000000}"/>
  <tableColumns count="23">
    <tableColumn id="1" xr3:uid="{00000000-0010-0000-1000-000001000000}" name="Category"/>
    <tableColumn id="2" xr3:uid="{00000000-0010-0000-1000-000002000000}" name="1996" dataDxfId="2307">
      <calculatedColumnFormula>(VLOOKUP($A$3,'3-AGF Receipts &amp; Balances'!$AW$17:$BN$105,2)/VLOOKUP('County Real per Capita'!$A$3,'Population &amp; Income'!$A$8:$R$99,2))/('Price Indices'!A$4/'Price Indices'!$A$4)</calculatedColumnFormula>
    </tableColumn>
    <tableColumn id="3" xr3:uid="{00000000-0010-0000-1000-000003000000}" name="1997" dataDxfId="2306">
      <calculatedColumnFormula>(VLOOKUP($A$3,'3-AGF Receipts &amp; Balances'!$AW$17:$BN$105,3)/VLOOKUP('County Real per Capita'!$A$3,'Population &amp; Income'!$A$8:$R$99,3))/('Price Indices'!B$4/'Price Indices'!$A$4)</calculatedColumnFormula>
    </tableColumn>
    <tableColumn id="4" xr3:uid="{00000000-0010-0000-1000-000004000000}" name="1998" dataDxfId="2305">
      <calculatedColumnFormula>(VLOOKUP($A$3,'3-AGF Receipts &amp; Balances'!$AW$17:$BN$105,4)/VLOOKUP('County Real per Capita'!$A$3,'Population &amp; Income'!$A$8:$R$99,4))/('Price Indices'!C$4/'Price Indices'!$A$4)</calculatedColumnFormula>
    </tableColumn>
    <tableColumn id="5" xr3:uid="{00000000-0010-0000-1000-000005000000}" name="1999" dataDxfId="2304">
      <calculatedColumnFormula>(VLOOKUP($A$3,'3-AGF Receipts &amp; Balances'!$AW$17:$BN$105,5)/VLOOKUP('County Real per Capita'!$A$3,'Population &amp; Income'!$A$8:$R$99,5))/('Price Indices'!D$4/'Price Indices'!$A$4)</calculatedColumnFormula>
    </tableColumn>
    <tableColumn id="6" xr3:uid="{00000000-0010-0000-1000-000006000000}" name="2000" dataDxfId="2303">
      <calculatedColumnFormula>(VLOOKUP($A$3,'3-AGF Receipts &amp; Balances'!$AW$17:$BN$105,6)/VLOOKUP('County Real per Capita'!$A$3,'Population &amp; Income'!$A$8:$R$99,6))/('Price Indices'!E$4/'Price Indices'!$A$4)</calculatedColumnFormula>
    </tableColumn>
    <tableColumn id="7" xr3:uid="{00000000-0010-0000-1000-000007000000}" name="2001" dataDxfId="2302">
      <calculatedColumnFormula>(VLOOKUP($A$3,'3-AGF Receipts &amp; Balances'!$AW$17:$BN$105,7)/VLOOKUP('County Real per Capita'!$A$3,'Population &amp; Income'!$A$8:$R$99,7))/('Price Indices'!F$4/'Price Indices'!$A$4)</calculatedColumnFormula>
    </tableColumn>
    <tableColumn id="8" xr3:uid="{00000000-0010-0000-1000-000008000000}" name="2002" dataDxfId="2301">
      <calculatedColumnFormula>(VLOOKUP($A$3,'3-AGF Receipts &amp; Balances'!$AW$17:$BN$105,8)/VLOOKUP('County Real per Capita'!$A$3,'Population &amp; Income'!$A$8:$R$99,8))/('Price Indices'!G$4/'Price Indices'!$A$4)</calculatedColumnFormula>
    </tableColumn>
    <tableColumn id="9" xr3:uid="{00000000-0010-0000-1000-000009000000}" name="2003" dataDxfId="2300">
      <calculatedColumnFormula>(VLOOKUP($A$3,'3-AGF Receipts &amp; Balances'!$AW$17:$BN$105,9)/VLOOKUP('County Real per Capita'!$A$3,'Population &amp; Income'!$A$8:$R$99,9))/('Price Indices'!H$4/'Price Indices'!$A$4)</calculatedColumnFormula>
    </tableColumn>
    <tableColumn id="10" xr3:uid="{00000000-0010-0000-1000-00000A000000}" name="2004" dataDxfId="2299">
      <calculatedColumnFormula>(VLOOKUP($A$3,'3-AGF Receipts &amp; Balances'!$AW$17:$BN$105,10)/VLOOKUP('County Real per Capita'!$A$3,'Population &amp; Income'!$A$8:$R$99,10))/('Price Indices'!I$4/'Price Indices'!$A$4)</calculatedColumnFormula>
    </tableColumn>
    <tableColumn id="11" xr3:uid="{00000000-0010-0000-1000-00000B000000}" name="2005" dataDxfId="2298">
      <calculatedColumnFormula>(VLOOKUP($A$3,'3-AGF Receipts &amp; Balances'!$AW$17:$BN$105,11)/VLOOKUP('County Real per Capita'!$A$3,'Population &amp; Income'!$A$8:$R$99,11))/('Price Indices'!J$4/'Price Indices'!$A$4)</calculatedColumnFormula>
    </tableColumn>
    <tableColumn id="12" xr3:uid="{00000000-0010-0000-1000-00000C000000}" name="2006" dataDxfId="2297">
      <calculatedColumnFormula>(VLOOKUP($A$3,'3-AGF Receipts &amp; Balances'!$AW$17:$BN$105,12)/VLOOKUP('County Real per Capita'!$A$3,'Population &amp; Income'!$A$8:$R$99,12))/('Price Indices'!K$4/'Price Indices'!$A$4)</calculatedColumnFormula>
    </tableColumn>
    <tableColumn id="13" xr3:uid="{00000000-0010-0000-1000-00000D000000}" name="2007" dataDxfId="2296">
      <calculatedColumnFormula>(VLOOKUP($A$3,'3-AGF Receipts &amp; Balances'!$AW$17:$BN$105,13)/VLOOKUP('County Real per Capita'!$A$3,'Population &amp; Income'!$A$8:$R$99,13))/('Price Indices'!L$4/'Price Indices'!$A$4)</calculatedColumnFormula>
    </tableColumn>
    <tableColumn id="14" xr3:uid="{00000000-0010-0000-1000-00000E000000}" name="2008" dataDxfId="2295">
      <calculatedColumnFormula>(VLOOKUP($A$3,'3-AGF Receipts &amp; Balances'!$AW$17:$BN$105,14)/VLOOKUP('County Real per Capita'!$A$3,'Population &amp; Income'!$A$8:$R$99,14))/('Price Indices'!M$4/'Price Indices'!$A$4)</calculatedColumnFormula>
    </tableColumn>
    <tableColumn id="15" xr3:uid="{00000000-0010-0000-1000-00000F000000}" name="2009" dataDxfId="2294">
      <calculatedColumnFormula>(VLOOKUP($A$3,'3-AGF Receipts &amp; Balances'!$AW$17:$BN$105,15)/VLOOKUP('County Real per Capita'!$A$3,'Population &amp; Income'!$A$8:$R$99,15))/('Price Indices'!N$4/'Price Indices'!$A$4)</calculatedColumnFormula>
    </tableColumn>
    <tableColumn id="16" xr3:uid="{00000000-0010-0000-1000-000010000000}" name="2010" dataDxfId="2293">
      <calculatedColumnFormula>(VLOOKUP($A$3,'3-AGF Receipts &amp; Balances'!$AW$17:$BN$105, 16)/VLOOKUP('County Real per Capita'!$A$3,'Population &amp; Income'!$A$8:$R$99, 16))/('Price Indices'!O$4/'Price Indices'!$A$4)</calculatedColumnFormula>
    </tableColumn>
    <tableColumn id="17" xr3:uid="{00000000-0010-0000-1000-000011000000}" name="2011" dataDxfId="2292">
      <calculatedColumnFormula>(VLOOKUP($A$3,'3-AGF Receipts &amp; Balances'!$AW$17:$BN$105, 17)/VLOOKUP('County Real per Capita'!$A$3,'Population &amp; Income'!$A$8:$R$99, 17))/('Price Indices'!P$4/'Price Indices'!$A$4)</calculatedColumnFormula>
    </tableColumn>
    <tableColumn id="18" xr3:uid="{00000000-0010-0000-1000-000012000000}" name="2012" dataDxfId="2291"/>
    <tableColumn id="19" xr3:uid="{00000000-0010-0000-1000-000013000000}" name="2013" dataDxfId="2290"/>
    <tableColumn id="20" xr3:uid="{00000000-0010-0000-1000-000014000000}" name="2014" dataDxfId="2289"/>
    <tableColumn id="21" xr3:uid="{00000000-0010-0000-1000-000015000000}" name="2015" dataDxfId="2288"/>
    <tableColumn id="22" xr3:uid="{00000000-0010-0000-1000-000016000000}" name="2016" dataDxfId="2287"/>
    <tableColumn id="23" xr3:uid="{00000000-0010-0000-1000-000017000000}" name="2017" dataDxfId="2286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11000000}" name="CountyAllYearsRealGRRPerCapita" displayName="CountyAllYearsRealGRRPerCapita" ref="A35:W41" totalsRowShown="0" headerRowDxfId="2285" dataDxfId="2284">
  <autoFilter ref="A35:W41" xr:uid="{00000000-0009-0000-0100-000037000000}"/>
  <tableColumns count="23">
    <tableColumn id="1" xr3:uid="{00000000-0010-0000-1100-000001000000}" name="Category" dataDxfId="2283"/>
    <tableColumn id="2" xr3:uid="{00000000-0010-0000-1100-000002000000}" name="1996" dataDxfId="2282"/>
    <tableColumn id="3" xr3:uid="{00000000-0010-0000-1100-000003000000}" name="1997" dataDxfId="2281"/>
    <tableColumn id="4" xr3:uid="{00000000-0010-0000-1100-000004000000}" name="1998" dataDxfId="2280"/>
    <tableColumn id="5" xr3:uid="{00000000-0010-0000-1100-000005000000}" name="1999" dataDxfId="2279"/>
    <tableColumn id="6" xr3:uid="{00000000-0010-0000-1100-000006000000}" name="2000" dataDxfId="2278"/>
    <tableColumn id="7" xr3:uid="{00000000-0010-0000-1100-000007000000}" name="2001" dataDxfId="2277"/>
    <tableColumn id="8" xr3:uid="{00000000-0010-0000-1100-000008000000}" name="2002" dataDxfId="2276"/>
    <tableColumn id="9" xr3:uid="{00000000-0010-0000-1100-000009000000}" name="2003" dataDxfId="2275"/>
    <tableColumn id="10" xr3:uid="{00000000-0010-0000-1100-00000A000000}" name="2004" dataDxfId="2274"/>
    <tableColumn id="11" xr3:uid="{00000000-0010-0000-1100-00000B000000}" name="2005" dataDxfId="2273"/>
    <tableColumn id="12" xr3:uid="{00000000-0010-0000-1100-00000C000000}" name="2006" dataDxfId="2272"/>
    <tableColumn id="13" xr3:uid="{00000000-0010-0000-1100-00000D000000}" name="2007" dataDxfId="2271"/>
    <tableColumn id="14" xr3:uid="{00000000-0010-0000-1100-00000E000000}" name="2008" dataDxfId="2270"/>
    <tableColumn id="15" xr3:uid="{00000000-0010-0000-1100-00000F000000}" name="2009" dataDxfId="2269"/>
    <tableColumn id="16" xr3:uid="{00000000-0010-0000-1100-000010000000}" name="2010" dataDxfId="2268"/>
    <tableColumn id="17" xr3:uid="{00000000-0010-0000-1100-000011000000}" name="2011" dataDxfId="2267"/>
    <tableColumn id="18" xr3:uid="{00000000-0010-0000-1100-000012000000}" name="2012" dataDxfId="2266"/>
    <tableColumn id="19" xr3:uid="{00000000-0010-0000-1100-000013000000}" name="2013" dataDxfId="2265"/>
    <tableColumn id="20" xr3:uid="{00000000-0010-0000-1100-000014000000}" name="2014" dataDxfId="2264"/>
    <tableColumn id="21" xr3:uid="{00000000-0010-0000-1100-000015000000}" name="2015" dataDxfId="2263"/>
    <tableColumn id="22" xr3:uid="{00000000-0010-0000-1100-000016000000}" name="2016" dataDxfId="2262"/>
    <tableColumn id="23" xr3:uid="{00000000-0010-0000-1100-000017000000}" name="2017" dataDxfId="2261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12000000}" name="CountyAllYearsRealGREPerCapita" displayName="CountyAllYearsRealGREPerCapita" ref="A44:W52" totalsRowShown="0" headerRowDxfId="2260" dataDxfId="2259">
  <autoFilter ref="A44:W52" xr:uid="{00000000-0009-0000-0100-000038000000}"/>
  <tableColumns count="23">
    <tableColumn id="1" xr3:uid="{00000000-0010-0000-1200-000001000000}" name="Category" dataDxfId="2258"/>
    <tableColumn id="2" xr3:uid="{00000000-0010-0000-1200-000002000000}" name="1996" dataDxfId="2257"/>
    <tableColumn id="3" xr3:uid="{00000000-0010-0000-1200-000003000000}" name="1997" dataDxfId="2256"/>
    <tableColumn id="4" xr3:uid="{00000000-0010-0000-1200-000004000000}" name="1998" dataDxfId="2255"/>
    <tableColumn id="5" xr3:uid="{00000000-0010-0000-1200-000005000000}" name="1999" dataDxfId="2254"/>
    <tableColumn id="6" xr3:uid="{00000000-0010-0000-1200-000006000000}" name="2000" dataDxfId="2253"/>
    <tableColumn id="7" xr3:uid="{00000000-0010-0000-1200-000007000000}" name="2001" dataDxfId="2252"/>
    <tableColumn id="8" xr3:uid="{00000000-0010-0000-1200-000008000000}" name="2002" dataDxfId="2251"/>
    <tableColumn id="9" xr3:uid="{00000000-0010-0000-1200-000009000000}" name="2003" dataDxfId="2250"/>
    <tableColumn id="10" xr3:uid="{00000000-0010-0000-1200-00000A000000}" name="2004" dataDxfId="2249"/>
    <tableColumn id="11" xr3:uid="{00000000-0010-0000-1200-00000B000000}" name="2005" dataDxfId="2248"/>
    <tableColumn id="12" xr3:uid="{00000000-0010-0000-1200-00000C000000}" name="2006" dataDxfId="2247"/>
    <tableColumn id="13" xr3:uid="{00000000-0010-0000-1200-00000D000000}" name="2007" dataDxfId="2246"/>
    <tableColumn id="14" xr3:uid="{00000000-0010-0000-1200-00000E000000}" name="2008" dataDxfId="2245"/>
    <tableColumn id="15" xr3:uid="{00000000-0010-0000-1200-00000F000000}" name="2009" dataDxfId="2244"/>
    <tableColumn id="16" xr3:uid="{00000000-0010-0000-1200-000010000000}" name="2010" dataDxfId="2243"/>
    <tableColumn id="17" xr3:uid="{00000000-0010-0000-1200-000011000000}" name="2011" dataDxfId="2242"/>
    <tableColumn id="18" xr3:uid="{00000000-0010-0000-1200-000012000000}" name="2012" dataDxfId="2241"/>
    <tableColumn id="19" xr3:uid="{00000000-0010-0000-1200-000013000000}" name="2013" dataDxfId="2240"/>
    <tableColumn id="20" xr3:uid="{00000000-0010-0000-1200-000014000000}" name="2014" dataDxfId="2239"/>
    <tableColumn id="21" xr3:uid="{00000000-0010-0000-1200-000015000000}" name="2015" dataDxfId="2238"/>
    <tableColumn id="22" xr3:uid="{00000000-0010-0000-1200-000016000000}" name="2016" dataDxfId="2237"/>
    <tableColumn id="23" xr3:uid="{00000000-0010-0000-1200-000017000000}" name="2017" dataDxfId="223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1000000}" name="CountyCurrentYearGRE" displayName="CountyCurrentYearGRE" ref="A21:B29" totalsRowShown="0" headerRowDxfId="2594" dataDxfId="2593">
  <autoFilter ref="A21:B29" xr:uid="{00000000-0009-0000-0100-00002B000000}"/>
  <tableColumns count="2">
    <tableColumn id="1" xr3:uid="{00000000-0010-0000-0100-000001000000}" name="Category" dataDxfId="2592"/>
    <tableColumn id="5" xr3:uid="{00000000-0010-0000-0100-000005000000}" name="2017" dataDxfId="2591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13000000}" name="County1CurrentYearGRR" displayName="County1CurrentYearGRR" ref="A11:B17" totalsRowShown="0">
  <autoFilter ref="A11:B17" xr:uid="{00000000-0009-0000-0100-000039000000}"/>
  <tableColumns count="2">
    <tableColumn id="1" xr3:uid="{00000000-0010-0000-1300-000001000000}" name="Category" dataDxfId="2235"/>
    <tableColumn id="2" xr3:uid="{00000000-0010-0000-1300-000002000000}" name="2017" dataDxfId="2234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14000000}" name="County2CurrentYearGRR" displayName="County2CurrentYearGRR" ref="A20:B26" totalsRowShown="0">
  <autoFilter ref="A20:B26" xr:uid="{00000000-0009-0000-0100-00003A000000}"/>
  <tableColumns count="2">
    <tableColumn id="1" xr3:uid="{00000000-0010-0000-1400-000001000000}" name="Category" dataDxfId="2233"/>
    <tableColumn id="2" xr3:uid="{00000000-0010-0000-1400-000002000000}" name="2017" dataDxfId="2232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15000000}" name="County1CurrentYearGRE" displayName="County1CurrentYearGRE" ref="A29:B37" totalsRowShown="0">
  <autoFilter ref="A29:B37" xr:uid="{00000000-0009-0000-0100-00003B000000}"/>
  <tableColumns count="2">
    <tableColumn id="1" xr3:uid="{00000000-0010-0000-1500-000001000000}" name="Category" dataDxfId="2231"/>
    <tableColumn id="2" xr3:uid="{00000000-0010-0000-1500-000002000000}" name="2017" dataDxfId="2230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16000000}" name="County1County2AllYearsGRRE" displayName="County1County2AllYearsGRRE" ref="A51:W55" totalsRowShown="0" headerRowDxfId="2229" dataDxfId="2228">
  <autoFilter ref="A51:W55" xr:uid="{00000000-0009-0000-0100-00003D000000}"/>
  <tableColumns count="23">
    <tableColumn id="1" xr3:uid="{00000000-0010-0000-1600-000001000000}" name="County/Category" dataDxfId="2227"/>
    <tableColumn id="2" xr3:uid="{00000000-0010-0000-1600-000002000000}" name="1996" dataDxfId="2226"/>
    <tableColumn id="3" xr3:uid="{00000000-0010-0000-1600-000003000000}" name="1997" dataDxfId="2225"/>
    <tableColumn id="4" xr3:uid="{00000000-0010-0000-1600-000004000000}" name="1998" dataDxfId="2224"/>
    <tableColumn id="5" xr3:uid="{00000000-0010-0000-1600-000005000000}" name="1999" dataDxfId="2223"/>
    <tableColumn id="6" xr3:uid="{00000000-0010-0000-1600-000006000000}" name="2000" dataDxfId="2222"/>
    <tableColumn id="7" xr3:uid="{00000000-0010-0000-1600-000007000000}" name="2001" dataDxfId="2221"/>
    <tableColumn id="8" xr3:uid="{00000000-0010-0000-1600-000008000000}" name="2002" dataDxfId="2220"/>
    <tableColumn id="9" xr3:uid="{00000000-0010-0000-1600-000009000000}" name="2003" dataDxfId="2219"/>
    <tableColumn id="10" xr3:uid="{00000000-0010-0000-1600-00000A000000}" name="2004" dataDxfId="2218"/>
    <tableColumn id="11" xr3:uid="{00000000-0010-0000-1600-00000B000000}" name="2005" dataDxfId="2217"/>
    <tableColumn id="12" xr3:uid="{00000000-0010-0000-1600-00000C000000}" name="2006" dataDxfId="2216"/>
    <tableColumn id="13" xr3:uid="{00000000-0010-0000-1600-00000D000000}" name="2007" dataDxfId="2215"/>
    <tableColumn id="14" xr3:uid="{00000000-0010-0000-1600-00000E000000}" name="2008" dataDxfId="2214"/>
    <tableColumn id="15" xr3:uid="{00000000-0010-0000-1600-00000F000000}" name="2009" dataDxfId="2213"/>
    <tableColumn id="16" xr3:uid="{00000000-0010-0000-1600-000010000000}" name="2010" dataDxfId="2212"/>
    <tableColumn id="17" xr3:uid="{00000000-0010-0000-1600-000011000000}" name="2011" dataDxfId="2211"/>
    <tableColumn id="18" xr3:uid="{00000000-0010-0000-1600-000012000000}" name="2012" dataDxfId="2210"/>
    <tableColumn id="19" xr3:uid="{00000000-0010-0000-1600-000013000000}" name="2013" dataDxfId="2209"/>
    <tableColumn id="20" xr3:uid="{00000000-0010-0000-1600-000014000000}" name="2014" dataDxfId="2208"/>
    <tableColumn id="21" xr3:uid="{00000000-0010-0000-1600-000015000000}" name="2015" dataDxfId="2207"/>
    <tableColumn id="22" xr3:uid="{00000000-0010-0000-1600-000016000000}" name="2016" dataDxfId="2206"/>
    <tableColumn id="23" xr3:uid="{00000000-0010-0000-1600-000017000000}" name="2017" dataDxfId="2205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17000000}" name="County1County2AllYearsCashBalance" displayName="County1County2AllYearsCashBalance" ref="A58:W60" totalsRowShown="0" headerRowDxfId="2204" dataDxfId="2203">
  <autoFilter ref="A58:W60" xr:uid="{00000000-0009-0000-0100-00003E000000}"/>
  <tableColumns count="23">
    <tableColumn id="1" xr3:uid="{00000000-0010-0000-1700-000001000000}" name="Category" dataDxfId="2202">
      <calculatedColumnFormula>CONCATENATE($A$5," County General Revenue Cash Balance")</calculatedColumnFormula>
    </tableColumn>
    <tableColumn id="2" xr3:uid="{00000000-0010-0000-1700-000002000000}" name="1996" dataDxfId="2201">
      <calculatedColumnFormula>VLOOKUP($A$5, '3-AGF Receipts &amp; Balances'!$EP$16:$FG$106, 2)</calculatedColumnFormula>
    </tableColumn>
    <tableColumn id="3" xr3:uid="{00000000-0010-0000-1700-000003000000}" name="1997" dataDxfId="2200">
      <calculatedColumnFormula>VLOOKUP($A$5, '3-AGF Receipts &amp; Balances'!$EP$16:$FG$106, 3)</calculatedColumnFormula>
    </tableColumn>
    <tableColumn id="4" xr3:uid="{00000000-0010-0000-1700-000004000000}" name="1998" dataDxfId="2199">
      <calculatedColumnFormula>VLOOKUP($A$5, '3-AGF Receipts &amp; Balances'!$EP$16:$FG$106, 4)</calculatedColumnFormula>
    </tableColumn>
    <tableColumn id="5" xr3:uid="{00000000-0010-0000-1700-000005000000}" name="1999" dataDxfId="2198">
      <calculatedColumnFormula>VLOOKUP($A$5, '3-AGF Receipts &amp; Balances'!$EP$16:$FG$106, 5)</calculatedColumnFormula>
    </tableColumn>
    <tableColumn id="6" xr3:uid="{00000000-0010-0000-1700-000006000000}" name="2000" dataDxfId="2197">
      <calculatedColumnFormula>VLOOKUP($A$5, '3-AGF Receipts &amp; Balances'!$EP$16:$FG$106, 6)</calculatedColumnFormula>
    </tableColumn>
    <tableColumn id="7" xr3:uid="{00000000-0010-0000-1700-000007000000}" name="2001" dataDxfId="2196">
      <calculatedColumnFormula>VLOOKUP($A$5, '3-AGF Receipts &amp; Balances'!$EP$16:$FG$106, 7)</calculatedColumnFormula>
    </tableColumn>
    <tableColumn id="8" xr3:uid="{00000000-0010-0000-1700-000008000000}" name="2002" dataDxfId="2195">
      <calculatedColumnFormula>VLOOKUP($A$5, '3-AGF Receipts &amp; Balances'!$EP$16:$FG$106, 8)</calculatedColumnFormula>
    </tableColumn>
    <tableColumn id="9" xr3:uid="{00000000-0010-0000-1700-000009000000}" name="2003" dataDxfId="2194">
      <calculatedColumnFormula>VLOOKUP($A$5, '3-AGF Receipts &amp; Balances'!$EP$16:$FG$106, 9)</calculatedColumnFormula>
    </tableColumn>
    <tableColumn id="10" xr3:uid="{00000000-0010-0000-1700-00000A000000}" name="2004" dataDxfId="2193">
      <calculatedColumnFormula>VLOOKUP($A$5, '3-AGF Receipts &amp; Balances'!$EP$16:$FG$106, 10)</calculatedColumnFormula>
    </tableColumn>
    <tableColumn id="11" xr3:uid="{00000000-0010-0000-1700-00000B000000}" name="2005" dataDxfId="2192">
      <calculatedColumnFormula>VLOOKUP($A$5, '3-AGF Receipts &amp; Balances'!$EP$16:$FG$106, 11)</calculatedColumnFormula>
    </tableColumn>
    <tableColumn id="12" xr3:uid="{00000000-0010-0000-1700-00000C000000}" name="2006" dataDxfId="2191">
      <calculatedColumnFormula>VLOOKUP($A$5, '3-AGF Receipts &amp; Balances'!$EP$16:$FG$106, 12)</calculatedColumnFormula>
    </tableColumn>
    <tableColumn id="13" xr3:uid="{00000000-0010-0000-1700-00000D000000}" name="2007" dataDxfId="2190">
      <calculatedColumnFormula>VLOOKUP($A$5, '3-AGF Receipts &amp; Balances'!$EP$16:$FG$106, 13)</calculatedColumnFormula>
    </tableColumn>
    <tableColumn id="14" xr3:uid="{00000000-0010-0000-1700-00000E000000}" name="2008" dataDxfId="2189">
      <calculatedColumnFormula>VLOOKUP($A$5, '3-AGF Receipts &amp; Balances'!$EP$16:$FG$106, 14)</calculatedColumnFormula>
    </tableColumn>
    <tableColumn id="15" xr3:uid="{00000000-0010-0000-1700-00000F000000}" name="2009" dataDxfId="2188">
      <calculatedColumnFormula>VLOOKUP($A$5, '3-AGF Receipts &amp; Balances'!$EP$16:$FG$106, 15)</calculatedColumnFormula>
    </tableColumn>
    <tableColumn id="16" xr3:uid="{00000000-0010-0000-1700-000010000000}" name="2010" dataDxfId="2187">
      <calculatedColumnFormula>VLOOKUP($A$5, '3-AGF Receipts &amp; Balances'!$EP$16:$FG$106, 16)</calculatedColumnFormula>
    </tableColumn>
    <tableColumn id="17" xr3:uid="{00000000-0010-0000-1700-000011000000}" name="2011" dataDxfId="2186">
      <calculatedColumnFormula>VLOOKUP($A$5, '3-AGF Receipts &amp; Balances'!$EP$16:$FG$106, 17)</calculatedColumnFormula>
    </tableColumn>
    <tableColumn id="18" xr3:uid="{00000000-0010-0000-1700-000012000000}" name="2012" dataDxfId="2185"/>
    <tableColumn id="19" xr3:uid="{00000000-0010-0000-1700-000013000000}" name="2013" dataDxfId="2184"/>
    <tableColumn id="20" xr3:uid="{00000000-0010-0000-1700-000014000000}" name="2014" dataDxfId="2183"/>
    <tableColumn id="21" xr3:uid="{00000000-0010-0000-1700-000015000000}" name="2015" dataDxfId="2182"/>
    <tableColumn id="22" xr3:uid="{00000000-0010-0000-1700-000016000000}" name="2016" dataDxfId="2181"/>
    <tableColumn id="23" xr3:uid="{00000000-0010-0000-1700-000017000000}" name="2017" dataDxfId="2180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18000000}" name="County1AllYearsGRR" displayName="County1AllYearsGRR" ref="A63:W69" totalsRowShown="0" headerRowDxfId="2179" dataDxfId="2178">
  <autoFilter ref="A63:W69" xr:uid="{00000000-0009-0000-0100-00003F000000}"/>
  <tableColumns count="23">
    <tableColumn id="1" xr3:uid="{00000000-0010-0000-1800-000001000000}" name="Category" dataDxfId="2177"/>
    <tableColumn id="2" xr3:uid="{00000000-0010-0000-1800-000002000000}" name="1996" dataDxfId="2176"/>
    <tableColumn id="3" xr3:uid="{00000000-0010-0000-1800-000003000000}" name="1997" dataDxfId="2175"/>
    <tableColumn id="4" xr3:uid="{00000000-0010-0000-1800-000004000000}" name="1998" dataDxfId="2174"/>
    <tableColumn id="5" xr3:uid="{00000000-0010-0000-1800-000005000000}" name="1999" dataDxfId="2173"/>
    <tableColumn id="6" xr3:uid="{00000000-0010-0000-1800-000006000000}" name="2000" dataDxfId="2172"/>
    <tableColumn id="7" xr3:uid="{00000000-0010-0000-1800-000007000000}" name="2001" dataDxfId="2171"/>
    <tableColumn id="8" xr3:uid="{00000000-0010-0000-1800-000008000000}" name="2002" dataDxfId="2170"/>
    <tableColumn id="9" xr3:uid="{00000000-0010-0000-1800-000009000000}" name="2003" dataDxfId="2169"/>
    <tableColumn id="10" xr3:uid="{00000000-0010-0000-1800-00000A000000}" name="2004" dataDxfId="2168"/>
    <tableColumn id="11" xr3:uid="{00000000-0010-0000-1800-00000B000000}" name="2005" dataDxfId="2167"/>
    <tableColumn id="12" xr3:uid="{00000000-0010-0000-1800-00000C000000}" name="2006" dataDxfId="2166"/>
    <tableColumn id="13" xr3:uid="{00000000-0010-0000-1800-00000D000000}" name="2007" dataDxfId="2165"/>
    <tableColumn id="14" xr3:uid="{00000000-0010-0000-1800-00000E000000}" name="2008" dataDxfId="2164"/>
    <tableColumn id="15" xr3:uid="{00000000-0010-0000-1800-00000F000000}" name="2009" dataDxfId="2163"/>
    <tableColumn id="16" xr3:uid="{00000000-0010-0000-1800-000010000000}" name="2010" dataDxfId="2162"/>
    <tableColumn id="17" xr3:uid="{00000000-0010-0000-1800-000011000000}" name="2011" dataDxfId="2161"/>
    <tableColumn id="18" xr3:uid="{00000000-0010-0000-1800-000012000000}" name="2012" dataDxfId="2160"/>
    <tableColumn id="19" xr3:uid="{00000000-0010-0000-1800-000013000000}" name="2013" dataDxfId="2159"/>
    <tableColumn id="20" xr3:uid="{00000000-0010-0000-1800-000014000000}" name="2014" dataDxfId="2158"/>
    <tableColumn id="21" xr3:uid="{00000000-0010-0000-1800-000015000000}" name="2015" dataDxfId="2157"/>
    <tableColumn id="22" xr3:uid="{00000000-0010-0000-1800-000016000000}" name="2016" dataDxfId="2156"/>
    <tableColumn id="23" xr3:uid="{00000000-0010-0000-1800-000017000000}" name="2017" dataDxfId="2155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19000000}" name="County2AllYearsGRR" displayName="County2AllYearsGRR" ref="A72:W78" totalsRowShown="0" headerRowDxfId="2154" dataDxfId="2153">
  <autoFilter ref="A72:W78" xr:uid="{00000000-0009-0000-0100-000040000000}"/>
  <tableColumns count="23">
    <tableColumn id="1" xr3:uid="{00000000-0010-0000-1900-000001000000}" name="Category" dataDxfId="2152"/>
    <tableColumn id="2" xr3:uid="{00000000-0010-0000-1900-000002000000}" name="1996" dataDxfId="2151"/>
    <tableColumn id="3" xr3:uid="{00000000-0010-0000-1900-000003000000}" name="1997" dataDxfId="2150"/>
    <tableColumn id="4" xr3:uid="{00000000-0010-0000-1900-000004000000}" name="1998" dataDxfId="2149"/>
    <tableColumn id="5" xr3:uid="{00000000-0010-0000-1900-000005000000}" name="1999" dataDxfId="2148"/>
    <tableColumn id="6" xr3:uid="{00000000-0010-0000-1900-000006000000}" name="2000" dataDxfId="2147"/>
    <tableColumn id="7" xr3:uid="{00000000-0010-0000-1900-000007000000}" name="2001" dataDxfId="2146"/>
    <tableColumn id="8" xr3:uid="{00000000-0010-0000-1900-000008000000}" name="2002" dataDxfId="2145"/>
    <tableColumn id="9" xr3:uid="{00000000-0010-0000-1900-000009000000}" name="2003" dataDxfId="2144"/>
    <tableColumn id="10" xr3:uid="{00000000-0010-0000-1900-00000A000000}" name="2004" dataDxfId="2143"/>
    <tableColumn id="11" xr3:uid="{00000000-0010-0000-1900-00000B000000}" name="2005" dataDxfId="2142"/>
    <tableColumn id="12" xr3:uid="{00000000-0010-0000-1900-00000C000000}" name="2006" dataDxfId="2141"/>
    <tableColumn id="13" xr3:uid="{00000000-0010-0000-1900-00000D000000}" name="2007" dataDxfId="2140"/>
    <tableColumn id="14" xr3:uid="{00000000-0010-0000-1900-00000E000000}" name="2008" dataDxfId="2139"/>
    <tableColumn id="15" xr3:uid="{00000000-0010-0000-1900-00000F000000}" name="2009" dataDxfId="2138"/>
    <tableColumn id="16" xr3:uid="{00000000-0010-0000-1900-000010000000}" name="2010" dataDxfId="2137"/>
    <tableColumn id="17" xr3:uid="{00000000-0010-0000-1900-000011000000}" name="2011" dataDxfId="2136"/>
    <tableColumn id="18" xr3:uid="{00000000-0010-0000-1900-000012000000}" name="2012" dataDxfId="2135"/>
    <tableColumn id="19" xr3:uid="{00000000-0010-0000-1900-000013000000}" name="2013" dataDxfId="2134"/>
    <tableColumn id="20" xr3:uid="{00000000-0010-0000-1900-000014000000}" name="2014" dataDxfId="2133"/>
    <tableColumn id="21" xr3:uid="{00000000-0010-0000-1900-000015000000}" name="2015" dataDxfId="2132"/>
    <tableColumn id="22" xr3:uid="{00000000-0010-0000-1900-000016000000}" name="2016" dataDxfId="2131"/>
    <tableColumn id="23" xr3:uid="{00000000-0010-0000-1900-000017000000}" name="2017" dataDxfId="2130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1A000000}" name="County1AllYearsGRE" displayName="County1AllYearsGRE" ref="A81:W89" totalsRowShown="0" headerRowDxfId="2129" dataDxfId="2128">
  <autoFilter ref="A81:W89" xr:uid="{00000000-0009-0000-0100-000041000000}"/>
  <tableColumns count="23">
    <tableColumn id="1" xr3:uid="{00000000-0010-0000-1A00-000001000000}" name="Category" dataDxfId="2127"/>
    <tableColumn id="2" xr3:uid="{00000000-0010-0000-1A00-000002000000}" name="1996" dataDxfId="2126"/>
    <tableColumn id="3" xr3:uid="{00000000-0010-0000-1A00-000003000000}" name="1997" dataDxfId="2125"/>
    <tableColumn id="4" xr3:uid="{00000000-0010-0000-1A00-000004000000}" name="1998" dataDxfId="2124"/>
    <tableColumn id="5" xr3:uid="{00000000-0010-0000-1A00-000005000000}" name="1999" dataDxfId="2123"/>
    <tableColumn id="6" xr3:uid="{00000000-0010-0000-1A00-000006000000}" name="2000" dataDxfId="2122"/>
    <tableColumn id="7" xr3:uid="{00000000-0010-0000-1A00-000007000000}" name="2001" dataDxfId="2121"/>
    <tableColumn id="8" xr3:uid="{00000000-0010-0000-1A00-000008000000}" name="2002" dataDxfId="2120"/>
    <tableColumn id="9" xr3:uid="{00000000-0010-0000-1A00-000009000000}" name="2003" dataDxfId="2119"/>
    <tableColumn id="10" xr3:uid="{00000000-0010-0000-1A00-00000A000000}" name="2004" dataDxfId="2118"/>
    <tableColumn id="11" xr3:uid="{00000000-0010-0000-1A00-00000B000000}" name="2005" dataDxfId="2117"/>
    <tableColumn id="12" xr3:uid="{00000000-0010-0000-1A00-00000C000000}" name="2006" dataDxfId="2116"/>
    <tableColumn id="13" xr3:uid="{00000000-0010-0000-1A00-00000D000000}" name="2007" dataDxfId="2115"/>
    <tableColumn id="14" xr3:uid="{00000000-0010-0000-1A00-00000E000000}" name="2008" dataDxfId="2114"/>
    <tableColumn id="15" xr3:uid="{00000000-0010-0000-1A00-00000F000000}" name="2009" dataDxfId="2113"/>
    <tableColumn id="16" xr3:uid="{00000000-0010-0000-1A00-000010000000}" name="2010" dataDxfId="2112"/>
    <tableColumn id="17" xr3:uid="{00000000-0010-0000-1A00-000011000000}" name="2011" dataDxfId="2111"/>
    <tableColumn id="18" xr3:uid="{00000000-0010-0000-1A00-000012000000}" name="2012" dataDxfId="2110"/>
    <tableColumn id="19" xr3:uid="{00000000-0010-0000-1A00-000013000000}" name="2013" dataDxfId="2109"/>
    <tableColumn id="20" xr3:uid="{00000000-0010-0000-1A00-000014000000}" name="2014" dataDxfId="2108"/>
    <tableColumn id="21" xr3:uid="{00000000-0010-0000-1A00-000015000000}" name="2015" dataDxfId="2107"/>
    <tableColumn id="22" xr3:uid="{00000000-0010-0000-1A00-000016000000}" name="2016" dataDxfId="2106"/>
    <tableColumn id="23" xr3:uid="{00000000-0010-0000-1A00-000017000000}" name="2017" dataDxfId="2105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1B000000}" name="County2AllYearsGRE" displayName="County2AllYearsGRE" ref="A92:W100" totalsRowShown="0" headerRowDxfId="2104" dataDxfId="2103">
  <autoFilter ref="A92:W100" xr:uid="{00000000-0009-0000-0100-000042000000}"/>
  <tableColumns count="23">
    <tableColumn id="1" xr3:uid="{00000000-0010-0000-1B00-000001000000}" name="Category" dataDxfId="2102"/>
    <tableColumn id="2" xr3:uid="{00000000-0010-0000-1B00-000002000000}" name="1996" dataDxfId="2101"/>
    <tableColumn id="3" xr3:uid="{00000000-0010-0000-1B00-000003000000}" name="1997" dataDxfId="2100"/>
    <tableColumn id="4" xr3:uid="{00000000-0010-0000-1B00-000004000000}" name="1998" dataDxfId="2099"/>
    <tableColumn id="5" xr3:uid="{00000000-0010-0000-1B00-000005000000}" name="1999" dataDxfId="2098"/>
    <tableColumn id="6" xr3:uid="{00000000-0010-0000-1B00-000006000000}" name="2000" dataDxfId="2097"/>
    <tableColumn id="7" xr3:uid="{00000000-0010-0000-1B00-000007000000}" name="2001" dataDxfId="2096"/>
    <tableColumn id="8" xr3:uid="{00000000-0010-0000-1B00-000008000000}" name="2002" dataDxfId="2095"/>
    <tableColumn id="9" xr3:uid="{00000000-0010-0000-1B00-000009000000}" name="2003" dataDxfId="2094"/>
    <tableColumn id="10" xr3:uid="{00000000-0010-0000-1B00-00000A000000}" name="2004" dataDxfId="2093"/>
    <tableColumn id="11" xr3:uid="{00000000-0010-0000-1B00-00000B000000}" name="2005" dataDxfId="2092"/>
    <tableColumn id="12" xr3:uid="{00000000-0010-0000-1B00-00000C000000}" name="2006" dataDxfId="2091"/>
    <tableColumn id="13" xr3:uid="{00000000-0010-0000-1B00-00000D000000}" name="2007" dataDxfId="2090"/>
    <tableColumn id="14" xr3:uid="{00000000-0010-0000-1B00-00000E000000}" name="2008" dataDxfId="2089"/>
    <tableColumn id="15" xr3:uid="{00000000-0010-0000-1B00-00000F000000}" name="2009" dataDxfId="2088"/>
    <tableColumn id="16" xr3:uid="{00000000-0010-0000-1B00-000010000000}" name="2010" dataDxfId="2087"/>
    <tableColumn id="17" xr3:uid="{00000000-0010-0000-1B00-000011000000}" name="2011" dataDxfId="2086"/>
    <tableColumn id="18" xr3:uid="{00000000-0010-0000-1B00-000012000000}" name="2012" dataDxfId="2085"/>
    <tableColumn id="19" xr3:uid="{00000000-0010-0000-1B00-000013000000}" name="2013" dataDxfId="2084"/>
    <tableColumn id="20" xr3:uid="{00000000-0010-0000-1B00-000014000000}" name="2014" dataDxfId="2083"/>
    <tableColumn id="21" xr3:uid="{00000000-0010-0000-1B00-000015000000}" name="2015" dataDxfId="2082"/>
    <tableColumn id="22" xr3:uid="{00000000-0010-0000-1B00-000016000000}" name="2016" dataDxfId="2081"/>
    <tableColumn id="23" xr3:uid="{00000000-0010-0000-1B00-000017000000}" name="2017" dataDxfId="2080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1C000000}" name="County2CurrentYearGRE" displayName="County2CurrentYearGRE" ref="A40:B48" totalsRowShown="0">
  <autoFilter ref="A40:B48" xr:uid="{00000000-0009-0000-0100-00003C000000}"/>
  <tableColumns count="2">
    <tableColumn id="1" xr3:uid="{00000000-0010-0000-1C00-000001000000}" name="Category" dataDxfId="2079"/>
    <tableColumn id="2" xr3:uid="{00000000-0010-0000-1C00-000002000000}" name="2017" dataDxfId="2078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CountyAllYearsGRRE" displayName="CountyAllYearsGRRE" ref="A32:W34" totalsRowShown="0" headerRowDxfId="2590" dataDxfId="2589">
  <autoFilter ref="A32:W34" xr:uid="{00000000-0009-0000-0100-000009000000}"/>
  <tableColumns count="23">
    <tableColumn id="1" xr3:uid="{00000000-0010-0000-0200-000001000000}" name="Category" dataDxfId="2588"/>
    <tableColumn id="2" xr3:uid="{00000000-0010-0000-0200-000002000000}" name="1996" dataDxfId="2587">
      <calculatedColumnFormula>INDEX(GeneralRevenueFundReceiptsTotalReceiptsTable[],MATCH($A$3,GeneralRevenueFundReceiptsTotalReceiptsTable[County]),MATCH(CountyAllYearsGRRE[[#Headers],[1996]],GeneralRevenueFundReceiptsTotalReceiptsTable[#Headers]))</calculatedColumnFormula>
    </tableColumn>
    <tableColumn id="3" xr3:uid="{00000000-0010-0000-0200-000003000000}" name="1997" dataDxfId="2586">
      <calculatedColumnFormula>INDEX(GeneralRevenueFundReceiptsTotalReceiptsTable[],MATCH($A$3,GeneralRevenueFundReceiptsTotalReceiptsTable[County]),MATCH(CountyAllYearsGRRE[[#Headers],[1997]],GeneralRevenueFundReceiptsTotalReceiptsTable[#Headers]))</calculatedColumnFormula>
    </tableColumn>
    <tableColumn id="4" xr3:uid="{00000000-0010-0000-0200-000004000000}" name="1998" dataDxfId="2585">
      <calculatedColumnFormula>VLOOKUP($A$3,'4GF Expenditures'!$A$17:$R$106,4)</calculatedColumnFormula>
    </tableColumn>
    <tableColumn id="5" xr3:uid="{00000000-0010-0000-0200-000005000000}" name="1999" dataDxfId="2584">
      <calculatedColumnFormula>VLOOKUP($A$3,'4GF Expenditures'!$A$17:$R$106,5)</calculatedColumnFormula>
    </tableColumn>
    <tableColumn id="6" xr3:uid="{00000000-0010-0000-0200-000006000000}" name="2000" dataDxfId="2583">
      <calculatedColumnFormula>VLOOKUP($A$3,'4GF Expenditures'!$A$17:$R$106,6)</calculatedColumnFormula>
    </tableColumn>
    <tableColumn id="7" xr3:uid="{00000000-0010-0000-0200-000007000000}" name="2001" dataDxfId="2582">
      <calculatedColumnFormula>VLOOKUP($A$3,'4GF Expenditures'!$A$17:$R$106,7)</calculatedColumnFormula>
    </tableColumn>
    <tableColumn id="8" xr3:uid="{00000000-0010-0000-0200-000008000000}" name="2002" dataDxfId="2581">
      <calculatedColumnFormula>VLOOKUP($A$3,'4GF Expenditures'!$A$17:$R$106,8)</calculatedColumnFormula>
    </tableColumn>
    <tableColumn id="9" xr3:uid="{00000000-0010-0000-0200-000009000000}" name="2003" dataDxfId="2580">
      <calculatedColumnFormula>VLOOKUP($A$3,'4GF Expenditures'!$A$17:$R$106,9)</calculatedColumnFormula>
    </tableColumn>
    <tableColumn id="10" xr3:uid="{00000000-0010-0000-0200-00000A000000}" name="2004" dataDxfId="2579">
      <calculatedColumnFormula>VLOOKUP($A$3,'4GF Expenditures'!$A$17:$R$106,10)</calculatedColumnFormula>
    </tableColumn>
    <tableColumn id="11" xr3:uid="{00000000-0010-0000-0200-00000B000000}" name="2005" dataDxfId="2578">
      <calculatedColumnFormula>VLOOKUP($A$3,'4GF Expenditures'!$A$17:$R$106,11)</calculatedColumnFormula>
    </tableColumn>
    <tableColumn id="12" xr3:uid="{00000000-0010-0000-0200-00000C000000}" name="2006" dataDxfId="2577">
      <calculatedColumnFormula>VLOOKUP($A$3,'4GF Expenditures'!$A$17:$R$106,12)</calculatedColumnFormula>
    </tableColumn>
    <tableColumn id="13" xr3:uid="{00000000-0010-0000-0200-00000D000000}" name="2007" dataDxfId="2576">
      <calculatedColumnFormula>VLOOKUP($A$3,'4GF Expenditures'!$A$17:$R$106,13)</calculatedColumnFormula>
    </tableColumn>
    <tableColumn id="14" xr3:uid="{00000000-0010-0000-0200-00000E000000}" name="2008" dataDxfId="2575">
      <calculatedColumnFormula>VLOOKUP($A$3,'4GF Expenditures'!$A$17:$R$106,14)</calculatedColumnFormula>
    </tableColumn>
    <tableColumn id="15" xr3:uid="{00000000-0010-0000-0200-00000F000000}" name="2009" dataDxfId="2574">
      <calculatedColumnFormula>VLOOKUP($A$3,'4GF Expenditures'!$A$17:$R$106,15)</calculatedColumnFormula>
    </tableColumn>
    <tableColumn id="16" xr3:uid="{00000000-0010-0000-0200-000010000000}" name="2010" dataDxfId="2573">
      <calculatedColumnFormula>VLOOKUP($A$3,'4GF Expenditures'!$A$17:$R$106,16)</calculatedColumnFormula>
    </tableColumn>
    <tableColumn id="17" xr3:uid="{00000000-0010-0000-0200-000011000000}" name="2011" dataDxfId="2572">
      <calculatedColumnFormula>VLOOKUP($A$3,'4GF Expenditures'!$A$17:$R$106,17)</calculatedColumnFormula>
    </tableColumn>
    <tableColumn id="18" xr3:uid="{00000000-0010-0000-0200-000012000000}" name="2012" dataDxfId="2571">
      <calculatedColumnFormula>VLOOKUP($A$3,'4GF Expenditures'!$A$17:$R$106,18)</calculatedColumnFormula>
    </tableColumn>
    <tableColumn id="28" xr3:uid="{00000000-0010-0000-0200-00001C000000}" name="2013" dataDxfId="2570"/>
    <tableColumn id="19" xr3:uid="{00000000-0010-0000-0200-000013000000}" name="2014" dataDxfId="2569"/>
    <tableColumn id="20" xr3:uid="{00000000-0010-0000-0200-000014000000}" name="2015" dataDxfId="2568"/>
    <tableColumn id="21" xr3:uid="{00000000-0010-0000-0200-000015000000}" name="2016" dataDxfId="2567"/>
    <tableColumn id="22" xr3:uid="{00000000-0010-0000-0200-000016000000}" name="2017" dataDxfId="2566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1D000000}" name="County1County2AllYearsTaxBases" displayName="County1County2AllYearsTaxBases" ref="A11:W15" totalsRowShown="0" headerRowDxfId="2077">
  <autoFilter ref="A11:W15" xr:uid="{00000000-0009-0000-0100-000043000000}"/>
  <tableColumns count="23">
    <tableColumn id="1" xr3:uid="{00000000-0010-0000-1D00-000001000000}" name="County/Category" dataDxfId="2076"/>
    <tableColumn id="2" xr3:uid="{00000000-0010-0000-1D00-000002000000}" name="1996"/>
    <tableColumn id="3" xr3:uid="{00000000-0010-0000-1D00-000003000000}" name="1997"/>
    <tableColumn id="4" xr3:uid="{00000000-0010-0000-1D00-000004000000}" name="1998"/>
    <tableColumn id="5" xr3:uid="{00000000-0010-0000-1D00-000005000000}" name="1999"/>
    <tableColumn id="6" xr3:uid="{00000000-0010-0000-1D00-000006000000}" name="2000"/>
    <tableColumn id="7" xr3:uid="{00000000-0010-0000-1D00-000007000000}" name="2001"/>
    <tableColumn id="8" xr3:uid="{00000000-0010-0000-1D00-000008000000}" name="2002"/>
    <tableColumn id="9" xr3:uid="{00000000-0010-0000-1D00-000009000000}" name="2003"/>
    <tableColumn id="10" xr3:uid="{00000000-0010-0000-1D00-00000A000000}" name="2004"/>
    <tableColumn id="11" xr3:uid="{00000000-0010-0000-1D00-00000B000000}" name="2005"/>
    <tableColumn id="12" xr3:uid="{00000000-0010-0000-1D00-00000C000000}" name="2006"/>
    <tableColumn id="13" xr3:uid="{00000000-0010-0000-1D00-00000D000000}" name="2007"/>
    <tableColumn id="14" xr3:uid="{00000000-0010-0000-1D00-00000E000000}" name="2008"/>
    <tableColumn id="15" xr3:uid="{00000000-0010-0000-1D00-00000F000000}" name="2009"/>
    <tableColumn id="16" xr3:uid="{00000000-0010-0000-1D00-000010000000}" name="2010"/>
    <tableColumn id="17" xr3:uid="{00000000-0010-0000-1D00-000011000000}" name="2011"/>
    <tableColumn id="18" xr3:uid="{00000000-0010-0000-1D00-000012000000}" name="2012"/>
    <tableColumn id="19" xr3:uid="{00000000-0010-0000-1D00-000013000000}" name="2013"/>
    <tableColumn id="20" xr3:uid="{00000000-0010-0000-1D00-000014000000}" name="2014"/>
    <tableColumn id="21" xr3:uid="{00000000-0010-0000-1D00-000015000000}" name="2015"/>
    <tableColumn id="22" xr3:uid="{00000000-0010-0000-1D00-000016000000}" name="2016"/>
    <tableColumn id="23" xr3:uid="{00000000-0010-0000-1D00-000017000000}" name="2017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1E000000}" name="County1County2AllYearsTaxBasesPerCapita" displayName="County1County2AllYearsTaxBasesPerCapita" ref="A18:W22" totalsRowShown="0" headerRowDxfId="2075">
  <autoFilter ref="A18:W22" xr:uid="{00000000-0009-0000-0100-000044000000}"/>
  <tableColumns count="23">
    <tableColumn id="1" xr3:uid="{00000000-0010-0000-1E00-000001000000}" name="County/Category" dataDxfId="2074"/>
    <tableColumn id="2" xr3:uid="{00000000-0010-0000-1E00-000002000000}" name="1996"/>
    <tableColumn id="3" xr3:uid="{00000000-0010-0000-1E00-000003000000}" name="1997"/>
    <tableColumn id="4" xr3:uid="{00000000-0010-0000-1E00-000004000000}" name="1998"/>
    <tableColumn id="5" xr3:uid="{00000000-0010-0000-1E00-000005000000}" name="1999"/>
    <tableColumn id="6" xr3:uid="{00000000-0010-0000-1E00-000006000000}" name="2000"/>
    <tableColumn id="7" xr3:uid="{00000000-0010-0000-1E00-000007000000}" name="2001"/>
    <tableColumn id="8" xr3:uid="{00000000-0010-0000-1E00-000008000000}" name="2002"/>
    <tableColumn id="9" xr3:uid="{00000000-0010-0000-1E00-000009000000}" name="2003"/>
    <tableColumn id="10" xr3:uid="{00000000-0010-0000-1E00-00000A000000}" name="2004"/>
    <tableColumn id="11" xr3:uid="{00000000-0010-0000-1E00-00000B000000}" name="2005"/>
    <tableColumn id="12" xr3:uid="{00000000-0010-0000-1E00-00000C000000}" name="2006"/>
    <tableColumn id="13" xr3:uid="{00000000-0010-0000-1E00-00000D000000}" name="2007"/>
    <tableColumn id="14" xr3:uid="{00000000-0010-0000-1E00-00000E000000}" name="2008"/>
    <tableColumn id="15" xr3:uid="{00000000-0010-0000-1E00-00000F000000}" name="2009"/>
    <tableColumn id="16" xr3:uid="{00000000-0010-0000-1E00-000010000000}" name="2010"/>
    <tableColumn id="17" xr3:uid="{00000000-0010-0000-1E00-000011000000}" name="2011"/>
    <tableColumn id="18" xr3:uid="{00000000-0010-0000-1E00-000012000000}" name="2012"/>
    <tableColumn id="19" xr3:uid="{00000000-0010-0000-1E00-000013000000}" name="2013"/>
    <tableColumn id="20" xr3:uid="{00000000-0010-0000-1E00-000014000000}" name="2014"/>
    <tableColumn id="21" xr3:uid="{00000000-0010-0000-1E00-000015000000}" name="2015"/>
    <tableColumn id="22" xr3:uid="{00000000-0010-0000-1E00-000016000000}" name="2016"/>
    <tableColumn id="23" xr3:uid="{00000000-0010-0000-1E00-000017000000}" name="2017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1F000000}" name="County1County2AllYearsCGRProperty" displayName="County1County2AllYearsCGRProperty" ref="A26:W30" totalsRowShown="0" headerRowDxfId="2073" dataDxfId="2072">
  <autoFilter ref="A26:W30" xr:uid="{00000000-0009-0000-0100-000045000000}"/>
  <tableColumns count="23">
    <tableColumn id="1" xr3:uid="{00000000-0010-0000-1F00-000001000000}" name="County/Category" dataDxfId="2071"/>
    <tableColumn id="2" xr3:uid="{00000000-0010-0000-1F00-000002000000}" name="1996" dataDxfId="2070"/>
    <tableColumn id="3" xr3:uid="{00000000-0010-0000-1F00-000003000000}" name="1997" dataDxfId="2069"/>
    <tableColumn id="4" xr3:uid="{00000000-0010-0000-1F00-000004000000}" name="1998" dataDxfId="2068"/>
    <tableColumn id="5" xr3:uid="{00000000-0010-0000-1F00-000005000000}" name="1999" dataDxfId="2067"/>
    <tableColumn id="6" xr3:uid="{00000000-0010-0000-1F00-000006000000}" name="2000" dataDxfId="2066"/>
    <tableColumn id="7" xr3:uid="{00000000-0010-0000-1F00-000007000000}" name="2001" dataDxfId="2065"/>
    <tableColumn id="8" xr3:uid="{00000000-0010-0000-1F00-000008000000}" name="2002" dataDxfId="2064"/>
    <tableColumn id="9" xr3:uid="{00000000-0010-0000-1F00-000009000000}" name="2003" dataDxfId="2063"/>
    <tableColumn id="10" xr3:uid="{00000000-0010-0000-1F00-00000A000000}" name="2004" dataDxfId="2062"/>
    <tableColumn id="11" xr3:uid="{00000000-0010-0000-1F00-00000B000000}" name="2005" dataDxfId="2061"/>
    <tableColumn id="12" xr3:uid="{00000000-0010-0000-1F00-00000C000000}" name="2006" dataDxfId="2060"/>
    <tableColumn id="13" xr3:uid="{00000000-0010-0000-1F00-00000D000000}" name="2007" dataDxfId="2059"/>
    <tableColumn id="14" xr3:uid="{00000000-0010-0000-1F00-00000E000000}" name="2008" dataDxfId="2058"/>
    <tableColumn id="15" xr3:uid="{00000000-0010-0000-1F00-00000F000000}" name="2009" dataDxfId="2057"/>
    <tableColumn id="16" xr3:uid="{00000000-0010-0000-1F00-000010000000}" name="2010" dataDxfId="2056"/>
    <tableColumn id="17" xr3:uid="{00000000-0010-0000-1F00-000011000000}" name="2011" dataDxfId="2055"/>
    <tableColumn id="18" xr3:uid="{00000000-0010-0000-1F00-000012000000}" name="2012" dataDxfId="2054"/>
    <tableColumn id="19" xr3:uid="{00000000-0010-0000-1F00-000013000000}" name="2013" dataDxfId="2053"/>
    <tableColumn id="20" xr3:uid="{00000000-0010-0000-1F00-000014000000}" name="2014" dataDxfId="2052"/>
    <tableColumn id="21" xr3:uid="{00000000-0010-0000-1F00-000015000000}" name="2015" dataDxfId="2051"/>
    <tableColumn id="22" xr3:uid="{00000000-0010-0000-1F00-000016000000}" name="2016" dataDxfId="2050"/>
    <tableColumn id="23" xr3:uid="{00000000-0010-0000-1F00-000017000000}" name="2017" dataDxfId="2049"/>
  </tableColumns>
  <tableStyleInfo name="TableStyleMedium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20000000}" name="County1County2AllYearsCGRSales" displayName="County1County2AllYearsCGRSales" ref="A34:W38" totalsRowShown="0" headerRowDxfId="2048" dataDxfId="2047">
  <autoFilter ref="A34:W38" xr:uid="{00000000-0009-0000-0100-000046000000}"/>
  <tableColumns count="23">
    <tableColumn id="1" xr3:uid="{00000000-0010-0000-2000-000001000000}" name="County/Category" dataDxfId="2046"/>
    <tableColumn id="2" xr3:uid="{00000000-0010-0000-2000-000002000000}" name="1996" dataDxfId="2045"/>
    <tableColumn id="3" xr3:uid="{00000000-0010-0000-2000-000003000000}" name="1997" dataDxfId="2044"/>
    <tableColumn id="4" xr3:uid="{00000000-0010-0000-2000-000004000000}" name="1998" dataDxfId="2043"/>
    <tableColumn id="5" xr3:uid="{00000000-0010-0000-2000-000005000000}" name="1999" dataDxfId="2042"/>
    <tableColumn id="6" xr3:uid="{00000000-0010-0000-2000-000006000000}" name="2000" dataDxfId="2041"/>
    <tableColumn id="7" xr3:uid="{00000000-0010-0000-2000-000007000000}" name="2001" dataDxfId="2040"/>
    <tableColumn id="8" xr3:uid="{00000000-0010-0000-2000-000008000000}" name="2002" dataDxfId="2039"/>
    <tableColumn id="9" xr3:uid="{00000000-0010-0000-2000-000009000000}" name="2003" dataDxfId="2038"/>
    <tableColumn id="10" xr3:uid="{00000000-0010-0000-2000-00000A000000}" name="2004" dataDxfId="2037"/>
    <tableColumn id="11" xr3:uid="{00000000-0010-0000-2000-00000B000000}" name="2005" dataDxfId="2036"/>
    <tableColumn id="12" xr3:uid="{00000000-0010-0000-2000-00000C000000}" name="2006" dataDxfId="2035"/>
    <tableColumn id="13" xr3:uid="{00000000-0010-0000-2000-00000D000000}" name="2007" dataDxfId="2034"/>
    <tableColumn id="14" xr3:uid="{00000000-0010-0000-2000-00000E000000}" name="2008" dataDxfId="2033"/>
    <tableColumn id="15" xr3:uid="{00000000-0010-0000-2000-00000F000000}" name="2009" dataDxfId="2032"/>
    <tableColumn id="16" xr3:uid="{00000000-0010-0000-2000-000010000000}" name="2010" dataDxfId="2031"/>
    <tableColumn id="17" xr3:uid="{00000000-0010-0000-2000-000011000000}" name="2011" dataDxfId="2030"/>
    <tableColumn id="18" xr3:uid="{00000000-0010-0000-2000-000012000000}" name="2012" dataDxfId="2029"/>
    <tableColumn id="19" xr3:uid="{00000000-0010-0000-2000-000013000000}" name="2013" dataDxfId="2028"/>
    <tableColumn id="20" xr3:uid="{00000000-0010-0000-2000-000014000000}" name="2014" dataDxfId="2027"/>
    <tableColumn id="21" xr3:uid="{00000000-0010-0000-2000-000015000000}" name="2015" dataDxfId="2026"/>
    <tableColumn id="22" xr3:uid="{00000000-0010-0000-2000-000016000000}" name="2016" dataDxfId="2025"/>
    <tableColumn id="23" xr3:uid="{00000000-0010-0000-2000-000017000000}" name="2017" dataDxfId="2024"/>
  </tableColumns>
  <tableStyleInfo name="TableStyleMedium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21000000}" name="County1County2AllYearsPopulation" displayName="County1County2AllYearsPopulation" ref="A11:W13" totalsRowShown="0" headerRowDxfId="2023" dataDxfId="2022">
  <autoFilter ref="A11:W13" xr:uid="{00000000-0009-0000-0100-000047000000}"/>
  <tableColumns count="23">
    <tableColumn id="1" xr3:uid="{00000000-0010-0000-2100-000001000000}" name="County/Category" dataDxfId="2021">
      <calculatedColumnFormula>CONCATENATE($A$5," Population")</calculatedColumnFormula>
    </tableColumn>
    <tableColumn id="2" xr3:uid="{00000000-0010-0000-2100-000002000000}" name="1996" dataDxfId="2020">
      <calculatedColumnFormula>VLOOKUP($A$5, 'Population &amp; Income'!$A$9:$R$99, 2)</calculatedColumnFormula>
    </tableColumn>
    <tableColumn id="3" xr3:uid="{00000000-0010-0000-2100-000003000000}" name="1997" dataDxfId="2019">
      <calculatedColumnFormula>VLOOKUP($A$5, 'Population &amp; Income'!$A$9:$R$99, 3)</calculatedColumnFormula>
    </tableColumn>
    <tableColumn id="4" xr3:uid="{00000000-0010-0000-2100-000004000000}" name="1998" dataDxfId="2018">
      <calculatedColumnFormula>VLOOKUP($A$5, 'Population &amp; Income'!$A$9:$R$99, 4)</calculatedColumnFormula>
    </tableColumn>
    <tableColumn id="5" xr3:uid="{00000000-0010-0000-2100-000005000000}" name="1999" dataDxfId="2017">
      <calculatedColumnFormula>VLOOKUP($A$5, 'Population &amp; Income'!$A$9:$R$99, 5)</calculatedColumnFormula>
    </tableColumn>
    <tableColumn id="6" xr3:uid="{00000000-0010-0000-2100-000006000000}" name="2000" dataDxfId="2016">
      <calculatedColumnFormula>VLOOKUP($A$5, 'Population &amp; Income'!$A$9:$R$99, 6)</calculatedColumnFormula>
    </tableColumn>
    <tableColumn id="7" xr3:uid="{00000000-0010-0000-2100-000007000000}" name="2001" dataDxfId="2015">
      <calculatedColumnFormula>VLOOKUP($A$5, 'Population &amp; Income'!$A$9:$R$99, 7)</calculatedColumnFormula>
    </tableColumn>
    <tableColumn id="8" xr3:uid="{00000000-0010-0000-2100-000008000000}" name="2002" dataDxfId="2014">
      <calculatedColumnFormula>VLOOKUP($A$5, 'Population &amp; Income'!$A$9:$R$99, 8)</calculatedColumnFormula>
    </tableColumn>
    <tableColumn id="9" xr3:uid="{00000000-0010-0000-2100-000009000000}" name="2003" dataDxfId="2013">
      <calculatedColumnFormula>VLOOKUP($A$5, 'Population &amp; Income'!$A$9:$R$99, 9)</calculatedColumnFormula>
    </tableColumn>
    <tableColumn id="10" xr3:uid="{00000000-0010-0000-2100-00000A000000}" name="2004" dataDxfId="2012">
      <calculatedColumnFormula>VLOOKUP($A$5, 'Population &amp; Income'!$A$9:$R$99, 10)</calculatedColumnFormula>
    </tableColumn>
    <tableColumn id="11" xr3:uid="{00000000-0010-0000-2100-00000B000000}" name="2005" dataDxfId="2011">
      <calculatedColumnFormula>VLOOKUP($A$5, 'Population &amp; Income'!$A$9:$R$99, 11)</calculatedColumnFormula>
    </tableColumn>
    <tableColumn id="12" xr3:uid="{00000000-0010-0000-2100-00000C000000}" name="2006" dataDxfId="2010">
      <calculatedColumnFormula>VLOOKUP($A$5, 'Population &amp; Income'!$A$9:$R$99, 12)</calculatedColumnFormula>
    </tableColumn>
    <tableColumn id="13" xr3:uid="{00000000-0010-0000-2100-00000D000000}" name="2007" dataDxfId="2009">
      <calculatedColumnFormula>VLOOKUP($A$5, 'Population &amp; Income'!$A$9:$R$99, 13)</calculatedColumnFormula>
    </tableColumn>
    <tableColumn id="14" xr3:uid="{00000000-0010-0000-2100-00000E000000}" name="2008" dataDxfId="2008">
      <calculatedColumnFormula>VLOOKUP($A$5, 'Population &amp; Income'!$A$9:$R$99, 14)</calculatedColumnFormula>
    </tableColumn>
    <tableColumn id="15" xr3:uid="{00000000-0010-0000-2100-00000F000000}" name="2009" dataDxfId="2007">
      <calculatedColumnFormula>VLOOKUP($A$5, 'Population &amp; Income'!$A$9:$R$99, 15)</calculatedColumnFormula>
    </tableColumn>
    <tableColumn id="16" xr3:uid="{00000000-0010-0000-2100-000010000000}" name="2010" dataDxfId="2006">
      <calculatedColumnFormula>VLOOKUP($A$5, 'Population &amp; Income'!$A$9:$R$99, 16)</calculatedColumnFormula>
    </tableColumn>
    <tableColumn id="17" xr3:uid="{00000000-0010-0000-2100-000011000000}" name="2011" dataDxfId="2005">
      <calculatedColumnFormula>VLOOKUP($A$5, 'Population &amp; Income'!$A$9:$R$99, 17)</calculatedColumnFormula>
    </tableColumn>
    <tableColumn id="18" xr3:uid="{00000000-0010-0000-2100-000012000000}" name="2012" dataDxfId="2004">
      <calculatedColumnFormula>INDEX(Population[],MATCH($A$5,Population[County]),MATCH(R10,Population[#Headers]))</calculatedColumnFormula>
    </tableColumn>
    <tableColumn id="19" xr3:uid="{00000000-0010-0000-2100-000013000000}" name="2013" dataDxfId="2003">
      <calculatedColumnFormula>INDEX(Population[],MATCH($A$5,Population[County]),MATCH(S10,Population[#Headers]))</calculatedColumnFormula>
    </tableColumn>
    <tableColumn id="20" xr3:uid="{00000000-0010-0000-2100-000014000000}" name="2014" dataDxfId="2002"/>
    <tableColumn id="21" xr3:uid="{00000000-0010-0000-2100-000015000000}" name="2015" dataDxfId="2001"/>
    <tableColumn id="22" xr3:uid="{00000000-0010-0000-2100-000016000000}" name="2016" dataDxfId="2000"/>
    <tableColumn id="23" xr3:uid="{00000000-0010-0000-2100-000017000000}" name="2017" dataDxfId="1999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22000000}" name="County1County2AllYearsRealIncomePerCapita" displayName="County1County2AllYearsRealIncomePerCapita" ref="A16:W18" totalsRowShown="0" headerRowDxfId="1998" dataDxfId="1997">
  <autoFilter ref="A16:W18" xr:uid="{00000000-0009-0000-0100-000048000000}"/>
  <tableColumns count="23">
    <tableColumn id="1" xr3:uid="{00000000-0010-0000-2200-000001000000}" name="County/Category" dataDxfId="1996">
      <calculatedColumnFormula>CONCATENATE($A$5," County Real per Capita Income")</calculatedColumnFormula>
    </tableColumn>
    <tableColumn id="2" xr3:uid="{00000000-0010-0000-2200-000002000000}" name="1996" dataDxfId="1995">
      <calculatedColumnFormula>((VLOOKUP($A$5, 'Population &amp; Income'!$Z$9:$AQ$97, 2)*1000)/('Price Indices'!A$14/'Price Indices'!$A$14))/VLOOKUP($A$5, 'Population &amp; Income'!$A$9:$R$99, 2)</calculatedColumnFormula>
    </tableColumn>
    <tableColumn id="3" xr3:uid="{00000000-0010-0000-2200-000003000000}" name="1997" dataDxfId="1994">
      <calculatedColumnFormula>((VLOOKUP($A$5, 'Population &amp; Income'!$Z$9:$AQ$97, 3)*1000)/('Price Indices'!B$14/'Price Indices'!$A$14))/VLOOKUP($A$5, 'Population &amp; Income'!$A$9:$R$99, 3)</calculatedColumnFormula>
    </tableColumn>
    <tableColumn id="4" xr3:uid="{00000000-0010-0000-2200-000004000000}" name="1998" dataDxfId="1993">
      <calculatedColumnFormula>((VLOOKUP($A$5, 'Population &amp; Income'!$Z$9:$AQ$97, 4)*1000)/('Price Indices'!C$14/'Price Indices'!$A$14))/VLOOKUP($A$5, 'Population &amp; Income'!$A$9:$R$99, 4)</calculatedColumnFormula>
    </tableColumn>
    <tableColumn id="5" xr3:uid="{00000000-0010-0000-2200-000005000000}" name="1999" dataDxfId="1992">
      <calculatedColumnFormula>((VLOOKUP($A$5, 'Population &amp; Income'!$Z$9:$AQ$97, 5)*1000)/('Price Indices'!D$14/'Price Indices'!$A$14))/VLOOKUP($A$5, 'Population &amp; Income'!$A$9:$R$99, 5)</calculatedColumnFormula>
    </tableColumn>
    <tableColumn id="6" xr3:uid="{00000000-0010-0000-2200-000006000000}" name="2000" dataDxfId="1991">
      <calculatedColumnFormula>((VLOOKUP($A$5, 'Population &amp; Income'!$Z$9:$AQ$97, 6)*1000)/('Price Indices'!E$14/'Price Indices'!$A$14))/VLOOKUP($A$5, 'Population &amp; Income'!$A$9:$R$99, 6)</calculatedColumnFormula>
    </tableColumn>
    <tableColumn id="7" xr3:uid="{00000000-0010-0000-2200-000007000000}" name="2001" dataDxfId="1990">
      <calculatedColumnFormula>((VLOOKUP($A$5, 'Population &amp; Income'!$Z$9:$AQ$97, 7)*1000)/('Price Indices'!F$14/'Price Indices'!$A$14))/VLOOKUP($A$5, 'Population &amp; Income'!$A$9:$R$99, 7)</calculatedColumnFormula>
    </tableColumn>
    <tableColumn id="8" xr3:uid="{00000000-0010-0000-2200-000008000000}" name="2002" dataDxfId="1989">
      <calculatedColumnFormula>((VLOOKUP($A$5, 'Population &amp; Income'!$Z$9:$AQ$97, 8)*1000)/('Price Indices'!G$14/'Price Indices'!$A$14))/VLOOKUP($A$5, 'Population &amp; Income'!$A$9:$R$99, 8)</calculatedColumnFormula>
    </tableColumn>
    <tableColumn id="9" xr3:uid="{00000000-0010-0000-2200-000009000000}" name="2003" dataDxfId="1988">
      <calculatedColumnFormula>((VLOOKUP($A$5, 'Population &amp; Income'!$Z$9:$AQ$97, 9)*1000)/('Price Indices'!H$14/'Price Indices'!$A$14))/VLOOKUP($A$5, 'Population &amp; Income'!$A$9:$R$99, 9)</calculatedColumnFormula>
    </tableColumn>
    <tableColumn id="10" xr3:uid="{00000000-0010-0000-2200-00000A000000}" name="2004" dataDxfId="1987">
      <calculatedColumnFormula>((VLOOKUP($A$5, 'Population &amp; Income'!$Z$9:$AQ$97, 10)*1000)/('Price Indices'!I$14/'Price Indices'!$A$14))/VLOOKUP($A$5, 'Population &amp; Income'!$A$9:$R$99, 10)</calculatedColumnFormula>
    </tableColumn>
    <tableColumn id="11" xr3:uid="{00000000-0010-0000-2200-00000B000000}" name="2005" dataDxfId="1986">
      <calculatedColumnFormula>((VLOOKUP($A$5, 'Population &amp; Income'!$Z$9:$AQ$97, 11)*1000)/('Price Indices'!J$14/'Price Indices'!$A$14))/VLOOKUP($A$5, 'Population &amp; Income'!$A$9:$R$99, 11)</calculatedColumnFormula>
    </tableColumn>
    <tableColumn id="12" xr3:uid="{00000000-0010-0000-2200-00000C000000}" name="2006" dataDxfId="1985">
      <calculatedColumnFormula>((VLOOKUP($A$5, 'Population &amp; Income'!$Z$9:$AQ$97, 12)*1000)/('Price Indices'!K$14/'Price Indices'!$A$14))/VLOOKUP($A$5, 'Population &amp; Income'!$A$9:$R$99, 12)</calculatedColumnFormula>
    </tableColumn>
    <tableColumn id="13" xr3:uid="{00000000-0010-0000-2200-00000D000000}" name="2007" dataDxfId="1984">
      <calculatedColumnFormula>((VLOOKUP($A$5, 'Population &amp; Income'!$Z$9:$AQ$97, 13)*1000)/('Price Indices'!L$14/'Price Indices'!$A$14))/VLOOKUP($A$5, 'Population &amp; Income'!$A$9:$R$99, 13)</calculatedColumnFormula>
    </tableColumn>
    <tableColumn id="14" xr3:uid="{00000000-0010-0000-2200-00000E000000}" name="2008" dataDxfId="1983">
      <calculatedColumnFormula>((VLOOKUP($A$5, 'Population &amp; Income'!$Z$9:$AQ$97, 14)*1000)/('Price Indices'!M$14/'Price Indices'!$A$14))/VLOOKUP($A$5, 'Population &amp; Income'!$A$9:$R$99, 14)</calculatedColumnFormula>
    </tableColumn>
    <tableColumn id="15" xr3:uid="{00000000-0010-0000-2200-00000F000000}" name="2009" dataDxfId="1982">
      <calculatedColumnFormula>((VLOOKUP($A$5, 'Population &amp; Income'!$Z$9:$AQ$97, 15)*1000)/('Price Indices'!N$14/'Price Indices'!$A$14))/VLOOKUP($A$5, 'Population &amp; Income'!$A$9:$R$99, 15)</calculatedColumnFormula>
    </tableColumn>
    <tableColumn id="16" xr3:uid="{00000000-0010-0000-2200-000010000000}" name="2010" dataDxfId="1981">
      <calculatedColumnFormula>((VLOOKUP($A$5, 'Population &amp; Income'!$Z$9:$AQ$97, 16)*1000)/('Price Indices'!O$14/'Price Indices'!$A$14))/VLOOKUP($A$5, 'Population &amp; Income'!$A$9:$R$99, 16)</calculatedColumnFormula>
    </tableColumn>
    <tableColumn id="17" xr3:uid="{00000000-0010-0000-2200-000011000000}" name="2011" dataDxfId="1980">
      <calculatedColumnFormula>((VLOOKUP($A$5, 'Population &amp; Income'!$Z$9:$AQ$97, 17)*1000)/('Price Indices'!P$14/'Price Indices'!$A$14))/VLOOKUP($A$5, 'Population &amp; Income'!$A$9:$R$99, 17)</calculatedColumnFormula>
    </tableColumn>
    <tableColumn id="18" xr3:uid="{00000000-0010-0000-2200-000012000000}" name="2012" dataDxfId="1979">
      <calculatedColumnFormula>((INDEX(PersonalIncomeTotal[],MATCH($A$5,PersonalIncomeTotal[AreaName]),MATCH(R15,PersonalIncomeTotal[#Headers]))*1000)/(INDEX(CPINormalized[],1,MATCH(R15,CPINormalized[#Headers]))/100))/INDEX(Population[],MATCH($A$5,Population[County]),MATCH(R15,Population[#Headers]))</calculatedColumnFormula>
    </tableColumn>
    <tableColumn id="19" xr3:uid="{00000000-0010-0000-2200-000013000000}" name="2013" dataDxfId="1978">
      <calculatedColumnFormula>((INDEX(PersonalIncomeTotal[],MATCH($A$5,PersonalIncomeTotal[AreaName]),MATCH(S15,PersonalIncomeTotal[#Headers]))*1000)/(INDEX(CPINormalized[],1,MATCH(S15,CPINormalized[#Headers]))/100))/INDEX(Population[],MATCH($A$5,Population[County]),MATCH(S15,Population[#Headers]))</calculatedColumnFormula>
    </tableColumn>
    <tableColumn id="20" xr3:uid="{00000000-0010-0000-2200-000014000000}" name="2014" dataDxfId="1977"/>
    <tableColumn id="21" xr3:uid="{00000000-0010-0000-2200-000015000000}" name="2015" dataDxfId="1976"/>
    <tableColumn id="22" xr3:uid="{00000000-0010-0000-2200-000016000000}" name="2016" dataDxfId="1975"/>
    <tableColumn id="23" xr3:uid="{00000000-0010-0000-2200-000017000000}" name="2017" dataDxfId="1974"/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23000000}" name="County1County2RealGRREPerCapita" displayName="County1County2RealGRREPerCapita" ref="A21:W25" totalsRowShown="0" headerRowDxfId="1973" dataDxfId="1972">
  <autoFilter ref="A21:W25" xr:uid="{00000000-0009-0000-0100-000049000000}"/>
  <tableColumns count="23">
    <tableColumn id="1" xr3:uid="{00000000-0010-0000-2300-000001000000}" name="County/Category" dataDxfId="1971"/>
    <tableColumn id="2" xr3:uid="{00000000-0010-0000-2300-000002000000}" name="1996" dataDxfId="1970"/>
    <tableColumn id="3" xr3:uid="{00000000-0010-0000-2300-000003000000}" name="1997" dataDxfId="1969"/>
    <tableColumn id="4" xr3:uid="{00000000-0010-0000-2300-000004000000}" name="1998" dataDxfId="1968"/>
    <tableColumn id="5" xr3:uid="{00000000-0010-0000-2300-000005000000}" name="1999" dataDxfId="1967"/>
    <tableColumn id="6" xr3:uid="{00000000-0010-0000-2300-000006000000}" name="2000" dataDxfId="1966"/>
    <tableColumn id="7" xr3:uid="{00000000-0010-0000-2300-000007000000}" name="2001" dataDxfId="1965"/>
    <tableColumn id="8" xr3:uid="{00000000-0010-0000-2300-000008000000}" name="2002" dataDxfId="1964"/>
    <tableColumn id="9" xr3:uid="{00000000-0010-0000-2300-000009000000}" name="2003" dataDxfId="1963"/>
    <tableColumn id="10" xr3:uid="{00000000-0010-0000-2300-00000A000000}" name="2004" dataDxfId="1962"/>
    <tableColumn id="11" xr3:uid="{00000000-0010-0000-2300-00000B000000}" name="2005" dataDxfId="1961"/>
    <tableColumn id="12" xr3:uid="{00000000-0010-0000-2300-00000C000000}" name="2006" dataDxfId="1960"/>
    <tableColumn id="13" xr3:uid="{00000000-0010-0000-2300-00000D000000}" name="2007" dataDxfId="1959"/>
    <tableColumn id="14" xr3:uid="{00000000-0010-0000-2300-00000E000000}" name="2008" dataDxfId="1958"/>
    <tableColumn id="15" xr3:uid="{00000000-0010-0000-2300-00000F000000}" name="2009" dataDxfId="1957"/>
    <tableColumn id="16" xr3:uid="{00000000-0010-0000-2300-000010000000}" name="2010" dataDxfId="1956"/>
    <tableColumn id="17" xr3:uid="{00000000-0010-0000-2300-000011000000}" name="2011" dataDxfId="1955"/>
    <tableColumn id="18" xr3:uid="{00000000-0010-0000-2300-000012000000}" name="2012" dataDxfId="1954"/>
    <tableColumn id="19" xr3:uid="{00000000-0010-0000-2300-000013000000}" name="2013" dataDxfId="1953"/>
    <tableColumn id="20" xr3:uid="{00000000-0010-0000-2300-000014000000}" name="2014" dataDxfId="1952"/>
    <tableColumn id="21" xr3:uid="{00000000-0010-0000-2300-000015000000}" name="2015" dataDxfId="1951"/>
    <tableColumn id="22" xr3:uid="{00000000-0010-0000-2300-000016000000}" name="2016" dataDxfId="1950"/>
    <tableColumn id="23" xr3:uid="{00000000-0010-0000-2300-000017000000}" name="2017" dataDxfId="1949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24000000}" name="County1County2AllYearsRealPropertySalesValuesPerCapita" displayName="County1County2AllYearsRealPropertySalesValuesPerCapita" ref="A28:W32" totalsRowShown="0" headerRowDxfId="1948">
  <autoFilter ref="A28:W32" xr:uid="{00000000-0009-0000-0100-00004A000000}"/>
  <tableColumns count="23">
    <tableColumn id="1" xr3:uid="{00000000-0010-0000-2400-000001000000}" name="County/Category" dataDxfId="1947"/>
    <tableColumn id="2" xr3:uid="{00000000-0010-0000-2400-000002000000}" name="1996"/>
    <tableColumn id="3" xr3:uid="{00000000-0010-0000-2400-000003000000}" name="1997"/>
    <tableColumn id="4" xr3:uid="{00000000-0010-0000-2400-000004000000}" name="1998"/>
    <tableColumn id="5" xr3:uid="{00000000-0010-0000-2400-000005000000}" name="1999"/>
    <tableColumn id="6" xr3:uid="{00000000-0010-0000-2400-000006000000}" name="2000"/>
    <tableColumn id="7" xr3:uid="{00000000-0010-0000-2400-000007000000}" name="2001"/>
    <tableColumn id="8" xr3:uid="{00000000-0010-0000-2400-000008000000}" name="2002"/>
    <tableColumn id="9" xr3:uid="{00000000-0010-0000-2400-000009000000}" name="2003"/>
    <tableColumn id="10" xr3:uid="{00000000-0010-0000-2400-00000A000000}" name="2004"/>
    <tableColumn id="11" xr3:uid="{00000000-0010-0000-2400-00000B000000}" name="2005"/>
    <tableColumn id="12" xr3:uid="{00000000-0010-0000-2400-00000C000000}" name="2006"/>
    <tableColumn id="13" xr3:uid="{00000000-0010-0000-2400-00000D000000}" name="2007"/>
    <tableColumn id="14" xr3:uid="{00000000-0010-0000-2400-00000E000000}" name="2008"/>
    <tableColumn id="15" xr3:uid="{00000000-0010-0000-2400-00000F000000}" name="2009"/>
    <tableColumn id="16" xr3:uid="{00000000-0010-0000-2400-000010000000}" name="2010"/>
    <tableColumn id="17" xr3:uid="{00000000-0010-0000-2400-000011000000}" name="2011"/>
    <tableColumn id="18" xr3:uid="{00000000-0010-0000-2400-000012000000}" name="2012"/>
    <tableColumn id="19" xr3:uid="{00000000-0010-0000-2400-000013000000}" name="2013"/>
    <tableColumn id="20" xr3:uid="{00000000-0010-0000-2400-000014000000}" name="2014"/>
    <tableColumn id="21" xr3:uid="{00000000-0010-0000-2400-000015000000}" name="2015"/>
    <tableColumn id="22" xr3:uid="{00000000-0010-0000-2400-000016000000}" name="2016"/>
    <tableColumn id="23" xr3:uid="{00000000-0010-0000-2400-000017000000}" name="2017"/>
  </tableColumns>
  <tableStyleInfo name="TableStyleMedium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25000000}" name="County1County2AllYearsRealPropertySalesTaxPerCapita" displayName="County1County2AllYearsRealPropertySalesTaxPerCapita" ref="A35:W39" totalsRowShown="0" headerRowDxfId="1946" dataDxfId="1945">
  <autoFilter ref="A35:W39" xr:uid="{00000000-0009-0000-0100-00004B000000}"/>
  <tableColumns count="23">
    <tableColumn id="1" xr3:uid="{00000000-0010-0000-2500-000001000000}" name="County/Category" dataDxfId="1944"/>
    <tableColumn id="2" xr3:uid="{00000000-0010-0000-2500-000002000000}" name="1996" dataDxfId="1943"/>
    <tableColumn id="3" xr3:uid="{00000000-0010-0000-2500-000003000000}" name="1997" dataDxfId="1942"/>
    <tableColumn id="4" xr3:uid="{00000000-0010-0000-2500-000004000000}" name="1998" dataDxfId="1941"/>
    <tableColumn id="5" xr3:uid="{00000000-0010-0000-2500-000005000000}" name="1999" dataDxfId="1940"/>
    <tableColumn id="6" xr3:uid="{00000000-0010-0000-2500-000006000000}" name="2000" dataDxfId="1939"/>
    <tableColumn id="7" xr3:uid="{00000000-0010-0000-2500-000007000000}" name="2001" dataDxfId="1938"/>
    <tableColumn id="8" xr3:uid="{00000000-0010-0000-2500-000008000000}" name="2002" dataDxfId="1937"/>
    <tableColumn id="9" xr3:uid="{00000000-0010-0000-2500-000009000000}" name="2003" dataDxfId="1936"/>
    <tableColumn id="10" xr3:uid="{00000000-0010-0000-2500-00000A000000}" name="2004" dataDxfId="1935"/>
    <tableColumn id="11" xr3:uid="{00000000-0010-0000-2500-00000B000000}" name="2005" dataDxfId="1934"/>
    <tableColumn id="12" xr3:uid="{00000000-0010-0000-2500-00000C000000}" name="2006" dataDxfId="1933"/>
    <tableColumn id="13" xr3:uid="{00000000-0010-0000-2500-00000D000000}" name="2007" dataDxfId="1932"/>
    <tableColumn id="14" xr3:uid="{00000000-0010-0000-2500-00000E000000}" name="2008" dataDxfId="1931"/>
    <tableColumn id="15" xr3:uid="{00000000-0010-0000-2500-00000F000000}" name="2009" dataDxfId="1930"/>
    <tableColumn id="16" xr3:uid="{00000000-0010-0000-2500-000010000000}" name="2010" dataDxfId="1929"/>
    <tableColumn id="17" xr3:uid="{00000000-0010-0000-2500-000011000000}" name="2011" dataDxfId="1928"/>
    <tableColumn id="18" xr3:uid="{00000000-0010-0000-2500-000012000000}" name="2012" dataDxfId="1927"/>
    <tableColumn id="19" xr3:uid="{00000000-0010-0000-2500-000013000000}" name="2013" dataDxfId="1926"/>
    <tableColumn id="20" xr3:uid="{00000000-0010-0000-2500-000014000000}" name="2014" dataDxfId="1925"/>
    <tableColumn id="21" xr3:uid="{00000000-0010-0000-2500-000015000000}" name="2015" dataDxfId="1924"/>
    <tableColumn id="22" xr3:uid="{00000000-0010-0000-2500-000016000000}" name="2016" dataDxfId="1923"/>
    <tableColumn id="23" xr3:uid="{00000000-0010-0000-2500-000017000000}" name="2017" dataDxfId="1922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26000000}" name="County1AllYearsRealGRRPerCapita" displayName="County1AllYearsRealGRRPerCapita" ref="A42:W48" totalsRowShown="0" headerRowDxfId="1921" dataDxfId="1920">
  <autoFilter ref="A42:W48" xr:uid="{00000000-0009-0000-0100-00004C000000}"/>
  <tableColumns count="23">
    <tableColumn id="1" xr3:uid="{00000000-0010-0000-2600-000001000000}" name="Category" dataDxfId="1919"/>
    <tableColumn id="2" xr3:uid="{00000000-0010-0000-2600-000002000000}" name="1996" dataDxfId="1918"/>
    <tableColumn id="3" xr3:uid="{00000000-0010-0000-2600-000003000000}" name="1997" dataDxfId="1917"/>
    <tableColumn id="4" xr3:uid="{00000000-0010-0000-2600-000004000000}" name="1998" dataDxfId="1916"/>
    <tableColumn id="5" xr3:uid="{00000000-0010-0000-2600-000005000000}" name="1999" dataDxfId="1915"/>
    <tableColumn id="6" xr3:uid="{00000000-0010-0000-2600-000006000000}" name="2000" dataDxfId="1914"/>
    <tableColumn id="7" xr3:uid="{00000000-0010-0000-2600-000007000000}" name="2001" dataDxfId="1913"/>
    <tableColumn id="8" xr3:uid="{00000000-0010-0000-2600-000008000000}" name="2002" dataDxfId="1912"/>
    <tableColumn id="9" xr3:uid="{00000000-0010-0000-2600-000009000000}" name="2003" dataDxfId="1911"/>
    <tableColumn id="10" xr3:uid="{00000000-0010-0000-2600-00000A000000}" name="2004" dataDxfId="1910"/>
    <tableColumn id="11" xr3:uid="{00000000-0010-0000-2600-00000B000000}" name="2005" dataDxfId="1909"/>
    <tableColumn id="12" xr3:uid="{00000000-0010-0000-2600-00000C000000}" name="2006" dataDxfId="1908"/>
    <tableColumn id="13" xr3:uid="{00000000-0010-0000-2600-00000D000000}" name="2007" dataDxfId="1907"/>
    <tableColumn id="14" xr3:uid="{00000000-0010-0000-2600-00000E000000}" name="2008" dataDxfId="1906"/>
    <tableColumn id="15" xr3:uid="{00000000-0010-0000-2600-00000F000000}" name="2009" dataDxfId="1905"/>
    <tableColumn id="16" xr3:uid="{00000000-0010-0000-2600-000010000000}" name="2010" dataDxfId="1904"/>
    <tableColumn id="17" xr3:uid="{00000000-0010-0000-2600-000011000000}" name="2011" dataDxfId="1903"/>
    <tableColumn id="18" xr3:uid="{00000000-0010-0000-2600-000012000000}" name="2012" dataDxfId="1902"/>
    <tableColumn id="19" xr3:uid="{00000000-0010-0000-2600-000013000000}" name="2013" dataDxfId="1901"/>
    <tableColumn id="20" xr3:uid="{00000000-0010-0000-2600-000014000000}" name="2014" dataDxfId="1900"/>
    <tableColumn id="21" xr3:uid="{00000000-0010-0000-2600-000015000000}" name="2015" dataDxfId="1899"/>
    <tableColumn id="22" xr3:uid="{00000000-0010-0000-2600-000016000000}" name="2016" dataDxfId="1898"/>
    <tableColumn id="23" xr3:uid="{00000000-0010-0000-2600-000017000000}" name="2017" dataDxfId="189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3000000}" name="CountyAllYearsGRR" displayName="CountyAllYearsGRR" ref="A41:W47" totalsRowShown="0" headerRowDxfId="2565" dataDxfId="2564">
  <autoFilter ref="A41:W47" xr:uid="{00000000-0009-0000-0100-000028000000}"/>
  <tableColumns count="23">
    <tableColumn id="1" xr3:uid="{00000000-0010-0000-0300-000001000000}" name="Category" dataDxfId="2563"/>
    <tableColumn id="2" xr3:uid="{00000000-0010-0000-0300-000002000000}" name="1996" dataDxfId="2562"/>
    <tableColumn id="3" xr3:uid="{00000000-0010-0000-0300-000003000000}" name="1997" dataDxfId="2561"/>
    <tableColumn id="4" xr3:uid="{00000000-0010-0000-0300-000004000000}" name="1998" dataDxfId="2560"/>
    <tableColumn id="5" xr3:uid="{00000000-0010-0000-0300-000005000000}" name="1999" dataDxfId="2559"/>
    <tableColumn id="6" xr3:uid="{00000000-0010-0000-0300-000006000000}" name="2000" dataDxfId="2558"/>
    <tableColumn id="7" xr3:uid="{00000000-0010-0000-0300-000007000000}" name="2001" dataDxfId="2557"/>
    <tableColumn id="8" xr3:uid="{00000000-0010-0000-0300-000008000000}" name="2002" dataDxfId="2556"/>
    <tableColumn id="9" xr3:uid="{00000000-0010-0000-0300-000009000000}" name="2003" dataDxfId="2555"/>
    <tableColumn id="10" xr3:uid="{00000000-0010-0000-0300-00000A000000}" name="2004" dataDxfId="2554"/>
    <tableColumn id="11" xr3:uid="{00000000-0010-0000-0300-00000B000000}" name="2005" dataDxfId="2553"/>
    <tableColumn id="12" xr3:uid="{00000000-0010-0000-0300-00000C000000}" name="2006" dataDxfId="2552"/>
    <tableColumn id="13" xr3:uid="{00000000-0010-0000-0300-00000D000000}" name="2007" dataDxfId="2551"/>
    <tableColumn id="14" xr3:uid="{00000000-0010-0000-0300-00000E000000}" name="2008" dataDxfId="2550"/>
    <tableColumn id="15" xr3:uid="{00000000-0010-0000-0300-00000F000000}" name="2009" dataDxfId="2549"/>
    <tableColumn id="16" xr3:uid="{00000000-0010-0000-0300-000010000000}" name="2010" dataDxfId="2548"/>
    <tableColumn id="17" xr3:uid="{00000000-0010-0000-0300-000011000000}" name="2011" dataDxfId="2547"/>
    <tableColumn id="18" xr3:uid="{00000000-0010-0000-0300-000012000000}" name="2012" dataDxfId="2546"/>
    <tableColumn id="19" xr3:uid="{00000000-0010-0000-0300-000013000000}" name="2013" dataDxfId="2545"/>
    <tableColumn id="20" xr3:uid="{00000000-0010-0000-0300-000014000000}" name="2014" dataDxfId="2544"/>
    <tableColumn id="21" xr3:uid="{00000000-0010-0000-0300-000015000000}" name="2015" dataDxfId="2543"/>
    <tableColumn id="22" xr3:uid="{00000000-0010-0000-0300-000016000000}" name="2016" dataDxfId="2542"/>
    <tableColumn id="23" xr3:uid="{00000000-0010-0000-0300-000017000000}" name="2017" dataDxfId="2541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27000000}" name="County2AllYearsRealGRRPerCapita" displayName="County2AllYearsRealGRRPerCapita" ref="A51:W57" totalsRowShown="0" headerRowDxfId="1896" dataDxfId="1895">
  <autoFilter ref="A51:W57" xr:uid="{00000000-0009-0000-0100-00004D000000}"/>
  <tableColumns count="23">
    <tableColumn id="1" xr3:uid="{00000000-0010-0000-2700-000001000000}" name="Category" dataDxfId="1894"/>
    <tableColumn id="2" xr3:uid="{00000000-0010-0000-2700-000002000000}" name="1996" dataDxfId="1893"/>
    <tableColumn id="3" xr3:uid="{00000000-0010-0000-2700-000003000000}" name="1997" dataDxfId="1892"/>
    <tableColumn id="4" xr3:uid="{00000000-0010-0000-2700-000004000000}" name="1998" dataDxfId="1891"/>
    <tableColumn id="5" xr3:uid="{00000000-0010-0000-2700-000005000000}" name="1999" dataDxfId="1890"/>
    <tableColumn id="6" xr3:uid="{00000000-0010-0000-2700-000006000000}" name="2000" dataDxfId="1889"/>
    <tableColumn id="7" xr3:uid="{00000000-0010-0000-2700-000007000000}" name="2001" dataDxfId="1888"/>
    <tableColumn id="8" xr3:uid="{00000000-0010-0000-2700-000008000000}" name="2002" dataDxfId="1887"/>
    <tableColumn id="9" xr3:uid="{00000000-0010-0000-2700-000009000000}" name="2003" dataDxfId="1886"/>
    <tableColumn id="10" xr3:uid="{00000000-0010-0000-2700-00000A000000}" name="2004" dataDxfId="1885"/>
    <tableColumn id="11" xr3:uid="{00000000-0010-0000-2700-00000B000000}" name="2005" dataDxfId="1884"/>
    <tableColumn id="12" xr3:uid="{00000000-0010-0000-2700-00000C000000}" name="2006" dataDxfId="1883"/>
    <tableColumn id="13" xr3:uid="{00000000-0010-0000-2700-00000D000000}" name="2007" dataDxfId="1882"/>
    <tableColumn id="14" xr3:uid="{00000000-0010-0000-2700-00000E000000}" name="2008" dataDxfId="1881"/>
    <tableColumn id="15" xr3:uid="{00000000-0010-0000-2700-00000F000000}" name="2009" dataDxfId="1880"/>
    <tableColumn id="16" xr3:uid="{00000000-0010-0000-2700-000010000000}" name="2010" dataDxfId="1879"/>
    <tableColumn id="17" xr3:uid="{00000000-0010-0000-2700-000011000000}" name="2011" dataDxfId="1878"/>
    <tableColumn id="18" xr3:uid="{00000000-0010-0000-2700-000012000000}" name="2012" dataDxfId="1877"/>
    <tableColumn id="19" xr3:uid="{00000000-0010-0000-2700-000013000000}" name="2013" dataDxfId="1876"/>
    <tableColumn id="20" xr3:uid="{00000000-0010-0000-2700-000014000000}" name="2014" dataDxfId="1875"/>
    <tableColumn id="21" xr3:uid="{00000000-0010-0000-2700-000015000000}" name="2015" dataDxfId="1874"/>
    <tableColumn id="22" xr3:uid="{00000000-0010-0000-2700-000016000000}" name="2016" dataDxfId="1873"/>
    <tableColumn id="23" xr3:uid="{00000000-0010-0000-2700-000017000000}" name="2017" dataDxfId="1872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28000000}" name="County1AllYearsRealGREPerCapita" displayName="County1AllYearsRealGREPerCapita" ref="A60:W68" totalsRowShown="0" headerRowDxfId="1871" dataDxfId="1870">
  <autoFilter ref="A60:W68" xr:uid="{00000000-0009-0000-0100-00004E000000}"/>
  <tableColumns count="23">
    <tableColumn id="1" xr3:uid="{00000000-0010-0000-2800-000001000000}" name="Category" dataDxfId="1869"/>
    <tableColumn id="2" xr3:uid="{00000000-0010-0000-2800-000002000000}" name="1996" dataDxfId="1868"/>
    <tableColumn id="3" xr3:uid="{00000000-0010-0000-2800-000003000000}" name="1997" dataDxfId="1867"/>
    <tableColumn id="4" xr3:uid="{00000000-0010-0000-2800-000004000000}" name="1998" dataDxfId="1866"/>
    <tableColumn id="5" xr3:uid="{00000000-0010-0000-2800-000005000000}" name="1999" dataDxfId="1865"/>
    <tableColumn id="6" xr3:uid="{00000000-0010-0000-2800-000006000000}" name="2000" dataDxfId="1864"/>
    <tableColumn id="7" xr3:uid="{00000000-0010-0000-2800-000007000000}" name="2001" dataDxfId="1863"/>
    <tableColumn id="8" xr3:uid="{00000000-0010-0000-2800-000008000000}" name="2002" dataDxfId="1862"/>
    <tableColumn id="9" xr3:uid="{00000000-0010-0000-2800-000009000000}" name="2003" dataDxfId="1861"/>
    <tableColumn id="10" xr3:uid="{00000000-0010-0000-2800-00000A000000}" name="2004" dataDxfId="1860"/>
    <tableColumn id="11" xr3:uid="{00000000-0010-0000-2800-00000B000000}" name="2005" dataDxfId="1859"/>
    <tableColumn id="12" xr3:uid="{00000000-0010-0000-2800-00000C000000}" name="2006" dataDxfId="1858"/>
    <tableColumn id="13" xr3:uid="{00000000-0010-0000-2800-00000D000000}" name="2007" dataDxfId="1857"/>
    <tableColumn id="14" xr3:uid="{00000000-0010-0000-2800-00000E000000}" name="2008" dataDxfId="1856"/>
    <tableColumn id="15" xr3:uid="{00000000-0010-0000-2800-00000F000000}" name="2009" dataDxfId="1855"/>
    <tableColumn id="16" xr3:uid="{00000000-0010-0000-2800-000010000000}" name="2010" dataDxfId="1854"/>
    <tableColumn id="17" xr3:uid="{00000000-0010-0000-2800-000011000000}" name="2011" dataDxfId="1853"/>
    <tableColumn id="18" xr3:uid="{00000000-0010-0000-2800-000012000000}" name="2012" dataDxfId="1852"/>
    <tableColumn id="19" xr3:uid="{00000000-0010-0000-2800-000013000000}" name="2013" dataDxfId="1851"/>
    <tableColumn id="20" xr3:uid="{00000000-0010-0000-2800-000014000000}" name="2014" dataDxfId="1850"/>
    <tableColumn id="21" xr3:uid="{00000000-0010-0000-2800-000015000000}" name="2015" dataDxfId="1849"/>
    <tableColumn id="22" xr3:uid="{00000000-0010-0000-2800-000016000000}" name="2016" dataDxfId="1848"/>
    <tableColumn id="23" xr3:uid="{00000000-0010-0000-2800-000017000000}" name="2017" dataDxfId="1847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29000000}" name="County2AllYearsRealGREPerCapita" displayName="County2AllYearsRealGREPerCapita" ref="A71:W79" totalsRowShown="0" headerRowDxfId="1846" dataDxfId="1845">
  <autoFilter ref="A71:W79" xr:uid="{00000000-0009-0000-0100-00004F000000}"/>
  <tableColumns count="23">
    <tableColumn id="1" xr3:uid="{00000000-0010-0000-2900-000001000000}" name="Category" dataDxfId="1844"/>
    <tableColumn id="2" xr3:uid="{00000000-0010-0000-2900-000002000000}" name="1996" dataDxfId="1843"/>
    <tableColumn id="3" xr3:uid="{00000000-0010-0000-2900-000003000000}" name="1997" dataDxfId="1842"/>
    <tableColumn id="4" xr3:uid="{00000000-0010-0000-2900-000004000000}" name="1998" dataDxfId="1841"/>
    <tableColumn id="5" xr3:uid="{00000000-0010-0000-2900-000005000000}" name="1999" dataDxfId="1840"/>
    <tableColumn id="6" xr3:uid="{00000000-0010-0000-2900-000006000000}" name="2000" dataDxfId="1839"/>
    <tableColumn id="7" xr3:uid="{00000000-0010-0000-2900-000007000000}" name="2001" dataDxfId="1838"/>
    <tableColumn id="8" xr3:uid="{00000000-0010-0000-2900-000008000000}" name="2002" dataDxfId="1837"/>
    <tableColumn id="9" xr3:uid="{00000000-0010-0000-2900-000009000000}" name="2003" dataDxfId="1836"/>
    <tableColumn id="10" xr3:uid="{00000000-0010-0000-2900-00000A000000}" name="2004" dataDxfId="1835"/>
    <tableColumn id="11" xr3:uid="{00000000-0010-0000-2900-00000B000000}" name="2005" dataDxfId="1834"/>
    <tableColumn id="12" xr3:uid="{00000000-0010-0000-2900-00000C000000}" name="2006" dataDxfId="1833"/>
    <tableColumn id="13" xr3:uid="{00000000-0010-0000-2900-00000D000000}" name="2007" dataDxfId="1832"/>
    <tableColumn id="14" xr3:uid="{00000000-0010-0000-2900-00000E000000}" name="2008" dataDxfId="1831"/>
    <tableColumn id="15" xr3:uid="{00000000-0010-0000-2900-00000F000000}" name="2009" dataDxfId="1830"/>
    <tableColumn id="16" xr3:uid="{00000000-0010-0000-2900-000010000000}" name="2010" dataDxfId="1829"/>
    <tableColumn id="17" xr3:uid="{00000000-0010-0000-2900-000011000000}" name="2011" dataDxfId="1828"/>
    <tableColumn id="18" xr3:uid="{00000000-0010-0000-2900-000012000000}" name="2012" dataDxfId="1827"/>
    <tableColumn id="19" xr3:uid="{00000000-0010-0000-2900-000013000000}" name="2013" dataDxfId="1826"/>
    <tableColumn id="20" xr3:uid="{00000000-0010-0000-2900-000014000000}" name="2014" dataDxfId="1825"/>
    <tableColumn id="21" xr3:uid="{00000000-0010-0000-2900-000015000000}" name="2015" dataDxfId="1824"/>
    <tableColumn id="22" xr3:uid="{00000000-0010-0000-2900-000016000000}" name="2016" dataDxfId="1823"/>
    <tableColumn id="23" xr3:uid="{00000000-0010-0000-2900-000017000000}" name="2017" dataDxfId="1822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2A000000}" name="PropertyBaseAssessedValuesTable" displayName="PropertyBaseAssessedValuesTable" ref="A9:W98" totalsRowShown="0" headerRowDxfId="1821" dataDxfId="1820">
  <autoFilter ref="A9:W98" xr:uid="{00000000-0009-0000-0100-000058000000}"/>
  <tableColumns count="23">
    <tableColumn id="1" xr3:uid="{00000000-0010-0000-2A00-000001000000}" name="County" dataDxfId="1819"/>
    <tableColumn id="2" xr3:uid="{00000000-0010-0000-2A00-000002000000}" name="1996" dataDxfId="1818"/>
    <tableColumn id="3" xr3:uid="{00000000-0010-0000-2A00-000003000000}" name="1997" dataDxfId="1817"/>
    <tableColumn id="4" xr3:uid="{00000000-0010-0000-2A00-000004000000}" name="1998" dataDxfId="1816"/>
    <tableColumn id="5" xr3:uid="{00000000-0010-0000-2A00-000005000000}" name="1999" dataDxfId="1815"/>
    <tableColumn id="6" xr3:uid="{00000000-0010-0000-2A00-000006000000}" name="2000" dataDxfId="1814"/>
    <tableColumn id="7" xr3:uid="{00000000-0010-0000-2A00-000007000000}" name="2001" dataDxfId="1813"/>
    <tableColumn id="8" xr3:uid="{00000000-0010-0000-2A00-000008000000}" name="2002" dataDxfId="1812"/>
    <tableColumn id="9" xr3:uid="{00000000-0010-0000-2A00-000009000000}" name="2003" dataDxfId="1811"/>
    <tableColumn id="10" xr3:uid="{00000000-0010-0000-2A00-00000A000000}" name="2004" dataDxfId="1810"/>
    <tableColumn id="11" xr3:uid="{00000000-0010-0000-2A00-00000B000000}" name="2005" dataDxfId="1809"/>
    <tableColumn id="12" xr3:uid="{00000000-0010-0000-2A00-00000C000000}" name="2006" dataDxfId="1808"/>
    <tableColumn id="13" xr3:uid="{00000000-0010-0000-2A00-00000D000000}" name="2007" dataDxfId="1807"/>
    <tableColumn id="14" xr3:uid="{00000000-0010-0000-2A00-00000E000000}" name="2008" dataDxfId="1806"/>
    <tableColumn id="15" xr3:uid="{00000000-0010-0000-2A00-00000F000000}" name="2009" dataDxfId="1805"/>
    <tableColumn id="16" xr3:uid="{00000000-0010-0000-2A00-000010000000}" name="2010" dataDxfId="1804"/>
    <tableColumn id="17" xr3:uid="{00000000-0010-0000-2A00-000011000000}" name="2011" dataDxfId="1803" dataCellStyle="Normal 4"/>
    <tableColumn id="18" xr3:uid="{00000000-0010-0000-2A00-000012000000}" name="2012" dataDxfId="1802"/>
    <tableColumn id="19" xr3:uid="{00000000-0010-0000-2A00-000013000000}" name="2013" dataDxfId="1801"/>
    <tableColumn id="21" xr3:uid="{00000000-0010-0000-2A00-000015000000}" name="2014" dataDxfId="1800"/>
    <tableColumn id="22" xr3:uid="{00000000-0010-0000-2A00-000016000000}" name="2015" dataDxfId="1799"/>
    <tableColumn id="23" xr3:uid="{00000000-0010-0000-2A00-000017000000}" name="2016" dataDxfId="1798"/>
    <tableColumn id="24" xr3:uid="{00000000-0010-0000-2A00-000018000000}" name="2017" dataDxfId="1797"/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2B000000}" name="PropertyBaseAssessedValuesPerCapitaTable" displayName="PropertyBaseAssessedValuesPerCapitaTable" ref="Y9:AU98" totalsRowShown="0" headerRowDxfId="1796" dataDxfId="1795">
  <autoFilter ref="Y9:AU98" xr:uid="{00000000-0009-0000-0100-000059000000}"/>
  <tableColumns count="23">
    <tableColumn id="1" xr3:uid="{00000000-0010-0000-2B00-000001000000}" name="County" dataDxfId="1794"/>
    <tableColumn id="2" xr3:uid="{00000000-0010-0000-2B00-000002000000}" name="1996" dataDxfId="1793">
      <calculatedColumnFormula>B10/'Population &amp; Income'!B9</calculatedColumnFormula>
    </tableColumn>
    <tableColumn id="3" xr3:uid="{00000000-0010-0000-2B00-000003000000}" name="1997" dataDxfId="1792">
      <calculatedColumnFormula>C10/'Population &amp; Income'!C9</calculatedColumnFormula>
    </tableColumn>
    <tableColumn id="4" xr3:uid="{00000000-0010-0000-2B00-000004000000}" name="1998" dataDxfId="1791">
      <calculatedColumnFormula>D10/'Population &amp; Income'!D9</calculatedColumnFormula>
    </tableColumn>
    <tableColumn id="5" xr3:uid="{00000000-0010-0000-2B00-000005000000}" name="1999" dataDxfId="1790">
      <calculatedColumnFormula>E10/'Population &amp; Income'!E9</calculatedColumnFormula>
    </tableColumn>
    <tableColumn id="6" xr3:uid="{00000000-0010-0000-2B00-000006000000}" name="2000" dataDxfId="1789">
      <calculatedColumnFormula>F10/'Population &amp; Income'!F9</calculatedColumnFormula>
    </tableColumn>
    <tableColumn id="7" xr3:uid="{00000000-0010-0000-2B00-000007000000}" name="2001" dataDxfId="1788">
      <calculatedColumnFormula>G10/'Population &amp; Income'!G9</calculatedColumnFormula>
    </tableColumn>
    <tableColumn id="8" xr3:uid="{00000000-0010-0000-2B00-000008000000}" name="2002" dataDxfId="1787">
      <calculatedColumnFormula>H10/'Population &amp; Income'!H9</calculatedColumnFormula>
    </tableColumn>
    <tableColumn id="9" xr3:uid="{00000000-0010-0000-2B00-000009000000}" name="2003" dataDxfId="1786">
      <calculatedColumnFormula>I10/'Population &amp; Income'!I9</calculatedColumnFormula>
    </tableColumn>
    <tableColumn id="10" xr3:uid="{00000000-0010-0000-2B00-00000A000000}" name="2004" dataDxfId="1785">
      <calculatedColumnFormula>J10/'Population &amp; Income'!J9</calculatedColumnFormula>
    </tableColumn>
    <tableColumn id="11" xr3:uid="{00000000-0010-0000-2B00-00000B000000}" name="2005" dataDxfId="1784">
      <calculatedColumnFormula>K10/'Population &amp; Income'!K9</calculatedColumnFormula>
    </tableColumn>
    <tableColumn id="12" xr3:uid="{00000000-0010-0000-2B00-00000C000000}" name="2006" dataDxfId="1783">
      <calculatedColumnFormula>L10/'Population &amp; Income'!L9</calculatedColumnFormula>
    </tableColumn>
    <tableColumn id="13" xr3:uid="{00000000-0010-0000-2B00-00000D000000}" name="2007" dataDxfId="1782">
      <calculatedColumnFormula>M10/'Population &amp; Income'!M9</calculatedColumnFormula>
    </tableColumn>
    <tableColumn id="14" xr3:uid="{00000000-0010-0000-2B00-00000E000000}" name="2008" dataDxfId="1781">
      <calculatedColumnFormula>N10/'Population &amp; Income'!N9</calculatedColumnFormula>
    </tableColumn>
    <tableColumn id="15" xr3:uid="{00000000-0010-0000-2B00-00000F000000}" name="2009" dataDxfId="1780">
      <calculatedColumnFormula>O10/'Population &amp; Income'!O9</calculatedColumnFormula>
    </tableColumn>
    <tableColumn id="16" xr3:uid="{00000000-0010-0000-2B00-000010000000}" name="2010" dataDxfId="1779">
      <calculatedColumnFormula>P10/'Population &amp; Income'!P9</calculatedColumnFormula>
    </tableColumn>
    <tableColumn id="17" xr3:uid="{00000000-0010-0000-2B00-000011000000}" name="2011" dataDxfId="1778">
      <calculatedColumnFormula>Q10/'Population &amp; Income'!Q9</calculatedColumnFormula>
    </tableColumn>
    <tableColumn id="18" xr3:uid="{00000000-0010-0000-2B00-000012000000}" name="2012" dataDxfId="1777">
      <calculatedColumnFormula>R10/'Population &amp; Income'!R9</calculatedColumnFormula>
    </tableColumn>
    <tableColumn id="19" xr3:uid="{00000000-0010-0000-2B00-000013000000}" name="2013" dataDxfId="1776">
      <calculatedColumnFormula>S10/'Population &amp; Income'!S9</calculatedColumnFormula>
    </tableColumn>
    <tableColumn id="20" xr3:uid="{00000000-0010-0000-2B00-000014000000}" name="2014" dataDxfId="1775">
      <calculatedColumnFormula>T10/'Population &amp; Income'!T9</calculatedColumnFormula>
    </tableColumn>
    <tableColumn id="22" xr3:uid="{00000000-0010-0000-2B00-000016000000}" name="2015" dataDxfId="1774">
      <calculatedColumnFormula>U10/'Population &amp; Income'!U9</calculatedColumnFormula>
    </tableColumn>
    <tableColumn id="23" xr3:uid="{00000000-0010-0000-2B00-000017000000}" name="2016" dataDxfId="1773">
      <calculatedColumnFormula>V10/'Population &amp; Income'!V9</calculatedColumnFormula>
    </tableColumn>
    <tableColumn id="21" xr3:uid="{00000000-0010-0000-2B00-000015000000}" name="2017" dataDxfId="1772">
      <calculatedColumnFormula>W10/'Population &amp; Income'!W9</calculatedColumnFormula>
    </tableColumn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2C000000}" name="PropertyBaseAssessedValuesAGRTable" displayName="PropertyBaseAssessedValuesAGRTable" ref="AX9:BS98" totalsRowShown="0" headerRowDxfId="1771" dataDxfId="1770">
  <autoFilter ref="AX9:BS98" xr:uid="{00000000-0009-0000-0100-00005A000000}"/>
  <tableColumns count="22">
    <tableColumn id="1" xr3:uid="{00000000-0010-0000-2C00-000001000000}" name="County" dataDxfId="1769"/>
    <tableColumn id="2" xr3:uid="{00000000-0010-0000-2C00-000002000000}" name="1997" dataDxfId="1768">
      <calculatedColumnFormula>(C10-B10)/B10</calculatedColumnFormula>
    </tableColumn>
    <tableColumn id="3" xr3:uid="{00000000-0010-0000-2C00-000003000000}" name="1998" dataDxfId="1767">
      <calculatedColumnFormula>(D10-C10)/C10</calculatedColumnFormula>
    </tableColumn>
    <tableColumn id="4" xr3:uid="{00000000-0010-0000-2C00-000004000000}" name="1999" dataDxfId="1766">
      <calculatedColumnFormula>(E10-D10)/D10</calculatedColumnFormula>
    </tableColumn>
    <tableColumn id="5" xr3:uid="{00000000-0010-0000-2C00-000005000000}" name="2000" dataDxfId="1765">
      <calculatedColumnFormula>(F10-E10)/E10</calculatedColumnFormula>
    </tableColumn>
    <tableColumn id="6" xr3:uid="{00000000-0010-0000-2C00-000006000000}" name="2001" dataDxfId="1764">
      <calculatedColumnFormula>(G10-F10)/F10</calculatedColumnFormula>
    </tableColumn>
    <tableColumn id="7" xr3:uid="{00000000-0010-0000-2C00-000007000000}" name="2002" dataDxfId="1763">
      <calculatedColumnFormula>(H10-G10)/G10</calculatedColumnFormula>
    </tableColumn>
    <tableColumn id="8" xr3:uid="{00000000-0010-0000-2C00-000008000000}" name="2003" dataDxfId="1762">
      <calculatedColumnFormula>(I10-H10)/H10</calculatedColumnFormula>
    </tableColumn>
    <tableColumn id="9" xr3:uid="{00000000-0010-0000-2C00-000009000000}" name="2004" dataDxfId="1761">
      <calculatedColumnFormula>(J10-I10)/I10</calculatedColumnFormula>
    </tableColumn>
    <tableColumn id="10" xr3:uid="{00000000-0010-0000-2C00-00000A000000}" name="2005" dataDxfId="1760">
      <calculatedColumnFormula>(K10-J10)/J10</calculatedColumnFormula>
    </tableColumn>
    <tableColumn id="11" xr3:uid="{00000000-0010-0000-2C00-00000B000000}" name="2006" dataDxfId="1759">
      <calculatedColumnFormula>(L10-K10)/K10</calculatedColumnFormula>
    </tableColumn>
    <tableColumn id="12" xr3:uid="{00000000-0010-0000-2C00-00000C000000}" name="2007" dataDxfId="1758">
      <calculatedColumnFormula>(M10-L10)/L10</calculatedColumnFormula>
    </tableColumn>
    <tableColumn id="13" xr3:uid="{00000000-0010-0000-2C00-00000D000000}" name="2008" dataDxfId="1757">
      <calculatedColumnFormula>(N10-M10)/M10</calculatedColumnFormula>
    </tableColumn>
    <tableColumn id="14" xr3:uid="{00000000-0010-0000-2C00-00000E000000}" name="2009" dataDxfId="1756">
      <calculatedColumnFormula>(O10-N10)/N10</calculatedColumnFormula>
    </tableColumn>
    <tableColumn id="15" xr3:uid="{00000000-0010-0000-2C00-00000F000000}" name="2010" dataDxfId="1755">
      <calculatedColumnFormula>(P10-O10)/O10</calculatedColumnFormula>
    </tableColumn>
    <tableColumn id="16" xr3:uid="{00000000-0010-0000-2C00-000010000000}" name="2011" dataDxfId="1754">
      <calculatedColumnFormula>(Q10-P10)/P10</calculatedColumnFormula>
    </tableColumn>
    <tableColumn id="17" xr3:uid="{00000000-0010-0000-2C00-000011000000}" name="2012" dataDxfId="1753">
      <calculatedColumnFormula>(R10-Q10)/Q10</calculatedColumnFormula>
    </tableColumn>
    <tableColumn id="18" xr3:uid="{00000000-0010-0000-2C00-000012000000}" name="2013" dataDxfId="1752">
      <calculatedColumnFormula>(S10-R10)/R10</calculatedColumnFormula>
    </tableColumn>
    <tableColumn id="19" xr3:uid="{00000000-0010-0000-2C00-000013000000}" name="2014" dataDxfId="1751">
      <calculatedColumnFormula>(T10-S10)/S10</calculatedColumnFormula>
    </tableColumn>
    <tableColumn id="20" xr3:uid="{00000000-0010-0000-2C00-000014000000}" name="2015" dataDxfId="1750">
      <calculatedColumnFormula>(U10-T10)/T10</calculatedColumnFormula>
    </tableColumn>
    <tableColumn id="21" xr3:uid="{00000000-0010-0000-2C00-000015000000}" name="2016" dataDxfId="1749">
      <calculatedColumnFormula>(V10-U10)/U10</calculatedColumnFormula>
    </tableColumn>
    <tableColumn id="22" xr3:uid="{00000000-0010-0000-2C00-000016000000}" name="2017" dataDxfId="1748">
      <calculatedColumnFormula>(W10-V10)/V10</calculatedColumnFormula>
    </tableColumn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2D000000}" name="PropertyBaseAssessedValuesCGRTable" displayName="PropertyBaseAssessedValuesCGRTable" ref="BV9:CQ98" totalsRowShown="0" dataDxfId="1747">
  <autoFilter ref="BV9:CQ98" xr:uid="{00000000-0009-0000-0100-00005B000000}"/>
  <tableColumns count="22">
    <tableColumn id="1" xr3:uid="{00000000-0010-0000-2D00-000001000000}" name="County" dataDxfId="1746"/>
    <tableColumn id="2" xr3:uid="{00000000-0010-0000-2D00-000002000000}" name="1997" dataDxfId="1745">
      <calculatedColumnFormula>(C10-$B10)/$B10</calculatedColumnFormula>
    </tableColumn>
    <tableColumn id="3" xr3:uid="{00000000-0010-0000-2D00-000003000000}" name="1998" dataDxfId="1744">
      <calculatedColumnFormula>(D10-$B10)/$B10</calculatedColumnFormula>
    </tableColumn>
    <tableColumn id="4" xr3:uid="{00000000-0010-0000-2D00-000004000000}" name="1999" dataDxfId="1743">
      <calculatedColumnFormula>(E10-$B10)/$B10</calculatedColumnFormula>
    </tableColumn>
    <tableColumn id="5" xr3:uid="{00000000-0010-0000-2D00-000005000000}" name="2000" dataDxfId="1742">
      <calculatedColumnFormula>(F10-$B10)/$B10</calculatedColumnFormula>
    </tableColumn>
    <tableColumn id="6" xr3:uid="{00000000-0010-0000-2D00-000006000000}" name="2001" dataDxfId="1741">
      <calculatedColumnFormula>(G10-$B10)/$B10</calculatedColumnFormula>
    </tableColumn>
    <tableColumn id="7" xr3:uid="{00000000-0010-0000-2D00-000007000000}" name="2002" dataDxfId="1740">
      <calculatedColumnFormula>(H10-$B10)/$B10</calculatedColumnFormula>
    </tableColumn>
    <tableColumn id="8" xr3:uid="{00000000-0010-0000-2D00-000008000000}" name="2003" dataDxfId="1739">
      <calculatedColumnFormula>(I10-$B10)/$B10</calculatedColumnFormula>
    </tableColumn>
    <tableColumn id="9" xr3:uid="{00000000-0010-0000-2D00-000009000000}" name="2004" dataDxfId="1738">
      <calculatedColumnFormula>(J10-$B10)/$B10</calculatedColumnFormula>
    </tableColumn>
    <tableColumn id="10" xr3:uid="{00000000-0010-0000-2D00-00000A000000}" name="2005" dataDxfId="1737">
      <calculatedColumnFormula>(K10-$B10)/$B10</calculatedColumnFormula>
    </tableColumn>
    <tableColumn id="11" xr3:uid="{00000000-0010-0000-2D00-00000B000000}" name="2006" dataDxfId="1736">
      <calculatedColumnFormula>(L10-$B10)/$B10</calculatedColumnFormula>
    </tableColumn>
    <tableColumn id="12" xr3:uid="{00000000-0010-0000-2D00-00000C000000}" name="2007" dataDxfId="1735">
      <calculatedColumnFormula>(M10-$B10)/$B10</calculatedColumnFormula>
    </tableColumn>
    <tableColumn id="13" xr3:uid="{00000000-0010-0000-2D00-00000D000000}" name="2008" dataDxfId="1734">
      <calculatedColumnFormula>(N10-$B10)/$B10</calculatedColumnFormula>
    </tableColumn>
    <tableColumn id="14" xr3:uid="{00000000-0010-0000-2D00-00000E000000}" name="2009" dataDxfId="1733">
      <calculatedColumnFormula>(O10-$B10)/$B10</calculatedColumnFormula>
    </tableColumn>
    <tableColumn id="15" xr3:uid="{00000000-0010-0000-2D00-00000F000000}" name="2010" dataDxfId="1732">
      <calculatedColumnFormula>(P10-$B10)/$B10</calculatedColumnFormula>
    </tableColumn>
    <tableColumn id="16" xr3:uid="{00000000-0010-0000-2D00-000010000000}" name="2011" dataDxfId="1731">
      <calculatedColumnFormula>(Q10-$B10)/$B10</calculatedColumnFormula>
    </tableColumn>
    <tableColumn id="17" xr3:uid="{00000000-0010-0000-2D00-000011000000}" name="2012" dataDxfId="1730">
      <calculatedColumnFormula>(R10-$B10)/$B10</calculatedColumnFormula>
    </tableColumn>
    <tableColumn id="18" xr3:uid="{00000000-0010-0000-2D00-000012000000}" name="2013" dataDxfId="1729">
      <calculatedColumnFormula>(S10-$B10)/$B10</calculatedColumnFormula>
    </tableColumn>
    <tableColumn id="19" xr3:uid="{00000000-0010-0000-2D00-000013000000}" name="2014" dataDxfId="1728">
      <calculatedColumnFormula>(T10-$B10)/$B10</calculatedColumnFormula>
    </tableColumn>
    <tableColumn id="20" xr3:uid="{00000000-0010-0000-2D00-000014000000}" name="2015" dataDxfId="1727">
      <calculatedColumnFormula>(U10-$B10)/$B10</calculatedColumnFormula>
    </tableColumn>
    <tableColumn id="21" xr3:uid="{00000000-0010-0000-2D00-000015000000}" name="2016" dataDxfId="1726">
      <calculatedColumnFormula>(V10-$B10)/$B10</calculatedColumnFormula>
    </tableColumn>
    <tableColumn id="22" xr3:uid="{00000000-0010-0000-2D00-000016000000}" name="2017" dataDxfId="1725">
      <calculatedColumnFormula>(W10-$B10)/$B10</calculatedColumnFormula>
    </tableColumn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2E000000}" name="SalesBaseTaxableSalesTable" displayName="SalesBaseTaxableSalesTable" ref="A9:W98" totalsRowShown="0" headerRowDxfId="1724">
  <autoFilter ref="A9:W98" xr:uid="{00000000-0009-0000-0100-00005C000000}"/>
  <tableColumns count="23">
    <tableColumn id="1" xr3:uid="{00000000-0010-0000-2E00-000001000000}" name="County" dataDxfId="1723"/>
    <tableColumn id="2" xr3:uid="{00000000-0010-0000-2E00-000002000000}" name="1996" dataDxfId="1722"/>
    <tableColumn id="3" xr3:uid="{00000000-0010-0000-2E00-000003000000}" name="1997" dataDxfId="1721"/>
    <tableColumn id="4" xr3:uid="{00000000-0010-0000-2E00-000004000000}" name="1998" dataDxfId="1720"/>
    <tableColumn id="5" xr3:uid="{00000000-0010-0000-2E00-000005000000}" name="1999" dataDxfId="1719"/>
    <tableColumn id="6" xr3:uid="{00000000-0010-0000-2E00-000006000000}" name="2000" dataDxfId="1718"/>
    <tableColumn id="7" xr3:uid="{00000000-0010-0000-2E00-000007000000}" name="2001" dataDxfId="1717"/>
    <tableColumn id="8" xr3:uid="{00000000-0010-0000-2E00-000008000000}" name="2002" dataDxfId="1716"/>
    <tableColumn id="9" xr3:uid="{00000000-0010-0000-2E00-000009000000}" name="2003" dataDxfId="1715"/>
    <tableColumn id="10" xr3:uid="{00000000-0010-0000-2E00-00000A000000}" name="2004" dataDxfId="1714"/>
    <tableColumn id="11" xr3:uid="{00000000-0010-0000-2E00-00000B000000}" name="2005" dataDxfId="1713"/>
    <tableColumn id="12" xr3:uid="{00000000-0010-0000-2E00-00000C000000}" name="2006" dataDxfId="1712"/>
    <tableColumn id="13" xr3:uid="{00000000-0010-0000-2E00-00000D000000}" name="2007" dataDxfId="1711"/>
    <tableColumn id="14" xr3:uid="{00000000-0010-0000-2E00-00000E000000}" name="2008" dataDxfId="1710"/>
    <tableColumn id="15" xr3:uid="{00000000-0010-0000-2E00-00000F000000}" name="2009" dataDxfId="1709"/>
    <tableColumn id="16" xr3:uid="{00000000-0010-0000-2E00-000010000000}" name="2010" dataDxfId="1708"/>
    <tableColumn id="17" xr3:uid="{00000000-0010-0000-2E00-000011000000}" name="2011" dataDxfId="1707"/>
    <tableColumn id="18" xr3:uid="{00000000-0010-0000-2E00-000012000000}" name="2012" dataDxfId="1706"/>
    <tableColumn id="19" xr3:uid="{00000000-0010-0000-2E00-000013000000}" name="2013" dataDxfId="1705"/>
    <tableColumn id="20" xr3:uid="{00000000-0010-0000-2E00-000014000000}" name="2014" dataDxfId="1704"/>
    <tableColumn id="21" xr3:uid="{00000000-0010-0000-2E00-000015000000}" name="2015" dataDxfId="1703"/>
    <tableColumn id="22" xr3:uid="{00000000-0010-0000-2E00-000016000000}" name="2016" dataDxfId="1702"/>
    <tableColumn id="24" xr3:uid="{00000000-0010-0000-2E00-000018000000}" name="2017" dataDxfId="1701"/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2F000000}" name="SalesBaseTaxableSalesPerCapitaTable" displayName="SalesBaseTaxableSalesPerCapitaTable" ref="Y9:AU98" totalsRowShown="0" headerRowDxfId="1700" dataDxfId="1699">
  <autoFilter ref="Y9:AU98" xr:uid="{00000000-0009-0000-0100-00005D000000}"/>
  <tableColumns count="23">
    <tableColumn id="1" xr3:uid="{00000000-0010-0000-2F00-000001000000}" name="County" dataDxfId="1698"/>
    <tableColumn id="2" xr3:uid="{00000000-0010-0000-2F00-000002000000}" name="1996" dataDxfId="1697">
      <calculatedColumnFormula>B10/'Population &amp; Income'!B9</calculatedColumnFormula>
    </tableColumn>
    <tableColumn id="3" xr3:uid="{00000000-0010-0000-2F00-000003000000}" name="1997" dataDxfId="1696">
      <calculatedColumnFormula>C10/'Population &amp; Income'!C9</calculatedColumnFormula>
    </tableColumn>
    <tableColumn id="4" xr3:uid="{00000000-0010-0000-2F00-000004000000}" name="1998" dataDxfId="1695">
      <calculatedColumnFormula>D10/'Population &amp; Income'!D9</calculatedColumnFormula>
    </tableColumn>
    <tableColumn id="5" xr3:uid="{00000000-0010-0000-2F00-000005000000}" name="1999" dataDxfId="1694">
      <calculatedColumnFormula>E10/'Population &amp; Income'!E9</calculatedColumnFormula>
    </tableColumn>
    <tableColumn id="6" xr3:uid="{00000000-0010-0000-2F00-000006000000}" name="2000" dataDxfId="1693">
      <calculatedColumnFormula>F10/'Population &amp; Income'!F9</calculatedColumnFormula>
    </tableColumn>
    <tableColumn id="7" xr3:uid="{00000000-0010-0000-2F00-000007000000}" name="2001" dataDxfId="1692">
      <calculatedColumnFormula>G10/'Population &amp; Income'!G9</calculatedColumnFormula>
    </tableColumn>
    <tableColumn id="8" xr3:uid="{00000000-0010-0000-2F00-000008000000}" name="2002" dataDxfId="1691">
      <calculatedColumnFormula>H10/'Population &amp; Income'!H9</calculatedColumnFormula>
    </tableColumn>
    <tableColumn id="9" xr3:uid="{00000000-0010-0000-2F00-000009000000}" name="2003" dataDxfId="1690">
      <calculatedColumnFormula>I10/'Population &amp; Income'!I9</calculatedColumnFormula>
    </tableColumn>
    <tableColumn id="10" xr3:uid="{00000000-0010-0000-2F00-00000A000000}" name="2004" dataDxfId="1689">
      <calculatedColumnFormula>J10/'Population &amp; Income'!J9</calculatedColumnFormula>
    </tableColumn>
    <tableColumn id="11" xr3:uid="{00000000-0010-0000-2F00-00000B000000}" name="2005" dataDxfId="1688">
      <calculatedColumnFormula>K10/'Population &amp; Income'!K9</calculatedColumnFormula>
    </tableColumn>
    <tableColumn id="12" xr3:uid="{00000000-0010-0000-2F00-00000C000000}" name="2006" dataDxfId="1687">
      <calculatedColumnFormula>L10/'Population &amp; Income'!L9</calculatedColumnFormula>
    </tableColumn>
    <tableColumn id="13" xr3:uid="{00000000-0010-0000-2F00-00000D000000}" name="2007" dataDxfId="1686">
      <calculatedColumnFormula>M10/'Population &amp; Income'!M9</calculatedColumnFormula>
    </tableColumn>
    <tableColumn id="14" xr3:uid="{00000000-0010-0000-2F00-00000E000000}" name="2008" dataDxfId="1685">
      <calculatedColumnFormula>N10/'Population &amp; Income'!N9</calculatedColumnFormula>
    </tableColumn>
    <tableColumn id="15" xr3:uid="{00000000-0010-0000-2F00-00000F000000}" name="2009" dataDxfId="1684">
      <calculatedColumnFormula>O10/'Population &amp; Income'!O9</calculatedColumnFormula>
    </tableColumn>
    <tableColumn id="16" xr3:uid="{00000000-0010-0000-2F00-000010000000}" name="2010" dataDxfId="1683">
      <calculatedColumnFormula>P10/'Population &amp; Income'!P9</calculatedColumnFormula>
    </tableColumn>
    <tableColumn id="17" xr3:uid="{00000000-0010-0000-2F00-000011000000}" name="2011" dataDxfId="1682">
      <calculatedColumnFormula>Q10/'Population &amp; Income'!Q9</calculatedColumnFormula>
    </tableColumn>
    <tableColumn id="18" xr3:uid="{00000000-0010-0000-2F00-000012000000}" name="2012" dataDxfId="1681">
      <calculatedColumnFormula>R10/'Population &amp; Income'!R9</calculatedColumnFormula>
    </tableColumn>
    <tableColumn id="19" xr3:uid="{00000000-0010-0000-2F00-000013000000}" name="2013" dataDxfId="1680">
      <calculatedColumnFormula>S10/'Population &amp; Income'!S9</calculatedColumnFormula>
    </tableColumn>
    <tableColumn id="20" xr3:uid="{00000000-0010-0000-2F00-000014000000}" name="2014" dataDxfId="1679">
      <calculatedColumnFormula>T10/'Population &amp; Income'!T9</calculatedColumnFormula>
    </tableColumn>
    <tableColumn id="21" xr3:uid="{00000000-0010-0000-2F00-000015000000}" name="2015" dataDxfId="1678">
      <calculatedColumnFormula>U10/'Population &amp; Income'!U9</calculatedColumnFormula>
    </tableColumn>
    <tableColumn id="22" xr3:uid="{00000000-0010-0000-2F00-000016000000}" name="2016" dataDxfId="1677">
      <calculatedColumnFormula>V10/'Population &amp; Income'!V9</calculatedColumnFormula>
    </tableColumn>
    <tableColumn id="23" xr3:uid="{00000000-0010-0000-2F00-000017000000}" name="2017" dataDxfId="1676">
      <calculatedColumnFormula>W10/'Population &amp; Income'!W9</calculatedColumnFormula>
    </tableColumn>
  </tableColumns>
  <tableStyleInfo name="TableStyleMedium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30000000}" name="SalesBaseTaxableSalesAGRTable" displayName="SalesBaseTaxableSalesAGRTable" ref="AX9:BS98" totalsRowShown="0" headerRowDxfId="1675" dataDxfId="1674">
  <autoFilter ref="AX9:BS98" xr:uid="{00000000-0009-0000-0100-00005E000000}"/>
  <tableColumns count="22">
    <tableColumn id="1" xr3:uid="{00000000-0010-0000-3000-000001000000}" name="County" dataDxfId="1673"/>
    <tableColumn id="2" xr3:uid="{00000000-0010-0000-3000-000002000000}" name="1997" dataDxfId="1672">
      <calculatedColumnFormula>(C10-B10)/B10</calculatedColumnFormula>
    </tableColumn>
    <tableColumn id="3" xr3:uid="{00000000-0010-0000-3000-000003000000}" name="1998" dataDxfId="1671">
      <calculatedColumnFormula>(D10-C10)/C10</calculatedColumnFormula>
    </tableColumn>
    <tableColumn id="4" xr3:uid="{00000000-0010-0000-3000-000004000000}" name="1999" dataDxfId="1670">
      <calculatedColumnFormula>(E10-D10)/D10</calculatedColumnFormula>
    </tableColumn>
    <tableColumn id="5" xr3:uid="{00000000-0010-0000-3000-000005000000}" name="2000" dataDxfId="1669">
      <calculatedColumnFormula>(F10-E10)/E10</calculatedColumnFormula>
    </tableColumn>
    <tableColumn id="6" xr3:uid="{00000000-0010-0000-3000-000006000000}" name="2001" dataDxfId="1668">
      <calculatedColumnFormula>(G10-F10)/F10</calculatedColumnFormula>
    </tableColumn>
    <tableColumn id="7" xr3:uid="{00000000-0010-0000-3000-000007000000}" name="2002" dataDxfId="1667">
      <calculatedColumnFormula>(H10-G10)/G10</calculatedColumnFormula>
    </tableColumn>
    <tableColumn id="8" xr3:uid="{00000000-0010-0000-3000-000008000000}" name="2003" dataDxfId="1666">
      <calculatedColumnFormula>(I10-H10)/H10</calculatedColumnFormula>
    </tableColumn>
    <tableColumn id="9" xr3:uid="{00000000-0010-0000-3000-000009000000}" name="2004" dataDxfId="1665">
      <calculatedColumnFormula>(J10-I10)/I10</calculatedColumnFormula>
    </tableColumn>
    <tableColumn id="10" xr3:uid="{00000000-0010-0000-3000-00000A000000}" name="2005" dataDxfId="1664">
      <calculatedColumnFormula>(K10-J10)/J10</calculatedColumnFormula>
    </tableColumn>
    <tableColumn id="11" xr3:uid="{00000000-0010-0000-3000-00000B000000}" name="2006" dataDxfId="1663">
      <calculatedColumnFormula>(L10-K10)/K10</calculatedColumnFormula>
    </tableColumn>
    <tableColumn id="12" xr3:uid="{00000000-0010-0000-3000-00000C000000}" name="2007" dataDxfId="1662">
      <calculatedColumnFormula>(M10-L10)/L10</calculatedColumnFormula>
    </tableColumn>
    <tableColumn id="13" xr3:uid="{00000000-0010-0000-3000-00000D000000}" name="2008" dataDxfId="1661">
      <calculatedColumnFormula>(N10-M10)/M10</calculatedColumnFormula>
    </tableColumn>
    <tableColumn id="14" xr3:uid="{00000000-0010-0000-3000-00000E000000}" name="2009" dataDxfId="1660">
      <calculatedColumnFormula>(O10-N10)/N10</calculatedColumnFormula>
    </tableColumn>
    <tableColumn id="15" xr3:uid="{00000000-0010-0000-3000-00000F000000}" name="2010" dataDxfId="1659">
      <calculatedColumnFormula>(P10-O10)/O10</calculatedColumnFormula>
    </tableColumn>
    <tableColumn id="16" xr3:uid="{00000000-0010-0000-3000-000010000000}" name="2011" dataDxfId="1658">
      <calculatedColumnFormula>(Q10-P10)/P10</calculatedColumnFormula>
    </tableColumn>
    <tableColumn id="17" xr3:uid="{00000000-0010-0000-3000-000011000000}" name="2012" dataDxfId="1657">
      <calculatedColumnFormula>(R10-Q10)/Q10</calculatedColumnFormula>
    </tableColumn>
    <tableColumn id="18" xr3:uid="{00000000-0010-0000-3000-000012000000}" name="2013" dataDxfId="1656">
      <calculatedColumnFormula>(S10-R10)/R10</calculatedColumnFormula>
    </tableColumn>
    <tableColumn id="19" xr3:uid="{00000000-0010-0000-3000-000013000000}" name="2014" dataDxfId="1655">
      <calculatedColumnFormula>(T10-S10)/S10</calculatedColumnFormula>
    </tableColumn>
    <tableColumn id="20" xr3:uid="{00000000-0010-0000-3000-000014000000}" name="2015" dataDxfId="1654">
      <calculatedColumnFormula>(U10-T10)/T10</calculatedColumnFormula>
    </tableColumn>
    <tableColumn id="21" xr3:uid="{00000000-0010-0000-3000-000015000000}" name="2016" dataDxfId="1653">
      <calculatedColumnFormula>(V10-U10)/U10</calculatedColumnFormula>
    </tableColumn>
    <tableColumn id="22" xr3:uid="{00000000-0010-0000-3000-000016000000}" name="2017" dataDxfId="1652">
      <calculatedColumnFormula>(W10-V10)/V10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04000000}" name="CountyAllYearsGRE" displayName="CountyAllYearsGRE" ref="A50:W58" totalsRowShown="0" headerRowDxfId="2540" dataDxfId="2539">
  <autoFilter ref="A50:W58" xr:uid="{00000000-0009-0000-0100-000029000000}"/>
  <tableColumns count="23">
    <tableColumn id="1" xr3:uid="{00000000-0010-0000-0400-000001000000}" name="Category" dataDxfId="2538"/>
    <tableColumn id="2" xr3:uid="{00000000-0010-0000-0400-000002000000}" name="1996" dataDxfId="2537"/>
    <tableColumn id="3" xr3:uid="{00000000-0010-0000-0400-000003000000}" name="1997" dataDxfId="2536"/>
    <tableColumn id="4" xr3:uid="{00000000-0010-0000-0400-000004000000}" name="1998" dataDxfId="2535"/>
    <tableColumn id="5" xr3:uid="{00000000-0010-0000-0400-000005000000}" name="1999" dataDxfId="2534"/>
    <tableColumn id="6" xr3:uid="{00000000-0010-0000-0400-000006000000}" name="2000" dataDxfId="2533"/>
    <tableColumn id="7" xr3:uid="{00000000-0010-0000-0400-000007000000}" name="2001" dataDxfId="2532"/>
    <tableColumn id="8" xr3:uid="{00000000-0010-0000-0400-000008000000}" name="2002" dataDxfId="2531"/>
    <tableColumn id="9" xr3:uid="{00000000-0010-0000-0400-000009000000}" name="2003" dataDxfId="2530"/>
    <tableColumn id="10" xr3:uid="{00000000-0010-0000-0400-00000A000000}" name="2004" dataDxfId="2529"/>
    <tableColumn id="11" xr3:uid="{00000000-0010-0000-0400-00000B000000}" name="2005" dataDxfId="2528"/>
    <tableColumn id="12" xr3:uid="{00000000-0010-0000-0400-00000C000000}" name="2006" dataDxfId="2527"/>
    <tableColumn id="13" xr3:uid="{00000000-0010-0000-0400-00000D000000}" name="2007" dataDxfId="2526"/>
    <tableColumn id="14" xr3:uid="{00000000-0010-0000-0400-00000E000000}" name="2008" dataDxfId="2525"/>
    <tableColumn id="15" xr3:uid="{00000000-0010-0000-0400-00000F000000}" name="2009" dataDxfId="2524"/>
    <tableColumn id="16" xr3:uid="{00000000-0010-0000-0400-000010000000}" name="2010" dataDxfId="2523"/>
    <tableColumn id="17" xr3:uid="{00000000-0010-0000-0400-000011000000}" name="2011" dataDxfId="2522"/>
    <tableColumn id="18" xr3:uid="{00000000-0010-0000-0400-000012000000}" name="2012" dataDxfId="2521"/>
    <tableColumn id="19" xr3:uid="{00000000-0010-0000-0400-000013000000}" name="2013" dataDxfId="2520"/>
    <tableColumn id="20" xr3:uid="{00000000-0010-0000-0400-000014000000}" name="2014" dataDxfId="2519"/>
    <tableColumn id="21" xr3:uid="{00000000-0010-0000-0400-000015000000}" name="2015" dataDxfId="2518"/>
    <tableColumn id="22" xr3:uid="{00000000-0010-0000-0400-000016000000}" name="2016" dataDxfId="2517"/>
    <tableColumn id="23" xr3:uid="{00000000-0010-0000-0400-000017000000}" name="2017" dataDxfId="2516"/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31000000}" name="SalesBaseTaxableSalesCGRTable" displayName="SalesBaseTaxableSalesCGRTable" ref="BV9:CQ98" totalsRowShown="0" headerRowDxfId="1651" dataDxfId="1650">
  <autoFilter ref="BV9:CQ98" xr:uid="{00000000-0009-0000-0100-00005F000000}"/>
  <tableColumns count="22">
    <tableColumn id="1" xr3:uid="{00000000-0010-0000-3100-000001000000}" name="County" dataDxfId="1649"/>
    <tableColumn id="2" xr3:uid="{00000000-0010-0000-3100-000002000000}" name="1997" dataDxfId="1648">
      <calculatedColumnFormula>(C10-$B10)/$B10</calculatedColumnFormula>
    </tableColumn>
    <tableColumn id="3" xr3:uid="{00000000-0010-0000-3100-000003000000}" name="1998" dataDxfId="1647">
      <calculatedColumnFormula>(D10-$B10)/$B10</calculatedColumnFormula>
    </tableColumn>
    <tableColumn id="4" xr3:uid="{00000000-0010-0000-3100-000004000000}" name="1999" dataDxfId="1646">
      <calculatedColumnFormula>(E10-$B10)/$B10</calculatedColumnFormula>
    </tableColumn>
    <tableColumn id="5" xr3:uid="{00000000-0010-0000-3100-000005000000}" name="2000" dataDxfId="1645">
      <calculatedColumnFormula>(F10-$B10)/$B10</calculatedColumnFormula>
    </tableColumn>
    <tableColumn id="6" xr3:uid="{00000000-0010-0000-3100-000006000000}" name="2001" dataDxfId="1644">
      <calculatedColumnFormula>(G10-$B10)/$B10</calculatedColumnFormula>
    </tableColumn>
    <tableColumn id="7" xr3:uid="{00000000-0010-0000-3100-000007000000}" name="2002" dataDxfId="1643">
      <calculatedColumnFormula>(H10-$B10)/$B10</calculatedColumnFormula>
    </tableColumn>
    <tableColumn id="8" xr3:uid="{00000000-0010-0000-3100-000008000000}" name="2003" dataDxfId="1642">
      <calculatedColumnFormula>(I10-$B10)/$B10</calculatedColumnFormula>
    </tableColumn>
    <tableColumn id="9" xr3:uid="{00000000-0010-0000-3100-000009000000}" name="2004" dataDxfId="1641">
      <calculatedColumnFormula>(J10-$B10)/$B10</calculatedColumnFormula>
    </tableColumn>
    <tableColumn id="10" xr3:uid="{00000000-0010-0000-3100-00000A000000}" name="2005" dataDxfId="1640">
      <calculatedColumnFormula>(K10-$B10)/$B10</calculatedColumnFormula>
    </tableColumn>
    <tableColumn id="11" xr3:uid="{00000000-0010-0000-3100-00000B000000}" name="2006" dataDxfId="1639">
      <calculatedColumnFormula>(L10-$B10)/$B10</calculatedColumnFormula>
    </tableColumn>
    <tableColumn id="12" xr3:uid="{00000000-0010-0000-3100-00000C000000}" name="2007" dataDxfId="1638">
      <calculatedColumnFormula>(M10-$B10)/$B10</calculatedColumnFormula>
    </tableColumn>
    <tableColumn id="13" xr3:uid="{00000000-0010-0000-3100-00000D000000}" name="2008" dataDxfId="1637">
      <calculatedColumnFormula>(N10-$B10)/$B10</calculatedColumnFormula>
    </tableColumn>
    <tableColumn id="14" xr3:uid="{00000000-0010-0000-3100-00000E000000}" name="2009" dataDxfId="1636">
      <calculatedColumnFormula>(O10-$B10)/$B10</calculatedColumnFormula>
    </tableColumn>
    <tableColumn id="15" xr3:uid="{00000000-0010-0000-3100-00000F000000}" name="2010" dataDxfId="1635">
      <calculatedColumnFormula>(P10-$B10)/$B10</calculatedColumnFormula>
    </tableColumn>
    <tableColumn id="16" xr3:uid="{00000000-0010-0000-3100-000010000000}" name="2011" dataDxfId="1634">
      <calculatedColumnFormula>(Q10-$B10)/$B10</calculatedColumnFormula>
    </tableColumn>
    <tableColumn id="17" xr3:uid="{00000000-0010-0000-3100-000011000000}" name="2012" dataDxfId="1633">
      <calculatedColumnFormula>(R10-$B10)/$B10</calculatedColumnFormula>
    </tableColumn>
    <tableColumn id="18" xr3:uid="{00000000-0010-0000-3100-000012000000}" name="2013" dataDxfId="1632">
      <calculatedColumnFormula>(S10-$B10)/$B10</calculatedColumnFormula>
    </tableColumn>
    <tableColumn id="19" xr3:uid="{00000000-0010-0000-3100-000013000000}" name="2014" dataDxfId="1631">
      <calculatedColumnFormula>(T10-$B10)/$B10</calculatedColumnFormula>
    </tableColumn>
    <tableColumn id="20" xr3:uid="{00000000-0010-0000-3100-000014000000}" name="2015" dataDxfId="1630">
      <calculatedColumnFormula>(U10-$B10)/$B10</calculatedColumnFormula>
    </tableColumn>
    <tableColumn id="21" xr3:uid="{00000000-0010-0000-3100-000015000000}" name="2016" dataDxfId="1629">
      <calculatedColumnFormula>(V10-$B10)/$B10</calculatedColumnFormula>
    </tableColumn>
    <tableColumn id="22" xr3:uid="{00000000-0010-0000-3100-000016000000}" name="2017" dataDxfId="1628">
      <calculatedColumnFormula>(W10-$B10)/$B10</calculatedColumnFormula>
    </tableColumn>
  </tableColumns>
  <tableStyleInfo name="TableStyleMedium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2000000}" name="GeneralRevenueFundReceiptsTotalReceiptsTable" displayName="GeneralRevenueFundReceiptsTotalReceiptsTable" ref="A16:W106" totalsRowShown="0" headerRowDxfId="1627" dataDxfId="1626">
  <autoFilter ref="A16:W106" xr:uid="{00000000-0009-0000-0100-000001000000}"/>
  <tableColumns count="23">
    <tableColumn id="1" xr3:uid="{00000000-0010-0000-3200-000001000000}" name="County" dataDxfId="1625"/>
    <tableColumn id="2" xr3:uid="{00000000-0010-0000-3200-000002000000}" name="1996" dataDxfId="1624"/>
    <tableColumn id="3" xr3:uid="{00000000-0010-0000-3200-000003000000}" name="1997" dataDxfId="1623"/>
    <tableColumn id="4" xr3:uid="{00000000-0010-0000-3200-000004000000}" name="1998" dataDxfId="1622"/>
    <tableColumn id="5" xr3:uid="{00000000-0010-0000-3200-000005000000}" name="1999" dataDxfId="1621"/>
    <tableColumn id="6" xr3:uid="{00000000-0010-0000-3200-000006000000}" name="2000" dataDxfId="1620"/>
    <tableColumn id="7" xr3:uid="{00000000-0010-0000-3200-000007000000}" name="2001" dataDxfId="1619" dataCellStyle="Normal 2"/>
    <tableColumn id="8" xr3:uid="{00000000-0010-0000-3200-000008000000}" name="2002" dataDxfId="1618"/>
    <tableColumn id="9" xr3:uid="{00000000-0010-0000-3200-000009000000}" name="2003" dataDxfId="1617"/>
    <tableColumn id="10" xr3:uid="{00000000-0010-0000-3200-00000A000000}" name="2004" dataDxfId="1616"/>
    <tableColumn id="11" xr3:uid="{00000000-0010-0000-3200-00000B000000}" name="2005" dataDxfId="1615"/>
    <tableColumn id="12" xr3:uid="{00000000-0010-0000-3200-00000C000000}" name="2006" dataDxfId="1614"/>
    <tableColumn id="13" xr3:uid="{00000000-0010-0000-3200-00000D000000}" name="2007" dataDxfId="1613"/>
    <tableColumn id="14" xr3:uid="{00000000-0010-0000-3200-00000E000000}" name="2008" dataDxfId="1612" dataCellStyle="Comma 2"/>
    <tableColumn id="15" xr3:uid="{00000000-0010-0000-3200-00000F000000}" name="2009" dataDxfId="1611" dataCellStyle="Comma 2"/>
    <tableColumn id="16" xr3:uid="{00000000-0010-0000-3200-000010000000}" name="2010" dataDxfId="1610"/>
    <tableColumn id="17" xr3:uid="{00000000-0010-0000-3200-000011000000}" name="2011" dataDxfId="1609"/>
    <tableColumn id="18" xr3:uid="{00000000-0010-0000-3200-000012000000}" name="2012" dataDxfId="1608"/>
    <tableColumn id="44" xr3:uid="{00000000-0010-0000-3200-00002C000000}" name="2013" dataDxfId="1607"/>
    <tableColumn id="19" xr3:uid="{00000000-0010-0000-3200-000013000000}" name="2014" dataDxfId="1606"/>
    <tableColumn id="20" xr3:uid="{00000000-0010-0000-3200-000014000000}" name="2015" dataDxfId="1605"/>
    <tableColumn id="21" xr3:uid="{00000000-0010-0000-3200-000015000000}" name="2016" dataDxfId="1604"/>
    <tableColumn id="22" xr3:uid="{00000000-0010-0000-3200-000016000000}" name="2017" dataDxfId="1603"/>
  </tableColumns>
  <tableStyleInfo name="TableStyleMedium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3000000}" name="GeneralRevenueFundReceiptsPropertyTaxesTable" displayName="GeneralRevenueFundReceiptsPropertyTaxesTable" ref="Y16:AU105" totalsRowShown="0" headerRowDxfId="1602" dataDxfId="1601" tableBorderDxfId="1600">
  <autoFilter ref="Y16:AU105" xr:uid="{00000000-0009-0000-0100-000002000000}"/>
  <tableColumns count="23">
    <tableColumn id="1" xr3:uid="{00000000-0010-0000-3300-000001000000}" name="County" dataDxfId="1599"/>
    <tableColumn id="2" xr3:uid="{00000000-0010-0000-3300-000002000000}" name="1996" dataDxfId="1598"/>
    <tableColumn id="3" xr3:uid="{00000000-0010-0000-3300-000003000000}" name="1997" dataDxfId="1597"/>
    <tableColumn id="4" xr3:uid="{00000000-0010-0000-3300-000004000000}" name="1998" dataDxfId="1596"/>
    <tableColumn id="5" xr3:uid="{00000000-0010-0000-3300-000005000000}" name="1999" dataDxfId="1595"/>
    <tableColumn id="6" xr3:uid="{00000000-0010-0000-3300-000006000000}" name="2000" dataDxfId="1594"/>
    <tableColumn id="7" xr3:uid="{00000000-0010-0000-3300-000007000000}" name="2001" dataDxfId="1593"/>
    <tableColumn id="8" xr3:uid="{00000000-0010-0000-3300-000008000000}" name="2002" dataDxfId="1592"/>
    <tableColumn id="9" xr3:uid="{00000000-0010-0000-3300-000009000000}" name="2003" dataDxfId="1591"/>
    <tableColumn id="10" xr3:uid="{00000000-0010-0000-3300-00000A000000}" name="2004" dataDxfId="1590"/>
    <tableColumn id="11" xr3:uid="{00000000-0010-0000-3300-00000B000000}" name="2005" dataDxfId="1589"/>
    <tableColumn id="12" xr3:uid="{00000000-0010-0000-3300-00000C000000}" name="2006" dataDxfId="1588"/>
    <tableColumn id="13" xr3:uid="{00000000-0010-0000-3300-00000D000000}" name="2007" dataDxfId="1587"/>
    <tableColumn id="14" xr3:uid="{00000000-0010-0000-3300-00000E000000}" name="2008" dataDxfId="1586"/>
    <tableColumn id="15" xr3:uid="{00000000-0010-0000-3300-00000F000000}" name="2009" dataDxfId="1585"/>
    <tableColumn id="16" xr3:uid="{00000000-0010-0000-3300-000010000000}" name="2010" dataDxfId="1584"/>
    <tableColumn id="17" xr3:uid="{00000000-0010-0000-3300-000011000000}" name="2011" dataDxfId="1583"/>
    <tableColumn id="18" xr3:uid="{00000000-0010-0000-3300-000012000000}" name="2012" dataDxfId="1582"/>
    <tableColumn id="19" xr3:uid="{00000000-0010-0000-3300-000013000000}" name="2013" dataDxfId="1581"/>
    <tableColumn id="20" xr3:uid="{00000000-0010-0000-3300-000014000000}" name="2014" dataDxfId="1580"/>
    <tableColumn id="21" xr3:uid="{00000000-0010-0000-3300-000015000000}" name="2015" dataDxfId="1579"/>
    <tableColumn id="22" xr3:uid="{00000000-0010-0000-3300-000016000000}" name="2016" dataDxfId="1578"/>
    <tableColumn id="23" xr3:uid="{00000000-0010-0000-3300-000017000000}" name="2017" dataDxfId="1577"/>
  </tableColumns>
  <tableStyleInfo name="TableStyleMedium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34000000}" name="GeneralRevenueFundReceiptsSalesTaxesTable" displayName="GeneralRevenueFundReceiptsSalesTaxesTable" ref="AW16:BS105" totalsRowShown="0" headerRowDxfId="1576" dataDxfId="1575" tableBorderDxfId="1574">
  <autoFilter ref="AW16:BS105" xr:uid="{00000000-0009-0000-0100-000003000000}"/>
  <tableColumns count="23">
    <tableColumn id="1" xr3:uid="{00000000-0010-0000-3400-000001000000}" name="County" dataDxfId="1573"/>
    <tableColumn id="2" xr3:uid="{00000000-0010-0000-3400-000002000000}" name="1996" dataDxfId="1572"/>
    <tableColumn id="3" xr3:uid="{00000000-0010-0000-3400-000003000000}" name="1997" dataDxfId="1571"/>
    <tableColumn id="4" xr3:uid="{00000000-0010-0000-3400-000004000000}" name="1998" dataDxfId="1570"/>
    <tableColumn id="5" xr3:uid="{00000000-0010-0000-3400-000005000000}" name="1999" dataDxfId="1569"/>
    <tableColumn id="6" xr3:uid="{00000000-0010-0000-3400-000006000000}" name="2000" dataDxfId="1568"/>
    <tableColumn id="7" xr3:uid="{00000000-0010-0000-3400-000007000000}" name="2001" dataDxfId="1567"/>
    <tableColumn id="8" xr3:uid="{00000000-0010-0000-3400-000008000000}" name="2002" dataDxfId="1566"/>
    <tableColumn id="9" xr3:uid="{00000000-0010-0000-3400-000009000000}" name="2003" dataDxfId="1565"/>
    <tableColumn id="10" xr3:uid="{00000000-0010-0000-3400-00000A000000}" name="2004" dataDxfId="1564"/>
    <tableColumn id="11" xr3:uid="{00000000-0010-0000-3400-00000B000000}" name="2005" dataDxfId="1563"/>
    <tableColumn id="12" xr3:uid="{00000000-0010-0000-3400-00000C000000}" name="2006" dataDxfId="1562"/>
    <tableColumn id="13" xr3:uid="{00000000-0010-0000-3400-00000D000000}" name="2007" dataDxfId="1561"/>
    <tableColumn id="14" xr3:uid="{00000000-0010-0000-3400-00000E000000}" name="2008" dataDxfId="1560"/>
    <tableColumn id="15" xr3:uid="{00000000-0010-0000-3400-00000F000000}" name="2009" dataDxfId="1559"/>
    <tableColumn id="16" xr3:uid="{00000000-0010-0000-3400-000010000000}" name="2010" dataDxfId="1558"/>
    <tableColumn id="17" xr3:uid="{00000000-0010-0000-3400-000011000000}" name="2011" dataDxfId="1557"/>
    <tableColumn id="18" xr3:uid="{00000000-0010-0000-3400-000012000000}" name="2012" dataDxfId="1556"/>
    <tableColumn id="19" xr3:uid="{00000000-0010-0000-3400-000013000000}" name="2013" dataDxfId="1555"/>
    <tableColumn id="20" xr3:uid="{00000000-0010-0000-3400-000014000000}" name="2014" dataDxfId="1554"/>
    <tableColumn id="21" xr3:uid="{00000000-0010-0000-3400-000015000000}" name="2015" dataDxfId="1553"/>
    <tableColumn id="22" xr3:uid="{00000000-0010-0000-3400-000016000000}" name="2016" dataDxfId="1552"/>
    <tableColumn id="23" xr3:uid="{00000000-0010-0000-3400-000017000000}" name="2017" dataDxfId="1551"/>
  </tableColumns>
  <tableStyleInfo name="TableStyleMedium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35000000}" name="GeneralRevenueFundReceiptsIntergovernmentalTable" displayName="GeneralRevenueFundReceiptsIntergovernmentalTable" ref="BU16:CQ105" totalsRowShown="0" headerRowDxfId="1550" dataDxfId="1549" tableBorderDxfId="1548">
  <autoFilter ref="BU16:CQ105" xr:uid="{00000000-0009-0000-0100-000004000000}"/>
  <tableColumns count="23">
    <tableColumn id="1" xr3:uid="{00000000-0010-0000-3500-000001000000}" name="County" dataDxfId="1547"/>
    <tableColumn id="2" xr3:uid="{00000000-0010-0000-3500-000002000000}" name="1996" dataDxfId="1546"/>
    <tableColumn id="3" xr3:uid="{00000000-0010-0000-3500-000003000000}" name="1997" dataDxfId="1545"/>
    <tableColumn id="4" xr3:uid="{00000000-0010-0000-3500-000004000000}" name="1998" dataDxfId="1544"/>
    <tableColumn id="5" xr3:uid="{00000000-0010-0000-3500-000005000000}" name="1999" dataDxfId="1543"/>
    <tableColumn id="6" xr3:uid="{00000000-0010-0000-3500-000006000000}" name="2000" dataDxfId="1542"/>
    <tableColumn id="7" xr3:uid="{00000000-0010-0000-3500-000007000000}" name="2001" dataDxfId="1541"/>
    <tableColumn id="8" xr3:uid="{00000000-0010-0000-3500-000008000000}" name="2002" dataDxfId="1540"/>
    <tableColumn id="9" xr3:uid="{00000000-0010-0000-3500-000009000000}" name="2003" dataDxfId="1539"/>
    <tableColumn id="10" xr3:uid="{00000000-0010-0000-3500-00000A000000}" name="2004" dataDxfId="1538"/>
    <tableColumn id="11" xr3:uid="{00000000-0010-0000-3500-00000B000000}" name="2005" dataDxfId="1537"/>
    <tableColumn id="12" xr3:uid="{00000000-0010-0000-3500-00000C000000}" name="2006" dataDxfId="1536"/>
    <tableColumn id="13" xr3:uid="{00000000-0010-0000-3500-00000D000000}" name="2007" dataDxfId="1535"/>
    <tableColumn id="14" xr3:uid="{00000000-0010-0000-3500-00000E000000}" name="2008" dataDxfId="1534"/>
    <tableColumn id="15" xr3:uid="{00000000-0010-0000-3500-00000F000000}" name="2009" dataDxfId="1533"/>
    <tableColumn id="16" xr3:uid="{00000000-0010-0000-3500-000010000000}" name="2010" dataDxfId="1532"/>
    <tableColumn id="17" xr3:uid="{00000000-0010-0000-3500-000011000000}" name="2011" dataDxfId="1531"/>
    <tableColumn id="18" xr3:uid="{00000000-0010-0000-3500-000012000000}" name="2012" dataDxfId="1530"/>
    <tableColumn id="19" xr3:uid="{00000000-0010-0000-3500-000013000000}" name="2013" dataDxfId="1529"/>
    <tableColumn id="20" xr3:uid="{00000000-0010-0000-3500-000014000000}" name="2014" dataDxfId="1528"/>
    <tableColumn id="21" xr3:uid="{00000000-0010-0000-3500-000015000000}" name="2015" dataDxfId="1527"/>
    <tableColumn id="22" xr3:uid="{00000000-0010-0000-3500-000016000000}" name="2016" dataDxfId="1526"/>
    <tableColumn id="23" xr3:uid="{00000000-0010-0000-3500-000017000000}" name="2017" dataDxfId="1525"/>
  </tableColumns>
  <tableStyleInfo name="TableStyleMedium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36000000}" name="GeneralRevenueFundReceiptsChargesforServicesTable" displayName="GeneralRevenueFundReceiptsChargesforServicesTable" ref="CS16:DO105" totalsRowShown="0" headerRowDxfId="1524" dataDxfId="1523" tableBorderDxfId="1522">
  <autoFilter ref="CS16:DO105" xr:uid="{00000000-0009-0000-0100-000005000000}"/>
  <tableColumns count="23">
    <tableColumn id="1" xr3:uid="{00000000-0010-0000-3600-000001000000}" name="County" dataDxfId="1521"/>
    <tableColumn id="2" xr3:uid="{00000000-0010-0000-3600-000002000000}" name="1996" dataDxfId="1520"/>
    <tableColumn id="3" xr3:uid="{00000000-0010-0000-3600-000003000000}" name="1997" dataDxfId="1519"/>
    <tableColumn id="4" xr3:uid="{00000000-0010-0000-3600-000004000000}" name="1998" dataDxfId="1518"/>
    <tableColumn id="5" xr3:uid="{00000000-0010-0000-3600-000005000000}" name="1999" dataDxfId="1517"/>
    <tableColumn id="6" xr3:uid="{00000000-0010-0000-3600-000006000000}" name="2000" dataDxfId="1516"/>
    <tableColumn id="7" xr3:uid="{00000000-0010-0000-3600-000007000000}" name="2001" dataDxfId="1515"/>
    <tableColumn id="8" xr3:uid="{00000000-0010-0000-3600-000008000000}" name="2002" dataDxfId="1514"/>
    <tableColumn id="9" xr3:uid="{00000000-0010-0000-3600-000009000000}" name="2003" dataDxfId="1513"/>
    <tableColumn id="10" xr3:uid="{00000000-0010-0000-3600-00000A000000}" name="2004" dataDxfId="1512"/>
    <tableColumn id="11" xr3:uid="{00000000-0010-0000-3600-00000B000000}" name="2005" dataDxfId="1511"/>
    <tableColumn id="12" xr3:uid="{00000000-0010-0000-3600-00000C000000}" name="2006" dataDxfId="1510"/>
    <tableColumn id="13" xr3:uid="{00000000-0010-0000-3600-00000D000000}" name="2007" dataDxfId="1509"/>
    <tableColumn id="14" xr3:uid="{00000000-0010-0000-3600-00000E000000}" name="2008" dataDxfId="1508"/>
    <tableColumn id="15" xr3:uid="{00000000-0010-0000-3600-00000F000000}" name="2009" dataDxfId="1507"/>
    <tableColumn id="16" xr3:uid="{00000000-0010-0000-3600-000010000000}" name="2010" dataDxfId="1506"/>
    <tableColumn id="17" xr3:uid="{00000000-0010-0000-3600-000011000000}" name="2011" dataDxfId="1505"/>
    <tableColumn id="18" xr3:uid="{00000000-0010-0000-3600-000012000000}" name="2012" dataDxfId="1504"/>
    <tableColumn id="19" xr3:uid="{00000000-0010-0000-3600-000013000000}" name="2013" dataDxfId="1503"/>
    <tableColumn id="20" xr3:uid="{00000000-0010-0000-3600-000014000000}" name="2014" dataDxfId="1502"/>
    <tableColumn id="21" xr3:uid="{00000000-0010-0000-3600-000015000000}" name="2015" dataDxfId="1501"/>
    <tableColumn id="22" xr3:uid="{00000000-0010-0000-3600-000016000000}" name="2016" dataDxfId="1500"/>
    <tableColumn id="23" xr3:uid="{00000000-0010-0000-3600-000017000000}" name="2017" dataDxfId="1499"/>
  </tableColumns>
  <tableStyleInfo name="TableStyleMedium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37000000}" name="GeneralRevenueFundReceiptsInterestTable" displayName="GeneralRevenueFundReceiptsInterestTable" ref="DQ16:EM105" totalsRowShown="0" headerRowDxfId="1498" dataDxfId="1497" tableBorderDxfId="1496">
  <autoFilter ref="DQ16:EM105" xr:uid="{00000000-0009-0000-0100-000006000000}"/>
  <tableColumns count="23">
    <tableColumn id="1" xr3:uid="{00000000-0010-0000-3700-000001000000}" name="County" dataDxfId="1495"/>
    <tableColumn id="2" xr3:uid="{00000000-0010-0000-3700-000002000000}" name="1996" dataDxfId="1494"/>
    <tableColumn id="3" xr3:uid="{00000000-0010-0000-3700-000003000000}" name="1997" dataDxfId="1493"/>
    <tableColumn id="4" xr3:uid="{00000000-0010-0000-3700-000004000000}" name="1998" dataDxfId="1492"/>
    <tableColumn id="5" xr3:uid="{00000000-0010-0000-3700-000005000000}" name="1999" dataDxfId="1491"/>
    <tableColumn id="6" xr3:uid="{00000000-0010-0000-3700-000006000000}" name="2000" dataDxfId="1490"/>
    <tableColumn id="7" xr3:uid="{00000000-0010-0000-3700-000007000000}" name="2001" dataDxfId="1489"/>
    <tableColumn id="8" xr3:uid="{00000000-0010-0000-3700-000008000000}" name="2002" dataDxfId="1488"/>
    <tableColumn id="9" xr3:uid="{00000000-0010-0000-3700-000009000000}" name="2003" dataDxfId="1487"/>
    <tableColumn id="10" xr3:uid="{00000000-0010-0000-3700-00000A000000}" name="2004" dataDxfId="1486"/>
    <tableColumn id="11" xr3:uid="{00000000-0010-0000-3700-00000B000000}" name="2005" dataDxfId="1485"/>
    <tableColumn id="12" xr3:uid="{00000000-0010-0000-3700-00000C000000}" name="2006" dataDxfId="1484"/>
    <tableColumn id="13" xr3:uid="{00000000-0010-0000-3700-00000D000000}" name="2007" dataDxfId="1483"/>
    <tableColumn id="14" xr3:uid="{00000000-0010-0000-3700-00000E000000}" name="2008" dataDxfId="1482"/>
    <tableColumn id="15" xr3:uid="{00000000-0010-0000-3700-00000F000000}" name="2009" dataDxfId="1481"/>
    <tableColumn id="16" xr3:uid="{00000000-0010-0000-3700-000010000000}" name="2010" dataDxfId="1480"/>
    <tableColumn id="17" xr3:uid="{00000000-0010-0000-3700-000011000000}" name="2011" dataDxfId="1479"/>
    <tableColumn id="18" xr3:uid="{00000000-0010-0000-3700-000012000000}" name="2012" dataDxfId="1478"/>
    <tableColumn id="19" xr3:uid="{00000000-0010-0000-3700-000013000000}" name="2013" dataDxfId="1477"/>
    <tableColumn id="20" xr3:uid="{00000000-0010-0000-3700-000014000000}" name="2014" dataDxfId="1476"/>
    <tableColumn id="21" xr3:uid="{00000000-0010-0000-3700-000015000000}" name="2015" dataDxfId="1475"/>
    <tableColumn id="22" xr3:uid="{00000000-0010-0000-3700-000016000000}" name="2016" dataDxfId="1474"/>
    <tableColumn id="23" xr3:uid="{00000000-0010-0000-3700-000017000000}" name="2017" dataDxfId="1473"/>
  </tableColumns>
  <tableStyleInfo name="TableStyleMedium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38000000}" name="GeneralRevenueFundReceiptsOtherTable" displayName="GeneralRevenueFundReceiptsOtherTable" ref="EO16:FK105" totalsRowShown="0" headerRowDxfId="1472" dataDxfId="1471" tableBorderDxfId="1470">
  <autoFilter ref="EO16:FK105" xr:uid="{00000000-0009-0000-0100-000007000000}"/>
  <tableColumns count="23">
    <tableColumn id="1" xr3:uid="{00000000-0010-0000-3800-000001000000}" name="County" dataDxfId="1469"/>
    <tableColumn id="2" xr3:uid="{00000000-0010-0000-3800-000002000000}" name="1996" dataDxfId="1468"/>
    <tableColumn id="3" xr3:uid="{00000000-0010-0000-3800-000003000000}" name="1997" dataDxfId="1467"/>
    <tableColumn id="4" xr3:uid="{00000000-0010-0000-3800-000004000000}" name="1998" dataDxfId="1466"/>
    <tableColumn id="5" xr3:uid="{00000000-0010-0000-3800-000005000000}" name="1999" dataDxfId="1465"/>
    <tableColumn id="6" xr3:uid="{00000000-0010-0000-3800-000006000000}" name="2000" dataDxfId="1464"/>
    <tableColumn id="7" xr3:uid="{00000000-0010-0000-3800-000007000000}" name="2001" dataDxfId="1463"/>
    <tableColumn id="8" xr3:uid="{00000000-0010-0000-3800-000008000000}" name="2002" dataDxfId="1462"/>
    <tableColumn id="9" xr3:uid="{00000000-0010-0000-3800-000009000000}" name="2003" dataDxfId="1461"/>
    <tableColumn id="10" xr3:uid="{00000000-0010-0000-3800-00000A000000}" name="2004" dataDxfId="1460"/>
    <tableColumn id="11" xr3:uid="{00000000-0010-0000-3800-00000B000000}" name="2005" dataDxfId="1459"/>
    <tableColumn id="12" xr3:uid="{00000000-0010-0000-3800-00000C000000}" name="2006" dataDxfId="1458"/>
    <tableColumn id="13" xr3:uid="{00000000-0010-0000-3800-00000D000000}" name="2007" dataDxfId="1457"/>
    <tableColumn id="14" xr3:uid="{00000000-0010-0000-3800-00000E000000}" name="2008" dataDxfId="1456"/>
    <tableColumn id="15" xr3:uid="{00000000-0010-0000-3800-00000F000000}" name="2009" dataDxfId="1455"/>
    <tableColumn id="16" xr3:uid="{00000000-0010-0000-3800-000010000000}" name="2010" dataDxfId="1454"/>
    <tableColumn id="17" xr3:uid="{00000000-0010-0000-3800-000011000000}" name="2011" dataDxfId="1453"/>
    <tableColumn id="18" xr3:uid="{00000000-0010-0000-3800-000012000000}" name="2012" dataDxfId="1452"/>
    <tableColumn id="19" xr3:uid="{00000000-0010-0000-3800-000013000000}" name="2013" dataDxfId="1451"/>
    <tableColumn id="20" xr3:uid="{00000000-0010-0000-3800-000014000000}" name="2014" dataDxfId="1450"/>
    <tableColumn id="21" xr3:uid="{00000000-0010-0000-3800-000015000000}" name="2015" dataDxfId="1449"/>
    <tableColumn id="22" xr3:uid="{00000000-0010-0000-3800-000016000000}" name="2016" dataDxfId="1448"/>
    <tableColumn id="23" xr3:uid="{00000000-0010-0000-3800-000017000000}" name="2017" dataDxfId="1447"/>
  </tableColumns>
  <tableStyleInfo name="TableStyleMedium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39000000}" name="GeneralRevenueFundCashBalancesTable" displayName="GeneralRevenueFundCashBalancesTable" ref="FM16:GI105" totalsRowShown="0" headerRowDxfId="1446">
  <autoFilter ref="FM16:GI105" xr:uid="{00000000-0009-0000-0100-000008000000}"/>
  <tableColumns count="23">
    <tableColumn id="1" xr3:uid="{00000000-0010-0000-3900-000001000000}" name="County" dataDxfId="1445"/>
    <tableColumn id="2" xr3:uid="{00000000-0010-0000-3900-000002000000}" name="1996" dataDxfId="1444"/>
    <tableColumn id="3" xr3:uid="{00000000-0010-0000-3900-000003000000}" name="1997" dataDxfId="1443"/>
    <tableColumn id="4" xr3:uid="{00000000-0010-0000-3900-000004000000}" name="1998" dataDxfId="1442"/>
    <tableColumn id="5" xr3:uid="{00000000-0010-0000-3900-000005000000}" name="1999" dataDxfId="1441"/>
    <tableColumn id="6" xr3:uid="{00000000-0010-0000-3900-000006000000}" name="2000" dataDxfId="1440"/>
    <tableColumn id="7" xr3:uid="{00000000-0010-0000-3900-000007000000}" name="2001" dataDxfId="1439" dataCellStyle="Normal 2"/>
    <tableColumn id="8" xr3:uid="{00000000-0010-0000-3900-000008000000}" name="2002" dataDxfId="1438"/>
    <tableColumn id="9" xr3:uid="{00000000-0010-0000-3900-000009000000}" name="2003" dataDxfId="1437"/>
    <tableColumn id="10" xr3:uid="{00000000-0010-0000-3900-00000A000000}" name="2004" dataDxfId="1436"/>
    <tableColumn id="11" xr3:uid="{00000000-0010-0000-3900-00000B000000}" name="2005" dataDxfId="1435"/>
    <tableColumn id="12" xr3:uid="{00000000-0010-0000-3900-00000C000000}" name="2006" dataDxfId="1434"/>
    <tableColumn id="13" xr3:uid="{00000000-0010-0000-3900-00000D000000}" name="2007" dataDxfId="1433"/>
    <tableColumn id="14" xr3:uid="{00000000-0010-0000-3900-00000E000000}" name="2008" dataDxfId="1432"/>
    <tableColumn id="15" xr3:uid="{00000000-0010-0000-3900-00000F000000}" name="2009" dataDxfId="1431"/>
    <tableColumn id="16" xr3:uid="{00000000-0010-0000-3900-000010000000}" name="2010" dataDxfId="1430"/>
    <tableColumn id="17" xr3:uid="{00000000-0010-0000-3900-000011000000}" name="2011" dataDxfId="1429"/>
    <tableColumn id="18" xr3:uid="{00000000-0010-0000-3900-000012000000}" name="2012" dataDxfId="1428"/>
    <tableColumn id="19" xr3:uid="{00000000-0010-0000-3900-000013000000}" name="2013" dataDxfId="1427"/>
    <tableColumn id="20" xr3:uid="{00000000-0010-0000-3900-000014000000}" name="2014" dataDxfId="1426"/>
    <tableColumn id="21" xr3:uid="{00000000-0010-0000-3900-000015000000}" name="2015" dataDxfId="1425"/>
    <tableColumn id="22" xr3:uid="{00000000-0010-0000-3900-000016000000}" name="2016" dataDxfId="1424"/>
    <tableColumn id="23" xr3:uid="{00000000-0010-0000-3900-000017000000}" name="2017" dataDxfId="1423"/>
  </tableColumns>
  <tableStyleInfo name="TableStyleMedium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3A000000}" name="GeneralRevenueFundRatioCashBalancesToExpendituresTable" displayName="GeneralRevenueFundRatioCashBalancesToExpendituresTable" ref="GK16:HG105" totalsRowShown="0" headerRowDxfId="1422" dataDxfId="1421">
  <autoFilter ref="GK16:HG105" xr:uid="{00000000-0009-0000-0100-000064000000}"/>
  <tableColumns count="23">
    <tableColumn id="1" xr3:uid="{00000000-0010-0000-3A00-000001000000}" name="County" dataDxfId="1420"/>
    <tableColumn id="2" xr3:uid="{00000000-0010-0000-3A00-000002000000}" name="1996" dataDxfId="1419">
      <calculatedColumnFormula>FN17/'4GF Expenditures'!B17</calculatedColumnFormula>
    </tableColumn>
    <tableColumn id="3" xr3:uid="{00000000-0010-0000-3A00-000003000000}" name="1997" dataDxfId="1418">
      <calculatedColumnFormula>FO17/'4GF Expenditures'!C18</calculatedColumnFormula>
    </tableColumn>
    <tableColumn id="4" xr3:uid="{00000000-0010-0000-3A00-000004000000}" name="1998" dataDxfId="1417">
      <calculatedColumnFormula>FP17/'4GF Expenditures'!D18</calculatedColumnFormula>
    </tableColumn>
    <tableColumn id="5" xr3:uid="{00000000-0010-0000-3A00-000005000000}" name="1999" dataDxfId="1416">
      <calculatedColumnFormula>FQ17/'4GF Expenditures'!E18</calculatedColumnFormula>
    </tableColumn>
    <tableColumn id="6" xr3:uid="{00000000-0010-0000-3A00-000006000000}" name="2000" dataDxfId="1415">
      <calculatedColumnFormula>FR17/'4GF Expenditures'!F18</calculatedColumnFormula>
    </tableColumn>
    <tableColumn id="7" xr3:uid="{00000000-0010-0000-3A00-000007000000}" name="2001" dataDxfId="1414">
      <calculatedColumnFormula>FS17/'4GF Expenditures'!G18</calculatedColumnFormula>
    </tableColumn>
    <tableColumn id="8" xr3:uid="{00000000-0010-0000-3A00-000008000000}" name="2002" dataDxfId="1413">
      <calculatedColumnFormula>FT17/'4GF Expenditures'!H18</calculatedColumnFormula>
    </tableColumn>
    <tableColumn id="9" xr3:uid="{00000000-0010-0000-3A00-000009000000}" name="2003" dataDxfId="1412">
      <calculatedColumnFormula>FU17/'4GF Expenditures'!I18</calculatedColumnFormula>
    </tableColumn>
    <tableColumn id="10" xr3:uid="{00000000-0010-0000-3A00-00000A000000}" name="2004" dataDxfId="1411">
      <calculatedColumnFormula>FV17/'4GF Expenditures'!J18</calculatedColumnFormula>
    </tableColumn>
    <tableColumn id="11" xr3:uid="{00000000-0010-0000-3A00-00000B000000}" name="2005" dataDxfId="1410">
      <calculatedColumnFormula>FW17/'4GF Expenditures'!K18</calculatedColumnFormula>
    </tableColumn>
    <tableColumn id="12" xr3:uid="{00000000-0010-0000-3A00-00000C000000}" name="2006" dataDxfId="1409">
      <calculatedColumnFormula>FX17/'4GF Expenditures'!L18</calculatedColumnFormula>
    </tableColumn>
    <tableColumn id="13" xr3:uid="{00000000-0010-0000-3A00-00000D000000}" name="2007" dataDxfId="1408">
      <calculatedColumnFormula>FY17/'4GF Expenditures'!M18</calculatedColumnFormula>
    </tableColumn>
    <tableColumn id="14" xr3:uid="{00000000-0010-0000-3A00-00000E000000}" name="2008" dataDxfId="1407">
      <calculatedColumnFormula>FZ17/'4GF Expenditures'!N18</calculatedColumnFormula>
    </tableColumn>
    <tableColumn id="15" xr3:uid="{00000000-0010-0000-3A00-00000F000000}" name="2009" dataDxfId="1406">
      <calculatedColumnFormula>GA17/'4GF Expenditures'!O18</calculatedColumnFormula>
    </tableColumn>
    <tableColumn id="16" xr3:uid="{00000000-0010-0000-3A00-000010000000}" name="2010" dataDxfId="1405">
      <calculatedColumnFormula>GB17/'4GF Expenditures'!P18</calculatedColumnFormula>
    </tableColumn>
    <tableColumn id="17" xr3:uid="{00000000-0010-0000-3A00-000011000000}" name="2011" dataDxfId="1404">
      <calculatedColumnFormula>GC17/'4GF Expenditures'!Q18</calculatedColumnFormula>
    </tableColumn>
    <tableColumn id="18" xr3:uid="{00000000-0010-0000-3A00-000012000000}" name="2012" dataDxfId="1403">
      <calculatedColumnFormula>GD17/'4GF Expenditures'!R18</calculatedColumnFormula>
    </tableColumn>
    <tableColumn id="19" xr3:uid="{00000000-0010-0000-3A00-000013000000}" name="2013" dataDxfId="1402">
      <calculatedColumnFormula>GE17/'4GF Expenditures'!S18</calculatedColumnFormula>
    </tableColumn>
    <tableColumn id="22" xr3:uid="{00000000-0010-0000-3A00-000016000000}" name="2014" dataDxfId="1401">
      <calculatedColumnFormula>GF17/'4GF Expenditures'!T18</calculatedColumnFormula>
    </tableColumn>
    <tableColumn id="23" xr3:uid="{00000000-0010-0000-3A00-000017000000}" name="2015" dataDxfId="1400">
      <calculatedColumnFormula>GG17/'4GF Expenditures'!U18</calculatedColumnFormula>
    </tableColumn>
    <tableColumn id="24" xr3:uid="{00000000-0010-0000-3A00-000018000000}" name="2016" dataDxfId="1399">
      <calculatedColumnFormula>GH17/'4GF Expenditures'!V18</calculatedColumnFormula>
    </tableColumn>
    <tableColumn id="25" xr3:uid="{00000000-0010-0000-3A00-000019000000}" name="2017" dataDxfId="1398">
      <calculatedColumnFormula>GI17/'4GF Expenditures'!W18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05000000}" name="CountyAllYearsGRCashBalance" displayName="CountyAllYearsGRCashBalance" ref="A37:W38" totalsRowShown="0" headerRowDxfId="2515" dataDxfId="2514">
  <autoFilter ref="A37:W38" xr:uid="{00000000-0009-0000-0100-00002A000000}"/>
  <tableColumns count="23">
    <tableColumn id="1" xr3:uid="{00000000-0010-0000-0500-000001000000}" name="Category" dataDxfId="2513"/>
    <tableColumn id="2" xr3:uid="{00000000-0010-0000-0500-000002000000}" name="1996" dataDxfId="2512">
      <calculatedColumnFormula>INDEX(GeneralRevenueFundCashBalancesTable[],MATCH($A$3,GeneralRevenueFundCashBalancesTable[County]),MATCH(B37,GeneralRevenueFundCashBalancesTable[#Headers],0))</calculatedColumnFormula>
    </tableColumn>
    <tableColumn id="3" xr3:uid="{00000000-0010-0000-0500-000003000000}" name="1997" dataDxfId="2511">
      <calculatedColumnFormula>INDEX(GeneralRevenueFundCashBalancesTable[],MATCH($A$3,GeneralRevenueFundCashBalancesTable[County]),MATCH(C37,GeneralRevenueFundCashBalancesTable[#Headers]))</calculatedColumnFormula>
    </tableColumn>
    <tableColumn id="4" xr3:uid="{00000000-0010-0000-0500-000004000000}" name="1998" dataDxfId="2510">
      <calculatedColumnFormula>INDEX(GeneralRevenueFundCashBalancesTable[],MATCH($A$3,GeneralRevenueFundCashBalancesTable[County]),MATCH(D37,GeneralRevenueFundCashBalancesTable[#Headers]))</calculatedColumnFormula>
    </tableColumn>
    <tableColumn id="5" xr3:uid="{00000000-0010-0000-0500-000005000000}" name="1999" dataDxfId="2509">
      <calculatedColumnFormula>INDEX(GeneralRevenueFundCashBalancesTable[],MATCH($A$3,GeneralRevenueFundCashBalancesTable[County]),MATCH(E37,GeneralRevenueFundCashBalancesTable[#Headers]))</calculatedColumnFormula>
    </tableColumn>
    <tableColumn id="6" xr3:uid="{00000000-0010-0000-0500-000006000000}" name="2000" dataDxfId="2508">
      <calculatedColumnFormula>INDEX(GeneralRevenueFundCashBalancesTable[],MATCH($A$3,GeneralRevenueFundCashBalancesTable[County]),MATCH(F37,GeneralRevenueFundCashBalancesTable[#Headers]))</calculatedColumnFormula>
    </tableColumn>
    <tableColumn id="7" xr3:uid="{00000000-0010-0000-0500-000007000000}" name="2001" dataDxfId="2507">
      <calculatedColumnFormula>INDEX(GeneralRevenueFundCashBalancesTable[],MATCH($A$3,GeneralRevenueFundCashBalancesTable[County]),MATCH(G37,GeneralRevenueFundCashBalancesTable[#Headers]))</calculatedColumnFormula>
    </tableColumn>
    <tableColumn id="8" xr3:uid="{00000000-0010-0000-0500-000008000000}" name="2002" dataDxfId="2506">
      <calculatedColumnFormula>INDEX(GeneralRevenueFundCashBalancesTable[],MATCH($A$3,GeneralRevenueFundCashBalancesTable[County]),MATCH(H37,GeneralRevenueFundCashBalancesTable[#Headers]))</calculatedColumnFormula>
    </tableColumn>
    <tableColumn id="9" xr3:uid="{00000000-0010-0000-0500-000009000000}" name="2003" dataDxfId="2505">
      <calculatedColumnFormula>INDEX(GeneralRevenueFundCashBalancesTable[],MATCH($A$3,GeneralRevenueFundCashBalancesTable[County]),MATCH(I37,GeneralRevenueFundCashBalancesTable[#Headers]))</calculatedColumnFormula>
    </tableColumn>
    <tableColumn id="10" xr3:uid="{00000000-0010-0000-0500-00000A000000}" name="2004" dataDxfId="2504">
      <calculatedColumnFormula>INDEX(GeneralRevenueFundCashBalancesTable[],MATCH($A$3,GeneralRevenueFundCashBalancesTable[County]),MATCH(J37,GeneralRevenueFundCashBalancesTable[#Headers]))</calculatedColumnFormula>
    </tableColumn>
    <tableColumn id="11" xr3:uid="{00000000-0010-0000-0500-00000B000000}" name="2005" dataDxfId="2503">
      <calculatedColumnFormula>INDEX(GeneralRevenueFundCashBalancesTable[],MATCH($A$3,GeneralRevenueFundCashBalancesTable[County]),MATCH(K37,GeneralRevenueFundCashBalancesTable[#Headers]))</calculatedColumnFormula>
    </tableColumn>
    <tableColumn id="12" xr3:uid="{00000000-0010-0000-0500-00000C000000}" name="2006" dataDxfId="2502">
      <calculatedColumnFormula>INDEX(GeneralRevenueFundCashBalancesTable[],MATCH($A$3,GeneralRevenueFundCashBalancesTable[County]),MATCH(L37,GeneralRevenueFundCashBalancesTable[#Headers]))</calculatedColumnFormula>
    </tableColumn>
    <tableColumn id="13" xr3:uid="{00000000-0010-0000-0500-00000D000000}" name="2007" dataDxfId="2501">
      <calculatedColumnFormula>INDEX(GeneralRevenueFundCashBalancesTable[],MATCH($A$3,GeneralRevenueFundCashBalancesTable[County]),MATCH(M37,GeneralRevenueFundCashBalancesTable[#Headers]))</calculatedColumnFormula>
    </tableColumn>
    <tableColumn id="14" xr3:uid="{00000000-0010-0000-0500-00000E000000}" name="2008" dataDxfId="2500">
      <calculatedColumnFormula>INDEX(GeneralRevenueFundCashBalancesTable[],MATCH($A$3,GeneralRevenueFundCashBalancesTable[County]),MATCH(N37,GeneralRevenueFundCashBalancesTable[#Headers]))</calculatedColumnFormula>
    </tableColumn>
    <tableColumn id="15" xr3:uid="{00000000-0010-0000-0500-00000F000000}" name="2009" dataDxfId="2499">
      <calculatedColumnFormula>INDEX(GeneralRevenueFundCashBalancesTable[],MATCH($A$3,GeneralRevenueFundCashBalancesTable[County]),MATCH(O37,GeneralRevenueFundCashBalancesTable[#Headers]))</calculatedColumnFormula>
    </tableColumn>
    <tableColumn id="16" xr3:uid="{00000000-0010-0000-0500-000010000000}" name="2010" dataDxfId="2498">
      <calculatedColumnFormula>INDEX(GeneralRevenueFundCashBalancesTable[],MATCH($A$3,GeneralRevenueFundCashBalancesTable[County]),MATCH(P37,GeneralRevenueFundCashBalancesTable[#Headers]))</calculatedColumnFormula>
    </tableColumn>
    <tableColumn id="17" xr3:uid="{00000000-0010-0000-0500-000011000000}" name="2011" dataDxfId="2497">
      <calculatedColumnFormula>INDEX(GeneralRevenueFundCashBalancesTable[],MATCH($A$3,GeneralRevenueFundCashBalancesTable[County]),MATCH(Q37,GeneralRevenueFundCashBalancesTable[#Headers]))</calculatedColumnFormula>
    </tableColumn>
    <tableColumn id="18" xr3:uid="{00000000-0010-0000-0500-000012000000}" name="2012" dataDxfId="2496">
      <calculatedColumnFormula>INDEX(GeneralRevenueFundCashBalancesTable[],MATCH($A$3,GeneralRevenueFundCashBalancesTable[County]),MATCH(R37,GeneralRevenueFundCashBalancesTable[#Headers]))</calculatedColumnFormula>
    </tableColumn>
    <tableColumn id="19" xr3:uid="{00000000-0010-0000-0500-000013000000}" name="2013" dataDxfId="2495">
      <calculatedColumnFormula>INDEX(GeneralRevenueFundCashBalancesTable[],MATCH($A$3,GeneralRevenueFundCashBalancesTable[County]),MATCH(S37,GeneralRevenueFundCashBalancesTable[#Headers]))</calculatedColumnFormula>
    </tableColumn>
    <tableColumn id="20" xr3:uid="{00000000-0010-0000-0500-000014000000}" name="2014" dataDxfId="2494">
      <calculatedColumnFormula>INDEX(GeneralRevenueFundCashBalancesTable[],MATCH($A$3,GeneralRevenueFundCashBalancesTable[County]),MATCH(T37,GeneralRevenueFundCashBalancesTable[#Headers]))</calculatedColumnFormula>
    </tableColumn>
    <tableColumn id="21" xr3:uid="{00000000-0010-0000-0500-000015000000}" name="2015" dataDxfId="2493">
      <calculatedColumnFormula>INDEX(GeneralRevenueFundCashBalancesTable[],MATCH($A$3,GeneralRevenueFundCashBalancesTable[County]),MATCH(U37,GeneralRevenueFundCashBalancesTable[#Headers]))</calculatedColumnFormula>
    </tableColumn>
    <tableColumn id="22" xr3:uid="{00000000-0010-0000-0500-000016000000}" name="2016" dataDxfId="2492">
      <calculatedColumnFormula>INDEX(GeneralRevenueFundCashBalancesTable[],MATCH($A$3,GeneralRevenueFundCashBalancesTable[County]),MATCH(V37,GeneralRevenueFundCashBalancesTable[#Headers]))</calculatedColumnFormula>
    </tableColumn>
    <tableColumn id="23" xr3:uid="{00000000-0010-0000-0500-000017000000}" name="2017" dataDxfId="2491">
      <calculatedColumnFormula>INDEX(GeneralRevenueFundCashBalancesTable[],MATCH($A$3,GeneralRevenueFundCashBalancesTable[County]),MATCH(W37,GeneralRevenueFundCashBalancesTable[#Headers]))</calculatedColumnFormula>
    </tableColumn>
  </tableColumns>
  <tableStyleInfo name="TableStyleMedium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3B000000}" name="GeneralRevenueFundRatioRecieptsToExpendituresTable" displayName="GeneralRevenueFundRatioRecieptsToExpendituresTable" ref="HL16:IH105" totalsRowShown="0" headerRowDxfId="1397" dataDxfId="1396">
  <autoFilter ref="HL16:IH105" xr:uid="{00000000-0009-0000-0100-000065000000}"/>
  <tableColumns count="23">
    <tableColumn id="1" xr3:uid="{00000000-0010-0000-3B00-000001000000}" name="County" dataDxfId="1395"/>
    <tableColumn id="2" xr3:uid="{00000000-0010-0000-3B00-000002000000}" name="1996" dataDxfId="1394">
      <calculatedColumnFormula>B17/'4GF Expenditures'!B18</calculatedColumnFormula>
    </tableColumn>
    <tableColumn id="3" xr3:uid="{00000000-0010-0000-3B00-000003000000}" name="1997" dataDxfId="1393">
      <calculatedColumnFormula>C17/'4GF Expenditures'!C18</calculatedColumnFormula>
    </tableColumn>
    <tableColumn id="4" xr3:uid="{00000000-0010-0000-3B00-000004000000}" name="1998" dataDxfId="1392">
      <calculatedColumnFormula>D17/'4GF Expenditures'!D18</calculatedColumnFormula>
    </tableColumn>
    <tableColumn id="5" xr3:uid="{00000000-0010-0000-3B00-000005000000}" name="1999" dataDxfId="1391">
      <calculatedColumnFormula>E17/'4GF Expenditures'!E18</calculatedColumnFormula>
    </tableColumn>
    <tableColumn id="6" xr3:uid="{00000000-0010-0000-3B00-000006000000}" name="2000" dataDxfId="1390">
      <calculatedColumnFormula>F17/'4GF Expenditures'!F18</calculatedColumnFormula>
    </tableColumn>
    <tableColumn id="7" xr3:uid="{00000000-0010-0000-3B00-000007000000}" name="2001" dataDxfId="1389">
      <calculatedColumnFormula>G17/'4GF Expenditures'!G18</calculatedColumnFormula>
    </tableColumn>
    <tableColumn id="8" xr3:uid="{00000000-0010-0000-3B00-000008000000}" name="2002" dataDxfId="1388">
      <calculatedColumnFormula>H17/'4GF Expenditures'!H18</calculatedColumnFormula>
    </tableColumn>
    <tableColumn id="9" xr3:uid="{00000000-0010-0000-3B00-000009000000}" name="2003" dataDxfId="1387">
      <calculatedColumnFormula>I17/'4GF Expenditures'!I18</calculatedColumnFormula>
    </tableColumn>
    <tableColumn id="10" xr3:uid="{00000000-0010-0000-3B00-00000A000000}" name="2004" dataDxfId="1386">
      <calculatedColumnFormula>J17/'4GF Expenditures'!J18</calculatedColumnFormula>
    </tableColumn>
    <tableColumn id="11" xr3:uid="{00000000-0010-0000-3B00-00000B000000}" name="2005" dataDxfId="1385">
      <calculatedColumnFormula>K17/'4GF Expenditures'!K18</calculatedColumnFormula>
    </tableColumn>
    <tableColumn id="12" xr3:uid="{00000000-0010-0000-3B00-00000C000000}" name="2006" dataDxfId="1384">
      <calculatedColumnFormula>L17/'4GF Expenditures'!L18</calculatedColumnFormula>
    </tableColumn>
    <tableColumn id="13" xr3:uid="{00000000-0010-0000-3B00-00000D000000}" name="2007" dataDxfId="1383">
      <calculatedColumnFormula>M17/'4GF Expenditures'!M18</calculatedColumnFormula>
    </tableColumn>
    <tableColumn id="14" xr3:uid="{00000000-0010-0000-3B00-00000E000000}" name="2008" dataDxfId="1382">
      <calculatedColumnFormula>N17/'4GF Expenditures'!N18</calculatedColumnFormula>
    </tableColumn>
    <tableColumn id="15" xr3:uid="{00000000-0010-0000-3B00-00000F000000}" name="2009" dataDxfId="1381">
      <calculatedColumnFormula>O17/'4GF Expenditures'!O18</calculatedColumnFormula>
    </tableColumn>
    <tableColumn id="16" xr3:uid="{00000000-0010-0000-3B00-000010000000}" name="2010" dataDxfId="1380">
      <calculatedColumnFormula>P17/'4GF Expenditures'!P18</calculatedColumnFormula>
    </tableColumn>
    <tableColumn id="17" xr3:uid="{00000000-0010-0000-3B00-000011000000}" name="2011" dataDxfId="1379">
      <calculatedColumnFormula>Q17/'4GF Expenditures'!Q18</calculatedColumnFormula>
    </tableColumn>
    <tableColumn id="18" xr3:uid="{00000000-0010-0000-3B00-000012000000}" name="2012" dataDxfId="1378">
      <calculatedColumnFormula>R17/'4GF Expenditures'!R18</calculatedColumnFormula>
    </tableColumn>
    <tableColumn id="19" xr3:uid="{00000000-0010-0000-3B00-000013000000}" name="2013" dataDxfId="1377">
      <calculatedColumnFormula>S17/'4GF Expenditures'!S18</calculatedColumnFormula>
    </tableColumn>
    <tableColumn id="20" xr3:uid="{00000000-0010-0000-3B00-000014000000}" name="2014" dataDxfId="1376">
      <calculatedColumnFormula>T17/'4GF Expenditures'!T18</calculatedColumnFormula>
    </tableColumn>
    <tableColumn id="21" xr3:uid="{00000000-0010-0000-3B00-000015000000}" name="2015" dataDxfId="1375">
      <calculatedColumnFormula>U17/'4GF Expenditures'!U18</calculatedColumnFormula>
    </tableColumn>
    <tableColumn id="22" xr3:uid="{00000000-0010-0000-3B00-000016000000}" name="2016" dataDxfId="1374">
      <calculatedColumnFormula>V17/'4GF Expenditures'!V18</calculatedColumnFormula>
    </tableColumn>
    <tableColumn id="23" xr3:uid="{00000000-0010-0000-3B00-000017000000}" name="2017" dataDxfId="1373">
      <calculatedColumnFormula>W17/'4GF Expenditures'!W18</calculatedColumnFormula>
    </tableColumn>
  </tableColumns>
  <tableStyleInfo name="TableStyleMedium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3C000000}" name="Table98" displayName="Table98" ref="BU114:CQ203" totalsRowShown="0" headerRowDxfId="1372" dataDxfId="1371" tableBorderDxfId="1370">
  <autoFilter ref="BU114:CQ203" xr:uid="{00000000-0009-0000-0100-000062000000}"/>
  <tableColumns count="23">
    <tableColumn id="1" xr3:uid="{00000000-0010-0000-3C00-000001000000}" name="County" dataDxfId="1369"/>
    <tableColumn id="19" xr3:uid="{00000000-0010-0000-3C00-000013000000}" name="1996" dataDxfId="1368"/>
    <tableColumn id="2" xr3:uid="{00000000-0010-0000-3C00-000002000000}" name="1997" dataDxfId="1367"/>
    <tableColumn id="3" xr3:uid="{00000000-0010-0000-3C00-000003000000}" name="1998" dataDxfId="1366"/>
    <tableColumn id="4" xr3:uid="{00000000-0010-0000-3C00-000004000000}" name="1999" dataDxfId="1365"/>
    <tableColumn id="5" xr3:uid="{00000000-0010-0000-3C00-000005000000}" name="2000" dataDxfId="1364"/>
    <tableColumn id="6" xr3:uid="{00000000-0010-0000-3C00-000006000000}" name="2001" dataDxfId="1363"/>
    <tableColumn id="7" xr3:uid="{00000000-0010-0000-3C00-000007000000}" name="2002" dataDxfId="1362"/>
    <tableColumn id="8" xr3:uid="{00000000-0010-0000-3C00-000008000000}" name="2003" dataDxfId="1361"/>
    <tableColumn id="9" xr3:uid="{00000000-0010-0000-3C00-000009000000}" name="2004" dataDxfId="1360"/>
    <tableColumn id="10" xr3:uid="{00000000-0010-0000-3C00-00000A000000}" name="2005" dataDxfId="1359"/>
    <tableColumn id="11" xr3:uid="{00000000-0010-0000-3C00-00000B000000}" name="2006" dataDxfId="1358"/>
    <tableColumn id="12" xr3:uid="{00000000-0010-0000-3C00-00000C000000}" name="2007" dataDxfId="1357"/>
    <tableColumn id="13" xr3:uid="{00000000-0010-0000-3C00-00000D000000}" name="2008" dataDxfId="1356"/>
    <tableColumn id="14" xr3:uid="{00000000-0010-0000-3C00-00000E000000}" name="2009" dataDxfId="1355"/>
    <tableColumn id="15" xr3:uid="{00000000-0010-0000-3C00-00000F000000}" name="2010" dataDxfId="1354"/>
    <tableColumn id="16" xr3:uid="{00000000-0010-0000-3C00-000010000000}" name="2011" dataDxfId="1353"/>
    <tableColumn id="17" xr3:uid="{00000000-0010-0000-3C00-000011000000}" name="2012" dataDxfId="1352"/>
    <tableColumn id="18" xr3:uid="{00000000-0010-0000-3C00-000012000000}" name="2013" dataDxfId="1351"/>
    <tableColumn id="20" xr3:uid="{00000000-0010-0000-3C00-000014000000}" name="2014" dataDxfId="1350"/>
    <tableColumn id="21" xr3:uid="{00000000-0010-0000-3C00-000015000000}" name="2015" dataDxfId="1349"/>
    <tableColumn id="22" xr3:uid="{00000000-0010-0000-3C00-000016000000}" name="2016" dataDxfId="1348"/>
    <tableColumn id="23" xr3:uid="{00000000-0010-0000-3C00-000017000000}" name="2017" dataDxfId="1347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3D000000}" name="Table99" displayName="Table99" ref="Y114:AU203" totalsRowShown="0" headerRowDxfId="1346" dataDxfId="1345" tableBorderDxfId="1344">
  <autoFilter ref="Y114:AU203" xr:uid="{00000000-0009-0000-0100-000063000000}"/>
  <tableColumns count="23">
    <tableColumn id="1" xr3:uid="{00000000-0010-0000-3D00-000001000000}" name="County" dataDxfId="1343"/>
    <tableColumn id="19" xr3:uid="{00000000-0010-0000-3D00-000013000000}" name="1996" dataDxfId="1342"/>
    <tableColumn id="2" xr3:uid="{00000000-0010-0000-3D00-000002000000}" name="1997" dataDxfId="1341">
      <calculatedColumnFormula>IFERROR((AA17-Z17)/Z17,0)</calculatedColumnFormula>
    </tableColumn>
    <tableColumn id="3" xr3:uid="{00000000-0010-0000-3D00-000003000000}" name="1998" dataDxfId="1340">
      <calculatedColumnFormula>IFERROR((AB17-AA17)/AA17,0)</calculatedColumnFormula>
    </tableColumn>
    <tableColumn id="4" xr3:uid="{00000000-0010-0000-3D00-000004000000}" name="1999" dataDxfId="1339">
      <calculatedColumnFormula>IFERROR((AC17-AB17)/AB17,0)</calculatedColumnFormula>
    </tableColumn>
    <tableColumn id="5" xr3:uid="{00000000-0010-0000-3D00-000005000000}" name="2000" dataDxfId="1338">
      <calculatedColumnFormula>IFERROR((AD17-AC17)/AC17,0)</calculatedColumnFormula>
    </tableColumn>
    <tableColumn id="6" xr3:uid="{00000000-0010-0000-3D00-000006000000}" name="2001" dataDxfId="1337">
      <calculatedColumnFormula>IFERROR((AE17-AD17)/AD17,0)</calculatedColumnFormula>
    </tableColumn>
    <tableColumn id="7" xr3:uid="{00000000-0010-0000-3D00-000007000000}" name="2002" dataDxfId="1336">
      <calculatedColumnFormula>IFERROR((AF17-AE17)/AE17,0)</calculatedColumnFormula>
    </tableColumn>
    <tableColumn id="8" xr3:uid="{00000000-0010-0000-3D00-000008000000}" name="2003" dataDxfId="1335">
      <calculatedColumnFormula>IFERROR((AG17-AF17)/AF17,0)</calculatedColumnFormula>
    </tableColumn>
    <tableColumn id="9" xr3:uid="{00000000-0010-0000-3D00-000009000000}" name="2004" dataDxfId="1334">
      <calculatedColumnFormula>IFERROR((AH17-AG17)/AG17,0)</calculatedColumnFormula>
    </tableColumn>
    <tableColumn id="10" xr3:uid="{00000000-0010-0000-3D00-00000A000000}" name="2005" dataDxfId="1333">
      <calculatedColumnFormula>IFERROR((AI17-AH17)/AH17,0)</calculatedColumnFormula>
    </tableColumn>
    <tableColumn id="11" xr3:uid="{00000000-0010-0000-3D00-00000B000000}" name="2006" dataDxfId="1332">
      <calculatedColumnFormula>IFERROR((AJ17-AI17)/AI17,0)</calculatedColumnFormula>
    </tableColumn>
    <tableColumn id="12" xr3:uid="{00000000-0010-0000-3D00-00000C000000}" name="2007" dataDxfId="1331">
      <calculatedColumnFormula>IFERROR((AK17-AJ17)/AJ17,0)</calculatedColumnFormula>
    </tableColumn>
    <tableColumn id="13" xr3:uid="{00000000-0010-0000-3D00-00000D000000}" name="2008" dataDxfId="1330">
      <calculatedColumnFormula>IFERROR((AL17-AK17)/AK17,0)</calculatedColumnFormula>
    </tableColumn>
    <tableColumn id="14" xr3:uid="{00000000-0010-0000-3D00-00000E000000}" name="2009" dataDxfId="1329">
      <calculatedColumnFormula>IFERROR((AM17-AL17)/AL17,0)</calculatedColumnFormula>
    </tableColumn>
    <tableColumn id="15" xr3:uid="{00000000-0010-0000-3D00-00000F000000}" name="2010" dataDxfId="1328">
      <calculatedColumnFormula>IFERROR((AN17-AM17)/AM17,0)</calculatedColumnFormula>
    </tableColumn>
    <tableColumn id="16" xr3:uid="{00000000-0010-0000-3D00-000010000000}" name="2011" dataDxfId="1327">
      <calculatedColumnFormula>IFERROR((AO17-AN17)/AN17,0)</calculatedColumnFormula>
    </tableColumn>
    <tableColumn id="17" xr3:uid="{00000000-0010-0000-3D00-000011000000}" name="2012" dataDxfId="1326">
      <calculatedColumnFormula>IFERROR((AP17-AO17)/AO17,0)</calculatedColumnFormula>
    </tableColumn>
    <tableColumn id="18" xr3:uid="{00000000-0010-0000-3D00-000012000000}" name="2013" dataDxfId="1325">
      <calculatedColumnFormula>IFERROR((AQ17-AP17)/AP17,0)</calculatedColumnFormula>
    </tableColumn>
    <tableColumn id="20" xr3:uid="{00000000-0010-0000-3D00-000014000000}" name="2014" dataDxfId="1324">
      <calculatedColumnFormula>IFERROR((AR17-AQ17)/AQ17,0)</calculatedColumnFormula>
    </tableColumn>
    <tableColumn id="21" xr3:uid="{00000000-0010-0000-3D00-000015000000}" name="2015" dataDxfId="1323">
      <calculatedColumnFormula>IFERROR((AS17-AR17)/AR17,0)</calculatedColumnFormula>
    </tableColumn>
    <tableColumn id="22" xr3:uid="{00000000-0010-0000-3D00-000016000000}" name="2016" dataDxfId="1322">
      <calculatedColumnFormula>IFERROR((AT17-AS17)/AS17,0)</calculatedColumnFormula>
    </tableColumn>
    <tableColumn id="23" xr3:uid="{00000000-0010-0000-3D00-000017000000}" name="2017" dataDxfId="1321">
      <calculatedColumnFormula>IFERROR((AU17-AT17)/AT17,0)</calculatedColumnFormula>
    </tableColumn>
  </tableColumns>
  <tableStyleInfo name="TableStyleMedium2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3E000000}" name="Table96" displayName="Table96" ref="A114:W203" totalsRowShown="0" headerRowDxfId="1320" dataDxfId="1319" tableBorderDxfId="1318">
  <autoFilter ref="A114:W203" xr:uid="{00000000-0009-0000-0100-000060000000}"/>
  <tableColumns count="23">
    <tableColumn id="1" xr3:uid="{00000000-0010-0000-3E00-000001000000}" name="County" dataDxfId="1317"/>
    <tableColumn id="19" xr3:uid="{00000000-0010-0000-3E00-000013000000}" name="1996" dataDxfId="1316"/>
    <tableColumn id="2" xr3:uid="{00000000-0010-0000-3E00-000002000000}" name="1997" dataDxfId="1315">
      <calculatedColumnFormula>IFERROR((AA17-$Z17)/$Z17,0)</calculatedColumnFormula>
    </tableColumn>
    <tableColumn id="3" xr3:uid="{00000000-0010-0000-3E00-000003000000}" name="1998" dataDxfId="1314">
      <calculatedColumnFormula>IFERROR((AB17-$Z17)/$Z17,0)</calculatedColumnFormula>
    </tableColumn>
    <tableColumn id="4" xr3:uid="{00000000-0010-0000-3E00-000004000000}" name="1999" dataDxfId="1313">
      <calculatedColumnFormula>IFERROR((AC17-$Z17)/$Z17,0)</calculatedColumnFormula>
    </tableColumn>
    <tableColumn id="5" xr3:uid="{00000000-0010-0000-3E00-000005000000}" name="2000" dataDxfId="1312">
      <calculatedColumnFormula>IFERROR((AD17-$Z17)/$Z17,0)</calculatedColumnFormula>
    </tableColumn>
    <tableColumn id="6" xr3:uid="{00000000-0010-0000-3E00-000006000000}" name="2001" dataDxfId="1311">
      <calculatedColumnFormula>IFERROR((AE17-$Z17)/$Z17,0)</calculatedColumnFormula>
    </tableColumn>
    <tableColumn id="7" xr3:uid="{00000000-0010-0000-3E00-000007000000}" name="2002" dataDxfId="1310">
      <calculatedColumnFormula>IFERROR((AF17-$Z17)/$Z17,0)</calculatedColumnFormula>
    </tableColumn>
    <tableColumn id="8" xr3:uid="{00000000-0010-0000-3E00-000008000000}" name="2003" dataDxfId="1309">
      <calculatedColumnFormula>IFERROR((AG17-$Z17)/$Z17,0)</calculatedColumnFormula>
    </tableColumn>
    <tableColumn id="9" xr3:uid="{00000000-0010-0000-3E00-000009000000}" name="2004" dataDxfId="1308">
      <calculatedColumnFormula>IFERROR((AH17-$Z17)/$Z17,0)</calculatedColumnFormula>
    </tableColumn>
    <tableColumn id="10" xr3:uid="{00000000-0010-0000-3E00-00000A000000}" name="2005" dataDxfId="1307">
      <calculatedColumnFormula>IFERROR((AI17-$Z17)/$Z17,0)</calculatedColumnFormula>
    </tableColumn>
    <tableColumn id="11" xr3:uid="{00000000-0010-0000-3E00-00000B000000}" name="2006" dataDxfId="1306">
      <calculatedColumnFormula>IFERROR((AJ17-$Z17)/$Z17,0)</calculatedColumnFormula>
    </tableColumn>
    <tableColumn id="12" xr3:uid="{00000000-0010-0000-3E00-00000C000000}" name="2007" dataDxfId="1305">
      <calculatedColumnFormula>IFERROR((AK17-$Z17)/$Z17,0)</calculatedColumnFormula>
    </tableColumn>
    <tableColumn id="13" xr3:uid="{00000000-0010-0000-3E00-00000D000000}" name="2008" dataDxfId="1304">
      <calculatedColumnFormula>IFERROR((AL17-$Z17)/$Z17,0)</calculatedColumnFormula>
    </tableColumn>
    <tableColumn id="14" xr3:uid="{00000000-0010-0000-3E00-00000E000000}" name="2009" dataDxfId="1303">
      <calculatedColumnFormula>IFERROR((AM17-$Z17)/$Z17,0)</calculatedColumnFormula>
    </tableColumn>
    <tableColumn id="15" xr3:uid="{00000000-0010-0000-3E00-00000F000000}" name="2010" dataDxfId="1302">
      <calculatedColumnFormula>IFERROR((AN17-$Z17)/$Z17,0)</calculatedColumnFormula>
    </tableColumn>
    <tableColumn id="16" xr3:uid="{00000000-0010-0000-3E00-000010000000}" name="2011" dataDxfId="1301">
      <calculatedColumnFormula>IFERROR((AO17-$Z17)/$Z17,0)</calculatedColumnFormula>
    </tableColumn>
    <tableColumn id="17" xr3:uid="{00000000-0010-0000-3E00-000011000000}" name="2012" dataDxfId="1300">
      <calculatedColumnFormula>IFERROR((AP17-$Z17)/$Z17,0)</calculatedColumnFormula>
    </tableColumn>
    <tableColumn id="18" xr3:uid="{00000000-0010-0000-3E00-000012000000}" name="2013" dataDxfId="1299">
      <calculatedColumnFormula>IFERROR((AQ17-$Z17)/$Z17,0)</calculatedColumnFormula>
    </tableColumn>
    <tableColumn id="20" xr3:uid="{00000000-0010-0000-3E00-000014000000}" name="2014" dataDxfId="1298">
      <calculatedColumnFormula>IFERROR((AR17-$Z17)/$Z17,0)</calculatedColumnFormula>
    </tableColumn>
    <tableColumn id="21" xr3:uid="{00000000-0010-0000-3E00-000015000000}" name="2015" dataDxfId="1297">
      <calculatedColumnFormula>IFERROR((AS17-$Z17)/$Z17,0)</calculatedColumnFormula>
    </tableColumn>
    <tableColumn id="22" xr3:uid="{00000000-0010-0000-3E00-000016000000}" name="2016" dataDxfId="1296">
      <calculatedColumnFormula>IFERROR((AT17-$Z17)/$Z17,0)</calculatedColumnFormula>
    </tableColumn>
    <tableColumn id="23" xr3:uid="{00000000-0010-0000-3E00-000017000000}" name="2017" dataDxfId="1295">
      <calculatedColumnFormula>IFERROR((AU17-$Z17)/$Z17,0)</calculatedColumnFormula>
    </tableColumn>
  </tableColumns>
  <tableStyleInfo name="TableStyleMedium2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3F000000}" name="Table97" displayName="Table97" ref="AW114:BS203" totalsRowShown="0" headerRowDxfId="1294" dataDxfId="1293" tableBorderDxfId="1292">
  <autoFilter ref="AW114:BS203" xr:uid="{00000000-0009-0000-0100-000061000000}"/>
  <tableColumns count="23">
    <tableColumn id="1" xr3:uid="{00000000-0010-0000-3F00-000001000000}" name="County" dataDxfId="1291"/>
    <tableColumn id="19" xr3:uid="{00000000-0010-0000-3F00-000013000000}" name="1996" dataDxfId="1290"/>
    <tableColumn id="2" xr3:uid="{00000000-0010-0000-3F00-000002000000}" name="1997" dataDxfId="1289"/>
    <tableColumn id="3" xr3:uid="{00000000-0010-0000-3F00-000003000000}" name="1998" dataDxfId="1288"/>
    <tableColumn id="4" xr3:uid="{00000000-0010-0000-3F00-000004000000}" name="1999" dataDxfId="1287"/>
    <tableColumn id="5" xr3:uid="{00000000-0010-0000-3F00-000005000000}" name="2000" dataDxfId="1286"/>
    <tableColumn id="6" xr3:uid="{00000000-0010-0000-3F00-000006000000}" name="2001" dataDxfId="1285"/>
    <tableColumn id="7" xr3:uid="{00000000-0010-0000-3F00-000007000000}" name="2002" dataDxfId="1284"/>
    <tableColumn id="8" xr3:uid="{00000000-0010-0000-3F00-000008000000}" name="2003" dataDxfId="1283"/>
    <tableColumn id="9" xr3:uid="{00000000-0010-0000-3F00-000009000000}" name="2004" dataDxfId="1282"/>
    <tableColumn id="10" xr3:uid="{00000000-0010-0000-3F00-00000A000000}" name="2005" dataDxfId="1281"/>
    <tableColumn id="11" xr3:uid="{00000000-0010-0000-3F00-00000B000000}" name="2006" dataDxfId="1280"/>
    <tableColumn id="12" xr3:uid="{00000000-0010-0000-3F00-00000C000000}" name="2007" dataDxfId="1279"/>
    <tableColumn id="13" xr3:uid="{00000000-0010-0000-3F00-00000D000000}" name="2008" dataDxfId="1278"/>
    <tableColumn id="14" xr3:uid="{00000000-0010-0000-3F00-00000E000000}" name="2009" dataDxfId="1277"/>
    <tableColumn id="15" xr3:uid="{00000000-0010-0000-3F00-00000F000000}" name="2010" dataDxfId="1276"/>
    <tableColumn id="16" xr3:uid="{00000000-0010-0000-3F00-000010000000}" name="2011" dataDxfId="1275"/>
    <tableColumn id="17" xr3:uid="{00000000-0010-0000-3F00-000011000000}" name="2012" dataDxfId="1274"/>
    <tableColumn id="18" xr3:uid="{00000000-0010-0000-3F00-000012000000}" name="2013" dataDxfId="1273"/>
    <tableColumn id="20" xr3:uid="{00000000-0010-0000-3F00-000014000000}" name="2014" dataDxfId="1272"/>
    <tableColumn id="21" xr3:uid="{00000000-0010-0000-3F00-000015000000}" name="2015" dataDxfId="1271"/>
    <tableColumn id="22" xr3:uid="{00000000-0010-0000-3F00-000016000000}" name="2016" dataDxfId="1270"/>
    <tableColumn id="23" xr3:uid="{00000000-0010-0000-3F00-000017000000}" name="2017" dataDxfId="1269"/>
  </tableColumns>
  <tableStyleInfo name="TableStyleMedium2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40000000}" name="GeneralRevenueFundTotalExpendituresTable" displayName="GeneralRevenueFundTotalExpendituresTable" ref="A17:W106" headerRowDxfId="1268" dataDxfId="1266" headerRowBorderDxfId="1267" tableBorderDxfId="1265">
  <autoFilter ref="A17:W106" xr:uid="{00000000-0009-0000-0100-00000A000000}"/>
  <tableColumns count="23">
    <tableColumn id="1" xr3:uid="{00000000-0010-0000-4000-000001000000}" name="County" dataDxfId="1264" totalsRowDxfId="1263"/>
    <tableColumn id="2" xr3:uid="{00000000-0010-0000-4000-000002000000}" name="1996" totalsRowFunction="sum" dataDxfId="1262" totalsRowDxfId="1261"/>
    <tableColumn id="3" xr3:uid="{00000000-0010-0000-4000-000003000000}" name="1997" totalsRowFunction="sum" dataDxfId="1260" totalsRowDxfId="1259"/>
    <tableColumn id="4" xr3:uid="{00000000-0010-0000-4000-000004000000}" name="1998" totalsRowFunction="sum" dataDxfId="1258" totalsRowDxfId="1257"/>
    <tableColumn id="5" xr3:uid="{00000000-0010-0000-4000-000005000000}" name="1999" totalsRowFunction="sum" dataDxfId="1256" totalsRowDxfId="1255"/>
    <tableColumn id="6" xr3:uid="{00000000-0010-0000-4000-000006000000}" name="2000" totalsRowFunction="sum" dataDxfId="1254" totalsRowDxfId="1253"/>
    <tableColumn id="7" xr3:uid="{00000000-0010-0000-4000-000007000000}" name="2001" totalsRowFunction="sum" dataDxfId="1252" totalsRowDxfId="1251" dataCellStyle="Normal 2"/>
    <tableColumn id="8" xr3:uid="{00000000-0010-0000-4000-000008000000}" name="2002" totalsRowFunction="sum" dataDxfId="1250" totalsRowDxfId="1249"/>
    <tableColumn id="9" xr3:uid="{00000000-0010-0000-4000-000009000000}" name="2003" totalsRowFunction="sum" dataDxfId="1248" totalsRowDxfId="1247"/>
    <tableColumn id="10" xr3:uid="{00000000-0010-0000-4000-00000A000000}" name="2004" totalsRowFunction="sum" dataDxfId="1246" totalsRowDxfId="1245"/>
    <tableColumn id="11" xr3:uid="{00000000-0010-0000-4000-00000B000000}" name="2005" totalsRowFunction="sum" dataDxfId="1244" totalsRowDxfId="1243"/>
    <tableColumn id="12" xr3:uid="{00000000-0010-0000-4000-00000C000000}" name="2006" totalsRowFunction="sum" dataDxfId="1242" totalsRowDxfId="1241"/>
    <tableColumn id="13" xr3:uid="{00000000-0010-0000-4000-00000D000000}" name="2007" totalsRowFunction="sum" dataDxfId="1240" totalsRowDxfId="1239"/>
    <tableColumn id="14" xr3:uid="{00000000-0010-0000-4000-00000E000000}" name="2008" totalsRowFunction="sum" dataDxfId="1238" totalsRowDxfId="1237"/>
    <tableColumn id="15" xr3:uid="{00000000-0010-0000-4000-00000F000000}" name="2009" totalsRowFunction="sum" dataDxfId="1236" totalsRowDxfId="1235"/>
    <tableColumn id="16" xr3:uid="{00000000-0010-0000-4000-000010000000}" name="2010" totalsRowFunction="sum" dataDxfId="1234" totalsRowDxfId="1233"/>
    <tableColumn id="17" xr3:uid="{00000000-0010-0000-4000-000011000000}" name="2011" totalsRowFunction="sum" dataDxfId="1232" totalsRowDxfId="1231"/>
    <tableColumn id="18" xr3:uid="{00000000-0010-0000-4000-000012000000}" name="2012" dataDxfId="1230" totalsRowDxfId="1229"/>
    <tableColumn id="19" xr3:uid="{00000000-0010-0000-4000-000013000000}" name="2013" dataDxfId="1228" totalsRowDxfId="1227"/>
    <tableColumn id="20" xr3:uid="{00000000-0010-0000-4000-000014000000}" name="2014" dataDxfId="1226" totalsRowDxfId="1225"/>
    <tableColumn id="21" xr3:uid="{00000000-0010-0000-4000-000015000000}" name="2015" dataDxfId="1224" totalsRowDxfId="1223"/>
    <tableColumn id="22" xr3:uid="{00000000-0010-0000-4000-000016000000}" name="2016" dataDxfId="1222"/>
    <tableColumn id="23" xr3:uid="{00000000-0010-0000-4000-000017000000}" name="2017" dataDxfId="1221"/>
  </tableColumns>
  <tableStyleInfo name="TableStyleMedium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41000000}" name="CountyDisbursementsbyFunctionCountyCommissionTable" displayName="CountyDisbursementsbyFunctionCountyCommissionTable" ref="Y17:AU106" totalsRowShown="0" headerRowDxfId="1220" dataDxfId="1218" headerRowBorderDxfId="1219" tableBorderDxfId="1217">
  <autoFilter ref="Y17:AU106" xr:uid="{00000000-0009-0000-0100-00000B000000}"/>
  <tableColumns count="23">
    <tableColumn id="1" xr3:uid="{00000000-0010-0000-4100-000001000000}" name="County" dataDxfId="1216"/>
    <tableColumn id="2" xr3:uid="{00000000-0010-0000-4100-000002000000}" name="1996" dataDxfId="1215"/>
    <tableColumn id="3" xr3:uid="{00000000-0010-0000-4100-000003000000}" name="1997" dataDxfId="1214"/>
    <tableColumn id="4" xr3:uid="{00000000-0010-0000-4100-000004000000}" name="1998" dataDxfId="1213"/>
    <tableColumn id="5" xr3:uid="{00000000-0010-0000-4100-000005000000}" name="1999" dataDxfId="1212"/>
    <tableColumn id="6" xr3:uid="{00000000-0010-0000-4100-000006000000}" name="2000" dataDxfId="1211"/>
    <tableColumn id="7" xr3:uid="{00000000-0010-0000-4100-000007000000}" name="2001" dataDxfId="1210"/>
    <tableColumn id="8" xr3:uid="{00000000-0010-0000-4100-000008000000}" name="2002" dataDxfId="1209"/>
    <tableColumn id="9" xr3:uid="{00000000-0010-0000-4100-000009000000}" name="2003" dataDxfId="1208"/>
    <tableColumn id="10" xr3:uid="{00000000-0010-0000-4100-00000A000000}" name="2004" dataDxfId="1207"/>
    <tableColumn id="11" xr3:uid="{00000000-0010-0000-4100-00000B000000}" name="2005" dataDxfId="1206"/>
    <tableColumn id="12" xr3:uid="{00000000-0010-0000-4100-00000C000000}" name="2006" dataDxfId="1205"/>
    <tableColumn id="13" xr3:uid="{00000000-0010-0000-4100-00000D000000}" name="2007" dataDxfId="1204"/>
    <tableColumn id="14" xr3:uid="{00000000-0010-0000-4100-00000E000000}" name="2008" dataDxfId="1203"/>
    <tableColumn id="15" xr3:uid="{00000000-0010-0000-4100-00000F000000}" name="2009" dataDxfId="1202"/>
    <tableColumn id="16" xr3:uid="{00000000-0010-0000-4100-000010000000}" name="2010" dataDxfId="1201"/>
    <tableColumn id="17" xr3:uid="{00000000-0010-0000-4100-000011000000}" name="2011" dataDxfId="1200"/>
    <tableColumn id="18" xr3:uid="{00000000-0010-0000-4100-000012000000}" name="2012" dataDxfId="1199"/>
    <tableColumn id="19" xr3:uid="{00000000-0010-0000-4100-000013000000}" name="2013" dataDxfId="1198"/>
    <tableColumn id="20" xr3:uid="{00000000-0010-0000-4100-000014000000}" name="2014" dataDxfId="1197"/>
    <tableColumn id="21" xr3:uid="{00000000-0010-0000-4100-000015000000}" name="2015" dataDxfId="1196"/>
    <tableColumn id="22" xr3:uid="{00000000-0010-0000-4100-000016000000}" name="2016" dataDxfId="1195"/>
    <tableColumn id="23" xr3:uid="{00000000-0010-0000-4100-000017000000}" name="2017" dataDxfId="1194"/>
  </tableColumns>
  <tableStyleInfo name="TableStyleMedium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42000000}" name="CountyDisbursementsbyFunctionCountyClerkTable" displayName="CountyDisbursementsbyFunctionCountyClerkTable" ref="AW17:BS106" headerRowDxfId="1193" dataDxfId="1191" headerRowBorderDxfId="1192" tableBorderDxfId="1190">
  <autoFilter ref="AW17:BS106" xr:uid="{00000000-0009-0000-0100-00000C000000}"/>
  <tableColumns count="23">
    <tableColumn id="1" xr3:uid="{00000000-0010-0000-4200-000001000000}" name="County" totalsRowLabel="Total" dataDxfId="1189" totalsRowDxfId="1188"/>
    <tableColumn id="2" xr3:uid="{00000000-0010-0000-4200-000002000000}" name="1996" totalsRowFunction="custom" dataDxfId="1187" totalsRowDxfId="1186">
      <totalsRowFormula>SUM(AX18:AX106)</totalsRowFormula>
    </tableColumn>
    <tableColumn id="3" xr3:uid="{00000000-0010-0000-4200-000003000000}" name="1997" totalsRowFunction="custom" dataDxfId="1185" totalsRowDxfId="1184">
      <totalsRowFormula>SUM(AY18:AY106)</totalsRowFormula>
    </tableColumn>
    <tableColumn id="4" xr3:uid="{00000000-0010-0000-4200-000004000000}" name="1998" totalsRowFunction="custom" dataDxfId="1183" totalsRowDxfId="1182">
      <totalsRowFormula>SUM(AZ18:AZ106)</totalsRowFormula>
    </tableColumn>
    <tableColumn id="5" xr3:uid="{00000000-0010-0000-4200-000005000000}" name="1999" totalsRowFunction="custom" dataDxfId="1181" totalsRowDxfId="1180">
      <totalsRowFormula>SUM(BA18:BA106)</totalsRowFormula>
    </tableColumn>
    <tableColumn id="6" xr3:uid="{00000000-0010-0000-4200-000006000000}" name="2000" totalsRowFunction="custom" dataDxfId="1179" totalsRowDxfId="1178">
      <totalsRowFormula>SUM(BB18:BB106)</totalsRowFormula>
    </tableColumn>
    <tableColumn id="7" xr3:uid="{00000000-0010-0000-4200-000007000000}" name="2001" totalsRowFunction="custom" dataDxfId="1177" totalsRowDxfId="1176">
      <totalsRowFormula>SUM(BC18:BC106)</totalsRowFormula>
    </tableColumn>
    <tableColumn id="8" xr3:uid="{00000000-0010-0000-4200-000008000000}" name="2002" totalsRowFunction="custom" dataDxfId="1175" totalsRowDxfId="1174">
      <totalsRowFormula>SUM(BD18:BD106)</totalsRowFormula>
    </tableColumn>
    <tableColumn id="9" xr3:uid="{00000000-0010-0000-4200-000009000000}" name="2003" totalsRowFunction="custom" dataDxfId="1173" totalsRowDxfId="1172">
      <totalsRowFormula>SUM(BE18:BE106)</totalsRowFormula>
    </tableColumn>
    <tableColumn id="10" xr3:uid="{00000000-0010-0000-4200-00000A000000}" name="2004" totalsRowFunction="custom" dataDxfId="1171" totalsRowDxfId="1170">
      <totalsRowFormula>SUM(BF18:BF106)</totalsRowFormula>
    </tableColumn>
    <tableColumn id="11" xr3:uid="{00000000-0010-0000-4200-00000B000000}" name="2005" totalsRowFunction="custom" dataDxfId="1169" totalsRowDxfId="1168">
      <totalsRowFormula>SUM(BG18:BG106)</totalsRowFormula>
    </tableColumn>
    <tableColumn id="12" xr3:uid="{00000000-0010-0000-4200-00000C000000}" name="2006" totalsRowFunction="custom" dataDxfId="1167" totalsRowDxfId="1166">
      <totalsRowFormula>SUM(BH18:BH106)</totalsRowFormula>
    </tableColumn>
    <tableColumn id="13" xr3:uid="{00000000-0010-0000-4200-00000D000000}" name="2007" totalsRowFunction="custom" dataDxfId="1165" totalsRowDxfId="1164">
      <totalsRowFormula>SUM(BI18:BI106)</totalsRowFormula>
    </tableColumn>
    <tableColumn id="14" xr3:uid="{00000000-0010-0000-4200-00000E000000}" name="2008" totalsRowFunction="custom" dataDxfId="1163" totalsRowDxfId="1162">
      <totalsRowFormula>SUM(BJ18:BJ106)</totalsRowFormula>
    </tableColumn>
    <tableColumn id="15" xr3:uid="{00000000-0010-0000-4200-00000F000000}" name="2009" totalsRowFunction="custom" dataDxfId="1161" totalsRowDxfId="1160">
      <totalsRowFormula>SUM(BK18:BK106)</totalsRowFormula>
    </tableColumn>
    <tableColumn id="16" xr3:uid="{00000000-0010-0000-4200-000010000000}" name="2010" dataDxfId="1159" totalsRowDxfId="1158"/>
    <tableColumn id="17" xr3:uid="{00000000-0010-0000-4200-000011000000}" name="2011" dataDxfId="1157" totalsRowDxfId="1156"/>
    <tableColumn id="18" xr3:uid="{00000000-0010-0000-4200-000012000000}" name="2012" dataDxfId="1155" totalsRowDxfId="1154"/>
    <tableColumn id="19" xr3:uid="{00000000-0010-0000-4200-000013000000}" name="2013" dataDxfId="1153" totalsRowDxfId="1152"/>
    <tableColumn id="20" xr3:uid="{00000000-0010-0000-4200-000014000000}" name="2014" dataDxfId="1151" totalsRowDxfId="1150"/>
    <tableColumn id="21" xr3:uid="{00000000-0010-0000-4200-000015000000}" name="2015" dataDxfId="1149" totalsRowDxfId="1148"/>
    <tableColumn id="22" xr3:uid="{00000000-0010-0000-4200-000016000000}" name="2016" dataDxfId="1147"/>
    <tableColumn id="23" xr3:uid="{00000000-0010-0000-4200-000017000000}" name="2017" dataDxfId="1146"/>
  </tableColumns>
  <tableStyleInfo name="TableStyleMedium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43000000}" name="CountyDisbursementsbyFunctionElectionsTable" displayName="CountyDisbursementsbyFunctionElectionsTable" ref="BU17:CQ106" totalsRowShown="0" headerRowDxfId="1145" dataDxfId="1143" headerRowBorderDxfId="1144" tableBorderDxfId="1142">
  <autoFilter ref="BU17:CQ106" xr:uid="{00000000-0009-0000-0100-00000D000000}"/>
  <tableColumns count="23">
    <tableColumn id="1" xr3:uid="{00000000-0010-0000-4300-000001000000}" name="County" dataDxfId="1141"/>
    <tableColumn id="2" xr3:uid="{00000000-0010-0000-4300-000002000000}" name="1996" dataDxfId="1140"/>
    <tableColumn id="3" xr3:uid="{00000000-0010-0000-4300-000003000000}" name="1997" dataDxfId="1139"/>
    <tableColumn id="4" xr3:uid="{00000000-0010-0000-4300-000004000000}" name="1998" dataDxfId="1138"/>
    <tableColumn id="5" xr3:uid="{00000000-0010-0000-4300-000005000000}" name="1999" dataDxfId="1137"/>
    <tableColumn id="6" xr3:uid="{00000000-0010-0000-4300-000006000000}" name="2000" dataDxfId="1136"/>
    <tableColumn id="7" xr3:uid="{00000000-0010-0000-4300-000007000000}" name="2001" dataDxfId="1135"/>
    <tableColumn id="8" xr3:uid="{00000000-0010-0000-4300-000008000000}" name="2002" dataDxfId="1134"/>
    <tableColumn id="9" xr3:uid="{00000000-0010-0000-4300-000009000000}" name="2003" dataDxfId="1133"/>
    <tableColumn id="10" xr3:uid="{00000000-0010-0000-4300-00000A000000}" name="2004" dataDxfId="1132"/>
    <tableColumn id="11" xr3:uid="{00000000-0010-0000-4300-00000B000000}" name="2005" dataDxfId="1131"/>
    <tableColumn id="12" xr3:uid="{00000000-0010-0000-4300-00000C000000}" name="2006" dataDxfId="1130"/>
    <tableColumn id="13" xr3:uid="{00000000-0010-0000-4300-00000D000000}" name="2007" dataDxfId="1129"/>
    <tableColumn id="14" xr3:uid="{00000000-0010-0000-4300-00000E000000}" name="2008" dataDxfId="1128"/>
    <tableColumn id="15" xr3:uid="{00000000-0010-0000-4300-00000F000000}" name="2009" dataDxfId="1127"/>
    <tableColumn id="16" xr3:uid="{00000000-0010-0000-4300-000010000000}" name="2010" dataDxfId="1126"/>
    <tableColumn id="17" xr3:uid="{00000000-0010-0000-4300-000011000000}" name="2011" dataDxfId="1125"/>
    <tableColumn id="18" xr3:uid="{00000000-0010-0000-4300-000012000000}" name="2012" dataDxfId="1124"/>
    <tableColumn id="19" xr3:uid="{00000000-0010-0000-4300-000013000000}" name="2013" dataDxfId="1123"/>
    <tableColumn id="20" xr3:uid="{00000000-0010-0000-4300-000014000000}" name="2014" dataDxfId="1122"/>
    <tableColumn id="21" xr3:uid="{00000000-0010-0000-4300-000015000000}" name="2015" dataDxfId="1121"/>
    <tableColumn id="22" xr3:uid="{00000000-0010-0000-4300-000016000000}" name="2016" dataDxfId="1120"/>
    <tableColumn id="23" xr3:uid="{00000000-0010-0000-4300-000017000000}" name="2017" dataDxfId="1119"/>
  </tableColumns>
  <tableStyleInfo name="TableStyleMedium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44000000}" name="CountyDisbursementsbyFunctionBuildingsandGroundsTable" displayName="CountyDisbursementsbyFunctionBuildingsandGroundsTable" ref="CS17:DO106" totalsRowShown="0" headerRowDxfId="1118" dataDxfId="1116" headerRowBorderDxfId="1117" tableBorderDxfId="1115">
  <autoFilter ref="CS17:DO106" xr:uid="{00000000-0009-0000-0100-00000E000000}"/>
  <tableColumns count="23">
    <tableColumn id="1" xr3:uid="{00000000-0010-0000-4400-000001000000}" name="County" dataDxfId="1114"/>
    <tableColumn id="2" xr3:uid="{00000000-0010-0000-4400-000002000000}" name="1996" dataDxfId="1113"/>
    <tableColumn id="3" xr3:uid="{00000000-0010-0000-4400-000003000000}" name="1997" dataDxfId="1112"/>
    <tableColumn id="4" xr3:uid="{00000000-0010-0000-4400-000004000000}" name="1998" dataDxfId="1111"/>
    <tableColumn id="5" xr3:uid="{00000000-0010-0000-4400-000005000000}" name="1999" dataDxfId="1110"/>
    <tableColumn id="6" xr3:uid="{00000000-0010-0000-4400-000006000000}" name="2000" dataDxfId="1109"/>
    <tableColumn id="7" xr3:uid="{00000000-0010-0000-4400-000007000000}" name="2001" dataDxfId="1108"/>
    <tableColumn id="8" xr3:uid="{00000000-0010-0000-4400-000008000000}" name="2002" dataDxfId="1107"/>
    <tableColumn id="9" xr3:uid="{00000000-0010-0000-4400-000009000000}" name="2003" dataDxfId="1106"/>
    <tableColumn id="10" xr3:uid="{00000000-0010-0000-4400-00000A000000}" name="2004" dataDxfId="1105"/>
    <tableColumn id="11" xr3:uid="{00000000-0010-0000-4400-00000B000000}" name="2005" dataDxfId="1104"/>
    <tableColumn id="12" xr3:uid="{00000000-0010-0000-4400-00000C000000}" name="2006" dataDxfId="1103"/>
    <tableColumn id="13" xr3:uid="{00000000-0010-0000-4400-00000D000000}" name="2007" dataDxfId="1102"/>
    <tableColumn id="14" xr3:uid="{00000000-0010-0000-4400-00000E000000}" name="2008" dataDxfId="1101"/>
    <tableColumn id="15" xr3:uid="{00000000-0010-0000-4400-00000F000000}" name="2009" dataDxfId="1100"/>
    <tableColumn id="16" xr3:uid="{00000000-0010-0000-4400-000010000000}" name="2010" dataDxfId="1099"/>
    <tableColumn id="17" xr3:uid="{00000000-0010-0000-4400-000011000000}" name="2011" dataDxfId="1098"/>
    <tableColumn id="18" xr3:uid="{00000000-0010-0000-4400-000012000000}" name="2012" dataDxfId="1097"/>
    <tableColumn id="19" xr3:uid="{00000000-0010-0000-4400-000013000000}" name="2013" dataDxfId="1096"/>
    <tableColumn id="20" xr3:uid="{00000000-0010-0000-4400-000014000000}" name="2014" dataDxfId="1095"/>
    <tableColumn id="21" xr3:uid="{00000000-0010-0000-4400-000015000000}" name="2015" dataDxfId="1094"/>
    <tableColumn id="22" xr3:uid="{00000000-0010-0000-4400-000016000000}" name="2016" dataDxfId="1093"/>
    <tableColumn id="23" xr3:uid="{00000000-0010-0000-4400-000017000000}" name="2017" dataDxfId="1092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CountyAllYearsTaxBases" displayName="CountyAllYearsTaxBases" ref="A11:W13" totalsRowShown="0" headerRowDxfId="2490">
  <autoFilter ref="A11:W13" xr:uid="{00000000-0009-0000-0100-00002C000000}"/>
  <tableColumns count="23">
    <tableColumn id="1" xr3:uid="{00000000-0010-0000-0600-000001000000}" name="Category" dataDxfId="2489"/>
    <tableColumn id="2" xr3:uid="{00000000-0010-0000-0600-000002000000}" name="1996">
      <calculatedColumnFormula>VLOOKUP($A$3,'Sales Base'!$A$10:$R$98,2)</calculatedColumnFormula>
    </tableColumn>
    <tableColumn id="3" xr3:uid="{00000000-0010-0000-0600-000003000000}" name="1997">
      <calculatedColumnFormula>VLOOKUP($A$3,'Sales Base'!$A$10:$R$98,3)</calculatedColumnFormula>
    </tableColumn>
    <tableColumn id="4" xr3:uid="{00000000-0010-0000-0600-000004000000}" name="1998">
      <calculatedColumnFormula>VLOOKUP($A$3,'Sales Base'!$A$10:$R$98,4)</calculatedColumnFormula>
    </tableColumn>
    <tableColumn id="5" xr3:uid="{00000000-0010-0000-0600-000005000000}" name="1999">
      <calculatedColumnFormula>VLOOKUP($A$3,'Sales Base'!$A$10:$R$98,5)</calculatedColumnFormula>
    </tableColumn>
    <tableColumn id="6" xr3:uid="{00000000-0010-0000-0600-000006000000}" name="2000">
      <calculatedColumnFormula>VLOOKUP($A$3,'Sales Base'!$A$10:$R$98,6)</calculatedColumnFormula>
    </tableColumn>
    <tableColumn id="7" xr3:uid="{00000000-0010-0000-0600-000007000000}" name="2001">
      <calculatedColumnFormula>VLOOKUP($A$3,'Sales Base'!$A$10:$R$98,7)</calculatedColumnFormula>
    </tableColumn>
    <tableColumn id="8" xr3:uid="{00000000-0010-0000-0600-000008000000}" name="2002">
      <calculatedColumnFormula>VLOOKUP($A$3,'Sales Base'!$A$10:$R$98,8)</calculatedColumnFormula>
    </tableColumn>
    <tableColumn id="9" xr3:uid="{00000000-0010-0000-0600-000009000000}" name="2003">
      <calculatedColumnFormula>VLOOKUP($A$3,'Sales Base'!$A$10:$R$98,9)</calculatedColumnFormula>
    </tableColumn>
    <tableColumn id="10" xr3:uid="{00000000-0010-0000-0600-00000A000000}" name="2004">
      <calculatedColumnFormula>VLOOKUP($A$3,'Sales Base'!$A$10:$R$98,10)</calculatedColumnFormula>
    </tableColumn>
    <tableColumn id="11" xr3:uid="{00000000-0010-0000-0600-00000B000000}" name="2005">
      <calculatedColumnFormula>VLOOKUP($A$3,'Sales Base'!$A$10:$R$98,11)</calculatedColumnFormula>
    </tableColumn>
    <tableColumn id="12" xr3:uid="{00000000-0010-0000-0600-00000C000000}" name="2006">
      <calculatedColumnFormula>VLOOKUP($A$3,'Sales Base'!$A$10:$R$98,12)</calculatedColumnFormula>
    </tableColumn>
    <tableColumn id="13" xr3:uid="{00000000-0010-0000-0600-00000D000000}" name="2007">
      <calculatedColumnFormula>VLOOKUP($A$3,'Sales Base'!$A$10:$R$98,13)</calculatedColumnFormula>
    </tableColumn>
    <tableColumn id="14" xr3:uid="{00000000-0010-0000-0600-00000E000000}" name="2008">
      <calculatedColumnFormula>VLOOKUP($A$3,'Sales Base'!$A$10:$R$98,14)</calculatedColumnFormula>
    </tableColumn>
    <tableColumn id="15" xr3:uid="{00000000-0010-0000-0600-00000F000000}" name="2009">
      <calculatedColumnFormula>VLOOKUP($A$3,'Sales Base'!$A$10:$R$98,15)</calculatedColumnFormula>
    </tableColumn>
    <tableColumn id="16" xr3:uid="{00000000-0010-0000-0600-000010000000}" name="2010">
      <calculatedColumnFormula>VLOOKUP($A$3,'Sales Base'!$A$10:$R$98,16)</calculatedColumnFormula>
    </tableColumn>
    <tableColumn id="17" xr3:uid="{00000000-0010-0000-0600-000011000000}" name="2011">
      <calculatedColumnFormula>VLOOKUP($A$3,'Sales Base'!$A$10:$R$98,17)</calculatedColumnFormula>
    </tableColumn>
    <tableColumn id="18" xr3:uid="{00000000-0010-0000-0600-000012000000}" name="2012">
      <calculatedColumnFormula>VLOOKUP($A$3,'Sales Base'!$A$10:$R$98,18)</calculatedColumnFormula>
    </tableColumn>
    <tableColumn id="19" xr3:uid="{00000000-0010-0000-0600-000013000000}" name="2013">
      <calculatedColumnFormula>INDEX(SalesBaseTaxableSalesTable[],MATCH($A$3,SalesBaseTaxableSalesTable[County]),MATCH(S10,SalesBaseTaxableSalesTable[#Headers]))</calculatedColumnFormula>
    </tableColumn>
    <tableColumn id="20" xr3:uid="{00000000-0010-0000-0600-000014000000}" name="2014"/>
    <tableColumn id="21" xr3:uid="{00000000-0010-0000-0600-000015000000}" name="2015"/>
    <tableColumn id="22" xr3:uid="{00000000-0010-0000-0600-000016000000}" name="2016"/>
    <tableColumn id="23" xr3:uid="{00000000-0010-0000-0600-000017000000}" name="2017"/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45000000}" name="CountyDisbursementsbyFunctionFringeBenefitsTable" displayName="CountyDisbursementsbyFunctionFringeBenefitsTable" ref="DQ17:EM106" totalsRowShown="0" headerRowDxfId="1091" dataDxfId="1089" headerRowBorderDxfId="1090" tableBorderDxfId="1088">
  <autoFilter ref="DQ17:EM106" xr:uid="{00000000-0009-0000-0100-00000F000000}"/>
  <tableColumns count="23">
    <tableColumn id="1" xr3:uid="{00000000-0010-0000-4500-000001000000}" name="County" dataDxfId="1087"/>
    <tableColumn id="2" xr3:uid="{00000000-0010-0000-4500-000002000000}" name="1996" dataDxfId="1086"/>
    <tableColumn id="3" xr3:uid="{00000000-0010-0000-4500-000003000000}" name="1997" dataDxfId="1085"/>
    <tableColumn id="4" xr3:uid="{00000000-0010-0000-4500-000004000000}" name="1998" dataDxfId="1084"/>
    <tableColumn id="5" xr3:uid="{00000000-0010-0000-4500-000005000000}" name="1999" dataDxfId="1083"/>
    <tableColumn id="6" xr3:uid="{00000000-0010-0000-4500-000006000000}" name="2000" dataDxfId="1082"/>
    <tableColumn id="7" xr3:uid="{00000000-0010-0000-4500-000007000000}" name="2001" dataDxfId="1081"/>
    <tableColumn id="8" xr3:uid="{00000000-0010-0000-4500-000008000000}" name="2002" dataDxfId="1080"/>
    <tableColumn id="9" xr3:uid="{00000000-0010-0000-4500-000009000000}" name="2003" dataDxfId="1079"/>
    <tableColumn id="10" xr3:uid="{00000000-0010-0000-4500-00000A000000}" name="2004" dataDxfId="1078"/>
    <tableColumn id="11" xr3:uid="{00000000-0010-0000-4500-00000B000000}" name="2005" dataDxfId="1077"/>
    <tableColumn id="12" xr3:uid="{00000000-0010-0000-4500-00000C000000}" name="2006" dataDxfId="1076"/>
    <tableColumn id="13" xr3:uid="{00000000-0010-0000-4500-00000D000000}" name="2007" dataDxfId="1075"/>
    <tableColumn id="14" xr3:uid="{00000000-0010-0000-4500-00000E000000}" name="2008" dataDxfId="1074"/>
    <tableColumn id="15" xr3:uid="{00000000-0010-0000-4500-00000F000000}" name="2009" dataDxfId="1073"/>
    <tableColumn id="16" xr3:uid="{00000000-0010-0000-4500-000010000000}" name="2010" dataDxfId="1072"/>
    <tableColumn id="17" xr3:uid="{00000000-0010-0000-4500-000011000000}" name="2011" dataDxfId="1071"/>
    <tableColumn id="18" xr3:uid="{00000000-0010-0000-4500-000012000000}" name="2012" dataDxfId="1070"/>
    <tableColumn id="19" xr3:uid="{00000000-0010-0000-4500-000013000000}" name="2013" dataDxfId="1069"/>
    <tableColumn id="20" xr3:uid="{00000000-0010-0000-4500-000014000000}" name="2014" dataDxfId="1068"/>
    <tableColumn id="21" xr3:uid="{00000000-0010-0000-4500-000015000000}" name="2015" dataDxfId="1067"/>
    <tableColumn id="22" xr3:uid="{00000000-0010-0000-4500-000016000000}" name="2016" dataDxfId="1066"/>
    <tableColumn id="23" xr3:uid="{00000000-0010-0000-4500-000017000000}" name="2017" dataDxfId="1065"/>
  </tableColumns>
  <tableStyleInfo name="TableStyleMedium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46000000}" name="CountyDisbursementsbyFunctionTreasurerTable" displayName="CountyDisbursementsbyFunctionTreasurerTable" ref="EO17:FK106" totalsRowShown="0" headerRowDxfId="1064" dataDxfId="1062" headerRowBorderDxfId="1063" tableBorderDxfId="1061">
  <autoFilter ref="EO17:FK106" xr:uid="{00000000-0009-0000-0100-000010000000}"/>
  <tableColumns count="23">
    <tableColumn id="1" xr3:uid="{00000000-0010-0000-4600-000001000000}" name="County" dataDxfId="1060"/>
    <tableColumn id="2" xr3:uid="{00000000-0010-0000-4600-000002000000}" name="1996" dataDxfId="1059"/>
    <tableColumn id="3" xr3:uid="{00000000-0010-0000-4600-000003000000}" name="1997" dataDxfId="1058"/>
    <tableColumn id="4" xr3:uid="{00000000-0010-0000-4600-000004000000}" name="1998" dataDxfId="1057"/>
    <tableColumn id="5" xr3:uid="{00000000-0010-0000-4600-000005000000}" name="1999" dataDxfId="1056"/>
    <tableColumn id="6" xr3:uid="{00000000-0010-0000-4600-000006000000}" name="2000" dataDxfId="1055"/>
    <tableColumn id="7" xr3:uid="{00000000-0010-0000-4600-000007000000}" name="2001" dataDxfId="1054"/>
    <tableColumn id="8" xr3:uid="{00000000-0010-0000-4600-000008000000}" name="2002" dataDxfId="1053"/>
    <tableColumn id="9" xr3:uid="{00000000-0010-0000-4600-000009000000}" name="2003" dataDxfId="1052"/>
    <tableColumn id="10" xr3:uid="{00000000-0010-0000-4600-00000A000000}" name="2004" dataDxfId="1051"/>
    <tableColumn id="11" xr3:uid="{00000000-0010-0000-4600-00000B000000}" name="2005" dataDxfId="1050"/>
    <tableColumn id="12" xr3:uid="{00000000-0010-0000-4600-00000C000000}" name="2006" dataDxfId="1049"/>
    <tableColumn id="13" xr3:uid="{00000000-0010-0000-4600-00000D000000}" name="2007" dataDxfId="1048"/>
    <tableColumn id="14" xr3:uid="{00000000-0010-0000-4600-00000E000000}" name="2008" dataDxfId="1047"/>
    <tableColumn id="15" xr3:uid="{00000000-0010-0000-4600-00000F000000}" name="2009" dataDxfId="1046"/>
    <tableColumn id="16" xr3:uid="{00000000-0010-0000-4600-000010000000}" name="2010" dataDxfId="1045"/>
    <tableColumn id="17" xr3:uid="{00000000-0010-0000-4600-000011000000}" name="2011" dataDxfId="1044"/>
    <tableColumn id="18" xr3:uid="{00000000-0010-0000-4600-000012000000}" name="2012" dataDxfId="1043"/>
    <tableColumn id="19" xr3:uid="{00000000-0010-0000-4600-000013000000}" name="2013" dataDxfId="1042"/>
    <tableColumn id="20" xr3:uid="{00000000-0010-0000-4600-000014000000}" name="2014" dataDxfId="1041"/>
    <tableColumn id="21" xr3:uid="{00000000-0010-0000-4600-000015000000}" name="2015" dataDxfId="1040"/>
    <tableColumn id="22" xr3:uid="{00000000-0010-0000-4600-000016000000}" name="2016" dataDxfId="1039"/>
    <tableColumn id="23" xr3:uid="{00000000-0010-0000-4600-000017000000}" name="2017" dataDxfId="1038"/>
  </tableColumns>
  <tableStyleInfo name="TableStyleMedium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47000000}" name="CountyDisbursementsbyFunctionCollectorTable" displayName="CountyDisbursementsbyFunctionCollectorTable" ref="FM17:GI106" totalsRowShown="0" headerRowDxfId="1037" dataDxfId="1035" headerRowBorderDxfId="1036" tableBorderDxfId="1034">
  <autoFilter ref="FM17:GI106" xr:uid="{00000000-0009-0000-0100-000011000000}"/>
  <tableColumns count="23">
    <tableColumn id="1" xr3:uid="{00000000-0010-0000-4700-000001000000}" name="County" dataDxfId="1033"/>
    <tableColumn id="2" xr3:uid="{00000000-0010-0000-4700-000002000000}" name="1996" dataDxfId="1032"/>
    <tableColumn id="3" xr3:uid="{00000000-0010-0000-4700-000003000000}" name="1997" dataDxfId="1031"/>
    <tableColumn id="4" xr3:uid="{00000000-0010-0000-4700-000004000000}" name="1998" dataDxfId="1030"/>
    <tableColumn id="5" xr3:uid="{00000000-0010-0000-4700-000005000000}" name="1999" dataDxfId="1029"/>
    <tableColumn id="6" xr3:uid="{00000000-0010-0000-4700-000006000000}" name="2000" dataDxfId="1028"/>
    <tableColumn id="7" xr3:uid="{00000000-0010-0000-4700-000007000000}" name="2001" dataDxfId="1027"/>
    <tableColumn id="8" xr3:uid="{00000000-0010-0000-4700-000008000000}" name="2002" dataDxfId="1026"/>
    <tableColumn id="9" xr3:uid="{00000000-0010-0000-4700-000009000000}" name="2003" dataDxfId="1025"/>
    <tableColumn id="10" xr3:uid="{00000000-0010-0000-4700-00000A000000}" name="2004" dataDxfId="1024"/>
    <tableColumn id="11" xr3:uid="{00000000-0010-0000-4700-00000B000000}" name="2005" dataDxfId="1023"/>
    <tableColumn id="12" xr3:uid="{00000000-0010-0000-4700-00000C000000}" name="2006" dataDxfId="1022"/>
    <tableColumn id="13" xr3:uid="{00000000-0010-0000-4700-00000D000000}" name="2007" dataDxfId="1021"/>
    <tableColumn id="14" xr3:uid="{00000000-0010-0000-4700-00000E000000}" name="2008" dataDxfId="1020"/>
    <tableColumn id="15" xr3:uid="{00000000-0010-0000-4700-00000F000000}" name="2009" dataDxfId="1019"/>
    <tableColumn id="16" xr3:uid="{00000000-0010-0000-4700-000010000000}" name="2010" dataDxfId="1018"/>
    <tableColumn id="17" xr3:uid="{00000000-0010-0000-4700-000011000000}" name="2011" dataDxfId="1017"/>
    <tableColumn id="18" xr3:uid="{00000000-0010-0000-4700-000012000000}" name="2012" dataDxfId="1016"/>
    <tableColumn id="19" xr3:uid="{00000000-0010-0000-4700-000013000000}" name="2013" dataDxfId="1015"/>
    <tableColumn id="20" xr3:uid="{00000000-0010-0000-4700-000014000000}" name="2014" dataDxfId="1014"/>
    <tableColumn id="21" xr3:uid="{00000000-0010-0000-4700-000015000000}" name="2015" dataDxfId="1013"/>
    <tableColumn id="22" xr3:uid="{00000000-0010-0000-4700-000016000000}" name="2016" dataDxfId="1012"/>
    <tableColumn id="23" xr3:uid="{00000000-0010-0000-4700-000017000000}" name="2017" dataDxfId="1011"/>
  </tableColumns>
  <tableStyleInfo name="TableStyleMedium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48000000}" name="CountyDisbursementsbyFunctionRecorderTable" displayName="CountyDisbursementsbyFunctionRecorderTable" ref="GK17:HG106" totalsRowShown="0" headerRowDxfId="1010" dataDxfId="1008" headerRowBorderDxfId="1009" tableBorderDxfId="1007">
  <autoFilter ref="GK17:HG106" xr:uid="{00000000-0009-0000-0100-000012000000}"/>
  <tableColumns count="23">
    <tableColumn id="1" xr3:uid="{00000000-0010-0000-4800-000001000000}" name="County" dataDxfId="1006"/>
    <tableColumn id="2" xr3:uid="{00000000-0010-0000-4800-000002000000}" name="1996" dataDxfId="1005"/>
    <tableColumn id="3" xr3:uid="{00000000-0010-0000-4800-000003000000}" name="1997" dataDxfId="1004"/>
    <tableColumn id="4" xr3:uid="{00000000-0010-0000-4800-000004000000}" name="1998" dataDxfId="1003"/>
    <tableColumn id="5" xr3:uid="{00000000-0010-0000-4800-000005000000}" name="1999" dataDxfId="1002"/>
    <tableColumn id="6" xr3:uid="{00000000-0010-0000-4800-000006000000}" name="2000" dataDxfId="1001"/>
    <tableColumn id="7" xr3:uid="{00000000-0010-0000-4800-000007000000}" name="2001" dataDxfId="1000"/>
    <tableColumn id="8" xr3:uid="{00000000-0010-0000-4800-000008000000}" name="2002" dataDxfId="999"/>
    <tableColumn id="9" xr3:uid="{00000000-0010-0000-4800-000009000000}" name="2003" dataDxfId="998"/>
    <tableColumn id="10" xr3:uid="{00000000-0010-0000-4800-00000A000000}" name="2004" dataDxfId="997"/>
    <tableColumn id="11" xr3:uid="{00000000-0010-0000-4800-00000B000000}" name="2005" dataDxfId="996"/>
    <tableColumn id="12" xr3:uid="{00000000-0010-0000-4800-00000C000000}" name="2006" dataDxfId="995"/>
    <tableColumn id="13" xr3:uid="{00000000-0010-0000-4800-00000D000000}" name="2007" dataDxfId="994"/>
    <tableColumn id="14" xr3:uid="{00000000-0010-0000-4800-00000E000000}" name="2008" dataDxfId="993"/>
    <tableColumn id="15" xr3:uid="{00000000-0010-0000-4800-00000F000000}" name="2009" dataDxfId="992"/>
    <tableColumn id="16" xr3:uid="{00000000-0010-0000-4800-000010000000}" name="2010" dataDxfId="991"/>
    <tableColumn id="17" xr3:uid="{00000000-0010-0000-4800-000011000000}" name="2011" dataDxfId="990"/>
    <tableColumn id="18" xr3:uid="{00000000-0010-0000-4800-000012000000}" name="2012" dataDxfId="989"/>
    <tableColumn id="19" xr3:uid="{00000000-0010-0000-4800-000013000000}" name="2013" dataDxfId="988"/>
    <tableColumn id="20" xr3:uid="{00000000-0010-0000-4800-000014000000}" name="2014" dataDxfId="987"/>
    <tableColumn id="21" xr3:uid="{00000000-0010-0000-4800-000015000000}" name="2015" dataDxfId="986"/>
    <tableColumn id="22" xr3:uid="{00000000-0010-0000-4800-000016000000}" name="2016" dataDxfId="985"/>
    <tableColumn id="23" xr3:uid="{00000000-0010-0000-4800-000017000000}" name="2017" dataDxfId="984"/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49000000}" name="CountyDisbursementsbyFunctionCircuitClerkTable" displayName="CountyDisbursementsbyFunctionCircuitClerkTable" ref="HI17:IE106" totalsRowShown="0" headerRowDxfId="983" dataDxfId="981" headerRowBorderDxfId="982" tableBorderDxfId="980">
  <autoFilter ref="HI17:IE106" xr:uid="{00000000-0009-0000-0100-000013000000}"/>
  <tableColumns count="23">
    <tableColumn id="1" xr3:uid="{00000000-0010-0000-4900-000001000000}" name="County" dataDxfId="979"/>
    <tableColumn id="2" xr3:uid="{00000000-0010-0000-4900-000002000000}" name="1996" dataDxfId="978"/>
    <tableColumn id="3" xr3:uid="{00000000-0010-0000-4900-000003000000}" name="1997" dataDxfId="977"/>
    <tableColumn id="4" xr3:uid="{00000000-0010-0000-4900-000004000000}" name="1998" dataDxfId="976"/>
    <tableColumn id="5" xr3:uid="{00000000-0010-0000-4900-000005000000}" name="1999" dataDxfId="975"/>
    <tableColumn id="6" xr3:uid="{00000000-0010-0000-4900-000006000000}" name="2000" dataDxfId="974"/>
    <tableColumn id="7" xr3:uid="{00000000-0010-0000-4900-000007000000}" name="2001" dataDxfId="973"/>
    <tableColumn id="8" xr3:uid="{00000000-0010-0000-4900-000008000000}" name="2002" dataDxfId="972"/>
    <tableColumn id="9" xr3:uid="{00000000-0010-0000-4900-000009000000}" name="2003" dataDxfId="971"/>
    <tableColumn id="10" xr3:uid="{00000000-0010-0000-4900-00000A000000}" name="2004" dataDxfId="970"/>
    <tableColumn id="11" xr3:uid="{00000000-0010-0000-4900-00000B000000}" name="2005" dataDxfId="969"/>
    <tableColumn id="12" xr3:uid="{00000000-0010-0000-4900-00000C000000}" name="2006" dataDxfId="968"/>
    <tableColumn id="13" xr3:uid="{00000000-0010-0000-4900-00000D000000}" name="2007" dataDxfId="967"/>
    <tableColumn id="14" xr3:uid="{00000000-0010-0000-4900-00000E000000}" name="2008" dataDxfId="966"/>
    <tableColumn id="15" xr3:uid="{00000000-0010-0000-4900-00000F000000}" name="2009" dataDxfId="965"/>
    <tableColumn id="16" xr3:uid="{00000000-0010-0000-4900-000010000000}" name="2010" dataDxfId="964"/>
    <tableColumn id="17" xr3:uid="{00000000-0010-0000-4900-000011000000}" name="2011" dataDxfId="963"/>
    <tableColumn id="18" xr3:uid="{00000000-0010-0000-4900-000012000000}" name="2012" dataDxfId="962"/>
    <tableColumn id="19" xr3:uid="{00000000-0010-0000-4900-000013000000}" name="2013" dataDxfId="961"/>
    <tableColumn id="20" xr3:uid="{00000000-0010-0000-4900-000014000000}" name="2014" dataDxfId="960"/>
    <tableColumn id="21" xr3:uid="{00000000-0010-0000-4900-000015000000}" name="2015" dataDxfId="959"/>
    <tableColumn id="22" xr3:uid="{00000000-0010-0000-4900-000016000000}" name="2016" dataDxfId="958"/>
    <tableColumn id="23" xr3:uid="{00000000-0010-0000-4900-000017000000}" name="2017" dataDxfId="957"/>
  </tableColumns>
  <tableStyleInfo name="TableStyleMedium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4A000000}" name="CountyDisbursementsbyFunctionAssociateCircuitTable" displayName="CountyDisbursementsbyFunctionAssociateCircuitTable" ref="IG17:JC106" totalsRowShown="0" headerRowDxfId="956" dataDxfId="954" headerRowBorderDxfId="955" tableBorderDxfId="953">
  <autoFilter ref="IG17:JC106" xr:uid="{00000000-0009-0000-0100-000014000000}"/>
  <tableColumns count="23">
    <tableColumn id="1" xr3:uid="{00000000-0010-0000-4A00-000001000000}" name="County" dataDxfId="952"/>
    <tableColumn id="2" xr3:uid="{00000000-0010-0000-4A00-000002000000}" name="1996" dataDxfId="951"/>
    <tableColumn id="3" xr3:uid="{00000000-0010-0000-4A00-000003000000}" name="1997" dataDxfId="950"/>
    <tableColumn id="4" xr3:uid="{00000000-0010-0000-4A00-000004000000}" name="1998" dataDxfId="949"/>
    <tableColumn id="5" xr3:uid="{00000000-0010-0000-4A00-000005000000}" name="1999" dataDxfId="948"/>
    <tableColumn id="6" xr3:uid="{00000000-0010-0000-4A00-000006000000}" name="2000" dataDxfId="947"/>
    <tableColumn id="7" xr3:uid="{00000000-0010-0000-4A00-000007000000}" name="2001" dataDxfId="946"/>
    <tableColumn id="8" xr3:uid="{00000000-0010-0000-4A00-000008000000}" name="2002" dataDxfId="945"/>
    <tableColumn id="9" xr3:uid="{00000000-0010-0000-4A00-000009000000}" name="2003" dataDxfId="944"/>
    <tableColumn id="10" xr3:uid="{00000000-0010-0000-4A00-00000A000000}" name="2004" dataDxfId="943"/>
    <tableColumn id="11" xr3:uid="{00000000-0010-0000-4A00-00000B000000}" name="2005" dataDxfId="942"/>
    <tableColumn id="12" xr3:uid="{00000000-0010-0000-4A00-00000C000000}" name="2006" dataDxfId="941"/>
    <tableColumn id="13" xr3:uid="{00000000-0010-0000-4A00-00000D000000}" name="2007" dataDxfId="940"/>
    <tableColumn id="14" xr3:uid="{00000000-0010-0000-4A00-00000E000000}" name="2008" dataDxfId="939"/>
    <tableColumn id="15" xr3:uid="{00000000-0010-0000-4A00-00000F000000}" name="2009" dataDxfId="938"/>
    <tableColumn id="16" xr3:uid="{00000000-0010-0000-4A00-000010000000}" name="2010" dataDxfId="937"/>
    <tableColumn id="17" xr3:uid="{00000000-0010-0000-4A00-000011000000}" name="2011" dataDxfId="936"/>
    <tableColumn id="18" xr3:uid="{00000000-0010-0000-4A00-000012000000}" name="2012" dataDxfId="935"/>
    <tableColumn id="19" xr3:uid="{00000000-0010-0000-4A00-000013000000}" name="2013" dataDxfId="934"/>
    <tableColumn id="20" xr3:uid="{00000000-0010-0000-4A00-000014000000}" name="2014" dataDxfId="933"/>
    <tableColumn id="21" xr3:uid="{00000000-0010-0000-4A00-000015000000}" name="2015" dataDxfId="932"/>
    <tableColumn id="22" xr3:uid="{00000000-0010-0000-4A00-000016000000}" name="2016" dataDxfId="931"/>
    <tableColumn id="23" xr3:uid="{00000000-0010-0000-4A00-000017000000}" name="2017" dataDxfId="930"/>
  </tableColumns>
  <tableStyleInfo name="TableStyleMedium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4B000000}" name="CountyDisbursementsbyFunctionCourtAdministrationTable" displayName="CountyDisbursementsbyFunctionCourtAdministrationTable" ref="JE17:KA106" totalsRowShown="0" headerRowDxfId="929" dataDxfId="927" headerRowBorderDxfId="928" tableBorderDxfId="926">
  <autoFilter ref="JE17:KA106" xr:uid="{00000000-0009-0000-0100-000015000000}"/>
  <tableColumns count="23">
    <tableColumn id="1" xr3:uid="{00000000-0010-0000-4B00-000001000000}" name="County" dataDxfId="925"/>
    <tableColumn id="2" xr3:uid="{00000000-0010-0000-4B00-000002000000}" name="1996" dataDxfId="924"/>
    <tableColumn id="3" xr3:uid="{00000000-0010-0000-4B00-000003000000}" name="1997" dataDxfId="923"/>
    <tableColumn id="4" xr3:uid="{00000000-0010-0000-4B00-000004000000}" name="1998" dataDxfId="922"/>
    <tableColumn id="5" xr3:uid="{00000000-0010-0000-4B00-000005000000}" name="1999" dataDxfId="921"/>
    <tableColumn id="6" xr3:uid="{00000000-0010-0000-4B00-000006000000}" name="2000" dataDxfId="920"/>
    <tableColumn id="7" xr3:uid="{00000000-0010-0000-4B00-000007000000}" name="2001" dataDxfId="919"/>
    <tableColumn id="8" xr3:uid="{00000000-0010-0000-4B00-000008000000}" name="2002" dataDxfId="918"/>
    <tableColumn id="9" xr3:uid="{00000000-0010-0000-4B00-000009000000}" name="2003" dataDxfId="917"/>
    <tableColumn id="10" xr3:uid="{00000000-0010-0000-4B00-00000A000000}" name="2004" dataDxfId="916"/>
    <tableColumn id="11" xr3:uid="{00000000-0010-0000-4B00-00000B000000}" name="2005" dataDxfId="915"/>
    <tableColumn id="12" xr3:uid="{00000000-0010-0000-4B00-00000C000000}" name="2006" dataDxfId="914"/>
    <tableColumn id="13" xr3:uid="{00000000-0010-0000-4B00-00000D000000}" name="2007" dataDxfId="913"/>
    <tableColumn id="14" xr3:uid="{00000000-0010-0000-4B00-00000E000000}" name="2008" dataDxfId="912"/>
    <tableColumn id="15" xr3:uid="{00000000-0010-0000-4B00-00000F000000}" name="2009" dataDxfId="911"/>
    <tableColumn id="16" xr3:uid="{00000000-0010-0000-4B00-000010000000}" name="2010" dataDxfId="910"/>
    <tableColumn id="17" xr3:uid="{00000000-0010-0000-4B00-000011000000}" name="2011" dataDxfId="909"/>
    <tableColumn id="18" xr3:uid="{00000000-0010-0000-4B00-000012000000}" name="2012" dataDxfId="908"/>
    <tableColumn id="19" xr3:uid="{00000000-0010-0000-4B00-000013000000}" name="2013" dataDxfId="907"/>
    <tableColumn id="20" xr3:uid="{00000000-0010-0000-4B00-000014000000}" name="2014" dataDxfId="906"/>
    <tableColumn id="21" xr3:uid="{00000000-0010-0000-4B00-000015000000}" name="2015" dataDxfId="905"/>
    <tableColumn id="22" xr3:uid="{00000000-0010-0000-4B00-000016000000}" name="2016" dataDxfId="904"/>
    <tableColumn id="23" xr3:uid="{00000000-0010-0000-4B00-000017000000}" name="2017" dataDxfId="903"/>
  </tableColumns>
  <tableStyleInfo name="TableStyleMedium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4C000000}" name="CountyDisbursementsbyFunctionPublicAdministratorTable" displayName="CountyDisbursementsbyFunctionPublicAdministratorTable" ref="KC17:KY106" totalsRowShown="0" headerRowDxfId="902" dataDxfId="900" headerRowBorderDxfId="901" tableBorderDxfId="899">
  <autoFilter ref="KC17:KY106" xr:uid="{00000000-0009-0000-0100-000016000000}"/>
  <tableColumns count="23">
    <tableColumn id="1" xr3:uid="{00000000-0010-0000-4C00-000001000000}" name="County" dataDxfId="898"/>
    <tableColumn id="2" xr3:uid="{00000000-0010-0000-4C00-000002000000}" name="1996" dataDxfId="897"/>
    <tableColumn id="3" xr3:uid="{00000000-0010-0000-4C00-000003000000}" name="1997" dataDxfId="896"/>
    <tableColumn id="4" xr3:uid="{00000000-0010-0000-4C00-000004000000}" name="1998" dataDxfId="895"/>
    <tableColumn id="5" xr3:uid="{00000000-0010-0000-4C00-000005000000}" name="1999" dataDxfId="894"/>
    <tableColumn id="6" xr3:uid="{00000000-0010-0000-4C00-000006000000}" name="2000" dataDxfId="893"/>
    <tableColumn id="7" xr3:uid="{00000000-0010-0000-4C00-000007000000}" name="2001" dataDxfId="892"/>
    <tableColumn id="8" xr3:uid="{00000000-0010-0000-4C00-000008000000}" name="2002" dataDxfId="891"/>
    <tableColumn id="9" xr3:uid="{00000000-0010-0000-4C00-000009000000}" name="2003" dataDxfId="890"/>
    <tableColumn id="10" xr3:uid="{00000000-0010-0000-4C00-00000A000000}" name="2004" dataDxfId="889"/>
    <tableColumn id="11" xr3:uid="{00000000-0010-0000-4C00-00000B000000}" name="2005" dataDxfId="888"/>
    <tableColumn id="12" xr3:uid="{00000000-0010-0000-4C00-00000C000000}" name="2006" dataDxfId="887"/>
    <tableColumn id="13" xr3:uid="{00000000-0010-0000-4C00-00000D000000}" name="2007" dataDxfId="886"/>
    <tableColumn id="14" xr3:uid="{00000000-0010-0000-4C00-00000E000000}" name="2008" dataDxfId="885"/>
    <tableColumn id="15" xr3:uid="{00000000-0010-0000-4C00-00000F000000}" name="2009" dataDxfId="884"/>
    <tableColumn id="16" xr3:uid="{00000000-0010-0000-4C00-000010000000}" name="2010" dataDxfId="883"/>
    <tableColumn id="17" xr3:uid="{00000000-0010-0000-4C00-000011000000}" name="2011" dataDxfId="882"/>
    <tableColumn id="18" xr3:uid="{00000000-0010-0000-4C00-000012000000}" name="2012" dataDxfId="881"/>
    <tableColumn id="19" xr3:uid="{00000000-0010-0000-4C00-000013000000}" name="2013" dataDxfId="880"/>
    <tableColumn id="20" xr3:uid="{00000000-0010-0000-4C00-000014000000}" name="2014" dataDxfId="879"/>
    <tableColumn id="21" xr3:uid="{00000000-0010-0000-4C00-000015000000}" name="2015" dataDxfId="878"/>
    <tableColumn id="22" xr3:uid="{00000000-0010-0000-4C00-000016000000}" name="2016" dataDxfId="877"/>
    <tableColumn id="23" xr3:uid="{00000000-0010-0000-4C00-000017000000}" name="2017" dataDxfId="876"/>
  </tableColumns>
  <tableStyleInfo name="TableStyleMedium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4D000000}" name="CountyDisbursementsbyFunctionOtherTable" displayName="CountyDisbursementsbyFunctionOtherTable" ref="LA17:LW106" totalsRowShown="0" headerRowDxfId="875" dataDxfId="873" headerRowBorderDxfId="874" tableBorderDxfId="872">
  <autoFilter ref="LA17:LW106" xr:uid="{00000000-0009-0000-0100-000017000000}"/>
  <tableColumns count="23">
    <tableColumn id="1" xr3:uid="{00000000-0010-0000-4D00-000001000000}" name="County" dataDxfId="871"/>
    <tableColumn id="2" xr3:uid="{00000000-0010-0000-4D00-000002000000}" name="1996" dataDxfId="870"/>
    <tableColumn id="3" xr3:uid="{00000000-0010-0000-4D00-000003000000}" name="1997" dataDxfId="869"/>
    <tableColumn id="4" xr3:uid="{00000000-0010-0000-4D00-000004000000}" name="1998" dataDxfId="868"/>
    <tableColumn id="5" xr3:uid="{00000000-0010-0000-4D00-000005000000}" name="1999" dataDxfId="867"/>
    <tableColumn id="6" xr3:uid="{00000000-0010-0000-4D00-000006000000}" name="2000" dataDxfId="866"/>
    <tableColumn id="7" xr3:uid="{00000000-0010-0000-4D00-000007000000}" name="2001" dataDxfId="865"/>
    <tableColumn id="8" xr3:uid="{00000000-0010-0000-4D00-000008000000}" name="2002" dataDxfId="864"/>
    <tableColumn id="9" xr3:uid="{00000000-0010-0000-4D00-000009000000}" name="2003" dataDxfId="863"/>
    <tableColumn id="10" xr3:uid="{00000000-0010-0000-4D00-00000A000000}" name="2004" dataDxfId="862"/>
    <tableColumn id="11" xr3:uid="{00000000-0010-0000-4D00-00000B000000}" name="2005" dataDxfId="861"/>
    <tableColumn id="12" xr3:uid="{00000000-0010-0000-4D00-00000C000000}" name="2006" dataDxfId="860"/>
    <tableColumn id="13" xr3:uid="{00000000-0010-0000-4D00-00000D000000}" name="2007" dataDxfId="859"/>
    <tableColumn id="14" xr3:uid="{00000000-0010-0000-4D00-00000E000000}" name="2008" dataDxfId="858"/>
    <tableColumn id="15" xr3:uid="{00000000-0010-0000-4D00-00000F000000}" name="2009" dataDxfId="857"/>
    <tableColumn id="16" xr3:uid="{00000000-0010-0000-4D00-000010000000}" name="2010" dataDxfId="856"/>
    <tableColumn id="17" xr3:uid="{00000000-0010-0000-4D00-000011000000}" name="2011" dataDxfId="855"/>
    <tableColumn id="18" xr3:uid="{00000000-0010-0000-4D00-000012000000}" name="2012" dataDxfId="854"/>
    <tableColumn id="19" xr3:uid="{00000000-0010-0000-4D00-000013000000}" name="2013" dataDxfId="853"/>
    <tableColumn id="20" xr3:uid="{00000000-0010-0000-4D00-000014000000}" name="2014" dataDxfId="852"/>
    <tableColumn id="21" xr3:uid="{00000000-0010-0000-4D00-000015000000}" name="2015" dataDxfId="851"/>
    <tableColumn id="22" xr3:uid="{00000000-0010-0000-4D00-000016000000}" name="2016" dataDxfId="850"/>
    <tableColumn id="23" xr3:uid="{00000000-0010-0000-4D00-000017000000}" name="2017" dataDxfId="849"/>
  </tableColumns>
  <tableStyleInfo name="TableStyleMedium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4E000000}" name="CountyDisbursementsbyFunctionSheriffTable" displayName="CountyDisbursementsbyFunctionSheriffTable" ref="LY17:MU106" totalsRowShown="0" headerRowDxfId="848" dataDxfId="846" headerRowBorderDxfId="847" tableBorderDxfId="845">
  <autoFilter ref="LY17:MU106" xr:uid="{00000000-0009-0000-0100-000018000000}"/>
  <tableColumns count="23">
    <tableColumn id="1" xr3:uid="{00000000-0010-0000-4E00-000001000000}" name="County" dataDxfId="844"/>
    <tableColumn id="2" xr3:uid="{00000000-0010-0000-4E00-000002000000}" name="1996" dataDxfId="843"/>
    <tableColumn id="3" xr3:uid="{00000000-0010-0000-4E00-000003000000}" name="1997" dataDxfId="842"/>
    <tableColumn id="4" xr3:uid="{00000000-0010-0000-4E00-000004000000}" name="1998" dataDxfId="841"/>
    <tableColumn id="5" xr3:uid="{00000000-0010-0000-4E00-000005000000}" name="1999" dataDxfId="840"/>
    <tableColumn id="6" xr3:uid="{00000000-0010-0000-4E00-000006000000}" name="2000" dataDxfId="839"/>
    <tableColumn id="7" xr3:uid="{00000000-0010-0000-4E00-000007000000}" name="2001" dataDxfId="838"/>
    <tableColumn id="8" xr3:uid="{00000000-0010-0000-4E00-000008000000}" name="2002" dataDxfId="837"/>
    <tableColumn id="9" xr3:uid="{00000000-0010-0000-4E00-000009000000}" name="2003" dataDxfId="836"/>
    <tableColumn id="10" xr3:uid="{00000000-0010-0000-4E00-00000A000000}" name="2004" dataDxfId="835"/>
    <tableColumn id="11" xr3:uid="{00000000-0010-0000-4E00-00000B000000}" name="2005" dataDxfId="834"/>
    <tableColumn id="12" xr3:uid="{00000000-0010-0000-4E00-00000C000000}" name="2006" dataDxfId="833"/>
    <tableColumn id="13" xr3:uid="{00000000-0010-0000-4E00-00000D000000}" name="2007" dataDxfId="832"/>
    <tableColumn id="14" xr3:uid="{00000000-0010-0000-4E00-00000E000000}" name="2008" dataDxfId="831"/>
    <tableColumn id="15" xr3:uid="{00000000-0010-0000-4E00-00000F000000}" name="2009" dataDxfId="830"/>
    <tableColumn id="16" xr3:uid="{00000000-0010-0000-4E00-000010000000}" name="2010" dataDxfId="829"/>
    <tableColumn id="17" xr3:uid="{00000000-0010-0000-4E00-000011000000}" name="2011" dataDxfId="828"/>
    <tableColumn id="18" xr3:uid="{00000000-0010-0000-4E00-000012000000}" name="2012" dataDxfId="827"/>
    <tableColumn id="19" xr3:uid="{00000000-0010-0000-4E00-000013000000}" name="2013" dataDxfId="826"/>
    <tableColumn id="20" xr3:uid="{00000000-0010-0000-4E00-000014000000}" name="2014" dataDxfId="825"/>
    <tableColumn id="21" xr3:uid="{00000000-0010-0000-4E00-000015000000}" name="2015" dataDxfId="824"/>
    <tableColumn id="22" xr3:uid="{00000000-0010-0000-4E00-000016000000}" name="2016" dataDxfId="823"/>
    <tableColumn id="23" xr3:uid="{00000000-0010-0000-4E00-000017000000}" name="2017" dataDxfId="822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CountyAllYearsTaxBasesPerCapita" displayName="CountyAllYearsTaxBasesPerCapita" ref="A16:W18" totalsRowShown="0" headerRowDxfId="2488">
  <autoFilter ref="A16:W18" xr:uid="{00000000-0009-0000-0100-00002D000000}"/>
  <tableColumns count="23">
    <tableColumn id="1" xr3:uid="{00000000-0010-0000-0700-000001000000}" name="Category" dataDxfId="2487"/>
    <tableColumn id="2" xr3:uid="{00000000-0010-0000-0700-000002000000}" name="1996">
      <calculatedColumnFormula>VLOOKUP($A$3,'Sales Base'!$Y$10:$AP$99,2)</calculatedColumnFormula>
    </tableColumn>
    <tableColumn id="3" xr3:uid="{00000000-0010-0000-0700-000003000000}" name="1997">
      <calculatedColumnFormula>VLOOKUP($A$3,'Sales Base'!$Y$10:$AP$99,3)</calculatedColumnFormula>
    </tableColumn>
    <tableColumn id="4" xr3:uid="{00000000-0010-0000-0700-000004000000}" name="1998">
      <calculatedColumnFormula>VLOOKUP($A$3,'Sales Base'!$Y$10:$AP$99,4)</calculatedColumnFormula>
    </tableColumn>
    <tableColumn id="5" xr3:uid="{00000000-0010-0000-0700-000005000000}" name="1999">
      <calculatedColumnFormula>VLOOKUP($A$3,'Sales Base'!$Y$10:$AP$99,5)</calculatedColumnFormula>
    </tableColumn>
    <tableColumn id="6" xr3:uid="{00000000-0010-0000-0700-000006000000}" name="2000">
      <calculatedColumnFormula>VLOOKUP($A$3,'Sales Base'!$Y$10:$AP$99,6)</calculatedColumnFormula>
    </tableColumn>
    <tableColumn id="7" xr3:uid="{00000000-0010-0000-0700-000007000000}" name="2001">
      <calculatedColumnFormula>VLOOKUP($A$3,'Sales Base'!$Y$10:$AP$99,7)</calculatedColumnFormula>
    </tableColumn>
    <tableColumn id="8" xr3:uid="{00000000-0010-0000-0700-000008000000}" name="2002">
      <calculatedColumnFormula>VLOOKUP($A$3,'Sales Base'!$Y$10:$AP$99,8)</calculatedColumnFormula>
    </tableColumn>
    <tableColumn id="9" xr3:uid="{00000000-0010-0000-0700-000009000000}" name="2003">
      <calculatedColumnFormula>VLOOKUP($A$3,'Sales Base'!$Y$10:$AP$99,9)</calculatedColumnFormula>
    </tableColumn>
    <tableColumn id="10" xr3:uid="{00000000-0010-0000-0700-00000A000000}" name="2004">
      <calculatedColumnFormula>VLOOKUP($A$3,'Sales Base'!$Y$10:$AP$99,10)</calculatedColumnFormula>
    </tableColumn>
    <tableColumn id="11" xr3:uid="{00000000-0010-0000-0700-00000B000000}" name="2005">
      <calculatedColumnFormula>VLOOKUP($A$3,'Sales Base'!$Y$10:$AP$99,11)</calculatedColumnFormula>
    </tableColumn>
    <tableColumn id="12" xr3:uid="{00000000-0010-0000-0700-00000C000000}" name="2006">
      <calculatedColumnFormula>VLOOKUP($A$3,'Sales Base'!$Y$10:$AP$99,12)</calculatedColumnFormula>
    </tableColumn>
    <tableColumn id="13" xr3:uid="{00000000-0010-0000-0700-00000D000000}" name="2007">
      <calculatedColumnFormula>VLOOKUP($A$3,'Sales Base'!$Y$10:$AP$99,13)</calculatedColumnFormula>
    </tableColumn>
    <tableColumn id="14" xr3:uid="{00000000-0010-0000-0700-00000E000000}" name="2008">
      <calculatedColumnFormula>VLOOKUP($A$3,'Sales Base'!$Y$10:$AP$99,14)</calculatedColumnFormula>
    </tableColumn>
    <tableColumn id="15" xr3:uid="{00000000-0010-0000-0700-00000F000000}" name="2009">
      <calculatedColumnFormula>VLOOKUP($A$3,'Sales Base'!$Y$10:$AP$99,15)</calculatedColumnFormula>
    </tableColumn>
    <tableColumn id="16" xr3:uid="{00000000-0010-0000-0700-000010000000}" name="2010">
      <calculatedColumnFormula>VLOOKUP($A$3,'Sales Base'!$Y$10:$AP$99,16)</calculatedColumnFormula>
    </tableColumn>
    <tableColumn id="17" xr3:uid="{00000000-0010-0000-0700-000011000000}" name="2011">
      <calculatedColumnFormula>VLOOKUP($A$3,'Sales Base'!$Y$10:$AP$99,17)</calculatedColumnFormula>
    </tableColumn>
    <tableColumn id="18" xr3:uid="{00000000-0010-0000-0700-000012000000}" name="2012">
      <calculatedColumnFormula>VLOOKUP($A$3,'Sales Base'!$Y$10:$AP$99,18)</calculatedColumnFormula>
    </tableColumn>
    <tableColumn id="19" xr3:uid="{00000000-0010-0000-0700-000013000000}" name="2013">
      <calculatedColumnFormula>INDEX(SalesBaseTaxableSalesPerCapitaTable[],MATCH($A$3,SalesBaseTaxableSalesPerCapitaTable[County]),MATCH(S15,SalesBaseTaxableSalesPerCapitaTable[#Headers]))</calculatedColumnFormula>
    </tableColumn>
    <tableColumn id="20" xr3:uid="{00000000-0010-0000-0700-000014000000}" name="2014"/>
    <tableColumn id="21" xr3:uid="{00000000-0010-0000-0700-000015000000}" name="2015"/>
    <tableColumn id="22" xr3:uid="{00000000-0010-0000-0700-000016000000}" name="2016"/>
    <tableColumn id="23" xr3:uid="{00000000-0010-0000-0700-000017000000}" name="2017"/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4F000000}" name="CountyDisbursementsbyFunctionJailTable" displayName="CountyDisbursementsbyFunctionJailTable" ref="MW17:NS106" totalsRowShown="0" headerRowDxfId="821" dataDxfId="819" headerRowBorderDxfId="820" tableBorderDxfId="818">
  <autoFilter ref="MW17:NS106" xr:uid="{00000000-0009-0000-0100-000019000000}"/>
  <tableColumns count="23">
    <tableColumn id="1" xr3:uid="{00000000-0010-0000-4F00-000001000000}" name="County" dataDxfId="817"/>
    <tableColumn id="2" xr3:uid="{00000000-0010-0000-4F00-000002000000}" name="1996" dataDxfId="816"/>
    <tableColumn id="3" xr3:uid="{00000000-0010-0000-4F00-000003000000}" name="1997" dataDxfId="815"/>
    <tableColumn id="4" xr3:uid="{00000000-0010-0000-4F00-000004000000}" name="1998" dataDxfId="814"/>
    <tableColumn id="5" xr3:uid="{00000000-0010-0000-4F00-000005000000}" name="1999" dataDxfId="813"/>
    <tableColumn id="6" xr3:uid="{00000000-0010-0000-4F00-000006000000}" name="2000" dataDxfId="812"/>
    <tableColumn id="7" xr3:uid="{00000000-0010-0000-4F00-000007000000}" name="2001" dataDxfId="811"/>
    <tableColumn id="8" xr3:uid="{00000000-0010-0000-4F00-000008000000}" name="2002" dataDxfId="810"/>
    <tableColumn id="9" xr3:uid="{00000000-0010-0000-4F00-000009000000}" name="2003" dataDxfId="809"/>
    <tableColumn id="10" xr3:uid="{00000000-0010-0000-4F00-00000A000000}" name="2004" dataDxfId="808"/>
    <tableColumn id="11" xr3:uid="{00000000-0010-0000-4F00-00000B000000}" name="2005" dataDxfId="807"/>
    <tableColumn id="12" xr3:uid="{00000000-0010-0000-4F00-00000C000000}" name="2006" dataDxfId="806"/>
    <tableColumn id="13" xr3:uid="{00000000-0010-0000-4F00-00000D000000}" name="2007" dataDxfId="805"/>
    <tableColumn id="14" xr3:uid="{00000000-0010-0000-4F00-00000E000000}" name="2008" dataDxfId="804"/>
    <tableColumn id="15" xr3:uid="{00000000-0010-0000-4F00-00000F000000}" name="2009" dataDxfId="803"/>
    <tableColumn id="16" xr3:uid="{00000000-0010-0000-4F00-000010000000}" name="2010" dataDxfId="802"/>
    <tableColumn id="17" xr3:uid="{00000000-0010-0000-4F00-000011000000}" name="2011" dataDxfId="801"/>
    <tableColumn id="18" xr3:uid="{00000000-0010-0000-4F00-000012000000}" name="2012" dataDxfId="800"/>
    <tableColumn id="19" xr3:uid="{00000000-0010-0000-4F00-000013000000}" name="2013" dataDxfId="799"/>
    <tableColumn id="20" xr3:uid="{00000000-0010-0000-4F00-000014000000}" name="2014" dataDxfId="798"/>
    <tableColumn id="21" xr3:uid="{00000000-0010-0000-4F00-000015000000}" name="2015" dataDxfId="797"/>
    <tableColumn id="22" xr3:uid="{00000000-0010-0000-4F00-000016000000}" name="2016" dataDxfId="796"/>
    <tableColumn id="23" xr3:uid="{00000000-0010-0000-4F00-000017000000}" name="2017" dataDxfId="795"/>
  </tableColumns>
  <tableStyleInfo name="TableStyleMedium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50000000}" name="CountyDisbursementsbyFunctionProsecutingAttorneyTable" displayName="CountyDisbursementsbyFunctionProsecutingAttorneyTable" ref="NU17:OQ106" totalsRowShown="0" headerRowDxfId="794" dataDxfId="792" headerRowBorderDxfId="793" tableBorderDxfId="791">
  <autoFilter ref="NU17:OQ106" xr:uid="{00000000-0009-0000-0100-00001A000000}"/>
  <tableColumns count="23">
    <tableColumn id="1" xr3:uid="{00000000-0010-0000-5000-000001000000}" name="County" dataDxfId="790"/>
    <tableColumn id="2" xr3:uid="{00000000-0010-0000-5000-000002000000}" name="1996" dataDxfId="789"/>
    <tableColumn id="3" xr3:uid="{00000000-0010-0000-5000-000003000000}" name="1997" dataDxfId="788"/>
    <tableColumn id="4" xr3:uid="{00000000-0010-0000-5000-000004000000}" name="1998" dataDxfId="787"/>
    <tableColumn id="5" xr3:uid="{00000000-0010-0000-5000-000005000000}" name="1999" dataDxfId="786"/>
    <tableColumn id="6" xr3:uid="{00000000-0010-0000-5000-000006000000}" name="2000" dataDxfId="785"/>
    <tableColumn id="7" xr3:uid="{00000000-0010-0000-5000-000007000000}" name="2001" dataDxfId="784"/>
    <tableColumn id="8" xr3:uid="{00000000-0010-0000-5000-000008000000}" name="2002" dataDxfId="783"/>
    <tableColumn id="9" xr3:uid="{00000000-0010-0000-5000-000009000000}" name="2003" dataDxfId="782"/>
    <tableColumn id="10" xr3:uid="{00000000-0010-0000-5000-00000A000000}" name="2004" dataDxfId="781"/>
    <tableColumn id="11" xr3:uid="{00000000-0010-0000-5000-00000B000000}" name="2005" dataDxfId="780"/>
    <tableColumn id="12" xr3:uid="{00000000-0010-0000-5000-00000C000000}" name="2006" dataDxfId="779"/>
    <tableColumn id="13" xr3:uid="{00000000-0010-0000-5000-00000D000000}" name="2007" dataDxfId="778"/>
    <tableColumn id="14" xr3:uid="{00000000-0010-0000-5000-00000E000000}" name="2008" dataDxfId="777"/>
    <tableColumn id="15" xr3:uid="{00000000-0010-0000-5000-00000F000000}" name="2009" dataDxfId="776"/>
    <tableColumn id="16" xr3:uid="{00000000-0010-0000-5000-000010000000}" name="2010" dataDxfId="775"/>
    <tableColumn id="17" xr3:uid="{00000000-0010-0000-5000-000011000000}" name="2011" dataDxfId="774"/>
    <tableColumn id="18" xr3:uid="{00000000-0010-0000-5000-000012000000}" name="2012" dataDxfId="773"/>
    <tableColumn id="19" xr3:uid="{00000000-0010-0000-5000-000013000000}" name="2013" dataDxfId="772"/>
    <tableColumn id="20" xr3:uid="{00000000-0010-0000-5000-000014000000}" name="2014" dataDxfId="771"/>
    <tableColumn id="21" xr3:uid="{00000000-0010-0000-5000-000015000000}" name="2015" dataDxfId="770"/>
    <tableColumn id="22" xr3:uid="{00000000-0010-0000-5000-000016000000}" name="2016" dataDxfId="769"/>
    <tableColumn id="23" xr3:uid="{00000000-0010-0000-5000-000017000000}" name="2017" dataDxfId="768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51000000}" name="CountyDisbursementsbyFunctionJuvenileOfficerTable" displayName="CountyDisbursementsbyFunctionJuvenileOfficerTable" ref="OS17:PO106" totalsRowShown="0" headerRowDxfId="767" dataDxfId="765" headerRowBorderDxfId="766" tableBorderDxfId="764">
  <autoFilter ref="OS17:PO106" xr:uid="{00000000-0009-0000-0100-00001B000000}"/>
  <tableColumns count="23">
    <tableColumn id="1" xr3:uid="{00000000-0010-0000-5100-000001000000}" name="County" dataDxfId="763"/>
    <tableColumn id="2" xr3:uid="{00000000-0010-0000-5100-000002000000}" name="1996" dataDxfId="762"/>
    <tableColumn id="3" xr3:uid="{00000000-0010-0000-5100-000003000000}" name="1997" dataDxfId="761"/>
    <tableColumn id="4" xr3:uid="{00000000-0010-0000-5100-000004000000}" name="1998" dataDxfId="760"/>
    <tableColumn id="5" xr3:uid="{00000000-0010-0000-5100-000005000000}" name="1999" dataDxfId="759"/>
    <tableColumn id="6" xr3:uid="{00000000-0010-0000-5100-000006000000}" name="2000" dataDxfId="758"/>
    <tableColumn id="7" xr3:uid="{00000000-0010-0000-5100-000007000000}" name="2001" dataDxfId="757"/>
    <tableColumn id="8" xr3:uid="{00000000-0010-0000-5100-000008000000}" name="2002" dataDxfId="756"/>
    <tableColumn id="9" xr3:uid="{00000000-0010-0000-5100-000009000000}" name="2003" dataDxfId="755"/>
    <tableColumn id="10" xr3:uid="{00000000-0010-0000-5100-00000A000000}" name="2004" dataDxfId="754"/>
    <tableColumn id="11" xr3:uid="{00000000-0010-0000-5100-00000B000000}" name="2005" dataDxfId="753"/>
    <tableColumn id="12" xr3:uid="{00000000-0010-0000-5100-00000C000000}" name="2006" dataDxfId="752"/>
    <tableColumn id="13" xr3:uid="{00000000-0010-0000-5100-00000D000000}" name="2007" dataDxfId="751"/>
    <tableColumn id="14" xr3:uid="{00000000-0010-0000-5100-00000E000000}" name="2008" dataDxfId="750"/>
    <tableColumn id="15" xr3:uid="{00000000-0010-0000-5100-00000F000000}" name="2009" dataDxfId="749"/>
    <tableColumn id="16" xr3:uid="{00000000-0010-0000-5100-000010000000}" name="2010" dataDxfId="748"/>
    <tableColumn id="17" xr3:uid="{00000000-0010-0000-5100-000011000000}" name="2011" dataDxfId="747"/>
    <tableColumn id="18" xr3:uid="{00000000-0010-0000-5100-000012000000}" name="2012" dataDxfId="746"/>
    <tableColumn id="19" xr3:uid="{00000000-0010-0000-5100-000013000000}" name="2013" dataDxfId="745"/>
    <tableColumn id="20" xr3:uid="{00000000-0010-0000-5100-000014000000}" name="2014" dataDxfId="744"/>
    <tableColumn id="21" xr3:uid="{00000000-0010-0000-5100-000015000000}" name="2015" dataDxfId="743"/>
    <tableColumn id="22" xr3:uid="{00000000-0010-0000-5100-000016000000}" name="2016" dataDxfId="742"/>
    <tableColumn id="23" xr3:uid="{00000000-0010-0000-5100-000017000000}" name="2017" dataDxfId="741"/>
  </tableColumns>
  <tableStyleInfo name="TableStyleMedium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52000000}" name="CountyDisbursementsbyFunctionCoronerTable" displayName="CountyDisbursementsbyFunctionCoronerTable" ref="PQ17:QM106" totalsRowShown="0" headerRowDxfId="740" dataDxfId="738" headerRowBorderDxfId="739" tableBorderDxfId="737">
  <autoFilter ref="PQ17:QM106" xr:uid="{00000000-0009-0000-0100-00001C000000}"/>
  <tableColumns count="23">
    <tableColumn id="1" xr3:uid="{00000000-0010-0000-5200-000001000000}" name="County" dataDxfId="736"/>
    <tableColumn id="2" xr3:uid="{00000000-0010-0000-5200-000002000000}" name="1996" dataDxfId="735"/>
    <tableColumn id="3" xr3:uid="{00000000-0010-0000-5200-000003000000}" name="1997" dataDxfId="734"/>
    <tableColumn id="4" xr3:uid="{00000000-0010-0000-5200-000004000000}" name="1998" dataDxfId="733"/>
    <tableColumn id="5" xr3:uid="{00000000-0010-0000-5200-000005000000}" name="1999" dataDxfId="732"/>
    <tableColumn id="6" xr3:uid="{00000000-0010-0000-5200-000006000000}" name="2000" dataDxfId="731"/>
    <tableColumn id="7" xr3:uid="{00000000-0010-0000-5200-000007000000}" name="2001" dataDxfId="730"/>
    <tableColumn id="8" xr3:uid="{00000000-0010-0000-5200-000008000000}" name="2002" dataDxfId="729"/>
    <tableColumn id="9" xr3:uid="{00000000-0010-0000-5200-000009000000}" name="2003" dataDxfId="728"/>
    <tableColumn id="10" xr3:uid="{00000000-0010-0000-5200-00000A000000}" name="2004" dataDxfId="727"/>
    <tableColumn id="11" xr3:uid="{00000000-0010-0000-5200-00000B000000}" name="2005" dataDxfId="726"/>
    <tableColumn id="12" xr3:uid="{00000000-0010-0000-5200-00000C000000}" name="2006" dataDxfId="725"/>
    <tableColumn id="13" xr3:uid="{00000000-0010-0000-5200-00000D000000}" name="2007" dataDxfId="724"/>
    <tableColumn id="14" xr3:uid="{00000000-0010-0000-5200-00000E000000}" name="2008" dataDxfId="723"/>
    <tableColumn id="15" xr3:uid="{00000000-0010-0000-5200-00000F000000}" name="2009" dataDxfId="722"/>
    <tableColumn id="16" xr3:uid="{00000000-0010-0000-5200-000010000000}" name="2010" dataDxfId="721"/>
    <tableColumn id="17" xr3:uid="{00000000-0010-0000-5200-000011000000}" name="2011" dataDxfId="720"/>
    <tableColumn id="18" xr3:uid="{00000000-0010-0000-5200-000012000000}" name="2012" dataDxfId="719"/>
    <tableColumn id="19" xr3:uid="{00000000-0010-0000-5200-000013000000}" name="2013" dataDxfId="718"/>
    <tableColumn id="20" xr3:uid="{00000000-0010-0000-5200-000014000000}" name="2014" dataDxfId="717"/>
    <tableColumn id="21" xr3:uid="{00000000-0010-0000-5200-000015000000}" name="2015" dataDxfId="716"/>
    <tableColumn id="22" xr3:uid="{00000000-0010-0000-5200-000016000000}" name="2016" dataDxfId="715"/>
    <tableColumn id="23" xr3:uid="{00000000-0010-0000-5200-000017000000}" name="2017" dataDxfId="714"/>
  </tableColumns>
  <tableStyleInfo name="TableStyleMedium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53000000}" name="CountyDisbursementsbyFunctionHealthandWelfareTable" displayName="CountyDisbursementsbyFunctionHealthandWelfareTable" ref="QO17:RK106" totalsRowShown="0" headerRowDxfId="713" dataDxfId="711" headerRowBorderDxfId="712" tableBorderDxfId="710">
  <autoFilter ref="QO17:RK106" xr:uid="{00000000-0009-0000-0100-00001D000000}"/>
  <tableColumns count="23">
    <tableColumn id="1" xr3:uid="{00000000-0010-0000-5300-000001000000}" name="County" dataDxfId="709"/>
    <tableColumn id="2" xr3:uid="{00000000-0010-0000-5300-000002000000}" name="1996" dataDxfId="708"/>
    <tableColumn id="3" xr3:uid="{00000000-0010-0000-5300-000003000000}" name="1997" dataDxfId="707"/>
    <tableColumn id="4" xr3:uid="{00000000-0010-0000-5300-000004000000}" name="1998" dataDxfId="706"/>
    <tableColumn id="5" xr3:uid="{00000000-0010-0000-5300-000005000000}" name="1999" dataDxfId="705"/>
    <tableColumn id="6" xr3:uid="{00000000-0010-0000-5300-000006000000}" name="2000" dataDxfId="704"/>
    <tableColumn id="7" xr3:uid="{00000000-0010-0000-5300-000007000000}" name="2001" dataDxfId="703"/>
    <tableColumn id="8" xr3:uid="{00000000-0010-0000-5300-000008000000}" name="2002" dataDxfId="702"/>
    <tableColumn id="9" xr3:uid="{00000000-0010-0000-5300-000009000000}" name="2003" dataDxfId="701"/>
    <tableColumn id="10" xr3:uid="{00000000-0010-0000-5300-00000A000000}" name="2004" dataDxfId="700"/>
    <tableColumn id="11" xr3:uid="{00000000-0010-0000-5300-00000B000000}" name="2005" dataDxfId="699"/>
    <tableColumn id="12" xr3:uid="{00000000-0010-0000-5300-00000C000000}" name="2006" dataDxfId="698"/>
    <tableColumn id="13" xr3:uid="{00000000-0010-0000-5300-00000D000000}" name="2007" dataDxfId="697"/>
    <tableColumn id="14" xr3:uid="{00000000-0010-0000-5300-00000E000000}" name="2008" dataDxfId="696"/>
    <tableColumn id="15" xr3:uid="{00000000-0010-0000-5300-00000F000000}" name="2009" dataDxfId="695"/>
    <tableColumn id="16" xr3:uid="{00000000-0010-0000-5300-000010000000}" name="2010" dataDxfId="694"/>
    <tableColumn id="17" xr3:uid="{00000000-0010-0000-5300-000011000000}" name="2011" dataDxfId="693"/>
    <tableColumn id="18" xr3:uid="{00000000-0010-0000-5300-000012000000}" name="2012" dataDxfId="692"/>
    <tableColumn id="19" xr3:uid="{00000000-0010-0000-5300-000013000000}" name="2013" dataDxfId="691"/>
    <tableColumn id="20" xr3:uid="{00000000-0010-0000-5300-000014000000}" name="2014" dataDxfId="690"/>
    <tableColumn id="21" xr3:uid="{00000000-0010-0000-5300-000015000000}" name="2015" dataDxfId="689"/>
    <tableColumn id="22" xr3:uid="{00000000-0010-0000-5300-000016000000}" name="2016" dataDxfId="688"/>
    <tableColumn id="23" xr3:uid="{00000000-0010-0000-5300-000017000000}" name="2017" dataDxfId="687"/>
  </tableColumns>
  <tableStyleInfo name="TableStyleMedium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54000000}" name="CountyDisbursementsbyFunctionOperatingTransfersTable" displayName="CountyDisbursementsbyFunctionOperatingTransfersTable" ref="RM17:SI106" totalsRowShown="0" headerRowDxfId="686" dataDxfId="684" headerRowBorderDxfId="685" tableBorderDxfId="683">
  <autoFilter ref="RM17:SI106" xr:uid="{00000000-0009-0000-0100-00001E000000}"/>
  <tableColumns count="23">
    <tableColumn id="1" xr3:uid="{00000000-0010-0000-5400-000001000000}" name="County" dataDxfId="682"/>
    <tableColumn id="2" xr3:uid="{00000000-0010-0000-5400-000002000000}" name="1996" dataDxfId="681"/>
    <tableColumn id="3" xr3:uid="{00000000-0010-0000-5400-000003000000}" name="1997" dataDxfId="680"/>
    <tableColumn id="4" xr3:uid="{00000000-0010-0000-5400-000004000000}" name="1998" dataDxfId="679"/>
    <tableColumn id="5" xr3:uid="{00000000-0010-0000-5400-000005000000}" name="1999" dataDxfId="678"/>
    <tableColumn id="6" xr3:uid="{00000000-0010-0000-5400-000006000000}" name="2000" dataDxfId="677"/>
    <tableColumn id="7" xr3:uid="{00000000-0010-0000-5400-000007000000}" name="2001" dataDxfId="676"/>
    <tableColumn id="8" xr3:uid="{00000000-0010-0000-5400-000008000000}" name="2002" dataDxfId="675"/>
    <tableColumn id="9" xr3:uid="{00000000-0010-0000-5400-000009000000}" name="2003" dataDxfId="674"/>
    <tableColumn id="10" xr3:uid="{00000000-0010-0000-5400-00000A000000}" name="2004" dataDxfId="673"/>
    <tableColumn id="11" xr3:uid="{00000000-0010-0000-5400-00000B000000}" name="2005" dataDxfId="672"/>
    <tableColumn id="12" xr3:uid="{00000000-0010-0000-5400-00000C000000}" name="2006" dataDxfId="671"/>
    <tableColumn id="13" xr3:uid="{00000000-0010-0000-5400-00000D000000}" name="2007" dataDxfId="670"/>
    <tableColumn id="14" xr3:uid="{00000000-0010-0000-5400-00000E000000}" name="2008" dataDxfId="669"/>
    <tableColumn id="15" xr3:uid="{00000000-0010-0000-5400-00000F000000}" name="2009" dataDxfId="668"/>
    <tableColumn id="16" xr3:uid="{00000000-0010-0000-5400-000010000000}" name="2010" dataDxfId="667"/>
    <tableColumn id="17" xr3:uid="{00000000-0010-0000-5400-000011000000}" name="2011" dataDxfId="666"/>
    <tableColumn id="18" xr3:uid="{00000000-0010-0000-5400-000012000000}" name="2012" dataDxfId="665"/>
    <tableColumn id="19" xr3:uid="{00000000-0010-0000-5400-000013000000}" name="2013" dataDxfId="664"/>
    <tableColumn id="20" xr3:uid="{00000000-0010-0000-5400-000014000000}" name="2014" dataDxfId="663"/>
    <tableColumn id="21" xr3:uid="{00000000-0010-0000-5400-000015000000}" name="2015" dataDxfId="662"/>
    <tableColumn id="22" xr3:uid="{00000000-0010-0000-5400-000016000000}" name="2016" dataDxfId="661"/>
    <tableColumn id="23" xr3:uid="{00000000-0010-0000-5400-000017000000}" name="2017" dataDxfId="660"/>
  </tableColumns>
  <tableStyleInfo name="TableStyleMedium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55000000}" name="CountyDisbursementsCentralGovt" displayName="CountyDisbursementsCentralGovt" ref="Y115:AU204" totalsRowShown="0" headerRowDxfId="659" dataDxfId="657" headerRowBorderDxfId="658" tableBorderDxfId="656" totalsRowBorderDxfId="655">
  <autoFilter ref="Y115:AU204" xr:uid="{00000000-0009-0000-0100-000050000000}"/>
  <tableColumns count="23">
    <tableColumn id="1" xr3:uid="{00000000-0010-0000-5500-000001000000}" name="County" dataDxfId="654"/>
    <tableColumn id="2" xr3:uid="{00000000-0010-0000-5500-000002000000}" name="1996" dataDxfId="653">
      <calculatedColumnFormula>Z18+AX18+BV18+CT18+EP18+FN18+GL18</calculatedColumnFormula>
    </tableColumn>
    <tableColumn id="3" xr3:uid="{00000000-0010-0000-5500-000003000000}" name="1997" dataDxfId="652">
      <calculatedColumnFormula>AA18+AY18+BW18+CU18+EQ18+FO18+GM18</calculatedColumnFormula>
    </tableColumn>
    <tableColumn id="4" xr3:uid="{00000000-0010-0000-5500-000004000000}" name="1998" dataDxfId="651">
      <calculatedColumnFormula>AB18+AZ18+BX18+CV18+ER18+FP18+GN18</calculatedColumnFormula>
    </tableColumn>
    <tableColumn id="5" xr3:uid="{00000000-0010-0000-5500-000005000000}" name="1999" dataDxfId="650">
      <calculatedColumnFormula>AC18+BA18+BY18+CW18+ES18+FQ18+GO18</calculatedColumnFormula>
    </tableColumn>
    <tableColumn id="6" xr3:uid="{00000000-0010-0000-5500-000006000000}" name="2000" dataDxfId="649">
      <calculatedColumnFormula>AD18+BB18+BZ18+CX18+ET18+FR18+GP18</calculatedColumnFormula>
    </tableColumn>
    <tableColumn id="7" xr3:uid="{00000000-0010-0000-5500-000007000000}" name="2001" dataDxfId="648">
      <calculatedColumnFormula>AE18+BC18+CA18+CY18+EU18+FS18+GQ18</calculatedColumnFormula>
    </tableColumn>
    <tableColumn id="8" xr3:uid="{00000000-0010-0000-5500-000008000000}" name="2002" dataDxfId="647">
      <calculatedColumnFormula>AF18+BD18+CB18+CZ18+EV18+FT18+GR18</calculatedColumnFormula>
    </tableColumn>
    <tableColumn id="9" xr3:uid="{00000000-0010-0000-5500-000009000000}" name="2003" dataDxfId="646">
      <calculatedColumnFormula>AG18+BE18+CC18+DA18+EW18+FU18+GS18</calculatedColumnFormula>
    </tableColumn>
    <tableColumn id="10" xr3:uid="{00000000-0010-0000-5500-00000A000000}" name="2004" dataDxfId="645">
      <calculatedColumnFormula>AH18+BF18+CD18+DB18+EX18+FV18+GT18</calculatedColumnFormula>
    </tableColumn>
    <tableColumn id="11" xr3:uid="{00000000-0010-0000-5500-00000B000000}" name="2005" dataDxfId="644">
      <calculatedColumnFormula>AI18+BG18+CE18+DC18+EY18+FW18+GU18</calculatedColumnFormula>
    </tableColumn>
    <tableColumn id="12" xr3:uid="{00000000-0010-0000-5500-00000C000000}" name="2006" dataDxfId="643">
      <calculatedColumnFormula>AJ18+BH18+CF18+DD18+EZ18+FX18+GV18</calculatedColumnFormula>
    </tableColumn>
    <tableColumn id="13" xr3:uid="{00000000-0010-0000-5500-00000D000000}" name="2007" dataDxfId="642">
      <calculatedColumnFormula>AK18+BI18+CG18+DE18+FA18+FY18+GW18</calculatedColumnFormula>
    </tableColumn>
    <tableColumn id="14" xr3:uid="{00000000-0010-0000-5500-00000E000000}" name="2008" dataDxfId="641">
      <calculatedColumnFormula>AL18+BJ18+CH18+DF18+FB18+FZ18+GX18</calculatedColumnFormula>
    </tableColumn>
    <tableColumn id="15" xr3:uid="{00000000-0010-0000-5500-00000F000000}" name="2009" dataDxfId="640">
      <calculatedColumnFormula>AM18+BK18+CI18+DG18+FC18+GA18+GY18</calculatedColumnFormula>
    </tableColumn>
    <tableColumn id="16" xr3:uid="{00000000-0010-0000-5500-000010000000}" name="2010" dataDxfId="639">
      <calculatedColumnFormula>AN18+BL18+CJ18+DH18+FD18+GB18+GZ18</calculatedColumnFormula>
    </tableColumn>
    <tableColumn id="17" xr3:uid="{00000000-0010-0000-5500-000011000000}" name="2011" dataDxfId="638">
      <calculatedColumnFormula>AO18+BM18+CK18+DI18+FE18+GC18+HA18</calculatedColumnFormula>
    </tableColumn>
    <tableColumn id="18" xr3:uid="{00000000-0010-0000-5500-000012000000}" name="2012" dataDxfId="637">
      <calculatedColumnFormula>AP18+BN18+CL18+DJ18+FF18+GD18+HB18</calculatedColumnFormula>
    </tableColumn>
    <tableColumn id="19" xr3:uid="{00000000-0010-0000-5500-000013000000}" name="2013" dataDxfId="636">
      <calculatedColumnFormula>AQ18+BO18+CM18+DK18+FG18+GE18+HC18</calculatedColumnFormula>
    </tableColumn>
    <tableColumn id="20" xr3:uid="{00000000-0010-0000-5500-000014000000}" name="2014" dataDxfId="635">
      <calculatedColumnFormula>AR18+BP18+CN18+DL18+FH18+GF18+HD18</calculatedColumnFormula>
    </tableColumn>
    <tableColumn id="21" xr3:uid="{00000000-0010-0000-5500-000015000000}" name="2015" dataDxfId="634">
      <calculatedColumnFormula>AS18+BQ18+CO18+DM18+FI18+GG18+HE18</calculatedColumnFormula>
    </tableColumn>
    <tableColumn id="22" xr3:uid="{00000000-0010-0000-5500-000016000000}" name="2016" dataDxfId="633">
      <calculatedColumnFormula>AT18+BR18+CP18+DN18+FJ18+GH18+HF18</calculatedColumnFormula>
    </tableColumn>
    <tableColumn id="23" xr3:uid="{00000000-0010-0000-5500-000017000000}" name="2017" dataDxfId="632">
      <calculatedColumnFormula>AU18+BS18+CQ18+DO18+FK18+GI18+HG18</calculatedColumnFormula>
    </tableColumn>
  </tableColumns>
  <tableStyleInfo name="TableStyleMedium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56000000}" name="CountyDisbursementsLawEnforcement" displayName="CountyDisbursementsLawEnforcement" ref="EO115:FK204" totalsRowShown="0" headerRowDxfId="631" dataDxfId="629" headerRowBorderDxfId="630" tableBorderDxfId="628" totalsRowBorderDxfId="627">
  <autoFilter ref="EO115:FK204" xr:uid="{00000000-0009-0000-0100-000051000000}"/>
  <tableColumns count="23">
    <tableColumn id="1" xr3:uid="{00000000-0010-0000-5600-000001000000}" name="County" dataDxfId="626"/>
    <tableColumn id="2" xr3:uid="{00000000-0010-0000-5600-000002000000}" name="1996" dataDxfId="625">
      <calculatedColumnFormula>LZ18+MX18</calculatedColumnFormula>
    </tableColumn>
    <tableColumn id="3" xr3:uid="{00000000-0010-0000-5600-000003000000}" name="1997" dataDxfId="624">
      <calculatedColumnFormula>MA18+MY18</calculatedColumnFormula>
    </tableColumn>
    <tableColumn id="4" xr3:uid="{00000000-0010-0000-5600-000004000000}" name="1998" dataDxfId="623">
      <calculatedColumnFormula>MB18+MZ18</calculatedColumnFormula>
    </tableColumn>
    <tableColumn id="5" xr3:uid="{00000000-0010-0000-5600-000005000000}" name="1999" dataDxfId="622">
      <calculatedColumnFormula>MC18+NA18</calculatedColumnFormula>
    </tableColumn>
    <tableColumn id="6" xr3:uid="{00000000-0010-0000-5600-000006000000}" name="2000" dataDxfId="621">
      <calculatedColumnFormula>MD18+NB18</calculatedColumnFormula>
    </tableColumn>
    <tableColumn id="7" xr3:uid="{00000000-0010-0000-5600-000007000000}" name="2001" dataDxfId="620">
      <calculatedColumnFormula>ME18+NC18</calculatedColumnFormula>
    </tableColumn>
    <tableColumn id="8" xr3:uid="{00000000-0010-0000-5600-000008000000}" name="2002" dataDxfId="619">
      <calculatedColumnFormula>MF18+ND18</calculatedColumnFormula>
    </tableColumn>
    <tableColumn id="9" xr3:uid="{00000000-0010-0000-5600-000009000000}" name="2003" dataDxfId="618">
      <calculatedColumnFormula>MG18+NE18</calculatedColumnFormula>
    </tableColumn>
    <tableColumn id="10" xr3:uid="{00000000-0010-0000-5600-00000A000000}" name="2004" dataDxfId="617">
      <calculatedColumnFormula>MH18+NF18</calculatedColumnFormula>
    </tableColumn>
    <tableColumn id="11" xr3:uid="{00000000-0010-0000-5600-00000B000000}" name="2005" dataDxfId="616">
      <calculatedColumnFormula>MI18+NG18</calculatedColumnFormula>
    </tableColumn>
    <tableColumn id="12" xr3:uid="{00000000-0010-0000-5600-00000C000000}" name="2006" dataDxfId="615">
      <calculatedColumnFormula>MJ18+NH18</calculatedColumnFormula>
    </tableColumn>
    <tableColumn id="13" xr3:uid="{00000000-0010-0000-5600-00000D000000}" name="2007" dataDxfId="614">
      <calculatedColumnFormula>MK18+NI18</calculatedColumnFormula>
    </tableColumn>
    <tableColumn id="14" xr3:uid="{00000000-0010-0000-5600-00000E000000}" name="2008" dataDxfId="613">
      <calculatedColumnFormula>ML18+NJ18</calculatedColumnFormula>
    </tableColumn>
    <tableColumn id="15" xr3:uid="{00000000-0010-0000-5600-00000F000000}" name="2009" dataDxfId="612">
      <calculatedColumnFormula>MM18+NK18</calculatedColumnFormula>
    </tableColumn>
    <tableColumn id="16" xr3:uid="{00000000-0010-0000-5600-000010000000}" name="2010" dataDxfId="611">
      <calculatedColumnFormula>MN18+NL18</calculatedColumnFormula>
    </tableColumn>
    <tableColumn id="17" xr3:uid="{00000000-0010-0000-5600-000011000000}" name="2011" dataDxfId="610">
      <calculatedColumnFormula>MO18+NM18</calculatedColumnFormula>
    </tableColumn>
    <tableColumn id="18" xr3:uid="{00000000-0010-0000-5600-000012000000}" name="2012" dataDxfId="609">
      <calculatedColumnFormula>MP18+NN18</calculatedColumnFormula>
    </tableColumn>
    <tableColumn id="19" xr3:uid="{00000000-0010-0000-5600-000013000000}" name="2013" dataDxfId="608">
      <calculatedColumnFormula>MQ18+NO18</calculatedColumnFormula>
    </tableColumn>
    <tableColumn id="20" xr3:uid="{00000000-0010-0000-5600-000014000000}" name="2014" dataDxfId="607">
      <calculatedColumnFormula>MR18+NP18</calculatedColumnFormula>
    </tableColumn>
    <tableColumn id="21" xr3:uid="{00000000-0010-0000-5600-000015000000}" name="2015" dataDxfId="606">
      <calculatedColumnFormula>MS18+NQ18</calculatedColumnFormula>
    </tableColumn>
    <tableColumn id="22" xr3:uid="{00000000-0010-0000-5600-000016000000}" name="2016" dataDxfId="605">
      <calculatedColumnFormula>MT18+NR18</calculatedColumnFormula>
    </tableColumn>
    <tableColumn id="23" xr3:uid="{00000000-0010-0000-5600-000017000000}" name="2017" dataDxfId="604">
      <calculatedColumnFormula>MU18+NS18</calculatedColumnFormula>
    </tableColumn>
  </tableColumns>
  <tableStyleInfo name="TableStyleMedium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57000000}" name="CountyDisbursementsCourt" displayName="CountyDisbursementsCourt" ref="AW115:BS204" totalsRowShown="0" headerRowDxfId="603" dataDxfId="601" headerRowBorderDxfId="602" tableBorderDxfId="600" totalsRowBorderDxfId="599">
  <autoFilter ref="AW115:BS204" xr:uid="{00000000-0009-0000-0100-000052000000}"/>
  <tableColumns count="23">
    <tableColumn id="1" xr3:uid="{00000000-0010-0000-5700-000001000000}" name="County" dataDxfId="598"/>
    <tableColumn id="2" xr3:uid="{00000000-0010-0000-5700-000002000000}" name="1996" dataDxfId="597">
      <calculatedColumnFormula>HJ18+IH18+JF18+OT18</calculatedColumnFormula>
    </tableColumn>
    <tableColumn id="3" xr3:uid="{00000000-0010-0000-5700-000003000000}" name="1997" dataDxfId="596">
      <calculatedColumnFormula>HK18+II18+JG18+OU18</calculatedColumnFormula>
    </tableColumn>
    <tableColumn id="4" xr3:uid="{00000000-0010-0000-5700-000004000000}" name="1998" dataDxfId="595">
      <calculatedColumnFormula>HL18+IJ18+JH18+OV18</calculatedColumnFormula>
    </tableColumn>
    <tableColumn id="5" xr3:uid="{00000000-0010-0000-5700-000005000000}" name="1999" dataDxfId="594">
      <calculatedColumnFormula>HM18+IK18+JI18+OW18</calculatedColumnFormula>
    </tableColumn>
    <tableColumn id="6" xr3:uid="{00000000-0010-0000-5700-000006000000}" name="2000" dataDxfId="593">
      <calculatedColumnFormula>HN18+IL18+JJ18+OX18</calculatedColumnFormula>
    </tableColumn>
    <tableColumn id="7" xr3:uid="{00000000-0010-0000-5700-000007000000}" name="2001" dataDxfId="592">
      <calculatedColumnFormula>HO18+IM18+JK18+OY18</calculatedColumnFormula>
    </tableColumn>
    <tableColumn id="8" xr3:uid="{00000000-0010-0000-5700-000008000000}" name="2002" dataDxfId="591">
      <calculatedColumnFormula>HP18+IN18+JL18+OZ18</calculatedColumnFormula>
    </tableColumn>
    <tableColumn id="9" xr3:uid="{00000000-0010-0000-5700-000009000000}" name="2003" dataDxfId="590">
      <calculatedColumnFormula>HQ18+IO18+JM18+PA18</calculatedColumnFormula>
    </tableColumn>
    <tableColumn id="10" xr3:uid="{00000000-0010-0000-5700-00000A000000}" name="2004" dataDxfId="589">
      <calculatedColumnFormula>HR18+IP18+JN18+PB18</calculatedColumnFormula>
    </tableColumn>
    <tableColumn id="11" xr3:uid="{00000000-0010-0000-5700-00000B000000}" name="2005" dataDxfId="588">
      <calculatedColumnFormula>HS18+IQ18+JO18+PC18</calculatedColumnFormula>
    </tableColumn>
    <tableColumn id="12" xr3:uid="{00000000-0010-0000-5700-00000C000000}" name="2006" dataDxfId="587">
      <calculatedColumnFormula>HT18+IR18+JP18+PD18</calculatedColumnFormula>
    </tableColumn>
    <tableColumn id="13" xr3:uid="{00000000-0010-0000-5700-00000D000000}" name="2007" dataDxfId="586">
      <calculatedColumnFormula>HU18+IS18+JQ18+PE18</calculatedColumnFormula>
    </tableColumn>
    <tableColumn id="14" xr3:uid="{00000000-0010-0000-5700-00000E000000}" name="2008" dataDxfId="585">
      <calculatedColumnFormula>HV18+IT18+JR18+PF18</calculatedColumnFormula>
    </tableColumn>
    <tableColumn id="15" xr3:uid="{00000000-0010-0000-5700-00000F000000}" name="2009" dataDxfId="584">
      <calculatedColumnFormula>HW18+IU18+JS18+PG18</calculatedColumnFormula>
    </tableColumn>
    <tableColumn id="16" xr3:uid="{00000000-0010-0000-5700-000010000000}" name="2010" dataDxfId="583">
      <calculatedColumnFormula>HX18+IV18+JT18+PH18</calculatedColumnFormula>
    </tableColumn>
    <tableColumn id="17" xr3:uid="{00000000-0010-0000-5700-000011000000}" name="2011" dataDxfId="582">
      <calculatedColumnFormula>HY18+IW18+JU18+PI18</calculatedColumnFormula>
    </tableColumn>
    <tableColumn id="18" xr3:uid="{00000000-0010-0000-5700-000012000000}" name="2012" dataDxfId="581">
      <calculatedColumnFormula>HZ18+IX18+JV18+PJ18</calculatedColumnFormula>
    </tableColumn>
    <tableColumn id="19" xr3:uid="{00000000-0010-0000-5700-000013000000}" name="2013" dataDxfId="580">
      <calculatedColumnFormula>IA18+IY18+JW18+PK18</calculatedColumnFormula>
    </tableColumn>
    <tableColumn id="20" xr3:uid="{00000000-0010-0000-5700-000014000000}" name="2014" dataDxfId="579">
      <calculatedColumnFormula>IB18+IZ18+JX18+PL18</calculatedColumnFormula>
    </tableColumn>
    <tableColumn id="21" xr3:uid="{00000000-0010-0000-5700-000015000000}" name="2015" dataDxfId="578">
      <calculatedColumnFormula>IC18+JA18+JY18+PM18</calculatedColumnFormula>
    </tableColumn>
    <tableColumn id="22" xr3:uid="{00000000-0010-0000-5700-000016000000}" name="2016" dataDxfId="577">
      <calculatedColumnFormula>ID18+JB18+JZ18+PN18</calculatedColumnFormula>
    </tableColumn>
    <tableColumn id="23" xr3:uid="{00000000-0010-0000-5700-000017000000}" name="2017" dataDxfId="576">
      <calculatedColumnFormula>IE18+JC18+KA18+PO18</calculatedColumnFormula>
    </tableColumn>
  </tableColumns>
  <tableStyleInfo name="TableStyleMedium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58000000}" name="CountyDisbursementsHealthWelfare" displayName="CountyDisbursementsHealthWelfare" ref="CS115:DO204" totalsRowShown="0" headerRowDxfId="575" dataDxfId="573" headerRowBorderDxfId="574" tableBorderDxfId="572" totalsRowBorderDxfId="571">
  <autoFilter ref="CS115:DO204" xr:uid="{00000000-0009-0000-0100-000053000000}"/>
  <tableColumns count="23">
    <tableColumn id="1" xr3:uid="{00000000-0010-0000-5800-000001000000}" name="County" dataDxfId="570"/>
    <tableColumn id="2" xr3:uid="{00000000-0010-0000-5800-000002000000}" name="1996" dataDxfId="569">
      <calculatedColumnFormula>QP18+LB18</calculatedColumnFormula>
    </tableColumn>
    <tableColumn id="3" xr3:uid="{00000000-0010-0000-5800-000003000000}" name="1997" dataDxfId="568">
      <calculatedColumnFormula>QQ18+LC18</calculatedColumnFormula>
    </tableColumn>
    <tableColumn id="4" xr3:uid="{00000000-0010-0000-5800-000004000000}" name="1998" dataDxfId="567">
      <calculatedColumnFormula>QR18+LD18</calculatedColumnFormula>
    </tableColumn>
    <tableColumn id="5" xr3:uid="{00000000-0010-0000-5800-000005000000}" name="1999" dataDxfId="566">
      <calculatedColumnFormula>QS18+LE18</calculatedColumnFormula>
    </tableColumn>
    <tableColumn id="6" xr3:uid="{00000000-0010-0000-5800-000006000000}" name="2000" dataDxfId="565">
      <calculatedColumnFormula>QT18+LF18</calculatedColumnFormula>
    </tableColumn>
    <tableColumn id="7" xr3:uid="{00000000-0010-0000-5800-000007000000}" name="2001" dataDxfId="564">
      <calculatedColumnFormula>QU18+LG18</calculatedColumnFormula>
    </tableColumn>
    <tableColumn id="8" xr3:uid="{00000000-0010-0000-5800-000008000000}" name="2002" dataDxfId="563">
      <calculatedColumnFormula>QV18+LH18</calculatedColumnFormula>
    </tableColumn>
    <tableColumn id="9" xr3:uid="{00000000-0010-0000-5800-000009000000}" name="2003" dataDxfId="562">
      <calculatedColumnFormula>QW18+LI18</calculatedColumnFormula>
    </tableColumn>
    <tableColumn id="10" xr3:uid="{00000000-0010-0000-5800-00000A000000}" name="2004" dataDxfId="561">
      <calculatedColumnFormula>QX18+LJ18</calculatedColumnFormula>
    </tableColumn>
    <tableColumn id="11" xr3:uid="{00000000-0010-0000-5800-00000B000000}" name="2005" dataDxfId="560">
      <calculatedColumnFormula>QY18+LK18</calculatedColumnFormula>
    </tableColumn>
    <tableColumn id="12" xr3:uid="{00000000-0010-0000-5800-00000C000000}" name="2006" dataDxfId="559">
      <calculatedColumnFormula>QZ18+LL18</calculatedColumnFormula>
    </tableColumn>
    <tableColumn id="13" xr3:uid="{00000000-0010-0000-5800-00000D000000}" name="2007" dataDxfId="558">
      <calculatedColumnFormula>RA18+LM18</calculatedColumnFormula>
    </tableColumn>
    <tableColumn id="14" xr3:uid="{00000000-0010-0000-5800-00000E000000}" name="2008" dataDxfId="557">
      <calculatedColumnFormula>RB18+LN18</calculatedColumnFormula>
    </tableColumn>
    <tableColumn id="15" xr3:uid="{00000000-0010-0000-5800-00000F000000}" name="2009" dataDxfId="556">
      <calculatedColumnFormula>RC18+LO18</calculatedColumnFormula>
    </tableColumn>
    <tableColumn id="16" xr3:uid="{00000000-0010-0000-5800-000010000000}" name="2010" dataDxfId="555">
      <calculatedColumnFormula>RD18+LP18</calculatedColumnFormula>
    </tableColumn>
    <tableColumn id="17" xr3:uid="{00000000-0010-0000-5800-000011000000}" name="2011" dataDxfId="554">
      <calculatedColumnFormula>RE18+LQ18</calculatedColumnFormula>
    </tableColumn>
    <tableColumn id="18" xr3:uid="{00000000-0010-0000-5800-000012000000}" name="2012" dataDxfId="553">
      <calculatedColumnFormula>RF18+LR18</calculatedColumnFormula>
    </tableColumn>
    <tableColumn id="19" xr3:uid="{00000000-0010-0000-5800-000013000000}" name="2013" dataDxfId="552">
      <calculatedColumnFormula>RG18+LS18</calculatedColumnFormula>
    </tableColumn>
    <tableColumn id="20" xr3:uid="{00000000-0010-0000-5800-000014000000}" name="2014" dataDxfId="551">
      <calculatedColumnFormula>RH18+LT18</calculatedColumnFormula>
    </tableColumn>
    <tableColumn id="21" xr3:uid="{00000000-0010-0000-5800-000015000000}" name="2015" dataDxfId="550">
      <calculatedColumnFormula>RI18+LU18</calculatedColumnFormula>
    </tableColumn>
    <tableColumn id="22" xr3:uid="{00000000-0010-0000-5800-000016000000}" name="2016" dataDxfId="549">
      <calculatedColumnFormula>RJ18+LV18</calculatedColumnFormula>
    </tableColumn>
    <tableColumn id="23" xr3:uid="{00000000-0010-0000-5800-000017000000}" name="2017" dataDxfId="548">
      <calculatedColumnFormula>RK18+LW18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08000000}" name="CountyAllYearsAGRProperty" displayName="CountyAllYearsAGRProperty" ref="A21:W23" totalsRowShown="0" headerRowDxfId="2486" dataDxfId="2485">
  <autoFilter ref="A21:W23" xr:uid="{00000000-0009-0000-0100-00002E000000}"/>
  <tableColumns count="23">
    <tableColumn id="1" xr3:uid="{00000000-0010-0000-0800-000001000000}" name="Category" dataDxfId="2484"/>
    <tableColumn id="2" xr3:uid="{00000000-0010-0000-0800-000002000000}" name="1996" dataDxfId="2483"/>
    <tableColumn id="3" xr3:uid="{00000000-0010-0000-0800-000003000000}" name="1997" dataDxfId="2482">
      <calculatedColumnFormula>VLOOKUP($A$3,'Property Base'!$AY$10:$BO$99,2)</calculatedColumnFormula>
    </tableColumn>
    <tableColumn id="4" xr3:uid="{00000000-0010-0000-0800-000004000000}" name="1998" dataDxfId="2481">
      <calculatedColumnFormula>VLOOKUP($A$3,'Property Base'!$AY$10:$BO$99,3)</calculatedColumnFormula>
    </tableColumn>
    <tableColumn id="5" xr3:uid="{00000000-0010-0000-0800-000005000000}" name="1999" dataDxfId="2480">
      <calculatedColumnFormula>VLOOKUP($A$3,'Property Base'!$AY$10:$BO$99,4)</calculatedColumnFormula>
    </tableColumn>
    <tableColumn id="6" xr3:uid="{00000000-0010-0000-0800-000006000000}" name="2000" dataDxfId="2479">
      <calculatedColumnFormula>VLOOKUP($A$3,'Property Base'!$AY$10:$BO$99,5)</calculatedColumnFormula>
    </tableColumn>
    <tableColumn id="7" xr3:uid="{00000000-0010-0000-0800-000007000000}" name="2001" dataDxfId="2478">
      <calculatedColumnFormula>VLOOKUP($A$3,'Property Base'!$AY$10:$BO$99,6)</calculatedColumnFormula>
    </tableColumn>
    <tableColumn id="8" xr3:uid="{00000000-0010-0000-0800-000008000000}" name="2002" dataDxfId="2477">
      <calculatedColumnFormula>VLOOKUP($A$3,'Property Base'!$AY$10:$BO$99,7)</calculatedColumnFormula>
    </tableColumn>
    <tableColumn id="9" xr3:uid="{00000000-0010-0000-0800-000009000000}" name="2003" dataDxfId="2476">
      <calculatedColumnFormula>VLOOKUP($A$3,'Property Base'!$AY$10:$BO$99,8)</calculatedColumnFormula>
    </tableColumn>
    <tableColumn id="10" xr3:uid="{00000000-0010-0000-0800-00000A000000}" name="2004" dataDxfId="2475">
      <calculatedColumnFormula>VLOOKUP($A$3,'Property Base'!$AY$10:$BO$99,9)</calculatedColumnFormula>
    </tableColumn>
    <tableColumn id="11" xr3:uid="{00000000-0010-0000-0800-00000B000000}" name="2005" dataDxfId="2474">
      <calculatedColumnFormula>VLOOKUP($A$3,'Property Base'!$AY$10:$BO$99,10)</calculatedColumnFormula>
    </tableColumn>
    <tableColumn id="12" xr3:uid="{00000000-0010-0000-0800-00000C000000}" name="2006" dataDxfId="2473">
      <calculatedColumnFormula>VLOOKUP($A$3,'Property Base'!$AY$10:$BO$99,11)</calculatedColumnFormula>
    </tableColumn>
    <tableColumn id="13" xr3:uid="{00000000-0010-0000-0800-00000D000000}" name="2007" dataDxfId="2472">
      <calculatedColumnFormula>VLOOKUP($A$3,'Property Base'!$AY$10:$BO$99,12)</calculatedColumnFormula>
    </tableColumn>
    <tableColumn id="14" xr3:uid="{00000000-0010-0000-0800-00000E000000}" name="2008" dataDxfId="2471">
      <calculatedColumnFormula>VLOOKUP($A$3,'Property Base'!$AY$10:$BO$99,13)</calculatedColumnFormula>
    </tableColumn>
    <tableColumn id="15" xr3:uid="{00000000-0010-0000-0800-00000F000000}" name="2009" dataDxfId="2470">
      <calculatedColumnFormula>VLOOKUP($A$3,'Property Base'!$AY$10:$BO$99,14)</calculatedColumnFormula>
    </tableColumn>
    <tableColumn id="16" xr3:uid="{00000000-0010-0000-0800-000010000000}" name="2010" dataDxfId="2469">
      <calculatedColumnFormula>VLOOKUP($A$3,'Property Base'!$AY$10:$BO$99,15)</calculatedColumnFormula>
    </tableColumn>
    <tableColumn id="17" xr3:uid="{00000000-0010-0000-0800-000011000000}" name="2011" dataDxfId="2468">
      <calculatedColumnFormula>VLOOKUP($A$3,'Property Base'!$AY$10:$BO$99,16)</calculatedColumnFormula>
    </tableColumn>
    <tableColumn id="18" xr3:uid="{00000000-0010-0000-0800-000012000000}" name="2012" dataDxfId="2467">
      <calculatedColumnFormula>VLOOKUP($A$3,'Property Base'!$AY$10:$BO$99,17)</calculatedColumnFormula>
    </tableColumn>
    <tableColumn id="19" xr3:uid="{00000000-0010-0000-0800-000013000000}" name="2013" dataDxfId="2466">
      <calculatedColumnFormula>INDEX(PropertyBaseAssessedValuesAGRTable[],MATCH($A$3,PropertyBaseAssessedValuesAGRTable[County]),MATCH(S20,PropertyBaseAssessedValuesAGRTable[#Headers]))</calculatedColumnFormula>
    </tableColumn>
    <tableColumn id="20" xr3:uid="{00000000-0010-0000-0800-000014000000}" name="2014" dataDxfId="2465"/>
    <tableColumn id="21" xr3:uid="{00000000-0010-0000-0800-000015000000}" name="2015" dataDxfId="2464"/>
    <tableColumn id="22" xr3:uid="{00000000-0010-0000-0800-000016000000}" name="2016" dataDxfId="2463"/>
    <tableColumn id="23" xr3:uid="{00000000-0010-0000-0800-000017000000}" name="2017" dataDxfId="2462"/>
  </tableColumns>
  <tableStyleInfo name="TableStyleMedium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59000000}" name="CountyDisbursementsFringeBenefits" displayName="CountyDisbursementsFringeBenefits" ref="DQ115:EM204" totalsRowShown="0" headerRowDxfId="547" dataDxfId="545" headerRowBorderDxfId="546" tableBorderDxfId="544" totalsRowBorderDxfId="543">
  <autoFilter ref="DQ115:EM204" xr:uid="{00000000-0009-0000-0100-000054000000}"/>
  <tableColumns count="23">
    <tableColumn id="1" xr3:uid="{00000000-0010-0000-5900-000001000000}" name="County" dataDxfId="542"/>
    <tableColumn id="2" xr3:uid="{00000000-0010-0000-5900-000002000000}" name="1996" dataDxfId="541">
      <calculatedColumnFormula>DR18</calculatedColumnFormula>
    </tableColumn>
    <tableColumn id="3" xr3:uid="{00000000-0010-0000-5900-000003000000}" name="1997" dataDxfId="540">
      <calculatedColumnFormula>DS18</calculatedColumnFormula>
    </tableColumn>
    <tableColumn id="4" xr3:uid="{00000000-0010-0000-5900-000004000000}" name="1998" dataDxfId="539">
      <calculatedColumnFormula>DT18</calculatedColumnFormula>
    </tableColumn>
    <tableColumn id="5" xr3:uid="{00000000-0010-0000-5900-000005000000}" name="1999" dataDxfId="538">
      <calculatedColumnFormula>DU18</calculatedColumnFormula>
    </tableColumn>
    <tableColumn id="6" xr3:uid="{00000000-0010-0000-5900-000006000000}" name="2000" dataDxfId="537">
      <calculatedColumnFormula>DV18</calculatedColumnFormula>
    </tableColumn>
    <tableColumn id="7" xr3:uid="{00000000-0010-0000-5900-000007000000}" name="2001" dataDxfId="536">
      <calculatedColumnFormula>DW18</calculatedColumnFormula>
    </tableColumn>
    <tableColumn id="8" xr3:uid="{00000000-0010-0000-5900-000008000000}" name="2002" dataDxfId="535">
      <calculatedColumnFormula>DX18</calculatedColumnFormula>
    </tableColumn>
    <tableColumn id="9" xr3:uid="{00000000-0010-0000-5900-000009000000}" name="2003" dataDxfId="534">
      <calculatedColumnFormula>DY18</calculatedColumnFormula>
    </tableColumn>
    <tableColumn id="10" xr3:uid="{00000000-0010-0000-5900-00000A000000}" name="2004" dataDxfId="533">
      <calculatedColumnFormula>DZ18</calculatedColumnFormula>
    </tableColumn>
    <tableColumn id="11" xr3:uid="{00000000-0010-0000-5900-00000B000000}" name="2005" dataDxfId="532">
      <calculatedColumnFormula>EA18</calculatedColumnFormula>
    </tableColumn>
    <tableColumn id="12" xr3:uid="{00000000-0010-0000-5900-00000C000000}" name="2006" dataDxfId="531">
      <calculatedColumnFormula>EB18</calculatedColumnFormula>
    </tableColumn>
    <tableColumn id="13" xr3:uid="{00000000-0010-0000-5900-00000D000000}" name="2007" dataDxfId="530">
      <calculatedColumnFormula>EC18</calculatedColumnFormula>
    </tableColumn>
    <tableColumn id="14" xr3:uid="{00000000-0010-0000-5900-00000E000000}" name="2008" dataDxfId="529">
      <calculatedColumnFormula>ED18</calculatedColumnFormula>
    </tableColumn>
    <tableColumn id="15" xr3:uid="{00000000-0010-0000-5900-00000F000000}" name="2009" dataDxfId="528">
      <calculatedColumnFormula>EE18</calculatedColumnFormula>
    </tableColumn>
    <tableColumn id="16" xr3:uid="{00000000-0010-0000-5900-000010000000}" name="2010" dataDxfId="527">
      <calculatedColumnFormula>EF18</calculatedColumnFormula>
    </tableColumn>
    <tableColumn id="17" xr3:uid="{00000000-0010-0000-5900-000011000000}" name="2011" dataDxfId="526">
      <calculatedColumnFormula>EG18</calculatedColumnFormula>
    </tableColumn>
    <tableColumn id="18" xr3:uid="{00000000-0010-0000-5900-000012000000}" name="2012" dataDxfId="525">
      <calculatedColumnFormula>EH18</calculatedColumnFormula>
    </tableColumn>
    <tableColumn id="19" xr3:uid="{00000000-0010-0000-5900-000013000000}" name="2013" dataDxfId="524">
      <calculatedColumnFormula>EI18</calculatedColumnFormula>
    </tableColumn>
    <tableColumn id="20" xr3:uid="{00000000-0010-0000-5900-000014000000}" name="2014" dataDxfId="523">
      <calculatedColumnFormula>EJ18</calculatedColumnFormula>
    </tableColumn>
    <tableColumn id="21" xr3:uid="{00000000-0010-0000-5900-000015000000}" name="2015" dataDxfId="522">
      <calculatedColumnFormula>EK18</calculatedColumnFormula>
    </tableColumn>
    <tableColumn id="22" xr3:uid="{00000000-0010-0000-5900-000016000000}" name="2016" dataDxfId="521">
      <calculatedColumnFormula>EL18</calculatedColumnFormula>
    </tableColumn>
    <tableColumn id="23" xr3:uid="{00000000-0010-0000-5900-000017000000}" name="2017" dataDxfId="520">
      <calculatedColumnFormula>EM18</calculatedColumnFormula>
    </tableColumn>
  </tableColumns>
  <tableStyleInfo name="TableStyleMedium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5A000000}" name="CountyDisbursementsProsecutingAttorney" displayName="CountyDisbursementsProsecutingAttorney" ref="FM115:GI204" totalsRowShown="0" headerRowDxfId="519" dataDxfId="517" headerRowBorderDxfId="518" tableBorderDxfId="516" totalsRowBorderDxfId="515">
  <autoFilter ref="FM115:GI204" xr:uid="{00000000-0009-0000-0100-000055000000}"/>
  <tableColumns count="23">
    <tableColumn id="1" xr3:uid="{00000000-0010-0000-5A00-000001000000}" name="County" dataDxfId="514"/>
    <tableColumn id="2" xr3:uid="{00000000-0010-0000-5A00-000002000000}" name="1996" dataDxfId="513">
      <calculatedColumnFormula>NV18</calculatedColumnFormula>
    </tableColumn>
    <tableColumn id="3" xr3:uid="{00000000-0010-0000-5A00-000003000000}" name="1997" dataDxfId="512">
      <calculatedColumnFormula>NW18</calculatedColumnFormula>
    </tableColumn>
    <tableColumn id="4" xr3:uid="{00000000-0010-0000-5A00-000004000000}" name="1998" dataDxfId="511">
      <calculatedColumnFormula>NX18</calculatedColumnFormula>
    </tableColumn>
    <tableColumn id="5" xr3:uid="{00000000-0010-0000-5A00-000005000000}" name="1999" dataDxfId="510">
      <calculatedColumnFormula>NY18</calculatedColumnFormula>
    </tableColumn>
    <tableColumn id="6" xr3:uid="{00000000-0010-0000-5A00-000006000000}" name="2000" dataDxfId="509">
      <calculatedColumnFormula>NZ18</calculatedColumnFormula>
    </tableColumn>
    <tableColumn id="7" xr3:uid="{00000000-0010-0000-5A00-000007000000}" name="2001" dataDxfId="508">
      <calculatedColumnFormula>OA18</calculatedColumnFormula>
    </tableColumn>
    <tableColumn id="8" xr3:uid="{00000000-0010-0000-5A00-000008000000}" name="2002" dataDxfId="507">
      <calculatedColumnFormula>OB18</calculatedColumnFormula>
    </tableColumn>
    <tableColumn id="9" xr3:uid="{00000000-0010-0000-5A00-000009000000}" name="2003" dataDxfId="506">
      <calculatedColumnFormula>OC18</calculatedColumnFormula>
    </tableColumn>
    <tableColumn id="10" xr3:uid="{00000000-0010-0000-5A00-00000A000000}" name="2004" dataDxfId="505">
      <calculatedColumnFormula>OD18</calculatedColumnFormula>
    </tableColumn>
    <tableColumn id="11" xr3:uid="{00000000-0010-0000-5A00-00000B000000}" name="2005" dataDxfId="504">
      <calculatedColumnFormula>OE18</calculatedColumnFormula>
    </tableColumn>
    <tableColumn id="12" xr3:uid="{00000000-0010-0000-5A00-00000C000000}" name="2006" dataDxfId="503">
      <calculatedColumnFormula>OF18</calculatedColumnFormula>
    </tableColumn>
    <tableColumn id="13" xr3:uid="{00000000-0010-0000-5A00-00000D000000}" name="2007" dataDxfId="502">
      <calculatedColumnFormula>OG18</calculatedColumnFormula>
    </tableColumn>
    <tableColumn id="14" xr3:uid="{00000000-0010-0000-5A00-00000E000000}" name="2008" dataDxfId="501">
      <calculatedColumnFormula>OH18</calculatedColumnFormula>
    </tableColumn>
    <tableColumn id="15" xr3:uid="{00000000-0010-0000-5A00-00000F000000}" name="2009" dataDxfId="500">
      <calculatedColumnFormula>OI18</calculatedColumnFormula>
    </tableColumn>
    <tableColumn id="16" xr3:uid="{00000000-0010-0000-5A00-000010000000}" name="2010" dataDxfId="499">
      <calculatedColumnFormula>OJ18</calculatedColumnFormula>
    </tableColumn>
    <tableColumn id="17" xr3:uid="{00000000-0010-0000-5A00-000011000000}" name="2011" dataDxfId="498">
      <calculatedColumnFormula>OK18</calculatedColumnFormula>
    </tableColumn>
    <tableColumn id="18" xr3:uid="{00000000-0010-0000-5A00-000012000000}" name="2012" dataDxfId="497">
      <calculatedColumnFormula>OL18</calculatedColumnFormula>
    </tableColumn>
    <tableColumn id="19" xr3:uid="{00000000-0010-0000-5A00-000013000000}" name="2013" dataDxfId="496">
      <calculatedColumnFormula>OM18</calculatedColumnFormula>
    </tableColumn>
    <tableColumn id="20" xr3:uid="{00000000-0010-0000-5A00-000014000000}" name="2014" dataDxfId="495">
      <calculatedColumnFormula>ON18</calculatedColumnFormula>
    </tableColumn>
    <tableColumn id="21" xr3:uid="{00000000-0010-0000-5A00-000015000000}" name="2015" dataDxfId="494">
      <calculatedColumnFormula>OO18</calculatedColumnFormula>
    </tableColumn>
    <tableColumn id="22" xr3:uid="{00000000-0010-0000-5A00-000016000000}" name="2016" dataDxfId="493">
      <calculatedColumnFormula>OP18</calculatedColumnFormula>
    </tableColumn>
    <tableColumn id="23" xr3:uid="{00000000-0010-0000-5A00-000017000000}" name="2017" dataDxfId="492">
      <calculatedColumnFormula>OQ18</calculatedColumnFormula>
    </tableColumn>
  </tableColumns>
  <tableStyleInfo name="TableStyleMedium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5B000000}" name="CountyDisbursementsPublicAdministrator" displayName="CountyDisbursementsPublicAdministrator" ref="BU115:CQ204" totalsRowShown="0" headerRowDxfId="491" dataDxfId="489" headerRowBorderDxfId="490" tableBorderDxfId="488" totalsRowBorderDxfId="487">
  <autoFilter ref="BU115:CQ204" xr:uid="{00000000-0009-0000-0100-000056000000}"/>
  <tableColumns count="23">
    <tableColumn id="1" xr3:uid="{00000000-0010-0000-5B00-000001000000}" name="County" dataDxfId="486"/>
    <tableColumn id="2" xr3:uid="{00000000-0010-0000-5B00-000002000000}" name="1996" dataDxfId="485">
      <calculatedColumnFormula>KD18+PR18</calculatedColumnFormula>
    </tableColumn>
    <tableColumn id="3" xr3:uid="{00000000-0010-0000-5B00-000003000000}" name="1997" dataDxfId="484">
      <calculatedColumnFormula>KE18+PS18</calculatedColumnFormula>
    </tableColumn>
    <tableColumn id="4" xr3:uid="{00000000-0010-0000-5B00-000004000000}" name="1998" dataDxfId="483">
      <calculatedColumnFormula>KF18+PT18</calculatedColumnFormula>
    </tableColumn>
    <tableColumn id="5" xr3:uid="{00000000-0010-0000-5B00-000005000000}" name="1999" dataDxfId="482">
      <calculatedColumnFormula>KG18+PU18</calculatedColumnFormula>
    </tableColumn>
    <tableColumn id="6" xr3:uid="{00000000-0010-0000-5B00-000006000000}" name="2000" dataDxfId="481">
      <calculatedColumnFormula>KH18+PV18</calculatedColumnFormula>
    </tableColumn>
    <tableColumn id="7" xr3:uid="{00000000-0010-0000-5B00-000007000000}" name="2001" dataDxfId="480">
      <calculatedColumnFormula>KI18+PW18</calculatedColumnFormula>
    </tableColumn>
    <tableColumn id="8" xr3:uid="{00000000-0010-0000-5B00-000008000000}" name="2002" dataDxfId="479">
      <calculatedColumnFormula>KJ18+PX18</calculatedColumnFormula>
    </tableColumn>
    <tableColumn id="9" xr3:uid="{00000000-0010-0000-5B00-000009000000}" name="2003" dataDxfId="478">
      <calculatedColumnFormula>KK18+PY18</calculatedColumnFormula>
    </tableColumn>
    <tableColumn id="10" xr3:uid="{00000000-0010-0000-5B00-00000A000000}" name="2004" dataDxfId="477">
      <calculatedColumnFormula>KL18+PZ18</calculatedColumnFormula>
    </tableColumn>
    <tableColumn id="11" xr3:uid="{00000000-0010-0000-5B00-00000B000000}" name="2005" dataDxfId="476">
      <calculatedColumnFormula>KM18+QA18</calculatedColumnFormula>
    </tableColumn>
    <tableColumn id="12" xr3:uid="{00000000-0010-0000-5B00-00000C000000}" name="2006" dataDxfId="475">
      <calculatedColumnFormula>KN18+QB18</calculatedColumnFormula>
    </tableColumn>
    <tableColumn id="13" xr3:uid="{00000000-0010-0000-5B00-00000D000000}" name="2007" dataDxfId="474">
      <calculatedColumnFormula>KO18+QC18</calculatedColumnFormula>
    </tableColumn>
    <tableColumn id="14" xr3:uid="{00000000-0010-0000-5B00-00000E000000}" name="2008" dataDxfId="473">
      <calculatedColumnFormula>KP18+QD18</calculatedColumnFormula>
    </tableColumn>
    <tableColumn id="15" xr3:uid="{00000000-0010-0000-5B00-00000F000000}" name="2009" dataDxfId="472">
      <calculatedColumnFormula>KQ18+QE18</calculatedColumnFormula>
    </tableColumn>
    <tableColumn id="16" xr3:uid="{00000000-0010-0000-5B00-000010000000}" name="2010" dataDxfId="471">
      <calculatedColumnFormula>KR18+QF18</calculatedColumnFormula>
    </tableColumn>
    <tableColumn id="17" xr3:uid="{00000000-0010-0000-5B00-000011000000}" name="2011" dataDxfId="470">
      <calculatedColumnFormula>KS18+QG18</calculatedColumnFormula>
    </tableColumn>
    <tableColumn id="18" xr3:uid="{00000000-0010-0000-5B00-000012000000}" name="2012" dataDxfId="469">
      <calculatedColumnFormula>KT18+QH18</calculatedColumnFormula>
    </tableColumn>
    <tableColumn id="19" xr3:uid="{00000000-0010-0000-5B00-000013000000}" name="2013" dataDxfId="468">
      <calculatedColumnFormula>KU18+QI18</calculatedColumnFormula>
    </tableColumn>
    <tableColumn id="20" xr3:uid="{00000000-0010-0000-5B00-000014000000}" name="2014" dataDxfId="467">
      <calculatedColumnFormula>KV18+QJ18</calculatedColumnFormula>
    </tableColumn>
    <tableColumn id="21" xr3:uid="{00000000-0010-0000-5B00-000015000000}" name="2015" dataDxfId="466">
      <calculatedColumnFormula>KW18+QK18</calculatedColumnFormula>
    </tableColumn>
    <tableColumn id="22" xr3:uid="{00000000-0010-0000-5B00-000016000000}" name="2016" dataDxfId="465">
      <calculatedColumnFormula>KX18+QL18</calculatedColumnFormula>
    </tableColumn>
    <tableColumn id="23" xr3:uid="{00000000-0010-0000-5B00-000017000000}" name="2017" dataDxfId="464">
      <calculatedColumnFormula>KY18+QM18</calculatedColumnFormula>
    </tableColumn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5C000000}" name="CountyDisbursementsOperatingTransfers" displayName="CountyDisbursementsOperatingTransfers" ref="GK115:HG204" totalsRowShown="0" headerRowDxfId="463" dataDxfId="461" headerRowBorderDxfId="462" tableBorderDxfId="460" totalsRowBorderDxfId="459">
  <autoFilter ref="GK115:HG204" xr:uid="{00000000-0009-0000-0100-000057000000}"/>
  <tableColumns count="23">
    <tableColumn id="1" xr3:uid="{00000000-0010-0000-5C00-000001000000}" name="County" dataDxfId="458"/>
    <tableColumn id="2" xr3:uid="{00000000-0010-0000-5C00-000002000000}" name="1996" dataDxfId="457">
      <calculatedColumnFormula>RN18</calculatedColumnFormula>
    </tableColumn>
    <tableColumn id="3" xr3:uid="{00000000-0010-0000-5C00-000003000000}" name="1997" dataDxfId="456">
      <calculatedColumnFormula>RO18</calculatedColumnFormula>
    </tableColumn>
    <tableColumn id="4" xr3:uid="{00000000-0010-0000-5C00-000004000000}" name="1998" dataDxfId="455">
      <calculatedColumnFormula>RP18</calculatedColumnFormula>
    </tableColumn>
    <tableColumn id="5" xr3:uid="{00000000-0010-0000-5C00-000005000000}" name="1999" dataDxfId="454">
      <calculatedColumnFormula>RQ18</calculatedColumnFormula>
    </tableColumn>
    <tableColumn id="6" xr3:uid="{00000000-0010-0000-5C00-000006000000}" name="2000" dataDxfId="453">
      <calculatedColumnFormula>RR18</calculatedColumnFormula>
    </tableColumn>
    <tableColumn id="7" xr3:uid="{00000000-0010-0000-5C00-000007000000}" name="2001" dataDxfId="452">
      <calculatedColumnFormula>RS18</calculatedColumnFormula>
    </tableColumn>
    <tableColumn id="8" xr3:uid="{00000000-0010-0000-5C00-000008000000}" name="2002" dataDxfId="451">
      <calculatedColumnFormula>RT18</calculatedColumnFormula>
    </tableColumn>
    <tableColumn id="9" xr3:uid="{00000000-0010-0000-5C00-000009000000}" name="2003" dataDxfId="450">
      <calculatedColumnFormula>RU18</calculatedColumnFormula>
    </tableColumn>
    <tableColumn id="10" xr3:uid="{00000000-0010-0000-5C00-00000A000000}" name="2004" dataDxfId="449">
      <calculatedColumnFormula>RV18</calculatedColumnFormula>
    </tableColumn>
    <tableColumn id="11" xr3:uid="{00000000-0010-0000-5C00-00000B000000}" name="2005" dataDxfId="448">
      <calculatedColumnFormula>RW18</calculatedColumnFormula>
    </tableColumn>
    <tableColumn id="12" xr3:uid="{00000000-0010-0000-5C00-00000C000000}" name="2006" dataDxfId="447">
      <calculatedColumnFormula>RX18</calculatedColumnFormula>
    </tableColumn>
    <tableColumn id="13" xr3:uid="{00000000-0010-0000-5C00-00000D000000}" name="2007" dataDxfId="446">
      <calculatedColumnFormula>RY18</calculatedColumnFormula>
    </tableColumn>
    <tableColumn id="14" xr3:uid="{00000000-0010-0000-5C00-00000E000000}" name="2008" dataDxfId="445">
      <calculatedColumnFormula>RZ18</calculatedColumnFormula>
    </tableColumn>
    <tableColumn id="15" xr3:uid="{00000000-0010-0000-5C00-00000F000000}" name="2009" dataDxfId="444">
      <calculatedColumnFormula>SA18</calculatedColumnFormula>
    </tableColumn>
    <tableColumn id="16" xr3:uid="{00000000-0010-0000-5C00-000010000000}" name="2010" dataDxfId="443">
      <calculatedColumnFormula>SB18</calculatedColumnFormula>
    </tableColumn>
    <tableColumn id="17" xr3:uid="{00000000-0010-0000-5C00-000011000000}" name="2011" dataDxfId="442">
      <calculatedColumnFormula>SC18</calculatedColumnFormula>
    </tableColumn>
    <tableColumn id="18" xr3:uid="{00000000-0010-0000-5C00-000012000000}" name="2012" dataDxfId="441">
      <calculatedColumnFormula>SD18</calculatedColumnFormula>
    </tableColumn>
    <tableColumn id="19" xr3:uid="{00000000-0010-0000-5C00-000013000000}" name="2013" dataDxfId="440">
      <calculatedColumnFormula>SE18</calculatedColumnFormula>
    </tableColumn>
    <tableColumn id="20" xr3:uid="{00000000-0010-0000-5C00-000014000000}" name="2014" dataDxfId="439">
      <calculatedColumnFormula>SF18</calculatedColumnFormula>
    </tableColumn>
    <tableColumn id="21" xr3:uid="{00000000-0010-0000-5C00-000015000000}" name="2015" dataDxfId="438">
      <calculatedColumnFormula>SG18</calculatedColumnFormula>
    </tableColumn>
    <tableColumn id="22" xr3:uid="{00000000-0010-0000-5C00-000016000000}" name="2016" dataDxfId="437">
      <calculatedColumnFormula>SH18</calculatedColumnFormula>
    </tableColumn>
    <tableColumn id="23" xr3:uid="{00000000-0010-0000-5C00-000017000000}" name="2017" dataDxfId="436">
      <calculatedColumnFormula>SI18</calculatedColumnFormula>
    </tableColumn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5D000000}" name="SpecialSalesTaxReceiptsTable" displayName="SpecialSalesTaxReceiptsTable" ref="A13:W102" totalsRowShown="0" headerRowDxfId="435" dataDxfId="433" headerRowBorderDxfId="434" tableBorderDxfId="432">
  <autoFilter ref="A13:W102" xr:uid="{00000000-0009-0000-0100-00001F000000}"/>
  <tableColumns count="23">
    <tableColumn id="1" xr3:uid="{00000000-0010-0000-5D00-000001000000}" name="County" dataDxfId="431"/>
    <tableColumn id="2" xr3:uid="{00000000-0010-0000-5D00-000002000000}" name="1996" dataDxfId="430"/>
    <tableColumn id="3" xr3:uid="{00000000-0010-0000-5D00-000003000000}" name="1997" dataDxfId="429"/>
    <tableColumn id="4" xr3:uid="{00000000-0010-0000-5D00-000004000000}" name="1998" dataDxfId="428"/>
    <tableColumn id="5" xr3:uid="{00000000-0010-0000-5D00-000005000000}" name="1999" dataDxfId="427"/>
    <tableColumn id="6" xr3:uid="{00000000-0010-0000-5D00-000006000000}" name="2000" dataDxfId="426"/>
    <tableColumn id="7" xr3:uid="{00000000-0010-0000-5D00-000007000000}" name="2001" dataDxfId="425"/>
    <tableColumn id="8" xr3:uid="{00000000-0010-0000-5D00-000008000000}" name="2002" dataDxfId="424"/>
    <tableColumn id="9" xr3:uid="{00000000-0010-0000-5D00-000009000000}" name="2003" dataDxfId="423"/>
    <tableColumn id="10" xr3:uid="{00000000-0010-0000-5D00-00000A000000}" name="2004" dataDxfId="422"/>
    <tableColumn id="11" xr3:uid="{00000000-0010-0000-5D00-00000B000000}" name="2005" dataDxfId="421"/>
    <tableColumn id="12" xr3:uid="{00000000-0010-0000-5D00-00000C000000}" name="2006" dataDxfId="420"/>
    <tableColumn id="13" xr3:uid="{00000000-0010-0000-5D00-00000D000000}" name="2007" dataDxfId="419"/>
    <tableColumn id="14" xr3:uid="{00000000-0010-0000-5D00-00000E000000}" name="2008" dataDxfId="418"/>
    <tableColumn id="15" xr3:uid="{00000000-0010-0000-5D00-00000F000000}" name="2009" dataDxfId="417"/>
    <tableColumn id="16" xr3:uid="{00000000-0010-0000-5D00-000010000000}" name="2010" dataDxfId="416"/>
    <tableColumn id="17" xr3:uid="{00000000-0010-0000-5D00-000011000000}" name="2011" dataDxfId="415"/>
    <tableColumn id="18" xr3:uid="{00000000-0010-0000-5D00-000012000000}" name="2012" dataDxfId="414"/>
    <tableColumn id="19" xr3:uid="{00000000-0010-0000-5D00-000013000000}" name="2013" dataDxfId="413"/>
    <tableColumn id="20" xr3:uid="{00000000-0010-0000-5D00-000014000000}" name="2014" dataDxfId="412"/>
    <tableColumn id="21" xr3:uid="{00000000-0010-0000-5D00-000015000000}" name="2015" dataDxfId="411"/>
    <tableColumn id="22" xr3:uid="{00000000-0010-0000-5D00-000016000000}" name="2016" dataDxfId="410"/>
    <tableColumn id="23" xr3:uid="{00000000-0010-0000-5D00-000017000000}" name="2017" dataDxfId="409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5E000000}" name="SpecialRoadandBridgeFundsTotalReceiptsTable" displayName="SpecialRoadandBridgeFundsTotalReceiptsTable" ref="A17:W106" totalsRowShown="0" headerRowDxfId="408" dataDxfId="406" headerRowBorderDxfId="407">
  <autoFilter ref="A17:W106" xr:uid="{00000000-0009-0000-0100-000020000000}"/>
  <tableColumns count="23">
    <tableColumn id="1" xr3:uid="{00000000-0010-0000-5E00-000001000000}" name="County" dataDxfId="405"/>
    <tableColumn id="2" xr3:uid="{00000000-0010-0000-5E00-000002000000}" name="1996" dataDxfId="404"/>
    <tableColumn id="3" xr3:uid="{00000000-0010-0000-5E00-000003000000}" name="1997" dataDxfId="403"/>
    <tableColumn id="4" xr3:uid="{00000000-0010-0000-5E00-000004000000}" name="1998" dataDxfId="402"/>
    <tableColumn id="5" xr3:uid="{00000000-0010-0000-5E00-000005000000}" name="1999" dataDxfId="401"/>
    <tableColumn id="6" xr3:uid="{00000000-0010-0000-5E00-000006000000}" name="2000" dataDxfId="400"/>
    <tableColumn id="7" xr3:uid="{00000000-0010-0000-5E00-000007000000}" name="2001" dataDxfId="399"/>
    <tableColumn id="8" xr3:uid="{00000000-0010-0000-5E00-000008000000}" name="2002" dataDxfId="398"/>
    <tableColumn id="9" xr3:uid="{00000000-0010-0000-5E00-000009000000}" name="2003" dataDxfId="397"/>
    <tableColumn id="10" xr3:uid="{00000000-0010-0000-5E00-00000A000000}" name="2004" dataDxfId="396"/>
    <tableColumn id="11" xr3:uid="{00000000-0010-0000-5E00-00000B000000}" name="2005" dataDxfId="395"/>
    <tableColumn id="12" xr3:uid="{00000000-0010-0000-5E00-00000C000000}" name="2006" dataDxfId="394"/>
    <tableColumn id="13" xr3:uid="{00000000-0010-0000-5E00-00000D000000}" name="2007" dataDxfId="393"/>
    <tableColumn id="14" xr3:uid="{00000000-0010-0000-5E00-00000E000000}" name="2008" dataDxfId="392"/>
    <tableColumn id="15" xr3:uid="{00000000-0010-0000-5E00-00000F000000}" name="2009" dataDxfId="391"/>
    <tableColumn id="16" xr3:uid="{00000000-0010-0000-5E00-000010000000}" name="2010" dataDxfId="390"/>
    <tableColumn id="17" xr3:uid="{00000000-0010-0000-5E00-000011000000}" name="2011" dataDxfId="389"/>
    <tableColumn id="18" xr3:uid="{00000000-0010-0000-5E00-000012000000}" name="2012" dataDxfId="388"/>
    <tableColumn id="19" xr3:uid="{00000000-0010-0000-5E00-000013000000}" name="2013" dataDxfId="387"/>
    <tableColumn id="20" xr3:uid="{00000000-0010-0000-5E00-000014000000}" name="2014" dataDxfId="386"/>
    <tableColumn id="21" xr3:uid="{00000000-0010-0000-5E00-000015000000}" name="2015" dataDxfId="385"/>
    <tableColumn id="22" xr3:uid="{00000000-0010-0000-5E00-000016000000}" name="2016" dataDxfId="384"/>
    <tableColumn id="23" xr3:uid="{00000000-0010-0000-5E00-000017000000}" name="2017" dataDxfId="383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5F000000}" name="SpecialRoadandBridgeFundsPropertyTaxesTable" displayName="SpecialRoadandBridgeFundsPropertyTaxesTable" ref="Y17:AU106" totalsRowShown="0" headerRowDxfId="382" dataDxfId="380" headerRowBorderDxfId="381" tableBorderDxfId="379">
  <autoFilter ref="Y17:AU106" xr:uid="{00000000-0009-0000-0100-000021000000}"/>
  <tableColumns count="23">
    <tableColumn id="1" xr3:uid="{00000000-0010-0000-5F00-000001000000}" name="County" dataDxfId="378"/>
    <tableColumn id="2" xr3:uid="{00000000-0010-0000-5F00-000002000000}" name="1996" dataDxfId="377"/>
    <tableColumn id="3" xr3:uid="{00000000-0010-0000-5F00-000003000000}" name="1997" dataDxfId="376"/>
    <tableColumn id="4" xr3:uid="{00000000-0010-0000-5F00-000004000000}" name="1998" dataDxfId="375"/>
    <tableColumn id="5" xr3:uid="{00000000-0010-0000-5F00-000005000000}" name="1999" dataDxfId="374"/>
    <tableColumn id="6" xr3:uid="{00000000-0010-0000-5F00-000006000000}" name="2000" dataDxfId="373"/>
    <tableColumn id="7" xr3:uid="{00000000-0010-0000-5F00-000007000000}" name="2001" dataDxfId="372"/>
    <tableColumn id="8" xr3:uid="{00000000-0010-0000-5F00-000008000000}" name="2002" dataDxfId="371"/>
    <tableColumn id="9" xr3:uid="{00000000-0010-0000-5F00-000009000000}" name="2003" dataDxfId="370"/>
    <tableColumn id="10" xr3:uid="{00000000-0010-0000-5F00-00000A000000}" name="2004" dataDxfId="369"/>
    <tableColumn id="11" xr3:uid="{00000000-0010-0000-5F00-00000B000000}" name="2005" dataDxfId="368"/>
    <tableColumn id="12" xr3:uid="{00000000-0010-0000-5F00-00000C000000}" name="2006" dataDxfId="367"/>
    <tableColumn id="13" xr3:uid="{00000000-0010-0000-5F00-00000D000000}" name="2007" dataDxfId="366"/>
    <tableColumn id="14" xr3:uid="{00000000-0010-0000-5F00-00000E000000}" name="2008" dataDxfId="365"/>
    <tableColumn id="15" xr3:uid="{00000000-0010-0000-5F00-00000F000000}" name="2009" dataDxfId="364"/>
    <tableColumn id="16" xr3:uid="{00000000-0010-0000-5F00-000010000000}" name="2010" dataDxfId="363"/>
    <tableColumn id="17" xr3:uid="{00000000-0010-0000-5F00-000011000000}" name="2011" dataDxfId="362"/>
    <tableColumn id="18" xr3:uid="{00000000-0010-0000-5F00-000012000000}" name="2012" dataDxfId="361"/>
    <tableColumn id="19" xr3:uid="{00000000-0010-0000-5F00-000013000000}" name="2013" dataDxfId="360"/>
    <tableColumn id="20" xr3:uid="{00000000-0010-0000-5F00-000014000000}" name="2014" dataDxfId="359"/>
    <tableColumn id="21" xr3:uid="{00000000-0010-0000-5F00-000015000000}" name="2015" dataDxfId="358"/>
    <tableColumn id="22" xr3:uid="{00000000-0010-0000-5F00-000016000000}" name="2016" dataDxfId="357"/>
    <tableColumn id="23" xr3:uid="{00000000-0010-0000-5F00-000017000000}" name="2017" dataDxfId="356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60000000}" name="SpecialRoadandBridgeFundsSalesTaxesTable" displayName="SpecialRoadandBridgeFundsSalesTaxesTable" ref="AW17:BS106" totalsRowShown="0" headerRowDxfId="355" dataDxfId="353" headerRowBorderDxfId="354" tableBorderDxfId="352">
  <autoFilter ref="AW17:BS106" xr:uid="{00000000-0009-0000-0100-000022000000}"/>
  <tableColumns count="23">
    <tableColumn id="1" xr3:uid="{00000000-0010-0000-6000-000001000000}" name="County" dataDxfId="351"/>
    <tableColumn id="2" xr3:uid="{00000000-0010-0000-6000-000002000000}" name="1996" dataDxfId="350"/>
    <tableColumn id="3" xr3:uid="{00000000-0010-0000-6000-000003000000}" name="1997" dataDxfId="349"/>
    <tableColumn id="4" xr3:uid="{00000000-0010-0000-6000-000004000000}" name="1998" dataDxfId="348"/>
    <tableColumn id="5" xr3:uid="{00000000-0010-0000-6000-000005000000}" name="1999" dataDxfId="347"/>
    <tableColumn id="6" xr3:uid="{00000000-0010-0000-6000-000006000000}" name="2000" dataDxfId="346"/>
    <tableColumn id="7" xr3:uid="{00000000-0010-0000-6000-000007000000}" name="2001" dataDxfId="345"/>
    <tableColumn id="8" xr3:uid="{00000000-0010-0000-6000-000008000000}" name="2002" dataDxfId="344"/>
    <tableColumn id="9" xr3:uid="{00000000-0010-0000-6000-000009000000}" name="2003" dataDxfId="343"/>
    <tableColumn id="10" xr3:uid="{00000000-0010-0000-6000-00000A000000}" name="2004" dataDxfId="342"/>
    <tableColumn id="11" xr3:uid="{00000000-0010-0000-6000-00000B000000}" name="2005" dataDxfId="341"/>
    <tableColumn id="12" xr3:uid="{00000000-0010-0000-6000-00000C000000}" name="2006" dataDxfId="340"/>
    <tableColumn id="13" xr3:uid="{00000000-0010-0000-6000-00000D000000}" name="2007" dataDxfId="339"/>
    <tableColumn id="14" xr3:uid="{00000000-0010-0000-6000-00000E000000}" name="2008" dataDxfId="338"/>
    <tableColumn id="15" xr3:uid="{00000000-0010-0000-6000-00000F000000}" name="2009" dataDxfId="337"/>
    <tableColumn id="16" xr3:uid="{00000000-0010-0000-6000-000010000000}" name="2010" dataDxfId="336"/>
    <tableColumn id="17" xr3:uid="{00000000-0010-0000-6000-000011000000}" name="2011" dataDxfId="335"/>
    <tableColumn id="18" xr3:uid="{00000000-0010-0000-6000-000012000000}" name="2012" dataDxfId="334"/>
    <tableColumn id="19" xr3:uid="{00000000-0010-0000-6000-000013000000}" name="2013" dataDxfId="333"/>
    <tableColumn id="20" xr3:uid="{00000000-0010-0000-6000-000014000000}" name="2014" dataDxfId="332"/>
    <tableColumn id="21" xr3:uid="{00000000-0010-0000-6000-000015000000}" name="2015" dataDxfId="331"/>
    <tableColumn id="22" xr3:uid="{00000000-0010-0000-6000-000016000000}" name="2016" dataDxfId="330"/>
    <tableColumn id="23" xr3:uid="{00000000-0010-0000-6000-000017000000}" name="2017" dataDxfId="329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61000000}" name="SpecialRoadandBridgeFundsIntergovernmentalTable" displayName="SpecialRoadandBridgeFundsIntergovernmentalTable" ref="BU17:CQ106" totalsRowShown="0" headerRowDxfId="328" dataDxfId="326" headerRowBorderDxfId="327" tableBorderDxfId="325">
  <autoFilter ref="BU17:CQ106" xr:uid="{00000000-0009-0000-0100-000023000000}"/>
  <tableColumns count="23">
    <tableColumn id="1" xr3:uid="{00000000-0010-0000-6100-000001000000}" name="County" dataDxfId="324"/>
    <tableColumn id="2" xr3:uid="{00000000-0010-0000-6100-000002000000}" name="1996" dataDxfId="323"/>
    <tableColumn id="3" xr3:uid="{00000000-0010-0000-6100-000003000000}" name="1997" dataDxfId="322"/>
    <tableColumn id="4" xr3:uid="{00000000-0010-0000-6100-000004000000}" name="1998" dataDxfId="321"/>
    <tableColumn id="5" xr3:uid="{00000000-0010-0000-6100-000005000000}" name="1999" dataDxfId="320"/>
    <tableColumn id="6" xr3:uid="{00000000-0010-0000-6100-000006000000}" name="2000" dataDxfId="319"/>
    <tableColumn id="7" xr3:uid="{00000000-0010-0000-6100-000007000000}" name="2001" dataDxfId="318"/>
    <tableColumn id="8" xr3:uid="{00000000-0010-0000-6100-000008000000}" name="2002" dataDxfId="317"/>
    <tableColumn id="9" xr3:uid="{00000000-0010-0000-6100-000009000000}" name="2003" dataDxfId="316"/>
    <tableColumn id="10" xr3:uid="{00000000-0010-0000-6100-00000A000000}" name="2004" dataDxfId="315"/>
    <tableColumn id="11" xr3:uid="{00000000-0010-0000-6100-00000B000000}" name="2005" dataDxfId="314"/>
    <tableColumn id="12" xr3:uid="{00000000-0010-0000-6100-00000C000000}" name="2006" dataDxfId="313"/>
    <tableColumn id="13" xr3:uid="{00000000-0010-0000-6100-00000D000000}" name="2007" dataDxfId="312"/>
    <tableColumn id="14" xr3:uid="{00000000-0010-0000-6100-00000E000000}" name="2008" dataDxfId="311"/>
    <tableColumn id="15" xr3:uid="{00000000-0010-0000-6100-00000F000000}" name="2009" dataDxfId="310"/>
    <tableColumn id="16" xr3:uid="{00000000-0010-0000-6100-000010000000}" name="2010" dataDxfId="309"/>
    <tableColumn id="17" xr3:uid="{00000000-0010-0000-6100-000011000000}" name="2011" dataDxfId="308"/>
    <tableColumn id="18" xr3:uid="{00000000-0010-0000-6100-000012000000}" name="2012" dataDxfId="307"/>
    <tableColumn id="19" xr3:uid="{00000000-0010-0000-6100-000013000000}" name="2013" dataDxfId="306"/>
    <tableColumn id="20" xr3:uid="{00000000-0010-0000-6100-000014000000}" name="2014" dataDxfId="305"/>
    <tableColumn id="21" xr3:uid="{00000000-0010-0000-6100-000015000000}" name="2015" dataDxfId="304"/>
    <tableColumn id="22" xr3:uid="{00000000-0010-0000-6100-000016000000}" name="2016" dataDxfId="303"/>
    <tableColumn id="23" xr3:uid="{00000000-0010-0000-6100-000017000000}" name="2017" dataDxfId="302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62000000}" name="SpecialRoadandBridgeFundsInterestTable" displayName="SpecialRoadandBridgeFundsInterestTable" ref="CS17:DO106" totalsRowShown="0" headerRowDxfId="301" dataDxfId="299" headerRowBorderDxfId="300" tableBorderDxfId="298">
  <autoFilter ref="CS17:DO106" xr:uid="{00000000-0009-0000-0100-000024000000}"/>
  <tableColumns count="23">
    <tableColumn id="1" xr3:uid="{00000000-0010-0000-6200-000001000000}" name="County" dataDxfId="297"/>
    <tableColumn id="2" xr3:uid="{00000000-0010-0000-6200-000002000000}" name="1996" dataDxfId="296"/>
    <tableColumn id="3" xr3:uid="{00000000-0010-0000-6200-000003000000}" name="1997" dataDxfId="295"/>
    <tableColumn id="4" xr3:uid="{00000000-0010-0000-6200-000004000000}" name="1998" dataDxfId="294"/>
    <tableColumn id="5" xr3:uid="{00000000-0010-0000-6200-000005000000}" name="1999" dataDxfId="293"/>
    <tableColumn id="6" xr3:uid="{00000000-0010-0000-6200-000006000000}" name="2000" dataDxfId="292"/>
    <tableColumn id="7" xr3:uid="{00000000-0010-0000-6200-000007000000}" name="2001" dataDxfId="291"/>
    <tableColumn id="8" xr3:uid="{00000000-0010-0000-6200-000008000000}" name="2002" dataDxfId="290"/>
    <tableColumn id="9" xr3:uid="{00000000-0010-0000-6200-000009000000}" name="2003" dataDxfId="289"/>
    <tableColumn id="10" xr3:uid="{00000000-0010-0000-6200-00000A000000}" name="2004" dataDxfId="288"/>
    <tableColumn id="11" xr3:uid="{00000000-0010-0000-6200-00000B000000}" name="2005" dataDxfId="287"/>
    <tableColumn id="12" xr3:uid="{00000000-0010-0000-6200-00000C000000}" name="2006" dataDxfId="286"/>
    <tableColumn id="13" xr3:uid="{00000000-0010-0000-6200-00000D000000}" name="2007" dataDxfId="285"/>
    <tableColumn id="14" xr3:uid="{00000000-0010-0000-6200-00000E000000}" name="2008" dataDxfId="284"/>
    <tableColumn id="15" xr3:uid="{00000000-0010-0000-6200-00000F000000}" name="2009" dataDxfId="283"/>
    <tableColumn id="16" xr3:uid="{00000000-0010-0000-6200-000010000000}" name="2010" dataDxfId="282"/>
    <tableColumn id="17" xr3:uid="{00000000-0010-0000-6200-000011000000}" name="2011" dataDxfId="281"/>
    <tableColumn id="18" xr3:uid="{00000000-0010-0000-6200-000012000000}" name="2012" dataDxfId="280"/>
    <tableColumn id="19" xr3:uid="{00000000-0010-0000-6200-000013000000}" name="2013" dataDxfId="279"/>
    <tableColumn id="20" xr3:uid="{00000000-0010-0000-6200-000014000000}" name="2014" dataDxfId="278"/>
    <tableColumn id="21" xr3:uid="{00000000-0010-0000-6200-000015000000}" name="2015" dataDxfId="277"/>
    <tableColumn id="22" xr3:uid="{00000000-0010-0000-6200-000016000000}" name="2016" dataDxfId="276"/>
    <tableColumn id="23" xr3:uid="{00000000-0010-0000-6200-000017000000}" name="2017" dataDxfId="27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tallmannj@missouri.ed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stallmannj@missouri.edu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12.bin"/><Relationship Id="rId5" Type="http://schemas.openxmlformats.org/officeDocument/2006/relationships/table" Target="../tables/table46.xml"/><Relationship Id="rId4" Type="http://schemas.openxmlformats.org/officeDocument/2006/relationships/table" Target="../tables/table4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dor.mo.gov/publicreports/" TargetMode="External"/><Relationship Id="rId6" Type="http://schemas.openxmlformats.org/officeDocument/2006/relationships/table" Target="../tables/table50.xml"/><Relationship Id="rId5" Type="http://schemas.openxmlformats.org/officeDocument/2006/relationships/table" Target="../tables/table49.xml"/><Relationship Id="rId4" Type="http://schemas.openxmlformats.org/officeDocument/2006/relationships/table" Target="../tables/table48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6.xml"/><Relationship Id="rId13" Type="http://schemas.openxmlformats.org/officeDocument/2006/relationships/table" Target="../tables/table61.xml"/><Relationship Id="rId3" Type="http://schemas.openxmlformats.org/officeDocument/2006/relationships/table" Target="../tables/table51.xml"/><Relationship Id="rId7" Type="http://schemas.openxmlformats.org/officeDocument/2006/relationships/table" Target="../tables/table55.xml"/><Relationship Id="rId12" Type="http://schemas.openxmlformats.org/officeDocument/2006/relationships/table" Target="../tables/table60.xml"/><Relationship Id="rId17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6" Type="http://schemas.openxmlformats.org/officeDocument/2006/relationships/table" Target="../tables/table64.xml"/><Relationship Id="rId1" Type="http://schemas.openxmlformats.org/officeDocument/2006/relationships/printerSettings" Target="../printerSettings/printerSettings14.bin"/><Relationship Id="rId6" Type="http://schemas.openxmlformats.org/officeDocument/2006/relationships/table" Target="../tables/table54.xml"/><Relationship Id="rId11" Type="http://schemas.openxmlformats.org/officeDocument/2006/relationships/table" Target="../tables/table59.xml"/><Relationship Id="rId5" Type="http://schemas.openxmlformats.org/officeDocument/2006/relationships/table" Target="../tables/table53.xml"/><Relationship Id="rId15" Type="http://schemas.openxmlformats.org/officeDocument/2006/relationships/table" Target="../tables/table63.xml"/><Relationship Id="rId10" Type="http://schemas.openxmlformats.org/officeDocument/2006/relationships/table" Target="../tables/table58.xml"/><Relationship Id="rId4" Type="http://schemas.openxmlformats.org/officeDocument/2006/relationships/table" Target="../tables/table52.xml"/><Relationship Id="rId9" Type="http://schemas.openxmlformats.org/officeDocument/2006/relationships/table" Target="../tables/table57.xml"/><Relationship Id="rId14" Type="http://schemas.openxmlformats.org/officeDocument/2006/relationships/table" Target="../tables/table62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0.xml"/><Relationship Id="rId13" Type="http://schemas.openxmlformats.org/officeDocument/2006/relationships/table" Target="../tables/table75.xml"/><Relationship Id="rId18" Type="http://schemas.openxmlformats.org/officeDocument/2006/relationships/table" Target="../tables/table80.xml"/><Relationship Id="rId26" Type="http://schemas.openxmlformats.org/officeDocument/2006/relationships/table" Target="../tables/table88.xml"/><Relationship Id="rId3" Type="http://schemas.openxmlformats.org/officeDocument/2006/relationships/table" Target="../tables/table65.xml"/><Relationship Id="rId21" Type="http://schemas.openxmlformats.org/officeDocument/2006/relationships/table" Target="../tables/table83.xml"/><Relationship Id="rId7" Type="http://schemas.openxmlformats.org/officeDocument/2006/relationships/table" Target="../tables/table69.xml"/><Relationship Id="rId12" Type="http://schemas.openxmlformats.org/officeDocument/2006/relationships/table" Target="../tables/table74.xml"/><Relationship Id="rId17" Type="http://schemas.openxmlformats.org/officeDocument/2006/relationships/table" Target="../tables/table79.xml"/><Relationship Id="rId25" Type="http://schemas.openxmlformats.org/officeDocument/2006/relationships/table" Target="../tables/table87.xml"/><Relationship Id="rId2" Type="http://schemas.openxmlformats.org/officeDocument/2006/relationships/vmlDrawing" Target="../drawings/vmlDrawing2.vml"/><Relationship Id="rId16" Type="http://schemas.openxmlformats.org/officeDocument/2006/relationships/table" Target="../tables/table78.xml"/><Relationship Id="rId20" Type="http://schemas.openxmlformats.org/officeDocument/2006/relationships/table" Target="../tables/table82.xml"/><Relationship Id="rId29" Type="http://schemas.openxmlformats.org/officeDocument/2006/relationships/table" Target="../tables/table91.xml"/><Relationship Id="rId1" Type="http://schemas.openxmlformats.org/officeDocument/2006/relationships/printerSettings" Target="../printerSettings/printerSettings15.bin"/><Relationship Id="rId6" Type="http://schemas.openxmlformats.org/officeDocument/2006/relationships/table" Target="../tables/table68.xml"/><Relationship Id="rId11" Type="http://schemas.openxmlformats.org/officeDocument/2006/relationships/table" Target="../tables/table73.xml"/><Relationship Id="rId24" Type="http://schemas.openxmlformats.org/officeDocument/2006/relationships/table" Target="../tables/table86.xml"/><Relationship Id="rId32" Type="http://schemas.openxmlformats.org/officeDocument/2006/relationships/comments" Target="../comments2.xml"/><Relationship Id="rId5" Type="http://schemas.openxmlformats.org/officeDocument/2006/relationships/table" Target="../tables/table67.xml"/><Relationship Id="rId15" Type="http://schemas.openxmlformats.org/officeDocument/2006/relationships/table" Target="../tables/table77.xml"/><Relationship Id="rId23" Type="http://schemas.openxmlformats.org/officeDocument/2006/relationships/table" Target="../tables/table85.xml"/><Relationship Id="rId28" Type="http://schemas.openxmlformats.org/officeDocument/2006/relationships/table" Target="../tables/table90.xml"/><Relationship Id="rId10" Type="http://schemas.openxmlformats.org/officeDocument/2006/relationships/table" Target="../tables/table72.xml"/><Relationship Id="rId19" Type="http://schemas.openxmlformats.org/officeDocument/2006/relationships/table" Target="../tables/table81.xml"/><Relationship Id="rId31" Type="http://schemas.openxmlformats.org/officeDocument/2006/relationships/table" Target="../tables/table93.xml"/><Relationship Id="rId4" Type="http://schemas.openxmlformats.org/officeDocument/2006/relationships/table" Target="../tables/table66.xml"/><Relationship Id="rId9" Type="http://schemas.openxmlformats.org/officeDocument/2006/relationships/table" Target="../tables/table71.xml"/><Relationship Id="rId14" Type="http://schemas.openxmlformats.org/officeDocument/2006/relationships/table" Target="../tables/table76.xml"/><Relationship Id="rId22" Type="http://schemas.openxmlformats.org/officeDocument/2006/relationships/table" Target="../tables/table84.xml"/><Relationship Id="rId27" Type="http://schemas.openxmlformats.org/officeDocument/2006/relationships/table" Target="../tables/table89.xml"/><Relationship Id="rId30" Type="http://schemas.openxmlformats.org/officeDocument/2006/relationships/table" Target="../tables/table9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4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0.xml"/><Relationship Id="rId3" Type="http://schemas.openxmlformats.org/officeDocument/2006/relationships/table" Target="../tables/table95.xml"/><Relationship Id="rId7" Type="http://schemas.openxmlformats.org/officeDocument/2006/relationships/table" Target="../tables/table99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98.xml"/><Relationship Id="rId5" Type="http://schemas.openxmlformats.org/officeDocument/2006/relationships/table" Target="../tables/table97.xml"/><Relationship Id="rId10" Type="http://schemas.openxmlformats.org/officeDocument/2006/relationships/comments" Target="../comments4.xml"/><Relationship Id="rId4" Type="http://schemas.openxmlformats.org/officeDocument/2006/relationships/table" Target="../tables/table96.xml"/><Relationship Id="rId9" Type="http://schemas.openxmlformats.org/officeDocument/2006/relationships/table" Target="../tables/table10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2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bea.gov/iTable/iTable.cfm?reqid=70&amp;step=1&amp;isuri=1&amp;acrdn=5" TargetMode="External"/><Relationship Id="rId6" Type="http://schemas.openxmlformats.org/officeDocument/2006/relationships/table" Target="../tables/table105.xml"/><Relationship Id="rId5" Type="http://schemas.openxmlformats.org/officeDocument/2006/relationships/table" Target="../tables/table104.xml"/><Relationship Id="rId4" Type="http://schemas.openxmlformats.org/officeDocument/2006/relationships/table" Target="../tables/table10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6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bls.gov/cpi/" TargetMode="External"/><Relationship Id="rId6" Type="http://schemas.openxmlformats.org/officeDocument/2006/relationships/table" Target="../tables/table109.xml"/><Relationship Id="rId5" Type="http://schemas.openxmlformats.org/officeDocument/2006/relationships/table" Target="../tables/table108.xml"/><Relationship Id="rId4" Type="http://schemas.openxmlformats.org/officeDocument/2006/relationships/table" Target="../tables/table10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pp.auditor.mo.gov/Repository/Press/2005-80.htm" TargetMode="External"/><Relationship Id="rId1" Type="http://schemas.openxmlformats.org/officeDocument/2006/relationships/hyperlink" Target="http://app.auditor.mo.gov/AuditReports/AudRpt2.aspx?id=4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.xml"/><Relationship Id="rId3" Type="http://schemas.openxmlformats.org/officeDocument/2006/relationships/table" Target="../tables/table7.xml"/><Relationship Id="rId7" Type="http://schemas.openxmlformats.org/officeDocument/2006/relationships/table" Target="../tables/table1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.xml"/><Relationship Id="rId3" Type="http://schemas.openxmlformats.org/officeDocument/2006/relationships/table" Target="../tables/table13.xml"/><Relationship Id="rId7" Type="http://schemas.openxmlformats.org/officeDocument/2006/relationships/table" Target="../tables/table1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6.xml"/><Relationship Id="rId5" Type="http://schemas.openxmlformats.org/officeDocument/2006/relationships/table" Target="../tables/table15.xml"/><Relationship Id="rId4" Type="http://schemas.openxmlformats.org/officeDocument/2006/relationships/table" Target="../tables/table14.xml"/><Relationship Id="rId9" Type="http://schemas.openxmlformats.org/officeDocument/2006/relationships/table" Target="../tables/table1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5.xml"/><Relationship Id="rId3" Type="http://schemas.openxmlformats.org/officeDocument/2006/relationships/table" Target="../tables/table20.xml"/><Relationship Id="rId7" Type="http://schemas.openxmlformats.org/officeDocument/2006/relationships/table" Target="../tables/table24.xml"/><Relationship Id="rId12" Type="http://schemas.openxmlformats.org/officeDocument/2006/relationships/table" Target="../tables/table2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3.xml"/><Relationship Id="rId11" Type="http://schemas.openxmlformats.org/officeDocument/2006/relationships/table" Target="../tables/table28.xml"/><Relationship Id="rId5" Type="http://schemas.openxmlformats.org/officeDocument/2006/relationships/table" Target="../tables/table22.xml"/><Relationship Id="rId10" Type="http://schemas.openxmlformats.org/officeDocument/2006/relationships/table" Target="../tables/table27.xml"/><Relationship Id="rId4" Type="http://schemas.openxmlformats.org/officeDocument/2006/relationships/table" Target="../tables/table21.xml"/><Relationship Id="rId9" Type="http://schemas.openxmlformats.org/officeDocument/2006/relationships/table" Target="../tables/table2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3.xml"/><Relationship Id="rId5" Type="http://schemas.openxmlformats.org/officeDocument/2006/relationships/table" Target="../tables/table32.xml"/><Relationship Id="rId4" Type="http://schemas.openxmlformats.org/officeDocument/2006/relationships/table" Target="../tables/table3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9.xml"/><Relationship Id="rId3" Type="http://schemas.openxmlformats.org/officeDocument/2006/relationships/table" Target="../tables/table34.xml"/><Relationship Id="rId7" Type="http://schemas.openxmlformats.org/officeDocument/2006/relationships/table" Target="../tables/table3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5" Type="http://schemas.openxmlformats.org/officeDocument/2006/relationships/table" Target="../tables/table36.xml"/><Relationship Id="rId10" Type="http://schemas.openxmlformats.org/officeDocument/2006/relationships/table" Target="../tables/table41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32"/>
  <sheetViews>
    <sheetView tabSelected="1" workbookViewId="0">
      <selection activeCell="B1" sqref="B1"/>
    </sheetView>
  </sheetViews>
  <sheetFormatPr baseColWidth="10" defaultColWidth="9.1640625" defaultRowHeight="13"/>
  <cols>
    <col min="1" max="1" width="117.1640625" style="556" customWidth="1"/>
    <col min="2" max="16384" width="9.1640625" style="148"/>
  </cols>
  <sheetData>
    <row r="1" spans="1:2">
      <c r="A1" s="74"/>
      <c r="B1" s="2"/>
    </row>
    <row r="2" spans="1:2" s="133" customFormat="1" ht="15">
      <c r="A2" s="84"/>
    </row>
    <row r="3" spans="1:2" s="133" customFormat="1" ht="43.5" customHeight="1">
      <c r="A3" s="84"/>
    </row>
    <row r="4" spans="1:2" s="133" customFormat="1" ht="15">
      <c r="A4" s="84"/>
    </row>
    <row r="5" spans="1:2" s="133" customFormat="1" ht="15">
      <c r="A5" s="84"/>
    </row>
    <row r="6" spans="1:2" s="133" customFormat="1" ht="29.25" customHeight="1">
      <c r="A6" s="140" t="s">
        <v>653</v>
      </c>
    </row>
    <row r="7" spans="1:2" s="133" customFormat="1" ht="17.25" customHeight="1">
      <c r="A7" s="132" t="s">
        <v>633</v>
      </c>
    </row>
    <row r="8" spans="1:2" s="133" customFormat="1" ht="15">
      <c r="A8" s="85" t="s">
        <v>496</v>
      </c>
    </row>
    <row r="9" spans="1:2" s="133" customFormat="1" ht="15">
      <c r="A9" s="527" t="s">
        <v>97</v>
      </c>
    </row>
    <row r="10" spans="1:2" s="133" customFormat="1" ht="15">
      <c r="A10" s="84"/>
    </row>
    <row r="11" spans="1:2" s="133" customFormat="1" ht="15">
      <c r="A11" s="85" t="s">
        <v>658</v>
      </c>
    </row>
    <row r="12" spans="1:2">
      <c r="A12" s="968" t="s">
        <v>656</v>
      </c>
      <c r="B12" s="2"/>
    </row>
    <row r="13" spans="1:2">
      <c r="B13" s="2"/>
    </row>
    <row r="14" spans="1:2">
      <c r="A14" s="74" t="s">
        <v>242</v>
      </c>
    </row>
    <row r="15" spans="1:2">
      <c r="A15" s="400" t="s">
        <v>438</v>
      </c>
    </row>
    <row r="17" spans="1:1" ht="15">
      <c r="A17" s="398" t="s">
        <v>512</v>
      </c>
    </row>
    <row r="18" spans="1:1">
      <c r="A18" s="399" t="s">
        <v>476</v>
      </c>
    </row>
    <row r="19" spans="1:1">
      <c r="A19" s="74"/>
    </row>
    <row r="20" spans="1:1">
      <c r="A20" s="74"/>
    </row>
    <row r="21" spans="1:1">
      <c r="A21" s="400" t="s">
        <v>469</v>
      </c>
    </row>
    <row r="22" spans="1:1">
      <c r="A22" s="400" t="s">
        <v>498</v>
      </c>
    </row>
    <row r="23" spans="1:1">
      <c r="A23" s="74"/>
    </row>
    <row r="24" spans="1:1">
      <c r="A24" s="2"/>
    </row>
    <row r="25" spans="1:1">
      <c r="A25" s="557" t="s">
        <v>497</v>
      </c>
    </row>
    <row r="26" spans="1:1">
      <c r="A26" s="400" t="s">
        <v>657</v>
      </c>
    </row>
    <row r="27" spans="1:1">
      <c r="A27" s="400" t="s">
        <v>654</v>
      </c>
    </row>
    <row r="28" spans="1:1">
      <c r="A28" s="400" t="s">
        <v>655</v>
      </c>
    </row>
    <row r="29" spans="1:1" s="391" customFormat="1">
      <c r="A29" s="400" t="s">
        <v>659</v>
      </c>
    </row>
    <row r="30" spans="1:1">
      <c r="A30" s="74"/>
    </row>
    <row r="31" spans="1:1">
      <c r="A31" s="74"/>
    </row>
    <row r="32" spans="1:1">
      <c r="A32" s="74"/>
    </row>
  </sheetData>
  <hyperlinks>
    <hyperlink ref="A9" r:id="rId1" xr:uid="{00000000-0004-0000-0000-000000000000}"/>
  </hyperlinks>
  <pageMargins left="0.7" right="0.7" top="0.75" bottom="0.75" header="0.3" footer="0.3"/>
  <pageSetup orientation="portrait" horizontalDpi="300" verticalDpi="3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50"/>
    <pageSetUpPr fitToPage="1"/>
  </sheetPr>
  <dimension ref="A1:S186"/>
  <sheetViews>
    <sheetView zoomScaleNormal="100" workbookViewId="0">
      <selection activeCell="B6" sqref="B6"/>
    </sheetView>
  </sheetViews>
  <sheetFormatPr baseColWidth="10" defaultColWidth="9.1640625" defaultRowHeight="13"/>
  <cols>
    <col min="1" max="1" width="25.6640625" style="99" customWidth="1"/>
    <col min="2" max="2" width="50.33203125" style="148" customWidth="1"/>
    <col min="3" max="3" width="15.83203125" style="148" bestFit="1" customWidth="1"/>
    <col min="4" max="4" width="77.83203125" style="148" customWidth="1"/>
    <col min="5" max="5" width="104.83203125" style="148" customWidth="1"/>
    <col min="6" max="6" width="11.6640625" style="148" customWidth="1"/>
    <col min="7" max="16384" width="9.1640625" style="148"/>
  </cols>
  <sheetData>
    <row r="1" spans="1:10">
      <c r="A1" s="99" t="s">
        <v>93</v>
      </c>
      <c r="C1" s="2"/>
    </row>
    <row r="2" spans="1:10">
      <c r="A2" s="549" t="s">
        <v>505</v>
      </c>
      <c r="B2" s="91"/>
      <c r="C2" s="91"/>
      <c r="D2" s="91"/>
      <c r="E2" s="91"/>
      <c r="F2" s="91"/>
    </row>
    <row r="3" spans="1:10">
      <c r="A3" s="145" t="s">
        <v>265</v>
      </c>
    </row>
    <row r="4" spans="1:10">
      <c r="A4" s="99" t="s">
        <v>95</v>
      </c>
      <c r="D4" s="839" t="s">
        <v>504</v>
      </c>
      <c r="E4" s="840"/>
    </row>
    <row r="5" spans="1:10">
      <c r="A5" s="99" t="s">
        <v>539</v>
      </c>
      <c r="D5" s="840" t="s">
        <v>642</v>
      </c>
      <c r="E5" s="840"/>
    </row>
    <row r="6" spans="1:10" ht="12.75" customHeight="1">
      <c r="D6" s="834" t="s">
        <v>534</v>
      </c>
      <c r="E6" s="835"/>
      <c r="F6" s="14"/>
      <c r="G6" s="14"/>
      <c r="H6" s="14"/>
      <c r="I6" s="14"/>
      <c r="J6" s="14"/>
    </row>
    <row r="7" spans="1:10">
      <c r="A7" s="99" t="s">
        <v>96</v>
      </c>
      <c r="D7" s="834" t="s">
        <v>575</v>
      </c>
      <c r="E7" s="837"/>
      <c r="F7" s="18"/>
      <c r="G7" s="18"/>
      <c r="H7" s="18"/>
      <c r="I7" s="18"/>
      <c r="J7" s="18"/>
    </row>
    <row r="8" spans="1:10">
      <c r="A8" s="100" t="s">
        <v>97</v>
      </c>
      <c r="B8" s="12"/>
      <c r="D8" s="834" t="s">
        <v>576</v>
      </c>
      <c r="E8" s="838"/>
      <c r="F8" s="207"/>
      <c r="G8" s="207"/>
      <c r="H8" s="207"/>
      <c r="I8" s="207"/>
      <c r="J8" s="207"/>
    </row>
    <row r="9" spans="1:10">
      <c r="D9" s="848" t="s">
        <v>577</v>
      </c>
      <c r="E9" s="562"/>
      <c r="F9" s="207"/>
      <c r="G9" s="207"/>
      <c r="H9" s="207"/>
      <c r="I9" s="207"/>
      <c r="J9" s="207"/>
    </row>
    <row r="10" spans="1:10">
      <c r="A10" s="977" t="s">
        <v>226</v>
      </c>
      <c r="B10" s="978"/>
      <c r="C10" s="978"/>
      <c r="D10" s="978"/>
    </row>
    <row r="11" spans="1:10">
      <c r="A11" s="101" t="s">
        <v>238</v>
      </c>
      <c r="B11" s="98" t="s">
        <v>182</v>
      </c>
      <c r="C11" s="98" t="s">
        <v>180</v>
      </c>
      <c r="D11" s="98" t="s">
        <v>225</v>
      </c>
    </row>
    <row r="12" spans="1:10">
      <c r="A12" s="846" t="s">
        <v>181</v>
      </c>
      <c r="B12" s="845" t="s">
        <v>105</v>
      </c>
      <c r="C12" s="846" t="s">
        <v>527</v>
      </c>
      <c r="D12" s="845" t="s">
        <v>237</v>
      </c>
    </row>
    <row r="13" spans="1:10">
      <c r="A13" s="846" t="s">
        <v>183</v>
      </c>
      <c r="B13" s="845" t="s">
        <v>320</v>
      </c>
      <c r="C13" s="846" t="s">
        <v>527</v>
      </c>
      <c r="D13" s="845" t="s">
        <v>269</v>
      </c>
    </row>
    <row r="14" spans="1:10">
      <c r="A14" s="847" t="s">
        <v>233</v>
      </c>
      <c r="B14" s="846" t="s">
        <v>244</v>
      </c>
      <c r="C14" s="844" t="s">
        <v>528</v>
      </c>
      <c r="D14" s="843" t="s">
        <v>245</v>
      </c>
      <c r="E14" s="711"/>
    </row>
    <row r="15" spans="1:10">
      <c r="A15" s="847" t="s">
        <v>233</v>
      </c>
      <c r="B15" s="846" t="s">
        <v>232</v>
      </c>
      <c r="C15" s="844" t="s">
        <v>528</v>
      </c>
      <c r="D15" s="843" t="s">
        <v>245</v>
      </c>
      <c r="E15" s="711"/>
    </row>
    <row r="16" spans="1:10">
      <c r="A16" s="847" t="s">
        <v>239</v>
      </c>
      <c r="B16" s="846" t="s">
        <v>243</v>
      </c>
      <c r="C16" s="846" t="s">
        <v>527</v>
      </c>
      <c r="D16" s="845" t="s">
        <v>274</v>
      </c>
    </row>
    <row r="17" spans="1:5">
      <c r="A17" s="102" t="s">
        <v>401</v>
      </c>
      <c r="B17" s="97" t="s">
        <v>405</v>
      </c>
      <c r="C17" s="102" t="s">
        <v>462</v>
      </c>
      <c r="D17" s="97" t="s">
        <v>271</v>
      </c>
    </row>
    <row r="18" spans="1:5">
      <c r="A18" s="102" t="s">
        <v>401</v>
      </c>
      <c r="B18" s="97" t="s">
        <v>405</v>
      </c>
      <c r="C18" s="263" t="s">
        <v>578</v>
      </c>
      <c r="D18" s="261" t="s">
        <v>322</v>
      </c>
      <c r="E18" s="841"/>
    </row>
    <row r="19" spans="1:5">
      <c r="A19" s="102" t="s">
        <v>401</v>
      </c>
      <c r="B19" s="97" t="s">
        <v>405</v>
      </c>
      <c r="C19" s="263" t="s">
        <v>579</v>
      </c>
      <c r="D19" s="261" t="s">
        <v>515</v>
      </c>
      <c r="E19" s="841"/>
    </row>
    <row r="20" spans="1:5">
      <c r="A20" s="102" t="s">
        <v>401</v>
      </c>
      <c r="B20" s="97" t="s">
        <v>405</v>
      </c>
      <c r="C20" s="263">
        <v>2016</v>
      </c>
      <c r="D20" s="261" t="s">
        <v>516</v>
      </c>
      <c r="E20" s="711"/>
    </row>
    <row r="21" spans="1:5" s="659" customFormat="1">
      <c r="A21" s="102" t="s">
        <v>401</v>
      </c>
      <c r="B21" s="97" t="s">
        <v>405</v>
      </c>
      <c r="C21" s="263">
        <v>2017</v>
      </c>
      <c r="D21" s="261" t="s">
        <v>517</v>
      </c>
    </row>
    <row r="22" spans="1:5">
      <c r="A22" s="102" t="s">
        <v>401</v>
      </c>
      <c r="B22" s="97" t="s">
        <v>186</v>
      </c>
      <c r="C22" s="102" t="s">
        <v>462</v>
      </c>
      <c r="D22" s="97" t="s">
        <v>271</v>
      </c>
    </row>
    <row r="23" spans="1:5">
      <c r="A23" s="102" t="s">
        <v>401</v>
      </c>
      <c r="B23" s="97" t="s">
        <v>186</v>
      </c>
      <c r="C23" s="263" t="s">
        <v>521</v>
      </c>
      <c r="D23" s="261" t="s">
        <v>323</v>
      </c>
    </row>
    <row r="24" spans="1:5">
      <c r="A24" s="102" t="s">
        <v>401</v>
      </c>
      <c r="B24" s="97" t="s">
        <v>186</v>
      </c>
      <c r="C24" s="263">
        <v>2016</v>
      </c>
      <c r="D24" s="261" t="s">
        <v>349</v>
      </c>
    </row>
    <row r="25" spans="1:5">
      <c r="A25" s="102" t="s">
        <v>401</v>
      </c>
      <c r="B25" s="97" t="s">
        <v>186</v>
      </c>
      <c r="C25" s="263">
        <v>2017</v>
      </c>
      <c r="D25" s="261" t="s">
        <v>302</v>
      </c>
    </row>
    <row r="26" spans="1:5">
      <c r="A26" s="102" t="s">
        <v>401</v>
      </c>
      <c r="B26" s="97" t="s">
        <v>187</v>
      </c>
      <c r="C26" s="102" t="s">
        <v>462</v>
      </c>
      <c r="D26" s="97" t="s">
        <v>271</v>
      </c>
    </row>
    <row r="27" spans="1:5">
      <c r="A27" s="102" t="s">
        <v>401</v>
      </c>
      <c r="B27" s="97" t="s">
        <v>187</v>
      </c>
      <c r="C27" s="263" t="s">
        <v>521</v>
      </c>
      <c r="D27" s="261" t="s">
        <v>344</v>
      </c>
    </row>
    <row r="28" spans="1:5">
      <c r="A28" s="102" t="s">
        <v>401</v>
      </c>
      <c r="B28" s="97" t="s">
        <v>187</v>
      </c>
      <c r="C28" s="263">
        <v>2016</v>
      </c>
      <c r="D28" s="261" t="s">
        <v>350</v>
      </c>
    </row>
    <row r="29" spans="1:5">
      <c r="A29" s="102" t="s">
        <v>401</v>
      </c>
      <c r="B29" s="97" t="s">
        <v>187</v>
      </c>
      <c r="C29" s="263">
        <v>2017</v>
      </c>
      <c r="D29" s="261" t="s">
        <v>303</v>
      </c>
    </row>
    <row r="30" spans="1:5">
      <c r="A30" s="102" t="s">
        <v>401</v>
      </c>
      <c r="B30" s="97" t="s">
        <v>188</v>
      </c>
      <c r="C30" s="102" t="s">
        <v>462</v>
      </c>
      <c r="D30" s="97" t="s">
        <v>271</v>
      </c>
    </row>
    <row r="31" spans="1:5">
      <c r="A31" s="102" t="s">
        <v>401</v>
      </c>
      <c r="B31" s="97" t="s">
        <v>188</v>
      </c>
      <c r="C31" s="263" t="s">
        <v>521</v>
      </c>
      <c r="D31" s="261" t="s">
        <v>324</v>
      </c>
    </row>
    <row r="32" spans="1:5">
      <c r="A32" s="102" t="s">
        <v>401</v>
      </c>
      <c r="B32" s="97" t="s">
        <v>188</v>
      </c>
      <c r="C32" s="263">
        <v>2016</v>
      </c>
      <c r="D32" s="261" t="s">
        <v>351</v>
      </c>
    </row>
    <row r="33" spans="1:5">
      <c r="A33" s="102" t="s">
        <v>401</v>
      </c>
      <c r="B33" s="97" t="s">
        <v>188</v>
      </c>
      <c r="C33" s="263">
        <v>2017</v>
      </c>
      <c r="D33" s="261" t="s">
        <v>304</v>
      </c>
    </row>
    <row r="34" spans="1:5">
      <c r="A34" s="102" t="s">
        <v>401</v>
      </c>
      <c r="B34" s="97" t="s">
        <v>189</v>
      </c>
      <c r="C34" s="102" t="s">
        <v>462</v>
      </c>
      <c r="D34" s="97" t="s">
        <v>271</v>
      </c>
    </row>
    <row r="35" spans="1:5">
      <c r="A35" s="102" t="s">
        <v>401</v>
      </c>
      <c r="B35" s="97" t="s">
        <v>189</v>
      </c>
      <c r="C35" s="263" t="s">
        <v>521</v>
      </c>
      <c r="D35" s="261" t="s">
        <v>325</v>
      </c>
    </row>
    <row r="36" spans="1:5">
      <c r="A36" s="102" t="s">
        <v>401</v>
      </c>
      <c r="B36" s="97" t="s">
        <v>189</v>
      </c>
      <c r="C36" s="263">
        <v>2016</v>
      </c>
      <c r="D36" s="261" t="s">
        <v>352</v>
      </c>
    </row>
    <row r="37" spans="1:5">
      <c r="A37" s="102" t="s">
        <v>401</v>
      </c>
      <c r="B37" s="97" t="s">
        <v>189</v>
      </c>
      <c r="C37" s="263">
        <v>2017</v>
      </c>
      <c r="D37" s="261" t="s">
        <v>305</v>
      </c>
    </row>
    <row r="38" spans="1:5">
      <c r="A38" s="102" t="s">
        <v>401</v>
      </c>
      <c r="B38" s="97" t="s">
        <v>190</v>
      </c>
      <c r="C38" s="102" t="s">
        <v>462</v>
      </c>
      <c r="D38" s="97" t="s">
        <v>271</v>
      </c>
    </row>
    <row r="39" spans="1:5">
      <c r="A39" s="102" t="s">
        <v>401</v>
      </c>
      <c r="B39" s="97" t="s">
        <v>190</v>
      </c>
      <c r="C39" s="263" t="s">
        <v>521</v>
      </c>
      <c r="D39" s="261" t="s">
        <v>326</v>
      </c>
    </row>
    <row r="40" spans="1:5">
      <c r="A40" s="102" t="s">
        <v>401</v>
      </c>
      <c r="B40" s="97" t="s">
        <v>190</v>
      </c>
      <c r="C40" s="263">
        <v>2016</v>
      </c>
      <c r="D40" s="261" t="s">
        <v>353</v>
      </c>
    </row>
    <row r="41" spans="1:5">
      <c r="A41" s="102" t="s">
        <v>401</v>
      </c>
      <c r="B41" s="97" t="s">
        <v>190</v>
      </c>
      <c r="C41" s="263">
        <v>2017</v>
      </c>
      <c r="D41" s="261" t="s">
        <v>306</v>
      </c>
    </row>
    <row r="42" spans="1:5">
      <c r="A42" s="102" t="s">
        <v>401</v>
      </c>
      <c r="B42" s="97" t="s">
        <v>191</v>
      </c>
      <c r="C42" s="102" t="s">
        <v>462</v>
      </c>
      <c r="D42" s="97" t="s">
        <v>271</v>
      </c>
      <c r="E42" s="2"/>
    </row>
    <row r="43" spans="1:5">
      <c r="A43" s="102" t="s">
        <v>401</v>
      </c>
      <c r="B43" s="97" t="s">
        <v>191</v>
      </c>
      <c r="C43" s="263" t="s">
        <v>578</v>
      </c>
      <c r="D43" s="261" t="s">
        <v>327</v>
      </c>
      <c r="E43" s="841"/>
    </row>
    <row r="44" spans="1:5">
      <c r="A44" s="102" t="s">
        <v>401</v>
      </c>
      <c r="B44" s="97" t="s">
        <v>191</v>
      </c>
      <c r="C44" s="263" t="s">
        <v>579</v>
      </c>
      <c r="D44" s="261" t="s">
        <v>518</v>
      </c>
      <c r="E44" s="841"/>
    </row>
    <row r="45" spans="1:5">
      <c r="A45" s="102" t="s">
        <v>401</v>
      </c>
      <c r="B45" s="97" t="s">
        <v>191</v>
      </c>
      <c r="C45" s="263">
        <v>2016</v>
      </c>
      <c r="D45" s="261" t="s">
        <v>519</v>
      </c>
    </row>
    <row r="46" spans="1:5" s="659" customFormat="1">
      <c r="A46" s="102" t="s">
        <v>401</v>
      </c>
      <c r="B46" s="97" t="s">
        <v>191</v>
      </c>
      <c r="C46" s="263">
        <v>2017</v>
      </c>
      <c r="D46" s="261" t="s">
        <v>520</v>
      </c>
    </row>
    <row r="47" spans="1:5">
      <c r="A47" s="102" t="s">
        <v>401</v>
      </c>
      <c r="B47" s="97" t="s">
        <v>408</v>
      </c>
      <c r="C47" s="102" t="s">
        <v>462</v>
      </c>
      <c r="D47" s="97" t="s">
        <v>271</v>
      </c>
    </row>
    <row r="48" spans="1:5">
      <c r="A48" s="102" t="s">
        <v>401</v>
      </c>
      <c r="B48" s="97" t="s">
        <v>408</v>
      </c>
      <c r="C48" s="263" t="s">
        <v>521</v>
      </c>
      <c r="D48" s="261" t="s">
        <v>425</v>
      </c>
      <c r="E48" s="2"/>
    </row>
    <row r="49" spans="1:5">
      <c r="A49" s="102" t="s">
        <v>401</v>
      </c>
      <c r="B49" s="97" t="s">
        <v>408</v>
      </c>
      <c r="C49" s="263">
        <v>2016</v>
      </c>
      <c r="D49" s="261" t="s">
        <v>467</v>
      </c>
      <c r="E49" s="2"/>
    </row>
    <row r="50" spans="1:5">
      <c r="A50" s="102" t="s">
        <v>401</v>
      </c>
      <c r="B50" s="97" t="s">
        <v>408</v>
      </c>
      <c r="C50" s="263">
        <v>2017</v>
      </c>
      <c r="D50" s="261" t="s">
        <v>466</v>
      </c>
      <c r="E50" s="2"/>
    </row>
    <row r="51" spans="1:5">
      <c r="A51" s="497" t="s">
        <v>402</v>
      </c>
      <c r="B51" s="494" t="s">
        <v>184</v>
      </c>
      <c r="C51" s="497" t="s">
        <v>462</v>
      </c>
      <c r="D51" s="494" t="s">
        <v>271</v>
      </c>
    </row>
    <row r="52" spans="1:5">
      <c r="A52" s="497" t="s">
        <v>402</v>
      </c>
      <c r="B52" s="494" t="s">
        <v>184</v>
      </c>
      <c r="C52" s="497" t="s">
        <v>521</v>
      </c>
      <c r="D52" s="494" t="s">
        <v>388</v>
      </c>
    </row>
    <row r="53" spans="1:5">
      <c r="A53" s="497" t="s">
        <v>402</v>
      </c>
      <c r="B53" s="494" t="s">
        <v>184</v>
      </c>
      <c r="C53" s="497">
        <v>2016</v>
      </c>
      <c r="D53" s="494" t="s">
        <v>185</v>
      </c>
    </row>
    <row r="54" spans="1:5">
      <c r="A54" s="497" t="s">
        <v>402</v>
      </c>
      <c r="B54" s="494" t="s">
        <v>184</v>
      </c>
      <c r="C54" s="497">
        <v>2017</v>
      </c>
      <c r="D54" s="494" t="s">
        <v>307</v>
      </c>
    </row>
    <row r="55" spans="1:5">
      <c r="A55" s="497" t="s">
        <v>402</v>
      </c>
      <c r="B55" s="494" t="s">
        <v>192</v>
      </c>
      <c r="C55" s="841" t="s">
        <v>462</v>
      </c>
      <c r="D55" s="713" t="s">
        <v>271</v>
      </c>
    </row>
    <row r="56" spans="1:5">
      <c r="A56" s="497" t="s">
        <v>402</v>
      </c>
      <c r="B56" s="494" t="s">
        <v>192</v>
      </c>
      <c r="C56" s="497" t="s">
        <v>521</v>
      </c>
      <c r="D56" s="494" t="s">
        <v>389</v>
      </c>
    </row>
    <row r="57" spans="1:5">
      <c r="A57" s="497" t="s">
        <v>402</v>
      </c>
      <c r="B57" s="494" t="s">
        <v>192</v>
      </c>
      <c r="C57" s="497">
        <v>2016</v>
      </c>
      <c r="D57" s="494" t="s">
        <v>196</v>
      </c>
    </row>
    <row r="58" spans="1:5">
      <c r="A58" s="497" t="s">
        <v>402</v>
      </c>
      <c r="B58" s="494" t="s">
        <v>192</v>
      </c>
      <c r="C58" s="497">
        <v>2017</v>
      </c>
      <c r="D58" s="494" t="s">
        <v>308</v>
      </c>
    </row>
    <row r="59" spans="1:5">
      <c r="A59" s="497" t="s">
        <v>402</v>
      </c>
      <c r="B59" s="494" t="s">
        <v>193</v>
      </c>
      <c r="C59" s="841" t="s">
        <v>462</v>
      </c>
      <c r="D59" s="713" t="s">
        <v>271</v>
      </c>
    </row>
    <row r="60" spans="1:5">
      <c r="A60" s="497" t="s">
        <v>402</v>
      </c>
      <c r="B60" s="494" t="s">
        <v>193</v>
      </c>
      <c r="C60" s="497" t="s">
        <v>521</v>
      </c>
      <c r="D60" s="494" t="s">
        <v>390</v>
      </c>
    </row>
    <row r="61" spans="1:5">
      <c r="A61" s="497" t="s">
        <v>402</v>
      </c>
      <c r="B61" s="494" t="s">
        <v>193</v>
      </c>
      <c r="C61" s="497">
        <v>2016</v>
      </c>
      <c r="D61" s="494" t="s">
        <v>197</v>
      </c>
    </row>
    <row r="62" spans="1:5">
      <c r="A62" s="497" t="s">
        <v>402</v>
      </c>
      <c r="B62" s="494" t="s">
        <v>193</v>
      </c>
      <c r="C62" s="497">
        <v>2017</v>
      </c>
      <c r="D62" s="494" t="s">
        <v>309</v>
      </c>
    </row>
    <row r="63" spans="1:5">
      <c r="A63" s="497" t="s">
        <v>402</v>
      </c>
      <c r="B63" s="494" t="s">
        <v>194</v>
      </c>
      <c r="C63" s="841" t="s">
        <v>462</v>
      </c>
      <c r="D63" s="713" t="s">
        <v>271</v>
      </c>
    </row>
    <row r="64" spans="1:5">
      <c r="A64" s="497" t="s">
        <v>402</v>
      </c>
      <c r="B64" s="494" t="s">
        <v>194</v>
      </c>
      <c r="C64" s="497" t="s">
        <v>521</v>
      </c>
      <c r="D64" s="494" t="s">
        <v>393</v>
      </c>
    </row>
    <row r="65" spans="1:19">
      <c r="A65" s="497" t="s">
        <v>402</v>
      </c>
      <c r="B65" s="494" t="s">
        <v>194</v>
      </c>
      <c r="C65" s="497">
        <v>2016</v>
      </c>
      <c r="D65" s="494" t="s">
        <v>198</v>
      </c>
    </row>
    <row r="66" spans="1:19">
      <c r="A66" s="497" t="s">
        <v>402</v>
      </c>
      <c r="B66" s="494" t="s">
        <v>194</v>
      </c>
      <c r="C66" s="497">
        <v>2017</v>
      </c>
      <c r="D66" s="494" t="s">
        <v>310</v>
      </c>
    </row>
    <row r="67" spans="1:19">
      <c r="A67" s="497" t="s">
        <v>402</v>
      </c>
      <c r="B67" s="494" t="s">
        <v>195</v>
      </c>
      <c r="C67" s="841" t="s">
        <v>462</v>
      </c>
      <c r="D67" s="713" t="s">
        <v>271</v>
      </c>
    </row>
    <row r="68" spans="1:19">
      <c r="A68" s="497" t="s">
        <v>402</v>
      </c>
      <c r="B68" s="494" t="s">
        <v>195</v>
      </c>
      <c r="C68" s="497" t="s">
        <v>521</v>
      </c>
      <c r="D68" s="494" t="s">
        <v>391</v>
      </c>
    </row>
    <row r="69" spans="1:19">
      <c r="A69" s="497" t="s">
        <v>402</v>
      </c>
      <c r="B69" s="494" t="s">
        <v>195</v>
      </c>
      <c r="C69" s="497">
        <v>2016</v>
      </c>
      <c r="D69" s="494" t="s">
        <v>199</v>
      </c>
    </row>
    <row r="70" spans="1:19">
      <c r="A70" s="497" t="s">
        <v>402</v>
      </c>
      <c r="B70" s="494" t="s">
        <v>195</v>
      </c>
      <c r="C70" s="497">
        <v>2017</v>
      </c>
      <c r="D70" s="494" t="s">
        <v>311</v>
      </c>
    </row>
    <row r="71" spans="1:19">
      <c r="A71" s="497" t="s">
        <v>402</v>
      </c>
      <c r="B71" s="494" t="s">
        <v>460</v>
      </c>
      <c r="C71" s="841" t="s">
        <v>462</v>
      </c>
      <c r="D71" s="713" t="s">
        <v>271</v>
      </c>
    </row>
    <row r="72" spans="1:19">
      <c r="A72" s="497" t="s">
        <v>402</v>
      </c>
      <c r="B72" s="494" t="s">
        <v>460</v>
      </c>
      <c r="C72" s="497" t="s">
        <v>521</v>
      </c>
      <c r="D72" s="494" t="s">
        <v>392</v>
      </c>
    </row>
    <row r="73" spans="1:19">
      <c r="A73" s="497" t="s">
        <v>402</v>
      </c>
      <c r="B73" s="494" t="s">
        <v>460</v>
      </c>
      <c r="C73" s="497">
        <v>2016</v>
      </c>
      <c r="D73" s="494" t="s">
        <v>200</v>
      </c>
    </row>
    <row r="74" spans="1:19">
      <c r="A74" s="497" t="s">
        <v>402</v>
      </c>
      <c r="B74" s="494" t="s">
        <v>460</v>
      </c>
      <c r="C74" s="497">
        <v>2017</v>
      </c>
      <c r="D74" s="494" t="s">
        <v>312</v>
      </c>
    </row>
    <row r="75" spans="1:19">
      <c r="A75" s="497" t="s">
        <v>402</v>
      </c>
      <c r="B75" s="494" t="s">
        <v>406</v>
      </c>
      <c r="C75" s="841" t="s">
        <v>462</v>
      </c>
      <c r="D75" s="713" t="s">
        <v>271</v>
      </c>
    </row>
    <row r="76" spans="1:19">
      <c r="A76" s="497" t="s">
        <v>402</v>
      </c>
      <c r="B76" s="494" t="s">
        <v>406</v>
      </c>
      <c r="C76" s="497" t="s">
        <v>521</v>
      </c>
      <c r="D76" s="494" t="s">
        <v>394</v>
      </c>
      <c r="E76" s="2"/>
    </row>
    <row r="77" spans="1:19">
      <c r="A77" s="497" t="s">
        <v>402</v>
      </c>
      <c r="B77" s="494" t="s">
        <v>406</v>
      </c>
      <c r="C77" s="497">
        <v>2016</v>
      </c>
      <c r="D77" s="494" t="s">
        <v>395</v>
      </c>
    </row>
    <row r="78" spans="1:19">
      <c r="A78" s="497" t="s">
        <v>402</v>
      </c>
      <c r="B78" s="494" t="s">
        <v>406</v>
      </c>
      <c r="C78" s="497">
        <v>2017</v>
      </c>
      <c r="D78" s="494" t="s">
        <v>396</v>
      </c>
      <c r="E78" s="2"/>
      <c r="F78" s="588"/>
    </row>
    <row r="79" spans="1:19">
      <c r="A79" s="496" t="s">
        <v>403</v>
      </c>
      <c r="B79" s="495" t="s">
        <v>224</v>
      </c>
      <c r="C79" s="102" t="s">
        <v>462</v>
      </c>
      <c r="D79" s="97" t="s">
        <v>271</v>
      </c>
      <c r="N79" s="446"/>
      <c r="O79" s="2"/>
      <c r="P79" s="2"/>
      <c r="Q79" s="2"/>
      <c r="R79" s="2"/>
      <c r="S79" s="2"/>
    </row>
    <row r="80" spans="1:19" s="875" customFormat="1">
      <c r="A80" s="496" t="s">
        <v>403</v>
      </c>
      <c r="B80" s="495" t="s">
        <v>224</v>
      </c>
      <c r="C80" s="496" t="s">
        <v>580</v>
      </c>
      <c r="D80" s="495" t="s">
        <v>236</v>
      </c>
      <c r="E80" s="874" t="s">
        <v>602</v>
      </c>
      <c r="F80" s="446"/>
      <c r="G80" s="148"/>
      <c r="H80" s="148"/>
      <c r="I80" s="148"/>
      <c r="J80" s="148"/>
      <c r="K80" s="148"/>
      <c r="L80" s="148"/>
      <c r="M80" s="148"/>
      <c r="N80" s="446"/>
      <c r="O80" s="2"/>
      <c r="P80" s="2"/>
      <c r="Q80" s="2"/>
      <c r="R80" s="2"/>
      <c r="S80" s="2"/>
    </row>
    <row r="81" spans="1:13">
      <c r="A81" s="496" t="s">
        <v>403</v>
      </c>
      <c r="B81" s="495" t="s">
        <v>224</v>
      </c>
      <c r="C81" s="496" t="s">
        <v>581</v>
      </c>
      <c r="D81" s="495" t="s">
        <v>397</v>
      </c>
      <c r="E81" s="880" t="s">
        <v>643</v>
      </c>
      <c r="F81" s="105"/>
    </row>
    <row r="82" spans="1:13">
      <c r="A82" s="496" t="s">
        <v>403</v>
      </c>
      <c r="B82" s="495" t="s">
        <v>224</v>
      </c>
      <c r="C82" s="496">
        <v>2017</v>
      </c>
      <c r="D82" s="495" t="s">
        <v>236</v>
      </c>
      <c r="E82" s="881" t="s">
        <v>603</v>
      </c>
      <c r="F82" s="446"/>
    </row>
    <row r="83" spans="1:13">
      <c r="A83" s="102" t="s">
        <v>404</v>
      </c>
      <c r="B83" s="97" t="s">
        <v>201</v>
      </c>
      <c r="C83" s="102" t="s">
        <v>462</v>
      </c>
      <c r="D83" s="97" t="s">
        <v>271</v>
      </c>
      <c r="E83" s="941" t="s">
        <v>632</v>
      </c>
      <c r="G83" s="2"/>
      <c r="H83" s="2"/>
      <c r="I83" s="2"/>
      <c r="J83" s="2"/>
      <c r="K83" s="2"/>
    </row>
    <row r="84" spans="1:13">
      <c r="A84" s="102" t="s">
        <v>404</v>
      </c>
      <c r="B84" s="97" t="s">
        <v>201</v>
      </c>
      <c r="C84" s="263" t="s">
        <v>521</v>
      </c>
      <c r="D84" s="261" t="s">
        <v>328</v>
      </c>
      <c r="F84" s="2"/>
      <c r="G84" s="2"/>
      <c r="H84" s="2"/>
      <c r="I84" s="2"/>
      <c r="J84" s="2"/>
      <c r="K84" s="2"/>
    </row>
    <row r="85" spans="1:13">
      <c r="A85" s="102" t="s">
        <v>404</v>
      </c>
      <c r="B85" s="97" t="s">
        <v>201</v>
      </c>
      <c r="C85" s="263">
        <v>2016</v>
      </c>
      <c r="D85" s="261" t="s">
        <v>357</v>
      </c>
    </row>
    <row r="86" spans="1:13">
      <c r="A86" s="102" t="s">
        <v>404</v>
      </c>
      <c r="B86" s="97" t="s">
        <v>201</v>
      </c>
      <c r="C86" s="263">
        <v>2017</v>
      </c>
      <c r="D86" s="261" t="s">
        <v>359</v>
      </c>
    </row>
    <row r="87" spans="1:13">
      <c r="A87" s="102" t="s">
        <v>404</v>
      </c>
      <c r="B87" s="97" t="s">
        <v>202</v>
      </c>
      <c r="C87" s="102" t="s">
        <v>462</v>
      </c>
      <c r="D87" s="97" t="s">
        <v>271</v>
      </c>
    </row>
    <row r="88" spans="1:13">
      <c r="A88" s="102" t="s">
        <v>404</v>
      </c>
      <c r="B88" s="97" t="s">
        <v>202</v>
      </c>
      <c r="C88" s="263" t="s">
        <v>521</v>
      </c>
      <c r="D88" s="261" t="s">
        <v>329</v>
      </c>
    </row>
    <row r="89" spans="1:13">
      <c r="A89" s="102" t="s">
        <v>404</v>
      </c>
      <c r="B89" s="97" t="s">
        <v>202</v>
      </c>
      <c r="C89" s="263">
        <v>2016</v>
      </c>
      <c r="D89" s="261" t="s">
        <v>361</v>
      </c>
    </row>
    <row r="90" spans="1:13">
      <c r="A90" s="102" t="s">
        <v>404</v>
      </c>
      <c r="B90" s="97" t="s">
        <v>202</v>
      </c>
      <c r="C90" s="263">
        <v>2017</v>
      </c>
      <c r="D90" s="261" t="s">
        <v>360</v>
      </c>
    </row>
    <row r="91" spans="1:13">
      <c r="A91" s="102" t="s">
        <v>404</v>
      </c>
      <c r="B91" s="97" t="s">
        <v>203</v>
      </c>
      <c r="C91" s="102" t="s">
        <v>462</v>
      </c>
      <c r="D91" s="97" t="s">
        <v>271</v>
      </c>
    </row>
    <row r="92" spans="1:13">
      <c r="A92" s="102" t="s">
        <v>404</v>
      </c>
      <c r="B92" s="97" t="s">
        <v>203</v>
      </c>
      <c r="C92" s="263" t="s">
        <v>463</v>
      </c>
      <c r="D92" s="261" t="s">
        <v>330</v>
      </c>
      <c r="E92" s="662"/>
      <c r="H92" s="2"/>
      <c r="I92" s="2"/>
      <c r="J92" s="2"/>
      <c r="K92" s="2"/>
      <c r="L92" s="2"/>
      <c r="M92" s="2"/>
    </row>
    <row r="93" spans="1:13" s="425" customFormat="1">
      <c r="A93" s="102" t="s">
        <v>404</v>
      </c>
      <c r="B93" s="97" t="s">
        <v>203</v>
      </c>
      <c r="C93" s="263" t="s">
        <v>522</v>
      </c>
      <c r="D93" s="261" t="s">
        <v>362</v>
      </c>
      <c r="E93" s="2"/>
      <c r="H93" s="2"/>
      <c r="I93" s="2"/>
      <c r="J93" s="2"/>
      <c r="K93" s="2"/>
      <c r="L93" s="2"/>
      <c r="M93" s="2"/>
    </row>
    <row r="94" spans="1:13">
      <c r="A94" s="102" t="s">
        <v>404</v>
      </c>
      <c r="B94" s="97" t="s">
        <v>203</v>
      </c>
      <c r="C94" s="263">
        <v>2016</v>
      </c>
      <c r="D94" s="261" t="s">
        <v>313</v>
      </c>
      <c r="E94" s="2"/>
      <c r="F94" s="2"/>
      <c r="G94" s="2"/>
      <c r="H94" s="2"/>
      <c r="I94" s="2"/>
      <c r="J94" s="2"/>
    </row>
    <row r="95" spans="1:13">
      <c r="A95" s="102" t="s">
        <v>404</v>
      </c>
      <c r="B95" s="97" t="s">
        <v>203</v>
      </c>
      <c r="C95" s="263">
        <v>2017</v>
      </c>
      <c r="D95" s="261" t="s">
        <v>363</v>
      </c>
      <c r="E95" s="2"/>
    </row>
    <row r="96" spans="1:13">
      <c r="A96" s="102" t="s">
        <v>404</v>
      </c>
      <c r="B96" s="97" t="s">
        <v>204</v>
      </c>
      <c r="C96" s="102" t="s">
        <v>462</v>
      </c>
      <c r="D96" s="97" t="s">
        <v>271</v>
      </c>
      <c r="E96" s="2"/>
    </row>
    <row r="97" spans="1:7">
      <c r="A97" s="102" t="s">
        <v>404</v>
      </c>
      <c r="B97" s="97" t="s">
        <v>204</v>
      </c>
      <c r="C97" s="263" t="s">
        <v>463</v>
      </c>
      <c r="D97" s="261" t="s">
        <v>331</v>
      </c>
      <c r="E97" s="662"/>
    </row>
    <row r="98" spans="1:7" s="394" customFormat="1">
      <c r="A98" s="102" t="s">
        <v>404</v>
      </c>
      <c r="B98" s="97" t="s">
        <v>204</v>
      </c>
      <c r="C98" s="263" t="s">
        <v>522</v>
      </c>
      <c r="D98" s="261" t="s">
        <v>332</v>
      </c>
      <c r="E98" s="2"/>
    </row>
    <row r="99" spans="1:7">
      <c r="A99" s="102" t="s">
        <v>404</v>
      </c>
      <c r="B99" s="97" t="s">
        <v>204</v>
      </c>
      <c r="C99" s="263">
        <v>2016</v>
      </c>
      <c r="D99" s="261" t="s">
        <v>220</v>
      </c>
      <c r="E99" s="2"/>
    </row>
    <row r="100" spans="1:7">
      <c r="A100" s="102" t="s">
        <v>404</v>
      </c>
      <c r="B100" s="97" t="s">
        <v>204</v>
      </c>
      <c r="C100" s="263">
        <v>2017</v>
      </c>
      <c r="D100" s="261" t="s">
        <v>378</v>
      </c>
      <c r="E100" s="2"/>
    </row>
    <row r="101" spans="1:7">
      <c r="A101" s="102" t="s">
        <v>404</v>
      </c>
      <c r="B101" s="97" t="s">
        <v>205</v>
      </c>
      <c r="C101" s="102" t="s">
        <v>462</v>
      </c>
      <c r="D101" s="97" t="s">
        <v>271</v>
      </c>
      <c r="E101" s="2"/>
    </row>
    <row r="102" spans="1:7">
      <c r="A102" s="102" t="s">
        <v>404</v>
      </c>
      <c r="B102" s="97" t="s">
        <v>205</v>
      </c>
      <c r="C102" s="263" t="s">
        <v>463</v>
      </c>
      <c r="D102" s="261" t="s">
        <v>332</v>
      </c>
      <c r="E102" s="662"/>
    </row>
    <row r="103" spans="1:7" s="394" customFormat="1">
      <c r="A103" s="102" t="s">
        <v>404</v>
      </c>
      <c r="B103" s="97" t="s">
        <v>205</v>
      </c>
      <c r="C103" s="263" t="s">
        <v>522</v>
      </c>
      <c r="D103" s="261" t="s">
        <v>333</v>
      </c>
      <c r="E103" s="2"/>
      <c r="F103" s="2"/>
      <c r="G103" s="2"/>
    </row>
    <row r="104" spans="1:7">
      <c r="A104" s="102" t="s">
        <v>404</v>
      </c>
      <c r="B104" s="97" t="s">
        <v>205</v>
      </c>
      <c r="C104" s="263">
        <v>2016</v>
      </c>
      <c r="D104" s="261" t="s">
        <v>221</v>
      </c>
      <c r="E104" s="2"/>
    </row>
    <row r="105" spans="1:7">
      <c r="A105" s="102" t="s">
        <v>404</v>
      </c>
      <c r="B105" s="97" t="s">
        <v>205</v>
      </c>
      <c r="C105" s="263">
        <v>2017</v>
      </c>
      <c r="D105" s="261" t="s">
        <v>377</v>
      </c>
      <c r="E105" s="2"/>
    </row>
    <row r="106" spans="1:7">
      <c r="A106" s="102" t="s">
        <v>404</v>
      </c>
      <c r="B106" s="97" t="s">
        <v>206</v>
      </c>
      <c r="C106" s="102" t="s">
        <v>462</v>
      </c>
      <c r="D106" s="97" t="s">
        <v>271</v>
      </c>
      <c r="E106" s="2"/>
    </row>
    <row r="107" spans="1:7">
      <c r="A107" s="102" t="s">
        <v>404</v>
      </c>
      <c r="B107" s="97" t="s">
        <v>206</v>
      </c>
      <c r="C107" s="263" t="s">
        <v>463</v>
      </c>
      <c r="D107" s="261" t="s">
        <v>333</v>
      </c>
      <c r="E107" s="662"/>
    </row>
    <row r="108" spans="1:7" s="394" customFormat="1">
      <c r="A108" s="102" t="s">
        <v>404</v>
      </c>
      <c r="B108" s="97" t="s">
        <v>206</v>
      </c>
      <c r="C108" s="263" t="s">
        <v>522</v>
      </c>
      <c r="D108" s="261" t="s">
        <v>343</v>
      </c>
      <c r="E108" s="2"/>
      <c r="F108" s="2"/>
      <c r="G108" s="2"/>
    </row>
    <row r="109" spans="1:7">
      <c r="A109" s="102" t="s">
        <v>404</v>
      </c>
      <c r="B109" s="97" t="s">
        <v>206</v>
      </c>
      <c r="C109" s="263">
        <v>2016</v>
      </c>
      <c r="D109" s="261" t="s">
        <v>222</v>
      </c>
      <c r="E109" s="2"/>
    </row>
    <row r="110" spans="1:7">
      <c r="A110" s="102" t="s">
        <v>404</v>
      </c>
      <c r="B110" s="97" t="s">
        <v>206</v>
      </c>
      <c r="C110" s="263">
        <v>2017</v>
      </c>
      <c r="D110" s="261" t="s">
        <v>379</v>
      </c>
      <c r="E110" s="2"/>
    </row>
    <row r="111" spans="1:7">
      <c r="A111" s="102" t="s">
        <v>404</v>
      </c>
      <c r="B111" s="97" t="s">
        <v>207</v>
      </c>
      <c r="C111" s="102" t="s">
        <v>462</v>
      </c>
      <c r="D111" s="97" t="s">
        <v>271</v>
      </c>
      <c r="E111" s="2"/>
    </row>
    <row r="112" spans="1:7">
      <c r="A112" s="102" t="s">
        <v>404</v>
      </c>
      <c r="B112" s="97" t="s">
        <v>207</v>
      </c>
      <c r="C112" s="263" t="s">
        <v>463</v>
      </c>
      <c r="D112" s="261" t="s">
        <v>343</v>
      </c>
      <c r="E112" s="662"/>
    </row>
    <row r="113" spans="1:8" s="394" customFormat="1">
      <c r="A113" s="102" t="s">
        <v>404</v>
      </c>
      <c r="B113" s="97" t="s">
        <v>207</v>
      </c>
      <c r="C113" s="263" t="s">
        <v>522</v>
      </c>
      <c r="D113" s="261" t="s">
        <v>364</v>
      </c>
      <c r="E113" s="2"/>
    </row>
    <row r="114" spans="1:8">
      <c r="A114" s="102" t="s">
        <v>404</v>
      </c>
      <c r="B114" s="97" t="s">
        <v>207</v>
      </c>
      <c r="C114" s="263">
        <v>2016</v>
      </c>
      <c r="D114" s="261" t="s">
        <v>314</v>
      </c>
      <c r="E114" s="2"/>
    </row>
    <row r="115" spans="1:8">
      <c r="A115" s="102" t="s">
        <v>404</v>
      </c>
      <c r="B115" s="97" t="s">
        <v>207</v>
      </c>
      <c r="C115" s="263">
        <v>2017</v>
      </c>
      <c r="D115" s="261" t="s">
        <v>445</v>
      </c>
      <c r="E115" s="2"/>
    </row>
    <row r="116" spans="1:8">
      <c r="A116" s="102" t="s">
        <v>404</v>
      </c>
      <c r="B116" s="97" t="s">
        <v>208</v>
      </c>
      <c r="C116" s="102" t="s">
        <v>462</v>
      </c>
      <c r="D116" s="97" t="s">
        <v>271</v>
      </c>
      <c r="E116" s="2"/>
    </row>
    <row r="117" spans="1:8">
      <c r="A117" s="102" t="s">
        <v>404</v>
      </c>
      <c r="B117" s="97" t="s">
        <v>208</v>
      </c>
      <c r="C117" s="263" t="s">
        <v>463</v>
      </c>
      <c r="D117" s="261" t="s">
        <v>342</v>
      </c>
      <c r="E117" s="662"/>
    </row>
    <row r="118" spans="1:8" s="394" customFormat="1">
      <c r="A118" s="102" t="s">
        <v>404</v>
      </c>
      <c r="B118" s="97" t="s">
        <v>208</v>
      </c>
      <c r="C118" s="263" t="s">
        <v>522</v>
      </c>
      <c r="D118" s="261" t="s">
        <v>334</v>
      </c>
      <c r="E118" s="2"/>
    </row>
    <row r="119" spans="1:8">
      <c r="A119" s="102" t="s">
        <v>404</v>
      </c>
      <c r="B119" s="97" t="s">
        <v>208</v>
      </c>
      <c r="C119" s="263">
        <v>2016</v>
      </c>
      <c r="D119" s="261" t="s">
        <v>223</v>
      </c>
      <c r="E119" s="2"/>
    </row>
    <row r="120" spans="1:8">
      <c r="A120" s="102" t="s">
        <v>404</v>
      </c>
      <c r="B120" s="97" t="s">
        <v>208</v>
      </c>
      <c r="C120" s="263">
        <v>2017</v>
      </c>
      <c r="D120" s="261" t="s">
        <v>376</v>
      </c>
      <c r="E120" s="2"/>
    </row>
    <row r="121" spans="1:8" s="487" customFormat="1">
      <c r="A121" s="102" t="s">
        <v>404</v>
      </c>
      <c r="B121" s="97" t="s">
        <v>548</v>
      </c>
      <c r="C121" s="102" t="s">
        <v>462</v>
      </c>
      <c r="D121" s="97" t="s">
        <v>271</v>
      </c>
      <c r="E121" s="2"/>
    </row>
    <row r="122" spans="1:8" s="487" customFormat="1">
      <c r="A122" s="102" t="s">
        <v>404</v>
      </c>
      <c r="B122" s="97" t="s">
        <v>548</v>
      </c>
      <c r="C122" s="263" t="s">
        <v>463</v>
      </c>
      <c r="D122" s="261" t="s">
        <v>334</v>
      </c>
      <c r="E122" s="662"/>
    </row>
    <row r="123" spans="1:8" s="487" customFormat="1">
      <c r="A123" s="102" t="s">
        <v>404</v>
      </c>
      <c r="B123" s="97" t="s">
        <v>548</v>
      </c>
      <c r="C123" s="263" t="s">
        <v>522</v>
      </c>
      <c r="D123" s="261" t="s">
        <v>380</v>
      </c>
      <c r="E123" s="2"/>
    </row>
    <row r="124" spans="1:8" s="487" customFormat="1">
      <c r="A124" s="102" t="s">
        <v>404</v>
      </c>
      <c r="B124" s="97" t="s">
        <v>548</v>
      </c>
      <c r="C124" s="263">
        <v>2016</v>
      </c>
      <c r="D124" s="261" t="s">
        <v>315</v>
      </c>
      <c r="E124" s="2"/>
    </row>
    <row r="125" spans="1:8" s="487" customFormat="1">
      <c r="A125" s="102" t="s">
        <v>404</v>
      </c>
      <c r="B125" s="97" t="s">
        <v>548</v>
      </c>
      <c r="C125" s="263">
        <v>2017</v>
      </c>
      <c r="D125" s="261" t="s">
        <v>381</v>
      </c>
      <c r="E125" s="2"/>
    </row>
    <row r="126" spans="1:8" s="487" customFormat="1">
      <c r="A126" s="102" t="s">
        <v>404</v>
      </c>
      <c r="B126" s="97" t="s">
        <v>209</v>
      </c>
      <c r="C126" s="102" t="s">
        <v>462</v>
      </c>
      <c r="D126" s="97" t="s">
        <v>271</v>
      </c>
      <c r="E126" s="952" t="s">
        <v>644</v>
      </c>
      <c r="F126" s="105"/>
    </row>
    <row r="127" spans="1:8" s="487" customFormat="1">
      <c r="A127" s="102" t="s">
        <v>404</v>
      </c>
      <c r="B127" s="97" t="s">
        <v>209</v>
      </c>
      <c r="C127" s="263" t="s">
        <v>463</v>
      </c>
      <c r="D127" s="261" t="s">
        <v>540</v>
      </c>
      <c r="E127" s="842"/>
      <c r="F127" s="105"/>
    </row>
    <row r="128" spans="1:8" s="519" customFormat="1">
      <c r="A128" s="102" t="s">
        <v>404</v>
      </c>
      <c r="B128" s="97" t="s">
        <v>209</v>
      </c>
      <c r="E128" s="842" t="s">
        <v>551</v>
      </c>
      <c r="F128" s="712"/>
      <c r="G128" s="2"/>
      <c r="H128" s="2"/>
    </row>
    <row r="129" spans="1:8" s="519" customFormat="1">
      <c r="A129" s="102" t="s">
        <v>404</v>
      </c>
      <c r="B129" s="97" t="s">
        <v>209</v>
      </c>
      <c r="E129" s="842" t="s">
        <v>552</v>
      </c>
      <c r="F129" s="712"/>
      <c r="G129" s="2"/>
      <c r="H129" s="2"/>
    </row>
    <row r="130" spans="1:8" s="519" customFormat="1">
      <c r="A130" s="102" t="s">
        <v>404</v>
      </c>
      <c r="B130" s="97" t="s">
        <v>209</v>
      </c>
      <c r="E130" s="842"/>
      <c r="F130" s="712"/>
      <c r="G130" s="2"/>
      <c r="H130" s="2"/>
    </row>
    <row r="131" spans="1:8" s="519" customFormat="1">
      <c r="A131" s="102" t="s">
        <v>404</v>
      </c>
      <c r="B131" s="97" t="s">
        <v>209</v>
      </c>
      <c r="E131" s="842"/>
      <c r="F131" s="712"/>
      <c r="G131" s="2"/>
      <c r="H131" s="2"/>
    </row>
    <row r="132" spans="1:8" s="487" customFormat="1">
      <c r="A132" s="102" t="s">
        <v>404</v>
      </c>
      <c r="B132" s="97" t="s">
        <v>210</v>
      </c>
      <c r="C132" s="102" t="s">
        <v>462</v>
      </c>
      <c r="D132" s="97" t="s">
        <v>271</v>
      </c>
      <c r="E132" s="2"/>
    </row>
    <row r="133" spans="1:8" s="487" customFormat="1">
      <c r="A133" s="102" t="s">
        <v>404</v>
      </c>
      <c r="B133" s="97" t="s">
        <v>210</v>
      </c>
      <c r="C133" s="263" t="s">
        <v>463</v>
      </c>
      <c r="D133" s="261" t="s">
        <v>335</v>
      </c>
      <c r="E133" s="2"/>
    </row>
    <row r="134" spans="1:8" s="487" customFormat="1">
      <c r="A134" s="102" t="s">
        <v>404</v>
      </c>
      <c r="B134" s="97" t="s">
        <v>210</v>
      </c>
      <c r="C134" s="263" t="s">
        <v>522</v>
      </c>
      <c r="D134" s="261" t="s">
        <v>400</v>
      </c>
      <c r="E134" s="658"/>
    </row>
    <row r="135" spans="1:8" s="487" customFormat="1">
      <c r="A135" s="102" t="s">
        <v>404</v>
      </c>
      <c r="B135" s="97" t="s">
        <v>210</v>
      </c>
      <c r="C135" s="263">
        <v>2016</v>
      </c>
      <c r="D135" s="261" t="s">
        <v>316</v>
      </c>
      <c r="E135" s="2"/>
    </row>
    <row r="136" spans="1:8" s="487" customFormat="1">
      <c r="A136" s="102" t="s">
        <v>404</v>
      </c>
      <c r="B136" s="97" t="s">
        <v>210</v>
      </c>
      <c r="C136" s="263">
        <v>2017</v>
      </c>
      <c r="D136" s="261" t="s">
        <v>383</v>
      </c>
      <c r="E136" s="2"/>
    </row>
    <row r="137" spans="1:8" s="487" customFormat="1">
      <c r="A137" s="102" t="s">
        <v>404</v>
      </c>
      <c r="B137" s="97" t="s">
        <v>211</v>
      </c>
      <c r="C137" s="102" t="s">
        <v>462</v>
      </c>
      <c r="D137" s="97" t="s">
        <v>271</v>
      </c>
      <c r="E137" s="2"/>
    </row>
    <row r="138" spans="1:8" s="487" customFormat="1">
      <c r="A138" s="102" t="s">
        <v>404</v>
      </c>
      <c r="B138" s="97" t="s">
        <v>211</v>
      </c>
      <c r="C138" s="263" t="s">
        <v>463</v>
      </c>
      <c r="D138" s="261" t="s">
        <v>336</v>
      </c>
      <c r="E138" s="2"/>
    </row>
    <row r="139" spans="1:8" s="487" customFormat="1">
      <c r="A139" s="102" t="s">
        <v>404</v>
      </c>
      <c r="B139" s="97" t="s">
        <v>211</v>
      </c>
      <c r="C139" s="263" t="s">
        <v>522</v>
      </c>
      <c r="D139" s="261" t="s">
        <v>354</v>
      </c>
      <c r="E139" s="658"/>
    </row>
    <row r="140" spans="1:8" s="487" customFormat="1">
      <c r="A140" s="102" t="s">
        <v>404</v>
      </c>
      <c r="B140" s="97" t="s">
        <v>211</v>
      </c>
      <c r="C140" s="263">
        <v>2016</v>
      </c>
      <c r="D140" s="261" t="s">
        <v>317</v>
      </c>
      <c r="E140" s="2"/>
    </row>
    <row r="141" spans="1:8" s="487" customFormat="1">
      <c r="A141" s="102" t="s">
        <v>404</v>
      </c>
      <c r="B141" s="97" t="s">
        <v>211</v>
      </c>
      <c r="C141" s="263">
        <v>2017</v>
      </c>
      <c r="D141" s="261" t="s">
        <v>375</v>
      </c>
      <c r="E141" s="2"/>
    </row>
    <row r="142" spans="1:8">
      <c r="A142" s="102" t="s">
        <v>404</v>
      </c>
      <c r="B142" s="97" t="s">
        <v>212</v>
      </c>
      <c r="C142" s="102" t="s">
        <v>462</v>
      </c>
      <c r="D142" s="97" t="s">
        <v>271</v>
      </c>
    </row>
    <row r="143" spans="1:8">
      <c r="A143" s="102" t="s">
        <v>404</v>
      </c>
      <c r="B143" s="97" t="s">
        <v>212</v>
      </c>
      <c r="C143" s="263" t="s">
        <v>521</v>
      </c>
      <c r="D143" s="261" t="s">
        <v>337</v>
      </c>
      <c r="E143" s="2"/>
    </row>
    <row r="144" spans="1:8">
      <c r="A144" s="102" t="s">
        <v>404</v>
      </c>
      <c r="B144" s="97" t="s">
        <v>212</v>
      </c>
      <c r="C144" s="263">
        <v>2016</v>
      </c>
      <c r="D144" s="261" t="s">
        <v>384</v>
      </c>
      <c r="E144" s="2"/>
    </row>
    <row r="145" spans="1:5">
      <c r="A145" s="102" t="s">
        <v>404</v>
      </c>
      <c r="B145" s="97" t="s">
        <v>212</v>
      </c>
      <c r="C145" s="263">
        <v>2017</v>
      </c>
      <c r="D145" s="261" t="s">
        <v>385</v>
      </c>
      <c r="E145" s="2"/>
    </row>
    <row r="146" spans="1:5">
      <c r="A146" s="102" t="s">
        <v>404</v>
      </c>
      <c r="B146" s="97" t="s">
        <v>213</v>
      </c>
      <c r="C146" s="102" t="s">
        <v>462</v>
      </c>
      <c r="D146" s="97" t="s">
        <v>271</v>
      </c>
    </row>
    <row r="147" spans="1:5">
      <c r="A147" s="102" t="s">
        <v>404</v>
      </c>
      <c r="B147" s="97" t="s">
        <v>213</v>
      </c>
      <c r="C147" s="263" t="s">
        <v>521</v>
      </c>
      <c r="D147" s="261" t="s">
        <v>338</v>
      </c>
    </row>
    <row r="148" spans="1:5">
      <c r="A148" s="102" t="s">
        <v>404</v>
      </c>
      <c r="B148" s="97" t="s">
        <v>213</v>
      </c>
      <c r="C148" s="263">
        <v>2016</v>
      </c>
      <c r="D148" s="261" t="s">
        <v>382</v>
      </c>
    </row>
    <row r="149" spans="1:5">
      <c r="A149" s="102" t="s">
        <v>404</v>
      </c>
      <c r="B149" s="97" t="s">
        <v>213</v>
      </c>
      <c r="C149" s="263">
        <v>2017</v>
      </c>
      <c r="D149" s="261" t="s">
        <v>366</v>
      </c>
    </row>
    <row r="150" spans="1:5">
      <c r="A150" s="102" t="s">
        <v>404</v>
      </c>
      <c r="B150" s="97" t="s">
        <v>214</v>
      </c>
      <c r="C150" s="102" t="s">
        <v>462</v>
      </c>
      <c r="D150" s="97" t="s">
        <v>271</v>
      </c>
    </row>
    <row r="151" spans="1:5">
      <c r="A151" s="102" t="s">
        <v>404</v>
      </c>
      <c r="B151" s="97" t="s">
        <v>214</v>
      </c>
      <c r="C151" s="263" t="s">
        <v>521</v>
      </c>
      <c r="D151" s="261" t="s">
        <v>339</v>
      </c>
    </row>
    <row r="152" spans="1:5">
      <c r="A152" s="102" t="s">
        <v>404</v>
      </c>
      <c r="B152" s="97" t="s">
        <v>214</v>
      </c>
      <c r="C152" s="263">
        <v>2016</v>
      </c>
      <c r="D152" s="261" t="s">
        <v>367</v>
      </c>
    </row>
    <row r="153" spans="1:5">
      <c r="A153" s="102" t="s">
        <v>404</v>
      </c>
      <c r="B153" s="97" t="s">
        <v>214</v>
      </c>
      <c r="C153" s="263">
        <v>2017</v>
      </c>
      <c r="D153" s="261" t="s">
        <v>386</v>
      </c>
    </row>
    <row r="154" spans="1:5">
      <c r="A154" s="102" t="s">
        <v>404</v>
      </c>
      <c r="B154" s="97" t="s">
        <v>215</v>
      </c>
      <c r="C154" s="102" t="s">
        <v>462</v>
      </c>
      <c r="D154" s="97" t="s">
        <v>271</v>
      </c>
    </row>
    <row r="155" spans="1:5">
      <c r="A155" s="102" t="s">
        <v>404</v>
      </c>
      <c r="B155" s="97" t="s">
        <v>215</v>
      </c>
      <c r="C155" s="263" t="s">
        <v>521</v>
      </c>
      <c r="D155" s="261" t="s">
        <v>340</v>
      </c>
    </row>
    <row r="156" spans="1:5">
      <c r="A156" s="102" t="s">
        <v>404</v>
      </c>
      <c r="B156" s="97" t="s">
        <v>215</v>
      </c>
      <c r="C156" s="263">
        <v>2016</v>
      </c>
      <c r="D156" s="261" t="s">
        <v>433</v>
      </c>
      <c r="E156" s="440"/>
    </row>
    <row r="157" spans="1:5">
      <c r="A157" s="102" t="s">
        <v>404</v>
      </c>
      <c r="B157" s="97" t="s">
        <v>215</v>
      </c>
      <c r="C157" s="263">
        <v>2017</v>
      </c>
      <c r="D157" s="261" t="s">
        <v>365</v>
      </c>
    </row>
    <row r="158" spans="1:5">
      <c r="A158" s="102" t="s">
        <v>404</v>
      </c>
      <c r="B158" s="97" t="s">
        <v>216</v>
      </c>
      <c r="C158" s="102" t="s">
        <v>462</v>
      </c>
      <c r="D158" s="97" t="s">
        <v>271</v>
      </c>
    </row>
    <row r="159" spans="1:5">
      <c r="A159" s="102" t="s">
        <v>404</v>
      </c>
      <c r="B159" s="97" t="s">
        <v>216</v>
      </c>
      <c r="C159" s="263" t="s">
        <v>521</v>
      </c>
      <c r="D159" s="261" t="s">
        <v>341</v>
      </c>
    </row>
    <row r="160" spans="1:5">
      <c r="A160" s="102" t="s">
        <v>404</v>
      </c>
      <c r="B160" s="97" t="s">
        <v>216</v>
      </c>
      <c r="C160" s="263">
        <v>2016</v>
      </c>
      <c r="D160" s="261" t="s">
        <v>368</v>
      </c>
    </row>
    <row r="161" spans="1:5">
      <c r="A161" s="102" t="s">
        <v>404</v>
      </c>
      <c r="B161" s="97" t="s">
        <v>216</v>
      </c>
      <c r="C161" s="263">
        <v>2017</v>
      </c>
      <c r="D161" s="261" t="s">
        <v>387</v>
      </c>
    </row>
    <row r="162" spans="1:5">
      <c r="A162" s="102" t="s">
        <v>404</v>
      </c>
      <c r="B162" s="97" t="s">
        <v>217</v>
      </c>
      <c r="C162" s="102" t="s">
        <v>462</v>
      </c>
      <c r="D162" s="97" t="s">
        <v>271</v>
      </c>
    </row>
    <row r="163" spans="1:5">
      <c r="A163" s="102" t="s">
        <v>404</v>
      </c>
      <c r="B163" s="97" t="s">
        <v>217</v>
      </c>
      <c r="C163" s="263" t="s">
        <v>521</v>
      </c>
      <c r="D163" s="261" t="s">
        <v>345</v>
      </c>
      <c r="E163" s="2"/>
    </row>
    <row r="164" spans="1:5">
      <c r="A164" s="102" t="s">
        <v>404</v>
      </c>
      <c r="B164" s="97" t="s">
        <v>217</v>
      </c>
      <c r="C164" s="263">
        <v>2016</v>
      </c>
      <c r="D164" s="261" t="s">
        <v>369</v>
      </c>
      <c r="E164" s="2"/>
    </row>
    <row r="165" spans="1:5">
      <c r="A165" s="102" t="s">
        <v>404</v>
      </c>
      <c r="B165" s="97" t="s">
        <v>217</v>
      </c>
      <c r="C165" s="263">
        <v>2017</v>
      </c>
      <c r="D165" s="261" t="s">
        <v>370</v>
      </c>
      <c r="E165" s="2"/>
    </row>
    <row r="166" spans="1:5">
      <c r="A166" s="102" t="s">
        <v>404</v>
      </c>
      <c r="B166" s="97" t="s">
        <v>218</v>
      </c>
      <c r="C166" s="102" t="s">
        <v>462</v>
      </c>
      <c r="D166" s="97" t="s">
        <v>271</v>
      </c>
    </row>
    <row r="167" spans="1:5">
      <c r="A167" s="102" t="s">
        <v>404</v>
      </c>
      <c r="B167" s="97" t="s">
        <v>218</v>
      </c>
      <c r="C167" s="263" t="s">
        <v>521</v>
      </c>
      <c r="D167" s="261" t="s">
        <v>346</v>
      </c>
    </row>
    <row r="168" spans="1:5">
      <c r="A168" s="102" t="s">
        <v>404</v>
      </c>
      <c r="B168" s="97" t="s">
        <v>218</v>
      </c>
      <c r="C168" s="263">
        <v>2016</v>
      </c>
      <c r="D168" s="261" t="s">
        <v>371</v>
      </c>
    </row>
    <row r="169" spans="1:5">
      <c r="A169" s="102" t="s">
        <v>404</v>
      </c>
      <c r="B169" s="97" t="s">
        <v>218</v>
      </c>
      <c r="C169" s="263">
        <v>2017</v>
      </c>
      <c r="D169" s="261" t="s">
        <v>372</v>
      </c>
    </row>
    <row r="170" spans="1:5">
      <c r="A170" s="102" t="s">
        <v>404</v>
      </c>
      <c r="B170" s="97" t="s">
        <v>219</v>
      </c>
      <c r="C170" s="102" t="s">
        <v>462</v>
      </c>
      <c r="D170" s="97" t="s">
        <v>271</v>
      </c>
    </row>
    <row r="171" spans="1:5">
      <c r="A171" s="102" t="s">
        <v>404</v>
      </c>
      <c r="B171" s="97" t="s">
        <v>219</v>
      </c>
      <c r="C171" s="263" t="s">
        <v>521</v>
      </c>
      <c r="D171" s="261" t="s">
        <v>347</v>
      </c>
    </row>
    <row r="172" spans="1:5">
      <c r="A172" s="102" t="s">
        <v>404</v>
      </c>
      <c r="B172" s="97" t="s">
        <v>219</v>
      </c>
      <c r="C172" s="263">
        <v>2016</v>
      </c>
      <c r="D172" s="261" t="s">
        <v>373</v>
      </c>
    </row>
    <row r="173" spans="1:5">
      <c r="A173" s="102" t="s">
        <v>404</v>
      </c>
      <c r="B173" s="97" t="s">
        <v>219</v>
      </c>
      <c r="C173" s="263">
        <v>2017</v>
      </c>
      <c r="D173" s="261" t="s">
        <v>374</v>
      </c>
    </row>
    <row r="174" spans="1:5">
      <c r="A174" s="102" t="s">
        <v>404</v>
      </c>
      <c r="B174" s="97" t="s">
        <v>407</v>
      </c>
      <c r="C174" s="102" t="s">
        <v>462</v>
      </c>
      <c r="D174" s="97" t="s">
        <v>271</v>
      </c>
    </row>
    <row r="175" spans="1:5" ht="12" customHeight="1">
      <c r="A175" s="102" t="s">
        <v>404</v>
      </c>
      <c r="B175" s="97" t="s">
        <v>407</v>
      </c>
      <c r="C175" s="263" t="s">
        <v>521</v>
      </c>
      <c r="D175" s="261" t="s">
        <v>348</v>
      </c>
    </row>
    <row r="176" spans="1:5" ht="12" customHeight="1">
      <c r="A176" s="102" t="s">
        <v>404</v>
      </c>
      <c r="B176" s="97" t="s">
        <v>407</v>
      </c>
      <c r="C176" s="263">
        <v>2016</v>
      </c>
      <c r="D176" s="261" t="s">
        <v>356</v>
      </c>
      <c r="E176" s="440"/>
    </row>
    <row r="177" spans="1:4" ht="12" customHeight="1">
      <c r="A177" s="102" t="s">
        <v>404</v>
      </c>
      <c r="B177" s="97" t="s">
        <v>407</v>
      </c>
      <c r="C177" s="263">
        <v>2017</v>
      </c>
      <c r="D177" s="273" t="s">
        <v>318</v>
      </c>
    </row>
    <row r="178" spans="1:4">
      <c r="A178" s="103"/>
      <c r="B178" s="104"/>
    </row>
    <row r="179" spans="1:4">
      <c r="C179" s="446"/>
      <c r="D179" s="712"/>
    </row>
    <row r="180" spans="1:4">
      <c r="A180" s="103"/>
      <c r="B180" s="104"/>
      <c r="C180" s="104"/>
      <c r="D180" s="104"/>
    </row>
    <row r="181" spans="1:4">
      <c r="A181" s="103"/>
      <c r="B181" s="104"/>
      <c r="C181" s="104"/>
      <c r="D181" s="12"/>
    </row>
    <row r="182" spans="1:4">
      <c r="A182" s="103"/>
      <c r="B182" s="104"/>
      <c r="C182" s="104"/>
      <c r="D182" s="104"/>
    </row>
    <row r="183" spans="1:4">
      <c r="A183" s="103"/>
      <c r="B183" s="105"/>
      <c r="C183" s="104"/>
      <c r="D183" s="105"/>
    </row>
    <row r="184" spans="1:4">
      <c r="A184" s="103"/>
      <c r="B184" s="105"/>
      <c r="C184" s="104"/>
      <c r="D184" s="104"/>
    </row>
    <row r="185" spans="1:4">
      <c r="A185" s="106"/>
      <c r="B185" s="105"/>
      <c r="C185" s="104"/>
      <c r="D185" s="105"/>
    </row>
    <row r="186" spans="1:4">
      <c r="C186" s="105"/>
      <c r="D186" s="105"/>
    </row>
  </sheetData>
  <mergeCells count="1">
    <mergeCell ref="A10:D10"/>
  </mergeCells>
  <hyperlinks>
    <hyperlink ref="A8" r:id="rId1" xr:uid="{00000000-0004-0000-0900-000000000000}"/>
  </hyperlinks>
  <pageMargins left="0.75" right="0.75" top="1" bottom="1" header="0.5" footer="0.5"/>
  <pageSetup paperSize="5" scale="66" fitToHeight="0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>
    <tabColor rgb="FF00B050"/>
    <pageSetUpPr fitToPage="1"/>
  </sheetPr>
  <dimension ref="A1:EP562"/>
  <sheetViews>
    <sheetView zoomScaleNormal="100" workbookViewId="0">
      <selection activeCell="C4" sqref="C4"/>
    </sheetView>
  </sheetViews>
  <sheetFormatPr baseColWidth="10" defaultColWidth="8.83203125" defaultRowHeight="13"/>
  <cols>
    <col min="1" max="1" width="11.5" customWidth="1"/>
    <col min="8" max="11" width="8.83203125" style="2"/>
    <col min="12" max="12" width="8.83203125" style="651"/>
    <col min="13" max="14" width="8.83203125" style="652"/>
    <col min="15" max="15" width="3.1640625" style="652" customWidth="1"/>
    <col min="16" max="16" width="39.83203125" customWidth="1"/>
    <col min="17" max="17" width="12.6640625" customWidth="1"/>
    <col min="18" max="18" width="9.1640625" customWidth="1"/>
    <col min="19" max="146" width="8.83203125" style="105"/>
  </cols>
  <sheetData>
    <row r="1" spans="1:146" s="641" customFormat="1">
      <c r="A1" s="104" t="s">
        <v>541</v>
      </c>
      <c r="B1" s="712"/>
      <c r="C1" s="446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5" t="s">
        <v>612</v>
      </c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105"/>
      <c r="DJ1" s="105"/>
      <c r="DK1" s="105"/>
      <c r="DL1" s="105"/>
      <c r="DM1" s="105"/>
      <c r="DN1" s="105"/>
      <c r="DO1" s="105"/>
      <c r="DP1" s="105"/>
      <c r="DQ1" s="105"/>
      <c r="DR1" s="105"/>
      <c r="DS1" s="105"/>
      <c r="DT1" s="105"/>
      <c r="DU1" s="105"/>
      <c r="DV1" s="105"/>
      <c r="DW1" s="105"/>
      <c r="DX1" s="105"/>
      <c r="DY1" s="105"/>
      <c r="DZ1" s="105"/>
      <c r="EA1" s="105"/>
      <c r="EB1" s="105"/>
      <c r="EC1" s="105"/>
      <c r="ED1" s="105"/>
      <c r="EE1" s="105"/>
      <c r="EF1" s="105"/>
      <c r="EG1" s="105"/>
      <c r="EH1" s="105"/>
      <c r="EI1" s="105"/>
      <c r="EJ1" s="105"/>
      <c r="EK1" s="105"/>
      <c r="EL1" s="105"/>
      <c r="EM1" s="105"/>
      <c r="EN1" s="105"/>
      <c r="EO1" s="105"/>
      <c r="EP1" s="105"/>
    </row>
    <row r="2" spans="1:146" ht="13.5" customHeight="1">
      <c r="A2" s="5" t="s">
        <v>358</v>
      </c>
      <c r="B2" s="712"/>
      <c r="C2" s="712" t="s">
        <v>531</v>
      </c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957" t="s">
        <v>619</v>
      </c>
    </row>
    <row r="3" spans="1:146" s="907" customFormat="1" ht="13.5" customHeight="1">
      <c r="A3" s="5"/>
      <c r="B3" s="712"/>
      <c r="C3" s="446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957" t="s">
        <v>545</v>
      </c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  <c r="CW3" s="105"/>
      <c r="CX3" s="105"/>
      <c r="CY3" s="105"/>
      <c r="CZ3" s="105"/>
      <c r="DA3" s="105"/>
      <c r="DB3" s="105"/>
      <c r="DC3" s="105"/>
      <c r="DD3" s="105"/>
      <c r="DE3" s="105"/>
      <c r="DF3" s="105"/>
      <c r="DG3" s="105"/>
      <c r="DH3" s="105"/>
      <c r="DI3" s="105"/>
      <c r="DJ3" s="105"/>
      <c r="DK3" s="105"/>
      <c r="DL3" s="105"/>
      <c r="DM3" s="105"/>
      <c r="DN3" s="105"/>
      <c r="DO3" s="105"/>
      <c r="DP3" s="105"/>
      <c r="DQ3" s="105"/>
      <c r="DR3" s="105"/>
      <c r="DS3" s="105"/>
      <c r="DT3" s="105"/>
      <c r="DU3" s="105"/>
      <c r="DV3" s="105"/>
      <c r="DW3" s="105"/>
      <c r="DX3" s="105"/>
      <c r="DY3" s="105"/>
      <c r="DZ3" s="105"/>
      <c r="EA3" s="105"/>
      <c r="EB3" s="105"/>
      <c r="EC3" s="105"/>
      <c r="ED3" s="105"/>
      <c r="EE3" s="105"/>
      <c r="EF3" s="105"/>
      <c r="EG3" s="105"/>
      <c r="EH3" s="105"/>
      <c r="EI3" s="105"/>
      <c r="EJ3" s="105"/>
      <c r="EK3" s="105"/>
      <c r="EL3" s="105"/>
      <c r="EM3" s="105"/>
      <c r="EN3" s="105"/>
      <c r="EO3" s="105"/>
      <c r="EP3" s="105"/>
    </row>
    <row r="4" spans="1:146" s="907" customFormat="1" ht="13.5" customHeight="1">
      <c r="A4" s="5"/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446" t="s">
        <v>613</v>
      </c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  <c r="DB4" s="105"/>
      <c r="DC4" s="105"/>
      <c r="DD4" s="105"/>
      <c r="DE4" s="105"/>
      <c r="DF4" s="105"/>
      <c r="DG4" s="105"/>
      <c r="DH4" s="105"/>
      <c r="DI4" s="105"/>
      <c r="DJ4" s="105"/>
      <c r="DK4" s="105"/>
      <c r="DL4" s="105"/>
      <c r="DM4" s="105"/>
      <c r="DN4" s="105"/>
      <c r="DO4" s="105"/>
      <c r="DP4" s="105"/>
      <c r="DQ4" s="105"/>
      <c r="DR4" s="105"/>
      <c r="DS4" s="105"/>
      <c r="DT4" s="105"/>
      <c r="DU4" s="105"/>
      <c r="DV4" s="105"/>
      <c r="DW4" s="105"/>
      <c r="DX4" s="105"/>
      <c r="DY4" s="105"/>
      <c r="DZ4" s="105"/>
      <c r="EA4" s="105"/>
      <c r="EB4" s="105"/>
      <c r="EC4" s="105"/>
      <c r="ED4" s="105"/>
      <c r="EE4" s="105"/>
      <c r="EF4" s="105"/>
      <c r="EG4" s="105"/>
      <c r="EH4" s="105"/>
      <c r="EI4" s="105"/>
      <c r="EJ4" s="105"/>
      <c r="EK4" s="105"/>
      <c r="EL4" s="105"/>
      <c r="EM4" s="105"/>
      <c r="EN4" s="105"/>
      <c r="EO4" s="105"/>
      <c r="EP4" s="105"/>
    </row>
    <row r="5" spans="1:146" s="907" customFormat="1" ht="13.5" customHeight="1">
      <c r="A5" s="5"/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446" t="s">
        <v>614</v>
      </c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  <c r="CR5" s="105"/>
      <c r="CS5" s="105"/>
      <c r="CT5" s="105"/>
      <c r="CU5" s="105"/>
      <c r="CV5" s="105"/>
      <c r="CW5" s="105"/>
      <c r="CX5" s="105"/>
      <c r="CY5" s="105"/>
      <c r="CZ5" s="105"/>
      <c r="DA5" s="105"/>
      <c r="DB5" s="105"/>
      <c r="DC5" s="105"/>
      <c r="DD5" s="105"/>
      <c r="DE5" s="105"/>
      <c r="DF5" s="105"/>
      <c r="DG5" s="105"/>
      <c r="DH5" s="105"/>
      <c r="DI5" s="105"/>
      <c r="DJ5" s="105"/>
      <c r="DK5" s="105"/>
      <c r="DL5" s="105"/>
      <c r="DM5" s="105"/>
      <c r="DN5" s="105"/>
      <c r="DO5" s="105"/>
      <c r="DP5" s="105"/>
      <c r="DQ5" s="105"/>
      <c r="DR5" s="105"/>
      <c r="DS5" s="105"/>
      <c r="DT5" s="105"/>
      <c r="DU5" s="105"/>
      <c r="DV5" s="105"/>
      <c r="DW5" s="105"/>
      <c r="DX5" s="105"/>
      <c r="DY5" s="105"/>
      <c r="DZ5" s="105"/>
      <c r="EA5" s="105"/>
      <c r="EB5" s="105"/>
      <c r="EC5" s="105"/>
      <c r="ED5" s="105"/>
      <c r="EE5" s="105"/>
      <c r="EF5" s="105"/>
      <c r="EG5" s="105"/>
      <c r="EH5" s="105"/>
      <c r="EI5" s="105"/>
      <c r="EJ5" s="105"/>
      <c r="EK5" s="105"/>
      <c r="EL5" s="105"/>
      <c r="EM5" s="105"/>
      <c r="EN5" s="105"/>
      <c r="EO5" s="105"/>
      <c r="EP5" s="105"/>
    </row>
    <row r="6" spans="1:146" s="907" customFormat="1" ht="13.5" customHeight="1">
      <c r="A6" s="5"/>
      <c r="B6" s="712"/>
      <c r="C6" s="712"/>
      <c r="D6" s="712"/>
      <c r="E6" s="712"/>
      <c r="F6" s="712"/>
      <c r="G6" s="712"/>
      <c r="H6" s="712"/>
      <c r="I6" s="712"/>
      <c r="J6" s="712"/>
      <c r="K6" s="712"/>
      <c r="L6" s="712"/>
      <c r="M6" s="712"/>
      <c r="N6" s="712"/>
      <c r="O6" s="712"/>
      <c r="P6" s="446" t="s">
        <v>617</v>
      </c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5"/>
      <c r="EA6" s="105"/>
      <c r="EB6" s="105"/>
      <c r="EC6" s="105"/>
      <c r="ED6" s="105"/>
      <c r="EE6" s="105"/>
      <c r="EF6" s="105"/>
      <c r="EG6" s="105"/>
      <c r="EH6" s="105"/>
      <c r="EI6" s="105"/>
      <c r="EJ6" s="105"/>
      <c r="EK6" s="105"/>
      <c r="EL6" s="105"/>
      <c r="EM6" s="105"/>
      <c r="EN6" s="105"/>
      <c r="EO6" s="105"/>
      <c r="EP6" s="105"/>
    </row>
    <row r="7" spans="1:146" ht="13.5" customHeight="1">
      <c r="A7" s="958"/>
      <c r="B7" s="959"/>
      <c r="C7" s="959"/>
      <c r="D7" s="105"/>
      <c r="E7" s="959"/>
      <c r="F7" s="105"/>
      <c r="G7" s="105"/>
      <c r="H7" s="960"/>
      <c r="I7" s="712"/>
      <c r="J7" s="960"/>
      <c r="K7" s="960"/>
      <c r="L7" s="960"/>
      <c r="M7" s="960"/>
      <c r="N7" s="960"/>
      <c r="O7" s="960"/>
      <c r="P7" s="959" t="s">
        <v>629</v>
      </c>
      <c r="Q7" s="105"/>
    </row>
    <row r="8" spans="1:146" ht="18" customHeight="1">
      <c r="A8" s="961" t="s">
        <v>455</v>
      </c>
      <c r="B8" s="961">
        <v>2005</v>
      </c>
      <c r="C8" s="961">
        <v>2006</v>
      </c>
      <c r="D8" s="961">
        <v>2007</v>
      </c>
      <c r="E8" s="962">
        <v>2008</v>
      </c>
      <c r="F8" s="962">
        <v>2009</v>
      </c>
      <c r="G8" s="962">
        <v>2010</v>
      </c>
      <c r="H8" s="962">
        <v>2011</v>
      </c>
      <c r="I8" s="962">
        <v>2012</v>
      </c>
      <c r="J8" s="962">
        <v>2013</v>
      </c>
      <c r="K8" s="962">
        <v>2014</v>
      </c>
      <c r="L8" s="961">
        <v>2015</v>
      </c>
      <c r="M8" s="961">
        <v>2016</v>
      </c>
      <c r="N8" s="961">
        <v>2017</v>
      </c>
      <c r="O8" s="961"/>
      <c r="P8" s="963" t="s">
        <v>615</v>
      </c>
      <c r="Q8" s="105"/>
    </row>
    <row r="9" spans="1:146" ht="47.25" customHeight="1">
      <c r="A9" s="648" t="s">
        <v>529</v>
      </c>
      <c r="B9" s="647">
        <v>2007</v>
      </c>
      <c r="C9" s="647">
        <v>2008</v>
      </c>
      <c r="D9" s="647">
        <v>2009</v>
      </c>
      <c r="E9" s="647">
        <v>2010</v>
      </c>
      <c r="F9" s="647">
        <v>2011</v>
      </c>
      <c r="G9" s="647">
        <v>2012</v>
      </c>
      <c r="H9" s="730">
        <v>2013</v>
      </c>
      <c r="I9" s="715">
        <v>2014</v>
      </c>
      <c r="J9" s="715">
        <v>2015</v>
      </c>
      <c r="K9" s="716">
        <v>2016</v>
      </c>
      <c r="L9" s="715">
        <v>2017</v>
      </c>
      <c r="M9" s="655" t="s">
        <v>530</v>
      </c>
      <c r="N9" s="655" t="s">
        <v>542</v>
      </c>
      <c r="O9" s="648"/>
      <c r="P9" s="849" t="s">
        <v>544</v>
      </c>
      <c r="Q9" s="105"/>
      <c r="S9" s="937"/>
      <c r="T9" s="937"/>
    </row>
    <row r="10" spans="1:146">
      <c r="A10" s="578" t="s">
        <v>1</v>
      </c>
      <c r="B10" s="576"/>
      <c r="C10" s="576"/>
      <c r="D10" s="576"/>
      <c r="E10" s="576"/>
      <c r="F10" s="576"/>
      <c r="G10" s="576"/>
      <c r="H10" s="725"/>
      <c r="I10" s="725"/>
      <c r="J10" s="725"/>
      <c r="K10" s="725"/>
      <c r="L10" s="576"/>
      <c r="M10" s="576"/>
      <c r="N10" s="576"/>
      <c r="O10" s="576"/>
      <c r="P10" s="718"/>
      <c r="Q10" s="578" t="s">
        <v>1</v>
      </c>
      <c r="R10" s="2"/>
      <c r="S10" s="501"/>
      <c r="T10" s="501"/>
    </row>
    <row r="11" spans="1:146">
      <c r="A11" s="579" t="s">
        <v>2</v>
      </c>
      <c r="B11" s="576"/>
      <c r="C11" s="576"/>
      <c r="D11" s="576"/>
      <c r="E11" s="576"/>
      <c r="F11" s="576"/>
      <c r="G11" s="576"/>
      <c r="H11" s="725"/>
      <c r="I11" s="725"/>
      <c r="J11" s="725"/>
      <c r="K11" s="725"/>
      <c r="L11" s="576"/>
      <c r="M11" s="576"/>
      <c r="N11" s="576"/>
      <c r="O11" s="576"/>
      <c r="P11" s="718"/>
      <c r="Q11" s="579" t="s">
        <v>2</v>
      </c>
      <c r="R11" s="640"/>
      <c r="S11" s="501"/>
      <c r="T11" s="501"/>
    </row>
    <row r="12" spans="1:146">
      <c r="A12" s="578" t="s">
        <v>3</v>
      </c>
      <c r="B12" s="576"/>
      <c r="C12" s="576"/>
      <c r="D12" s="576"/>
      <c r="E12" s="576"/>
      <c r="F12" s="576"/>
      <c r="G12" s="576"/>
      <c r="H12" s="725"/>
      <c r="I12" s="725"/>
      <c r="J12" s="725"/>
      <c r="K12" s="725"/>
      <c r="L12" s="576"/>
      <c r="M12" s="576"/>
      <c r="N12" s="576"/>
      <c r="O12" s="576"/>
      <c r="P12" s="719"/>
      <c r="Q12" s="578" t="s">
        <v>3</v>
      </c>
      <c r="R12" s="640"/>
      <c r="S12" s="712"/>
      <c r="T12" s="712"/>
    </row>
    <row r="13" spans="1:146">
      <c r="A13" s="579" t="s">
        <v>4</v>
      </c>
      <c r="B13" s="576"/>
      <c r="C13" s="576"/>
      <c r="D13" s="576"/>
      <c r="E13" s="576"/>
      <c r="F13" s="576"/>
      <c r="G13" s="576"/>
      <c r="H13" s="725"/>
      <c r="I13" s="725"/>
      <c r="J13" s="725"/>
      <c r="K13" s="725"/>
      <c r="L13" s="576"/>
      <c r="M13" s="576"/>
      <c r="N13" s="576"/>
      <c r="O13" s="576"/>
      <c r="P13" s="719"/>
      <c r="Q13" s="579" t="s">
        <v>4</v>
      </c>
      <c r="R13" s="640"/>
      <c r="S13" s="712"/>
      <c r="T13" s="712"/>
    </row>
    <row r="14" spans="1:146">
      <c r="A14" s="578" t="s">
        <v>5</v>
      </c>
      <c r="B14" s="576"/>
      <c r="C14" s="576"/>
      <c r="D14" s="576"/>
      <c r="E14" s="576"/>
      <c r="F14" s="576"/>
      <c r="G14" s="576"/>
      <c r="H14" s="725"/>
      <c r="I14" s="725"/>
      <c r="J14" s="725"/>
      <c r="K14" s="725"/>
      <c r="L14" s="576"/>
      <c r="M14" s="576"/>
      <c r="N14" s="576"/>
      <c r="O14" s="576"/>
      <c r="P14" s="719"/>
      <c r="Q14" s="578" t="s">
        <v>5</v>
      </c>
      <c r="R14" s="2"/>
      <c r="S14" s="712"/>
      <c r="T14" s="712"/>
    </row>
    <row r="15" spans="1:146">
      <c r="A15" s="579" t="s">
        <v>6</v>
      </c>
      <c r="B15" s="576"/>
      <c r="C15" s="576"/>
      <c r="D15" s="576"/>
      <c r="E15" s="576"/>
      <c r="F15" s="576"/>
      <c r="G15" s="576"/>
      <c r="H15" s="725"/>
      <c r="I15" s="725"/>
      <c r="J15" s="725"/>
      <c r="K15" s="725"/>
      <c r="L15" s="576"/>
      <c r="M15" s="576"/>
      <c r="N15" s="576"/>
      <c r="O15" s="576"/>
      <c r="P15" s="719"/>
      <c r="Q15" s="579" t="s">
        <v>6</v>
      </c>
      <c r="R15" s="2"/>
      <c r="S15" s="712"/>
      <c r="T15" s="712"/>
    </row>
    <row r="16" spans="1:146">
      <c r="A16" s="578" t="s">
        <v>7</v>
      </c>
      <c r="B16" s="576" t="s">
        <v>452</v>
      </c>
      <c r="C16" s="576" t="s">
        <v>452</v>
      </c>
      <c r="D16" s="576" t="s">
        <v>452</v>
      </c>
      <c r="E16" s="576" t="s">
        <v>452</v>
      </c>
      <c r="F16" s="576" t="s">
        <v>452</v>
      </c>
      <c r="G16" s="576" t="s">
        <v>452</v>
      </c>
      <c r="H16" s="725" t="s">
        <v>452</v>
      </c>
      <c r="I16" s="725" t="s">
        <v>452</v>
      </c>
      <c r="J16" s="725" t="s">
        <v>452</v>
      </c>
      <c r="K16" s="725" t="s">
        <v>452</v>
      </c>
      <c r="L16" s="576" t="s">
        <v>452</v>
      </c>
      <c r="M16" s="576" t="s">
        <v>452</v>
      </c>
      <c r="N16" s="576" t="s">
        <v>452</v>
      </c>
      <c r="O16" s="576"/>
      <c r="P16" s="719"/>
      <c r="Q16" s="578" t="s">
        <v>7</v>
      </c>
      <c r="R16" s="649"/>
      <c r="S16" s="712"/>
      <c r="T16" s="712"/>
    </row>
    <row r="17" spans="1:20">
      <c r="A17" s="579" t="s">
        <v>8</v>
      </c>
      <c r="B17" s="576"/>
      <c r="C17" s="576"/>
      <c r="D17" s="576"/>
      <c r="E17" s="576"/>
      <c r="F17" s="576"/>
      <c r="G17" s="576"/>
      <c r="H17" s="725"/>
      <c r="J17" s="725"/>
      <c r="K17" s="725"/>
      <c r="L17" s="576"/>
      <c r="M17" s="576"/>
      <c r="N17" s="576"/>
      <c r="O17" s="576"/>
      <c r="P17" s="719"/>
      <c r="Q17" s="579" t="s">
        <v>8</v>
      </c>
      <c r="R17" s="649"/>
      <c r="S17" s="712"/>
      <c r="T17" s="712"/>
    </row>
    <row r="18" spans="1:20" ht="24">
      <c r="A18" s="578" t="s">
        <v>9</v>
      </c>
      <c r="B18" s="576"/>
      <c r="C18" s="576"/>
      <c r="D18" s="576"/>
      <c r="E18" s="576"/>
      <c r="F18" s="576"/>
      <c r="G18" s="576"/>
      <c r="H18" s="725"/>
      <c r="I18" s="725" t="s">
        <v>452</v>
      </c>
      <c r="J18" s="725"/>
      <c r="K18" s="725"/>
      <c r="L18" s="580" t="s">
        <v>610</v>
      </c>
      <c r="M18" s="580" t="s">
        <v>610</v>
      </c>
      <c r="N18" s="580" t="s">
        <v>610</v>
      </c>
      <c r="O18" s="576"/>
      <c r="P18" s="721" t="s">
        <v>616</v>
      </c>
      <c r="Q18" s="578" t="s">
        <v>9</v>
      </c>
      <c r="R18" s="649"/>
      <c r="S18" s="712"/>
      <c r="T18" s="712"/>
    </row>
    <row r="19" spans="1:20">
      <c r="A19" s="579" t="s">
        <v>10</v>
      </c>
      <c r="B19" s="576"/>
      <c r="C19" s="576"/>
      <c r="D19" s="576"/>
      <c r="E19" s="576"/>
      <c r="F19" s="576"/>
      <c r="G19" s="576"/>
      <c r="H19" s="725"/>
      <c r="I19" s="725"/>
      <c r="J19" s="725"/>
      <c r="K19" s="725" t="s">
        <v>452</v>
      </c>
      <c r="L19" s="576"/>
      <c r="M19" s="654"/>
      <c r="N19" s="576"/>
      <c r="O19" s="576"/>
      <c r="P19" s="719"/>
      <c r="Q19" s="579" t="s">
        <v>10</v>
      </c>
      <c r="R19" s="2"/>
      <c r="S19" s="712"/>
      <c r="T19" s="712"/>
    </row>
    <row r="20" spans="1:20">
      <c r="A20" s="578" t="s">
        <v>11</v>
      </c>
      <c r="B20" s="576"/>
      <c r="C20" s="576"/>
      <c r="D20" s="576"/>
      <c r="E20" s="576"/>
      <c r="F20" s="576"/>
      <c r="G20" s="576"/>
      <c r="H20" s="725"/>
      <c r="I20" s="725"/>
      <c r="J20" s="725"/>
      <c r="K20" s="725"/>
      <c r="L20" s="576"/>
      <c r="M20" s="576"/>
      <c r="N20" s="576"/>
      <c r="O20" s="576"/>
      <c r="P20" s="719"/>
      <c r="Q20" s="578" t="s">
        <v>11</v>
      </c>
      <c r="R20" s="640"/>
      <c r="S20" s="712"/>
      <c r="T20" s="712"/>
    </row>
    <row r="21" spans="1:20">
      <c r="A21" s="579" t="s">
        <v>12</v>
      </c>
      <c r="B21" s="576"/>
      <c r="C21" s="576"/>
      <c r="D21" s="576"/>
      <c r="E21" s="576"/>
      <c r="F21" s="576"/>
      <c r="G21" s="576"/>
      <c r="H21" s="725"/>
      <c r="I21" s="725"/>
      <c r="J21" s="725"/>
      <c r="K21" s="725"/>
      <c r="L21" s="576"/>
      <c r="M21" s="576"/>
      <c r="N21" s="576"/>
      <c r="O21" s="576"/>
      <c r="P21" s="719"/>
      <c r="Q21" s="579" t="s">
        <v>12</v>
      </c>
      <c r="R21" s="2"/>
      <c r="S21" s="712"/>
      <c r="T21" s="712"/>
    </row>
    <row r="22" spans="1:20">
      <c r="A22" s="578" t="s">
        <v>13</v>
      </c>
      <c r="B22" s="576"/>
      <c r="C22" s="576"/>
      <c r="D22" s="576"/>
      <c r="E22" s="576" t="s">
        <v>452</v>
      </c>
      <c r="F22" s="576"/>
      <c r="G22" s="576"/>
      <c r="H22" s="725"/>
      <c r="I22" s="725"/>
      <c r="J22" s="725"/>
      <c r="K22" s="725"/>
      <c r="L22" s="576"/>
      <c r="M22" s="576"/>
      <c r="N22" s="576"/>
      <c r="O22" s="576"/>
      <c r="P22" s="719" t="s">
        <v>468</v>
      </c>
      <c r="Q22" s="578" t="s">
        <v>13</v>
      </c>
      <c r="R22" s="2"/>
      <c r="S22" s="712"/>
      <c r="T22" s="712"/>
    </row>
    <row r="23" spans="1:20">
      <c r="A23" s="579" t="s">
        <v>14</v>
      </c>
      <c r="B23" s="576"/>
      <c r="C23" s="576"/>
      <c r="D23" s="576"/>
      <c r="E23" s="576" t="s">
        <v>452</v>
      </c>
      <c r="F23" s="576"/>
      <c r="G23" s="576"/>
      <c r="H23" s="725"/>
      <c r="I23" s="725"/>
      <c r="J23" s="725" t="s">
        <v>452</v>
      </c>
      <c r="K23" s="726" t="s">
        <v>611</v>
      </c>
      <c r="L23" s="657" t="s">
        <v>452</v>
      </c>
      <c r="M23" s="580" t="s">
        <v>452</v>
      </c>
      <c r="N23" s="580" t="s">
        <v>452</v>
      </c>
      <c r="O23" s="576"/>
      <c r="P23" s="719"/>
      <c r="Q23" s="579" t="s">
        <v>14</v>
      </c>
      <c r="R23" s="2"/>
      <c r="S23" s="712"/>
      <c r="T23" s="712"/>
    </row>
    <row r="24" spans="1:20">
      <c r="A24" s="578" t="s">
        <v>15</v>
      </c>
      <c r="B24" s="576"/>
      <c r="C24" s="576"/>
      <c r="D24" s="576"/>
      <c r="E24" s="576"/>
      <c r="F24" s="576"/>
      <c r="G24" s="576"/>
      <c r="H24" s="725"/>
      <c r="I24" s="725"/>
      <c r="J24" s="725"/>
      <c r="K24" s="725"/>
      <c r="L24" s="576"/>
      <c r="M24" s="576"/>
      <c r="N24" s="576"/>
      <c r="O24" s="576"/>
      <c r="P24" s="719"/>
      <c r="Q24" s="578" t="s">
        <v>15</v>
      </c>
      <c r="R24" s="2"/>
      <c r="S24" s="712"/>
      <c r="T24" s="712"/>
    </row>
    <row r="25" spans="1:20">
      <c r="A25" s="579" t="s">
        <v>16</v>
      </c>
      <c r="B25" s="576"/>
      <c r="C25" s="576"/>
      <c r="D25" s="576"/>
      <c r="E25" s="576"/>
      <c r="F25" s="576"/>
      <c r="G25" s="576"/>
      <c r="H25" s="725"/>
      <c r="I25" s="725"/>
      <c r="J25" s="725"/>
      <c r="K25" s="725"/>
      <c r="L25" s="576"/>
      <c r="M25" s="576"/>
      <c r="N25" s="576"/>
      <c r="O25" s="576"/>
      <c r="P25" s="719"/>
      <c r="Q25" s="579" t="s">
        <v>16</v>
      </c>
      <c r="R25" s="2"/>
      <c r="S25" s="712"/>
      <c r="T25" s="712"/>
    </row>
    <row r="26" spans="1:20">
      <c r="A26" s="578" t="s">
        <v>17</v>
      </c>
      <c r="B26" s="576"/>
      <c r="C26" s="576"/>
      <c r="D26" s="576"/>
      <c r="E26" s="576"/>
      <c r="F26" s="576"/>
      <c r="G26" s="576"/>
      <c r="H26" s="725"/>
      <c r="I26" s="725"/>
      <c r="J26" s="725"/>
      <c r="K26" s="725"/>
      <c r="L26" s="576"/>
      <c r="M26" s="576"/>
      <c r="N26" s="576"/>
      <c r="O26" s="576"/>
      <c r="P26" s="719"/>
      <c r="Q26" s="578" t="s">
        <v>17</v>
      </c>
      <c r="R26" s="2"/>
      <c r="S26" s="712"/>
      <c r="T26" s="712"/>
    </row>
    <row r="27" spans="1:20">
      <c r="A27" s="579" t="s">
        <v>18</v>
      </c>
      <c r="B27" s="576"/>
      <c r="C27" s="576"/>
      <c r="D27" s="576"/>
      <c r="E27" s="576"/>
      <c r="F27" s="576"/>
      <c r="G27" s="576"/>
      <c r="H27" s="725"/>
      <c r="I27" s="725"/>
      <c r="J27" s="725"/>
      <c r="K27" s="725"/>
      <c r="L27" s="576"/>
      <c r="M27" s="576"/>
      <c r="N27" s="576"/>
      <c r="O27" s="576"/>
      <c r="P27" s="719"/>
      <c r="Q27" s="579" t="s">
        <v>18</v>
      </c>
      <c r="R27" s="2"/>
      <c r="S27" s="712"/>
      <c r="T27" s="712"/>
    </row>
    <row r="28" spans="1:20">
      <c r="A28" s="578" t="s">
        <v>19</v>
      </c>
      <c r="B28" s="576"/>
      <c r="C28" s="576"/>
      <c r="D28" s="576"/>
      <c r="E28" s="576"/>
      <c r="F28" s="576" t="s">
        <v>452</v>
      </c>
      <c r="G28" s="576" t="s">
        <v>452</v>
      </c>
      <c r="H28" s="725" t="s">
        <v>452</v>
      </c>
      <c r="I28" s="725" t="s">
        <v>452</v>
      </c>
      <c r="J28" s="725" t="s">
        <v>452</v>
      </c>
      <c r="K28" s="725" t="s">
        <v>452</v>
      </c>
      <c r="L28" s="576" t="s">
        <v>452</v>
      </c>
      <c r="M28" s="576" t="s">
        <v>452</v>
      </c>
      <c r="N28" s="576" t="s">
        <v>452</v>
      </c>
      <c r="O28" s="576"/>
      <c r="P28" s="719"/>
      <c r="Q28" s="578" t="s">
        <v>19</v>
      </c>
      <c r="R28" s="2"/>
      <c r="S28" s="712"/>
      <c r="T28" s="712"/>
    </row>
    <row r="29" spans="1:20">
      <c r="A29" s="579" t="s">
        <v>20</v>
      </c>
      <c r="B29" s="576"/>
      <c r="C29" s="576"/>
      <c r="D29" s="576"/>
      <c r="E29" s="576"/>
      <c r="F29" s="576"/>
      <c r="G29" s="576"/>
      <c r="H29" s="725"/>
      <c r="I29" s="725"/>
      <c r="J29" s="725"/>
      <c r="K29" s="725"/>
      <c r="L29" s="576"/>
      <c r="M29" s="576"/>
      <c r="N29" s="576"/>
      <c r="O29" s="576"/>
      <c r="P29" s="719"/>
      <c r="Q29" s="579" t="s">
        <v>20</v>
      </c>
      <c r="R29" s="2"/>
      <c r="S29" s="712"/>
      <c r="T29" s="712"/>
    </row>
    <row r="30" spans="1:20">
      <c r="A30" s="578" t="s">
        <v>21</v>
      </c>
      <c r="B30" s="576"/>
      <c r="C30" s="576"/>
      <c r="D30" s="576"/>
      <c r="E30" s="576"/>
      <c r="F30" s="576"/>
      <c r="G30" s="576"/>
      <c r="H30" s="725"/>
      <c r="I30" s="725" t="s">
        <v>452</v>
      </c>
      <c r="J30" s="725"/>
      <c r="K30" s="725"/>
      <c r="L30" s="576"/>
      <c r="M30" s="576"/>
      <c r="N30" s="576"/>
      <c r="O30" s="576"/>
      <c r="P30" s="719"/>
      <c r="Q30" s="578" t="s">
        <v>21</v>
      </c>
      <c r="R30" s="2"/>
      <c r="S30" s="712"/>
      <c r="T30" s="712"/>
    </row>
    <row r="31" spans="1:20">
      <c r="A31" s="579" t="s">
        <v>22</v>
      </c>
      <c r="B31" s="576"/>
      <c r="C31" s="576"/>
      <c r="D31" s="576"/>
      <c r="E31" s="576"/>
      <c r="F31" s="576"/>
      <c r="G31" s="576"/>
      <c r="H31" s="725"/>
      <c r="I31" s="725" t="s">
        <v>452</v>
      </c>
      <c r="J31" s="725"/>
      <c r="K31" s="725" t="s">
        <v>452</v>
      </c>
      <c r="L31" s="576"/>
      <c r="M31" s="656"/>
      <c r="N31" s="576"/>
      <c r="O31" s="576"/>
      <c r="P31" s="719"/>
      <c r="Q31" s="579" t="s">
        <v>22</v>
      </c>
      <c r="R31" s="2"/>
      <c r="S31" s="712"/>
      <c r="T31" s="712"/>
    </row>
    <row r="32" spans="1:20">
      <c r="A32" s="578" t="s">
        <v>23</v>
      </c>
      <c r="B32" s="576"/>
      <c r="C32" s="576"/>
      <c r="D32" s="576"/>
      <c r="E32" s="576"/>
      <c r="F32" s="576"/>
      <c r="G32" s="576"/>
      <c r="H32" s="725"/>
      <c r="I32" s="725"/>
      <c r="J32" s="725"/>
      <c r="K32" s="725"/>
      <c r="L32" s="576" t="s">
        <v>452</v>
      </c>
      <c r="M32" s="580" t="s">
        <v>452</v>
      </c>
      <c r="N32" s="580" t="s">
        <v>452</v>
      </c>
      <c r="O32" s="576"/>
      <c r="P32" s="719"/>
      <c r="Q32" s="578" t="s">
        <v>23</v>
      </c>
      <c r="R32" s="2"/>
      <c r="S32" s="712"/>
      <c r="T32" s="712"/>
    </row>
    <row r="33" spans="1:146">
      <c r="A33" s="579" t="s">
        <v>24</v>
      </c>
      <c r="B33" s="576"/>
      <c r="C33" s="576"/>
      <c r="D33" s="576"/>
      <c r="E33" s="576"/>
      <c r="F33" s="576"/>
      <c r="G33" s="576"/>
      <c r="H33" s="725"/>
      <c r="I33" s="725"/>
      <c r="J33" s="725"/>
      <c r="K33" s="725"/>
      <c r="L33" s="576"/>
      <c r="M33" s="576"/>
      <c r="N33" s="576"/>
      <c r="O33" s="576"/>
      <c r="P33" s="719"/>
      <c r="Q33" s="579" t="s">
        <v>24</v>
      </c>
      <c r="R33" s="650"/>
      <c r="S33" s="712"/>
      <c r="T33" s="712"/>
    </row>
    <row r="34" spans="1:146">
      <c r="A34" s="578" t="s">
        <v>25</v>
      </c>
      <c r="B34" s="576"/>
      <c r="C34" s="576"/>
      <c r="D34" s="576"/>
      <c r="E34" s="576"/>
      <c r="F34" s="576"/>
      <c r="G34" s="576"/>
      <c r="H34" s="725"/>
      <c r="I34" s="725"/>
      <c r="J34" s="725"/>
      <c r="K34" s="725"/>
      <c r="L34" s="576"/>
      <c r="M34" s="576"/>
      <c r="N34" s="576"/>
      <c r="O34" s="576"/>
      <c r="P34" s="719"/>
      <c r="Q34" s="578" t="s">
        <v>25</v>
      </c>
      <c r="R34" s="650"/>
      <c r="S34" s="712"/>
      <c r="T34" s="712"/>
    </row>
    <row r="35" spans="1:146">
      <c r="A35" s="579" t="s">
        <v>26</v>
      </c>
      <c r="B35" s="576"/>
      <c r="C35" s="576"/>
      <c r="D35" s="576"/>
      <c r="E35" s="576"/>
      <c r="F35" s="576"/>
      <c r="G35" s="576"/>
      <c r="H35" s="725"/>
      <c r="I35" s="725" t="s">
        <v>452</v>
      </c>
      <c r="J35" s="725"/>
      <c r="K35" s="725"/>
      <c r="L35" s="576"/>
      <c r="M35" s="576"/>
      <c r="N35" s="576"/>
      <c r="O35" s="576"/>
      <c r="P35" s="719"/>
      <c r="Q35" s="579" t="s">
        <v>26</v>
      </c>
      <c r="R35" s="650"/>
      <c r="S35" s="712"/>
      <c r="T35" s="712"/>
    </row>
    <row r="36" spans="1:146">
      <c r="A36" s="578" t="s">
        <v>27</v>
      </c>
      <c r="B36" s="576" t="s">
        <v>452</v>
      </c>
      <c r="C36" s="576" t="s">
        <v>452</v>
      </c>
      <c r="D36" s="576" t="s">
        <v>452</v>
      </c>
      <c r="E36" s="576" t="s">
        <v>452</v>
      </c>
      <c r="F36" s="576" t="s">
        <v>452</v>
      </c>
      <c r="G36" s="576" t="s">
        <v>452</v>
      </c>
      <c r="H36" s="725" t="s">
        <v>452</v>
      </c>
      <c r="I36" s="725" t="s">
        <v>452</v>
      </c>
      <c r="J36" s="725" t="s">
        <v>452</v>
      </c>
      <c r="K36" s="725" t="s">
        <v>452</v>
      </c>
      <c r="L36" s="657" t="s">
        <v>452</v>
      </c>
      <c r="M36" s="657" t="s">
        <v>452</v>
      </c>
      <c r="N36" s="580" t="s">
        <v>452</v>
      </c>
      <c r="O36" s="576"/>
      <c r="P36" s="719"/>
      <c r="Q36" s="578" t="s">
        <v>27</v>
      </c>
      <c r="R36" s="2"/>
      <c r="S36" s="712"/>
      <c r="T36" s="712"/>
    </row>
    <row r="37" spans="1:146">
      <c r="A37" s="579" t="s">
        <v>28</v>
      </c>
      <c r="B37" s="576"/>
      <c r="C37" s="576"/>
      <c r="D37" s="576"/>
      <c r="E37" s="576"/>
      <c r="F37" s="576"/>
      <c r="G37" s="576"/>
      <c r="H37" s="725"/>
      <c r="I37" s="725"/>
      <c r="J37" s="725"/>
      <c r="K37" s="725"/>
      <c r="L37" s="576"/>
      <c r="M37" s="576"/>
      <c r="N37" s="576"/>
      <c r="O37" s="576"/>
      <c r="P37" s="719"/>
      <c r="Q37" s="579" t="s">
        <v>28</v>
      </c>
      <c r="R37" s="2"/>
      <c r="S37" s="712"/>
      <c r="T37" s="712"/>
    </row>
    <row r="38" spans="1:146">
      <c r="A38" s="578" t="s">
        <v>29</v>
      </c>
      <c r="B38" s="576"/>
      <c r="C38" s="576"/>
      <c r="D38" s="576"/>
      <c r="E38" s="576"/>
      <c r="F38" s="576"/>
      <c r="G38" s="576" t="s">
        <v>452</v>
      </c>
      <c r="H38" s="725"/>
      <c r="I38" s="725"/>
      <c r="J38" s="725"/>
      <c r="K38" s="725" t="s">
        <v>452</v>
      </c>
      <c r="L38" s="580" t="s">
        <v>452</v>
      </c>
      <c r="M38" s="657" t="s">
        <v>452</v>
      </c>
      <c r="N38" s="657" t="s">
        <v>452</v>
      </c>
      <c r="O38" s="576"/>
      <c r="P38" s="719"/>
      <c r="Q38" s="578" t="s">
        <v>29</v>
      </c>
      <c r="R38" s="2"/>
      <c r="S38" s="712"/>
      <c r="T38" s="712"/>
    </row>
    <row r="39" spans="1:146" ht="22.5" customHeight="1">
      <c r="A39" s="579" t="s">
        <v>30</v>
      </c>
      <c r="B39" s="576"/>
      <c r="C39" s="576"/>
      <c r="D39" s="576"/>
      <c r="E39" s="580"/>
      <c r="F39" s="576"/>
      <c r="G39" s="576"/>
      <c r="H39" s="725"/>
      <c r="I39" s="725" t="s">
        <v>628</v>
      </c>
      <c r="J39" s="725"/>
      <c r="K39" s="725"/>
      <c r="L39" s="576"/>
      <c r="M39" s="576"/>
      <c r="N39" s="576"/>
      <c r="O39" s="576"/>
      <c r="P39" s="720" t="s">
        <v>631</v>
      </c>
      <c r="Q39" s="579" t="s">
        <v>30</v>
      </c>
      <c r="R39" s="2"/>
      <c r="S39" s="712"/>
      <c r="T39" s="712"/>
    </row>
    <row r="40" spans="1:146">
      <c r="A40" s="578" t="s">
        <v>31</v>
      </c>
      <c r="B40" s="576"/>
      <c r="C40" s="576"/>
      <c r="D40" s="576"/>
      <c r="E40" s="576"/>
      <c r="F40" s="576"/>
      <c r="G40" s="576"/>
      <c r="H40" s="725"/>
      <c r="I40" s="725"/>
      <c r="J40" s="725"/>
      <c r="K40" s="725"/>
      <c r="L40" s="576"/>
      <c r="M40" s="576"/>
      <c r="N40" s="576"/>
      <c r="O40" s="576"/>
      <c r="P40" s="719"/>
      <c r="Q40" s="578" t="s">
        <v>31</v>
      </c>
      <c r="R40" s="2"/>
      <c r="S40" s="712"/>
      <c r="T40" s="712"/>
    </row>
    <row r="41" spans="1:146">
      <c r="A41" s="579" t="s">
        <v>32</v>
      </c>
      <c r="B41" s="576"/>
      <c r="C41" s="576"/>
      <c r="D41" s="576"/>
      <c r="E41" s="576"/>
      <c r="F41" s="576"/>
      <c r="G41" s="576"/>
      <c r="H41" s="725"/>
      <c r="I41" s="725"/>
      <c r="J41" s="725"/>
      <c r="K41" s="725"/>
      <c r="L41" s="576"/>
      <c r="M41" s="576"/>
      <c r="N41" s="576"/>
      <c r="O41" s="576"/>
      <c r="P41" s="719"/>
      <c r="Q41" s="579" t="s">
        <v>32</v>
      </c>
      <c r="R41" s="638"/>
      <c r="S41" s="712"/>
      <c r="T41" s="712"/>
    </row>
    <row r="42" spans="1:146" ht="17.25" customHeight="1">
      <c r="A42" s="578" t="s">
        <v>33</v>
      </c>
      <c r="B42" s="576"/>
      <c r="C42" s="576"/>
      <c r="D42" s="576"/>
      <c r="E42" s="576"/>
      <c r="F42" s="576"/>
      <c r="G42" s="576"/>
      <c r="H42" s="725"/>
      <c r="I42" s="725"/>
      <c r="J42" s="725"/>
      <c r="K42" s="725"/>
      <c r="L42" s="576"/>
      <c r="M42" s="576"/>
      <c r="N42" s="576"/>
      <c r="O42" s="576"/>
      <c r="P42" s="719"/>
      <c r="Q42" s="578" t="s">
        <v>33</v>
      </c>
      <c r="R42" s="638"/>
      <c r="S42" s="712"/>
      <c r="T42" s="712"/>
    </row>
    <row r="43" spans="1:146" ht="17.25" customHeight="1">
      <c r="A43" s="579" t="s">
        <v>34</v>
      </c>
      <c r="B43" s="576"/>
      <c r="C43" s="576"/>
      <c r="D43" s="576"/>
      <c r="E43" s="576"/>
      <c r="F43" s="576"/>
      <c r="G43" s="576"/>
      <c r="H43" s="725"/>
      <c r="I43" s="725"/>
      <c r="J43" s="725"/>
      <c r="K43" s="725"/>
      <c r="L43" s="576"/>
      <c r="M43" s="576"/>
      <c r="N43" s="576"/>
      <c r="O43" s="576"/>
      <c r="P43" s="719"/>
      <c r="Q43" s="579" t="s">
        <v>34</v>
      </c>
      <c r="R43" s="639"/>
      <c r="S43" s="712"/>
      <c r="T43" s="712"/>
    </row>
    <row r="44" spans="1:146" s="441" customFormat="1">
      <c r="A44" s="578" t="s">
        <v>35</v>
      </c>
      <c r="B44" s="576"/>
      <c r="C44" s="576"/>
      <c r="D44" s="576"/>
      <c r="E44" s="576"/>
      <c r="F44" s="576"/>
      <c r="G44" s="576"/>
      <c r="H44" s="725"/>
      <c r="I44" s="725"/>
      <c r="J44" s="725"/>
      <c r="K44" s="725"/>
      <c r="L44" s="576"/>
      <c r="M44" s="576"/>
      <c r="N44" s="576"/>
      <c r="O44" s="576"/>
      <c r="P44" s="719"/>
      <c r="Q44" s="578" t="s">
        <v>35</v>
      </c>
      <c r="R44" s="2"/>
      <c r="S44" s="712"/>
      <c r="T44" s="712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</row>
    <row r="45" spans="1:146" s="441" customFormat="1">
      <c r="A45" s="579" t="s">
        <v>36</v>
      </c>
      <c r="B45" s="576"/>
      <c r="C45" s="576"/>
      <c r="D45" s="576"/>
      <c r="E45" s="576"/>
      <c r="F45" s="576"/>
      <c r="G45" s="576"/>
      <c r="H45" s="725"/>
      <c r="I45" s="725"/>
      <c r="J45" s="725"/>
      <c r="K45" s="725"/>
      <c r="L45" s="576"/>
      <c r="M45" s="576"/>
      <c r="N45" s="576"/>
      <c r="O45" s="576"/>
      <c r="P45" s="719"/>
      <c r="Q45" s="579" t="s">
        <v>36</v>
      </c>
      <c r="R45" s="2"/>
      <c r="S45" s="712"/>
      <c r="T45" s="712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</row>
    <row r="46" spans="1:146" s="441" customFormat="1">
      <c r="A46" s="578" t="s">
        <v>37</v>
      </c>
      <c r="B46" s="576"/>
      <c r="C46" s="576"/>
      <c r="D46" s="576"/>
      <c r="E46" s="576"/>
      <c r="F46" s="576"/>
      <c r="G46" s="576"/>
      <c r="H46" s="725"/>
      <c r="I46" s="725"/>
      <c r="J46" s="725"/>
      <c r="K46" s="725"/>
      <c r="L46" s="576"/>
      <c r="M46" s="576"/>
      <c r="N46" s="576"/>
      <c r="O46" s="576"/>
      <c r="P46" s="719"/>
      <c r="Q46" s="578" t="s">
        <v>37</v>
      </c>
      <c r="R46" s="451"/>
      <c r="S46" s="938"/>
      <c r="T46" s="712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  <c r="EJ46" s="105"/>
      <c r="EK46" s="105"/>
      <c r="EL46" s="105"/>
      <c r="EM46" s="105"/>
      <c r="EN46" s="105"/>
      <c r="EO46" s="105"/>
      <c r="EP46" s="105"/>
    </row>
    <row r="47" spans="1:146" s="441" customFormat="1">
      <c r="A47" s="579" t="s">
        <v>38</v>
      </c>
      <c r="B47" s="576"/>
      <c r="C47" s="576"/>
      <c r="D47" s="576"/>
      <c r="E47" s="576"/>
      <c r="F47" s="576"/>
      <c r="G47" s="576"/>
      <c r="H47" s="725"/>
      <c r="I47" s="725"/>
      <c r="J47" s="725"/>
      <c r="K47" s="725"/>
      <c r="L47" s="580" t="s">
        <v>452</v>
      </c>
      <c r="M47" s="580" t="s">
        <v>452</v>
      </c>
      <c r="N47" s="657" t="s">
        <v>452</v>
      </c>
      <c r="O47" s="576"/>
      <c r="P47" s="719"/>
      <c r="Q47" s="579" t="s">
        <v>38</v>
      </c>
      <c r="R47" s="2"/>
      <c r="S47" s="712"/>
      <c r="T47" s="712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  <c r="EJ47" s="105"/>
      <c r="EK47" s="105"/>
      <c r="EL47" s="105"/>
      <c r="EM47" s="105"/>
      <c r="EN47" s="105"/>
      <c r="EO47" s="105"/>
      <c r="EP47" s="105"/>
    </row>
    <row r="48" spans="1:146" s="441" customFormat="1">
      <c r="A48" s="578" t="s">
        <v>39</v>
      </c>
      <c r="B48" s="576"/>
      <c r="C48" s="576"/>
      <c r="D48" s="576"/>
      <c r="E48" s="576"/>
      <c r="F48" s="576"/>
      <c r="G48" s="576"/>
      <c r="H48" s="725"/>
      <c r="I48" s="725"/>
      <c r="J48" s="725"/>
      <c r="K48" s="725"/>
      <c r="L48" s="576"/>
      <c r="M48" s="576"/>
      <c r="N48" s="576"/>
      <c r="O48" s="576"/>
      <c r="P48" s="719"/>
      <c r="Q48" s="578" t="s">
        <v>39</v>
      </c>
      <c r="R48" s="2"/>
      <c r="S48" s="712"/>
      <c r="T48" s="712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  <c r="EJ48" s="105"/>
      <c r="EK48" s="105"/>
      <c r="EL48" s="105"/>
      <c r="EM48" s="105"/>
      <c r="EN48" s="105"/>
      <c r="EO48" s="105"/>
      <c r="EP48" s="105"/>
    </row>
    <row r="49" spans="1:146" s="441" customFormat="1">
      <c r="A49" s="579" t="s">
        <v>40</v>
      </c>
      <c r="B49" s="576"/>
      <c r="C49" s="576"/>
      <c r="D49" s="576"/>
      <c r="E49" s="576"/>
      <c r="F49" s="576"/>
      <c r="G49" s="576"/>
      <c r="H49" s="725"/>
      <c r="I49" s="725"/>
      <c r="J49" s="725"/>
      <c r="K49" s="725"/>
      <c r="L49" s="576"/>
      <c r="M49" s="576"/>
      <c r="N49" s="576"/>
      <c r="O49" s="576"/>
      <c r="P49" s="719"/>
      <c r="Q49" s="579" t="s">
        <v>40</v>
      </c>
      <c r="R49" s="2"/>
      <c r="S49" s="712"/>
      <c r="T49" s="712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5"/>
      <c r="CM49" s="105"/>
      <c r="CN49" s="105"/>
      <c r="CO49" s="105"/>
      <c r="CP49" s="105"/>
      <c r="CQ49" s="105"/>
      <c r="CR49" s="105"/>
      <c r="CS49" s="105"/>
      <c r="CT49" s="105"/>
      <c r="CU49" s="105"/>
      <c r="CV49" s="105"/>
      <c r="CW49" s="105"/>
      <c r="CX49" s="105"/>
      <c r="CY49" s="105"/>
      <c r="CZ49" s="105"/>
      <c r="DA49" s="105"/>
      <c r="DB49" s="105"/>
      <c r="DC49" s="105"/>
      <c r="DD49" s="105"/>
      <c r="DE49" s="105"/>
      <c r="DF49" s="105"/>
      <c r="DG49" s="105"/>
      <c r="DH49" s="105"/>
      <c r="DI49" s="105"/>
      <c r="DJ49" s="105"/>
      <c r="DK49" s="105"/>
      <c r="DL49" s="105"/>
      <c r="DM49" s="105"/>
      <c r="DN49" s="105"/>
      <c r="DO49" s="105"/>
      <c r="DP49" s="105"/>
      <c r="DQ49" s="105"/>
      <c r="DR49" s="105"/>
      <c r="DS49" s="105"/>
      <c r="DT49" s="105"/>
      <c r="DU49" s="105"/>
      <c r="DV49" s="105"/>
      <c r="DW49" s="105"/>
      <c r="DX49" s="105"/>
      <c r="DY49" s="105"/>
      <c r="DZ49" s="105"/>
      <c r="EA49" s="105"/>
      <c r="EB49" s="105"/>
      <c r="EC49" s="105"/>
      <c r="ED49" s="105"/>
      <c r="EE49" s="105"/>
      <c r="EF49" s="105"/>
      <c r="EG49" s="105"/>
      <c r="EH49" s="105"/>
      <c r="EI49" s="105"/>
      <c r="EJ49" s="105"/>
      <c r="EK49" s="105"/>
      <c r="EL49" s="105"/>
      <c r="EM49" s="105"/>
      <c r="EN49" s="105"/>
      <c r="EO49" s="105"/>
      <c r="EP49" s="105"/>
    </row>
    <row r="50" spans="1:146" s="441" customFormat="1">
      <c r="A50" s="579" t="s">
        <v>41</v>
      </c>
      <c r="B50" s="576"/>
      <c r="C50" s="576"/>
      <c r="D50" s="576"/>
      <c r="E50" s="576"/>
      <c r="F50" s="576"/>
      <c r="G50" s="576"/>
      <c r="H50" s="725"/>
      <c r="I50" s="725"/>
      <c r="J50" s="725"/>
      <c r="K50" s="725"/>
      <c r="L50" s="576"/>
      <c r="M50" s="576"/>
      <c r="N50" s="576"/>
      <c r="O50" s="576"/>
      <c r="P50" s="719"/>
      <c r="Q50" s="579" t="s">
        <v>41</v>
      </c>
      <c r="R50" s="451"/>
      <c r="S50" s="938"/>
      <c r="T50" s="938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  <c r="EJ50" s="105"/>
      <c r="EK50" s="105"/>
      <c r="EL50" s="105"/>
      <c r="EM50" s="105"/>
      <c r="EN50" s="105"/>
      <c r="EO50" s="105"/>
      <c r="EP50" s="105"/>
    </row>
    <row r="51" spans="1:146" s="441" customFormat="1">
      <c r="A51" s="578" t="s">
        <v>42</v>
      </c>
      <c r="B51" s="576"/>
      <c r="C51" s="576"/>
      <c r="D51" s="576"/>
      <c r="E51" s="576"/>
      <c r="F51" s="576"/>
      <c r="G51" s="576"/>
      <c r="H51" s="725"/>
      <c r="I51" s="725"/>
      <c r="J51" s="725" t="s">
        <v>453</v>
      </c>
      <c r="K51" s="725"/>
      <c r="L51" s="576"/>
      <c r="M51" s="576"/>
      <c r="N51" s="576"/>
      <c r="O51" s="576"/>
      <c r="P51" s="719"/>
      <c r="Q51" s="578" t="s">
        <v>42</v>
      </c>
      <c r="R51" s="451"/>
      <c r="S51" s="712"/>
      <c r="T51" s="712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  <c r="EP51" s="105"/>
    </row>
    <row r="52" spans="1:146" s="441" customFormat="1">
      <c r="A52" s="579" t="s">
        <v>43</v>
      </c>
      <c r="B52" s="576"/>
      <c r="C52" s="576"/>
      <c r="D52" s="576"/>
      <c r="E52" s="576"/>
      <c r="F52" s="576"/>
      <c r="G52" s="576" t="s">
        <v>452</v>
      </c>
      <c r="H52" s="725" t="s">
        <v>452</v>
      </c>
      <c r="I52" s="725" t="s">
        <v>452</v>
      </c>
      <c r="J52" s="725" t="s">
        <v>452</v>
      </c>
      <c r="K52" s="725" t="s">
        <v>452</v>
      </c>
      <c r="L52" s="576" t="s">
        <v>452</v>
      </c>
      <c r="M52" s="576" t="s">
        <v>452</v>
      </c>
      <c r="N52" s="576" t="s">
        <v>452</v>
      </c>
      <c r="O52" s="576"/>
      <c r="P52" s="719"/>
      <c r="Q52" s="579" t="s">
        <v>43</v>
      </c>
      <c r="R52" s="451"/>
      <c r="S52" s="712"/>
      <c r="T52" s="712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T52" s="105"/>
      <c r="CU52" s="105"/>
      <c r="CV52" s="105"/>
      <c r="CW52" s="105"/>
      <c r="CX52" s="105"/>
      <c r="CY52" s="105"/>
      <c r="CZ52" s="105"/>
      <c r="DA52" s="105"/>
      <c r="DB52" s="105"/>
      <c r="DC52" s="105"/>
      <c r="DD52" s="105"/>
      <c r="DE52" s="105"/>
      <c r="DF52" s="105"/>
      <c r="DG52" s="105"/>
      <c r="DH52" s="105"/>
      <c r="DI52" s="105"/>
      <c r="DJ52" s="105"/>
      <c r="DK52" s="105"/>
      <c r="DL52" s="105"/>
      <c r="DM52" s="105"/>
      <c r="DN52" s="105"/>
      <c r="DO52" s="105"/>
      <c r="DP52" s="105"/>
      <c r="DQ52" s="105"/>
      <c r="DR52" s="105"/>
      <c r="DS52" s="105"/>
      <c r="DT52" s="105"/>
      <c r="DU52" s="105"/>
      <c r="DV52" s="105"/>
      <c r="DW52" s="105"/>
      <c r="DX52" s="105"/>
      <c r="DY52" s="105"/>
      <c r="DZ52" s="105"/>
      <c r="EA52" s="105"/>
      <c r="EB52" s="105"/>
      <c r="EC52" s="105"/>
      <c r="ED52" s="105"/>
      <c r="EE52" s="105"/>
      <c r="EF52" s="105"/>
      <c r="EG52" s="105"/>
      <c r="EH52" s="105"/>
      <c r="EI52" s="105"/>
      <c r="EJ52" s="105"/>
      <c r="EK52" s="105"/>
      <c r="EL52" s="105"/>
      <c r="EM52" s="105"/>
      <c r="EN52" s="105"/>
      <c r="EO52" s="105"/>
      <c r="EP52" s="105"/>
    </row>
    <row r="53" spans="1:146" s="441" customFormat="1">
      <c r="A53" s="578" t="s">
        <v>44</v>
      </c>
      <c r="B53" s="576"/>
      <c r="C53" s="576"/>
      <c r="D53" s="576"/>
      <c r="E53" s="576"/>
      <c r="F53" s="576"/>
      <c r="G53" s="580" t="s">
        <v>452</v>
      </c>
      <c r="H53" s="725"/>
      <c r="I53" s="725" t="s">
        <v>452</v>
      </c>
      <c r="J53" s="725" t="s">
        <v>452</v>
      </c>
      <c r="K53" s="725"/>
      <c r="L53" s="657" t="s">
        <v>452</v>
      </c>
      <c r="M53" s="657" t="s">
        <v>452</v>
      </c>
      <c r="N53" s="657" t="s">
        <v>452</v>
      </c>
      <c r="O53" s="576"/>
      <c r="P53" s="719"/>
      <c r="Q53" s="578" t="s">
        <v>44</v>
      </c>
      <c r="R53" s="451"/>
      <c r="S53" s="712"/>
      <c r="T53" s="712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105"/>
      <c r="DH53" s="105"/>
      <c r="DI53" s="105"/>
      <c r="DJ53" s="105"/>
      <c r="DK53" s="105"/>
      <c r="DL53" s="105"/>
      <c r="DM53" s="105"/>
      <c r="DN53" s="105"/>
      <c r="DO53" s="105"/>
      <c r="DP53" s="105"/>
      <c r="DQ53" s="105"/>
      <c r="DR53" s="105"/>
      <c r="DS53" s="105"/>
      <c r="DT53" s="105"/>
      <c r="DU53" s="105"/>
      <c r="DV53" s="105"/>
      <c r="DW53" s="105"/>
      <c r="DX53" s="105"/>
      <c r="DY53" s="105"/>
      <c r="DZ53" s="105"/>
      <c r="EA53" s="105"/>
      <c r="EB53" s="105"/>
      <c r="EC53" s="105"/>
      <c r="ED53" s="105"/>
      <c r="EE53" s="105"/>
      <c r="EF53" s="105"/>
      <c r="EG53" s="105"/>
      <c r="EH53" s="105"/>
      <c r="EI53" s="105"/>
      <c r="EJ53" s="105"/>
      <c r="EK53" s="105"/>
      <c r="EL53" s="105"/>
      <c r="EM53" s="105"/>
      <c r="EN53" s="105"/>
      <c r="EO53" s="105"/>
      <c r="EP53" s="105"/>
    </row>
    <row r="54" spans="1:146" s="441" customFormat="1">
      <c r="A54" s="579" t="s">
        <v>45</v>
      </c>
      <c r="B54" s="576"/>
      <c r="C54" s="576"/>
      <c r="D54" s="576"/>
      <c r="E54" s="576"/>
      <c r="F54" s="576"/>
      <c r="G54" s="576"/>
      <c r="H54" s="725"/>
      <c r="I54" s="725" t="s">
        <v>452</v>
      </c>
      <c r="J54" s="725" t="s">
        <v>452</v>
      </c>
      <c r="K54" s="725" t="s">
        <v>452</v>
      </c>
      <c r="L54" s="576" t="s">
        <v>452</v>
      </c>
      <c r="M54" s="576" t="s">
        <v>452</v>
      </c>
      <c r="N54" s="576" t="s">
        <v>452</v>
      </c>
      <c r="O54" s="576"/>
      <c r="P54" s="719"/>
      <c r="Q54" s="579" t="s">
        <v>45</v>
      </c>
      <c r="R54" s="451"/>
      <c r="S54" s="712"/>
      <c r="T54" s="712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105"/>
      <c r="CS54" s="105"/>
      <c r="CT54" s="105"/>
      <c r="CU54" s="105"/>
      <c r="CV54" s="105"/>
      <c r="CW54" s="105"/>
      <c r="CX54" s="105"/>
      <c r="CY54" s="105"/>
      <c r="CZ54" s="105"/>
      <c r="DA54" s="105"/>
      <c r="DB54" s="105"/>
      <c r="DC54" s="105"/>
      <c r="DD54" s="105"/>
      <c r="DE54" s="105"/>
      <c r="DF54" s="105"/>
      <c r="DG54" s="105"/>
      <c r="DH54" s="105"/>
      <c r="DI54" s="105"/>
      <c r="DJ54" s="105"/>
      <c r="DK54" s="105"/>
      <c r="DL54" s="105"/>
      <c r="DM54" s="105"/>
      <c r="DN54" s="105"/>
      <c r="DO54" s="105"/>
      <c r="DP54" s="105"/>
      <c r="DQ54" s="105"/>
      <c r="DR54" s="105"/>
      <c r="DS54" s="105"/>
      <c r="DT54" s="105"/>
      <c r="DU54" s="105"/>
      <c r="DV54" s="105"/>
      <c r="DW54" s="105"/>
      <c r="DX54" s="105"/>
      <c r="DY54" s="105"/>
      <c r="DZ54" s="105"/>
      <c r="EA54" s="105"/>
      <c r="EB54" s="105"/>
      <c r="EC54" s="105"/>
      <c r="ED54" s="105"/>
      <c r="EE54" s="105"/>
      <c r="EF54" s="105"/>
      <c r="EG54" s="105"/>
      <c r="EH54" s="105"/>
      <c r="EI54" s="105"/>
      <c r="EJ54" s="105"/>
      <c r="EK54" s="105"/>
      <c r="EL54" s="105"/>
      <c r="EM54" s="105"/>
      <c r="EN54" s="105"/>
      <c r="EO54" s="105"/>
      <c r="EP54" s="105"/>
    </row>
    <row r="55" spans="1:146" s="441" customFormat="1" ht="13.5" customHeight="1">
      <c r="A55" s="579" t="s">
        <v>46</v>
      </c>
      <c r="B55" s="576"/>
      <c r="C55" s="576"/>
      <c r="D55" s="576"/>
      <c r="E55" s="576"/>
      <c r="F55" s="580" t="s">
        <v>452</v>
      </c>
      <c r="G55" s="580" t="s">
        <v>453</v>
      </c>
      <c r="H55" s="726" t="s">
        <v>453</v>
      </c>
      <c r="I55" s="726" t="s">
        <v>453</v>
      </c>
      <c r="J55" s="580" t="s">
        <v>453</v>
      </c>
      <c r="K55" s="726" t="s">
        <v>453</v>
      </c>
      <c r="L55" s="726" t="s">
        <v>453</v>
      </c>
      <c r="M55" s="726" t="s">
        <v>453</v>
      </c>
      <c r="N55" s="726" t="s">
        <v>453</v>
      </c>
      <c r="O55" s="653"/>
      <c r="P55" s="721"/>
      <c r="Q55" s="579" t="s">
        <v>46</v>
      </c>
      <c r="R55" s="451"/>
      <c r="S55" s="712"/>
      <c r="T55" s="712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T55" s="105"/>
      <c r="CU55" s="105"/>
      <c r="CV55" s="105"/>
      <c r="CW55" s="105"/>
      <c r="CX55" s="105"/>
      <c r="CY55" s="105"/>
      <c r="CZ55" s="105"/>
      <c r="DA55" s="105"/>
      <c r="DB55" s="105"/>
      <c r="DC55" s="105"/>
      <c r="DD55" s="105"/>
      <c r="DE55" s="105"/>
      <c r="DF55" s="105"/>
      <c r="DG55" s="105"/>
      <c r="DH55" s="105"/>
      <c r="DI55" s="105"/>
      <c r="DJ55" s="105"/>
      <c r="DK55" s="105"/>
      <c r="DL55" s="105"/>
      <c r="DM55" s="105"/>
      <c r="DN55" s="105"/>
      <c r="DO55" s="105"/>
      <c r="DP55" s="105"/>
      <c r="DQ55" s="105"/>
      <c r="DR55" s="105"/>
      <c r="DS55" s="105"/>
      <c r="DT55" s="105"/>
      <c r="DU55" s="105"/>
      <c r="DV55" s="105"/>
      <c r="DW55" s="105"/>
      <c r="DX55" s="105"/>
      <c r="DY55" s="105"/>
      <c r="DZ55" s="105"/>
      <c r="EA55" s="105"/>
      <c r="EB55" s="105"/>
      <c r="EC55" s="105"/>
      <c r="ED55" s="105"/>
      <c r="EE55" s="105"/>
      <c r="EF55" s="105"/>
      <c r="EG55" s="105"/>
      <c r="EH55" s="105"/>
      <c r="EI55" s="105"/>
      <c r="EJ55" s="105"/>
      <c r="EK55" s="105"/>
      <c r="EL55" s="105"/>
      <c r="EM55" s="105"/>
      <c r="EN55" s="105"/>
      <c r="EO55" s="105"/>
      <c r="EP55" s="105"/>
    </row>
    <row r="56" spans="1:146" s="441" customFormat="1">
      <c r="A56" s="579" t="s">
        <v>47</v>
      </c>
      <c r="B56" s="576"/>
      <c r="C56" s="576"/>
      <c r="D56" s="576"/>
      <c r="E56" s="576"/>
      <c r="F56" s="580"/>
      <c r="G56" s="580"/>
      <c r="H56" s="726"/>
      <c r="I56" s="726"/>
      <c r="J56" s="726"/>
      <c r="K56" s="726"/>
      <c r="L56" s="580"/>
      <c r="M56" s="580"/>
      <c r="N56" s="580"/>
      <c r="O56" s="580"/>
      <c r="P56" s="719"/>
      <c r="Q56" s="579" t="s">
        <v>47</v>
      </c>
      <c r="R56" s="451"/>
      <c r="S56" s="712"/>
      <c r="T56" s="712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105"/>
      <c r="CW56" s="105"/>
      <c r="CX56" s="105"/>
      <c r="CY56" s="105"/>
      <c r="CZ56" s="105"/>
      <c r="DA56" s="105"/>
      <c r="DB56" s="105"/>
      <c r="DC56" s="105"/>
      <c r="DD56" s="105"/>
      <c r="DE56" s="105"/>
      <c r="DF56" s="105"/>
      <c r="DG56" s="105"/>
      <c r="DH56" s="105"/>
      <c r="DI56" s="105"/>
      <c r="DJ56" s="105"/>
      <c r="DK56" s="105"/>
      <c r="DL56" s="105"/>
      <c r="DM56" s="105"/>
      <c r="DN56" s="105"/>
      <c r="DO56" s="105"/>
      <c r="DP56" s="105"/>
      <c r="DQ56" s="105"/>
      <c r="DR56" s="105"/>
      <c r="DS56" s="105"/>
      <c r="DT56" s="105"/>
      <c r="DU56" s="105"/>
      <c r="DV56" s="105"/>
      <c r="DW56" s="105"/>
      <c r="DX56" s="105"/>
      <c r="DY56" s="105"/>
      <c r="DZ56" s="105"/>
      <c r="EA56" s="105"/>
      <c r="EB56" s="105"/>
      <c r="EC56" s="105"/>
      <c r="ED56" s="105"/>
      <c r="EE56" s="105"/>
      <c r="EF56" s="105"/>
      <c r="EG56" s="105"/>
      <c r="EH56" s="105"/>
      <c r="EI56" s="105"/>
      <c r="EJ56" s="105"/>
      <c r="EK56" s="105"/>
      <c r="EL56" s="105"/>
      <c r="EM56" s="105"/>
      <c r="EN56" s="105"/>
      <c r="EO56" s="105"/>
      <c r="EP56" s="105"/>
    </row>
    <row r="57" spans="1:146">
      <c r="A57" s="578" t="s">
        <v>48</v>
      </c>
      <c r="B57" s="576"/>
      <c r="C57" s="576"/>
      <c r="D57" s="576"/>
      <c r="E57" s="576"/>
      <c r="F57" s="576"/>
      <c r="G57" s="576"/>
      <c r="H57" s="725"/>
      <c r="I57" s="725"/>
      <c r="J57" s="725"/>
      <c r="K57" s="725"/>
      <c r="L57" s="576"/>
      <c r="M57" s="576"/>
      <c r="N57" s="576"/>
      <c r="O57" s="576"/>
      <c r="P57" s="719"/>
      <c r="Q57" s="578" t="s">
        <v>48</v>
      </c>
      <c r="R57" s="2"/>
      <c r="S57" s="712"/>
      <c r="T57" s="712"/>
    </row>
    <row r="58" spans="1:146">
      <c r="A58" s="579" t="s">
        <v>49</v>
      </c>
      <c r="B58" s="576" t="s">
        <v>452</v>
      </c>
      <c r="C58" s="576" t="s">
        <v>452</v>
      </c>
      <c r="D58" s="576" t="s">
        <v>452</v>
      </c>
      <c r="E58" s="576" t="s">
        <v>452</v>
      </c>
      <c r="F58" s="576" t="s">
        <v>452</v>
      </c>
      <c r="G58" s="576" t="s">
        <v>452</v>
      </c>
      <c r="H58" s="725" t="s">
        <v>452</v>
      </c>
      <c r="I58" s="725" t="s">
        <v>452</v>
      </c>
      <c r="J58" s="725" t="s">
        <v>453</v>
      </c>
      <c r="K58" s="725" t="s">
        <v>452</v>
      </c>
      <c r="L58" s="657" t="s">
        <v>452</v>
      </c>
      <c r="M58" s="657" t="s">
        <v>452</v>
      </c>
      <c r="N58" s="580" t="s">
        <v>452</v>
      </c>
      <c r="O58" s="576"/>
      <c r="P58" s="719"/>
      <c r="Q58" s="579" t="s">
        <v>49</v>
      </c>
      <c r="R58" s="2"/>
      <c r="S58" s="712"/>
      <c r="T58" s="712"/>
    </row>
    <row r="59" spans="1:146">
      <c r="A59" s="578" t="s">
        <v>50</v>
      </c>
      <c r="B59" s="576"/>
      <c r="C59" s="576"/>
      <c r="D59" s="576"/>
      <c r="E59" s="576"/>
      <c r="F59" s="576"/>
      <c r="G59" s="576"/>
      <c r="H59" s="725"/>
      <c r="I59" s="725"/>
      <c r="J59" s="725"/>
      <c r="K59" s="725"/>
      <c r="L59" s="576"/>
      <c r="M59" s="576"/>
      <c r="N59" s="576"/>
      <c r="O59" s="576"/>
      <c r="P59" s="719"/>
      <c r="Q59" s="578" t="s">
        <v>50</v>
      </c>
      <c r="R59" s="2"/>
      <c r="S59" s="712"/>
      <c r="T59" s="712"/>
    </row>
    <row r="60" spans="1:146">
      <c r="A60" s="579" t="s">
        <v>51</v>
      </c>
      <c r="B60" s="576"/>
      <c r="C60" s="576"/>
      <c r="D60" s="576"/>
      <c r="E60" s="576"/>
      <c r="F60" s="576"/>
      <c r="G60" s="576"/>
      <c r="H60" s="725"/>
      <c r="I60" s="725"/>
      <c r="J60" s="725"/>
      <c r="K60" s="725"/>
      <c r="L60" s="576"/>
      <c r="M60" s="576"/>
      <c r="N60" s="576"/>
      <c r="O60" s="576"/>
      <c r="P60" s="719"/>
      <c r="Q60" s="579" t="s">
        <v>51</v>
      </c>
      <c r="R60" s="2"/>
      <c r="S60" s="712"/>
      <c r="T60" s="712"/>
    </row>
    <row r="61" spans="1:146">
      <c r="A61" s="578" t="s">
        <v>52</v>
      </c>
      <c r="B61" s="576"/>
      <c r="C61" s="576"/>
      <c r="D61" s="576"/>
      <c r="E61" s="576"/>
      <c r="F61" s="576" t="s">
        <v>452</v>
      </c>
      <c r="G61" s="576"/>
      <c r="H61" s="725"/>
      <c r="I61" s="725"/>
      <c r="J61" s="725"/>
      <c r="K61" s="725"/>
      <c r="L61" s="576"/>
      <c r="M61" s="576"/>
      <c r="N61" s="576"/>
      <c r="O61" s="576"/>
      <c r="P61" s="719"/>
      <c r="Q61" s="578" t="s">
        <v>52</v>
      </c>
      <c r="R61" s="2"/>
      <c r="S61" s="712"/>
      <c r="T61" s="712"/>
    </row>
    <row r="62" spans="1:146">
      <c r="A62" s="579" t="s">
        <v>53</v>
      </c>
      <c r="B62" s="576"/>
      <c r="C62" s="576"/>
      <c r="D62" s="576"/>
      <c r="E62" s="576"/>
      <c r="F62" s="576"/>
      <c r="G62" s="576" t="s">
        <v>452</v>
      </c>
      <c r="H62" s="725"/>
      <c r="I62" s="725"/>
      <c r="J62" s="725"/>
      <c r="K62" s="725"/>
      <c r="L62" s="576"/>
      <c r="M62" s="576"/>
      <c r="N62" s="576"/>
      <c r="O62" s="576"/>
      <c r="P62" s="722"/>
      <c r="Q62" s="579" t="s">
        <v>53</v>
      </c>
      <c r="R62" s="2"/>
      <c r="S62" s="712"/>
      <c r="T62" s="712"/>
    </row>
    <row r="63" spans="1:146">
      <c r="A63" s="578" t="s">
        <v>54</v>
      </c>
      <c r="B63" s="576"/>
      <c r="C63" s="576"/>
      <c r="D63" s="576"/>
      <c r="E63" s="576"/>
      <c r="F63" s="576"/>
      <c r="G63" s="576"/>
      <c r="H63" s="725"/>
      <c r="I63" s="725" t="s">
        <v>452</v>
      </c>
      <c r="J63" s="725"/>
      <c r="K63" s="725"/>
      <c r="L63" s="576"/>
      <c r="M63" s="576"/>
      <c r="N63" s="576"/>
      <c r="O63" s="576"/>
      <c r="P63" s="719"/>
      <c r="Q63" s="578" t="s">
        <v>54</v>
      </c>
      <c r="R63" s="2"/>
      <c r="S63" s="712"/>
      <c r="T63" s="712"/>
    </row>
    <row r="64" spans="1:146" s="598" customFormat="1" ht="36">
      <c r="A64" s="578" t="s">
        <v>513</v>
      </c>
      <c r="B64" s="580" t="s">
        <v>452</v>
      </c>
      <c r="C64" s="580" t="s">
        <v>452</v>
      </c>
      <c r="D64" s="580"/>
      <c r="E64" s="580" t="s">
        <v>452</v>
      </c>
      <c r="F64" s="576"/>
      <c r="G64" s="580" t="s">
        <v>452</v>
      </c>
      <c r="H64" s="725"/>
      <c r="I64" s="726" t="s">
        <v>452</v>
      </c>
      <c r="J64" s="725"/>
      <c r="K64" s="725"/>
      <c r="L64" s="576"/>
      <c r="M64" s="576"/>
      <c r="N64" s="576"/>
      <c r="O64" s="576"/>
      <c r="P64" s="729" t="s">
        <v>645</v>
      </c>
      <c r="Q64" s="578" t="s">
        <v>513</v>
      </c>
      <c r="R64" s="2"/>
      <c r="S64" s="712"/>
      <c r="T64" s="712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05"/>
      <c r="CS64" s="105"/>
      <c r="CT64" s="105"/>
      <c r="CU64" s="105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5"/>
      <c r="EH64" s="105"/>
      <c r="EI64" s="105"/>
      <c r="EJ64" s="105"/>
      <c r="EK64" s="105"/>
      <c r="EL64" s="105"/>
      <c r="EM64" s="105"/>
      <c r="EN64" s="105"/>
      <c r="EO64" s="105"/>
      <c r="EP64" s="105"/>
    </row>
    <row r="65" spans="1:20">
      <c r="A65" s="579" t="s">
        <v>55</v>
      </c>
      <c r="B65" s="576"/>
      <c r="C65" s="576"/>
      <c r="D65" s="576"/>
      <c r="E65" s="576"/>
      <c r="F65" s="576"/>
      <c r="G65" s="576"/>
      <c r="H65" s="725"/>
      <c r="I65" s="725"/>
      <c r="J65" s="725"/>
      <c r="K65" s="725"/>
      <c r="L65" s="580" t="s">
        <v>452</v>
      </c>
      <c r="M65" s="580" t="s">
        <v>452</v>
      </c>
      <c r="N65" s="657" t="s">
        <v>452</v>
      </c>
      <c r="O65" s="576"/>
      <c r="P65" s="719"/>
      <c r="Q65" s="579" t="s">
        <v>55</v>
      </c>
      <c r="R65" s="2"/>
      <c r="S65" s="712"/>
      <c r="T65" s="712"/>
    </row>
    <row r="66" spans="1:20">
      <c r="A66" s="578" t="s">
        <v>56</v>
      </c>
      <c r="B66" s="576"/>
      <c r="C66" s="576"/>
      <c r="D66" s="576"/>
      <c r="E66" s="576"/>
      <c r="F66" s="576"/>
      <c r="G66" s="576"/>
      <c r="H66" s="725"/>
      <c r="I66" s="725"/>
      <c r="J66" s="725"/>
      <c r="K66" s="725"/>
      <c r="L66" s="576"/>
      <c r="M66" s="576"/>
      <c r="N66" s="576"/>
      <c r="O66" s="576"/>
      <c r="P66" s="719"/>
      <c r="Q66" s="578" t="s">
        <v>56</v>
      </c>
      <c r="R66" s="2"/>
      <c r="S66" s="712"/>
      <c r="T66" s="712"/>
    </row>
    <row r="67" spans="1:20" ht="14">
      <c r="A67" s="579" t="s">
        <v>57</v>
      </c>
      <c r="B67" s="576"/>
      <c r="C67" s="576"/>
      <c r="D67" s="576"/>
      <c r="E67" s="576"/>
      <c r="F67" s="576"/>
      <c r="G67" s="576"/>
      <c r="H67" s="725"/>
      <c r="I67" s="725" t="s">
        <v>452</v>
      </c>
      <c r="J67" s="725"/>
      <c r="K67" s="910" t="s">
        <v>618</v>
      </c>
      <c r="L67" s="576"/>
      <c r="M67" s="576"/>
      <c r="N67" s="576"/>
      <c r="O67" s="576"/>
      <c r="P67" s="719" t="s">
        <v>630</v>
      </c>
      <c r="Q67" s="579" t="s">
        <v>57</v>
      </c>
      <c r="R67" s="2"/>
      <c r="S67" s="712"/>
      <c r="T67" s="712"/>
    </row>
    <row r="68" spans="1:20" ht="34.5" customHeight="1">
      <c r="A68" s="578" t="s">
        <v>58</v>
      </c>
      <c r="B68" s="576" t="s">
        <v>618</v>
      </c>
      <c r="C68" s="576" t="s">
        <v>618</v>
      </c>
      <c r="D68" s="576" t="s">
        <v>618</v>
      </c>
      <c r="E68" s="576" t="s">
        <v>618</v>
      </c>
      <c r="F68" s="576" t="s">
        <v>618</v>
      </c>
      <c r="G68" s="576" t="s">
        <v>618</v>
      </c>
      <c r="H68" s="725" t="s">
        <v>618</v>
      </c>
      <c r="I68" s="725" t="s">
        <v>618</v>
      </c>
      <c r="J68" s="725" t="s">
        <v>618</v>
      </c>
      <c r="K68" s="725" t="s">
        <v>618</v>
      </c>
      <c r="L68" s="576" t="s">
        <v>452</v>
      </c>
      <c r="M68" s="576" t="s">
        <v>452</v>
      </c>
      <c r="N68" s="576" t="s">
        <v>452</v>
      </c>
      <c r="O68" s="576"/>
      <c r="P68" s="721" t="s">
        <v>646</v>
      </c>
      <c r="Q68" s="578" t="s">
        <v>58</v>
      </c>
      <c r="R68" s="2"/>
      <c r="S68" s="712"/>
      <c r="T68" s="712"/>
    </row>
    <row r="69" spans="1:20">
      <c r="A69" s="579" t="s">
        <v>59</v>
      </c>
      <c r="B69" s="576"/>
      <c r="C69" s="576"/>
      <c r="D69" s="576"/>
      <c r="E69" s="576"/>
      <c r="F69" s="576"/>
      <c r="G69" s="576" t="s">
        <v>452</v>
      </c>
      <c r="H69" s="725"/>
      <c r="I69" s="725" t="s">
        <v>452</v>
      </c>
      <c r="J69" s="725"/>
      <c r="K69" s="725" t="s">
        <v>452</v>
      </c>
      <c r="L69" s="580" t="s">
        <v>452</v>
      </c>
      <c r="M69" s="580" t="s">
        <v>452</v>
      </c>
      <c r="N69" s="580" t="s">
        <v>452</v>
      </c>
      <c r="O69" s="576"/>
      <c r="P69" s="719"/>
      <c r="Q69" s="579" t="s">
        <v>59</v>
      </c>
      <c r="R69" s="2"/>
      <c r="S69" s="712"/>
      <c r="T69" s="712"/>
    </row>
    <row r="70" spans="1:20">
      <c r="A70" s="578" t="s">
        <v>60</v>
      </c>
      <c r="B70" s="576"/>
      <c r="C70" s="576"/>
      <c r="D70" s="576"/>
      <c r="E70" s="576"/>
      <c r="F70" s="576"/>
      <c r="G70" s="576"/>
      <c r="H70" s="725"/>
      <c r="I70" s="725"/>
      <c r="J70" s="725"/>
      <c r="K70" s="725"/>
      <c r="L70" s="576"/>
      <c r="M70" s="576"/>
      <c r="N70" s="576"/>
      <c r="O70" s="576"/>
      <c r="P70" s="719"/>
      <c r="Q70" s="578" t="s">
        <v>60</v>
      </c>
      <c r="R70" s="2"/>
      <c r="S70" s="712"/>
      <c r="T70" s="712"/>
    </row>
    <row r="71" spans="1:20">
      <c r="A71" s="579" t="s">
        <v>61</v>
      </c>
      <c r="B71" s="576"/>
      <c r="C71" s="576"/>
      <c r="D71" s="576"/>
      <c r="E71" s="576"/>
      <c r="F71" s="576"/>
      <c r="G71" s="576"/>
      <c r="H71" s="725"/>
      <c r="I71" s="725"/>
      <c r="J71" s="725"/>
      <c r="K71" s="725"/>
      <c r="L71" s="576"/>
      <c r="M71" s="576"/>
      <c r="N71" s="576"/>
      <c r="O71" s="576"/>
      <c r="P71" s="719"/>
      <c r="Q71" s="579" t="s">
        <v>61</v>
      </c>
      <c r="R71" s="2"/>
      <c r="S71" s="712"/>
      <c r="T71" s="712"/>
    </row>
    <row r="72" spans="1:20">
      <c r="A72" s="578" t="s">
        <v>62</v>
      </c>
      <c r="B72" s="576"/>
      <c r="C72" s="576"/>
      <c r="D72" s="576"/>
      <c r="E72" s="576"/>
      <c r="F72" s="576"/>
      <c r="G72" s="576"/>
      <c r="H72" s="725"/>
      <c r="I72" s="725" t="s">
        <v>452</v>
      </c>
      <c r="J72" s="725" t="s">
        <v>453</v>
      </c>
      <c r="K72" s="725" t="s">
        <v>452</v>
      </c>
      <c r="L72" s="657" t="s">
        <v>453</v>
      </c>
      <c r="M72" s="657" t="s">
        <v>453</v>
      </c>
      <c r="N72" s="657" t="s">
        <v>453</v>
      </c>
      <c r="O72" s="576"/>
      <c r="P72" s="719"/>
      <c r="Q72" s="578" t="s">
        <v>62</v>
      </c>
      <c r="R72" s="2"/>
      <c r="S72" s="712"/>
      <c r="T72" s="712"/>
    </row>
    <row r="73" spans="1:20">
      <c r="A73" s="579" t="s">
        <v>63</v>
      </c>
      <c r="B73" s="576"/>
      <c r="C73" s="576"/>
      <c r="D73" s="576"/>
      <c r="E73" s="576"/>
      <c r="F73" s="576"/>
      <c r="G73" s="576"/>
      <c r="H73" s="725"/>
      <c r="I73" s="725"/>
      <c r="J73" s="725"/>
      <c r="K73" s="725"/>
      <c r="L73" s="576"/>
      <c r="M73" s="576"/>
      <c r="N73" s="576"/>
      <c r="O73" s="576"/>
      <c r="P73" s="719"/>
      <c r="Q73" s="579" t="s">
        <v>63</v>
      </c>
      <c r="R73" s="2"/>
      <c r="S73" s="712"/>
      <c r="T73" s="712"/>
    </row>
    <row r="74" spans="1:20">
      <c r="A74" s="578" t="s">
        <v>64</v>
      </c>
      <c r="B74" s="576"/>
      <c r="C74" s="576"/>
      <c r="D74" s="576"/>
      <c r="E74" s="576"/>
      <c r="F74" s="576"/>
      <c r="G74" s="576"/>
      <c r="H74" s="725"/>
      <c r="I74" s="725"/>
      <c r="J74" s="725"/>
      <c r="K74" s="725"/>
      <c r="L74" s="576"/>
      <c r="M74" s="576"/>
      <c r="N74" s="576"/>
      <c r="O74" s="576"/>
      <c r="P74" s="719" t="s">
        <v>647</v>
      </c>
      <c r="Q74" s="578" t="s">
        <v>64</v>
      </c>
      <c r="R74" s="2"/>
      <c r="S74" s="712"/>
      <c r="T74" s="712"/>
    </row>
    <row r="75" spans="1:20">
      <c r="A75" s="579" t="s">
        <v>65</v>
      </c>
      <c r="B75" s="576"/>
      <c r="C75" s="576"/>
      <c r="D75" s="576"/>
      <c r="E75" s="576"/>
      <c r="F75" s="576"/>
      <c r="G75" s="576"/>
      <c r="H75" s="725"/>
      <c r="I75" s="725"/>
      <c r="J75" s="725"/>
      <c r="K75" s="725"/>
      <c r="L75" s="576"/>
      <c r="M75" s="576"/>
      <c r="N75" s="576"/>
      <c r="O75" s="576"/>
      <c r="P75" s="719"/>
      <c r="Q75" s="579" t="s">
        <v>65</v>
      </c>
      <c r="R75" s="2"/>
      <c r="S75" s="712"/>
      <c r="T75" s="712"/>
    </row>
    <row r="76" spans="1:20">
      <c r="A76" s="578" t="s">
        <v>66</v>
      </c>
      <c r="B76" s="576"/>
      <c r="C76" s="576"/>
      <c r="D76" s="576"/>
      <c r="E76" s="576"/>
      <c r="F76" s="576"/>
      <c r="G76" s="576"/>
      <c r="H76" s="725"/>
      <c r="I76" s="725" t="s">
        <v>452</v>
      </c>
      <c r="J76" s="725"/>
      <c r="K76" s="725"/>
      <c r="L76" s="576" t="s">
        <v>452</v>
      </c>
      <c r="M76" s="576" t="s">
        <v>452</v>
      </c>
      <c r="N76" s="657" t="s">
        <v>452</v>
      </c>
      <c r="O76" s="576"/>
      <c r="P76" s="719"/>
      <c r="Q76" s="578" t="s">
        <v>66</v>
      </c>
      <c r="R76" s="2"/>
      <c r="S76" s="712"/>
      <c r="T76" s="712"/>
    </row>
    <row r="77" spans="1:20">
      <c r="A77" s="579" t="s">
        <v>67</v>
      </c>
      <c r="B77" s="576"/>
      <c r="C77" s="576"/>
      <c r="D77" s="576"/>
      <c r="E77" s="576"/>
      <c r="F77" s="576"/>
      <c r="G77" s="576" t="s">
        <v>452</v>
      </c>
      <c r="H77" s="725"/>
      <c r="I77" s="725" t="s">
        <v>453</v>
      </c>
      <c r="J77" s="725"/>
      <c r="K77" s="725" t="s">
        <v>452</v>
      </c>
      <c r="L77" s="576" t="s">
        <v>452</v>
      </c>
      <c r="M77" s="657" t="s">
        <v>452</v>
      </c>
      <c r="N77" s="657" t="s">
        <v>452</v>
      </c>
      <c r="O77" s="576"/>
      <c r="P77" s="719" t="s">
        <v>543</v>
      </c>
      <c r="Q77" s="579" t="s">
        <v>67</v>
      </c>
      <c r="R77" s="2"/>
      <c r="S77" s="712"/>
      <c r="T77" s="712"/>
    </row>
    <row r="78" spans="1:20">
      <c r="A78" s="578" t="s">
        <v>68</v>
      </c>
      <c r="B78" s="576"/>
      <c r="C78" s="576" t="s">
        <v>452</v>
      </c>
      <c r="D78" s="576" t="s">
        <v>452</v>
      </c>
      <c r="E78" s="576" t="s">
        <v>452</v>
      </c>
      <c r="F78" s="576" t="s">
        <v>452</v>
      </c>
      <c r="G78" s="576" t="s">
        <v>452</v>
      </c>
      <c r="H78" s="725" t="s">
        <v>618</v>
      </c>
      <c r="I78" s="725" t="s">
        <v>452</v>
      </c>
      <c r="J78" s="725" t="s">
        <v>452</v>
      </c>
      <c r="K78" s="725" t="s">
        <v>452</v>
      </c>
      <c r="L78" s="576" t="s">
        <v>452</v>
      </c>
      <c r="M78" s="576" t="s">
        <v>452</v>
      </c>
      <c r="N78" s="576" t="s">
        <v>452</v>
      </c>
      <c r="O78" s="576"/>
      <c r="P78" s="719" t="s">
        <v>648</v>
      </c>
      <c r="Q78" s="578" t="s">
        <v>68</v>
      </c>
      <c r="R78" s="2"/>
      <c r="S78" s="712"/>
      <c r="T78" s="712"/>
    </row>
    <row r="79" spans="1:20">
      <c r="A79" s="579" t="s">
        <v>69</v>
      </c>
      <c r="B79" s="576"/>
      <c r="C79" s="576"/>
      <c r="D79" s="576"/>
      <c r="E79" s="576"/>
      <c r="F79" s="576"/>
      <c r="G79" s="576" t="s">
        <v>452</v>
      </c>
      <c r="H79" s="726" t="s">
        <v>453</v>
      </c>
      <c r="I79" s="726" t="s">
        <v>453</v>
      </c>
      <c r="J79" s="725" t="s">
        <v>453</v>
      </c>
      <c r="K79" s="725" t="s">
        <v>453</v>
      </c>
      <c r="L79" s="576" t="s">
        <v>453</v>
      </c>
      <c r="M79" s="576" t="s">
        <v>453</v>
      </c>
      <c r="N79" s="576" t="s">
        <v>453</v>
      </c>
      <c r="O79" s="576"/>
      <c r="P79" s="721"/>
      <c r="Q79" s="579" t="s">
        <v>69</v>
      </c>
      <c r="R79" s="2"/>
      <c r="S79" s="712"/>
      <c r="T79" s="712"/>
    </row>
    <row r="80" spans="1:20">
      <c r="A80" s="578" t="s">
        <v>70</v>
      </c>
      <c r="B80" s="576"/>
      <c r="C80" s="576"/>
      <c r="D80" s="576"/>
      <c r="E80" s="576"/>
      <c r="F80" s="576"/>
      <c r="G80" s="576"/>
      <c r="H80" s="725"/>
      <c r="I80" s="725"/>
      <c r="J80" s="725"/>
      <c r="K80" s="725"/>
      <c r="L80" s="576"/>
      <c r="M80" s="576"/>
      <c r="N80" s="576"/>
      <c r="O80" s="576"/>
      <c r="P80" s="719"/>
      <c r="Q80" s="578" t="s">
        <v>70</v>
      </c>
      <c r="R80" s="2"/>
      <c r="S80" s="712"/>
      <c r="T80" s="712"/>
    </row>
    <row r="81" spans="1:146">
      <c r="A81" s="581" t="s">
        <v>300</v>
      </c>
      <c r="B81" s="576"/>
      <c r="C81" s="576"/>
      <c r="D81" s="576"/>
      <c r="E81" s="576"/>
      <c r="F81" s="576"/>
      <c r="G81" s="576"/>
      <c r="H81" s="725"/>
      <c r="I81" s="725"/>
      <c r="J81" s="725"/>
      <c r="K81" s="725"/>
      <c r="L81" s="656"/>
      <c r="M81" s="576"/>
      <c r="N81" s="576"/>
      <c r="O81" s="576"/>
      <c r="P81" s="719"/>
      <c r="Q81" s="581" t="s">
        <v>300</v>
      </c>
      <c r="R81" s="2"/>
      <c r="S81" s="712"/>
      <c r="T81" s="712"/>
    </row>
    <row r="82" spans="1:146">
      <c r="A82" s="578" t="s">
        <v>301</v>
      </c>
      <c r="B82" s="725"/>
      <c r="C82" s="725"/>
      <c r="D82" s="576"/>
      <c r="E82" s="576"/>
      <c r="F82" s="576"/>
      <c r="G82" s="576"/>
      <c r="H82" s="725"/>
      <c r="I82" s="725"/>
      <c r="J82" s="725" t="s">
        <v>453</v>
      </c>
      <c r="K82" s="725" t="s">
        <v>453</v>
      </c>
      <c r="L82" s="576" t="s">
        <v>453</v>
      </c>
      <c r="M82" s="576" t="s">
        <v>453</v>
      </c>
      <c r="N82" s="576" t="s">
        <v>453</v>
      </c>
      <c r="O82" s="576"/>
      <c r="P82" s="718"/>
      <c r="Q82" s="578" t="s">
        <v>301</v>
      </c>
      <c r="R82" s="2"/>
      <c r="S82" s="712"/>
      <c r="T82" s="712"/>
    </row>
    <row r="83" spans="1:146">
      <c r="A83" s="579" t="s">
        <v>73</v>
      </c>
      <c r="B83" s="576"/>
      <c r="C83" s="576"/>
      <c r="D83" s="576"/>
      <c r="E83" s="576"/>
      <c r="F83" s="576"/>
      <c r="G83" s="576"/>
      <c r="H83" s="725"/>
      <c r="I83" s="725"/>
      <c r="J83" s="725"/>
      <c r="K83" s="725"/>
      <c r="L83" s="576"/>
      <c r="M83" s="576"/>
      <c r="N83" s="576"/>
      <c r="O83" s="576"/>
      <c r="P83" s="719"/>
      <c r="Q83" s="579" t="s">
        <v>73</v>
      </c>
      <c r="R83" s="2"/>
      <c r="S83" s="712"/>
      <c r="T83" s="712"/>
    </row>
    <row r="84" spans="1:146">
      <c r="A84" s="578" t="s">
        <v>74</v>
      </c>
      <c r="B84" s="576"/>
      <c r="C84" s="576"/>
      <c r="D84" s="576"/>
      <c r="E84" s="576"/>
      <c r="F84" s="576"/>
      <c r="G84" s="576"/>
      <c r="H84" s="725"/>
      <c r="I84" s="725"/>
      <c r="J84" s="725"/>
      <c r="K84" s="725"/>
      <c r="L84" s="576"/>
      <c r="M84" s="576"/>
      <c r="N84" s="576"/>
      <c r="O84" s="576"/>
      <c r="P84" s="719"/>
      <c r="Q84" s="578" t="s">
        <v>74</v>
      </c>
      <c r="R84" s="2"/>
      <c r="S84" s="712"/>
      <c r="T84" s="712"/>
    </row>
    <row r="85" spans="1:146">
      <c r="A85" s="579" t="s">
        <v>75</v>
      </c>
      <c r="B85" s="576"/>
      <c r="C85" s="576"/>
      <c r="D85" s="576"/>
      <c r="E85" s="576"/>
      <c r="F85" s="576"/>
      <c r="G85" s="576"/>
      <c r="H85" s="725"/>
      <c r="I85" s="725"/>
      <c r="J85" s="725"/>
      <c r="K85" s="725"/>
      <c r="L85" s="576"/>
      <c r="M85" s="576"/>
      <c r="N85" s="576"/>
      <c r="O85" s="576"/>
      <c r="P85" s="719"/>
      <c r="Q85" s="579" t="s">
        <v>75</v>
      </c>
      <c r="R85" s="2"/>
      <c r="S85" s="712"/>
      <c r="T85" s="712"/>
    </row>
    <row r="86" spans="1:146">
      <c r="A86" s="578" t="s">
        <v>76</v>
      </c>
      <c r="B86" s="576"/>
      <c r="C86" s="576"/>
      <c r="D86" s="576"/>
      <c r="E86" s="576"/>
      <c r="F86" s="576"/>
      <c r="G86" s="576"/>
      <c r="H86" s="725"/>
      <c r="I86" s="725"/>
      <c r="J86" s="725"/>
      <c r="K86" s="725"/>
      <c r="L86" s="576"/>
      <c r="M86" s="576"/>
      <c r="N86" s="576"/>
      <c r="O86" s="576"/>
      <c r="P86" s="719"/>
      <c r="Q86" s="578" t="s">
        <v>76</v>
      </c>
      <c r="R86" s="2"/>
      <c r="S86" s="712"/>
      <c r="T86" s="712"/>
    </row>
    <row r="87" spans="1:146">
      <c r="A87" s="579" t="s">
        <v>77</v>
      </c>
      <c r="B87" s="576"/>
      <c r="C87" s="576"/>
      <c r="D87" s="576"/>
      <c r="E87" s="576"/>
      <c r="F87" s="576"/>
      <c r="G87" s="576"/>
      <c r="H87" s="725"/>
      <c r="I87" s="725"/>
      <c r="J87" s="725"/>
      <c r="K87" s="725"/>
      <c r="L87" s="576"/>
      <c r="M87" s="576"/>
      <c r="N87" s="576"/>
      <c r="O87" s="576"/>
      <c r="P87" s="719"/>
      <c r="Q87" s="579" t="s">
        <v>77</v>
      </c>
      <c r="R87" s="2"/>
      <c r="S87" s="712"/>
      <c r="T87" s="712"/>
    </row>
    <row r="88" spans="1:146" ht="45" customHeight="1">
      <c r="A88" s="578" t="s">
        <v>78</v>
      </c>
      <c r="B88" s="576"/>
      <c r="C88" s="576"/>
      <c r="D88" s="576"/>
      <c r="E88" s="580" t="s">
        <v>628</v>
      </c>
      <c r="F88" s="576"/>
      <c r="G88" s="576"/>
      <c r="H88" s="725"/>
      <c r="I88" s="725"/>
      <c r="J88" s="725"/>
      <c r="K88" s="725"/>
      <c r="L88" s="580" t="s">
        <v>453</v>
      </c>
      <c r="M88" s="580" t="s">
        <v>453</v>
      </c>
      <c r="N88" s="657" t="s">
        <v>453</v>
      </c>
      <c r="O88" s="576"/>
      <c r="P88" s="721" t="s">
        <v>649</v>
      </c>
      <c r="Q88" s="578" t="s">
        <v>78</v>
      </c>
      <c r="R88" s="2"/>
      <c r="S88" s="850"/>
      <c r="T88" s="712"/>
    </row>
    <row r="89" spans="1:146" ht="13.5" customHeight="1">
      <c r="A89" s="579" t="s">
        <v>79</v>
      </c>
      <c r="B89" s="576"/>
      <c r="C89" s="576"/>
      <c r="D89" s="576"/>
      <c r="E89" s="576"/>
      <c r="F89" s="576"/>
      <c r="G89" s="576"/>
      <c r="H89" s="725"/>
      <c r="I89" s="725"/>
      <c r="J89" s="725"/>
      <c r="K89" s="725"/>
      <c r="L89" s="576"/>
      <c r="M89" s="576"/>
      <c r="N89" s="576"/>
      <c r="O89" s="576"/>
      <c r="Q89" s="579" t="s">
        <v>79</v>
      </c>
      <c r="R89" s="2"/>
      <c r="S89" s="712"/>
      <c r="T89" s="712"/>
    </row>
    <row r="90" spans="1:146" s="422" customFormat="1" ht="23" customHeight="1">
      <c r="A90" s="578" t="s">
        <v>80</v>
      </c>
      <c r="B90" s="576"/>
      <c r="C90" s="576"/>
      <c r="D90" s="576"/>
      <c r="E90" s="576"/>
      <c r="F90" s="576"/>
      <c r="G90" s="576"/>
      <c r="H90" s="725" t="s">
        <v>452</v>
      </c>
      <c r="I90" s="725"/>
      <c r="J90" s="726"/>
      <c r="K90" s="726"/>
      <c r="L90" s="580"/>
      <c r="M90" s="580"/>
      <c r="N90" s="580"/>
      <c r="O90" s="580"/>
      <c r="P90" s="729"/>
      <c r="Q90" s="578" t="s">
        <v>80</v>
      </c>
      <c r="R90" s="2"/>
      <c r="S90" s="712"/>
      <c r="T90" s="712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</row>
    <row r="91" spans="1:146">
      <c r="A91" s="579" t="s">
        <v>81</v>
      </c>
      <c r="B91" s="576"/>
      <c r="C91" s="576"/>
      <c r="D91" s="576"/>
      <c r="E91" s="576"/>
      <c r="F91" s="576"/>
      <c r="G91" s="576"/>
      <c r="H91" s="725"/>
      <c r="I91" s="725"/>
      <c r="J91" s="725"/>
      <c r="K91" s="725"/>
      <c r="L91" s="576" t="s">
        <v>452</v>
      </c>
      <c r="M91" s="576" t="s">
        <v>452</v>
      </c>
      <c r="N91" s="657" t="s">
        <v>452</v>
      </c>
      <c r="O91" s="576"/>
      <c r="P91" s="719"/>
      <c r="Q91" s="579" t="s">
        <v>81</v>
      </c>
      <c r="R91" s="2"/>
      <c r="S91" s="712"/>
      <c r="T91" s="712"/>
    </row>
    <row r="92" spans="1:146">
      <c r="A92" s="578" t="s">
        <v>82</v>
      </c>
      <c r="B92" s="576"/>
      <c r="C92" s="576"/>
      <c r="D92" s="576"/>
      <c r="E92" s="576"/>
      <c r="F92" s="576"/>
      <c r="G92" s="576"/>
      <c r="H92" s="725" t="s">
        <v>628</v>
      </c>
      <c r="I92" s="725"/>
      <c r="J92" s="725"/>
      <c r="K92" s="726" t="s">
        <v>452</v>
      </c>
      <c r="L92" s="576"/>
      <c r="M92" s="657"/>
      <c r="N92" s="580"/>
      <c r="O92" s="576"/>
      <c r="P92" s="719" t="s">
        <v>650</v>
      </c>
      <c r="Q92" s="578" t="s">
        <v>82</v>
      </c>
      <c r="R92" s="2"/>
      <c r="S92" s="712"/>
      <c r="T92" s="712"/>
    </row>
    <row r="93" spans="1:146" ht="21" customHeight="1">
      <c r="A93" s="579" t="s">
        <v>83</v>
      </c>
      <c r="B93" s="576" t="s">
        <v>452</v>
      </c>
      <c r="C93" s="576" t="s">
        <v>452</v>
      </c>
      <c r="D93" s="576" t="s">
        <v>452</v>
      </c>
      <c r="E93" s="576" t="s">
        <v>452</v>
      </c>
      <c r="F93" s="576" t="s">
        <v>452</v>
      </c>
      <c r="G93" s="576" t="s">
        <v>452</v>
      </c>
      <c r="H93" s="726" t="s">
        <v>453</v>
      </c>
      <c r="I93" s="726" t="s">
        <v>453</v>
      </c>
      <c r="J93" s="726" t="s">
        <v>453</v>
      </c>
      <c r="K93" s="726" t="s">
        <v>453</v>
      </c>
      <c r="L93" s="657" t="s">
        <v>453</v>
      </c>
      <c r="M93" s="657" t="s">
        <v>453</v>
      </c>
      <c r="N93" s="657" t="s">
        <v>453</v>
      </c>
      <c r="O93" s="580"/>
      <c r="P93" s="721"/>
      <c r="Q93" s="579" t="s">
        <v>83</v>
      </c>
      <c r="R93" s="2"/>
      <c r="S93" s="712"/>
      <c r="T93" s="712"/>
    </row>
    <row r="94" spans="1:146">
      <c r="A94" s="578" t="s">
        <v>84</v>
      </c>
      <c r="B94" s="576"/>
      <c r="C94" s="576"/>
      <c r="D94" s="576"/>
      <c r="E94" s="576"/>
      <c r="F94" s="576"/>
      <c r="G94" s="576"/>
      <c r="H94" s="725"/>
      <c r="I94" s="725"/>
      <c r="J94" s="725"/>
      <c r="K94" s="725"/>
      <c r="L94" s="576"/>
      <c r="M94" s="576"/>
      <c r="N94" s="576"/>
      <c r="O94" s="576"/>
      <c r="P94" s="719"/>
      <c r="Q94" s="578" t="s">
        <v>84</v>
      </c>
      <c r="R94" s="2"/>
      <c r="S94" s="712"/>
      <c r="T94" s="712"/>
    </row>
    <row r="95" spans="1:146">
      <c r="A95" s="579" t="s">
        <v>85</v>
      </c>
      <c r="B95" s="576"/>
      <c r="C95" s="576"/>
      <c r="D95" s="576"/>
      <c r="E95" s="576"/>
      <c r="F95" s="576"/>
      <c r="G95" s="576"/>
      <c r="H95" s="725"/>
      <c r="I95" s="725"/>
      <c r="J95" s="725"/>
      <c r="K95" s="725"/>
      <c r="L95" s="576"/>
      <c r="M95" s="576"/>
      <c r="N95" s="576"/>
      <c r="O95" s="576"/>
      <c r="P95" s="719"/>
      <c r="Q95" s="579" t="s">
        <v>85</v>
      </c>
      <c r="R95" s="2"/>
      <c r="S95" s="712"/>
      <c r="T95" s="712"/>
    </row>
    <row r="96" spans="1:146" ht="15" customHeight="1">
      <c r="A96" s="578" t="s">
        <v>86</v>
      </c>
      <c r="B96" s="576" t="s">
        <v>452</v>
      </c>
      <c r="C96" s="576" t="s">
        <v>452</v>
      </c>
      <c r="D96" s="576" t="s">
        <v>452</v>
      </c>
      <c r="E96" s="582" t="s">
        <v>453</v>
      </c>
      <c r="F96" s="576"/>
      <c r="G96" s="580" t="s">
        <v>452</v>
      </c>
      <c r="H96" s="725" t="s">
        <v>452</v>
      </c>
      <c r="I96" s="725" t="s">
        <v>452</v>
      </c>
      <c r="J96" s="725" t="s">
        <v>453</v>
      </c>
      <c r="K96" s="725" t="s">
        <v>452</v>
      </c>
      <c r="L96" s="657" t="s">
        <v>452</v>
      </c>
      <c r="M96" s="657" t="s">
        <v>452</v>
      </c>
      <c r="N96" s="657" t="s">
        <v>452</v>
      </c>
      <c r="O96" s="576"/>
      <c r="P96" s="721"/>
      <c r="Q96" s="578" t="s">
        <v>86</v>
      </c>
      <c r="R96" s="2"/>
      <c r="S96" s="712"/>
      <c r="T96" s="712"/>
    </row>
    <row r="97" spans="1:146">
      <c r="A97" s="579" t="s">
        <v>87</v>
      </c>
      <c r="B97" s="576"/>
      <c r="C97" s="576"/>
      <c r="D97" s="576"/>
      <c r="E97" s="576"/>
      <c r="F97" s="576"/>
      <c r="G97" s="576"/>
      <c r="H97" s="725"/>
      <c r="I97" s="725"/>
      <c r="J97" s="725"/>
      <c r="K97" s="725"/>
      <c r="L97" s="580" t="s">
        <v>610</v>
      </c>
      <c r="M97" s="580" t="s">
        <v>610</v>
      </c>
      <c r="N97" s="580" t="s">
        <v>610</v>
      </c>
      <c r="O97" s="576"/>
      <c r="P97" s="723"/>
      <c r="Q97" s="579" t="s">
        <v>87</v>
      </c>
      <c r="R97" s="2"/>
      <c r="S97" s="712"/>
      <c r="T97" s="712"/>
    </row>
    <row r="98" spans="1:146">
      <c r="A98" s="578" t="s">
        <v>88</v>
      </c>
      <c r="B98" s="576"/>
      <c r="C98" s="576"/>
      <c r="D98" s="576"/>
      <c r="E98" s="576"/>
      <c r="F98" s="576"/>
      <c r="G98" s="576"/>
      <c r="H98" s="725"/>
      <c r="I98" s="725"/>
      <c r="J98" s="725"/>
      <c r="K98" s="725"/>
      <c r="L98" s="576"/>
      <c r="M98" s="576"/>
      <c r="N98" s="576"/>
      <c r="O98" s="576"/>
      <c r="P98" s="724"/>
      <c r="Q98" s="578" t="s">
        <v>88</v>
      </c>
      <c r="R98" s="2"/>
      <c r="S98" s="712"/>
      <c r="T98" s="712"/>
    </row>
    <row r="99" spans="1:146">
      <c r="A99" s="583" t="s">
        <v>455</v>
      </c>
      <c r="B99" s="575">
        <v>2005</v>
      </c>
      <c r="C99" s="575">
        <v>2006</v>
      </c>
      <c r="D99" s="575">
        <v>2007</v>
      </c>
      <c r="E99" s="575">
        <v>2008</v>
      </c>
      <c r="F99" s="575">
        <v>2009</v>
      </c>
      <c r="G99" s="575">
        <v>2010</v>
      </c>
      <c r="H99" s="714">
        <v>2011</v>
      </c>
      <c r="I99" s="714">
        <v>2012</v>
      </c>
      <c r="J99" s="714">
        <v>2013</v>
      </c>
      <c r="K99" s="714">
        <v>2014</v>
      </c>
      <c r="L99" s="575">
        <v>2015</v>
      </c>
      <c r="M99" s="575">
        <v>2016</v>
      </c>
      <c r="N99" s="575">
        <v>2017</v>
      </c>
      <c r="O99" s="575"/>
      <c r="P99" s="717" t="s">
        <v>615</v>
      </c>
      <c r="Q99" s="712"/>
      <c r="R99" s="2"/>
      <c r="S99" s="712"/>
      <c r="T99" s="712"/>
    </row>
    <row r="100" spans="1:146">
      <c r="A100" s="577" t="s">
        <v>456</v>
      </c>
      <c r="B100" s="577">
        <v>2007</v>
      </c>
      <c r="C100" s="577">
        <v>2008</v>
      </c>
      <c r="D100" s="577">
        <v>2009</v>
      </c>
      <c r="E100" s="577">
        <v>2010</v>
      </c>
      <c r="F100" s="577">
        <v>2011</v>
      </c>
      <c r="G100" s="577">
        <v>2012</v>
      </c>
      <c r="H100" s="727">
        <v>2013</v>
      </c>
      <c r="I100" s="727">
        <v>2014</v>
      </c>
      <c r="J100" s="727">
        <v>2015</v>
      </c>
      <c r="K100" s="727">
        <v>2016</v>
      </c>
      <c r="L100" s="577">
        <v>2017</v>
      </c>
      <c r="M100" s="577">
        <v>2017</v>
      </c>
      <c r="N100" s="577">
        <v>2017</v>
      </c>
      <c r="O100" s="577"/>
      <c r="P100" s="724"/>
      <c r="Q100" s="712"/>
      <c r="R100" s="2"/>
      <c r="S100" s="712"/>
      <c r="T100" s="712"/>
    </row>
    <row r="101" spans="1:146" s="487" customFormat="1">
      <c r="A101" s="493"/>
      <c r="B101" s="493"/>
      <c r="C101" s="493"/>
      <c r="D101" s="493"/>
      <c r="E101" s="493"/>
      <c r="F101" s="493"/>
      <c r="G101" s="493"/>
      <c r="H101" s="728"/>
      <c r="I101" s="728"/>
      <c r="J101" s="728"/>
      <c r="K101" s="728"/>
      <c r="L101" s="493"/>
      <c r="M101" s="493"/>
      <c r="N101" s="493"/>
      <c r="O101" s="493"/>
      <c r="Q101" s="2"/>
      <c r="R101" s="2"/>
      <c r="S101" s="712"/>
      <c r="T101" s="712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  <c r="EJ101" s="105"/>
      <c r="EK101" s="105"/>
      <c r="EL101" s="105"/>
      <c r="EM101" s="105"/>
      <c r="EN101" s="105"/>
      <c r="EO101" s="105"/>
      <c r="EP101" s="105"/>
    </row>
    <row r="102" spans="1:146" s="487" customFormat="1">
      <c r="A102" s="493"/>
      <c r="B102" s="493"/>
      <c r="C102" s="493"/>
      <c r="D102" s="493"/>
      <c r="E102" s="493"/>
      <c r="F102" s="493"/>
      <c r="G102" s="493"/>
      <c r="H102" s="728"/>
      <c r="I102" s="728"/>
      <c r="J102" s="728"/>
      <c r="K102" s="728"/>
      <c r="L102" s="493"/>
      <c r="M102" s="493"/>
      <c r="N102" s="493"/>
      <c r="O102" s="493"/>
      <c r="Q102" s="2"/>
      <c r="R102" s="2"/>
      <c r="S102" s="712"/>
      <c r="T102" s="712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5"/>
      <c r="BZ102" s="105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5"/>
      <c r="CM102" s="105"/>
      <c r="CN102" s="105"/>
      <c r="CO102" s="105"/>
      <c r="CP102" s="105"/>
      <c r="CQ102" s="105"/>
      <c r="CR102" s="105"/>
      <c r="CS102" s="105"/>
      <c r="CT102" s="105"/>
      <c r="CU102" s="105"/>
      <c r="CV102" s="105"/>
      <c r="CW102" s="105"/>
      <c r="CX102" s="105"/>
      <c r="CY102" s="105"/>
      <c r="CZ102" s="105"/>
      <c r="DA102" s="105"/>
      <c r="DB102" s="105"/>
      <c r="DC102" s="105"/>
      <c r="DD102" s="105"/>
      <c r="DE102" s="105"/>
      <c r="DF102" s="105"/>
      <c r="DG102" s="105"/>
      <c r="DH102" s="105"/>
      <c r="DI102" s="105"/>
      <c r="DJ102" s="105"/>
      <c r="DK102" s="105"/>
      <c r="DL102" s="105"/>
      <c r="DM102" s="105"/>
      <c r="DN102" s="105"/>
      <c r="DO102" s="105"/>
      <c r="DP102" s="105"/>
      <c r="DQ102" s="105"/>
      <c r="DR102" s="105"/>
      <c r="DS102" s="105"/>
      <c r="DT102" s="105"/>
      <c r="DU102" s="105"/>
      <c r="DV102" s="105"/>
      <c r="DW102" s="105"/>
      <c r="DX102" s="105"/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</row>
    <row r="103" spans="1:146" s="105" customFormat="1">
      <c r="A103" s="939"/>
      <c r="B103" s="939"/>
      <c r="C103" s="939"/>
      <c r="D103" s="939"/>
      <c r="E103" s="939"/>
      <c r="F103" s="939"/>
      <c r="G103" s="939"/>
      <c r="H103" s="940"/>
      <c r="I103" s="940"/>
      <c r="J103" s="940"/>
      <c r="K103" s="940"/>
      <c r="L103" s="939"/>
      <c r="M103" s="939"/>
      <c r="N103" s="939"/>
      <c r="O103" s="939"/>
      <c r="Q103" s="712"/>
      <c r="R103" s="712"/>
      <c r="S103" s="712"/>
      <c r="T103" s="712"/>
    </row>
    <row r="104" spans="1:146" s="105" customFormat="1">
      <c r="A104" s="939"/>
      <c r="B104" s="939"/>
      <c r="C104" s="939"/>
      <c r="D104" s="939"/>
      <c r="E104" s="939"/>
      <c r="F104" s="939"/>
      <c r="G104" s="939"/>
      <c r="H104" s="940"/>
      <c r="I104" s="940"/>
      <c r="J104" s="940"/>
      <c r="K104" s="940"/>
      <c r="L104" s="939"/>
      <c r="M104" s="939"/>
      <c r="N104" s="939"/>
      <c r="O104" s="939"/>
      <c r="Q104" s="712"/>
      <c r="R104" s="712"/>
      <c r="S104" s="712"/>
      <c r="T104" s="712"/>
    </row>
    <row r="105" spans="1:146" s="105" customFormat="1">
      <c r="A105" s="939"/>
      <c r="B105" s="939"/>
      <c r="C105" s="939"/>
      <c r="D105" s="939"/>
      <c r="E105" s="939"/>
      <c r="F105" s="939"/>
      <c r="G105" s="939"/>
      <c r="H105" s="940"/>
      <c r="I105" s="940"/>
      <c r="J105" s="940"/>
      <c r="K105" s="940"/>
      <c r="L105" s="939"/>
      <c r="M105" s="939"/>
      <c r="N105" s="939"/>
      <c r="O105" s="939"/>
      <c r="Q105" s="712"/>
      <c r="R105" s="712"/>
      <c r="S105" s="712"/>
      <c r="T105" s="712"/>
    </row>
    <row r="106" spans="1:146" s="105" customFormat="1">
      <c r="A106" s="939"/>
      <c r="B106" s="939"/>
      <c r="C106" s="939"/>
      <c r="D106" s="939"/>
      <c r="E106" s="939"/>
      <c r="F106" s="939"/>
      <c r="G106" s="939"/>
      <c r="H106" s="940"/>
      <c r="I106" s="940"/>
      <c r="J106" s="940"/>
      <c r="K106" s="940"/>
      <c r="L106" s="939"/>
      <c r="M106" s="939"/>
      <c r="N106" s="939"/>
      <c r="O106" s="939"/>
      <c r="Q106" s="712"/>
      <c r="R106" s="712"/>
      <c r="S106" s="712"/>
      <c r="T106" s="712"/>
    </row>
    <row r="107" spans="1:146" s="105" customFormat="1">
      <c r="A107" s="939"/>
      <c r="B107" s="939"/>
      <c r="C107" s="939"/>
      <c r="D107" s="939"/>
      <c r="E107" s="939"/>
      <c r="F107" s="939"/>
      <c r="G107" s="939"/>
      <c r="H107" s="940"/>
      <c r="I107" s="940"/>
      <c r="J107" s="940"/>
      <c r="K107" s="940"/>
      <c r="L107" s="939"/>
      <c r="M107" s="939"/>
      <c r="N107" s="939"/>
      <c r="O107" s="939"/>
      <c r="Q107" s="712"/>
      <c r="R107" s="712"/>
      <c r="S107" s="712"/>
      <c r="T107" s="712"/>
    </row>
    <row r="108" spans="1:146" s="105" customFormat="1">
      <c r="A108" s="939"/>
      <c r="B108" s="939"/>
      <c r="C108" s="939"/>
      <c r="D108" s="939"/>
      <c r="E108" s="939"/>
      <c r="F108" s="939"/>
      <c r="G108" s="939"/>
      <c r="H108" s="940"/>
      <c r="I108" s="940"/>
      <c r="J108" s="940"/>
      <c r="K108" s="940"/>
      <c r="L108" s="939"/>
      <c r="M108" s="939"/>
      <c r="N108" s="939"/>
      <c r="O108" s="939"/>
      <c r="Q108" s="712"/>
      <c r="R108" s="712"/>
      <c r="S108" s="712"/>
      <c r="T108" s="712"/>
    </row>
    <row r="109" spans="1:146" s="105" customFormat="1">
      <c r="A109" s="939"/>
      <c r="B109" s="939"/>
      <c r="C109" s="939"/>
      <c r="D109" s="939"/>
      <c r="E109" s="939"/>
      <c r="F109" s="939"/>
      <c r="G109" s="939"/>
      <c r="H109" s="940"/>
      <c r="I109" s="940"/>
      <c r="J109" s="940"/>
      <c r="K109" s="940"/>
      <c r="L109" s="939"/>
      <c r="M109" s="939"/>
      <c r="N109" s="939"/>
      <c r="O109" s="939"/>
      <c r="Q109" s="712"/>
      <c r="R109" s="712"/>
      <c r="S109" s="712"/>
      <c r="T109" s="712"/>
    </row>
    <row r="110" spans="1:146" s="105" customFormat="1">
      <c r="A110" s="939"/>
      <c r="B110" s="939"/>
      <c r="C110" s="939"/>
      <c r="D110" s="939"/>
      <c r="E110" s="939"/>
      <c r="F110" s="939"/>
      <c r="G110" s="939"/>
      <c r="H110" s="940"/>
      <c r="I110" s="940"/>
      <c r="J110" s="940"/>
      <c r="K110" s="940"/>
      <c r="L110" s="939"/>
      <c r="M110" s="939"/>
      <c r="N110" s="939"/>
      <c r="O110" s="939"/>
      <c r="Q110" s="501"/>
      <c r="R110" s="712"/>
      <c r="S110" s="712"/>
      <c r="T110" s="712"/>
    </row>
    <row r="111" spans="1:146" s="105" customFormat="1">
      <c r="A111" s="939"/>
      <c r="B111" s="939"/>
      <c r="C111" s="939"/>
      <c r="D111" s="939"/>
      <c r="E111" s="939"/>
      <c r="F111" s="939"/>
      <c r="G111" s="939"/>
      <c r="H111" s="940"/>
      <c r="I111" s="940"/>
      <c r="J111" s="940"/>
      <c r="K111" s="940"/>
      <c r="L111" s="939"/>
      <c r="M111" s="939"/>
      <c r="N111" s="939"/>
      <c r="O111" s="939"/>
      <c r="Q111" s="501"/>
      <c r="R111" s="712"/>
      <c r="S111" s="712"/>
      <c r="T111" s="712"/>
    </row>
    <row r="112" spans="1:146" s="105" customFormat="1">
      <c r="A112" s="939"/>
      <c r="B112" s="939"/>
      <c r="C112" s="939"/>
      <c r="D112" s="939"/>
      <c r="E112" s="939"/>
      <c r="F112" s="939"/>
      <c r="G112" s="939"/>
      <c r="H112" s="940"/>
      <c r="I112" s="940"/>
      <c r="J112" s="940"/>
      <c r="K112" s="940"/>
      <c r="L112" s="939"/>
      <c r="M112" s="939"/>
      <c r="N112" s="939"/>
      <c r="O112" s="939"/>
      <c r="Q112" s="501"/>
      <c r="R112" s="712"/>
      <c r="S112" s="712"/>
      <c r="T112" s="712"/>
    </row>
    <row r="113" spans="1:20" s="105" customFormat="1">
      <c r="A113" s="939"/>
      <c r="B113" s="939"/>
      <c r="C113" s="939"/>
      <c r="D113" s="939"/>
      <c r="E113" s="939"/>
      <c r="F113" s="939"/>
      <c r="G113" s="939"/>
      <c r="H113" s="940"/>
      <c r="I113" s="940"/>
      <c r="J113" s="940"/>
      <c r="K113" s="940"/>
      <c r="L113" s="939"/>
      <c r="M113" s="939"/>
      <c r="N113" s="939"/>
      <c r="O113" s="939"/>
      <c r="Q113" s="501"/>
      <c r="R113" s="712"/>
      <c r="S113" s="712"/>
      <c r="T113" s="712"/>
    </row>
    <row r="114" spans="1:20" s="105" customFormat="1">
      <c r="A114" s="939"/>
      <c r="B114" s="939"/>
      <c r="C114" s="939"/>
      <c r="D114" s="939"/>
      <c r="E114" s="939"/>
      <c r="F114" s="939"/>
      <c r="G114" s="939"/>
      <c r="H114" s="940"/>
      <c r="I114" s="940"/>
      <c r="J114" s="940"/>
      <c r="K114" s="940"/>
      <c r="L114" s="939"/>
      <c r="M114" s="939"/>
      <c r="N114" s="939"/>
      <c r="O114" s="939"/>
      <c r="Q114" s="712"/>
      <c r="R114" s="712"/>
      <c r="S114" s="712"/>
      <c r="T114" s="712"/>
    </row>
    <row r="115" spans="1:20" s="105" customFormat="1">
      <c r="A115" s="939"/>
      <c r="B115" s="939"/>
      <c r="C115" s="939"/>
      <c r="D115" s="939"/>
      <c r="E115" s="939"/>
      <c r="F115" s="939"/>
      <c r="G115" s="939"/>
      <c r="H115" s="940"/>
      <c r="I115" s="940"/>
      <c r="J115" s="940"/>
      <c r="K115" s="940"/>
      <c r="L115" s="939"/>
      <c r="M115" s="939"/>
      <c r="N115" s="939"/>
      <c r="O115" s="939"/>
      <c r="Q115" s="712"/>
      <c r="R115" s="712"/>
      <c r="S115" s="712"/>
      <c r="T115" s="712"/>
    </row>
    <row r="116" spans="1:20" s="105" customFormat="1">
      <c r="A116" s="939"/>
      <c r="B116" s="939"/>
      <c r="C116" s="939"/>
      <c r="D116" s="939"/>
      <c r="E116" s="939"/>
      <c r="F116" s="939"/>
      <c r="G116" s="939"/>
      <c r="H116" s="940"/>
      <c r="I116" s="940"/>
      <c r="J116" s="940"/>
      <c r="K116" s="940"/>
      <c r="L116" s="939"/>
      <c r="M116" s="939"/>
      <c r="N116" s="939"/>
      <c r="O116" s="939"/>
      <c r="Q116" s="712"/>
      <c r="R116" s="712"/>
      <c r="S116" s="712"/>
      <c r="T116" s="712"/>
    </row>
    <row r="117" spans="1:20" s="105" customFormat="1">
      <c r="A117" s="939"/>
      <c r="B117" s="939"/>
      <c r="C117" s="939"/>
      <c r="D117" s="939"/>
      <c r="E117" s="939"/>
      <c r="F117" s="939"/>
      <c r="G117" s="939"/>
      <c r="H117" s="940"/>
      <c r="I117" s="940"/>
      <c r="J117" s="940"/>
      <c r="K117" s="940"/>
      <c r="L117" s="939"/>
      <c r="M117" s="939"/>
      <c r="N117" s="939"/>
      <c r="O117" s="939"/>
      <c r="Q117" s="712"/>
      <c r="R117" s="712"/>
      <c r="S117" s="712"/>
      <c r="T117" s="712"/>
    </row>
    <row r="118" spans="1:20" s="105" customFormat="1">
      <c r="H118" s="712"/>
      <c r="I118" s="712"/>
      <c r="J118" s="712"/>
      <c r="K118" s="712"/>
      <c r="Q118" s="712"/>
      <c r="R118" s="712"/>
      <c r="S118" s="712"/>
      <c r="T118" s="712"/>
    </row>
    <row r="119" spans="1:20" s="105" customFormat="1">
      <c r="H119" s="712"/>
      <c r="I119" s="712"/>
      <c r="J119" s="712"/>
      <c r="K119" s="712"/>
      <c r="Q119" s="712"/>
      <c r="R119" s="712"/>
      <c r="S119" s="712"/>
      <c r="T119" s="712"/>
    </row>
    <row r="120" spans="1:20" s="105" customFormat="1">
      <c r="H120" s="712"/>
      <c r="I120" s="712"/>
      <c r="J120" s="712"/>
      <c r="K120" s="712"/>
      <c r="Q120" s="712"/>
      <c r="R120" s="712"/>
      <c r="S120" s="712"/>
      <c r="T120" s="712"/>
    </row>
    <row r="121" spans="1:20" s="105" customFormat="1">
      <c r="H121" s="712"/>
      <c r="I121" s="712"/>
      <c r="J121" s="712"/>
      <c r="K121" s="712"/>
      <c r="Q121" s="712"/>
      <c r="R121" s="712"/>
      <c r="S121" s="712"/>
      <c r="T121" s="712"/>
    </row>
    <row r="122" spans="1:20" s="105" customFormat="1">
      <c r="H122" s="712"/>
      <c r="I122" s="712"/>
      <c r="J122" s="712"/>
      <c r="K122" s="712"/>
      <c r="Q122" s="712"/>
      <c r="R122" s="712"/>
      <c r="S122" s="712"/>
      <c r="T122" s="712"/>
    </row>
    <row r="123" spans="1:20" s="105" customFormat="1">
      <c r="H123" s="712"/>
      <c r="I123" s="712"/>
      <c r="J123" s="712"/>
      <c r="K123" s="712"/>
      <c r="Q123" s="712"/>
      <c r="R123" s="712"/>
      <c r="S123" s="712"/>
      <c r="T123" s="712"/>
    </row>
    <row r="124" spans="1:20" s="105" customFormat="1">
      <c r="H124" s="712"/>
      <c r="I124" s="712"/>
      <c r="J124" s="712"/>
      <c r="K124" s="712"/>
      <c r="Q124" s="712"/>
      <c r="R124" s="712"/>
      <c r="S124" s="712"/>
      <c r="T124" s="712"/>
    </row>
    <row r="125" spans="1:20" s="105" customFormat="1">
      <c r="H125" s="712"/>
      <c r="I125" s="712"/>
      <c r="J125" s="712"/>
      <c r="K125" s="712"/>
      <c r="Q125" s="712"/>
      <c r="R125" s="712"/>
      <c r="S125" s="712"/>
      <c r="T125" s="712"/>
    </row>
    <row r="126" spans="1:20" s="105" customFormat="1">
      <c r="H126" s="712"/>
      <c r="I126" s="712"/>
      <c r="J126" s="712"/>
      <c r="K126" s="712"/>
      <c r="Q126" s="712"/>
      <c r="R126" s="712"/>
      <c r="S126" s="712"/>
      <c r="T126" s="712"/>
    </row>
    <row r="127" spans="1:20" s="105" customFormat="1">
      <c r="H127" s="712"/>
      <c r="I127" s="712"/>
      <c r="J127" s="712"/>
      <c r="K127" s="712"/>
      <c r="Q127" s="712"/>
      <c r="R127" s="712"/>
      <c r="S127" s="712"/>
      <c r="T127" s="712"/>
    </row>
    <row r="128" spans="1:20" s="105" customFormat="1">
      <c r="H128" s="712"/>
      <c r="I128" s="712"/>
      <c r="J128" s="712"/>
      <c r="K128" s="712"/>
      <c r="Q128" s="712"/>
      <c r="R128" s="712"/>
      <c r="S128" s="712"/>
      <c r="T128" s="712"/>
    </row>
    <row r="129" spans="8:20" s="105" customFormat="1">
      <c r="H129" s="712"/>
      <c r="I129" s="712"/>
      <c r="J129" s="712"/>
      <c r="K129" s="712"/>
      <c r="Q129" s="712"/>
      <c r="R129" s="712"/>
      <c r="S129" s="712"/>
      <c r="T129" s="712"/>
    </row>
    <row r="130" spans="8:20" s="105" customFormat="1">
      <c r="H130" s="712"/>
      <c r="I130" s="712"/>
      <c r="J130" s="712"/>
      <c r="K130" s="712"/>
      <c r="Q130" s="712"/>
      <c r="R130" s="712"/>
      <c r="S130" s="712"/>
      <c r="T130" s="712"/>
    </row>
    <row r="131" spans="8:20" s="105" customFormat="1">
      <c r="H131" s="712"/>
      <c r="I131" s="712"/>
      <c r="J131" s="712"/>
      <c r="K131" s="712"/>
      <c r="Q131" s="712"/>
      <c r="R131" s="712"/>
      <c r="S131" s="712"/>
      <c r="T131" s="712"/>
    </row>
    <row r="132" spans="8:20" s="105" customFormat="1">
      <c r="H132" s="712"/>
      <c r="I132" s="712"/>
      <c r="J132" s="712"/>
      <c r="K132" s="712"/>
      <c r="Q132" s="712"/>
      <c r="R132" s="712"/>
      <c r="S132" s="712"/>
      <c r="T132" s="712"/>
    </row>
    <row r="133" spans="8:20" s="105" customFormat="1">
      <c r="H133" s="712"/>
      <c r="I133" s="712"/>
      <c r="J133" s="712"/>
      <c r="K133" s="712"/>
      <c r="Q133" s="712"/>
      <c r="R133" s="712"/>
      <c r="S133" s="712"/>
      <c r="T133" s="712"/>
    </row>
    <row r="134" spans="8:20" s="105" customFormat="1">
      <c r="H134" s="712"/>
      <c r="I134" s="712"/>
      <c r="J134" s="712"/>
      <c r="K134" s="712"/>
      <c r="Q134" s="712"/>
      <c r="R134" s="712"/>
      <c r="S134" s="712"/>
      <c r="T134" s="712"/>
    </row>
    <row r="135" spans="8:20" s="105" customFormat="1">
      <c r="H135" s="712"/>
      <c r="I135" s="712"/>
      <c r="J135" s="712"/>
      <c r="K135" s="712"/>
      <c r="Q135" s="501"/>
      <c r="R135" s="501"/>
      <c r="S135" s="712"/>
      <c r="T135" s="712"/>
    </row>
    <row r="136" spans="8:20" s="105" customFormat="1">
      <c r="H136" s="712"/>
      <c r="I136" s="712"/>
      <c r="J136" s="712"/>
      <c r="K136" s="712"/>
      <c r="Q136" s="501"/>
      <c r="R136" s="501"/>
      <c r="S136" s="712"/>
      <c r="T136" s="712"/>
    </row>
    <row r="137" spans="8:20" s="105" customFormat="1">
      <c r="H137" s="712"/>
      <c r="I137" s="712"/>
      <c r="J137" s="712"/>
      <c r="K137" s="712"/>
      <c r="Q137" s="712"/>
      <c r="R137" s="712"/>
      <c r="S137" s="712"/>
      <c r="T137" s="712"/>
    </row>
    <row r="138" spans="8:20" s="105" customFormat="1">
      <c r="H138" s="712"/>
      <c r="I138" s="712"/>
      <c r="J138" s="712"/>
      <c r="K138" s="712"/>
      <c r="Q138" s="712"/>
      <c r="R138" s="712"/>
      <c r="S138" s="712"/>
      <c r="T138" s="712"/>
    </row>
    <row r="139" spans="8:20" s="105" customFormat="1">
      <c r="H139" s="712"/>
      <c r="I139" s="712"/>
      <c r="J139" s="712"/>
      <c r="K139" s="712"/>
      <c r="Q139" s="712"/>
      <c r="R139" s="712"/>
      <c r="S139" s="712"/>
      <c r="T139" s="712"/>
    </row>
    <row r="140" spans="8:20" s="105" customFormat="1">
      <c r="H140" s="712"/>
      <c r="I140" s="712"/>
      <c r="J140" s="712"/>
      <c r="K140" s="712"/>
      <c r="Q140" s="501"/>
      <c r="R140" s="501"/>
      <c r="S140" s="712"/>
      <c r="T140" s="712"/>
    </row>
    <row r="141" spans="8:20" s="105" customFormat="1">
      <c r="H141" s="712"/>
      <c r="I141" s="712"/>
      <c r="J141" s="712"/>
      <c r="K141" s="712"/>
      <c r="Q141" s="501"/>
      <c r="R141" s="501"/>
      <c r="S141" s="712"/>
      <c r="T141" s="712"/>
    </row>
    <row r="142" spans="8:20" s="105" customFormat="1">
      <c r="H142" s="712"/>
      <c r="I142" s="712"/>
      <c r="J142" s="712"/>
      <c r="K142" s="712"/>
      <c r="Q142" s="712"/>
      <c r="R142" s="712"/>
      <c r="S142" s="712"/>
      <c r="T142" s="712"/>
    </row>
    <row r="143" spans="8:20" s="105" customFormat="1">
      <c r="H143" s="712"/>
      <c r="I143" s="712"/>
      <c r="J143" s="712"/>
      <c r="K143" s="712"/>
      <c r="Q143" s="712"/>
      <c r="R143" s="712"/>
      <c r="S143" s="712"/>
      <c r="T143" s="712"/>
    </row>
    <row r="144" spans="8:20" s="105" customFormat="1">
      <c r="H144" s="712"/>
      <c r="I144" s="712"/>
      <c r="J144" s="712"/>
      <c r="K144" s="712"/>
      <c r="Q144" s="712"/>
      <c r="R144" s="712"/>
      <c r="S144" s="712"/>
      <c r="T144" s="712"/>
    </row>
    <row r="145" spans="8:20" s="105" customFormat="1">
      <c r="H145" s="712"/>
      <c r="I145" s="712"/>
      <c r="J145" s="712"/>
      <c r="K145" s="712"/>
      <c r="Q145" s="712"/>
      <c r="R145" s="712"/>
      <c r="S145" s="712"/>
      <c r="T145" s="712"/>
    </row>
    <row r="146" spans="8:20" s="105" customFormat="1">
      <c r="H146" s="712"/>
      <c r="I146" s="712"/>
      <c r="J146" s="712"/>
      <c r="K146" s="712"/>
      <c r="Q146" s="712"/>
      <c r="R146" s="712"/>
      <c r="S146" s="712"/>
      <c r="T146" s="712"/>
    </row>
    <row r="147" spans="8:20" s="105" customFormat="1">
      <c r="H147" s="712"/>
      <c r="I147" s="712"/>
      <c r="J147" s="712"/>
      <c r="K147" s="712"/>
      <c r="Q147" s="712"/>
      <c r="R147" s="712"/>
      <c r="S147" s="712"/>
      <c r="T147" s="712"/>
    </row>
    <row r="148" spans="8:20" s="105" customFormat="1">
      <c r="H148" s="712"/>
      <c r="I148" s="712"/>
      <c r="J148" s="712"/>
      <c r="K148" s="712"/>
      <c r="Q148" s="712"/>
      <c r="R148" s="712"/>
      <c r="S148" s="712"/>
      <c r="T148" s="712"/>
    </row>
    <row r="149" spans="8:20" s="105" customFormat="1">
      <c r="H149" s="712"/>
      <c r="I149" s="712"/>
      <c r="J149" s="712"/>
      <c r="K149" s="712"/>
      <c r="Q149" s="712"/>
      <c r="R149" s="712"/>
      <c r="S149" s="712"/>
      <c r="T149" s="712"/>
    </row>
    <row r="150" spans="8:20" s="105" customFormat="1">
      <c r="H150" s="712"/>
      <c r="I150" s="712"/>
      <c r="J150" s="712"/>
      <c r="K150" s="712"/>
      <c r="Q150" s="712"/>
      <c r="R150" s="712"/>
      <c r="S150" s="712"/>
      <c r="T150" s="712"/>
    </row>
    <row r="151" spans="8:20" s="105" customFormat="1">
      <c r="H151" s="712"/>
      <c r="I151" s="712"/>
      <c r="J151" s="712"/>
      <c r="K151" s="712"/>
      <c r="Q151" s="712"/>
      <c r="R151" s="712"/>
      <c r="S151" s="712"/>
      <c r="T151" s="712"/>
    </row>
    <row r="152" spans="8:20" s="105" customFormat="1">
      <c r="H152" s="712"/>
      <c r="I152" s="712"/>
      <c r="J152" s="712"/>
      <c r="K152" s="712"/>
      <c r="Q152" s="712"/>
      <c r="R152" s="712"/>
      <c r="S152" s="712"/>
      <c r="T152" s="712"/>
    </row>
    <row r="153" spans="8:20" s="105" customFormat="1">
      <c r="H153" s="712"/>
      <c r="I153" s="712"/>
      <c r="J153" s="712"/>
      <c r="K153" s="712"/>
      <c r="Q153" s="712"/>
      <c r="R153" s="712"/>
      <c r="S153" s="712"/>
      <c r="T153" s="712"/>
    </row>
    <row r="154" spans="8:20" s="105" customFormat="1">
      <c r="H154" s="712"/>
      <c r="I154" s="712"/>
      <c r="J154" s="712"/>
      <c r="K154" s="712"/>
      <c r="Q154" s="712"/>
      <c r="R154" s="712"/>
      <c r="S154" s="712"/>
      <c r="T154" s="712"/>
    </row>
    <row r="155" spans="8:20" s="105" customFormat="1">
      <c r="H155" s="712"/>
      <c r="I155" s="712"/>
      <c r="J155" s="712"/>
      <c r="K155" s="712"/>
      <c r="Q155" s="712"/>
      <c r="R155" s="712"/>
      <c r="S155" s="712"/>
      <c r="T155" s="712"/>
    </row>
    <row r="156" spans="8:20" s="105" customFormat="1">
      <c r="H156" s="712"/>
      <c r="I156" s="712"/>
      <c r="J156" s="712"/>
      <c r="K156" s="712"/>
    </row>
    <row r="157" spans="8:20" s="105" customFormat="1">
      <c r="H157" s="712"/>
      <c r="I157" s="712"/>
      <c r="J157" s="712"/>
      <c r="K157" s="712"/>
    </row>
    <row r="158" spans="8:20" s="105" customFormat="1">
      <c r="H158" s="712"/>
      <c r="I158" s="712"/>
      <c r="J158" s="712"/>
      <c r="K158" s="712"/>
    </row>
    <row r="159" spans="8:20" s="105" customFormat="1">
      <c r="H159" s="712"/>
      <c r="I159" s="712"/>
      <c r="J159" s="712"/>
      <c r="K159" s="712"/>
    </row>
    <row r="160" spans="8:20" s="105" customFormat="1">
      <c r="H160" s="712"/>
      <c r="I160" s="712"/>
      <c r="J160" s="712"/>
      <c r="K160" s="712"/>
    </row>
    <row r="161" spans="8:11" s="105" customFormat="1">
      <c r="H161" s="712"/>
      <c r="I161" s="712"/>
      <c r="J161" s="712"/>
      <c r="K161" s="712"/>
    </row>
    <row r="162" spans="8:11" s="105" customFormat="1">
      <c r="H162" s="712"/>
      <c r="I162" s="712"/>
      <c r="J162" s="712"/>
      <c r="K162" s="712"/>
    </row>
    <row r="163" spans="8:11" s="105" customFormat="1">
      <c r="H163" s="712"/>
      <c r="I163" s="712"/>
      <c r="J163" s="712"/>
      <c r="K163" s="712"/>
    </row>
    <row r="164" spans="8:11" s="105" customFormat="1">
      <c r="H164" s="712"/>
      <c r="I164" s="712"/>
      <c r="J164" s="712"/>
      <c r="K164" s="712"/>
    </row>
    <row r="165" spans="8:11" s="105" customFormat="1">
      <c r="H165" s="712"/>
      <c r="I165" s="712"/>
      <c r="J165" s="712"/>
      <c r="K165" s="712"/>
    </row>
    <row r="166" spans="8:11" s="105" customFormat="1">
      <c r="H166" s="712"/>
      <c r="I166" s="712"/>
      <c r="J166" s="712"/>
      <c r="K166" s="712"/>
    </row>
    <row r="167" spans="8:11" s="105" customFormat="1">
      <c r="H167" s="712"/>
      <c r="I167" s="712"/>
      <c r="J167" s="712"/>
      <c r="K167" s="712"/>
    </row>
    <row r="168" spans="8:11" s="105" customFormat="1">
      <c r="H168" s="712"/>
      <c r="I168" s="712"/>
      <c r="J168" s="712"/>
      <c r="K168" s="712"/>
    </row>
    <row r="169" spans="8:11" s="105" customFormat="1">
      <c r="H169" s="712"/>
      <c r="I169" s="712"/>
      <c r="J169" s="712"/>
      <c r="K169" s="712"/>
    </row>
    <row r="170" spans="8:11" s="105" customFormat="1">
      <c r="H170" s="712"/>
      <c r="I170" s="712"/>
      <c r="J170" s="712"/>
      <c r="K170" s="712"/>
    </row>
    <row r="171" spans="8:11" s="105" customFormat="1">
      <c r="H171" s="712"/>
      <c r="I171" s="712"/>
      <c r="J171" s="712"/>
      <c r="K171" s="712"/>
    </row>
    <row r="172" spans="8:11" s="105" customFormat="1">
      <c r="H172" s="712"/>
      <c r="I172" s="712"/>
      <c r="J172" s="712"/>
      <c r="K172" s="712"/>
    </row>
    <row r="173" spans="8:11" s="105" customFormat="1">
      <c r="H173" s="712"/>
      <c r="I173" s="712"/>
      <c r="J173" s="712"/>
      <c r="K173" s="712"/>
    </row>
    <row r="174" spans="8:11" s="105" customFormat="1">
      <c r="H174" s="712"/>
      <c r="I174" s="712"/>
      <c r="J174" s="712"/>
      <c r="K174" s="712"/>
    </row>
    <row r="175" spans="8:11" s="105" customFormat="1">
      <c r="H175" s="712"/>
      <c r="I175" s="712"/>
      <c r="J175" s="712"/>
      <c r="K175" s="712"/>
    </row>
    <row r="176" spans="8:11" s="105" customFormat="1">
      <c r="H176" s="712"/>
      <c r="I176" s="712"/>
      <c r="J176" s="712"/>
      <c r="K176" s="712"/>
    </row>
    <row r="177" spans="8:11" s="105" customFormat="1">
      <c r="H177" s="712"/>
      <c r="I177" s="712"/>
      <c r="J177" s="712"/>
      <c r="K177" s="712"/>
    </row>
    <row r="178" spans="8:11" s="105" customFormat="1">
      <c r="H178" s="712"/>
      <c r="I178" s="712"/>
      <c r="J178" s="712"/>
      <c r="K178" s="712"/>
    </row>
    <row r="179" spans="8:11" s="105" customFormat="1">
      <c r="H179" s="712"/>
      <c r="I179" s="712"/>
      <c r="J179" s="712"/>
      <c r="K179" s="712"/>
    </row>
    <row r="180" spans="8:11" s="105" customFormat="1">
      <c r="H180" s="712"/>
      <c r="I180" s="712"/>
      <c r="J180" s="712"/>
      <c r="K180" s="712"/>
    </row>
    <row r="181" spans="8:11" s="105" customFormat="1">
      <c r="H181" s="712"/>
      <c r="I181" s="712"/>
      <c r="J181" s="712"/>
      <c r="K181" s="712"/>
    </row>
    <row r="182" spans="8:11" s="105" customFormat="1">
      <c r="H182" s="712"/>
      <c r="I182" s="712"/>
      <c r="J182" s="712"/>
      <c r="K182" s="712"/>
    </row>
    <row r="183" spans="8:11" s="105" customFormat="1">
      <c r="H183" s="712"/>
      <c r="I183" s="712"/>
      <c r="J183" s="712"/>
      <c r="K183" s="712"/>
    </row>
    <row r="184" spans="8:11" s="105" customFormat="1">
      <c r="H184" s="712"/>
      <c r="I184" s="712"/>
      <c r="J184" s="712"/>
      <c r="K184" s="712"/>
    </row>
    <row r="185" spans="8:11" s="105" customFormat="1">
      <c r="H185" s="712"/>
      <c r="I185" s="712"/>
      <c r="J185" s="712"/>
      <c r="K185" s="712"/>
    </row>
    <row r="186" spans="8:11" s="105" customFormat="1">
      <c r="H186" s="712"/>
      <c r="I186" s="712"/>
      <c r="J186" s="712"/>
      <c r="K186" s="712"/>
    </row>
    <row r="187" spans="8:11" s="105" customFormat="1">
      <c r="H187" s="712"/>
      <c r="I187" s="712"/>
      <c r="J187" s="712"/>
      <c r="K187" s="712"/>
    </row>
    <row r="188" spans="8:11" s="105" customFormat="1">
      <c r="H188" s="712"/>
      <c r="I188" s="712"/>
      <c r="J188" s="712"/>
      <c r="K188" s="712"/>
    </row>
    <row r="189" spans="8:11" s="105" customFormat="1">
      <c r="H189" s="712"/>
      <c r="I189" s="712"/>
      <c r="J189" s="712"/>
      <c r="K189" s="712"/>
    </row>
    <row r="190" spans="8:11" s="105" customFormat="1">
      <c r="H190" s="712"/>
      <c r="I190" s="712"/>
      <c r="J190" s="712"/>
      <c r="K190" s="712"/>
    </row>
    <row r="191" spans="8:11" s="105" customFormat="1">
      <c r="H191" s="712"/>
      <c r="I191" s="712"/>
      <c r="J191" s="712"/>
      <c r="K191" s="712"/>
    </row>
    <row r="192" spans="8:11" s="105" customFormat="1">
      <c r="H192" s="712"/>
      <c r="I192" s="712"/>
      <c r="J192" s="712"/>
      <c r="K192" s="712"/>
    </row>
    <row r="193" spans="8:11" s="105" customFormat="1">
      <c r="H193" s="712"/>
      <c r="I193" s="712"/>
      <c r="J193" s="712"/>
      <c r="K193" s="712"/>
    </row>
    <row r="194" spans="8:11" s="105" customFormat="1">
      <c r="H194" s="712"/>
      <c r="I194" s="712"/>
      <c r="J194" s="712"/>
      <c r="K194" s="712"/>
    </row>
    <row r="195" spans="8:11" s="105" customFormat="1">
      <c r="H195" s="712"/>
      <c r="I195" s="712"/>
      <c r="J195" s="712"/>
      <c r="K195" s="712"/>
    </row>
    <row r="196" spans="8:11" s="105" customFormat="1">
      <c r="H196" s="712"/>
      <c r="I196" s="712"/>
      <c r="J196" s="712"/>
      <c r="K196" s="712"/>
    </row>
    <row r="197" spans="8:11" s="105" customFormat="1">
      <c r="H197" s="712"/>
      <c r="I197" s="712"/>
      <c r="J197" s="712"/>
      <c r="K197" s="712"/>
    </row>
    <row r="198" spans="8:11" s="105" customFormat="1">
      <c r="H198" s="712"/>
      <c r="I198" s="712"/>
      <c r="J198" s="712"/>
      <c r="K198" s="712"/>
    </row>
    <row r="199" spans="8:11" s="105" customFormat="1">
      <c r="H199" s="712"/>
      <c r="I199" s="712"/>
      <c r="J199" s="712"/>
      <c r="K199" s="712"/>
    </row>
    <row r="200" spans="8:11" s="105" customFormat="1">
      <c r="H200" s="712"/>
      <c r="I200" s="712"/>
      <c r="J200" s="712"/>
      <c r="K200" s="712"/>
    </row>
    <row r="201" spans="8:11" s="105" customFormat="1">
      <c r="H201" s="712"/>
      <c r="I201" s="712"/>
      <c r="J201" s="712"/>
      <c r="K201" s="712"/>
    </row>
    <row r="202" spans="8:11" s="105" customFormat="1">
      <c r="H202" s="712"/>
      <c r="I202" s="712"/>
      <c r="J202" s="712"/>
      <c r="K202" s="712"/>
    </row>
    <row r="203" spans="8:11" s="105" customFormat="1">
      <c r="H203" s="712"/>
      <c r="I203" s="712"/>
      <c r="J203" s="712"/>
      <c r="K203" s="712"/>
    </row>
    <row r="204" spans="8:11" s="105" customFormat="1">
      <c r="H204" s="712"/>
      <c r="I204" s="712"/>
      <c r="J204" s="712"/>
      <c r="K204" s="712"/>
    </row>
    <row r="205" spans="8:11" s="105" customFormat="1">
      <c r="H205" s="712"/>
      <c r="I205" s="712"/>
      <c r="J205" s="712"/>
      <c r="K205" s="712"/>
    </row>
    <row r="206" spans="8:11" s="105" customFormat="1">
      <c r="H206" s="712"/>
      <c r="I206" s="712"/>
      <c r="J206" s="712"/>
      <c r="K206" s="712"/>
    </row>
    <row r="207" spans="8:11" s="105" customFormat="1">
      <c r="H207" s="712"/>
      <c r="I207" s="712"/>
      <c r="J207" s="712"/>
      <c r="K207" s="712"/>
    </row>
    <row r="208" spans="8:11" s="105" customFormat="1">
      <c r="H208" s="712"/>
      <c r="I208" s="712"/>
      <c r="J208" s="712"/>
      <c r="K208" s="712"/>
    </row>
    <row r="209" spans="8:11" s="105" customFormat="1">
      <c r="H209" s="712"/>
      <c r="I209" s="712"/>
      <c r="J209" s="712"/>
      <c r="K209" s="712"/>
    </row>
    <row r="210" spans="8:11" s="105" customFormat="1">
      <c r="H210" s="712"/>
      <c r="I210" s="712"/>
      <c r="J210" s="712"/>
      <c r="K210" s="712"/>
    </row>
    <row r="211" spans="8:11" s="105" customFormat="1">
      <c r="H211" s="712"/>
      <c r="I211" s="712"/>
      <c r="J211" s="712"/>
      <c r="K211" s="712"/>
    </row>
    <row r="212" spans="8:11" s="105" customFormat="1">
      <c r="H212" s="712"/>
      <c r="I212" s="712"/>
      <c r="J212" s="712"/>
      <c r="K212" s="712"/>
    </row>
    <row r="213" spans="8:11" s="105" customFormat="1">
      <c r="H213" s="712"/>
      <c r="I213" s="712"/>
      <c r="J213" s="712"/>
      <c r="K213" s="712"/>
    </row>
    <row r="214" spans="8:11" s="105" customFormat="1">
      <c r="H214" s="712"/>
      <c r="I214" s="712"/>
      <c r="J214" s="712"/>
      <c r="K214" s="712"/>
    </row>
    <row r="215" spans="8:11" s="105" customFormat="1">
      <c r="H215" s="712"/>
      <c r="I215" s="712"/>
      <c r="J215" s="712"/>
      <c r="K215" s="712"/>
    </row>
    <row r="216" spans="8:11" s="105" customFormat="1">
      <c r="H216" s="712"/>
      <c r="I216" s="712"/>
      <c r="J216" s="712"/>
      <c r="K216" s="712"/>
    </row>
    <row r="217" spans="8:11" s="105" customFormat="1">
      <c r="H217" s="712"/>
      <c r="I217" s="712"/>
      <c r="J217" s="712"/>
      <c r="K217" s="712"/>
    </row>
    <row r="218" spans="8:11" s="105" customFormat="1">
      <c r="H218" s="712"/>
      <c r="I218" s="712"/>
      <c r="J218" s="712"/>
      <c r="K218" s="712"/>
    </row>
    <row r="219" spans="8:11" s="105" customFormat="1">
      <c r="H219" s="712"/>
      <c r="I219" s="712"/>
      <c r="J219" s="712"/>
      <c r="K219" s="712"/>
    </row>
    <row r="220" spans="8:11" s="105" customFormat="1">
      <c r="H220" s="712"/>
      <c r="I220" s="712"/>
      <c r="J220" s="712"/>
      <c r="K220" s="712"/>
    </row>
    <row r="221" spans="8:11" s="105" customFormat="1">
      <c r="H221" s="712"/>
      <c r="I221" s="712"/>
      <c r="J221" s="712"/>
      <c r="K221" s="712"/>
    </row>
    <row r="222" spans="8:11" s="105" customFormat="1">
      <c r="H222" s="712"/>
      <c r="I222" s="712"/>
      <c r="J222" s="712"/>
      <c r="K222" s="712"/>
    </row>
    <row r="223" spans="8:11" s="105" customFormat="1">
      <c r="H223" s="712"/>
      <c r="I223" s="712"/>
      <c r="J223" s="712"/>
      <c r="K223" s="712"/>
    </row>
    <row r="224" spans="8:11" s="105" customFormat="1">
      <c r="H224" s="712"/>
      <c r="I224" s="712"/>
      <c r="J224" s="712"/>
      <c r="K224" s="712"/>
    </row>
    <row r="225" spans="8:11" s="105" customFormat="1">
      <c r="H225" s="712"/>
      <c r="I225" s="712"/>
      <c r="J225" s="712"/>
      <c r="K225" s="712"/>
    </row>
    <row r="226" spans="8:11" s="105" customFormat="1">
      <c r="H226" s="712"/>
      <c r="I226" s="712"/>
      <c r="J226" s="712"/>
      <c r="K226" s="712"/>
    </row>
    <row r="227" spans="8:11" s="105" customFormat="1">
      <c r="H227" s="712"/>
      <c r="I227" s="712"/>
      <c r="J227" s="712"/>
      <c r="K227" s="712"/>
    </row>
    <row r="228" spans="8:11" s="105" customFormat="1">
      <c r="H228" s="712"/>
      <c r="I228" s="712"/>
      <c r="J228" s="712"/>
      <c r="K228" s="712"/>
    </row>
    <row r="229" spans="8:11" s="105" customFormat="1">
      <c r="H229" s="712"/>
      <c r="I229" s="712"/>
      <c r="J229" s="712"/>
      <c r="K229" s="712"/>
    </row>
    <row r="230" spans="8:11" s="105" customFormat="1">
      <c r="H230" s="712"/>
      <c r="I230" s="712"/>
      <c r="J230" s="712"/>
      <c r="K230" s="712"/>
    </row>
    <row r="231" spans="8:11" s="105" customFormat="1">
      <c r="H231" s="712"/>
      <c r="I231" s="712"/>
      <c r="J231" s="712"/>
      <c r="K231" s="712"/>
    </row>
    <row r="232" spans="8:11" s="105" customFormat="1">
      <c r="H232" s="712"/>
      <c r="I232" s="712"/>
      <c r="J232" s="712"/>
      <c r="K232" s="712"/>
    </row>
    <row r="233" spans="8:11" s="105" customFormat="1">
      <c r="H233" s="712"/>
      <c r="I233" s="712"/>
      <c r="J233" s="712"/>
      <c r="K233" s="712"/>
    </row>
    <row r="234" spans="8:11" s="105" customFormat="1">
      <c r="H234" s="712"/>
      <c r="I234" s="712"/>
      <c r="J234" s="712"/>
      <c r="K234" s="712"/>
    </row>
    <row r="235" spans="8:11" s="105" customFormat="1">
      <c r="H235" s="712"/>
      <c r="I235" s="712"/>
      <c r="J235" s="712"/>
      <c r="K235" s="712"/>
    </row>
    <row r="236" spans="8:11" s="105" customFormat="1">
      <c r="H236" s="712"/>
      <c r="I236" s="712"/>
      <c r="J236" s="712"/>
      <c r="K236" s="712"/>
    </row>
    <row r="237" spans="8:11" s="105" customFormat="1">
      <c r="H237" s="712"/>
      <c r="I237" s="712"/>
      <c r="J237" s="712"/>
      <c r="K237" s="712"/>
    </row>
    <row r="238" spans="8:11" s="105" customFormat="1">
      <c r="H238" s="712"/>
      <c r="I238" s="712"/>
      <c r="J238" s="712"/>
      <c r="K238" s="712"/>
    </row>
    <row r="239" spans="8:11" s="105" customFormat="1">
      <c r="H239" s="712"/>
      <c r="I239" s="712"/>
      <c r="J239" s="712"/>
      <c r="K239" s="712"/>
    </row>
    <row r="240" spans="8:11" s="105" customFormat="1">
      <c r="H240" s="712"/>
      <c r="I240" s="712"/>
      <c r="J240" s="712"/>
      <c r="K240" s="712"/>
    </row>
    <row r="241" spans="8:11" s="105" customFormat="1">
      <c r="H241" s="712"/>
      <c r="I241" s="712"/>
      <c r="J241" s="712"/>
      <c r="K241" s="712"/>
    </row>
    <row r="242" spans="8:11" s="105" customFormat="1">
      <c r="H242" s="712"/>
      <c r="I242" s="712"/>
      <c r="J242" s="712"/>
      <c r="K242" s="712"/>
    </row>
    <row r="243" spans="8:11" s="105" customFormat="1">
      <c r="H243" s="712"/>
      <c r="I243" s="712"/>
      <c r="J243" s="712"/>
      <c r="K243" s="712"/>
    </row>
    <row r="244" spans="8:11" s="105" customFormat="1">
      <c r="H244" s="712"/>
      <c r="I244" s="712"/>
      <c r="J244" s="712"/>
      <c r="K244" s="712"/>
    </row>
    <row r="245" spans="8:11" s="105" customFormat="1">
      <c r="H245" s="712"/>
      <c r="I245" s="712"/>
      <c r="J245" s="712"/>
      <c r="K245" s="712"/>
    </row>
    <row r="246" spans="8:11" s="105" customFormat="1">
      <c r="H246" s="712"/>
      <c r="I246" s="712"/>
      <c r="J246" s="712"/>
      <c r="K246" s="712"/>
    </row>
    <row r="247" spans="8:11" s="105" customFormat="1">
      <c r="H247" s="712"/>
      <c r="I247" s="712"/>
      <c r="J247" s="712"/>
      <c r="K247" s="712"/>
    </row>
    <row r="248" spans="8:11" s="105" customFormat="1">
      <c r="H248" s="712"/>
      <c r="I248" s="712"/>
      <c r="J248" s="712"/>
      <c r="K248" s="712"/>
    </row>
    <row r="249" spans="8:11" s="105" customFormat="1">
      <c r="H249" s="712"/>
      <c r="I249" s="712"/>
      <c r="J249" s="712"/>
      <c r="K249" s="712"/>
    </row>
    <row r="250" spans="8:11" s="105" customFormat="1">
      <c r="H250" s="712"/>
      <c r="I250" s="712"/>
      <c r="J250" s="712"/>
      <c r="K250" s="712"/>
    </row>
    <row r="251" spans="8:11" s="105" customFormat="1">
      <c r="H251" s="712"/>
      <c r="I251" s="712"/>
      <c r="J251" s="712"/>
      <c r="K251" s="712"/>
    </row>
    <row r="252" spans="8:11" s="105" customFormat="1">
      <c r="H252" s="712"/>
      <c r="I252" s="712"/>
      <c r="J252" s="712"/>
      <c r="K252" s="712"/>
    </row>
    <row r="253" spans="8:11" s="105" customFormat="1">
      <c r="H253" s="712"/>
      <c r="I253" s="712"/>
      <c r="J253" s="712"/>
      <c r="K253" s="712"/>
    </row>
    <row r="254" spans="8:11" s="105" customFormat="1">
      <c r="H254" s="712"/>
      <c r="I254" s="712"/>
      <c r="J254" s="712"/>
      <c r="K254" s="712"/>
    </row>
    <row r="255" spans="8:11" s="105" customFormat="1">
      <c r="H255" s="712"/>
      <c r="I255" s="712"/>
      <c r="J255" s="712"/>
      <c r="K255" s="712"/>
    </row>
    <row r="256" spans="8:11" s="105" customFormat="1">
      <c r="H256" s="712"/>
      <c r="I256" s="712"/>
      <c r="J256" s="712"/>
      <c r="K256" s="712"/>
    </row>
    <row r="257" spans="8:11" s="105" customFormat="1">
      <c r="H257" s="712"/>
      <c r="I257" s="712"/>
      <c r="J257" s="712"/>
      <c r="K257" s="712"/>
    </row>
    <row r="258" spans="8:11" s="105" customFormat="1">
      <c r="H258" s="712"/>
      <c r="I258" s="712"/>
      <c r="J258" s="712"/>
      <c r="K258" s="712"/>
    </row>
    <row r="259" spans="8:11" s="105" customFormat="1">
      <c r="H259" s="712"/>
      <c r="I259" s="712"/>
      <c r="J259" s="712"/>
      <c r="K259" s="712"/>
    </row>
    <row r="260" spans="8:11" s="105" customFormat="1">
      <c r="H260" s="712"/>
      <c r="I260" s="712"/>
      <c r="J260" s="712"/>
      <c r="K260" s="712"/>
    </row>
    <row r="261" spans="8:11" s="105" customFormat="1">
      <c r="H261" s="712"/>
      <c r="I261" s="712"/>
      <c r="J261" s="712"/>
      <c r="K261" s="712"/>
    </row>
    <row r="262" spans="8:11" s="105" customFormat="1">
      <c r="H262" s="712"/>
      <c r="I262" s="712"/>
      <c r="J262" s="712"/>
      <c r="K262" s="712"/>
    </row>
    <row r="263" spans="8:11" s="105" customFormat="1">
      <c r="H263" s="712"/>
      <c r="I263" s="712"/>
      <c r="J263" s="712"/>
      <c r="K263" s="712"/>
    </row>
    <row r="264" spans="8:11" s="105" customFormat="1">
      <c r="H264" s="712"/>
      <c r="I264" s="712"/>
      <c r="J264" s="712"/>
      <c r="K264" s="712"/>
    </row>
    <row r="265" spans="8:11" s="105" customFormat="1">
      <c r="H265" s="712"/>
      <c r="I265" s="712"/>
      <c r="J265" s="712"/>
      <c r="K265" s="712"/>
    </row>
    <row r="266" spans="8:11" s="105" customFormat="1">
      <c r="H266" s="712"/>
      <c r="I266" s="712"/>
      <c r="J266" s="712"/>
      <c r="K266" s="712"/>
    </row>
    <row r="267" spans="8:11" s="105" customFormat="1">
      <c r="H267" s="712"/>
      <c r="I267" s="712"/>
      <c r="J267" s="712"/>
      <c r="K267" s="712"/>
    </row>
    <row r="268" spans="8:11" s="105" customFormat="1">
      <c r="H268" s="712"/>
      <c r="I268" s="712"/>
      <c r="J268" s="712"/>
      <c r="K268" s="712"/>
    </row>
    <row r="269" spans="8:11" s="105" customFormat="1">
      <c r="H269" s="712"/>
      <c r="I269" s="712"/>
      <c r="J269" s="712"/>
      <c r="K269" s="712"/>
    </row>
    <row r="270" spans="8:11" s="105" customFormat="1">
      <c r="H270" s="712"/>
      <c r="I270" s="712"/>
      <c r="J270" s="712"/>
      <c r="K270" s="712"/>
    </row>
    <row r="271" spans="8:11" s="105" customFormat="1">
      <c r="H271" s="712"/>
      <c r="I271" s="712"/>
      <c r="J271" s="712"/>
      <c r="K271" s="712"/>
    </row>
    <row r="272" spans="8:11" s="105" customFormat="1">
      <c r="H272" s="712"/>
      <c r="I272" s="712"/>
      <c r="J272" s="712"/>
      <c r="K272" s="712"/>
    </row>
    <row r="273" spans="8:11" s="105" customFormat="1">
      <c r="H273" s="712"/>
      <c r="I273" s="712"/>
      <c r="J273" s="712"/>
      <c r="K273" s="712"/>
    </row>
    <row r="274" spans="8:11" s="105" customFormat="1">
      <c r="H274" s="712"/>
      <c r="I274" s="712"/>
      <c r="J274" s="712"/>
      <c r="K274" s="712"/>
    </row>
    <row r="275" spans="8:11" s="105" customFormat="1">
      <c r="H275" s="712"/>
      <c r="I275" s="712"/>
      <c r="J275" s="712"/>
      <c r="K275" s="712"/>
    </row>
    <row r="276" spans="8:11" s="105" customFormat="1">
      <c r="H276" s="712"/>
      <c r="I276" s="712"/>
      <c r="J276" s="712"/>
      <c r="K276" s="712"/>
    </row>
    <row r="277" spans="8:11" s="105" customFormat="1">
      <c r="H277" s="712"/>
      <c r="I277" s="712"/>
      <c r="J277" s="712"/>
      <c r="K277" s="712"/>
    </row>
    <row r="278" spans="8:11" s="105" customFormat="1">
      <c r="H278" s="712"/>
      <c r="I278" s="712"/>
      <c r="J278" s="712"/>
      <c r="K278" s="712"/>
    </row>
    <row r="279" spans="8:11" s="105" customFormat="1">
      <c r="H279" s="712"/>
      <c r="I279" s="712"/>
      <c r="J279" s="712"/>
      <c r="K279" s="712"/>
    </row>
    <row r="280" spans="8:11" s="105" customFormat="1">
      <c r="H280" s="712"/>
      <c r="I280" s="712"/>
      <c r="J280" s="712"/>
      <c r="K280" s="712"/>
    </row>
    <row r="281" spans="8:11" s="105" customFormat="1">
      <c r="H281" s="712"/>
      <c r="I281" s="712"/>
      <c r="J281" s="712"/>
      <c r="K281" s="712"/>
    </row>
    <row r="282" spans="8:11" s="105" customFormat="1">
      <c r="H282" s="712"/>
      <c r="I282" s="712"/>
      <c r="J282" s="712"/>
      <c r="K282" s="712"/>
    </row>
    <row r="283" spans="8:11" s="105" customFormat="1">
      <c r="H283" s="712"/>
      <c r="I283" s="712"/>
      <c r="J283" s="712"/>
      <c r="K283" s="712"/>
    </row>
    <row r="284" spans="8:11" s="105" customFormat="1">
      <c r="H284" s="712"/>
      <c r="I284" s="712"/>
      <c r="J284" s="712"/>
      <c r="K284" s="712"/>
    </row>
    <row r="285" spans="8:11" s="105" customFormat="1">
      <c r="H285" s="712"/>
      <c r="I285" s="712"/>
      <c r="J285" s="712"/>
      <c r="K285" s="712"/>
    </row>
    <row r="286" spans="8:11" s="105" customFormat="1">
      <c r="H286" s="712"/>
      <c r="I286" s="712"/>
      <c r="J286" s="712"/>
      <c r="K286" s="712"/>
    </row>
    <row r="287" spans="8:11" s="105" customFormat="1">
      <c r="H287" s="712"/>
      <c r="I287" s="712"/>
      <c r="J287" s="712"/>
      <c r="K287" s="712"/>
    </row>
    <row r="288" spans="8:11" s="105" customFormat="1">
      <c r="H288" s="712"/>
      <c r="I288" s="712"/>
      <c r="J288" s="712"/>
      <c r="K288" s="712"/>
    </row>
    <row r="289" spans="8:11" s="105" customFormat="1">
      <c r="H289" s="712"/>
      <c r="I289" s="712"/>
      <c r="J289" s="712"/>
      <c r="K289" s="712"/>
    </row>
    <row r="290" spans="8:11" s="105" customFormat="1">
      <c r="H290" s="712"/>
      <c r="I290" s="712"/>
      <c r="J290" s="712"/>
      <c r="K290" s="712"/>
    </row>
    <row r="291" spans="8:11" s="105" customFormat="1">
      <c r="H291" s="712"/>
      <c r="I291" s="712"/>
      <c r="J291" s="712"/>
      <c r="K291" s="712"/>
    </row>
    <row r="292" spans="8:11" s="105" customFormat="1">
      <c r="H292" s="712"/>
      <c r="I292" s="712"/>
      <c r="J292" s="712"/>
      <c r="K292" s="712"/>
    </row>
    <row r="293" spans="8:11" s="105" customFormat="1">
      <c r="H293" s="712"/>
      <c r="I293" s="712"/>
      <c r="J293" s="712"/>
      <c r="K293" s="712"/>
    </row>
    <row r="294" spans="8:11" s="105" customFormat="1">
      <c r="H294" s="712"/>
      <c r="I294" s="712"/>
      <c r="J294" s="712"/>
      <c r="K294" s="712"/>
    </row>
    <row r="295" spans="8:11" s="105" customFormat="1">
      <c r="H295" s="712"/>
      <c r="I295" s="712"/>
      <c r="J295" s="712"/>
      <c r="K295" s="712"/>
    </row>
    <row r="296" spans="8:11" s="105" customFormat="1">
      <c r="H296" s="712"/>
      <c r="I296" s="712"/>
      <c r="J296" s="712"/>
      <c r="K296" s="712"/>
    </row>
    <row r="297" spans="8:11" s="105" customFormat="1">
      <c r="H297" s="712"/>
      <c r="I297" s="712"/>
      <c r="J297" s="712"/>
      <c r="K297" s="712"/>
    </row>
    <row r="298" spans="8:11" s="105" customFormat="1">
      <c r="H298" s="712"/>
      <c r="I298" s="712"/>
      <c r="J298" s="712"/>
      <c r="K298" s="712"/>
    </row>
    <row r="299" spans="8:11" s="105" customFormat="1">
      <c r="H299" s="712"/>
      <c r="I299" s="712"/>
      <c r="J299" s="712"/>
      <c r="K299" s="712"/>
    </row>
    <row r="300" spans="8:11" s="105" customFormat="1">
      <c r="H300" s="712"/>
      <c r="I300" s="712"/>
      <c r="J300" s="712"/>
      <c r="K300" s="712"/>
    </row>
    <row r="301" spans="8:11" s="105" customFormat="1">
      <c r="H301" s="712"/>
      <c r="I301" s="712"/>
      <c r="J301" s="712"/>
      <c r="K301" s="712"/>
    </row>
    <row r="302" spans="8:11" s="105" customFormat="1">
      <c r="H302" s="712"/>
      <c r="I302" s="712"/>
      <c r="J302" s="712"/>
      <c r="K302" s="712"/>
    </row>
    <row r="303" spans="8:11" s="105" customFormat="1">
      <c r="H303" s="712"/>
      <c r="I303" s="712"/>
      <c r="J303" s="712"/>
      <c r="K303" s="712"/>
    </row>
    <row r="304" spans="8:11" s="105" customFormat="1">
      <c r="H304" s="712"/>
      <c r="I304" s="712"/>
      <c r="J304" s="712"/>
      <c r="K304" s="712"/>
    </row>
    <row r="305" spans="8:11" s="105" customFormat="1">
      <c r="H305" s="712"/>
      <c r="I305" s="712"/>
      <c r="J305" s="712"/>
      <c r="K305" s="712"/>
    </row>
    <row r="306" spans="8:11" s="105" customFormat="1">
      <c r="H306" s="712"/>
      <c r="I306" s="712"/>
      <c r="J306" s="712"/>
      <c r="K306" s="712"/>
    </row>
    <row r="307" spans="8:11" s="105" customFormat="1">
      <c r="H307" s="712"/>
      <c r="I307" s="712"/>
      <c r="J307" s="712"/>
      <c r="K307" s="712"/>
    </row>
    <row r="308" spans="8:11" s="105" customFormat="1">
      <c r="H308" s="712"/>
      <c r="I308" s="712"/>
      <c r="J308" s="712"/>
      <c r="K308" s="712"/>
    </row>
    <row r="309" spans="8:11" s="105" customFormat="1">
      <c r="H309" s="712"/>
      <c r="I309" s="712"/>
      <c r="J309" s="712"/>
      <c r="K309" s="712"/>
    </row>
    <row r="310" spans="8:11" s="105" customFormat="1">
      <c r="H310" s="712"/>
      <c r="I310" s="712"/>
      <c r="J310" s="712"/>
      <c r="K310" s="712"/>
    </row>
    <row r="311" spans="8:11" s="105" customFormat="1">
      <c r="H311" s="712"/>
      <c r="I311" s="712"/>
      <c r="J311" s="712"/>
      <c r="K311" s="712"/>
    </row>
    <row r="312" spans="8:11" s="105" customFormat="1">
      <c r="H312" s="712"/>
      <c r="I312" s="712"/>
      <c r="J312" s="712"/>
      <c r="K312" s="712"/>
    </row>
    <row r="313" spans="8:11" s="105" customFormat="1">
      <c r="H313" s="712"/>
      <c r="I313" s="712"/>
      <c r="J313" s="712"/>
      <c r="K313" s="712"/>
    </row>
    <row r="314" spans="8:11" s="105" customFormat="1">
      <c r="H314" s="712"/>
      <c r="I314" s="712"/>
      <c r="J314" s="712"/>
      <c r="K314" s="712"/>
    </row>
    <row r="315" spans="8:11" s="105" customFormat="1">
      <c r="H315" s="712"/>
      <c r="I315" s="712"/>
      <c r="J315" s="712"/>
      <c r="K315" s="712"/>
    </row>
    <row r="316" spans="8:11" s="105" customFormat="1">
      <c r="H316" s="712"/>
      <c r="I316" s="712"/>
      <c r="J316" s="712"/>
      <c r="K316" s="712"/>
    </row>
    <row r="317" spans="8:11" s="105" customFormat="1">
      <c r="H317" s="712"/>
      <c r="I317" s="712"/>
      <c r="J317" s="712"/>
      <c r="K317" s="712"/>
    </row>
    <row r="318" spans="8:11" s="105" customFormat="1">
      <c r="H318" s="712"/>
      <c r="I318" s="712"/>
      <c r="J318" s="712"/>
      <c r="K318" s="712"/>
    </row>
    <row r="319" spans="8:11" s="105" customFormat="1">
      <c r="H319" s="712"/>
      <c r="I319" s="712"/>
      <c r="J319" s="712"/>
      <c r="K319" s="712"/>
    </row>
    <row r="320" spans="8:11" s="105" customFormat="1">
      <c r="H320" s="712"/>
      <c r="I320" s="712"/>
      <c r="J320" s="712"/>
      <c r="K320" s="712"/>
    </row>
    <row r="321" spans="8:11" s="105" customFormat="1">
      <c r="H321" s="712"/>
      <c r="I321" s="712"/>
      <c r="J321" s="712"/>
      <c r="K321" s="712"/>
    </row>
    <row r="322" spans="8:11" s="105" customFormat="1">
      <c r="H322" s="712"/>
      <c r="I322" s="712"/>
      <c r="J322" s="712"/>
      <c r="K322" s="712"/>
    </row>
    <row r="323" spans="8:11" s="105" customFormat="1">
      <c r="H323" s="712"/>
      <c r="I323" s="712"/>
      <c r="J323" s="712"/>
      <c r="K323" s="712"/>
    </row>
    <row r="324" spans="8:11" s="105" customFormat="1">
      <c r="H324" s="712"/>
      <c r="I324" s="712"/>
      <c r="J324" s="712"/>
      <c r="K324" s="712"/>
    </row>
    <row r="325" spans="8:11" s="105" customFormat="1">
      <c r="H325" s="712"/>
      <c r="I325" s="712"/>
      <c r="J325" s="712"/>
      <c r="K325" s="712"/>
    </row>
    <row r="326" spans="8:11" s="105" customFormat="1">
      <c r="H326" s="712"/>
      <c r="I326" s="712"/>
      <c r="J326" s="712"/>
      <c r="K326" s="712"/>
    </row>
    <row r="327" spans="8:11" s="105" customFormat="1">
      <c r="H327" s="712"/>
      <c r="I327" s="712"/>
      <c r="J327" s="712"/>
      <c r="K327" s="712"/>
    </row>
    <row r="328" spans="8:11" s="105" customFormat="1">
      <c r="H328" s="712"/>
      <c r="I328" s="712"/>
      <c r="J328" s="712"/>
      <c r="K328" s="712"/>
    </row>
    <row r="329" spans="8:11" s="105" customFormat="1">
      <c r="H329" s="712"/>
      <c r="I329" s="712"/>
      <c r="J329" s="712"/>
      <c r="K329" s="712"/>
    </row>
    <row r="330" spans="8:11" s="105" customFormat="1">
      <c r="H330" s="712"/>
      <c r="I330" s="712"/>
      <c r="J330" s="712"/>
      <c r="K330" s="712"/>
    </row>
    <row r="331" spans="8:11" s="105" customFormat="1">
      <c r="H331" s="712"/>
      <c r="I331" s="712"/>
      <c r="J331" s="712"/>
      <c r="K331" s="712"/>
    </row>
    <row r="332" spans="8:11" s="105" customFormat="1">
      <c r="H332" s="712"/>
      <c r="I332" s="712"/>
      <c r="J332" s="712"/>
      <c r="K332" s="712"/>
    </row>
    <row r="333" spans="8:11" s="105" customFormat="1">
      <c r="H333" s="712"/>
      <c r="I333" s="712"/>
      <c r="J333" s="712"/>
      <c r="K333" s="712"/>
    </row>
    <row r="334" spans="8:11" s="105" customFormat="1">
      <c r="H334" s="712"/>
      <c r="I334" s="712"/>
      <c r="J334" s="712"/>
      <c r="K334" s="712"/>
    </row>
    <row r="335" spans="8:11" s="105" customFormat="1">
      <c r="H335" s="712"/>
      <c r="I335" s="712"/>
      <c r="J335" s="712"/>
      <c r="K335" s="712"/>
    </row>
    <row r="336" spans="8:11" s="105" customFormat="1">
      <c r="H336" s="712"/>
      <c r="I336" s="712"/>
      <c r="J336" s="712"/>
      <c r="K336" s="712"/>
    </row>
    <row r="337" spans="8:11" s="105" customFormat="1">
      <c r="H337" s="712"/>
      <c r="I337" s="712"/>
      <c r="J337" s="712"/>
      <c r="K337" s="712"/>
    </row>
    <row r="338" spans="8:11" s="105" customFormat="1">
      <c r="H338" s="712"/>
      <c r="I338" s="712"/>
      <c r="J338" s="712"/>
      <c r="K338" s="712"/>
    </row>
    <row r="339" spans="8:11" s="105" customFormat="1">
      <c r="H339" s="712"/>
      <c r="I339" s="712"/>
      <c r="J339" s="712"/>
      <c r="K339" s="712"/>
    </row>
    <row r="340" spans="8:11" s="105" customFormat="1">
      <c r="H340" s="712"/>
      <c r="I340" s="712"/>
      <c r="J340" s="712"/>
      <c r="K340" s="712"/>
    </row>
    <row r="341" spans="8:11" s="105" customFormat="1">
      <c r="H341" s="712"/>
      <c r="I341" s="712"/>
      <c r="J341" s="712"/>
      <c r="K341" s="712"/>
    </row>
    <row r="342" spans="8:11" s="105" customFormat="1">
      <c r="H342" s="712"/>
      <c r="I342" s="712"/>
      <c r="J342" s="712"/>
      <c r="K342" s="712"/>
    </row>
    <row r="343" spans="8:11" s="105" customFormat="1">
      <c r="H343" s="712"/>
      <c r="I343" s="712"/>
      <c r="J343" s="712"/>
      <c r="K343" s="712"/>
    </row>
    <row r="344" spans="8:11" s="105" customFormat="1">
      <c r="H344" s="712"/>
      <c r="I344" s="712"/>
      <c r="J344" s="712"/>
      <c r="K344" s="712"/>
    </row>
    <row r="345" spans="8:11" s="105" customFormat="1">
      <c r="H345" s="712"/>
      <c r="I345" s="712"/>
      <c r="J345" s="712"/>
      <c r="K345" s="712"/>
    </row>
    <row r="346" spans="8:11" s="105" customFormat="1">
      <c r="H346" s="712"/>
      <c r="I346" s="712"/>
      <c r="J346" s="712"/>
      <c r="K346" s="712"/>
    </row>
    <row r="347" spans="8:11" s="105" customFormat="1">
      <c r="H347" s="712"/>
      <c r="I347" s="712"/>
      <c r="J347" s="712"/>
      <c r="K347" s="712"/>
    </row>
    <row r="348" spans="8:11" s="105" customFormat="1">
      <c r="H348" s="712"/>
      <c r="I348" s="712"/>
      <c r="J348" s="712"/>
      <c r="K348" s="712"/>
    </row>
    <row r="349" spans="8:11" s="105" customFormat="1">
      <c r="H349" s="712"/>
      <c r="I349" s="712"/>
      <c r="J349" s="712"/>
      <c r="K349" s="712"/>
    </row>
    <row r="350" spans="8:11" s="105" customFormat="1">
      <c r="H350" s="712"/>
      <c r="I350" s="712"/>
      <c r="J350" s="712"/>
      <c r="K350" s="712"/>
    </row>
    <row r="351" spans="8:11" s="105" customFormat="1">
      <c r="H351" s="712"/>
      <c r="I351" s="712"/>
      <c r="J351" s="712"/>
      <c r="K351" s="712"/>
    </row>
    <row r="352" spans="8:11" s="105" customFormat="1">
      <c r="H352" s="712"/>
      <c r="I352" s="712"/>
      <c r="J352" s="712"/>
      <c r="K352" s="712"/>
    </row>
    <row r="353" spans="8:11" s="105" customFormat="1">
      <c r="H353" s="712"/>
      <c r="I353" s="712"/>
      <c r="J353" s="712"/>
      <c r="K353" s="712"/>
    </row>
    <row r="354" spans="8:11" s="105" customFormat="1">
      <c r="H354" s="712"/>
      <c r="I354" s="712"/>
      <c r="J354" s="712"/>
      <c r="K354" s="712"/>
    </row>
    <row r="355" spans="8:11" s="105" customFormat="1">
      <c r="H355" s="712"/>
      <c r="I355" s="712"/>
      <c r="J355" s="712"/>
      <c r="K355" s="712"/>
    </row>
    <row r="356" spans="8:11" s="105" customFormat="1">
      <c r="H356" s="712"/>
      <c r="I356" s="712"/>
      <c r="J356" s="712"/>
      <c r="K356" s="712"/>
    </row>
    <row r="357" spans="8:11" s="105" customFormat="1">
      <c r="H357" s="712"/>
      <c r="I357" s="712"/>
      <c r="J357" s="712"/>
      <c r="K357" s="712"/>
    </row>
    <row r="358" spans="8:11" s="105" customFormat="1">
      <c r="H358" s="712"/>
      <c r="I358" s="712"/>
      <c r="J358" s="712"/>
      <c r="K358" s="712"/>
    </row>
    <row r="359" spans="8:11" s="105" customFormat="1">
      <c r="H359" s="712"/>
      <c r="I359" s="712"/>
      <c r="J359" s="712"/>
      <c r="K359" s="712"/>
    </row>
    <row r="360" spans="8:11" s="105" customFormat="1">
      <c r="H360" s="712"/>
      <c r="I360" s="712"/>
      <c r="J360" s="712"/>
      <c r="K360" s="712"/>
    </row>
    <row r="361" spans="8:11" s="105" customFormat="1">
      <c r="H361" s="712"/>
      <c r="I361" s="712"/>
      <c r="J361" s="712"/>
      <c r="K361" s="712"/>
    </row>
    <row r="362" spans="8:11" s="105" customFormat="1">
      <c r="H362" s="712"/>
      <c r="I362" s="712"/>
      <c r="J362" s="712"/>
      <c r="K362" s="712"/>
    </row>
    <row r="363" spans="8:11" s="105" customFormat="1">
      <c r="H363" s="712"/>
      <c r="I363" s="712"/>
      <c r="J363" s="712"/>
      <c r="K363" s="712"/>
    </row>
    <row r="364" spans="8:11" s="105" customFormat="1">
      <c r="H364" s="712"/>
      <c r="I364" s="712"/>
      <c r="J364" s="712"/>
      <c r="K364" s="712"/>
    </row>
    <row r="365" spans="8:11" s="105" customFormat="1">
      <c r="H365" s="712"/>
      <c r="I365" s="712"/>
      <c r="J365" s="712"/>
      <c r="K365" s="712"/>
    </row>
    <row r="366" spans="8:11" s="105" customFormat="1">
      <c r="H366" s="712"/>
      <c r="I366" s="712"/>
      <c r="J366" s="712"/>
      <c r="K366" s="712"/>
    </row>
    <row r="367" spans="8:11" s="105" customFormat="1">
      <c r="H367" s="712"/>
      <c r="I367" s="712"/>
      <c r="J367" s="712"/>
      <c r="K367" s="712"/>
    </row>
    <row r="368" spans="8:11" s="105" customFormat="1">
      <c r="H368" s="712"/>
      <c r="I368" s="712"/>
      <c r="J368" s="712"/>
      <c r="K368" s="712"/>
    </row>
    <row r="369" spans="8:11" s="105" customFormat="1">
      <c r="H369" s="712"/>
      <c r="I369" s="712"/>
      <c r="J369" s="712"/>
      <c r="K369" s="712"/>
    </row>
    <row r="370" spans="8:11" s="105" customFormat="1">
      <c r="H370" s="712"/>
      <c r="I370" s="712"/>
      <c r="J370" s="712"/>
      <c r="K370" s="712"/>
    </row>
    <row r="371" spans="8:11" s="105" customFormat="1">
      <c r="H371" s="712"/>
      <c r="I371" s="712"/>
      <c r="J371" s="712"/>
      <c r="K371" s="712"/>
    </row>
    <row r="372" spans="8:11" s="105" customFormat="1">
      <c r="H372" s="712"/>
      <c r="I372" s="712"/>
      <c r="J372" s="712"/>
      <c r="K372" s="712"/>
    </row>
    <row r="373" spans="8:11" s="105" customFormat="1">
      <c r="H373" s="712"/>
      <c r="I373" s="712"/>
      <c r="J373" s="712"/>
      <c r="K373" s="712"/>
    </row>
    <row r="374" spans="8:11" s="105" customFormat="1">
      <c r="H374" s="712"/>
      <c r="I374" s="712"/>
      <c r="J374" s="712"/>
      <c r="K374" s="712"/>
    </row>
    <row r="375" spans="8:11" s="105" customFormat="1">
      <c r="H375" s="712"/>
      <c r="I375" s="712"/>
      <c r="J375" s="712"/>
      <c r="K375" s="712"/>
    </row>
    <row r="376" spans="8:11" s="105" customFormat="1">
      <c r="H376" s="712"/>
      <c r="I376" s="712"/>
      <c r="J376" s="712"/>
      <c r="K376" s="712"/>
    </row>
    <row r="377" spans="8:11" s="105" customFormat="1">
      <c r="H377" s="712"/>
      <c r="I377" s="712"/>
      <c r="J377" s="712"/>
      <c r="K377" s="712"/>
    </row>
    <row r="378" spans="8:11" s="105" customFormat="1">
      <c r="H378" s="712"/>
      <c r="I378" s="712"/>
      <c r="J378" s="712"/>
      <c r="K378" s="712"/>
    </row>
    <row r="379" spans="8:11" s="105" customFormat="1">
      <c r="H379" s="712"/>
      <c r="I379" s="712"/>
      <c r="J379" s="712"/>
      <c r="K379" s="712"/>
    </row>
    <row r="380" spans="8:11" s="105" customFormat="1">
      <c r="H380" s="712"/>
      <c r="I380" s="712"/>
      <c r="J380" s="712"/>
      <c r="K380" s="712"/>
    </row>
    <row r="381" spans="8:11" s="105" customFormat="1">
      <c r="H381" s="712"/>
      <c r="I381" s="712"/>
      <c r="J381" s="712"/>
      <c r="K381" s="712"/>
    </row>
    <row r="382" spans="8:11" s="105" customFormat="1">
      <c r="H382" s="712"/>
      <c r="I382" s="712"/>
      <c r="J382" s="712"/>
      <c r="K382" s="712"/>
    </row>
    <row r="383" spans="8:11" s="105" customFormat="1">
      <c r="H383" s="712"/>
      <c r="I383" s="712"/>
      <c r="J383" s="712"/>
      <c r="K383" s="712"/>
    </row>
    <row r="384" spans="8:11" s="105" customFormat="1">
      <c r="H384" s="712"/>
      <c r="I384" s="712"/>
      <c r="J384" s="712"/>
      <c r="K384" s="712"/>
    </row>
    <row r="385" spans="8:11" s="105" customFormat="1">
      <c r="H385" s="712"/>
      <c r="I385" s="712"/>
      <c r="J385" s="712"/>
      <c r="K385" s="712"/>
    </row>
    <row r="386" spans="8:11" s="105" customFormat="1">
      <c r="H386" s="712"/>
      <c r="I386" s="712"/>
      <c r="J386" s="712"/>
      <c r="K386" s="712"/>
    </row>
    <row r="387" spans="8:11" s="105" customFormat="1">
      <c r="H387" s="712"/>
      <c r="I387" s="712"/>
      <c r="J387" s="712"/>
      <c r="K387" s="712"/>
    </row>
    <row r="388" spans="8:11" s="105" customFormat="1">
      <c r="H388" s="712"/>
      <c r="I388" s="712"/>
      <c r="J388" s="712"/>
      <c r="K388" s="712"/>
    </row>
    <row r="389" spans="8:11" s="105" customFormat="1">
      <c r="H389" s="712"/>
      <c r="I389" s="712"/>
      <c r="J389" s="712"/>
      <c r="K389" s="712"/>
    </row>
    <row r="390" spans="8:11" s="105" customFormat="1">
      <c r="H390" s="712"/>
      <c r="I390" s="712"/>
      <c r="J390" s="712"/>
      <c r="K390" s="712"/>
    </row>
    <row r="391" spans="8:11" s="105" customFormat="1">
      <c r="H391" s="712"/>
      <c r="I391" s="712"/>
      <c r="J391" s="712"/>
      <c r="K391" s="712"/>
    </row>
    <row r="392" spans="8:11" s="105" customFormat="1">
      <c r="H392" s="712"/>
      <c r="I392" s="712"/>
      <c r="J392" s="712"/>
      <c r="K392" s="712"/>
    </row>
    <row r="393" spans="8:11" s="105" customFormat="1">
      <c r="H393" s="712"/>
      <c r="I393" s="712"/>
      <c r="J393" s="712"/>
      <c r="K393" s="712"/>
    </row>
    <row r="394" spans="8:11" s="105" customFormat="1">
      <c r="H394" s="712"/>
      <c r="I394" s="712"/>
      <c r="J394" s="712"/>
      <c r="K394" s="712"/>
    </row>
    <row r="395" spans="8:11" s="105" customFormat="1">
      <c r="H395" s="712"/>
      <c r="I395" s="712"/>
      <c r="J395" s="712"/>
      <c r="K395" s="712"/>
    </row>
    <row r="396" spans="8:11" s="105" customFormat="1">
      <c r="H396" s="712"/>
      <c r="I396" s="712"/>
      <c r="J396" s="712"/>
      <c r="K396" s="712"/>
    </row>
    <row r="397" spans="8:11" s="105" customFormat="1">
      <c r="H397" s="712"/>
      <c r="I397" s="712"/>
      <c r="J397" s="712"/>
      <c r="K397" s="712"/>
    </row>
    <row r="398" spans="8:11" s="105" customFormat="1">
      <c r="H398" s="712"/>
      <c r="I398" s="712"/>
      <c r="J398" s="712"/>
      <c r="K398" s="712"/>
    </row>
    <row r="399" spans="8:11" s="105" customFormat="1">
      <c r="H399" s="712"/>
      <c r="I399" s="712"/>
      <c r="J399" s="712"/>
      <c r="K399" s="712"/>
    </row>
    <row r="400" spans="8:11" s="105" customFormat="1">
      <c r="H400" s="712"/>
      <c r="I400" s="712"/>
      <c r="J400" s="712"/>
      <c r="K400" s="712"/>
    </row>
    <row r="401" spans="8:11" s="105" customFormat="1">
      <c r="H401" s="712"/>
      <c r="I401" s="712"/>
      <c r="J401" s="712"/>
      <c r="K401" s="712"/>
    </row>
    <row r="402" spans="8:11" s="105" customFormat="1">
      <c r="H402" s="712"/>
      <c r="I402" s="712"/>
      <c r="J402" s="712"/>
      <c r="K402" s="712"/>
    </row>
    <row r="403" spans="8:11" s="105" customFormat="1">
      <c r="H403" s="712"/>
      <c r="I403" s="712"/>
      <c r="J403" s="712"/>
      <c r="K403" s="712"/>
    </row>
    <row r="404" spans="8:11" s="105" customFormat="1">
      <c r="H404" s="712"/>
      <c r="I404" s="712"/>
      <c r="J404" s="712"/>
      <c r="K404" s="712"/>
    </row>
    <row r="405" spans="8:11" s="105" customFormat="1">
      <c r="H405" s="712"/>
      <c r="I405" s="712"/>
      <c r="J405" s="712"/>
      <c r="K405" s="712"/>
    </row>
    <row r="406" spans="8:11" s="105" customFormat="1">
      <c r="H406" s="712"/>
      <c r="I406" s="712"/>
      <c r="J406" s="712"/>
      <c r="K406" s="712"/>
    </row>
    <row r="407" spans="8:11" s="105" customFormat="1">
      <c r="H407" s="712"/>
      <c r="I407" s="712"/>
      <c r="J407" s="712"/>
      <c r="K407" s="712"/>
    </row>
    <row r="408" spans="8:11" s="105" customFormat="1">
      <c r="H408" s="712"/>
      <c r="I408" s="712"/>
      <c r="J408" s="712"/>
      <c r="K408" s="712"/>
    </row>
    <row r="409" spans="8:11" s="105" customFormat="1">
      <c r="H409" s="712"/>
      <c r="I409" s="712"/>
      <c r="J409" s="712"/>
      <c r="K409" s="712"/>
    </row>
    <row r="410" spans="8:11" s="105" customFormat="1">
      <c r="H410" s="712"/>
      <c r="I410" s="712"/>
      <c r="J410" s="712"/>
      <c r="K410" s="712"/>
    </row>
    <row r="411" spans="8:11" s="105" customFormat="1">
      <c r="H411" s="712"/>
      <c r="I411" s="712"/>
      <c r="J411" s="712"/>
      <c r="K411" s="712"/>
    </row>
    <row r="412" spans="8:11" s="105" customFormat="1">
      <c r="H412" s="712"/>
      <c r="I412" s="712"/>
      <c r="J412" s="712"/>
      <c r="K412" s="712"/>
    </row>
    <row r="413" spans="8:11" s="105" customFormat="1">
      <c r="H413" s="712"/>
      <c r="I413" s="712"/>
      <c r="J413" s="712"/>
      <c r="K413" s="712"/>
    </row>
    <row r="414" spans="8:11" s="105" customFormat="1">
      <c r="H414" s="712"/>
      <c r="I414" s="712"/>
      <c r="J414" s="712"/>
      <c r="K414" s="712"/>
    </row>
    <row r="415" spans="8:11" s="105" customFormat="1">
      <c r="H415" s="712"/>
      <c r="I415" s="712"/>
      <c r="J415" s="712"/>
      <c r="K415" s="712"/>
    </row>
    <row r="416" spans="8:11" s="105" customFormat="1">
      <c r="H416" s="712"/>
      <c r="I416" s="712"/>
      <c r="J416" s="712"/>
      <c r="K416" s="712"/>
    </row>
    <row r="417" spans="8:11" s="105" customFormat="1">
      <c r="H417" s="712"/>
      <c r="I417" s="712"/>
      <c r="J417" s="712"/>
      <c r="K417" s="712"/>
    </row>
    <row r="418" spans="8:11" s="105" customFormat="1">
      <c r="H418" s="712"/>
      <c r="I418" s="712"/>
      <c r="J418" s="712"/>
      <c r="K418" s="712"/>
    </row>
    <row r="419" spans="8:11" s="105" customFormat="1">
      <c r="H419" s="712"/>
      <c r="I419" s="712"/>
      <c r="J419" s="712"/>
      <c r="K419" s="712"/>
    </row>
    <row r="420" spans="8:11" s="105" customFormat="1">
      <c r="H420" s="712"/>
      <c r="I420" s="712"/>
      <c r="J420" s="712"/>
      <c r="K420" s="712"/>
    </row>
    <row r="421" spans="8:11" s="105" customFormat="1">
      <c r="H421" s="712"/>
      <c r="I421" s="712"/>
      <c r="J421" s="712"/>
      <c r="K421" s="712"/>
    </row>
    <row r="422" spans="8:11" s="105" customFormat="1">
      <c r="H422" s="712"/>
      <c r="I422" s="712"/>
      <c r="J422" s="712"/>
      <c r="K422" s="712"/>
    </row>
    <row r="423" spans="8:11" s="105" customFormat="1">
      <c r="H423" s="712"/>
      <c r="I423" s="712"/>
      <c r="J423" s="712"/>
      <c r="K423" s="712"/>
    </row>
    <row r="424" spans="8:11" s="105" customFormat="1">
      <c r="H424" s="712"/>
      <c r="I424" s="712"/>
      <c r="J424" s="712"/>
      <c r="K424" s="712"/>
    </row>
    <row r="425" spans="8:11" s="105" customFormat="1">
      <c r="H425" s="712"/>
      <c r="I425" s="712"/>
      <c r="J425" s="712"/>
      <c r="K425" s="712"/>
    </row>
    <row r="426" spans="8:11" s="105" customFormat="1">
      <c r="H426" s="712"/>
      <c r="I426" s="712"/>
      <c r="J426" s="712"/>
      <c r="K426" s="712"/>
    </row>
    <row r="427" spans="8:11" s="105" customFormat="1">
      <c r="H427" s="712"/>
      <c r="I427" s="712"/>
      <c r="J427" s="712"/>
      <c r="K427" s="712"/>
    </row>
    <row r="428" spans="8:11" s="105" customFormat="1">
      <c r="H428" s="712"/>
      <c r="I428" s="712"/>
      <c r="J428" s="712"/>
      <c r="K428" s="712"/>
    </row>
    <row r="429" spans="8:11" s="105" customFormat="1">
      <c r="H429" s="712"/>
      <c r="I429" s="712"/>
      <c r="J429" s="712"/>
      <c r="K429" s="712"/>
    </row>
    <row r="430" spans="8:11" s="105" customFormat="1">
      <c r="H430" s="712"/>
      <c r="I430" s="712"/>
      <c r="J430" s="712"/>
      <c r="K430" s="712"/>
    </row>
    <row r="431" spans="8:11" s="105" customFormat="1">
      <c r="H431" s="712"/>
      <c r="I431" s="712"/>
      <c r="J431" s="712"/>
      <c r="K431" s="712"/>
    </row>
    <row r="432" spans="8:11" s="105" customFormat="1">
      <c r="H432" s="712"/>
      <c r="I432" s="712"/>
      <c r="J432" s="712"/>
      <c r="K432" s="712"/>
    </row>
    <row r="433" spans="8:11" s="105" customFormat="1">
      <c r="H433" s="712"/>
      <c r="I433" s="712"/>
      <c r="J433" s="712"/>
      <c r="K433" s="712"/>
    </row>
    <row r="434" spans="8:11" s="105" customFormat="1">
      <c r="H434" s="712"/>
      <c r="I434" s="712"/>
      <c r="J434" s="712"/>
      <c r="K434" s="712"/>
    </row>
    <row r="435" spans="8:11" s="105" customFormat="1">
      <c r="H435" s="712"/>
      <c r="I435" s="712"/>
      <c r="J435" s="712"/>
      <c r="K435" s="712"/>
    </row>
    <row r="436" spans="8:11" s="105" customFormat="1">
      <c r="H436" s="712"/>
      <c r="I436" s="712"/>
      <c r="J436" s="712"/>
      <c r="K436" s="712"/>
    </row>
    <row r="437" spans="8:11" s="105" customFormat="1">
      <c r="H437" s="712"/>
      <c r="I437" s="712"/>
      <c r="J437" s="712"/>
      <c r="K437" s="712"/>
    </row>
    <row r="438" spans="8:11" s="105" customFormat="1">
      <c r="H438" s="712"/>
      <c r="I438" s="712"/>
      <c r="J438" s="712"/>
      <c r="K438" s="712"/>
    </row>
    <row r="439" spans="8:11" s="105" customFormat="1">
      <c r="H439" s="712"/>
      <c r="I439" s="712"/>
      <c r="J439" s="712"/>
      <c r="K439" s="712"/>
    </row>
    <row r="440" spans="8:11" s="105" customFormat="1">
      <c r="H440" s="712"/>
      <c r="I440" s="712"/>
      <c r="J440" s="712"/>
      <c r="K440" s="712"/>
    </row>
    <row r="441" spans="8:11" s="105" customFormat="1">
      <c r="H441" s="712"/>
      <c r="I441" s="712"/>
      <c r="J441" s="712"/>
      <c r="K441" s="712"/>
    </row>
    <row r="442" spans="8:11" s="105" customFormat="1">
      <c r="H442" s="712"/>
      <c r="I442" s="712"/>
      <c r="J442" s="712"/>
      <c r="K442" s="712"/>
    </row>
    <row r="443" spans="8:11" s="105" customFormat="1">
      <c r="H443" s="712"/>
      <c r="I443" s="712"/>
      <c r="J443" s="712"/>
      <c r="K443" s="712"/>
    </row>
    <row r="444" spans="8:11" s="105" customFormat="1">
      <c r="H444" s="712"/>
      <c r="I444" s="712"/>
      <c r="J444" s="712"/>
      <c r="K444" s="712"/>
    </row>
    <row r="445" spans="8:11" s="105" customFormat="1">
      <c r="H445" s="712"/>
      <c r="I445" s="712"/>
      <c r="J445" s="712"/>
      <c r="K445" s="712"/>
    </row>
    <row r="446" spans="8:11" s="105" customFormat="1">
      <c r="H446" s="712"/>
      <c r="I446" s="712"/>
      <c r="J446" s="712"/>
      <c r="K446" s="712"/>
    </row>
    <row r="447" spans="8:11" s="105" customFormat="1">
      <c r="H447" s="712"/>
      <c r="I447" s="712"/>
      <c r="J447" s="712"/>
      <c r="K447" s="712"/>
    </row>
    <row r="448" spans="8:11" s="105" customFormat="1">
      <c r="H448" s="712"/>
      <c r="I448" s="712"/>
      <c r="J448" s="712"/>
      <c r="K448" s="712"/>
    </row>
    <row r="449" spans="8:11" s="105" customFormat="1">
      <c r="H449" s="712"/>
      <c r="I449" s="712"/>
      <c r="J449" s="712"/>
      <c r="K449" s="712"/>
    </row>
    <row r="450" spans="8:11" s="105" customFormat="1">
      <c r="H450" s="712"/>
      <c r="I450" s="712"/>
      <c r="J450" s="712"/>
      <c r="K450" s="712"/>
    </row>
    <row r="451" spans="8:11" s="105" customFormat="1">
      <c r="H451" s="712"/>
      <c r="I451" s="712"/>
      <c r="J451" s="712"/>
      <c r="K451" s="712"/>
    </row>
    <row r="452" spans="8:11" s="105" customFormat="1">
      <c r="H452" s="712"/>
      <c r="I452" s="712"/>
      <c r="J452" s="712"/>
      <c r="K452" s="712"/>
    </row>
    <row r="453" spans="8:11" s="105" customFormat="1">
      <c r="H453" s="712"/>
      <c r="I453" s="712"/>
      <c r="J453" s="712"/>
      <c r="K453" s="712"/>
    </row>
    <row r="454" spans="8:11" s="105" customFormat="1">
      <c r="H454" s="712"/>
      <c r="I454" s="712"/>
      <c r="J454" s="712"/>
      <c r="K454" s="712"/>
    </row>
    <row r="455" spans="8:11" s="105" customFormat="1">
      <c r="H455" s="712"/>
      <c r="I455" s="712"/>
      <c r="J455" s="712"/>
      <c r="K455" s="712"/>
    </row>
    <row r="456" spans="8:11" s="105" customFormat="1">
      <c r="H456" s="712"/>
      <c r="I456" s="712"/>
      <c r="J456" s="712"/>
      <c r="K456" s="712"/>
    </row>
    <row r="457" spans="8:11" s="105" customFormat="1">
      <c r="H457" s="712"/>
      <c r="I457" s="712"/>
      <c r="J457" s="712"/>
      <c r="K457" s="712"/>
    </row>
    <row r="458" spans="8:11" s="105" customFormat="1">
      <c r="H458" s="712"/>
      <c r="I458" s="712"/>
      <c r="J458" s="712"/>
      <c r="K458" s="712"/>
    </row>
    <row r="459" spans="8:11" s="105" customFormat="1">
      <c r="H459" s="712"/>
      <c r="I459" s="712"/>
      <c r="J459" s="712"/>
      <c r="K459" s="712"/>
    </row>
    <row r="460" spans="8:11" s="105" customFormat="1">
      <c r="H460" s="712"/>
      <c r="I460" s="712"/>
      <c r="J460" s="712"/>
      <c r="K460" s="712"/>
    </row>
    <row r="461" spans="8:11" s="105" customFormat="1">
      <c r="H461" s="712"/>
      <c r="I461" s="712"/>
      <c r="J461" s="712"/>
      <c r="K461" s="712"/>
    </row>
    <row r="462" spans="8:11" s="105" customFormat="1">
      <c r="H462" s="712"/>
      <c r="I462" s="712"/>
      <c r="J462" s="712"/>
      <c r="K462" s="712"/>
    </row>
    <row r="463" spans="8:11" s="105" customFormat="1">
      <c r="H463" s="712"/>
      <c r="I463" s="712"/>
      <c r="J463" s="712"/>
      <c r="K463" s="712"/>
    </row>
    <row r="464" spans="8:11" s="105" customFormat="1">
      <c r="H464" s="712"/>
      <c r="I464" s="712"/>
      <c r="J464" s="712"/>
      <c r="K464" s="712"/>
    </row>
    <row r="465" spans="8:11" s="105" customFormat="1">
      <c r="H465" s="712"/>
      <c r="I465" s="712"/>
      <c r="J465" s="712"/>
      <c r="K465" s="712"/>
    </row>
    <row r="466" spans="8:11" s="105" customFormat="1">
      <c r="H466" s="712"/>
      <c r="I466" s="712"/>
      <c r="J466" s="712"/>
      <c r="K466" s="712"/>
    </row>
    <row r="467" spans="8:11" s="105" customFormat="1">
      <c r="H467" s="712"/>
      <c r="I467" s="712"/>
      <c r="J467" s="712"/>
      <c r="K467" s="712"/>
    </row>
    <row r="468" spans="8:11" s="105" customFormat="1">
      <c r="H468" s="712"/>
      <c r="I468" s="712"/>
      <c r="J468" s="712"/>
      <c r="K468" s="712"/>
    </row>
    <row r="469" spans="8:11" s="105" customFormat="1">
      <c r="H469" s="712"/>
      <c r="I469" s="712"/>
      <c r="J469" s="712"/>
      <c r="K469" s="712"/>
    </row>
    <row r="470" spans="8:11" s="105" customFormat="1">
      <c r="H470" s="712"/>
      <c r="I470" s="712"/>
      <c r="J470" s="712"/>
      <c r="K470" s="712"/>
    </row>
    <row r="471" spans="8:11" s="105" customFormat="1">
      <c r="H471" s="712"/>
      <c r="I471" s="712"/>
      <c r="J471" s="712"/>
      <c r="K471" s="712"/>
    </row>
    <row r="472" spans="8:11" s="105" customFormat="1">
      <c r="H472" s="712"/>
      <c r="I472" s="712"/>
      <c r="J472" s="712"/>
      <c r="K472" s="712"/>
    </row>
    <row r="473" spans="8:11" s="105" customFormat="1">
      <c r="H473" s="712"/>
      <c r="I473" s="712"/>
      <c r="J473" s="712"/>
      <c r="K473" s="712"/>
    </row>
    <row r="474" spans="8:11" s="105" customFormat="1">
      <c r="H474" s="712"/>
      <c r="I474" s="712"/>
      <c r="J474" s="712"/>
      <c r="K474" s="712"/>
    </row>
    <row r="475" spans="8:11" s="105" customFormat="1">
      <c r="H475" s="712"/>
      <c r="I475" s="712"/>
      <c r="J475" s="712"/>
      <c r="K475" s="712"/>
    </row>
    <row r="476" spans="8:11" s="105" customFormat="1">
      <c r="H476" s="712"/>
      <c r="I476" s="712"/>
      <c r="J476" s="712"/>
      <c r="K476" s="712"/>
    </row>
    <row r="477" spans="8:11" s="105" customFormat="1">
      <c r="H477" s="712"/>
      <c r="I477" s="712"/>
      <c r="J477" s="712"/>
      <c r="K477" s="712"/>
    </row>
    <row r="478" spans="8:11" s="105" customFormat="1">
      <c r="H478" s="712"/>
      <c r="I478" s="712"/>
      <c r="J478" s="712"/>
      <c r="K478" s="712"/>
    </row>
    <row r="479" spans="8:11" s="105" customFormat="1">
      <c r="H479" s="712"/>
      <c r="I479" s="712"/>
      <c r="J479" s="712"/>
      <c r="K479" s="712"/>
    </row>
    <row r="480" spans="8:11" s="105" customFormat="1">
      <c r="H480" s="712"/>
      <c r="I480" s="712"/>
      <c r="J480" s="712"/>
      <c r="K480" s="712"/>
    </row>
    <row r="481" spans="8:11" s="105" customFormat="1">
      <c r="H481" s="712"/>
      <c r="I481" s="712"/>
      <c r="J481" s="712"/>
      <c r="K481" s="712"/>
    </row>
    <row r="482" spans="8:11" s="105" customFormat="1">
      <c r="H482" s="712"/>
      <c r="I482" s="712"/>
      <c r="J482" s="712"/>
      <c r="K482" s="712"/>
    </row>
    <row r="483" spans="8:11" s="105" customFormat="1">
      <c r="H483" s="712"/>
      <c r="I483" s="712"/>
      <c r="J483" s="712"/>
      <c r="K483" s="712"/>
    </row>
    <row r="484" spans="8:11" s="105" customFormat="1">
      <c r="H484" s="712"/>
      <c r="I484" s="712"/>
      <c r="J484" s="712"/>
      <c r="K484" s="712"/>
    </row>
    <row r="485" spans="8:11" s="105" customFormat="1">
      <c r="H485" s="712"/>
      <c r="I485" s="712"/>
      <c r="J485" s="712"/>
      <c r="K485" s="712"/>
    </row>
    <row r="486" spans="8:11" s="105" customFormat="1">
      <c r="H486" s="712"/>
      <c r="I486" s="712"/>
      <c r="J486" s="712"/>
      <c r="K486" s="712"/>
    </row>
    <row r="487" spans="8:11" s="105" customFormat="1">
      <c r="H487" s="712"/>
      <c r="I487" s="712"/>
      <c r="J487" s="712"/>
      <c r="K487" s="712"/>
    </row>
    <row r="488" spans="8:11" s="105" customFormat="1">
      <c r="H488" s="712"/>
      <c r="I488" s="712"/>
      <c r="J488" s="712"/>
      <c r="K488" s="712"/>
    </row>
    <row r="489" spans="8:11" s="105" customFormat="1">
      <c r="H489" s="712"/>
      <c r="I489" s="712"/>
      <c r="J489" s="712"/>
      <c r="K489" s="712"/>
    </row>
    <row r="490" spans="8:11" s="105" customFormat="1">
      <c r="H490" s="712"/>
      <c r="I490" s="712"/>
      <c r="J490" s="712"/>
      <c r="K490" s="712"/>
    </row>
    <row r="491" spans="8:11" s="105" customFormat="1">
      <c r="H491" s="712"/>
      <c r="I491" s="712"/>
      <c r="J491" s="712"/>
      <c r="K491" s="712"/>
    </row>
    <row r="492" spans="8:11" s="105" customFormat="1">
      <c r="H492" s="712"/>
      <c r="I492" s="712"/>
      <c r="J492" s="712"/>
      <c r="K492" s="712"/>
    </row>
    <row r="493" spans="8:11" s="105" customFormat="1">
      <c r="H493" s="712"/>
      <c r="I493" s="712"/>
      <c r="J493" s="712"/>
      <c r="K493" s="712"/>
    </row>
    <row r="494" spans="8:11" s="105" customFormat="1">
      <c r="H494" s="712"/>
      <c r="I494" s="712"/>
      <c r="J494" s="712"/>
      <c r="K494" s="712"/>
    </row>
    <row r="495" spans="8:11" s="105" customFormat="1">
      <c r="H495" s="712"/>
      <c r="I495" s="712"/>
      <c r="J495" s="712"/>
      <c r="K495" s="712"/>
    </row>
    <row r="496" spans="8:11" s="105" customFormat="1">
      <c r="H496" s="712"/>
      <c r="I496" s="712"/>
      <c r="J496" s="712"/>
      <c r="K496" s="712"/>
    </row>
    <row r="497" spans="8:11" s="105" customFormat="1">
      <c r="H497" s="712"/>
      <c r="I497" s="712"/>
      <c r="J497" s="712"/>
      <c r="K497" s="712"/>
    </row>
    <row r="498" spans="8:11" s="105" customFormat="1">
      <c r="H498" s="712"/>
      <c r="I498" s="712"/>
      <c r="J498" s="712"/>
      <c r="K498" s="712"/>
    </row>
    <row r="499" spans="8:11" s="105" customFormat="1">
      <c r="H499" s="712"/>
      <c r="I499" s="712"/>
      <c r="J499" s="712"/>
      <c r="K499" s="712"/>
    </row>
    <row r="500" spans="8:11" s="105" customFormat="1">
      <c r="H500" s="712"/>
      <c r="I500" s="712"/>
      <c r="J500" s="712"/>
      <c r="K500" s="712"/>
    </row>
    <row r="501" spans="8:11" s="105" customFormat="1">
      <c r="H501" s="712"/>
      <c r="I501" s="712"/>
      <c r="J501" s="712"/>
      <c r="K501" s="712"/>
    </row>
    <row r="502" spans="8:11" s="105" customFormat="1">
      <c r="H502" s="712"/>
      <c r="I502" s="712"/>
      <c r="J502" s="712"/>
      <c r="K502" s="712"/>
    </row>
    <row r="503" spans="8:11" s="105" customFormat="1">
      <c r="H503" s="712"/>
      <c r="I503" s="712"/>
      <c r="J503" s="712"/>
      <c r="K503" s="712"/>
    </row>
    <row r="504" spans="8:11" s="105" customFormat="1">
      <c r="H504" s="712"/>
      <c r="I504" s="712"/>
      <c r="J504" s="712"/>
      <c r="K504" s="712"/>
    </row>
    <row r="505" spans="8:11" s="105" customFormat="1">
      <c r="H505" s="712"/>
      <c r="I505" s="712"/>
      <c r="J505" s="712"/>
      <c r="K505" s="712"/>
    </row>
    <row r="506" spans="8:11" s="105" customFormat="1">
      <c r="H506" s="712"/>
      <c r="I506" s="712"/>
      <c r="J506" s="712"/>
      <c r="K506" s="712"/>
    </row>
    <row r="507" spans="8:11" s="105" customFormat="1">
      <c r="H507" s="712"/>
      <c r="I507" s="712"/>
      <c r="J507" s="712"/>
      <c r="K507" s="712"/>
    </row>
    <row r="508" spans="8:11" s="105" customFormat="1">
      <c r="H508" s="712"/>
      <c r="I508" s="712"/>
      <c r="J508" s="712"/>
      <c r="K508" s="712"/>
    </row>
    <row r="509" spans="8:11" s="105" customFormat="1">
      <c r="H509" s="712"/>
      <c r="I509" s="712"/>
      <c r="J509" s="712"/>
      <c r="K509" s="712"/>
    </row>
    <row r="510" spans="8:11" s="105" customFormat="1">
      <c r="H510" s="712"/>
      <c r="I510" s="712"/>
      <c r="J510" s="712"/>
      <c r="K510" s="712"/>
    </row>
    <row r="511" spans="8:11" s="105" customFormat="1">
      <c r="H511" s="712"/>
      <c r="I511" s="712"/>
      <c r="J511" s="712"/>
      <c r="K511" s="712"/>
    </row>
    <row r="512" spans="8:11" s="105" customFormat="1">
      <c r="H512" s="712"/>
      <c r="I512" s="712"/>
      <c r="J512" s="712"/>
      <c r="K512" s="712"/>
    </row>
    <row r="513" spans="8:11" s="105" customFormat="1">
      <c r="H513" s="712"/>
      <c r="I513" s="712"/>
      <c r="J513" s="712"/>
      <c r="K513" s="712"/>
    </row>
    <row r="514" spans="8:11" s="105" customFormat="1">
      <c r="H514" s="712"/>
      <c r="I514" s="712"/>
      <c r="J514" s="712"/>
      <c r="K514" s="712"/>
    </row>
    <row r="515" spans="8:11" s="105" customFormat="1">
      <c r="H515" s="712"/>
      <c r="I515" s="712"/>
      <c r="J515" s="712"/>
      <c r="K515" s="712"/>
    </row>
    <row r="516" spans="8:11" s="105" customFormat="1">
      <c r="H516" s="712"/>
      <c r="I516" s="712"/>
      <c r="J516" s="712"/>
      <c r="K516" s="712"/>
    </row>
    <row r="517" spans="8:11" s="105" customFormat="1">
      <c r="H517" s="712"/>
      <c r="I517" s="712"/>
      <c r="J517" s="712"/>
      <c r="K517" s="712"/>
    </row>
    <row r="518" spans="8:11" s="105" customFormat="1">
      <c r="H518" s="712"/>
      <c r="I518" s="712"/>
      <c r="J518" s="712"/>
      <c r="K518" s="712"/>
    </row>
    <row r="519" spans="8:11" s="105" customFormat="1">
      <c r="H519" s="712"/>
      <c r="I519" s="712"/>
      <c r="J519" s="712"/>
      <c r="K519" s="712"/>
    </row>
    <row r="520" spans="8:11" s="105" customFormat="1">
      <c r="H520" s="712"/>
      <c r="I520" s="712"/>
      <c r="J520" s="712"/>
      <c r="K520" s="712"/>
    </row>
    <row r="521" spans="8:11" s="105" customFormat="1">
      <c r="H521" s="712"/>
      <c r="I521" s="712"/>
      <c r="J521" s="712"/>
      <c r="K521" s="712"/>
    </row>
    <row r="522" spans="8:11" s="105" customFormat="1">
      <c r="H522" s="712"/>
      <c r="I522" s="712"/>
      <c r="J522" s="712"/>
      <c r="K522" s="712"/>
    </row>
    <row r="523" spans="8:11" s="105" customFormat="1">
      <c r="H523" s="712"/>
      <c r="I523" s="712"/>
      <c r="J523" s="712"/>
      <c r="K523" s="712"/>
    </row>
    <row r="524" spans="8:11" s="105" customFormat="1">
      <c r="H524" s="712"/>
      <c r="I524" s="712"/>
      <c r="J524" s="712"/>
      <c r="K524" s="712"/>
    </row>
    <row r="525" spans="8:11" s="105" customFormat="1">
      <c r="H525" s="712"/>
      <c r="I525" s="712"/>
      <c r="J525" s="712"/>
      <c r="K525" s="712"/>
    </row>
    <row r="526" spans="8:11" s="105" customFormat="1">
      <c r="H526" s="712"/>
      <c r="I526" s="712"/>
      <c r="J526" s="712"/>
      <c r="K526" s="712"/>
    </row>
    <row r="527" spans="8:11" s="105" customFormat="1">
      <c r="H527" s="712"/>
      <c r="I527" s="712"/>
      <c r="J527" s="712"/>
      <c r="K527" s="712"/>
    </row>
    <row r="528" spans="8:11" s="105" customFormat="1">
      <c r="H528" s="712"/>
      <c r="I528" s="712"/>
      <c r="J528" s="712"/>
      <c r="K528" s="712"/>
    </row>
    <row r="529" spans="8:11" s="105" customFormat="1">
      <c r="H529" s="712"/>
      <c r="I529" s="712"/>
      <c r="J529" s="712"/>
      <c r="K529" s="712"/>
    </row>
    <row r="530" spans="8:11" s="105" customFormat="1">
      <c r="H530" s="712"/>
      <c r="I530" s="712"/>
      <c r="J530" s="712"/>
      <c r="K530" s="712"/>
    </row>
    <row r="531" spans="8:11" s="105" customFormat="1">
      <c r="H531" s="712"/>
      <c r="I531" s="712"/>
      <c r="J531" s="712"/>
      <c r="K531" s="712"/>
    </row>
    <row r="532" spans="8:11" s="105" customFormat="1">
      <c r="H532" s="712"/>
      <c r="I532" s="712"/>
      <c r="J532" s="712"/>
      <c r="K532" s="712"/>
    </row>
    <row r="533" spans="8:11" s="105" customFormat="1">
      <c r="H533" s="712"/>
      <c r="I533" s="712"/>
      <c r="J533" s="712"/>
      <c r="K533" s="712"/>
    </row>
    <row r="534" spans="8:11" s="105" customFormat="1">
      <c r="H534" s="712"/>
      <c r="I534" s="712"/>
      <c r="J534" s="712"/>
      <c r="K534" s="712"/>
    </row>
    <row r="535" spans="8:11" s="105" customFormat="1">
      <c r="H535" s="712"/>
      <c r="I535" s="712"/>
      <c r="J535" s="712"/>
      <c r="K535" s="712"/>
    </row>
    <row r="536" spans="8:11" s="105" customFormat="1">
      <c r="H536" s="712"/>
      <c r="I536" s="712"/>
      <c r="J536" s="712"/>
      <c r="K536" s="712"/>
    </row>
    <row r="537" spans="8:11" s="105" customFormat="1">
      <c r="H537" s="712"/>
      <c r="I537" s="712"/>
      <c r="J537" s="712"/>
      <c r="K537" s="712"/>
    </row>
    <row r="538" spans="8:11" s="105" customFormat="1">
      <c r="H538" s="712"/>
      <c r="I538" s="712"/>
      <c r="J538" s="712"/>
      <c r="K538" s="712"/>
    </row>
    <row r="539" spans="8:11" s="105" customFormat="1">
      <c r="H539" s="712"/>
      <c r="I539" s="712"/>
      <c r="J539" s="712"/>
      <c r="K539" s="712"/>
    </row>
    <row r="540" spans="8:11" s="105" customFormat="1">
      <c r="H540" s="712"/>
      <c r="I540" s="712"/>
      <c r="J540" s="712"/>
      <c r="K540" s="712"/>
    </row>
    <row r="541" spans="8:11" s="105" customFormat="1">
      <c r="H541" s="712"/>
      <c r="I541" s="712"/>
      <c r="J541" s="712"/>
      <c r="K541" s="712"/>
    </row>
    <row r="542" spans="8:11" s="105" customFormat="1">
      <c r="H542" s="712"/>
      <c r="I542" s="712"/>
      <c r="J542" s="712"/>
      <c r="K542" s="712"/>
    </row>
    <row r="543" spans="8:11" s="105" customFormat="1">
      <c r="H543" s="712"/>
      <c r="I543" s="712"/>
      <c r="J543" s="712"/>
      <c r="K543" s="712"/>
    </row>
    <row r="544" spans="8:11" s="105" customFormat="1">
      <c r="H544" s="712"/>
      <c r="I544" s="712"/>
      <c r="J544" s="712"/>
      <c r="K544" s="712"/>
    </row>
    <row r="545" spans="8:11" s="105" customFormat="1">
      <c r="H545" s="712"/>
      <c r="I545" s="712"/>
      <c r="J545" s="712"/>
      <c r="K545" s="712"/>
    </row>
    <row r="546" spans="8:11" s="105" customFormat="1">
      <c r="H546" s="712"/>
      <c r="I546" s="712"/>
      <c r="J546" s="712"/>
      <c r="K546" s="712"/>
    </row>
    <row r="547" spans="8:11" s="105" customFormat="1">
      <c r="H547" s="712"/>
      <c r="I547" s="712"/>
      <c r="J547" s="712"/>
      <c r="K547" s="712"/>
    </row>
    <row r="548" spans="8:11" s="105" customFormat="1">
      <c r="H548" s="712"/>
      <c r="I548" s="712"/>
      <c r="J548" s="712"/>
      <c r="K548" s="712"/>
    </row>
    <row r="549" spans="8:11" s="105" customFormat="1">
      <c r="H549" s="712"/>
      <c r="I549" s="712"/>
      <c r="J549" s="712"/>
      <c r="K549" s="712"/>
    </row>
    <row r="550" spans="8:11" s="105" customFormat="1">
      <c r="H550" s="712"/>
      <c r="I550" s="712"/>
      <c r="J550" s="712"/>
      <c r="K550" s="712"/>
    </row>
    <row r="551" spans="8:11" s="105" customFormat="1">
      <c r="H551" s="712"/>
      <c r="I551" s="712"/>
      <c r="J551" s="712"/>
      <c r="K551" s="712"/>
    </row>
    <row r="552" spans="8:11" s="105" customFormat="1">
      <c r="H552" s="712"/>
      <c r="I552" s="712"/>
      <c r="J552" s="712"/>
      <c r="K552" s="712"/>
    </row>
    <row r="553" spans="8:11" s="105" customFormat="1">
      <c r="H553" s="712"/>
      <c r="I553" s="712"/>
      <c r="J553" s="712"/>
      <c r="K553" s="712"/>
    </row>
    <row r="554" spans="8:11" s="105" customFormat="1">
      <c r="H554" s="712"/>
      <c r="I554" s="712"/>
      <c r="J554" s="712"/>
      <c r="K554" s="712"/>
    </row>
    <row r="555" spans="8:11" s="105" customFormat="1">
      <c r="H555" s="712"/>
      <c r="I555" s="712"/>
      <c r="J555" s="712"/>
      <c r="K555" s="712"/>
    </row>
    <row r="556" spans="8:11" s="105" customFormat="1">
      <c r="H556" s="712"/>
      <c r="I556" s="712"/>
      <c r="J556" s="712"/>
      <c r="K556" s="712"/>
    </row>
    <row r="557" spans="8:11" s="105" customFormat="1">
      <c r="H557" s="712"/>
      <c r="I557" s="712"/>
      <c r="J557" s="712"/>
      <c r="K557" s="712"/>
    </row>
    <row r="558" spans="8:11" s="105" customFormat="1">
      <c r="H558" s="712"/>
      <c r="I558" s="712"/>
      <c r="J558" s="712"/>
      <c r="K558" s="712"/>
    </row>
    <row r="559" spans="8:11" s="105" customFormat="1">
      <c r="H559" s="712"/>
      <c r="I559" s="712"/>
      <c r="J559" s="712"/>
      <c r="K559" s="712"/>
    </row>
    <row r="560" spans="8:11" s="105" customFormat="1">
      <c r="H560" s="712"/>
      <c r="I560" s="712"/>
      <c r="J560" s="712"/>
      <c r="K560" s="712"/>
    </row>
    <row r="561" spans="8:11" s="105" customFormat="1">
      <c r="H561" s="712"/>
      <c r="I561" s="712"/>
      <c r="J561" s="712"/>
      <c r="K561" s="712"/>
    </row>
    <row r="562" spans="8:11" s="105" customFormat="1">
      <c r="H562" s="712"/>
      <c r="I562" s="712"/>
      <c r="J562" s="712"/>
      <c r="K562" s="712"/>
    </row>
  </sheetData>
  <pageMargins left="0.7" right="0.7" top="0.75" bottom="0.75" header="0.3" footer="0.3"/>
  <pageSetup paperSize="5" scale="8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0"/>
  </sheetPr>
  <dimension ref="A1:CQ124"/>
  <sheetViews>
    <sheetView zoomScaleNormal="100" workbookViewId="0">
      <selection activeCell="Z5" sqref="Z5"/>
    </sheetView>
  </sheetViews>
  <sheetFormatPr baseColWidth="10" defaultColWidth="9.1640625" defaultRowHeight="13"/>
  <cols>
    <col min="1" max="1" width="15.33203125" style="3" bestFit="1" customWidth="1"/>
    <col min="2" max="19" width="14.83203125" style="3" bestFit="1" customWidth="1"/>
    <col min="20" max="23" width="14.83203125" style="486" customWidth="1"/>
    <col min="24" max="24" width="12.5" style="3" customWidth="1"/>
    <col min="25" max="25" width="15.33203125" style="3" bestFit="1" customWidth="1"/>
    <col min="26" max="35" width="10.1640625" style="3" bestFit="1" customWidth="1"/>
    <col min="36" max="36" width="10.1640625" style="3" customWidth="1"/>
    <col min="37" max="42" width="10.1640625" style="3" bestFit="1" customWidth="1"/>
    <col min="43" max="43" width="14.33203125" style="3" customWidth="1"/>
    <col min="44" max="49" width="14.33203125" style="486" customWidth="1"/>
    <col min="50" max="50" width="9.33203125" style="3" customWidth="1"/>
    <col min="51" max="51" width="15.33203125" style="3" bestFit="1" customWidth="1"/>
    <col min="52" max="68" width="9.5" style="3" bestFit="1" customWidth="1"/>
    <col min="69" max="73" width="9.5" style="486" customWidth="1"/>
    <col min="74" max="74" width="9.1640625" style="3"/>
    <col min="75" max="75" width="15.33203125" style="3" bestFit="1" customWidth="1"/>
    <col min="76" max="92" width="9.5" style="3" bestFit="1" customWidth="1"/>
    <col min="93" max="16384" width="9.1640625" style="3"/>
  </cols>
  <sheetData>
    <row r="1" spans="1:95">
      <c r="A1" s="979" t="s">
        <v>267</v>
      </c>
      <c r="B1" s="979"/>
      <c r="C1" s="979"/>
      <c r="D1" s="110"/>
    </row>
    <row r="2" spans="1:95" ht="18">
      <c r="H2" s="110"/>
      <c r="I2" s="14"/>
      <c r="J2" s="14"/>
      <c r="K2" s="14"/>
      <c r="L2" s="14"/>
      <c r="M2" s="14"/>
      <c r="N2" s="14"/>
    </row>
    <row r="3" spans="1:95" s="4" customFormat="1">
      <c r="H3" s="110"/>
      <c r="I3" s="267"/>
      <c r="J3" s="267"/>
      <c r="K3" s="267"/>
      <c r="L3" s="18"/>
      <c r="M3" s="18"/>
      <c r="N3" s="18"/>
      <c r="T3" s="660"/>
      <c r="U3" s="660"/>
      <c r="V3" s="660"/>
      <c r="W3" s="660"/>
      <c r="AR3" s="688"/>
      <c r="AS3" s="688"/>
      <c r="AT3" s="688"/>
      <c r="AU3" s="1"/>
      <c r="AV3" s="737"/>
      <c r="AW3" s="737"/>
      <c r="BQ3" s="688"/>
      <c r="BR3" s="688"/>
      <c r="BS3" s="688"/>
      <c r="BT3" s="688"/>
      <c r="BU3" s="688"/>
    </row>
    <row r="4" spans="1:95" s="4" customFormat="1">
      <c r="D4" s="96"/>
      <c r="E4" s="980" t="s">
        <v>266</v>
      </c>
      <c r="F4" s="980"/>
      <c r="G4" s="980"/>
      <c r="H4" s="110"/>
      <c r="I4" s="207"/>
      <c r="J4" s="207"/>
      <c r="K4" s="207"/>
      <c r="L4" s="207"/>
      <c r="M4" s="207"/>
      <c r="N4" s="207"/>
      <c r="T4" s="660"/>
      <c r="U4" s="660"/>
      <c r="V4" s="660"/>
      <c r="W4" s="660"/>
      <c r="AR4" s="688"/>
      <c r="AS4" s="688"/>
      <c r="AT4" s="688"/>
      <c r="AU4" s="1"/>
      <c r="AV4" s="737"/>
      <c r="AW4" s="737"/>
      <c r="BQ4" s="688"/>
      <c r="BR4" s="688"/>
      <c r="BS4" s="688"/>
      <c r="BT4" s="688"/>
      <c r="BU4" s="688"/>
    </row>
    <row r="5" spans="1:95" s="4" customFormat="1">
      <c r="E5" s="116"/>
      <c r="F5" s="116"/>
      <c r="G5" s="116"/>
      <c r="H5" s="110"/>
      <c r="I5" s="207"/>
      <c r="J5" s="207"/>
      <c r="K5" s="207"/>
      <c r="L5" s="207"/>
      <c r="M5" s="207"/>
      <c r="N5" s="207"/>
      <c r="T5" s="660"/>
      <c r="U5" s="660"/>
      <c r="V5" s="660"/>
      <c r="W5" s="660"/>
      <c r="Z5" s="4" t="s">
        <v>437</v>
      </c>
      <c r="AR5" s="688"/>
      <c r="AS5" s="688"/>
      <c r="AT5" s="688"/>
      <c r="AU5" s="1"/>
      <c r="AV5" s="737"/>
      <c r="AW5" s="737"/>
      <c r="AY5" s="4" t="s">
        <v>437</v>
      </c>
      <c r="BQ5" s="688"/>
      <c r="BR5" s="688"/>
      <c r="BS5" s="688"/>
      <c r="BT5" s="688"/>
      <c r="BU5" s="688"/>
      <c r="BW5" s="4" t="s">
        <v>437</v>
      </c>
    </row>
    <row r="6" spans="1:95">
      <c r="A6" s="979" t="s">
        <v>285</v>
      </c>
      <c r="B6" s="979"/>
      <c r="Z6" s="979" t="s">
        <v>287</v>
      </c>
      <c r="AA6" s="979"/>
      <c r="AB6" s="979"/>
      <c r="AC6" s="979"/>
      <c r="AU6" s="1"/>
      <c r="AY6" s="979" t="s">
        <v>286</v>
      </c>
      <c r="AZ6" s="979"/>
      <c r="BA6" s="979"/>
      <c r="BB6" s="979"/>
      <c r="BC6" s="979"/>
      <c r="BW6" s="979" t="s">
        <v>288</v>
      </c>
      <c r="BX6" s="979"/>
      <c r="BY6" s="979"/>
      <c r="BZ6" s="979"/>
      <c r="CA6" s="979"/>
    </row>
    <row r="9" spans="1:95" s="90" customFormat="1">
      <c r="A9" s="16" t="s">
        <v>0</v>
      </c>
      <c r="B9" s="318" t="s">
        <v>409</v>
      </c>
      <c r="C9" s="318" t="s">
        <v>410</v>
      </c>
      <c r="D9" s="318" t="s">
        <v>411</v>
      </c>
      <c r="E9" s="318" t="s">
        <v>412</v>
      </c>
      <c r="F9" s="318" t="s">
        <v>413</v>
      </c>
      <c r="G9" s="318" t="s">
        <v>414</v>
      </c>
      <c r="H9" s="318" t="s">
        <v>415</v>
      </c>
      <c r="I9" s="318" t="s">
        <v>416</v>
      </c>
      <c r="J9" s="318" t="s">
        <v>417</v>
      </c>
      <c r="K9" s="318" t="s">
        <v>418</v>
      </c>
      <c r="L9" s="318" t="s">
        <v>419</v>
      </c>
      <c r="M9" s="318" t="s">
        <v>420</v>
      </c>
      <c r="N9" s="318" t="s">
        <v>421</v>
      </c>
      <c r="O9" s="318" t="s">
        <v>422</v>
      </c>
      <c r="P9" s="318" t="s">
        <v>423</v>
      </c>
      <c r="Q9" s="318" t="s">
        <v>355</v>
      </c>
      <c r="R9" s="318" t="s">
        <v>399</v>
      </c>
      <c r="S9" s="318" t="s">
        <v>424</v>
      </c>
      <c r="T9" s="672" t="s">
        <v>446</v>
      </c>
      <c r="U9" s="672" t="s">
        <v>523</v>
      </c>
      <c r="V9" s="673" t="s">
        <v>524</v>
      </c>
      <c r="W9" s="673" t="s">
        <v>525</v>
      </c>
      <c r="Y9" s="90" t="s">
        <v>0</v>
      </c>
      <c r="Z9" s="318" t="s">
        <v>409</v>
      </c>
      <c r="AA9" s="318" t="s">
        <v>410</v>
      </c>
      <c r="AB9" s="318" t="s">
        <v>411</v>
      </c>
      <c r="AC9" s="318" t="s">
        <v>412</v>
      </c>
      <c r="AD9" s="318" t="s">
        <v>413</v>
      </c>
      <c r="AE9" s="318" t="s">
        <v>414</v>
      </c>
      <c r="AF9" s="318" t="s">
        <v>415</v>
      </c>
      <c r="AG9" s="318" t="s">
        <v>416</v>
      </c>
      <c r="AH9" s="318" t="s">
        <v>417</v>
      </c>
      <c r="AI9" s="318" t="s">
        <v>418</v>
      </c>
      <c r="AJ9" s="318" t="s">
        <v>419</v>
      </c>
      <c r="AK9" s="318" t="s">
        <v>420</v>
      </c>
      <c r="AL9" s="318" t="s">
        <v>421</v>
      </c>
      <c r="AM9" s="318" t="s">
        <v>422</v>
      </c>
      <c r="AN9" s="318" t="s">
        <v>423</v>
      </c>
      <c r="AO9" s="318" t="s">
        <v>355</v>
      </c>
      <c r="AP9" s="318" t="s">
        <v>399</v>
      </c>
      <c r="AQ9" s="318" t="s">
        <v>424</v>
      </c>
      <c r="AR9" s="355" t="s">
        <v>446</v>
      </c>
      <c r="AS9" s="355" t="s">
        <v>523</v>
      </c>
      <c r="AT9" s="355" t="s">
        <v>524</v>
      </c>
      <c r="AU9" s="355" t="s">
        <v>525</v>
      </c>
      <c r="AV9" s="355"/>
      <c r="AW9" s="355"/>
      <c r="AX9" s="90" t="s">
        <v>0</v>
      </c>
      <c r="AY9" s="353" t="s">
        <v>410</v>
      </c>
      <c r="AZ9" s="353" t="s">
        <v>411</v>
      </c>
      <c r="BA9" s="353" t="s">
        <v>412</v>
      </c>
      <c r="BB9" s="354" t="s">
        <v>413</v>
      </c>
      <c r="BC9" s="353" t="s">
        <v>414</v>
      </c>
      <c r="BD9" s="354" t="s">
        <v>415</v>
      </c>
      <c r="BE9" s="353" t="s">
        <v>416</v>
      </c>
      <c r="BF9" s="354" t="s">
        <v>417</v>
      </c>
      <c r="BG9" s="354" t="s">
        <v>418</v>
      </c>
      <c r="BH9" s="354" t="s">
        <v>419</v>
      </c>
      <c r="BI9" s="354" t="s">
        <v>420</v>
      </c>
      <c r="BJ9" s="354" t="s">
        <v>421</v>
      </c>
      <c r="BK9" s="354" t="s">
        <v>422</v>
      </c>
      <c r="BL9" s="354" t="s">
        <v>423</v>
      </c>
      <c r="BM9" s="354" t="s">
        <v>355</v>
      </c>
      <c r="BN9" s="354" t="s">
        <v>399</v>
      </c>
      <c r="BO9" s="354" t="s">
        <v>424</v>
      </c>
      <c r="BP9" s="692" t="s">
        <v>446</v>
      </c>
      <c r="BQ9" s="692" t="s">
        <v>523</v>
      </c>
      <c r="BR9" s="692" t="s">
        <v>524</v>
      </c>
      <c r="BS9" s="692" t="s">
        <v>525</v>
      </c>
      <c r="BT9" s="354"/>
      <c r="BV9" s="90" t="s">
        <v>0</v>
      </c>
      <c r="BW9" s="353" t="s">
        <v>410</v>
      </c>
      <c r="BX9" s="353" t="s">
        <v>411</v>
      </c>
      <c r="BY9" s="353" t="s">
        <v>412</v>
      </c>
      <c r="BZ9" s="354" t="s">
        <v>413</v>
      </c>
      <c r="CA9" s="353" t="s">
        <v>414</v>
      </c>
      <c r="CB9" s="354" t="s">
        <v>415</v>
      </c>
      <c r="CC9" s="353" t="s">
        <v>416</v>
      </c>
      <c r="CD9" s="354" t="s">
        <v>417</v>
      </c>
      <c r="CE9" s="354" t="s">
        <v>418</v>
      </c>
      <c r="CF9" s="354" t="s">
        <v>419</v>
      </c>
      <c r="CG9" s="354" t="s">
        <v>420</v>
      </c>
      <c r="CH9" s="354" t="s">
        <v>421</v>
      </c>
      <c r="CI9" s="354" t="s">
        <v>422</v>
      </c>
      <c r="CJ9" s="356" t="s">
        <v>423</v>
      </c>
      <c r="CK9" s="354" t="s">
        <v>355</v>
      </c>
      <c r="CL9" s="357" t="s">
        <v>399</v>
      </c>
      <c r="CM9" s="356" t="s">
        <v>424</v>
      </c>
      <c r="CN9" s="90" t="s">
        <v>446</v>
      </c>
      <c r="CO9" s="90" t="s">
        <v>523</v>
      </c>
      <c r="CP9" s="90" t="s">
        <v>524</v>
      </c>
      <c r="CQ9" s="90" t="s">
        <v>525</v>
      </c>
    </row>
    <row r="10" spans="1:95" ht="14">
      <c r="A10" s="13" t="s">
        <v>1</v>
      </c>
      <c r="B10" s="319">
        <v>157408222</v>
      </c>
      <c r="C10" s="319">
        <v>175152161</v>
      </c>
      <c r="D10" s="319">
        <v>180703140</v>
      </c>
      <c r="E10" s="319">
        <v>186478608</v>
      </c>
      <c r="F10" s="319">
        <v>192823905</v>
      </c>
      <c r="G10" s="319">
        <v>205036923</v>
      </c>
      <c r="H10" s="319">
        <v>210593600</v>
      </c>
      <c r="I10" s="319">
        <v>215337495</v>
      </c>
      <c r="J10" s="319">
        <v>211609021.35760728</v>
      </c>
      <c r="K10" s="319">
        <v>221822451.61672673</v>
      </c>
      <c r="L10" s="319">
        <v>229102530.79785299</v>
      </c>
      <c r="M10" s="319">
        <v>243407337.66139358</v>
      </c>
      <c r="N10" s="319">
        <v>244273213.51553303</v>
      </c>
      <c r="O10" s="319">
        <v>245889288.2588506</v>
      </c>
      <c r="P10" s="319">
        <v>247517571</v>
      </c>
      <c r="Q10" s="319">
        <v>255804795</v>
      </c>
      <c r="R10" s="319">
        <v>261743229</v>
      </c>
      <c r="S10" s="319">
        <v>269189143</v>
      </c>
      <c r="T10" s="343">
        <v>271848440</v>
      </c>
      <c r="U10" s="343">
        <v>281671781</v>
      </c>
      <c r="V10" s="668">
        <v>284045931</v>
      </c>
      <c r="W10" s="669">
        <v>290056420</v>
      </c>
      <c r="X10" s="290"/>
      <c r="Y10" s="13" t="s">
        <v>1</v>
      </c>
      <c r="Z10" s="319">
        <f>B10/'Population &amp; Income'!B9</f>
        <v>6325.9342523007672</v>
      </c>
      <c r="AA10" s="319">
        <f>C10/'Population &amp; Income'!C9</f>
        <v>7042.425354830928</v>
      </c>
      <c r="AB10" s="319">
        <f>D10/'Population &amp; Income'!D9</f>
        <v>7260.9450717241934</v>
      </c>
      <c r="AC10" s="319">
        <f>E10/'Population &amp; Income'!E9</f>
        <v>7470.7987660750769</v>
      </c>
      <c r="AD10" s="319">
        <f>F10/'Population &amp; Income'!F9</f>
        <v>7726.5549366885716</v>
      </c>
      <c r="AE10" s="319">
        <f>G10/'Population &amp; Income'!G9</f>
        <v>8212.3171786758521</v>
      </c>
      <c r="AF10" s="319">
        <f>H10/'Population &amp; Income'!H9</f>
        <v>8399.5532865347795</v>
      </c>
      <c r="AG10" s="319">
        <f>I10/'Population &amp; Income'!I9</f>
        <v>8627.9948313166115</v>
      </c>
      <c r="AH10" s="319">
        <f>J10/'Population &amp; Income'!J9</f>
        <v>8468.4256986396376</v>
      </c>
      <c r="AI10" s="319">
        <f>K10/'Population &amp; Income'!K9</f>
        <v>8926.816033511479</v>
      </c>
      <c r="AJ10" s="319">
        <f>L10/'Population &amp; Income'!L9</f>
        <v>9161.5360018336069</v>
      </c>
      <c r="AK10" s="319">
        <f>M10/'Population &amp; Income'!M9</f>
        <v>9742.9186911657362</v>
      </c>
      <c r="AL10" s="319">
        <f>N10/'Population &amp; Income'!N9</f>
        <v>9617.4342893630856</v>
      </c>
      <c r="AM10" s="319">
        <f>O10/'Population &amp; Income'!O9</f>
        <v>9613.6876200825191</v>
      </c>
      <c r="AN10" s="319">
        <f>P10/'Population &amp; Income'!P9</f>
        <v>9669.7882955033801</v>
      </c>
      <c r="AO10" s="319">
        <f>Q10/'Population &amp; Income'!Q9</f>
        <v>10009.578768195335</v>
      </c>
      <c r="AP10" s="319">
        <f>R10/'Population &amp; Income'!R9</f>
        <v>10231.938899964818</v>
      </c>
      <c r="AQ10" s="319">
        <f>S10/'Population &amp; Income'!S9</f>
        <v>10526.714492413577</v>
      </c>
      <c r="AR10" s="319">
        <f>T10/'Population &amp; Income'!T9</f>
        <v>10634.033797527773</v>
      </c>
      <c r="AS10" s="319">
        <f>U10/'Population &amp; Income'!U9</f>
        <v>11076.357884388517</v>
      </c>
      <c r="AT10" s="319">
        <f>V10/'Population &amp; Income'!V9</f>
        <v>11200.991009109192</v>
      </c>
      <c r="AU10" s="319">
        <f>W10/'Population &amp; Income'!W9</f>
        <v>11429.893998502581</v>
      </c>
      <c r="AV10" s="690"/>
      <c r="AW10" s="690"/>
      <c r="AX10" s="13" t="s">
        <v>1</v>
      </c>
      <c r="AY10" s="40">
        <f t="shared" ref="AY10:AY41" si="0">(C10-B10)/B10</f>
        <v>0.11272561734418168</v>
      </c>
      <c r="AZ10" s="40">
        <f t="shared" ref="AZ10:AZ41" si="1">(D10-C10)/C10</f>
        <v>3.1692323796107771E-2</v>
      </c>
      <c r="BA10" s="40">
        <f t="shared" ref="BA10:BA41" si="2">(E10-D10)/D10</f>
        <v>3.1961082690649428E-2</v>
      </c>
      <c r="BB10" s="40">
        <f t="shared" ref="BB10:BB41" si="3">(F10-E10)/E10</f>
        <v>3.4026943186963303E-2</v>
      </c>
      <c r="BC10" s="40">
        <f t="shared" ref="BC10:BC41" si="4">(G10-F10)/F10</f>
        <v>6.3337675896564791E-2</v>
      </c>
      <c r="BD10" s="40">
        <f t="shared" ref="BD10:BD41" si="5">(H10-G10)/G10</f>
        <v>2.7100860267982075E-2</v>
      </c>
      <c r="BE10" s="40">
        <f t="shared" ref="BE10:BE41" si="6">(I10-H10)/H10</f>
        <v>2.2526301843930681E-2</v>
      </c>
      <c r="BF10" s="40">
        <f t="shared" ref="BF10:BF41" si="7">(J10-I10)/I10</f>
        <v>-1.7314558444142415E-2</v>
      </c>
      <c r="BG10" s="40">
        <f t="shared" ref="BG10:BG41" si="8">(K10-J10)/J10</f>
        <v>4.8265571068727413E-2</v>
      </c>
      <c r="BH10" s="40">
        <f t="shared" ref="BH10:BH41" si="9">(L10-K10)/K10</f>
        <v>3.2819397351648898E-2</v>
      </c>
      <c r="BI10" s="40">
        <f t="shared" ref="BI10:BI41" si="10">(M10-L10)/L10</f>
        <v>6.243844977933629E-2</v>
      </c>
      <c r="BJ10" s="40">
        <f t="shared" ref="BJ10:BJ41" si="11">(N10-M10)/M10</f>
        <v>3.5573120451445712E-3</v>
      </c>
      <c r="BK10" s="40">
        <f t="shared" ref="BK10:BK41" si="12">(O10-N10)/N10</f>
        <v>6.6158491963131689E-3</v>
      </c>
      <c r="BL10" s="40">
        <f t="shared" ref="BL10:BL41" si="13">(P10-O10)/O10</f>
        <v>6.6220157562751694E-3</v>
      </c>
      <c r="BM10" s="40">
        <f t="shared" ref="BM10:BM41" si="14">(Q10-P10)/P10</f>
        <v>3.3481356359949088E-2</v>
      </c>
      <c r="BN10" s="40">
        <f t="shared" ref="BN10:BN41" si="15">(R10-Q10)/Q10</f>
        <v>2.3214709481892238E-2</v>
      </c>
      <c r="BO10" s="40">
        <f t="shared" ref="BO10:BO41" si="16">(S10-R10)/R10</f>
        <v>2.8447398729080399E-2</v>
      </c>
      <c r="BP10" s="40">
        <f t="shared" ref="BP10:BP41" si="17">(T10-S10)/S10</f>
        <v>9.8789162533200678E-3</v>
      </c>
      <c r="BQ10" s="40">
        <f t="shared" ref="BQ10:BQ41" si="18">(U10-T10)/T10</f>
        <v>3.613535909935698E-2</v>
      </c>
      <c r="BR10" s="40">
        <f t="shared" ref="BR10:BR41" si="19">(V10-U10)/U10</f>
        <v>8.4287818665086649E-3</v>
      </c>
      <c r="BS10" s="40">
        <f t="shared" ref="BS10:BS41" si="20">(W10-V10)/V10</f>
        <v>2.1160271435115188E-2</v>
      </c>
      <c r="BT10" s="40"/>
      <c r="BU10" s="3"/>
      <c r="BV10" s="13" t="s">
        <v>1</v>
      </c>
      <c r="BW10" s="40">
        <f t="shared" ref="BW10:BW41" si="21">(C10-$B10)/$B10</f>
        <v>0.11272561734418168</v>
      </c>
      <c r="BX10" s="40">
        <f t="shared" ref="BX10:BX41" si="22">(D10-$B10)/$B10</f>
        <v>0.14799047790527739</v>
      </c>
      <c r="BY10" s="40">
        <f t="shared" ref="BY10:BY41" si="23">(E10-$B10)/$B10</f>
        <v>0.18468149649768612</v>
      </c>
      <c r="BZ10" s="40">
        <f t="shared" ref="BZ10:BZ41" si="24">(F10-$B10)/$B10</f>
        <v>0.22499258647365955</v>
      </c>
      <c r="CA10" s="40">
        <f t="shared" ref="CA10:CA41" si="25">(G10-$B10)/$B10</f>
        <v>0.30258076989142285</v>
      </c>
      <c r="CB10" s="40">
        <f t="shared" ref="CB10:CB41" si="26">(H10-$B10)/$B10</f>
        <v>0.33788182932401079</v>
      </c>
      <c r="CC10" s="40">
        <f t="shared" ref="CC10:CC41" si="27">(I10-$B10)/$B10</f>
        <v>0.3680193592428736</v>
      </c>
      <c r="CD10" s="40">
        <f t="shared" ref="CD10:CD41" si="28">(J10-$B10)/$B10</f>
        <v>0.34433270809454464</v>
      </c>
      <c r="CE10" s="40">
        <f t="shared" ref="CE10:CE41" si="29">(K10-$B10)/$B10</f>
        <v>0.40921769395709662</v>
      </c>
      <c r="CF10" s="40">
        <f t="shared" ref="CF10:CF41" si="30">(L10-$B10)/$B10</f>
        <v>0.45546736941004895</v>
      </c>
      <c r="CG10" s="40">
        <f t="shared" ref="CG10:CG41" si="31">(M10-$B10)/$B10</f>
        <v>0.54634449566042098</v>
      </c>
      <c r="CH10" s="40">
        <f t="shared" ref="CH10:CH41" si="32">(N10-$B10)/$B10</f>
        <v>0.55184532556077681</v>
      </c>
      <c r="CI10" s="40">
        <f t="shared" ref="CI10:CI41" si="33">(O10-$B10)/$B10</f>
        <v>0.56211210021069047</v>
      </c>
      <c r="CJ10" s="40">
        <f t="shared" ref="CJ10:CJ41" si="34">(P10-$B10)/$B10</f>
        <v>0.5724564311513537</v>
      </c>
      <c r="CK10" s="40">
        <f t="shared" ref="CK10:CK41" si="35">(Q10-$B10)/$B10</f>
        <v>0.62510440528322597</v>
      </c>
      <c r="CL10" s="113">
        <f t="shared" ref="CL10:CL41" si="36">(R10-$B10)/$B10</f>
        <v>0.66283073192961928</v>
      </c>
      <c r="CM10" s="113">
        <f t="shared" ref="CM10:CM41" si="37">(S10-$B10)/$B10</f>
        <v>0.71013394077978975</v>
      </c>
      <c r="CN10" s="113">
        <f t="shared" ref="CN10:CN41" si="38">(T10-$B10)/$B10</f>
        <v>0.72702821076271351</v>
      </c>
      <c r="CO10" s="113">
        <f t="shared" ref="CO10:CO41" si="39">(U10-$B10)/$B10</f>
        <v>0.78943499533334416</v>
      </c>
      <c r="CP10" s="113">
        <f t="shared" ref="CP10:CP41" si="40">(V10-$B10)/$B10</f>
        <v>0.80451775257330582</v>
      </c>
      <c r="CQ10" s="113">
        <f t="shared" ref="CQ10:CQ41" si="41">(W10-$B10)/$B10</f>
        <v>0.84270183802724108</v>
      </c>
    </row>
    <row r="11" spans="1:95" ht="14">
      <c r="A11" s="13" t="s">
        <v>2</v>
      </c>
      <c r="B11" s="319">
        <v>106225190</v>
      </c>
      <c r="C11" s="319">
        <v>117397990</v>
      </c>
      <c r="D11" s="319">
        <v>120287889</v>
      </c>
      <c r="E11" s="319">
        <v>127936653</v>
      </c>
      <c r="F11" s="319">
        <v>133670711</v>
      </c>
      <c r="G11" s="319">
        <v>151791395</v>
      </c>
      <c r="H11" s="319">
        <v>153409964</v>
      </c>
      <c r="I11" s="319">
        <v>165461275</v>
      </c>
      <c r="J11" s="319">
        <v>170338861.80744731</v>
      </c>
      <c r="K11" s="319">
        <v>172745221.95843822</v>
      </c>
      <c r="L11" s="319">
        <v>180940295.84416801</v>
      </c>
      <c r="M11" s="319">
        <v>194475587.14821339</v>
      </c>
      <c r="N11" s="319">
        <v>194241199.09147346</v>
      </c>
      <c r="O11" s="319">
        <v>196320808.35806128</v>
      </c>
      <c r="P11" s="319">
        <v>201346929</v>
      </c>
      <c r="Q11" s="319">
        <v>212691035</v>
      </c>
      <c r="R11" s="319">
        <v>222300207</v>
      </c>
      <c r="S11" s="319">
        <v>235360900</v>
      </c>
      <c r="T11" s="340">
        <v>240312084</v>
      </c>
      <c r="U11" s="340">
        <v>250446614</v>
      </c>
      <c r="V11" s="666">
        <v>260062817</v>
      </c>
      <c r="W11" s="667">
        <v>272875425</v>
      </c>
      <c r="X11" s="290"/>
      <c r="Y11" s="13" t="s">
        <v>2</v>
      </c>
      <c r="Z11" s="319">
        <f>B11/'Population &amp; Income'!B10</f>
        <v>6754.3199593056524</v>
      </c>
      <c r="AA11" s="319">
        <f>C11/'Population &amp; Income'!C10</f>
        <v>7361.2985954351643</v>
      </c>
      <c r="AB11" s="319">
        <f>D11/'Population &amp; Income'!D10</f>
        <v>7419.6822723908217</v>
      </c>
      <c r="AC11" s="319">
        <f>E11/'Population &amp; Income'!E10</f>
        <v>7845.0240986019135</v>
      </c>
      <c r="AD11" s="319">
        <f>F11/'Population &amp; Income'!F10</f>
        <v>8090.4679215591332</v>
      </c>
      <c r="AE11" s="319">
        <f>G11/'Population &amp; Income'!G10</f>
        <v>9155.0901688781669</v>
      </c>
      <c r="AF11" s="319">
        <f>H11/'Population &amp; Income'!H10</f>
        <v>9297.0101205987521</v>
      </c>
      <c r="AG11" s="319">
        <f>I11/'Population &amp; Income'!I10</f>
        <v>9962.7453636801547</v>
      </c>
      <c r="AH11" s="319">
        <f>J11/'Population &amp; Income'!J10</f>
        <v>10273.755235672335</v>
      </c>
      <c r="AI11" s="319">
        <f>K11/'Population &amp; Income'!K10</f>
        <v>10462.432436462856</v>
      </c>
      <c r="AJ11" s="319">
        <f>L11/'Population &amp; Income'!L10</f>
        <v>10731.290898770418</v>
      </c>
      <c r="AK11" s="319">
        <f>M11/'Population &amp; Income'!M10</f>
        <v>11552.547650481964</v>
      </c>
      <c r="AL11" s="319">
        <f>N11/'Population &amp; Income'!N10</f>
        <v>11477.263004695902</v>
      </c>
      <c r="AM11" s="319">
        <f>O11/'Population &amp; Income'!O10</f>
        <v>11523.879335410969</v>
      </c>
      <c r="AN11" s="319">
        <f>P11/'Population &amp; Income'!P10</f>
        <v>11599.661769789147</v>
      </c>
      <c r="AO11" s="319">
        <f>Q11/'Population &amp; Income'!Q10</f>
        <v>12302.101625310892</v>
      </c>
      <c r="AP11" s="319">
        <f>R11/'Population &amp; Income'!R10</f>
        <v>12763.403973129702</v>
      </c>
      <c r="AQ11" s="319">
        <f>S11/'Population &amp; Income'!S10</f>
        <v>13491.596445973059</v>
      </c>
      <c r="AR11" s="319">
        <f>T11/'Population &amp; Income'!T10</f>
        <v>13862.825728295356</v>
      </c>
      <c r="AS11" s="319">
        <f>U11/'Population &amp; Income'!U10</f>
        <v>14484.218032502458</v>
      </c>
      <c r="AT11" s="319">
        <f>V11/'Population &amp; Income'!V10</f>
        <v>14989.211354466859</v>
      </c>
      <c r="AU11" s="319">
        <f>W11/'Population &amp; Income'!W10</f>
        <v>15544.028766733125</v>
      </c>
      <c r="AV11" s="690"/>
      <c r="AW11" s="690"/>
      <c r="AX11" s="13" t="s">
        <v>2</v>
      </c>
      <c r="AY11" s="40">
        <f t="shared" si="0"/>
        <v>0.10518032493046141</v>
      </c>
      <c r="AZ11" s="40">
        <f t="shared" si="1"/>
        <v>2.4616256206771513E-2</v>
      </c>
      <c r="BA11" s="40">
        <f t="shared" si="2"/>
        <v>6.3587149658932002E-2</v>
      </c>
      <c r="BB11" s="40">
        <f t="shared" si="3"/>
        <v>4.4819509230087484E-2</v>
      </c>
      <c r="BC11" s="40">
        <f t="shared" si="4"/>
        <v>0.13556211278026342</v>
      </c>
      <c r="BD11" s="40">
        <f t="shared" si="5"/>
        <v>1.0663114335302077E-2</v>
      </c>
      <c r="BE11" s="40">
        <f t="shared" si="6"/>
        <v>7.8556246841958707E-2</v>
      </c>
      <c r="BF11" s="40">
        <f t="shared" si="7"/>
        <v>2.9478721274493469E-2</v>
      </c>
      <c r="BG11" s="40">
        <f t="shared" si="8"/>
        <v>1.4126900493858389E-2</v>
      </c>
      <c r="BH11" s="40">
        <f t="shared" si="9"/>
        <v>4.744023477362222E-2</v>
      </c>
      <c r="BI11" s="40">
        <f t="shared" si="10"/>
        <v>7.4805290004070935E-2</v>
      </c>
      <c r="BJ11" s="40">
        <f t="shared" si="11"/>
        <v>-1.2052312589821102E-3</v>
      </c>
      <c r="BK11" s="40">
        <f t="shared" si="12"/>
        <v>1.0706324282978089E-2</v>
      </c>
      <c r="BL11" s="40">
        <f t="shared" si="13"/>
        <v>2.5601568595682356E-2</v>
      </c>
      <c r="BM11" s="40">
        <f t="shared" si="14"/>
        <v>5.6341092741474093E-2</v>
      </c>
      <c r="BN11" s="40">
        <f t="shared" si="15"/>
        <v>4.5179017535929525E-2</v>
      </c>
      <c r="BO11" s="40">
        <f t="shared" si="16"/>
        <v>5.8752500396906965E-2</v>
      </c>
      <c r="BP11" s="691">
        <f t="shared" si="17"/>
        <v>2.1036561297989597E-2</v>
      </c>
      <c r="BQ11" s="691">
        <f t="shared" si="18"/>
        <v>4.217236949266355E-2</v>
      </c>
      <c r="BR11" s="691">
        <f t="shared" si="19"/>
        <v>3.8396218844467984E-2</v>
      </c>
      <c r="BS11" s="691">
        <f t="shared" si="20"/>
        <v>4.9267358355193087E-2</v>
      </c>
      <c r="BT11" s="40"/>
      <c r="BU11" s="3"/>
      <c r="BV11" s="13" t="s">
        <v>2</v>
      </c>
      <c r="BW11" s="40">
        <f t="shared" si="21"/>
        <v>0.10518032493046141</v>
      </c>
      <c r="BX11" s="40">
        <f t="shared" si="22"/>
        <v>0.13238572696363263</v>
      </c>
      <c r="BY11" s="40">
        <f t="shared" si="23"/>
        <v>0.20439090765570767</v>
      </c>
      <c r="BZ11" s="40">
        <f t="shared" si="24"/>
        <v>0.25837111705801608</v>
      </c>
      <c r="CA11" s="40">
        <f t="shared" si="25"/>
        <v>0.42895856434806096</v>
      </c>
      <c r="CB11" s="40">
        <f t="shared" si="26"/>
        <v>0.44419571290011345</v>
      </c>
      <c r="CC11" s="40">
        <f t="shared" si="27"/>
        <v>0.55764630781079327</v>
      </c>
      <c r="CD11" s="40">
        <f t="shared" si="28"/>
        <v>0.6035637291629915</v>
      </c>
      <c r="CE11" s="40">
        <f t="shared" si="29"/>
        <v>0.62621711440043759</v>
      </c>
      <c r="CF11" s="40">
        <f t="shared" si="30"/>
        <v>0.70336523610047685</v>
      </c>
      <c r="CG11" s="40">
        <f t="shared" si="31"/>
        <v>0.83078596656982573</v>
      </c>
      <c r="CH11" s="40">
        <f t="shared" si="32"/>
        <v>0.82857944609441003</v>
      </c>
      <c r="CI11" s="40">
        <f t="shared" si="33"/>
        <v>0.84815681062148518</v>
      </c>
      <c r="CJ11" s="40">
        <f t="shared" si="34"/>
        <v>0.89547252398418864</v>
      </c>
      <c r="CK11" s="40">
        <f t="shared" si="35"/>
        <v>1.0022655172468979</v>
      </c>
      <c r="CL11" s="113">
        <f t="shared" si="36"/>
        <v>1.0927259061621823</v>
      </c>
      <c r="CM11" s="113">
        <f t="shared" si="37"/>
        <v>1.2156787857945937</v>
      </c>
      <c r="CN11" s="691">
        <f t="shared" si="38"/>
        <v>1.2622890483886167</v>
      </c>
      <c r="CO11" s="691">
        <f t="shared" si="39"/>
        <v>1.3576951380364677</v>
      </c>
      <c r="CP11" s="691">
        <f t="shared" si="40"/>
        <v>1.4482217165250539</v>
      </c>
      <c r="CQ11" s="691">
        <f t="shared" si="41"/>
        <v>1.5688391331660598</v>
      </c>
    </row>
    <row r="12" spans="1:95" ht="14">
      <c r="A12" s="13" t="s">
        <v>3</v>
      </c>
      <c r="B12" s="319">
        <v>63794272</v>
      </c>
      <c r="C12" s="319">
        <v>69630603</v>
      </c>
      <c r="D12" s="319">
        <v>72139797</v>
      </c>
      <c r="E12" s="319">
        <v>74055620</v>
      </c>
      <c r="F12" s="319">
        <v>74661027</v>
      </c>
      <c r="G12" s="319">
        <v>77480121</v>
      </c>
      <c r="H12" s="319">
        <v>79067740</v>
      </c>
      <c r="I12" s="319">
        <v>79508558</v>
      </c>
      <c r="J12" s="319">
        <v>79069093.207633317</v>
      </c>
      <c r="K12" s="319">
        <v>80575107.075343013</v>
      </c>
      <c r="L12" s="319">
        <v>82700835.714812174</v>
      </c>
      <c r="M12" s="319">
        <v>87210779.353238136</v>
      </c>
      <c r="N12" s="319">
        <v>97308646.973231122</v>
      </c>
      <c r="O12" s="319">
        <v>106221649.45661242</v>
      </c>
      <c r="P12" s="319">
        <v>113277753</v>
      </c>
      <c r="Q12" s="319">
        <v>113265444</v>
      </c>
      <c r="R12" s="319">
        <v>118453503</v>
      </c>
      <c r="S12" s="319">
        <v>123711150</v>
      </c>
      <c r="T12" s="340">
        <v>127469401</v>
      </c>
      <c r="U12" s="340">
        <v>131348501</v>
      </c>
      <c r="V12" s="666">
        <v>134524429</v>
      </c>
      <c r="W12" s="667">
        <v>133930898</v>
      </c>
      <c r="X12" s="290"/>
      <c r="Y12" s="13" t="s">
        <v>3</v>
      </c>
      <c r="Z12" s="319">
        <f>B12/'Population &amp; Income'!B11</f>
        <v>9176.3912543153056</v>
      </c>
      <c r="AA12" s="319">
        <f>C12/'Population &amp; Income'!C11</f>
        <v>10341.690628248924</v>
      </c>
      <c r="AB12" s="319">
        <f>D12/'Population &amp; Income'!D11</f>
        <v>10882.455423140746</v>
      </c>
      <c r="AC12" s="319">
        <f>E12/'Population &amp; Income'!E11</f>
        <v>11309.654856444717</v>
      </c>
      <c r="AD12" s="319">
        <f>F12/'Population &amp; Income'!F11</f>
        <v>11685.870558772891</v>
      </c>
      <c r="AE12" s="319">
        <f>G12/'Population &amp; Income'!G11</f>
        <v>12213.133827238335</v>
      </c>
      <c r="AF12" s="319">
        <f>H12/'Population &amp; Income'!H11</f>
        <v>12775.52754887704</v>
      </c>
      <c r="AG12" s="319">
        <f>I12/'Population &amp; Income'!I11</f>
        <v>12838.455998708219</v>
      </c>
      <c r="AH12" s="319">
        <f>J12/'Population &amp; Income'!J11</f>
        <v>12850.494589246435</v>
      </c>
      <c r="AI12" s="319">
        <f>K12/'Population &amp; Income'!K11</f>
        <v>13311.598723830004</v>
      </c>
      <c r="AJ12" s="319">
        <f>L12/'Population &amp; Income'!L11</f>
        <v>13998.11031056401</v>
      </c>
      <c r="AK12" s="319">
        <f>M12/'Population &amp; Income'!M11</f>
        <v>14758.974336307012</v>
      </c>
      <c r="AL12" s="319">
        <f>N12/'Population &amp; Income'!N11</f>
        <v>16783.140216148866</v>
      </c>
      <c r="AM12" s="319">
        <f>O12/'Population &amp; Income'!O11</f>
        <v>18374.269063589763</v>
      </c>
      <c r="AN12" s="319">
        <f>P12/'Population &amp; Income'!P11</f>
        <v>20063.363974495216</v>
      </c>
      <c r="AO12" s="319">
        <f>Q12/'Population &amp; Income'!Q11</f>
        <v>20313.027977044476</v>
      </c>
      <c r="AP12" s="319">
        <f>R12/'Population &amp; Income'!R11</f>
        <v>21470.636759108213</v>
      </c>
      <c r="AQ12" s="319">
        <f>S12/'Population &amp; Income'!S11</f>
        <v>22703.459350339512</v>
      </c>
      <c r="AR12" s="319">
        <f>T12/'Population &amp; Income'!T11</f>
        <v>23768.301510348687</v>
      </c>
      <c r="AS12" s="319">
        <f>U12/'Population &amp; Income'!U11</f>
        <v>24778.060931899643</v>
      </c>
      <c r="AT12" s="319">
        <f>V12/'Population &amp; Income'!V11</f>
        <v>25415.535424145099</v>
      </c>
      <c r="AU12" s="319">
        <f>W12/'Population &amp; Income'!W11</f>
        <v>25389.743696682464</v>
      </c>
      <c r="AV12" s="690"/>
      <c r="AW12" s="690"/>
      <c r="AX12" s="13" t="s">
        <v>3</v>
      </c>
      <c r="AY12" s="40">
        <f t="shared" si="0"/>
        <v>9.1486756052330212E-2</v>
      </c>
      <c r="AZ12" s="40">
        <f t="shared" si="1"/>
        <v>3.6035793054958895E-2</v>
      </c>
      <c r="BA12" s="40">
        <f t="shared" si="2"/>
        <v>2.655708887010037E-2</v>
      </c>
      <c r="BB12" s="40">
        <f t="shared" si="3"/>
        <v>8.175031145509281E-3</v>
      </c>
      <c r="BC12" s="40">
        <f t="shared" si="4"/>
        <v>3.7758575166666274E-2</v>
      </c>
      <c r="BD12" s="40">
        <f t="shared" si="5"/>
        <v>2.049066237261039E-2</v>
      </c>
      <c r="BE12" s="40">
        <f t="shared" si="6"/>
        <v>5.5751941310071594E-3</v>
      </c>
      <c r="BF12" s="40">
        <f t="shared" si="7"/>
        <v>-5.5272640256748646E-3</v>
      </c>
      <c r="BG12" s="40">
        <f t="shared" si="8"/>
        <v>1.9046808387633132E-2</v>
      </c>
      <c r="BH12" s="40">
        <f t="shared" si="9"/>
        <v>2.6381952399783543E-2</v>
      </c>
      <c r="BI12" s="40">
        <f t="shared" si="10"/>
        <v>5.4533229313161652E-2</v>
      </c>
      <c r="BJ12" s="40">
        <f t="shared" si="11"/>
        <v>0.11578692100769597</v>
      </c>
      <c r="BK12" s="40">
        <f t="shared" si="12"/>
        <v>9.159517433053202E-2</v>
      </c>
      <c r="BL12" s="40">
        <f t="shared" si="13"/>
        <v>6.6428111213521795E-2</v>
      </c>
      <c r="BM12" s="40">
        <f t="shared" si="14"/>
        <v>-1.0866211302761275E-4</v>
      </c>
      <c r="BN12" s="40">
        <f t="shared" si="15"/>
        <v>4.5804429107257107E-2</v>
      </c>
      <c r="BO12" s="40">
        <f t="shared" si="16"/>
        <v>4.4385745181381421E-2</v>
      </c>
      <c r="BP12" s="691">
        <f t="shared" si="17"/>
        <v>3.0379242291418355E-2</v>
      </c>
      <c r="BQ12" s="691">
        <f t="shared" si="18"/>
        <v>3.0431617074908823E-2</v>
      </c>
      <c r="BR12" s="691">
        <f t="shared" si="19"/>
        <v>2.4179400418128869E-2</v>
      </c>
      <c r="BS12" s="691">
        <f t="shared" si="20"/>
        <v>-4.4120685321771555E-3</v>
      </c>
      <c r="BT12" s="40"/>
      <c r="BU12" s="3"/>
      <c r="BV12" s="13" t="s">
        <v>3</v>
      </c>
      <c r="BW12" s="40">
        <f t="shared" si="21"/>
        <v>9.1486756052330212E-2</v>
      </c>
      <c r="BX12" s="40">
        <f t="shared" si="22"/>
        <v>0.13081934691566038</v>
      </c>
      <c r="BY12" s="40">
        <f t="shared" si="23"/>
        <v>0.16085061680772844</v>
      </c>
      <c r="BZ12" s="40">
        <f t="shared" si="24"/>
        <v>0.17034060675541529</v>
      </c>
      <c r="CA12" s="40">
        <f t="shared" si="25"/>
        <v>0.21453100052619145</v>
      </c>
      <c r="CB12" s="40">
        <f t="shared" si="26"/>
        <v>0.23941754519904232</v>
      </c>
      <c r="CC12" s="40">
        <f t="shared" si="27"/>
        <v>0.24632753862290332</v>
      </c>
      <c r="CD12" s="40">
        <f t="shared" si="28"/>
        <v>0.23943875725446506</v>
      </c>
      <c r="CE12" s="40">
        <f t="shared" si="29"/>
        <v>0.26304610977209697</v>
      </c>
      <c r="CF12" s="40">
        <f t="shared" si="30"/>
        <v>0.29636773211883621</v>
      </c>
      <c r="CG12" s="40">
        <f t="shared" si="31"/>
        <v>0.36706285092865604</v>
      </c>
      <c r="CH12" s="40">
        <f t="shared" si="32"/>
        <v>0.52535084926168796</v>
      </c>
      <c r="CI12" s="40">
        <f t="shared" si="33"/>
        <v>0.6650656262150374</v>
      </c>
      <c r="CJ12" s="40">
        <f t="shared" si="34"/>
        <v>0.77567279081106211</v>
      </c>
      <c r="CK12" s="40">
        <f t="shared" si="35"/>
        <v>0.77547984245356694</v>
      </c>
      <c r="CL12" s="113">
        <f t="shared" si="36"/>
        <v>0.85680468302859547</v>
      </c>
      <c r="CM12" s="113">
        <f t="shared" si="37"/>
        <v>0.93922034254109832</v>
      </c>
      <c r="CN12" s="691">
        <f t="shared" si="38"/>
        <v>0.99813238718360164</v>
      </c>
      <c r="CO12" s="691">
        <f t="shared" si="39"/>
        <v>1.0589387868553466</v>
      </c>
      <c r="CP12" s="691">
        <f t="shared" si="40"/>
        <v>1.1087226922191384</v>
      </c>
      <c r="CQ12" s="691">
        <f t="shared" si="41"/>
        <v>1.0994188631857105</v>
      </c>
    </row>
    <row r="13" spans="1:95" ht="14">
      <c r="A13" s="13" t="s">
        <v>4</v>
      </c>
      <c r="B13" s="319">
        <v>199924428</v>
      </c>
      <c r="C13" s="319">
        <v>221874192</v>
      </c>
      <c r="D13" s="319">
        <v>230084213</v>
      </c>
      <c r="E13" s="319">
        <v>238553714</v>
      </c>
      <c r="F13" s="319">
        <v>252074495</v>
      </c>
      <c r="G13" s="319">
        <v>266985731</v>
      </c>
      <c r="H13" s="319">
        <v>264422808</v>
      </c>
      <c r="I13" s="319">
        <v>263799937</v>
      </c>
      <c r="J13" s="319">
        <v>256862453.17385572</v>
      </c>
      <c r="K13" s="319">
        <v>267449065.78937173</v>
      </c>
      <c r="L13" s="319">
        <v>271818135.82812703</v>
      </c>
      <c r="M13" s="319">
        <v>318626208.58588427</v>
      </c>
      <c r="N13" s="319">
        <v>322476479.53078133</v>
      </c>
      <c r="O13" s="319">
        <v>324238163.85455692</v>
      </c>
      <c r="P13" s="319">
        <v>353445913</v>
      </c>
      <c r="Q13" s="319">
        <v>342834442</v>
      </c>
      <c r="R13" s="319">
        <v>353903955</v>
      </c>
      <c r="S13" s="319">
        <v>363565283</v>
      </c>
      <c r="T13" s="340">
        <v>364240904</v>
      </c>
      <c r="U13" s="340">
        <v>365676119</v>
      </c>
      <c r="V13" s="666">
        <v>374602835</v>
      </c>
      <c r="W13" s="667">
        <v>384681449</v>
      </c>
      <c r="X13" s="290"/>
      <c r="Y13" s="13" t="s">
        <v>4</v>
      </c>
      <c r="Z13" s="319">
        <f>B13/'Population &amp; Income'!B12</f>
        <v>7999.2169007322054</v>
      </c>
      <c r="AA13" s="319">
        <f>C13/'Population &amp; Income'!C12</f>
        <v>8793.0167637617415</v>
      </c>
      <c r="AB13" s="319">
        <f>D13/'Population &amp; Income'!D12</f>
        <v>8970.1447563352831</v>
      </c>
      <c r="AC13" s="319">
        <f>E13/'Population &amp; Income'!E12</f>
        <v>9242.6855482371175</v>
      </c>
      <c r="AD13" s="319">
        <f>F13/'Population &amp; Income'!F12</f>
        <v>9746.9064650839064</v>
      </c>
      <c r="AE13" s="319">
        <f>G13/'Population &amp; Income'!G12</f>
        <v>10354.705670183059</v>
      </c>
      <c r="AF13" s="319">
        <f>H13/'Population &amp; Income'!H12</f>
        <v>10248.946046511628</v>
      </c>
      <c r="AG13" s="319">
        <f>I13/'Population &amp; Income'!I12</f>
        <v>10253.417949315921</v>
      </c>
      <c r="AH13" s="319">
        <f>J13/'Population &amp; Income'!J12</f>
        <v>10051.357979802611</v>
      </c>
      <c r="AI13" s="319">
        <f>K13/'Population &amp; Income'!K12</f>
        <v>10396.465142443993</v>
      </c>
      <c r="AJ13" s="319">
        <f>L13/'Population &amp; Income'!L12</f>
        <v>10507.485245974991</v>
      </c>
      <c r="AK13" s="319">
        <f>M13/'Population &amp; Income'!M12</f>
        <v>12418.201285598421</v>
      </c>
      <c r="AL13" s="319">
        <f>N13/'Population &amp; Income'!N12</f>
        <v>12511.69704084664</v>
      </c>
      <c r="AM13" s="319">
        <f>O13/'Population &amp; Income'!O12</f>
        <v>12651.715461782305</v>
      </c>
      <c r="AN13" s="319">
        <f>P13/'Population &amp; Income'!P12</f>
        <v>13878.03961834459</v>
      </c>
      <c r="AO13" s="319">
        <f>Q13/'Population &amp; Income'!Q12</f>
        <v>13395.633259094284</v>
      </c>
      <c r="AP13" s="319">
        <f>R13/'Population &amp; Income'!R12</f>
        <v>13813.042230982397</v>
      </c>
      <c r="AQ13" s="319">
        <f>S13/'Population &amp; Income'!S12</f>
        <v>14168.009157866023</v>
      </c>
      <c r="AR13" s="319">
        <f>T13/'Population &amp; Income'!T12</f>
        <v>14035.17663378545</v>
      </c>
      <c r="AS13" s="319">
        <f>U13/'Population &amp; Income'!U12</f>
        <v>14020.24840886435</v>
      </c>
      <c r="AT13" s="319">
        <f>V13/'Population &amp; Income'!V12</f>
        <v>14396.173667422467</v>
      </c>
      <c r="AU13" s="319">
        <f>W13/'Population &amp; Income'!W12</f>
        <v>15002.591513591513</v>
      </c>
      <c r="AV13" s="690"/>
      <c r="AW13" s="690"/>
      <c r="AX13" s="13" t="s">
        <v>4</v>
      </c>
      <c r="AY13" s="40">
        <f t="shared" si="0"/>
        <v>0.10979030536478514</v>
      </c>
      <c r="AZ13" s="40">
        <f t="shared" si="1"/>
        <v>3.7003046302924676E-2</v>
      </c>
      <c r="BA13" s="40">
        <f t="shared" si="2"/>
        <v>3.6810439488953552E-2</v>
      </c>
      <c r="BB13" s="40">
        <f t="shared" si="3"/>
        <v>5.6678140840012242E-2</v>
      </c>
      <c r="BC13" s="40">
        <f t="shared" si="4"/>
        <v>5.9154084589160834E-2</v>
      </c>
      <c r="BD13" s="40">
        <f t="shared" si="5"/>
        <v>-9.5994755614860934E-3</v>
      </c>
      <c r="BE13" s="40">
        <f t="shared" si="6"/>
        <v>-2.3555872684023534E-3</v>
      </c>
      <c r="BF13" s="40">
        <f t="shared" si="7"/>
        <v>-2.6298277039180182E-2</v>
      </c>
      <c r="BG13" s="40">
        <f t="shared" si="8"/>
        <v>4.1215103588341601E-2</v>
      </c>
      <c r="BH13" s="40">
        <f t="shared" si="9"/>
        <v>1.6336082632631584E-2</v>
      </c>
      <c r="BI13" s="40">
        <f t="shared" si="10"/>
        <v>0.17220364128813834</v>
      </c>
      <c r="BJ13" s="40">
        <f t="shared" si="11"/>
        <v>1.2083974391137483E-2</v>
      </c>
      <c r="BK13" s="40">
        <f t="shared" si="12"/>
        <v>5.4629854752164383E-3</v>
      </c>
      <c r="BL13" s="40">
        <f t="shared" si="13"/>
        <v>9.008115762259486E-2</v>
      </c>
      <c r="BM13" s="40">
        <f t="shared" si="14"/>
        <v>-3.0022899147231049E-2</v>
      </c>
      <c r="BN13" s="40">
        <f t="shared" si="15"/>
        <v>3.2288217413115106E-2</v>
      </c>
      <c r="BO13" s="40">
        <f t="shared" si="16"/>
        <v>2.7299293674183437E-2</v>
      </c>
      <c r="BP13" s="691">
        <f t="shared" si="17"/>
        <v>1.8583209992577867E-3</v>
      </c>
      <c r="BQ13" s="691">
        <f t="shared" si="18"/>
        <v>3.9402905720879716E-3</v>
      </c>
      <c r="BR13" s="691">
        <f t="shared" si="19"/>
        <v>2.4411536701963301E-2</v>
      </c>
      <c r="BS13" s="691">
        <f t="shared" si="20"/>
        <v>2.6904799052041344E-2</v>
      </c>
      <c r="BT13" s="40"/>
      <c r="BU13" s="3"/>
      <c r="BV13" s="13" t="s">
        <v>4</v>
      </c>
      <c r="BW13" s="40">
        <f t="shared" si="21"/>
        <v>0.10979030536478514</v>
      </c>
      <c r="BX13" s="40">
        <f t="shared" si="22"/>
        <v>0.1508559274207352</v>
      </c>
      <c r="BY13" s="40">
        <f t="shared" si="23"/>
        <v>0.19321943989755969</v>
      </c>
      <c r="BZ13" s="40">
        <f t="shared" si="24"/>
        <v>0.26084889936511413</v>
      </c>
      <c r="CA13" s="40">
        <f t="shared" si="25"/>
        <v>0.33543326181230843</v>
      </c>
      <c r="CB13" s="40">
        <f t="shared" si="26"/>
        <v>0.32261380285154551</v>
      </c>
      <c r="CC13" s="40">
        <f t="shared" si="27"/>
        <v>0.31949827061653518</v>
      </c>
      <c r="CD13" s="40">
        <f t="shared" si="28"/>
        <v>0.28479773954314236</v>
      </c>
      <c r="CE13" s="40">
        <f t="shared" si="29"/>
        <v>0.33775081146848013</v>
      </c>
      <c r="CF13" s="40">
        <f t="shared" si="30"/>
        <v>0.35960441926649916</v>
      </c>
      <c r="CG13" s="40">
        <f t="shared" si="31"/>
        <v>0.59373325097563501</v>
      </c>
      <c r="CH13" s="40">
        <f t="shared" si="32"/>
        <v>0.61299188276672889</v>
      </c>
      <c r="CI13" s="40">
        <f t="shared" si="33"/>
        <v>0.62180363399392558</v>
      </c>
      <c r="CJ13" s="40">
        <f t="shared" si="34"/>
        <v>0.76789758278062947</v>
      </c>
      <c r="CK13" s="40">
        <f t="shared" si="35"/>
        <v>0.71482017195017311</v>
      </c>
      <c r="CL13" s="113">
        <f t="shared" si="36"/>
        <v>0.77018865848649576</v>
      </c>
      <c r="CM13" s="113">
        <f t="shared" si="37"/>
        <v>0.81851355853322738</v>
      </c>
      <c r="CN13" s="691">
        <f t="shared" si="38"/>
        <v>0.82189294046648464</v>
      </c>
      <c r="CO13" s="691">
        <f t="shared" si="39"/>
        <v>0.82907172804315843</v>
      </c>
      <c r="CP13" s="691">
        <f t="shared" si="40"/>
        <v>0.87372217966280741</v>
      </c>
      <c r="CQ13" s="691">
        <f t="shared" si="41"/>
        <v>0.92413429838598815</v>
      </c>
    </row>
    <row r="14" spans="1:95" ht="14">
      <c r="A14" s="13" t="s">
        <v>5</v>
      </c>
      <c r="B14" s="319">
        <v>213312123</v>
      </c>
      <c r="C14" s="319">
        <v>237603402</v>
      </c>
      <c r="D14" s="319">
        <v>248898209</v>
      </c>
      <c r="E14" s="319">
        <v>276383925</v>
      </c>
      <c r="F14" s="319">
        <v>292791090</v>
      </c>
      <c r="G14" s="319">
        <v>305061366</v>
      </c>
      <c r="H14" s="319">
        <v>320836006</v>
      </c>
      <c r="I14" s="319">
        <v>333008096</v>
      </c>
      <c r="J14" s="319">
        <v>341914031.25009322</v>
      </c>
      <c r="K14" s="319">
        <v>374023330.54646993</v>
      </c>
      <c r="L14" s="319">
        <v>394824837.76762152</v>
      </c>
      <c r="M14" s="319">
        <v>423327465.81463218</v>
      </c>
      <c r="N14" s="319">
        <v>435428238.73742861</v>
      </c>
      <c r="O14" s="319">
        <v>440358587.07211751</v>
      </c>
      <c r="P14" s="319">
        <v>443506268</v>
      </c>
      <c r="Q14" s="319">
        <v>450292929</v>
      </c>
      <c r="R14" s="319">
        <v>448406721</v>
      </c>
      <c r="S14" s="319">
        <v>456271507</v>
      </c>
      <c r="T14" s="340">
        <v>461251852</v>
      </c>
      <c r="U14" s="340">
        <v>475972697</v>
      </c>
      <c r="V14" s="666">
        <v>486130997</v>
      </c>
      <c r="W14" s="667">
        <v>516739486</v>
      </c>
      <c r="X14" s="290"/>
      <c r="Y14" s="13" t="s">
        <v>5</v>
      </c>
      <c r="Z14" s="319">
        <f>B14/'Population &amp; Income'!B13</f>
        <v>6524.304113778865</v>
      </c>
      <c r="AA14" s="319">
        <f>C14/'Population &amp; Income'!C13</f>
        <v>7162.1221401657876</v>
      </c>
      <c r="AB14" s="319">
        <f>D14/'Population &amp; Income'!D13</f>
        <v>7390.3087680750614</v>
      </c>
      <c r="AC14" s="319">
        <f>E14/'Population &amp; Income'!E13</f>
        <v>8184.5457372146047</v>
      </c>
      <c r="AD14" s="319">
        <f>F14/'Population &amp; Income'!F13</f>
        <v>8618.8540225486449</v>
      </c>
      <c r="AE14" s="319">
        <f>G14/'Population &amp; Income'!G13</f>
        <v>8977.4099055354454</v>
      </c>
      <c r="AF14" s="319">
        <f>H14/'Population &amp; Income'!H13</f>
        <v>9405.6464483597665</v>
      </c>
      <c r="AG14" s="319">
        <f>I14/'Population &amp; Income'!I13</f>
        <v>9637.0451743597168</v>
      </c>
      <c r="AH14" s="319">
        <f>J14/'Population &amp; Income'!J13</f>
        <v>9811.3010775084858</v>
      </c>
      <c r="AI14" s="319">
        <f>K14/'Population &amp; Income'!K13</f>
        <v>10613.300716394822</v>
      </c>
      <c r="AJ14" s="319">
        <f>L14/'Population &amp; Income'!L13</f>
        <v>11042.198170030806</v>
      </c>
      <c r="AK14" s="319">
        <f>M14/'Population &amp; Income'!M13</f>
        <v>11810.274127179784</v>
      </c>
      <c r="AL14" s="319">
        <f>N14/'Population &amp; Income'!N13</f>
        <v>12117.106963612874</v>
      </c>
      <c r="AM14" s="319">
        <f>O14/'Population &amp; Income'!O13</f>
        <v>12355.740378005541</v>
      </c>
      <c r="AN14" s="319">
        <f>P14/'Population &amp; Income'!P13</f>
        <v>12404.034904209202</v>
      </c>
      <c r="AO14" s="319">
        <f>Q14/'Population &amp; Income'!Q13</f>
        <v>12675.381534130895</v>
      </c>
      <c r="AP14" s="319">
        <f>R14/'Population &amp; Income'!R13</f>
        <v>12614.829263489562</v>
      </c>
      <c r="AQ14" s="319">
        <f>S14/'Population &amp; Income'!S13</f>
        <v>12826.703783874958</v>
      </c>
      <c r="AR14" s="319">
        <f>T14/'Population &amp; Income'!T13</f>
        <v>12918.048843331653</v>
      </c>
      <c r="AS14" s="319">
        <f>U14/'Population &amp; Income'!U13</f>
        <v>13307.965581837499</v>
      </c>
      <c r="AT14" s="319">
        <f>V14/'Population &amp; Income'!V13</f>
        <v>13604.919875741632</v>
      </c>
      <c r="AU14" s="319">
        <f>W14/'Population &amp; Income'!W13</f>
        <v>14487.481383873501</v>
      </c>
      <c r="AV14" s="690"/>
      <c r="AW14" s="690"/>
      <c r="AX14" s="13" t="s">
        <v>5</v>
      </c>
      <c r="AY14" s="40">
        <f t="shared" si="0"/>
        <v>0.11387669232470206</v>
      </c>
      <c r="AZ14" s="40">
        <f t="shared" si="1"/>
        <v>4.7536385863700722E-2</v>
      </c>
      <c r="BA14" s="40">
        <f t="shared" si="2"/>
        <v>0.11042954511577061</v>
      </c>
      <c r="BB14" s="40">
        <f t="shared" si="3"/>
        <v>5.9363673194814059E-2</v>
      </c>
      <c r="BC14" s="40">
        <f t="shared" si="4"/>
        <v>4.1907955600698092E-2</v>
      </c>
      <c r="BD14" s="40">
        <f t="shared" si="5"/>
        <v>5.1709727150438319E-2</v>
      </c>
      <c r="BE14" s="40">
        <f t="shared" si="6"/>
        <v>3.7938665774314623E-2</v>
      </c>
      <c r="BF14" s="40">
        <f t="shared" si="7"/>
        <v>2.6743900094528698E-2</v>
      </c>
      <c r="BG14" s="40">
        <f t="shared" si="8"/>
        <v>9.3910446374428955E-2</v>
      </c>
      <c r="BH14" s="40">
        <f t="shared" si="9"/>
        <v>5.5615533904688173E-2</v>
      </c>
      <c r="BI14" s="40">
        <f t="shared" si="10"/>
        <v>7.2190564829120993E-2</v>
      </c>
      <c r="BJ14" s="40">
        <f t="shared" si="11"/>
        <v>2.8584899161953146E-2</v>
      </c>
      <c r="BK14" s="40">
        <f t="shared" si="12"/>
        <v>1.1322987110310028E-2</v>
      </c>
      <c r="BL14" s="40">
        <f t="shared" si="13"/>
        <v>7.147994884830069E-3</v>
      </c>
      <c r="BM14" s="40">
        <f t="shared" si="14"/>
        <v>1.5302288805532733E-2</v>
      </c>
      <c r="BN14" s="40">
        <f t="shared" si="15"/>
        <v>-4.1888465896829574E-3</v>
      </c>
      <c r="BO14" s="40">
        <f t="shared" si="16"/>
        <v>1.7539402581791364E-2</v>
      </c>
      <c r="BP14" s="691">
        <f t="shared" si="17"/>
        <v>1.0915310124767444E-2</v>
      </c>
      <c r="BQ14" s="691">
        <f t="shared" si="18"/>
        <v>3.1914982966832615E-2</v>
      </c>
      <c r="BR14" s="691">
        <f t="shared" si="19"/>
        <v>2.1342190558463904E-2</v>
      </c>
      <c r="BS14" s="691">
        <f t="shared" si="20"/>
        <v>6.2963458797917385E-2</v>
      </c>
      <c r="BT14" s="40"/>
      <c r="BU14" s="3"/>
      <c r="BV14" s="13" t="s">
        <v>5</v>
      </c>
      <c r="BW14" s="40">
        <f t="shared" si="21"/>
        <v>0.11387669232470206</v>
      </c>
      <c r="BX14" s="40">
        <f t="shared" si="22"/>
        <v>0.16682636457563174</v>
      </c>
      <c r="BY14" s="40">
        <f t="shared" si="23"/>
        <v>0.29567846924480706</v>
      </c>
      <c r="BZ14" s="40">
        <f t="shared" si="24"/>
        <v>0.3725947024586127</v>
      </c>
      <c r="CA14" s="40">
        <f t="shared" si="25"/>
        <v>0.43011734030700166</v>
      </c>
      <c r="CB14" s="40">
        <f t="shared" si="26"/>
        <v>0.50406831776738725</v>
      </c>
      <c r="CC14" s="40">
        <f t="shared" si="27"/>
        <v>0.56113066297689984</v>
      </c>
      <c r="CD14" s="40">
        <f t="shared" si="28"/>
        <v>0.60288138546205938</v>
      </c>
      <c r="CE14" s="40">
        <f t="shared" si="29"/>
        <v>0.75340869185606452</v>
      </c>
      <c r="CF14" s="40">
        <f t="shared" si="30"/>
        <v>0.85092545240676043</v>
      </c>
      <c r="CG14" s="40">
        <f t="shared" si="31"/>
        <v>0.98454480627260077</v>
      </c>
      <c r="CH14" s="40">
        <f t="shared" si="32"/>
        <v>1.0412728194422809</v>
      </c>
      <c r="CI14" s="40">
        <f t="shared" si="33"/>
        <v>1.0643861252654521</v>
      </c>
      <c r="CJ14" s="40">
        <f t="shared" si="34"/>
        <v>1.0791423467291636</v>
      </c>
      <c r="CK14" s="40">
        <f t="shared" si="35"/>
        <v>1.1109579833866263</v>
      </c>
      <c r="CL14" s="113">
        <f t="shared" si="36"/>
        <v>1.1021155042369533</v>
      </c>
      <c r="CM14" s="113">
        <f t="shared" si="37"/>
        <v>1.1389853543391906</v>
      </c>
      <c r="CN14" s="691">
        <f t="shared" si="38"/>
        <v>1.1623330428341383</v>
      </c>
      <c r="CO14" s="691">
        <f t="shared" si="39"/>
        <v>1.2313438650648092</v>
      </c>
      <c r="CP14" s="691">
        <f t="shared" si="40"/>
        <v>1.2789656310344819</v>
      </c>
      <c r="CQ14" s="691">
        <f t="shared" si="41"/>
        <v>1.4224571896459912</v>
      </c>
    </row>
    <row r="15" spans="1:95" ht="14">
      <c r="A15" s="13" t="s">
        <v>6</v>
      </c>
      <c r="B15" s="319">
        <v>97462636</v>
      </c>
      <c r="C15" s="319">
        <v>103305702</v>
      </c>
      <c r="D15" s="319">
        <v>109748815</v>
      </c>
      <c r="E15" s="319">
        <v>120448330</v>
      </c>
      <c r="F15" s="319">
        <v>126081191</v>
      </c>
      <c r="G15" s="319">
        <v>129857352</v>
      </c>
      <c r="H15" s="319">
        <v>131934004</v>
      </c>
      <c r="I15" s="319">
        <v>140444121</v>
      </c>
      <c r="J15" s="319">
        <v>144608050.94903433</v>
      </c>
      <c r="K15" s="319">
        <v>160215197.86937359</v>
      </c>
      <c r="L15" s="319">
        <v>164746973.16112328</v>
      </c>
      <c r="M15" s="319">
        <v>175312981.70158517</v>
      </c>
      <c r="N15" s="319">
        <v>180077771.50942314</v>
      </c>
      <c r="O15" s="319">
        <v>173780524.80936211</v>
      </c>
      <c r="P15" s="319">
        <v>176133708</v>
      </c>
      <c r="Q15" s="319">
        <v>165538096</v>
      </c>
      <c r="R15" s="319">
        <v>173074791</v>
      </c>
      <c r="S15" s="319">
        <v>177756562</v>
      </c>
      <c r="T15" s="340">
        <v>173487441</v>
      </c>
      <c r="U15" s="340">
        <v>181787659</v>
      </c>
      <c r="V15" s="666">
        <v>183962804</v>
      </c>
      <c r="W15" s="667">
        <v>184140010</v>
      </c>
      <c r="X15" s="290"/>
      <c r="Y15" s="13" t="s">
        <v>6</v>
      </c>
      <c r="Z15" s="319">
        <f>B15/'Population &amp; Income'!B14</f>
        <v>8034.1798697551731</v>
      </c>
      <c r="AA15" s="319">
        <f>C15/'Population &amp; Income'!C14</f>
        <v>8469.0688637481562</v>
      </c>
      <c r="AB15" s="319">
        <f>D15/'Population &amp; Income'!D14</f>
        <v>8857.1394560568151</v>
      </c>
      <c r="AC15" s="319">
        <f>E15/'Population &amp; Income'!E14</f>
        <v>9640.4938370417804</v>
      </c>
      <c r="AD15" s="319">
        <f>F15/'Population &amp; Income'!F14</f>
        <v>10052.718147025993</v>
      </c>
      <c r="AE15" s="319">
        <f>G15/'Population &amp; Income'!G14</f>
        <v>10237.88647114475</v>
      </c>
      <c r="AF15" s="319">
        <f>H15/'Population &amp; Income'!H14</f>
        <v>10323.474491392801</v>
      </c>
      <c r="AG15" s="319">
        <f>I15/'Population &amp; Income'!I14</f>
        <v>10866.923630454967</v>
      </c>
      <c r="AH15" s="319">
        <f>J15/'Population &amp; Income'!J14</f>
        <v>11174.410860755299</v>
      </c>
      <c r="AI15" s="319">
        <f>K15/'Population &amp; Income'!K14</f>
        <v>12347.040526308076</v>
      </c>
      <c r="AJ15" s="319">
        <f>L15/'Population &amp; Income'!L14</f>
        <v>12700.198362713789</v>
      </c>
      <c r="AK15" s="319">
        <f>M15/'Population &amp; Income'!M14</f>
        <v>13729.57801719674</v>
      </c>
      <c r="AL15" s="319">
        <f>N15/'Population &amp; Income'!N14</f>
        <v>14304.374573788476</v>
      </c>
      <c r="AM15" s="319">
        <f>O15/'Population &amp; Income'!O14</f>
        <v>13953.791939084802</v>
      </c>
      <c r="AN15" s="319">
        <f>P15/'Population &amp; Income'!P14</f>
        <v>14230.726993617192</v>
      </c>
      <c r="AO15" s="319">
        <f>Q15/'Population &amp; Income'!Q14</f>
        <v>13367.094315245478</v>
      </c>
      <c r="AP15" s="319">
        <f>R15/'Population &amp; Income'!R14</f>
        <v>14028.920402042637</v>
      </c>
      <c r="AQ15" s="319">
        <f>S15/'Population &amp; Income'!S14</f>
        <v>14481.186313645621</v>
      </c>
      <c r="AR15" s="319">
        <f>T15/'Population &amp; Income'!T14</f>
        <v>14428.429890219561</v>
      </c>
      <c r="AS15" s="319">
        <f>U15/'Population &amp; Income'!U14</f>
        <v>15305.856613622969</v>
      </c>
      <c r="AT15" s="319">
        <f>V15/'Population &amp; Income'!V14</f>
        <v>15448.673496808868</v>
      </c>
      <c r="AU15" s="319">
        <f>W15/'Population &amp; Income'!W14</f>
        <v>15539.24135021097</v>
      </c>
      <c r="AV15" s="690"/>
      <c r="AW15" s="690"/>
      <c r="AX15" s="13" t="s">
        <v>6</v>
      </c>
      <c r="AY15" s="40">
        <f t="shared" si="0"/>
        <v>5.9951856832601985E-2</v>
      </c>
      <c r="AZ15" s="40">
        <f t="shared" si="1"/>
        <v>6.2369384024901164E-2</v>
      </c>
      <c r="BA15" s="40">
        <f t="shared" si="2"/>
        <v>9.7490938740431965E-2</v>
      </c>
      <c r="BB15" s="40">
        <f t="shared" si="3"/>
        <v>4.6765787454255282E-2</v>
      </c>
      <c r="BC15" s="40">
        <f t="shared" si="4"/>
        <v>2.9950232624309521E-2</v>
      </c>
      <c r="BD15" s="40">
        <f t="shared" si="5"/>
        <v>1.5991793826197843E-2</v>
      </c>
      <c r="BE15" s="40">
        <f t="shared" si="6"/>
        <v>6.4502832795099579E-2</v>
      </c>
      <c r="BF15" s="40">
        <f t="shared" si="7"/>
        <v>2.9648303676836237E-2</v>
      </c>
      <c r="BG15" s="40">
        <f t="shared" si="8"/>
        <v>0.10792723377372564</v>
      </c>
      <c r="BH15" s="40">
        <f t="shared" si="9"/>
        <v>2.8285551882815299E-2</v>
      </c>
      <c r="BI15" s="40">
        <f t="shared" si="10"/>
        <v>6.413476580312219E-2</v>
      </c>
      <c r="BJ15" s="40">
        <f t="shared" si="11"/>
        <v>2.7178762015174145E-2</v>
      </c>
      <c r="BK15" s="40">
        <f t="shared" si="12"/>
        <v>-3.4969594788280128E-2</v>
      </c>
      <c r="BL15" s="40">
        <f t="shared" si="13"/>
        <v>1.3541121441653703E-2</v>
      </c>
      <c r="BM15" s="40">
        <f t="shared" si="14"/>
        <v>-6.0156639636519772E-2</v>
      </c>
      <c r="BN15" s="40">
        <f t="shared" si="15"/>
        <v>4.5528462523816877E-2</v>
      </c>
      <c r="BO15" s="40">
        <f t="shared" si="16"/>
        <v>2.7050565671346095E-2</v>
      </c>
      <c r="BP15" s="691">
        <f t="shared" si="17"/>
        <v>-2.4016671744585161E-2</v>
      </c>
      <c r="BQ15" s="691">
        <f t="shared" si="18"/>
        <v>4.7843336394592387E-2</v>
      </c>
      <c r="BR15" s="691">
        <f t="shared" si="19"/>
        <v>1.1965306181757916E-2</v>
      </c>
      <c r="BS15" s="691">
        <f t="shared" si="20"/>
        <v>9.6327081424568846E-4</v>
      </c>
      <c r="BT15" s="40"/>
      <c r="BU15" s="3"/>
      <c r="BV15" s="13" t="s">
        <v>6</v>
      </c>
      <c r="BW15" s="40">
        <f t="shared" si="21"/>
        <v>5.9951856832601985E-2</v>
      </c>
      <c r="BX15" s="40">
        <f t="shared" si="22"/>
        <v>0.12606040123930159</v>
      </c>
      <c r="BY15" s="40">
        <f t="shared" si="23"/>
        <v>0.23584108683454857</v>
      </c>
      <c r="BZ15" s="40">
        <f t="shared" si="24"/>
        <v>0.29363616842868889</v>
      </c>
      <c r="CA15" s="40">
        <f t="shared" si="25"/>
        <v>0.33238087260434862</v>
      </c>
      <c r="CB15" s="40">
        <f t="shared" si="26"/>
        <v>0.35368803281700689</v>
      </c>
      <c r="CC15" s="40">
        <f t="shared" si="27"/>
        <v>0.44100474565452957</v>
      </c>
      <c r="CD15" s="40">
        <f t="shared" si="28"/>
        <v>0.48372809195345723</v>
      </c>
      <c r="CE15" s="40">
        <f t="shared" si="29"/>
        <v>0.64386276059036196</v>
      </c>
      <c r="CF15" s="40">
        <f t="shared" si="30"/>
        <v>0.69036032599326858</v>
      </c>
      <c r="CG15" s="40">
        <f t="shared" si="31"/>
        <v>0.79877118962373617</v>
      </c>
      <c r="CH15" s="40">
        <f t="shared" si="32"/>
        <v>0.84765956370627138</v>
      </c>
      <c r="CI15" s="40">
        <f t="shared" si="33"/>
        <v>0.78304765745677263</v>
      </c>
      <c r="CJ15" s="40">
        <f t="shared" si="34"/>
        <v>0.80719212232265092</v>
      </c>
      <c r="CK15" s="40">
        <f t="shared" si="35"/>
        <v>0.69847751706612982</v>
      </c>
      <c r="CL15" s="113">
        <f t="shared" si="36"/>
        <v>0.77580658704942063</v>
      </c>
      <c r="CM15" s="113">
        <f t="shared" si="37"/>
        <v>0.82384315975200995</v>
      </c>
      <c r="CN15" s="691">
        <f t="shared" si="38"/>
        <v>0.78004051727063894</v>
      </c>
      <c r="CO15" s="691">
        <f t="shared" si="39"/>
        <v>0.86520359453442242</v>
      </c>
      <c r="CP15" s="691">
        <f t="shared" si="40"/>
        <v>0.88752132663434224</v>
      </c>
      <c r="CQ15" s="691">
        <f t="shared" si="41"/>
        <v>0.88933952083955536</v>
      </c>
    </row>
    <row r="16" spans="1:95" ht="14">
      <c r="A16" s="13" t="s">
        <v>7</v>
      </c>
      <c r="B16" s="319">
        <v>122259782</v>
      </c>
      <c r="C16" s="319">
        <v>133285953</v>
      </c>
      <c r="D16" s="319">
        <v>137677363</v>
      </c>
      <c r="E16" s="319">
        <v>143685247</v>
      </c>
      <c r="F16" s="319">
        <v>148186342</v>
      </c>
      <c r="G16" s="319">
        <v>151954654</v>
      </c>
      <c r="H16" s="319">
        <v>154491678</v>
      </c>
      <c r="I16" s="319">
        <v>160905772</v>
      </c>
      <c r="J16" s="319">
        <v>161849010.53498963</v>
      </c>
      <c r="K16" s="319">
        <v>168904452.77739376</v>
      </c>
      <c r="L16" s="319">
        <v>174876958.38288593</v>
      </c>
      <c r="M16" s="319">
        <v>183453706.33716017</v>
      </c>
      <c r="N16" s="319">
        <v>186767635.98002672</v>
      </c>
      <c r="O16" s="319">
        <v>182661215.40002656</v>
      </c>
      <c r="P16" s="319">
        <v>183332343</v>
      </c>
      <c r="Q16" s="319">
        <v>186497336</v>
      </c>
      <c r="R16" s="319">
        <v>189263334</v>
      </c>
      <c r="S16" s="319">
        <v>196816228</v>
      </c>
      <c r="T16" s="340">
        <v>212745689</v>
      </c>
      <c r="U16" s="340">
        <v>218908552</v>
      </c>
      <c r="V16" s="666">
        <v>222919228</v>
      </c>
      <c r="W16" s="667">
        <v>226122122</v>
      </c>
      <c r="X16" s="290"/>
      <c r="Y16" s="13" t="s">
        <v>7</v>
      </c>
      <c r="Z16" s="319">
        <f>B16/'Population &amp; Income'!B15</f>
        <v>7676.2593080931747</v>
      </c>
      <c r="AA16" s="319">
        <f>C16/'Population &amp; Income'!C15</f>
        <v>8323.609130081808</v>
      </c>
      <c r="AB16" s="319">
        <f>D16/'Population &amp; Income'!D15</f>
        <v>8535.4843769373838</v>
      </c>
      <c r="AC16" s="319">
        <f>E16/'Population &amp; Income'!E15</f>
        <v>8757.5575668921811</v>
      </c>
      <c r="AD16" s="319">
        <f>F16/'Population &amp; Income'!F15</f>
        <v>8873.4336526946099</v>
      </c>
      <c r="AE16" s="319">
        <f>G16/'Population &amp; Income'!G15</f>
        <v>9044.3815249092313</v>
      </c>
      <c r="AF16" s="319">
        <f>H16/'Population &amp; Income'!H15</f>
        <v>9082.937150920101</v>
      </c>
      <c r="AG16" s="319">
        <f>I16/'Population &amp; Income'!I15</f>
        <v>9404.7444035303051</v>
      </c>
      <c r="AH16" s="319">
        <f>J16/'Population &amp; Income'!J15</f>
        <v>9471.5010846787009</v>
      </c>
      <c r="AI16" s="319">
        <f>K16/'Population &amp; Income'!K15</f>
        <v>9867.643440871283</v>
      </c>
      <c r="AJ16" s="319">
        <f>L16/'Population &amp; Income'!L15</f>
        <v>10171.404547367296</v>
      </c>
      <c r="AK16" s="319">
        <f>M16/'Population &amp; Income'!M15</f>
        <v>10672.738747871323</v>
      </c>
      <c r="AL16" s="319">
        <f>N16/'Population &amp; Income'!N15</f>
        <v>10862.372686985385</v>
      </c>
      <c r="AM16" s="319">
        <f>O16/'Population &amp; Income'!O15</f>
        <v>10717.039157476329</v>
      </c>
      <c r="AN16" s="319">
        <f>P16/'Population &amp; Income'!P15</f>
        <v>10752.63008797654</v>
      </c>
      <c r="AO16" s="319">
        <f>Q16/'Population &amp; Income'!Q15</f>
        <v>10959.472057354411</v>
      </c>
      <c r="AP16" s="319">
        <f>R16/'Population &amp; Income'!R15</f>
        <v>11327.029385361182</v>
      </c>
      <c r="AQ16" s="319">
        <f>S16/'Population &amp; Income'!S15</f>
        <v>11892.219214501511</v>
      </c>
      <c r="AR16" s="319">
        <f>T16/'Population &amp; Income'!T15</f>
        <v>12853.947737296839</v>
      </c>
      <c r="AS16" s="319">
        <f>U16/'Population &amp; Income'!U15</f>
        <v>13339.948324192566</v>
      </c>
      <c r="AT16" s="319">
        <f>V16/'Population &amp; Income'!V15</f>
        <v>13578.560516537735</v>
      </c>
      <c r="AU16" s="319">
        <f>W16/'Population &amp; Income'!W15</f>
        <v>13843.646504224318</v>
      </c>
      <c r="AV16" s="690"/>
      <c r="AW16" s="690"/>
      <c r="AX16" s="13" t="s">
        <v>7</v>
      </c>
      <c r="AY16" s="40">
        <f t="shared" si="0"/>
        <v>9.0186411423504753E-2</v>
      </c>
      <c r="AZ16" s="40">
        <f t="shared" si="1"/>
        <v>3.2947282899346488E-2</v>
      </c>
      <c r="BA16" s="40">
        <f t="shared" si="2"/>
        <v>4.3637413363299238E-2</v>
      </c>
      <c r="BB16" s="40">
        <f t="shared" si="3"/>
        <v>3.1326076225487505E-2</v>
      </c>
      <c r="BC16" s="40">
        <f t="shared" si="4"/>
        <v>2.5429550045847005E-2</v>
      </c>
      <c r="BD16" s="40">
        <f t="shared" si="5"/>
        <v>1.6695928247120354E-2</v>
      </c>
      <c r="BE16" s="40">
        <f t="shared" si="6"/>
        <v>4.1517407817914957E-2</v>
      </c>
      <c r="BF16" s="40">
        <f t="shared" si="7"/>
        <v>5.8620553089271726E-3</v>
      </c>
      <c r="BG16" s="40">
        <f t="shared" si="8"/>
        <v>4.3592742514041133E-2</v>
      </c>
      <c r="BH16" s="40">
        <f t="shared" si="9"/>
        <v>3.5360261421666539E-2</v>
      </c>
      <c r="BI16" s="40">
        <f t="shared" si="10"/>
        <v>4.904447123042819E-2</v>
      </c>
      <c r="BJ16" s="40">
        <f t="shared" si="11"/>
        <v>1.8064119330334218E-2</v>
      </c>
      <c r="BK16" s="40">
        <f t="shared" si="12"/>
        <v>-2.1986788869776723E-2</v>
      </c>
      <c r="BL16" s="40">
        <f t="shared" si="13"/>
        <v>3.6741658512655585E-3</v>
      </c>
      <c r="BM16" s="40">
        <f t="shared" si="14"/>
        <v>1.7263691437140471E-2</v>
      </c>
      <c r="BN16" s="40">
        <f t="shared" si="15"/>
        <v>1.4831300324847536E-2</v>
      </c>
      <c r="BO16" s="40">
        <f t="shared" si="16"/>
        <v>3.9906799908745134E-2</v>
      </c>
      <c r="BP16" s="691">
        <f t="shared" si="17"/>
        <v>8.0935709224139785E-2</v>
      </c>
      <c r="BQ16" s="691">
        <f t="shared" si="18"/>
        <v>2.8968215661469877E-2</v>
      </c>
      <c r="BR16" s="691">
        <f t="shared" si="19"/>
        <v>1.8321239455277197E-2</v>
      </c>
      <c r="BS16" s="691">
        <f t="shared" si="20"/>
        <v>1.4367957527647638E-2</v>
      </c>
      <c r="BT16" s="40"/>
      <c r="BU16" s="3"/>
      <c r="BV16" s="13" t="s">
        <v>7</v>
      </c>
      <c r="BW16" s="40">
        <f t="shared" si="21"/>
        <v>9.0186411423504753E-2</v>
      </c>
      <c r="BX16" s="40">
        <f t="shared" si="22"/>
        <v>0.12610509153369831</v>
      </c>
      <c r="BY16" s="40">
        <f t="shared" si="23"/>
        <v>0.17524540490347021</v>
      </c>
      <c r="BZ16" s="40">
        <f t="shared" si="24"/>
        <v>0.21206123204113025</v>
      </c>
      <c r="CA16" s="40">
        <f t="shared" si="25"/>
        <v>0.24288340379995116</v>
      </c>
      <c r="CB16" s="40">
        <f t="shared" si="26"/>
        <v>0.26363449592933186</v>
      </c>
      <c r="CC16" s="40">
        <f t="shared" si="27"/>
        <v>0.31609732462961532</v>
      </c>
      <c r="CD16" s="40">
        <f t="shared" si="28"/>
        <v>0.3238123599385252</v>
      </c>
      <c r="CE16" s="40">
        <f t="shared" si="29"/>
        <v>0.38152097128223045</v>
      </c>
      <c r="CF16" s="40">
        <f t="shared" si="30"/>
        <v>0.43037191398628483</v>
      </c>
      <c r="CG16" s="40">
        <f t="shared" si="31"/>
        <v>0.50052374817059764</v>
      </c>
      <c r="CH16" s="40">
        <f t="shared" si="32"/>
        <v>0.52762938821555172</v>
      </c>
      <c r="CI16" s="40">
        <f t="shared" si="33"/>
        <v>0.49404172338559021</v>
      </c>
      <c r="CJ16" s="40">
        <f t="shared" si="34"/>
        <v>0.49953108046601946</v>
      </c>
      <c r="CK16" s="40">
        <f t="shared" si="35"/>
        <v>0.52541852233958675</v>
      </c>
      <c r="CL16" s="113">
        <f t="shared" si="36"/>
        <v>0.54804246256549027</v>
      </c>
      <c r="CM16" s="113">
        <f t="shared" si="37"/>
        <v>0.60981988336933235</v>
      </c>
      <c r="CN16" s="691">
        <f t="shared" si="38"/>
        <v>0.7401117973529513</v>
      </c>
      <c r="CO16" s="691">
        <f t="shared" si="39"/>
        <v>0.79051973117373953</v>
      </c>
      <c r="CP16" s="691">
        <f t="shared" si="40"/>
        <v>0.82332427191797219</v>
      </c>
      <c r="CQ16" s="691">
        <f t="shared" si="41"/>
        <v>0.84952171761601869</v>
      </c>
    </row>
    <row r="17" spans="1:95" ht="14">
      <c r="A17" s="13" t="s">
        <v>8</v>
      </c>
      <c r="B17" s="319">
        <v>113182624</v>
      </c>
      <c r="C17" s="319">
        <v>133179294</v>
      </c>
      <c r="D17" s="319">
        <v>137586079</v>
      </c>
      <c r="E17" s="319">
        <v>144343772</v>
      </c>
      <c r="F17" s="319">
        <v>152194141</v>
      </c>
      <c r="G17" s="319">
        <v>161537185</v>
      </c>
      <c r="H17" s="319">
        <v>163789694</v>
      </c>
      <c r="I17" s="319">
        <v>168030865</v>
      </c>
      <c r="J17" s="319">
        <v>173697243.27773649</v>
      </c>
      <c r="K17" s="319">
        <v>188732064.35410857</v>
      </c>
      <c r="L17" s="319">
        <v>197104824.00333896</v>
      </c>
      <c r="M17" s="319">
        <v>218326141.54033232</v>
      </c>
      <c r="N17" s="319">
        <v>223869222.35923901</v>
      </c>
      <c r="O17" s="319">
        <v>222908547.27004865</v>
      </c>
      <c r="P17" s="319">
        <v>226797448</v>
      </c>
      <c r="Q17" s="319">
        <v>232045311</v>
      </c>
      <c r="R17" s="319">
        <v>242071346</v>
      </c>
      <c r="S17" s="319">
        <v>243411591</v>
      </c>
      <c r="T17" s="340">
        <v>247067804</v>
      </c>
      <c r="U17" s="340">
        <v>252116923</v>
      </c>
      <c r="V17" s="666">
        <v>255751816</v>
      </c>
      <c r="W17" s="667">
        <v>260625391</v>
      </c>
      <c r="X17" s="290"/>
      <c r="Y17" s="13" t="s">
        <v>8</v>
      </c>
      <c r="Z17" s="319">
        <f>B17/'Population &amp; Income'!B16</f>
        <v>7111.2480522744409</v>
      </c>
      <c r="AA17" s="319">
        <f>C17/'Population &amp; Income'!C16</f>
        <v>8185.0712310245226</v>
      </c>
      <c r="AB17" s="319">
        <f>D17/'Population &amp; Income'!D16</f>
        <v>8302.8229436968195</v>
      </c>
      <c r="AC17" s="319">
        <f>E17/'Population &amp; Income'!E16</f>
        <v>8516.359195232757</v>
      </c>
      <c r="AD17" s="319">
        <f>F17/'Population &amp; Income'!F16</f>
        <v>8847.4677944425075</v>
      </c>
      <c r="AE17" s="319">
        <f>G17/'Population &amp; Income'!G16</f>
        <v>9284.2798436691755</v>
      </c>
      <c r="AF17" s="319">
        <f>H17/'Population &amp; Income'!H16</f>
        <v>9312.5821014327958</v>
      </c>
      <c r="AG17" s="319">
        <f>I17/'Population &amp; Income'!I16</f>
        <v>9337.122971771505</v>
      </c>
      <c r="AH17" s="319">
        <f>J17/'Population &amp; Income'!J16</f>
        <v>9473.0171944664307</v>
      </c>
      <c r="AI17" s="319">
        <f>K17/'Population &amp; Income'!K16</f>
        <v>10099.104471003242</v>
      </c>
      <c r="AJ17" s="319">
        <f>L17/'Population &amp; Income'!L16</f>
        <v>10512.817963802814</v>
      </c>
      <c r="AK17" s="319">
        <f>M17/'Population &amp; Income'!M16</f>
        <v>11475.749883854523</v>
      </c>
      <c r="AL17" s="319">
        <f>N17/'Population &amp; Income'!N16</f>
        <v>11754.133275188438</v>
      </c>
      <c r="AM17" s="319">
        <f>O17/'Population &amp; Income'!O16</f>
        <v>11734.499224576155</v>
      </c>
      <c r="AN17" s="319">
        <f>P17/'Population &amp; Income'!P16</f>
        <v>11869.240527527738</v>
      </c>
      <c r="AO17" s="319">
        <f>Q17/'Population &amp; Income'!Q16</f>
        <v>12216.769032325998</v>
      </c>
      <c r="AP17" s="319">
        <f>R17/'Population &amp; Income'!R16</f>
        <v>12766.129416728194</v>
      </c>
      <c r="AQ17" s="319">
        <f>S17/'Population &amp; Income'!S16</f>
        <v>12857.151436720897</v>
      </c>
      <c r="AR17" s="319">
        <f>T17/'Population &amp; Income'!T16</f>
        <v>13146.100031925082</v>
      </c>
      <c r="AS17" s="319">
        <f>U17/'Population &amp; Income'!U16</f>
        <v>13491.567560336063</v>
      </c>
      <c r="AT17" s="319">
        <f>V17/'Population &amp; Income'!V16</f>
        <v>13575.657731302086</v>
      </c>
      <c r="AU17" s="319">
        <f>W17/'Population &amp; Income'!W16</f>
        <v>13663.908514207822</v>
      </c>
      <c r="AV17" s="690"/>
      <c r="AW17" s="690"/>
      <c r="AX17" s="13" t="s">
        <v>8</v>
      </c>
      <c r="AY17" s="40">
        <f t="shared" si="0"/>
        <v>0.17667614774508145</v>
      </c>
      <c r="AZ17" s="40">
        <f t="shared" si="1"/>
        <v>3.3089115189332663E-2</v>
      </c>
      <c r="BA17" s="40">
        <f t="shared" si="2"/>
        <v>4.9116110068083266E-2</v>
      </c>
      <c r="BB17" s="40">
        <f t="shared" si="3"/>
        <v>5.4386613923321885E-2</v>
      </c>
      <c r="BC17" s="40">
        <f t="shared" si="4"/>
        <v>6.138898605827408E-2</v>
      </c>
      <c r="BD17" s="40">
        <f t="shared" si="5"/>
        <v>1.3944213525820696E-2</v>
      </c>
      <c r="BE17" s="40">
        <f t="shared" si="6"/>
        <v>2.5894004051317171E-2</v>
      </c>
      <c r="BF17" s="40">
        <f t="shared" si="7"/>
        <v>3.3722246670196486E-2</v>
      </c>
      <c r="BG17" s="40">
        <f t="shared" si="8"/>
        <v>8.6557626319560391E-2</v>
      </c>
      <c r="BH17" s="40">
        <f t="shared" si="9"/>
        <v>4.4363207056968335E-2</v>
      </c>
      <c r="BI17" s="40">
        <f t="shared" si="10"/>
        <v>0.10766513526139708</v>
      </c>
      <c r="BJ17" s="40">
        <f t="shared" si="11"/>
        <v>2.5388992723451295E-2</v>
      </c>
      <c r="BK17" s="40">
        <f t="shared" si="12"/>
        <v>-4.2912334222021172E-3</v>
      </c>
      <c r="BL17" s="40">
        <f t="shared" si="13"/>
        <v>1.7446171434781443E-2</v>
      </c>
      <c r="BM17" s="40">
        <f t="shared" si="14"/>
        <v>2.313898611416474E-2</v>
      </c>
      <c r="BN17" s="40">
        <f t="shared" si="15"/>
        <v>4.3207229470799351E-2</v>
      </c>
      <c r="BO17" s="40">
        <f t="shared" si="16"/>
        <v>5.5365701977796245E-3</v>
      </c>
      <c r="BP17" s="691">
        <f t="shared" si="17"/>
        <v>1.5020702116030292E-2</v>
      </c>
      <c r="BQ17" s="691">
        <f t="shared" si="18"/>
        <v>2.0436167393142007E-2</v>
      </c>
      <c r="BR17" s="691">
        <f t="shared" si="19"/>
        <v>1.4417489142527731E-2</v>
      </c>
      <c r="BS17" s="691">
        <f t="shared" si="20"/>
        <v>1.9055876420443481E-2</v>
      </c>
      <c r="BT17" s="40"/>
      <c r="BU17" s="3"/>
      <c r="BV17" s="13" t="s">
        <v>8</v>
      </c>
      <c r="BW17" s="40">
        <f t="shared" si="21"/>
        <v>0.17667614774508145</v>
      </c>
      <c r="BX17" s="40">
        <f t="shared" si="22"/>
        <v>0.21561132033835864</v>
      </c>
      <c r="BY17" s="40">
        <f t="shared" si="23"/>
        <v>0.27531741974810553</v>
      </c>
      <c r="BZ17" s="40">
        <f t="shared" si="24"/>
        <v>0.34467761588563278</v>
      </c>
      <c r="CA17" s="40">
        <f t="shared" si="25"/>
        <v>0.42722601130010912</v>
      </c>
      <c r="CB17" s="40">
        <f t="shared" si="26"/>
        <v>0.4471275555512832</v>
      </c>
      <c r="CC17" s="40">
        <f t="shared" si="27"/>
        <v>0.48459948233750083</v>
      </c>
      <c r="CD17" s="40">
        <f t="shared" si="28"/>
        <v>0.53466351228733211</v>
      </c>
      <c r="CE17" s="40">
        <f t="shared" si="29"/>
        <v>0.66750034311016304</v>
      </c>
      <c r="CF17" s="40">
        <f t="shared" si="30"/>
        <v>0.7414760060991249</v>
      </c>
      <c r="CG17" s="40">
        <f t="shared" si="31"/>
        <v>0.92897225585026477</v>
      </c>
      <c r="CH17" s="40">
        <f t="shared" si="32"/>
        <v>0.97794691841778658</v>
      </c>
      <c r="CI17" s="40">
        <f t="shared" si="33"/>
        <v>0.96945908649413048</v>
      </c>
      <c r="CJ17" s="40">
        <f t="shared" si="34"/>
        <v>1.0038186073508952</v>
      </c>
      <c r="CK17" s="40">
        <f t="shared" si="35"/>
        <v>1.0501849382816923</v>
      </c>
      <c r="CL17" s="113">
        <f t="shared" si="36"/>
        <v>1.1387677493676061</v>
      </c>
      <c r="CM17" s="113">
        <f t="shared" si="37"/>
        <v>1.150609187148727</v>
      </c>
      <c r="CN17" s="691">
        <f t="shared" si="38"/>
        <v>1.1829128471168862</v>
      </c>
      <c r="CO17" s="691">
        <f t="shared" si="39"/>
        <v>1.227523219465207</v>
      </c>
      <c r="CP17" s="691">
        <f t="shared" si="40"/>
        <v>1.2596385112965749</v>
      </c>
      <c r="CQ17" s="691">
        <f t="shared" si="41"/>
        <v>1.3026979035227173</v>
      </c>
    </row>
    <row r="18" spans="1:95" ht="14">
      <c r="A18" s="13" t="s">
        <v>9</v>
      </c>
      <c r="B18" s="319">
        <v>63000390</v>
      </c>
      <c r="C18" s="319">
        <v>73685016</v>
      </c>
      <c r="D18" s="319">
        <v>75332162</v>
      </c>
      <c r="E18" s="319">
        <v>78751438</v>
      </c>
      <c r="F18" s="319">
        <v>83373278</v>
      </c>
      <c r="G18" s="319">
        <v>88079901</v>
      </c>
      <c r="H18" s="319">
        <v>89974929</v>
      </c>
      <c r="I18" s="319">
        <v>95944303</v>
      </c>
      <c r="J18" s="319">
        <v>97346191.627981886</v>
      </c>
      <c r="K18" s="319">
        <v>100565436.47539529</v>
      </c>
      <c r="L18" s="319">
        <v>103377486.02063678</v>
      </c>
      <c r="M18" s="319">
        <v>109540479.2031185</v>
      </c>
      <c r="N18" s="319">
        <v>108322752.79696156</v>
      </c>
      <c r="O18" s="319">
        <v>108934964.55618444</v>
      </c>
      <c r="P18" s="319">
        <v>110269235</v>
      </c>
      <c r="Q18" s="319">
        <v>113915542</v>
      </c>
      <c r="R18" s="319">
        <v>118413473</v>
      </c>
      <c r="S18" s="319">
        <v>122039918</v>
      </c>
      <c r="T18" s="340">
        <v>121900307</v>
      </c>
      <c r="U18" s="340">
        <v>124878878</v>
      </c>
      <c r="V18" s="666">
        <v>128315648</v>
      </c>
      <c r="W18" s="667">
        <v>137169709</v>
      </c>
      <c r="X18" s="290"/>
      <c r="Y18" s="13" t="s">
        <v>9</v>
      </c>
      <c r="Z18" s="319">
        <f>B18/'Population &amp; Income'!B17</f>
        <v>5516.6716287215413</v>
      </c>
      <c r="AA18" s="319">
        <f>C18/'Population &amp; Income'!C17</f>
        <v>6400.1577347346474</v>
      </c>
      <c r="AB18" s="319">
        <f>D18/'Population &amp; Income'!D17</f>
        <v>6484.6485323233192</v>
      </c>
      <c r="AC18" s="319">
        <f>E18/'Population &amp; Income'!E17</f>
        <v>6622.7767218905055</v>
      </c>
      <c r="AD18" s="319">
        <f>F18/'Population &amp; Income'!F17</f>
        <v>6920.6672200547855</v>
      </c>
      <c r="AE18" s="319">
        <f>G18/'Population &amp; Income'!G17</f>
        <v>7164.4624206930212</v>
      </c>
      <c r="AF18" s="319">
        <f>H18/'Population &amp; Income'!H17</f>
        <v>7275.404625212258</v>
      </c>
      <c r="AG18" s="319">
        <f>I18/'Population &amp; Income'!I17</f>
        <v>7737.4437903225808</v>
      </c>
      <c r="AH18" s="319">
        <f>J18/'Population &amp; Income'!J17</f>
        <v>7833.4426352282844</v>
      </c>
      <c r="AI18" s="319">
        <f>K18/'Population &amp; Income'!K17</f>
        <v>8067.1776412157305</v>
      </c>
      <c r="AJ18" s="319">
        <f>L18/'Population &amp; Income'!L17</f>
        <v>8272.8461924325202</v>
      </c>
      <c r="AK18" s="319">
        <f>M18/'Population &amp; Income'!M17</f>
        <v>8725.5439862289713</v>
      </c>
      <c r="AL18" s="319">
        <f>N18/'Population &amp; Income'!N17</f>
        <v>8715.3232598730028</v>
      </c>
      <c r="AM18" s="319">
        <f>O18/'Population &amp; Income'!O17</f>
        <v>8776.5843180941374</v>
      </c>
      <c r="AN18" s="319">
        <f>P18/'Population &amp; Income'!P17</f>
        <v>8936.6427587324742</v>
      </c>
      <c r="AO18" s="319">
        <f>Q18/'Population &amp; Income'!Q17</f>
        <v>9199.349269159331</v>
      </c>
      <c r="AP18" s="319">
        <f>R18/'Population &amp; Income'!R17</f>
        <v>9563.3559198837029</v>
      </c>
      <c r="AQ18" s="319">
        <f>S18/'Population &amp; Income'!S17</f>
        <v>9771.0102481985596</v>
      </c>
      <c r="AR18" s="319">
        <f>T18/'Population &amp; Income'!T17</f>
        <v>9856.1050291073734</v>
      </c>
      <c r="AS18" s="319">
        <f>U18/'Population &amp; Income'!U17</f>
        <v>10268.800098676096</v>
      </c>
      <c r="AT18" s="319">
        <f>V18/'Population &amp; Income'!V17</f>
        <v>10646.83438433455</v>
      </c>
      <c r="AU18" s="319">
        <f>W18/'Population &amp; Income'!W17</f>
        <v>11146.571509832602</v>
      </c>
      <c r="AV18" s="690"/>
      <c r="AW18" s="690"/>
      <c r="AX18" s="13" t="s">
        <v>9</v>
      </c>
      <c r="AY18" s="40">
        <f t="shared" si="0"/>
        <v>0.16959618821407296</v>
      </c>
      <c r="AZ18" s="40">
        <f t="shared" si="1"/>
        <v>2.235387992587258E-2</v>
      </c>
      <c r="BA18" s="40">
        <f t="shared" si="2"/>
        <v>4.5389325212782293E-2</v>
      </c>
      <c r="BB18" s="40">
        <f t="shared" si="3"/>
        <v>5.868896006698951E-2</v>
      </c>
      <c r="BC18" s="40">
        <f t="shared" si="4"/>
        <v>5.6452416324568648E-2</v>
      </c>
      <c r="BD18" s="40">
        <f t="shared" si="5"/>
        <v>2.1514874318489526E-2</v>
      </c>
      <c r="BE18" s="40">
        <f t="shared" si="6"/>
        <v>6.6344859244067869E-2</v>
      </c>
      <c r="BF18" s="40">
        <f t="shared" si="7"/>
        <v>1.4611483789526161E-2</v>
      </c>
      <c r="BG18" s="40">
        <f t="shared" si="8"/>
        <v>3.3070064617587394E-2</v>
      </c>
      <c r="BH18" s="40">
        <f t="shared" si="9"/>
        <v>2.7962385923015372E-2</v>
      </c>
      <c r="BI18" s="40">
        <f t="shared" si="10"/>
        <v>5.9616396371366877E-2</v>
      </c>
      <c r="BJ18" s="40">
        <f t="shared" si="11"/>
        <v>-1.1116679560064175E-2</v>
      </c>
      <c r="BK18" s="40">
        <f t="shared" si="12"/>
        <v>5.6517374551069612E-3</v>
      </c>
      <c r="BL18" s="40">
        <f t="shared" si="13"/>
        <v>1.2248321273629221E-2</v>
      </c>
      <c r="BM18" s="40">
        <f t="shared" si="14"/>
        <v>3.3067310206695455E-2</v>
      </c>
      <c r="BN18" s="40">
        <f t="shared" si="15"/>
        <v>3.9484787773735035E-2</v>
      </c>
      <c r="BO18" s="40">
        <f t="shared" si="16"/>
        <v>3.0625273527785137E-2</v>
      </c>
      <c r="BP18" s="691">
        <f t="shared" si="17"/>
        <v>-1.1439781531154421E-3</v>
      </c>
      <c r="BQ18" s="691">
        <f t="shared" si="18"/>
        <v>2.443448317156412E-2</v>
      </c>
      <c r="BR18" s="691">
        <f t="shared" si="19"/>
        <v>2.7520827020883386E-2</v>
      </c>
      <c r="BS18" s="691">
        <f t="shared" si="20"/>
        <v>6.9002192156641717E-2</v>
      </c>
      <c r="BT18" s="40"/>
      <c r="BU18" s="3"/>
      <c r="BV18" s="13" t="s">
        <v>9</v>
      </c>
      <c r="BW18" s="40">
        <f t="shared" si="21"/>
        <v>0.16959618821407296</v>
      </c>
      <c r="BX18" s="40">
        <f t="shared" si="22"/>
        <v>0.19574120096716863</v>
      </c>
      <c r="BY18" s="40">
        <f t="shared" si="23"/>
        <v>0.25001508720819032</v>
      </c>
      <c r="BZ18" s="40">
        <f t="shared" si="24"/>
        <v>0.32337717274448619</v>
      </c>
      <c r="CA18" s="40">
        <f t="shared" si="25"/>
        <v>0.39808501185468853</v>
      </c>
      <c r="CB18" s="40">
        <f t="shared" si="26"/>
        <v>0.4281646351713061</v>
      </c>
      <c r="CC18" s="40">
        <f t="shared" si="27"/>
        <v>0.52291601686910194</v>
      </c>
      <c r="CD18" s="40">
        <f t="shared" si="28"/>
        <v>0.54516807956239455</v>
      </c>
      <c r="CE18" s="40">
        <f t="shared" si="29"/>
        <v>0.59626688779855641</v>
      </c>
      <c r="CF18" s="40">
        <f t="shared" si="30"/>
        <v>0.6409023185513103</v>
      </c>
      <c r="CG18" s="40">
        <f t="shared" si="31"/>
        <v>0.7387270015807601</v>
      </c>
      <c r="CH18" s="40">
        <f t="shared" si="32"/>
        <v>0.71939813066175562</v>
      </c>
      <c r="CI18" s="40">
        <f t="shared" si="33"/>
        <v>0.7291157174770575</v>
      </c>
      <c r="CJ18" s="40">
        <f t="shared" si="34"/>
        <v>0.75029448230399842</v>
      </c>
      <c r="CK18" s="40">
        <f t="shared" si="35"/>
        <v>0.80817201290341223</v>
      </c>
      <c r="CL18" s="113">
        <f t="shared" si="36"/>
        <v>0.87956730109131065</v>
      </c>
      <c r="CM18" s="113">
        <f t="shared" si="37"/>
        <v>0.93712956380111301</v>
      </c>
      <c r="CN18" s="691">
        <f t="shared" si="38"/>
        <v>0.93491352990037047</v>
      </c>
      <c r="CO18" s="691">
        <f t="shared" si="39"/>
        <v>0.98219214198515281</v>
      </c>
      <c r="CP18" s="691">
        <f t="shared" si="40"/>
        <v>1.0367437090468805</v>
      </c>
      <c r="CQ18" s="691">
        <f t="shared" si="41"/>
        <v>1.1772834898323645</v>
      </c>
    </row>
    <row r="19" spans="1:95" ht="14">
      <c r="A19" s="13" t="s">
        <v>10</v>
      </c>
      <c r="B19" s="319">
        <v>277196151</v>
      </c>
      <c r="C19" s="319">
        <v>294329064</v>
      </c>
      <c r="D19" s="319">
        <v>310077631</v>
      </c>
      <c r="E19" s="319">
        <v>311396075</v>
      </c>
      <c r="F19" s="319">
        <v>328267689</v>
      </c>
      <c r="G19" s="319">
        <v>349107066</v>
      </c>
      <c r="H19" s="319">
        <v>364161814</v>
      </c>
      <c r="I19" s="319">
        <v>385292101</v>
      </c>
      <c r="J19" s="319">
        <v>415116538.07366866</v>
      </c>
      <c r="K19" s="319">
        <v>468585985.35745811</v>
      </c>
      <c r="L19" s="319">
        <v>473589773.88929844</v>
      </c>
      <c r="M19" s="319">
        <v>495368773.43147337</v>
      </c>
      <c r="N19" s="319">
        <v>500859503.27959234</v>
      </c>
      <c r="O19" s="319">
        <v>491731804.16892809</v>
      </c>
      <c r="P19" s="319">
        <v>517036586</v>
      </c>
      <c r="Q19" s="319">
        <v>532784955</v>
      </c>
      <c r="R19" s="319">
        <v>544636396</v>
      </c>
      <c r="S19" s="319">
        <v>534283893</v>
      </c>
      <c r="T19" s="340">
        <v>544049869</v>
      </c>
      <c r="U19" s="340">
        <v>583784431</v>
      </c>
      <c r="V19" s="666">
        <v>601226750</v>
      </c>
      <c r="W19" s="667">
        <v>608279352</v>
      </c>
      <c r="X19" s="290"/>
      <c r="Y19" s="13" t="s">
        <v>10</v>
      </c>
      <c r="Z19" s="319">
        <f>B19/'Population &amp; Income'!B18</f>
        <v>6816.4105395170409</v>
      </c>
      <c r="AA19" s="319">
        <f>C19/'Population &amp; Income'!C18</f>
        <v>7219.0788550685538</v>
      </c>
      <c r="AB19" s="319">
        <f>D19/'Population &amp; Income'!D18</f>
        <v>7576.9140602091684</v>
      </c>
      <c r="AC19" s="319">
        <f>E19/'Population &amp; Income'!E18</f>
        <v>7605.2283551105138</v>
      </c>
      <c r="AD19" s="319">
        <f>F19/'Population &amp; Income'!F18</f>
        <v>8040.6527457992452</v>
      </c>
      <c r="AE19" s="319">
        <f>G19/'Population &amp; Income'!G18</f>
        <v>8548.7931532678704</v>
      </c>
      <c r="AF19" s="319">
        <f>H19/'Population &amp; Income'!H18</f>
        <v>8867.2887406253049</v>
      </c>
      <c r="AG19" s="319">
        <f>I19/'Population &amp; Income'!I18</f>
        <v>9367.4382096229128</v>
      </c>
      <c r="AH19" s="319">
        <f>J19/'Population &amp; Income'!J18</f>
        <v>10008.596250209004</v>
      </c>
      <c r="AI19" s="319">
        <f>K19/'Population &amp; Income'!K18</f>
        <v>11158.137524882917</v>
      </c>
      <c r="AJ19" s="319">
        <f>L19/'Population &amp; Income'!L18</f>
        <v>11210.286746420927</v>
      </c>
      <c r="AK19" s="319">
        <f>M19/'Population &amp; Income'!M18</f>
        <v>11763.964317164344</v>
      </c>
      <c r="AL19" s="319">
        <f>N19/'Population &amp; Income'!N18</f>
        <v>11826.391425930729</v>
      </c>
      <c r="AM19" s="319">
        <f>O19/'Population &amp; Income'!O18</f>
        <v>11520.553948150975</v>
      </c>
      <c r="AN19" s="319">
        <f>P19/'Population &amp; Income'!P18</f>
        <v>12074.651704810836</v>
      </c>
      <c r="AO19" s="319">
        <f>Q19/'Population &amp; Income'!Q18</f>
        <v>12374.519916386018</v>
      </c>
      <c r="AP19" s="319">
        <f>R19/'Population &amp; Income'!R18</f>
        <v>12650.370380693565</v>
      </c>
      <c r="AQ19" s="319">
        <f>S19/'Population &amp; Income'!S18</f>
        <v>12401.269479841236</v>
      </c>
      <c r="AR19" s="319">
        <f>T19/'Population &amp; Income'!T18</f>
        <v>12692.170045491659</v>
      </c>
      <c r="AS19" s="319">
        <f>U19/'Population &amp; Income'!U18</f>
        <v>13621.046477985954</v>
      </c>
      <c r="AT19" s="319">
        <f>V19/'Population &amp; Income'!V18</f>
        <v>14067.403308453637</v>
      </c>
      <c r="AU19" s="319">
        <f>W19/'Population &amp; Income'!W18</f>
        <v>14256.770074532415</v>
      </c>
      <c r="AV19" s="690"/>
      <c r="AW19" s="690"/>
      <c r="AX19" s="13" t="s">
        <v>10</v>
      </c>
      <c r="AY19" s="40">
        <f t="shared" si="0"/>
        <v>6.1807903674679809E-2</v>
      </c>
      <c r="AZ19" s="40">
        <f t="shared" si="1"/>
        <v>5.350666626657026E-2</v>
      </c>
      <c r="BA19" s="40">
        <f t="shared" si="2"/>
        <v>4.2519803693933664E-3</v>
      </c>
      <c r="BB19" s="40">
        <f t="shared" si="3"/>
        <v>5.4180560882149849E-2</v>
      </c>
      <c r="BC19" s="40">
        <f t="shared" si="4"/>
        <v>6.3482876013423298E-2</v>
      </c>
      <c r="BD19" s="40">
        <f t="shared" si="5"/>
        <v>4.3123584327565571E-2</v>
      </c>
      <c r="BE19" s="40">
        <f t="shared" si="6"/>
        <v>5.8024444594841566E-2</v>
      </c>
      <c r="BF19" s="40">
        <f t="shared" si="7"/>
        <v>7.7407341069960472E-2</v>
      </c>
      <c r="BG19" s="40">
        <f t="shared" si="8"/>
        <v>0.12880587107396935</v>
      </c>
      <c r="BH19" s="40">
        <f t="shared" si="9"/>
        <v>1.0678485247532987E-2</v>
      </c>
      <c r="BI19" s="40">
        <f t="shared" si="10"/>
        <v>4.5987056188560721E-2</v>
      </c>
      <c r="BJ19" s="40">
        <f t="shared" si="11"/>
        <v>1.1084125892885977E-2</v>
      </c>
      <c r="BK19" s="40">
        <f t="shared" si="12"/>
        <v>-1.8224070923875308E-2</v>
      </c>
      <c r="BL19" s="40">
        <f t="shared" si="13"/>
        <v>5.1460535227814519E-2</v>
      </c>
      <c r="BM19" s="40">
        <f t="shared" si="14"/>
        <v>3.0458906441874115E-2</v>
      </c>
      <c r="BN19" s="40">
        <f t="shared" si="15"/>
        <v>2.224432369716596E-2</v>
      </c>
      <c r="BO19" s="40">
        <f t="shared" si="16"/>
        <v>-1.9008099855302361E-2</v>
      </c>
      <c r="BP19" s="691">
        <f t="shared" si="17"/>
        <v>1.8278627014496205E-2</v>
      </c>
      <c r="BQ19" s="691">
        <f t="shared" si="18"/>
        <v>7.3034779096693425E-2</v>
      </c>
      <c r="BR19" s="691">
        <f t="shared" si="19"/>
        <v>2.9878013310704409E-2</v>
      </c>
      <c r="BS19" s="691">
        <f t="shared" si="20"/>
        <v>1.1730352982464602E-2</v>
      </c>
      <c r="BT19" s="40"/>
      <c r="BU19" s="3"/>
      <c r="BV19" s="13" t="s">
        <v>10</v>
      </c>
      <c r="BW19" s="40">
        <f t="shared" si="21"/>
        <v>6.1807903674679809E-2</v>
      </c>
      <c r="BX19" s="40">
        <f t="shared" si="22"/>
        <v>0.11862170481580749</v>
      </c>
      <c r="BY19" s="40">
        <f t="shared" si="23"/>
        <v>0.12337806234546164</v>
      </c>
      <c r="BZ19" s="40">
        <f t="shared" si="24"/>
        <v>0.18424331584604145</v>
      </c>
      <c r="CA19" s="40">
        <f t="shared" si="25"/>
        <v>0.25942248743562102</v>
      </c>
      <c r="CB19" s="40">
        <f t="shared" si="26"/>
        <v>0.31373329927658339</v>
      </c>
      <c r="CC19" s="40">
        <f t="shared" si="27"/>
        <v>0.38996194431285591</v>
      </c>
      <c r="CD19" s="40">
        <f t="shared" si="28"/>
        <v>0.49755520261054659</v>
      </c>
      <c r="CE19" s="40">
        <f t="shared" si="29"/>
        <v>0.69044910496415268</v>
      </c>
      <c r="CF19" s="40">
        <f t="shared" si="30"/>
        <v>0.70850054079321767</v>
      </c>
      <c r="CG19" s="40">
        <f t="shared" si="31"/>
        <v>0.7870694511608618</v>
      </c>
      <c r="CH19" s="40">
        <f t="shared" si="32"/>
        <v>0.80687755393685945</v>
      </c>
      <c r="CI19" s="40">
        <f t="shared" si="33"/>
        <v>0.77394888924315575</v>
      </c>
      <c r="CJ19" s="40">
        <f t="shared" si="34"/>
        <v>0.86523724855039563</v>
      </c>
      <c r="CK19" s="40">
        <f t="shared" si="35"/>
        <v>0.92205033539589087</v>
      </c>
      <c r="CL19" s="113">
        <f t="shared" si="36"/>
        <v>0.96480504521868338</v>
      </c>
      <c r="CM19" s="113">
        <f t="shared" si="37"/>
        <v>0.92745783472296484</v>
      </c>
      <c r="CN19" s="691">
        <f t="shared" si="38"/>
        <v>0.96268911757003439</v>
      </c>
      <c r="CO19" s="691">
        <f t="shared" si="39"/>
        <v>1.106033683707246</v>
      </c>
      <c r="CP19" s="691">
        <f t="shared" si="40"/>
        <v>1.168957786141843</v>
      </c>
      <c r="CQ19" s="691">
        <f t="shared" si="41"/>
        <v>1.1944004265773518</v>
      </c>
    </row>
    <row r="20" spans="1:95" ht="14">
      <c r="A20" s="13" t="s">
        <v>11</v>
      </c>
      <c r="B20" s="319">
        <v>54863407</v>
      </c>
      <c r="C20" s="319">
        <v>64868265</v>
      </c>
      <c r="D20" s="319">
        <v>68071348</v>
      </c>
      <c r="E20" s="319">
        <v>70752176</v>
      </c>
      <c r="F20" s="319">
        <v>73757320</v>
      </c>
      <c r="G20" s="319">
        <v>78199530</v>
      </c>
      <c r="H20" s="319">
        <v>79413397</v>
      </c>
      <c r="I20" s="319">
        <v>81663881</v>
      </c>
      <c r="J20" s="319">
        <v>83179387.734045893</v>
      </c>
      <c r="K20" s="319">
        <v>90719557.633167878</v>
      </c>
      <c r="L20" s="319">
        <v>94313724.223795012</v>
      </c>
      <c r="M20" s="319">
        <v>97018520.667584926</v>
      </c>
      <c r="N20" s="319">
        <v>111634655.37297046</v>
      </c>
      <c r="O20" s="319">
        <v>113903793.37789351</v>
      </c>
      <c r="P20" s="319">
        <v>130018292</v>
      </c>
      <c r="Q20" s="319">
        <v>126131709</v>
      </c>
      <c r="R20" s="319">
        <v>135132639</v>
      </c>
      <c r="S20" s="319">
        <v>138126751</v>
      </c>
      <c r="T20" s="340">
        <v>141166233</v>
      </c>
      <c r="U20" s="340">
        <v>142685192</v>
      </c>
      <c r="V20" s="666">
        <v>147516204</v>
      </c>
      <c r="W20" s="667">
        <v>152880979</v>
      </c>
      <c r="X20" s="290"/>
      <c r="Y20" s="13" t="s">
        <v>11</v>
      </c>
      <c r="Z20" s="319">
        <f>B20/'Population &amp; Income'!B19</f>
        <v>6380.2078148621931</v>
      </c>
      <c r="AA20" s="319">
        <f>C20/'Population &amp; Income'!C19</f>
        <v>7434.7581661891118</v>
      </c>
      <c r="AB20" s="319">
        <f>D20/'Population &amp; Income'!D19</f>
        <v>7725.7233004199297</v>
      </c>
      <c r="AC20" s="319">
        <f>E20/'Population &amp; Income'!E19</f>
        <v>7931.8582959641253</v>
      </c>
      <c r="AD20" s="319">
        <f>F20/'Population &amp; Income'!F19</f>
        <v>8218.0857938718655</v>
      </c>
      <c r="AE20" s="319">
        <f>G20/'Population &amp; Income'!G19</f>
        <v>8683.0479680213193</v>
      </c>
      <c r="AF20" s="319">
        <f>H20/'Population &amp; Income'!H19</f>
        <v>8783.6961619289905</v>
      </c>
      <c r="AG20" s="319">
        <f>I20/'Population &amp; Income'!I19</f>
        <v>8923.063920454546</v>
      </c>
      <c r="AH20" s="319">
        <f>J20/'Population &amp; Income'!J19</f>
        <v>9011.8513254654281</v>
      </c>
      <c r="AI20" s="319">
        <f>K20/'Population &amp; Income'!K19</f>
        <v>9783.1939645387556</v>
      </c>
      <c r="AJ20" s="319">
        <f>L20/'Population &amp; Income'!L19</f>
        <v>10094.586773391311</v>
      </c>
      <c r="AK20" s="319">
        <f>M20/'Population &amp; Income'!M19</f>
        <v>10326.612098731764</v>
      </c>
      <c r="AL20" s="319">
        <f>N20/'Population &amp; Income'!N19</f>
        <v>11928.053784909762</v>
      </c>
      <c r="AM20" s="319">
        <f>O20/'Population &amp; Income'!O19</f>
        <v>12162.711519262521</v>
      </c>
      <c r="AN20" s="319">
        <f>P20/'Population &amp; Income'!P19</f>
        <v>13780.4231054584</v>
      </c>
      <c r="AO20" s="319">
        <f>Q20/'Population &amp; Income'!Q19</f>
        <v>13701.032913317402</v>
      </c>
      <c r="AP20" s="319">
        <f>R20/'Population &amp; Income'!R19</f>
        <v>14776.669108802624</v>
      </c>
      <c r="AQ20" s="319">
        <f>S20/'Population &amp; Income'!S19</f>
        <v>15183.769484445422</v>
      </c>
      <c r="AR20" s="319">
        <f>T20/'Population &amp; Income'!T19</f>
        <v>15655.565376511035</v>
      </c>
      <c r="AS20" s="319">
        <f>U20/'Population &amp; Income'!U19</f>
        <v>15818.757427937915</v>
      </c>
      <c r="AT20" s="319">
        <f>V20/'Population &amp; Income'!V19</f>
        <v>16278.548223350253</v>
      </c>
      <c r="AU20" s="319">
        <f>W20/'Population &amp; Income'!W19</f>
        <v>16800.107582417582</v>
      </c>
      <c r="AV20" s="690"/>
      <c r="AW20" s="690"/>
      <c r="AX20" s="13" t="s">
        <v>11</v>
      </c>
      <c r="AY20" s="40">
        <f t="shared" si="0"/>
        <v>0.18235940031941508</v>
      </c>
      <c r="AZ20" s="40">
        <f t="shared" si="1"/>
        <v>4.9378274569236588E-2</v>
      </c>
      <c r="BA20" s="40">
        <f t="shared" si="2"/>
        <v>3.9382619542072242E-2</v>
      </c>
      <c r="BB20" s="40">
        <f t="shared" si="3"/>
        <v>4.2474227223767647E-2</v>
      </c>
      <c r="BC20" s="40">
        <f t="shared" si="4"/>
        <v>6.0227378109725248E-2</v>
      </c>
      <c r="BD20" s="40">
        <f t="shared" si="5"/>
        <v>1.5522689202863496E-2</v>
      </c>
      <c r="BE20" s="40">
        <f t="shared" si="6"/>
        <v>2.8338845648423778E-2</v>
      </c>
      <c r="BF20" s="40">
        <f t="shared" si="7"/>
        <v>1.8557858327182528E-2</v>
      </c>
      <c r="BG20" s="40">
        <f t="shared" si="8"/>
        <v>9.0649499888489096E-2</v>
      </c>
      <c r="BH20" s="40">
        <f t="shared" si="9"/>
        <v>3.9618431619347694E-2</v>
      </c>
      <c r="BI20" s="40">
        <f t="shared" si="10"/>
        <v>2.8678715277659493E-2</v>
      </c>
      <c r="BJ20" s="40">
        <f t="shared" si="11"/>
        <v>0.15065303619156259</v>
      </c>
      <c r="BK20" s="40">
        <f t="shared" si="12"/>
        <v>2.0326465803489735E-2</v>
      </c>
      <c r="BL20" s="40">
        <f t="shared" si="13"/>
        <v>0.14147464403265433</v>
      </c>
      <c r="BM20" s="40">
        <f t="shared" si="14"/>
        <v>-2.9892586190872282E-2</v>
      </c>
      <c r="BN20" s="40">
        <f t="shared" si="15"/>
        <v>7.1361357674143616E-2</v>
      </c>
      <c r="BO20" s="40">
        <f t="shared" si="16"/>
        <v>2.2156838067818686E-2</v>
      </c>
      <c r="BP20" s="691">
        <f t="shared" si="17"/>
        <v>2.2005020591557966E-2</v>
      </c>
      <c r="BQ20" s="691">
        <f t="shared" si="18"/>
        <v>1.0760073196824626E-2</v>
      </c>
      <c r="BR20" s="691">
        <f t="shared" si="19"/>
        <v>3.3857837188879421E-2</v>
      </c>
      <c r="BS20" s="691">
        <f t="shared" si="20"/>
        <v>3.6367360700252295E-2</v>
      </c>
      <c r="BT20" s="40"/>
      <c r="BU20" s="3"/>
      <c r="BV20" s="13" t="s">
        <v>11</v>
      </c>
      <c r="BW20" s="40">
        <f t="shared" si="21"/>
        <v>0.18235940031941508</v>
      </c>
      <c r="BX20" s="40">
        <f t="shared" si="22"/>
        <v>0.24074226742790508</v>
      </c>
      <c r="BY20" s="40">
        <f t="shared" si="23"/>
        <v>0.28960594809578633</v>
      </c>
      <c r="BZ20" s="40">
        <f t="shared" si="24"/>
        <v>0.34438096416432906</v>
      </c>
      <c r="CA20" s="40">
        <f t="shared" si="25"/>
        <v>0.42534950481657108</v>
      </c>
      <c r="CB20" s="40">
        <f t="shared" si="26"/>
        <v>0.44747476218529408</v>
      </c>
      <c r="CC20" s="40">
        <f t="shared" si="27"/>
        <v>0.48849452605085208</v>
      </c>
      <c r="CD20" s="40">
        <f t="shared" si="28"/>
        <v>0.51611779658609047</v>
      </c>
      <c r="CE20" s="40">
        <f t="shared" si="29"/>
        <v>0.65355311661865767</v>
      </c>
      <c r="CF20" s="40">
        <f t="shared" si="30"/>
        <v>0.71906429769837321</v>
      </c>
      <c r="CG20" s="40">
        <f t="shared" si="31"/>
        <v>0.76836485323605452</v>
      </c>
      <c r="CH20" s="40">
        <f t="shared" si="32"/>
        <v>1.0347743874705131</v>
      </c>
      <c r="CI20" s="40">
        <f t="shared" si="33"/>
        <v>1.0761341594752494</v>
      </c>
      <c r="CJ20" s="40">
        <f t="shared" si="34"/>
        <v>1.3698545006510441</v>
      </c>
      <c r="CK20" s="40">
        <f t="shared" si="35"/>
        <v>1.2990134207305062</v>
      </c>
      <c r="CL20" s="113">
        <f t="shared" si="36"/>
        <v>1.4630741397449123</v>
      </c>
      <c r="CM20" s="113">
        <f t="shared" si="37"/>
        <v>1.5176480746082721</v>
      </c>
      <c r="CN20" s="691">
        <f t="shared" si="38"/>
        <v>1.5730489723323235</v>
      </c>
      <c r="CO20" s="691">
        <f t="shared" si="39"/>
        <v>1.6007351676136337</v>
      </c>
      <c r="CP20" s="691">
        <f t="shared" si="40"/>
        <v>1.6887904354900891</v>
      </c>
      <c r="CQ20" s="691">
        <f t="shared" si="41"/>
        <v>1.7865746471049455</v>
      </c>
    </row>
    <row r="21" spans="1:95" ht="14">
      <c r="A21" s="13" t="s">
        <v>12</v>
      </c>
      <c r="B21" s="319">
        <v>97273004</v>
      </c>
      <c r="C21" s="319">
        <v>103681856</v>
      </c>
      <c r="D21" s="319">
        <v>106393380</v>
      </c>
      <c r="E21" s="319">
        <v>120855864</v>
      </c>
      <c r="F21" s="319">
        <v>121260588</v>
      </c>
      <c r="G21" s="319">
        <v>123714500</v>
      </c>
      <c r="H21" s="319">
        <v>126809770</v>
      </c>
      <c r="I21" s="319">
        <v>127152826</v>
      </c>
      <c r="J21" s="319">
        <v>128566125.31064823</v>
      </c>
      <c r="K21" s="319">
        <v>130776904.10517588</v>
      </c>
      <c r="L21" s="319">
        <v>133562041.63534783</v>
      </c>
      <c r="M21" s="319">
        <v>144748214.30339375</v>
      </c>
      <c r="N21" s="319">
        <v>158677756.11411563</v>
      </c>
      <c r="O21" s="319">
        <v>154605464.10731211</v>
      </c>
      <c r="P21" s="319">
        <v>181972134</v>
      </c>
      <c r="Q21" s="319">
        <v>182428014</v>
      </c>
      <c r="R21" s="319">
        <v>191151140</v>
      </c>
      <c r="S21" s="319">
        <v>205253012</v>
      </c>
      <c r="T21" s="340">
        <v>212785668</v>
      </c>
      <c r="U21" s="340">
        <v>218230830</v>
      </c>
      <c r="V21" s="666">
        <v>224004641</v>
      </c>
      <c r="W21" s="667">
        <v>226236662</v>
      </c>
      <c r="X21" s="290"/>
      <c r="Y21" s="13" t="s">
        <v>12</v>
      </c>
      <c r="Z21" s="319">
        <f>B21/'Population &amp; Income'!B20</f>
        <v>9370.2922647143823</v>
      </c>
      <c r="AA21" s="319">
        <f>C21/'Population &amp; Income'!C20</f>
        <v>9991.5058302014077</v>
      </c>
      <c r="AB21" s="319">
        <f>D21/'Population &amp; Income'!D20</f>
        <v>10256.760821363154</v>
      </c>
      <c r="AC21" s="319">
        <f>E21/'Population &amp; Income'!E20</f>
        <v>11726.7479138366</v>
      </c>
      <c r="AD21" s="319">
        <f>F21/'Population &amp; Income'!F20</f>
        <v>11810.71276906594</v>
      </c>
      <c r="AE21" s="319">
        <f>G21/'Population &amp; Income'!G20</f>
        <v>12205.455801104972</v>
      </c>
      <c r="AF21" s="319">
        <f>H21/'Population &amp; Income'!H20</f>
        <v>12559.153213825888</v>
      </c>
      <c r="AG21" s="319">
        <f>I21/'Population &amp; Income'!I20</f>
        <v>12715.2826</v>
      </c>
      <c r="AH21" s="319">
        <f>J21/'Population &amp; Income'!J20</f>
        <v>12957.682454207643</v>
      </c>
      <c r="AI21" s="319">
        <f>K21/'Population &amp; Income'!K20</f>
        <v>13193.795813677954</v>
      </c>
      <c r="AJ21" s="319">
        <f>L21/'Population &amp; Income'!L20</f>
        <v>13708.512946253497</v>
      </c>
      <c r="AK21" s="319">
        <f>M21/'Population &amp; Income'!M20</f>
        <v>15043.464384056719</v>
      </c>
      <c r="AL21" s="319">
        <f>N21/'Population &amp; Income'!N20</f>
        <v>16789.520274480543</v>
      </c>
      <c r="AM21" s="319">
        <f>O21/'Population &amp; Income'!O20</f>
        <v>16599.255326101793</v>
      </c>
      <c r="AN21" s="319">
        <f>P21/'Population &amp; Income'!P20</f>
        <v>19609.066163793104</v>
      </c>
      <c r="AO21" s="319">
        <f>Q21/'Population &amp; Income'!Q20</f>
        <v>19694.269027312967</v>
      </c>
      <c r="AP21" s="319">
        <f>R21/'Population &amp; Income'!R20</f>
        <v>21037.985912392691</v>
      </c>
      <c r="AQ21" s="319">
        <f>S21/'Population &amp; Income'!S20</f>
        <v>22488.551769475183</v>
      </c>
      <c r="AR21" s="319">
        <f>T21/'Population &amp; Income'!T20</f>
        <v>23655.994219010561</v>
      </c>
      <c r="AS21" s="319">
        <f>U21/'Population &amp; Income'!U20</f>
        <v>24396.962548910007</v>
      </c>
      <c r="AT21" s="319">
        <f>V21/'Population &amp; Income'!V20</f>
        <v>25132.350611466398</v>
      </c>
      <c r="AU21" s="319">
        <f>W21/'Population &amp; Income'!W20</f>
        <v>25720.402683037744</v>
      </c>
      <c r="AV21" s="690"/>
      <c r="AW21" s="690"/>
      <c r="AX21" s="13" t="s">
        <v>12</v>
      </c>
      <c r="AY21" s="40">
        <f t="shared" si="0"/>
        <v>6.5885206958345807E-2</v>
      </c>
      <c r="AZ21" s="40">
        <f t="shared" si="1"/>
        <v>2.6152348198705086E-2</v>
      </c>
      <c r="BA21" s="40">
        <f t="shared" si="2"/>
        <v>0.13593405905517805</v>
      </c>
      <c r="BB21" s="40">
        <f t="shared" si="3"/>
        <v>3.3488155775378845E-3</v>
      </c>
      <c r="BC21" s="40">
        <f t="shared" si="4"/>
        <v>2.0236682342328737E-2</v>
      </c>
      <c r="BD21" s="40">
        <f t="shared" si="5"/>
        <v>2.50194601279559E-2</v>
      </c>
      <c r="BE21" s="40">
        <f t="shared" si="6"/>
        <v>2.7052805158466892E-3</v>
      </c>
      <c r="BF21" s="40">
        <f t="shared" si="7"/>
        <v>1.1114965786511364E-2</v>
      </c>
      <c r="BG21" s="40">
        <f t="shared" si="8"/>
        <v>1.7195655458899846E-2</v>
      </c>
      <c r="BH21" s="40">
        <f t="shared" si="9"/>
        <v>2.1296860858030633E-2</v>
      </c>
      <c r="BI21" s="40">
        <f t="shared" si="10"/>
        <v>8.3752633091567302E-2</v>
      </c>
      <c r="BJ21" s="40">
        <f t="shared" si="11"/>
        <v>9.6232909523328636E-2</v>
      </c>
      <c r="BK21" s="40">
        <f t="shared" si="12"/>
        <v>-2.5663912236538428E-2</v>
      </c>
      <c r="BL21" s="40">
        <f t="shared" si="13"/>
        <v>0.17700971987440625</v>
      </c>
      <c r="BM21" s="40">
        <f t="shared" si="14"/>
        <v>2.505218738600933E-3</v>
      </c>
      <c r="BN21" s="40">
        <f t="shared" si="15"/>
        <v>4.781681173155785E-2</v>
      </c>
      <c r="BO21" s="40">
        <f t="shared" si="16"/>
        <v>7.3773413017573425E-2</v>
      </c>
      <c r="BP21" s="691">
        <f t="shared" si="17"/>
        <v>3.6699368874547868E-2</v>
      </c>
      <c r="BQ21" s="691">
        <f t="shared" si="18"/>
        <v>2.5589890762755696E-2</v>
      </c>
      <c r="BR21" s="691">
        <f t="shared" si="19"/>
        <v>2.645735710211064E-2</v>
      </c>
      <c r="BS21" s="691">
        <f t="shared" si="20"/>
        <v>9.964173019075975E-3</v>
      </c>
      <c r="BT21" s="40"/>
      <c r="BU21" s="3"/>
      <c r="BV21" s="13" t="s">
        <v>12</v>
      </c>
      <c r="BW21" s="40">
        <f t="shared" si="21"/>
        <v>6.5885206958345807E-2</v>
      </c>
      <c r="BX21" s="40">
        <f t="shared" si="22"/>
        <v>9.3760608030569306E-2</v>
      </c>
      <c r="BY21" s="40">
        <f t="shared" si="23"/>
        <v>0.24243992711482418</v>
      </c>
      <c r="BZ21" s="40">
        <f t="shared" si="24"/>
        <v>0.24660062929690132</v>
      </c>
      <c r="CA21" s="40">
        <f t="shared" si="25"/>
        <v>0.2718276902397298</v>
      </c>
      <c r="CB21" s="40">
        <f t="shared" si="26"/>
        <v>0.30364813242531297</v>
      </c>
      <c r="CC21" s="40">
        <f t="shared" si="27"/>
        <v>0.30717486631748309</v>
      </c>
      <c r="CD21" s="40">
        <f t="shared" si="28"/>
        <v>0.32170407023358949</v>
      </c>
      <c r="CE21" s="40">
        <f t="shared" si="29"/>
        <v>0.34443163804395188</v>
      </c>
      <c r="CF21" s="40">
        <f t="shared" si="30"/>
        <v>0.37306381157250812</v>
      </c>
      <c r="CG21" s="40">
        <f t="shared" si="31"/>
        <v>0.48806152119444929</v>
      </c>
      <c r="CH21" s="40">
        <f t="shared" si="32"/>
        <v>0.63126201092870149</v>
      </c>
      <c r="CI21" s="40">
        <f t="shared" si="33"/>
        <v>0.58939744584542808</v>
      </c>
      <c r="CJ21" s="40">
        <f t="shared" si="34"/>
        <v>0.87073624250362414</v>
      </c>
      <c r="CK21" s="40">
        <f t="shared" si="35"/>
        <v>0.87542284599332409</v>
      </c>
      <c r="CL21" s="113">
        <f t="shared" si="36"/>
        <v>0.9650995871372493</v>
      </c>
      <c r="CM21" s="113">
        <f t="shared" si="37"/>
        <v>1.1100716905997887</v>
      </c>
      <c r="CN21" s="691">
        <f t="shared" si="38"/>
        <v>1.1875099899248511</v>
      </c>
      <c r="CO21" s="691">
        <f t="shared" si="39"/>
        <v>1.2434881316094648</v>
      </c>
      <c r="CP21" s="691">
        <f t="shared" si="40"/>
        <v>1.3028448982618035</v>
      </c>
      <c r="CQ21" s="691">
        <f t="shared" si="41"/>
        <v>1.3257908432641805</v>
      </c>
    </row>
    <row r="22" spans="1:95" ht="14">
      <c r="A22" s="13" t="s">
        <v>13</v>
      </c>
      <c r="B22" s="319">
        <v>25399663</v>
      </c>
      <c r="C22" s="319">
        <v>26975602</v>
      </c>
      <c r="D22" s="319">
        <v>28173992</v>
      </c>
      <c r="E22" s="319">
        <v>31796203</v>
      </c>
      <c r="F22" s="319">
        <v>33239113</v>
      </c>
      <c r="G22" s="319">
        <v>33942388</v>
      </c>
      <c r="H22" s="319">
        <v>34179593</v>
      </c>
      <c r="I22" s="319">
        <v>36023598</v>
      </c>
      <c r="J22" s="319">
        <v>37134354.216473423</v>
      </c>
      <c r="K22" s="319">
        <v>41799375.94389841</v>
      </c>
      <c r="L22" s="319">
        <v>43877568.177586757</v>
      </c>
      <c r="M22" s="319">
        <v>46539276.093387023</v>
      </c>
      <c r="N22" s="319">
        <v>47740723.613762505</v>
      </c>
      <c r="O22" s="319">
        <v>49619280.736517884</v>
      </c>
      <c r="P22" s="319">
        <v>50142129</v>
      </c>
      <c r="Q22" s="319">
        <v>51009749</v>
      </c>
      <c r="R22" s="319">
        <v>51079109</v>
      </c>
      <c r="S22" s="319">
        <v>58206982</v>
      </c>
      <c r="T22" s="340">
        <v>61879414</v>
      </c>
      <c r="U22" s="340">
        <v>64049956</v>
      </c>
      <c r="V22" s="666">
        <v>64919007</v>
      </c>
      <c r="W22" s="667">
        <v>66672779</v>
      </c>
      <c r="X22" s="290"/>
      <c r="Y22" s="13" t="s">
        <v>13</v>
      </c>
      <c r="Z22" s="319">
        <f>B22/'Population &amp; Income'!B21</f>
        <v>4308.6790500424086</v>
      </c>
      <c r="AA22" s="319">
        <f>C22/'Population &amp; Income'!C21</f>
        <v>4494.4355214928355</v>
      </c>
      <c r="AB22" s="319">
        <f>D22/'Population &amp; Income'!D21</f>
        <v>4685.5133876600703</v>
      </c>
      <c r="AC22" s="319">
        <f>E22/'Population &amp; Income'!E21</f>
        <v>5379.158010488919</v>
      </c>
      <c r="AD22" s="319">
        <f>F22/'Population &amp; Income'!F21</f>
        <v>5563.9626715768327</v>
      </c>
      <c r="AE22" s="319">
        <f>G22/'Population &amp; Income'!G21</f>
        <v>5738.3580726965338</v>
      </c>
      <c r="AF22" s="319">
        <f>H22/'Population &amp; Income'!H21</f>
        <v>5750.2680013458948</v>
      </c>
      <c r="AG22" s="319">
        <f>I22/'Population &amp; Income'!I21</f>
        <v>6009.9429429429429</v>
      </c>
      <c r="AH22" s="319">
        <f>J22/'Population &amp; Income'!J21</f>
        <v>6207.6820823258813</v>
      </c>
      <c r="AI22" s="319">
        <f>K22/'Population &amp; Income'!K21</f>
        <v>6957.286275615581</v>
      </c>
      <c r="AJ22" s="319">
        <f>L22/'Population &amp; Income'!L21</f>
        <v>7276.545303082381</v>
      </c>
      <c r="AK22" s="319">
        <f>M22/'Population &amp; Income'!M21</f>
        <v>7608.186381132422</v>
      </c>
      <c r="AL22" s="319">
        <f>N22/'Population &amp; Income'!N21</f>
        <v>7798.2233932967174</v>
      </c>
      <c r="AM22" s="319">
        <f>O22/'Population &amp; Income'!O21</f>
        <v>8083.9492891035979</v>
      </c>
      <c r="AN22" s="319">
        <f>P22/'Population &amp; Income'!P21</f>
        <v>7957.8049515949851</v>
      </c>
      <c r="AO22" s="319">
        <f>Q22/'Population &amp; Income'!Q21</f>
        <v>8091.6480012690354</v>
      </c>
      <c r="AP22" s="319">
        <f>R22/'Population &amp; Income'!R21</f>
        <v>8156.9960076652824</v>
      </c>
      <c r="AQ22" s="319">
        <f>S22/'Population &amp; Income'!S21</f>
        <v>9252.4212366873307</v>
      </c>
      <c r="AR22" s="319">
        <f>T22/'Population &amp; Income'!T21</f>
        <v>9891.2106777493609</v>
      </c>
      <c r="AS22" s="319">
        <f>U22/'Population &amp; Income'!U21</f>
        <v>10247.99296</v>
      </c>
      <c r="AT22" s="319">
        <f>V22/'Population &amp; Income'!V21</f>
        <v>10525.130836575876</v>
      </c>
      <c r="AU22" s="319">
        <f>W22/'Population &amp; Income'!W21</f>
        <v>10807.712595234236</v>
      </c>
      <c r="AV22" s="690"/>
      <c r="AW22" s="690"/>
      <c r="AX22" s="13" t="s">
        <v>13</v>
      </c>
      <c r="AY22" s="40">
        <f t="shared" si="0"/>
        <v>6.2045665723990118E-2</v>
      </c>
      <c r="AZ22" s="40">
        <f t="shared" si="1"/>
        <v>4.4424958523631833E-2</v>
      </c>
      <c r="BA22" s="40">
        <f t="shared" si="2"/>
        <v>0.12856577087123472</v>
      </c>
      <c r="BB22" s="40">
        <f t="shared" si="3"/>
        <v>4.5379946781695914E-2</v>
      </c>
      <c r="BC22" s="40">
        <f t="shared" si="4"/>
        <v>2.1158055571458841E-2</v>
      </c>
      <c r="BD22" s="40">
        <f t="shared" si="5"/>
        <v>6.9884593859453848E-3</v>
      </c>
      <c r="BE22" s="40">
        <f t="shared" si="6"/>
        <v>5.3950466876536533E-2</v>
      </c>
      <c r="BF22" s="40">
        <f t="shared" si="7"/>
        <v>3.0834127575857996E-2</v>
      </c>
      <c r="BG22" s="40">
        <f t="shared" si="8"/>
        <v>0.12562549762493258</v>
      </c>
      <c r="BH22" s="40">
        <f t="shared" si="9"/>
        <v>4.9718259824683038E-2</v>
      </c>
      <c r="BI22" s="40">
        <f t="shared" si="10"/>
        <v>6.0662156686247297E-2</v>
      </c>
      <c r="BJ22" s="40">
        <f t="shared" si="11"/>
        <v>2.5815775861331068E-2</v>
      </c>
      <c r="BK22" s="40">
        <f t="shared" si="12"/>
        <v>3.934915477933467E-2</v>
      </c>
      <c r="BL22" s="40">
        <f t="shared" si="13"/>
        <v>1.05371995668071E-2</v>
      </c>
      <c r="BM22" s="40">
        <f t="shared" si="14"/>
        <v>1.7303214229296086E-2</v>
      </c>
      <c r="BN22" s="40">
        <f t="shared" si="15"/>
        <v>1.3597400763528556E-3</v>
      </c>
      <c r="BO22" s="40">
        <f t="shared" si="16"/>
        <v>0.1395457583255808</v>
      </c>
      <c r="BP22" s="691">
        <f t="shared" si="17"/>
        <v>6.3092637237230409E-2</v>
      </c>
      <c r="BQ22" s="691">
        <f t="shared" si="18"/>
        <v>3.5076964368149964E-2</v>
      </c>
      <c r="BR22" s="691">
        <f t="shared" si="19"/>
        <v>1.3568330944676996E-2</v>
      </c>
      <c r="BS22" s="691">
        <f t="shared" si="20"/>
        <v>2.7014769341743013E-2</v>
      </c>
      <c r="BT22" s="40"/>
      <c r="BU22" s="3"/>
      <c r="BV22" s="13" t="s">
        <v>13</v>
      </c>
      <c r="BW22" s="40">
        <f t="shared" si="21"/>
        <v>6.2045665723990118E-2</v>
      </c>
      <c r="BX22" s="40">
        <f t="shared" si="22"/>
        <v>0.10922700037398134</v>
      </c>
      <c r="BY22" s="40">
        <f t="shared" si="23"/>
        <v>0.25183562474824961</v>
      </c>
      <c r="BZ22" s="40">
        <f t="shared" si="24"/>
        <v>0.30864385877875622</v>
      </c>
      <c r="CA22" s="40">
        <f t="shared" si="25"/>
        <v>0.33633221826604548</v>
      </c>
      <c r="CB22" s="40">
        <f t="shared" si="26"/>
        <v>0.34567112169952807</v>
      </c>
      <c r="CC22" s="40">
        <f t="shared" si="27"/>
        <v>0.41827070697749019</v>
      </c>
      <c r="CD22" s="40">
        <f t="shared" si="28"/>
        <v>0.46200184689353646</v>
      </c>
      <c r="CE22" s="40">
        <f t="shared" si="29"/>
        <v>0.64566655643810744</v>
      </c>
      <c r="CF22" s="40">
        <f t="shared" si="30"/>
        <v>0.72748623387588873</v>
      </c>
      <c r="CG22" s="40">
        <f t="shared" si="31"/>
        <v>0.83227927446860306</v>
      </c>
      <c r="CH22" s="40">
        <f t="shared" si="32"/>
        <v>0.87958098553364683</v>
      </c>
      <c r="CI22" s="40">
        <f t="shared" si="33"/>
        <v>0.95354090865370478</v>
      </c>
      <c r="CJ22" s="40">
        <f t="shared" si="34"/>
        <v>0.97412575907011045</v>
      </c>
      <c r="CK22" s="40">
        <f t="shared" si="35"/>
        <v>1.0082844799948725</v>
      </c>
      <c r="CL22" s="113">
        <f t="shared" si="36"/>
        <v>1.0110152248870388</v>
      </c>
      <c r="CM22" s="113">
        <f t="shared" si="37"/>
        <v>1.2916438694481891</v>
      </c>
      <c r="CN22" s="691">
        <f t="shared" si="38"/>
        <v>1.4362297247802067</v>
      </c>
      <c r="CO22" s="691">
        <f t="shared" si="39"/>
        <v>1.5216852680289499</v>
      </c>
      <c r="CP22" s="691">
        <f t="shared" si="40"/>
        <v>1.555900328283883</v>
      </c>
      <c r="CQ22" s="691">
        <f t="shared" si="41"/>
        <v>1.6249473861129575</v>
      </c>
    </row>
    <row r="23" spans="1:95" ht="14">
      <c r="A23" s="13" t="s">
        <v>14</v>
      </c>
      <c r="B23" s="319">
        <v>76287169</v>
      </c>
      <c r="C23" s="319">
        <v>87899593</v>
      </c>
      <c r="D23" s="319">
        <v>92056738</v>
      </c>
      <c r="E23" s="319">
        <v>97657708</v>
      </c>
      <c r="F23" s="319">
        <v>104661525</v>
      </c>
      <c r="G23" s="319">
        <v>109061867</v>
      </c>
      <c r="H23" s="319">
        <v>112134773</v>
      </c>
      <c r="I23" s="319">
        <v>120373778</v>
      </c>
      <c r="J23" s="319">
        <v>125843049.25248289</v>
      </c>
      <c r="K23" s="319">
        <v>133090141.39472675</v>
      </c>
      <c r="L23" s="319">
        <v>134880004.61094347</v>
      </c>
      <c r="M23" s="319">
        <v>152947535.54688734</v>
      </c>
      <c r="N23" s="319">
        <v>153266861.53923994</v>
      </c>
      <c r="O23" s="319">
        <v>151785500.36936995</v>
      </c>
      <c r="P23" s="319">
        <v>151515795</v>
      </c>
      <c r="Q23" s="319">
        <v>154380983</v>
      </c>
      <c r="R23" s="319">
        <v>157026157</v>
      </c>
      <c r="S23" s="319">
        <v>161347518</v>
      </c>
      <c r="T23" s="340">
        <v>161773519</v>
      </c>
      <c r="U23" s="340">
        <v>166845674</v>
      </c>
      <c r="V23" s="666">
        <v>169714498</v>
      </c>
      <c r="W23" s="667">
        <v>175094120</v>
      </c>
      <c r="X23" s="290"/>
      <c r="Y23" s="13" t="s">
        <v>14</v>
      </c>
      <c r="Z23" s="319">
        <f>B23/'Population &amp; Income'!B22</f>
        <v>5800.4234336982972</v>
      </c>
      <c r="AA23" s="319">
        <f>C23/'Population &amp; Income'!C22</f>
        <v>6624.4323611425125</v>
      </c>
      <c r="AB23" s="319">
        <f>D23/'Population &amp; Income'!D22</f>
        <v>6857.6235101311086</v>
      </c>
      <c r="AC23" s="319">
        <f>E23/'Population &amp; Income'!E22</f>
        <v>7138.7213450292402</v>
      </c>
      <c r="AD23" s="319">
        <f>F23/'Population &amp; Income'!F22</f>
        <v>7628.3910349854232</v>
      </c>
      <c r="AE23" s="319">
        <f>G23/'Population &amp; Income'!G22</f>
        <v>7845.6130494209046</v>
      </c>
      <c r="AF23" s="319">
        <f>H23/'Population &amp; Income'!H22</f>
        <v>8062.0298367963187</v>
      </c>
      <c r="AG23" s="319">
        <f>I23/'Population &amp; Income'!I22</f>
        <v>8613.5082647584968</v>
      </c>
      <c r="AH23" s="319">
        <f>J23/'Population &amp; Income'!J22</f>
        <v>8942.162243479208</v>
      </c>
      <c r="AI23" s="319">
        <f>K23/'Population &amp; Income'!K22</f>
        <v>9308.9558225310739</v>
      </c>
      <c r="AJ23" s="319">
        <f>L23/'Population &amp; Income'!L22</f>
        <v>9479.2328772888795</v>
      </c>
      <c r="AK23" s="319">
        <f>M23/'Population &amp; Income'!M22</f>
        <v>10794.518706111041</v>
      </c>
      <c r="AL23" s="319">
        <f>N23/'Population &amp; Income'!N22</f>
        <v>10854.593593430591</v>
      </c>
      <c r="AM23" s="319">
        <f>O23/'Population &amp; Income'!O22</f>
        <v>10869.772298007014</v>
      </c>
      <c r="AN23" s="319">
        <f>P23/'Population &amp; Income'!P22</f>
        <v>10831.066909714777</v>
      </c>
      <c r="AO23" s="319">
        <f>Q23/'Population &amp; Income'!Q22</f>
        <v>11161.146833429728</v>
      </c>
      <c r="AP23" s="319">
        <f>R23/'Population &amp; Income'!R22</f>
        <v>11379.531632727008</v>
      </c>
      <c r="AQ23" s="319">
        <f>S23/'Population &amp; Income'!S22</f>
        <v>11596.889096528426</v>
      </c>
      <c r="AR23" s="319">
        <f>T23/'Population &amp; Income'!T22</f>
        <v>11606.652245659348</v>
      </c>
      <c r="AS23" s="319">
        <f>U23/'Population &amp; Income'!U22</f>
        <v>11965.409781985083</v>
      </c>
      <c r="AT23" s="319">
        <f>V23/'Population &amp; Income'!V22</f>
        <v>12108.625713470319</v>
      </c>
      <c r="AU23" s="319">
        <f>W23/'Population &amp; Income'!W22</f>
        <v>12441.847509415193</v>
      </c>
      <c r="AV23" s="690"/>
      <c r="AW23" s="690"/>
      <c r="AX23" s="13" t="s">
        <v>14</v>
      </c>
      <c r="AY23" s="40">
        <f t="shared" si="0"/>
        <v>0.15221988379199128</v>
      </c>
      <c r="AZ23" s="40">
        <f t="shared" si="1"/>
        <v>4.729424628848964E-2</v>
      </c>
      <c r="BA23" s="40">
        <f t="shared" si="2"/>
        <v>6.0842586014724961E-2</v>
      </c>
      <c r="BB23" s="40">
        <f t="shared" si="3"/>
        <v>7.1718015335768479E-2</v>
      </c>
      <c r="BC23" s="40">
        <f t="shared" si="4"/>
        <v>4.2043549432324821E-2</v>
      </c>
      <c r="BD23" s="40">
        <f t="shared" si="5"/>
        <v>2.8175805939577397E-2</v>
      </c>
      <c r="BE23" s="40">
        <f t="shared" si="6"/>
        <v>7.3474130990571498E-2</v>
      </c>
      <c r="BF23" s="40">
        <f t="shared" si="7"/>
        <v>4.5435736448206282E-2</v>
      </c>
      <c r="BG23" s="40">
        <f t="shared" si="8"/>
        <v>5.7588338690870336E-2</v>
      </c>
      <c r="BH23" s="40">
        <f t="shared" si="9"/>
        <v>1.3448503378685497E-2</v>
      </c>
      <c r="BI23" s="40">
        <f t="shared" si="10"/>
        <v>0.13395262691500506</v>
      </c>
      <c r="BJ23" s="40">
        <f t="shared" si="11"/>
        <v>2.0878139108996157E-3</v>
      </c>
      <c r="BK23" s="40">
        <f t="shared" si="12"/>
        <v>-9.6652411029550939E-3</v>
      </c>
      <c r="BL23" s="40">
        <f t="shared" si="13"/>
        <v>-1.7768849377155654E-3</v>
      </c>
      <c r="BM23" s="40">
        <f t="shared" si="14"/>
        <v>1.8910160488548405E-2</v>
      </c>
      <c r="BN23" s="40">
        <f t="shared" si="15"/>
        <v>1.713406631178142E-2</v>
      </c>
      <c r="BO23" s="40">
        <f t="shared" si="16"/>
        <v>2.7520007383228514E-2</v>
      </c>
      <c r="BP23" s="691">
        <f t="shared" si="17"/>
        <v>2.640269929655813E-3</v>
      </c>
      <c r="BQ23" s="691">
        <f t="shared" si="18"/>
        <v>3.1353431830830114E-2</v>
      </c>
      <c r="BR23" s="691">
        <f t="shared" si="19"/>
        <v>1.7194476375815414E-2</v>
      </c>
      <c r="BS23" s="691">
        <f t="shared" si="20"/>
        <v>3.1698069778340325E-2</v>
      </c>
      <c r="BT23" s="40"/>
      <c r="BU23" s="3"/>
      <c r="BV23" s="13" t="s">
        <v>14</v>
      </c>
      <c r="BW23" s="40">
        <f t="shared" si="21"/>
        <v>0.15221988379199128</v>
      </c>
      <c r="BX23" s="40">
        <f t="shared" si="22"/>
        <v>0.20671325475454463</v>
      </c>
      <c r="BY23" s="40">
        <f t="shared" si="23"/>
        <v>0.28013280975205673</v>
      </c>
      <c r="BZ23" s="40">
        <f t="shared" si="24"/>
        <v>0.37194139423367512</v>
      </c>
      <c r="CA23" s="40">
        <f t="shared" si="25"/>
        <v>0.42962268006039128</v>
      </c>
      <c r="CB23" s="40">
        <f t="shared" si="26"/>
        <v>0.46990345126059141</v>
      </c>
      <c r="CC23" s="40">
        <f t="shared" si="27"/>
        <v>0.57790332998200522</v>
      </c>
      <c r="CD23" s="40">
        <f t="shared" si="28"/>
        <v>0.64959652982381466</v>
      </c>
      <c r="CE23" s="40">
        <f t="shared" si="29"/>
        <v>0.74459405348659291</v>
      </c>
      <c r="CF23" s="40">
        <f t="shared" si="30"/>
        <v>0.76805623250934196</v>
      </c>
      <c r="CG23" s="40">
        <f t="shared" si="31"/>
        <v>1.0048920093874154</v>
      </c>
      <c r="CH23" s="40">
        <f t="shared" si="32"/>
        <v>1.0090778508144658</v>
      </c>
      <c r="CI23" s="40">
        <f t="shared" si="33"/>
        <v>0.98965962899173721</v>
      </c>
      <c r="CJ23" s="40">
        <f t="shared" si="34"/>
        <v>0.98612423276580097</v>
      </c>
      <c r="CK23" s="40">
        <f t="shared" si="35"/>
        <v>1.0236821607575974</v>
      </c>
      <c r="CL23" s="113">
        <f t="shared" si="36"/>
        <v>1.0583560650939872</v>
      </c>
      <c r="CM23" s="113">
        <f t="shared" si="37"/>
        <v>1.1150020392026869</v>
      </c>
      <c r="CN23" s="691">
        <f t="shared" si="38"/>
        <v>1.1205862154879545</v>
      </c>
      <c r="CO23" s="691">
        <f t="shared" si="39"/>
        <v>1.1870738708366542</v>
      </c>
      <c r="CP23" s="691">
        <f t="shared" si="40"/>
        <v>1.2246794608409182</v>
      </c>
      <c r="CQ23" s="691">
        <f t="shared" si="41"/>
        <v>1.2951975056250939</v>
      </c>
    </row>
    <row r="24" spans="1:95" ht="14">
      <c r="A24" s="13" t="s">
        <v>15</v>
      </c>
      <c r="B24" s="319">
        <v>90415558</v>
      </c>
      <c r="C24" s="319">
        <v>93160051</v>
      </c>
      <c r="D24" s="319">
        <v>94768227</v>
      </c>
      <c r="E24" s="319">
        <v>98374581</v>
      </c>
      <c r="F24" s="319">
        <v>100097213</v>
      </c>
      <c r="G24" s="319">
        <v>100948634</v>
      </c>
      <c r="H24" s="319">
        <v>104780304</v>
      </c>
      <c r="I24" s="319">
        <v>105024567</v>
      </c>
      <c r="J24" s="319">
        <v>107517011.40139028</v>
      </c>
      <c r="K24" s="319">
        <v>112214349.93645063</v>
      </c>
      <c r="L24" s="319">
        <v>115832050.66518942</v>
      </c>
      <c r="M24" s="319">
        <v>122163178.68969512</v>
      </c>
      <c r="N24" s="319">
        <v>140240980.84655663</v>
      </c>
      <c r="O24" s="319">
        <v>137218177.74836305</v>
      </c>
      <c r="P24" s="319">
        <v>168864301</v>
      </c>
      <c r="Q24" s="319">
        <v>172794498</v>
      </c>
      <c r="R24" s="319">
        <v>181041107</v>
      </c>
      <c r="S24" s="319">
        <v>188721503</v>
      </c>
      <c r="T24" s="340">
        <v>224983871</v>
      </c>
      <c r="U24" s="340">
        <v>217098511</v>
      </c>
      <c r="V24" s="666">
        <v>218512609</v>
      </c>
      <c r="W24" s="667">
        <v>223876030</v>
      </c>
      <c r="X24" s="290"/>
      <c r="Y24" s="13" t="s">
        <v>15</v>
      </c>
      <c r="Z24" s="319">
        <f>B24/'Population &amp; Income'!B23</f>
        <v>10358.065986940084</v>
      </c>
      <c r="AA24" s="319">
        <f>C24/'Population &amp; Income'!C23</f>
        <v>10649.297096479195</v>
      </c>
      <c r="AB24" s="319">
        <f>D24/'Population &amp; Income'!D23</f>
        <v>11050.399603544776</v>
      </c>
      <c r="AC24" s="319">
        <f>E24/'Population &amp; Income'!E23</f>
        <v>11604.881561873304</v>
      </c>
      <c r="AD24" s="319">
        <f>F24/'Population &amp; Income'!F23</f>
        <v>11900.750564736654</v>
      </c>
      <c r="AE24" s="319">
        <f>G24/'Population &amp; Income'!G23</f>
        <v>12197.756645722571</v>
      </c>
      <c r="AF24" s="319">
        <f>H24/'Population &amp; Income'!H23</f>
        <v>12659.212758245741</v>
      </c>
      <c r="AG24" s="319">
        <f>I24/'Population &amp; Income'!I23</f>
        <v>12818.816916880263</v>
      </c>
      <c r="AH24" s="319">
        <f>J24/'Population &amp; Income'!J23</f>
        <v>13153.536995521199</v>
      </c>
      <c r="AI24" s="319">
        <f>K24/'Population &amp; Income'!K23</f>
        <v>13867.319567035422</v>
      </c>
      <c r="AJ24" s="319">
        <f>L24/'Population &amp; Income'!L23</f>
        <v>14455.516119454564</v>
      </c>
      <c r="AK24" s="319">
        <f>M24/'Population &amp; Income'!M23</f>
        <v>15463.693505024699</v>
      </c>
      <c r="AL24" s="319">
        <f>N24/'Population &amp; Income'!N23</f>
        <v>17913.013264344954</v>
      </c>
      <c r="AM24" s="319">
        <f>O24/'Population &amp; Income'!O23</f>
        <v>17666.818301578867</v>
      </c>
      <c r="AN24" s="319">
        <f>P24/'Population &amp; Income'!P23</f>
        <v>21555.310314015827</v>
      </c>
      <c r="AO24" s="319">
        <f>Q24/'Population &amp; Income'!Q23</f>
        <v>22391.408319295064</v>
      </c>
      <c r="AP24" s="319">
        <f>R24/'Population &amp; Income'!R23</f>
        <v>23668.598117400968</v>
      </c>
      <c r="AQ24" s="319">
        <f>S24/'Population &amp; Income'!S23</f>
        <v>24740.627031987417</v>
      </c>
      <c r="AR24" s="319">
        <f>T24/'Population &amp; Income'!T23</f>
        <v>29317.679306750066</v>
      </c>
      <c r="AS24" s="319">
        <f>U24/'Population &amp; Income'!U23</f>
        <v>28595.694283456269</v>
      </c>
      <c r="AT24" s="319">
        <f>V24/'Population &amp; Income'!V23</f>
        <v>29072.99215007983</v>
      </c>
      <c r="AU24" s="319">
        <f>W24/'Population &amp; Income'!W23</f>
        <v>29929.950534759359</v>
      </c>
      <c r="AV24" s="690"/>
      <c r="AW24" s="690"/>
      <c r="AX24" s="13" t="s">
        <v>15</v>
      </c>
      <c r="AY24" s="40">
        <f t="shared" si="0"/>
        <v>3.0354211827128247E-2</v>
      </c>
      <c r="AZ24" s="40">
        <f t="shared" si="1"/>
        <v>1.726250665105368E-2</v>
      </c>
      <c r="BA24" s="40">
        <f t="shared" si="2"/>
        <v>3.8054463127182914E-2</v>
      </c>
      <c r="BB24" s="40">
        <f t="shared" si="3"/>
        <v>1.7510946247384779E-2</v>
      </c>
      <c r="BC24" s="40">
        <f t="shared" si="4"/>
        <v>8.505941119459539E-3</v>
      </c>
      <c r="BD24" s="40">
        <f t="shared" si="5"/>
        <v>3.7956630497843091E-2</v>
      </c>
      <c r="BE24" s="40">
        <f t="shared" si="6"/>
        <v>2.3311919385154674E-3</v>
      </c>
      <c r="BF24" s="40">
        <f t="shared" si="7"/>
        <v>2.3732013114515237E-2</v>
      </c>
      <c r="BG24" s="40">
        <f t="shared" si="8"/>
        <v>4.3689258786443592E-2</v>
      </c>
      <c r="BH24" s="40">
        <f t="shared" si="9"/>
        <v>3.223919873694911E-2</v>
      </c>
      <c r="BI24" s="40">
        <f t="shared" si="10"/>
        <v>5.4657825603085651E-2</v>
      </c>
      <c r="BJ24" s="40">
        <f t="shared" si="11"/>
        <v>0.14798077743851665</v>
      </c>
      <c r="BK24" s="40">
        <f t="shared" si="12"/>
        <v>-2.1554349377383191E-2</v>
      </c>
      <c r="BL24" s="40">
        <f t="shared" si="13"/>
        <v>0.23062631912858556</v>
      </c>
      <c r="BM24" s="40">
        <f t="shared" si="14"/>
        <v>2.3274291704793188E-2</v>
      </c>
      <c r="BN24" s="40">
        <f t="shared" si="15"/>
        <v>4.7724951288668924E-2</v>
      </c>
      <c r="BO24" s="40">
        <f t="shared" si="16"/>
        <v>4.2423492251403433E-2</v>
      </c>
      <c r="BP24" s="691">
        <f t="shared" si="17"/>
        <v>0.19214751590866674</v>
      </c>
      <c r="BQ24" s="691">
        <f t="shared" si="18"/>
        <v>-3.5048556880773026E-2</v>
      </c>
      <c r="BR24" s="691">
        <f t="shared" si="19"/>
        <v>6.5136236701319426E-3</v>
      </c>
      <c r="BS24" s="691">
        <f t="shared" si="20"/>
        <v>2.4545132770805E-2</v>
      </c>
      <c r="BT24" s="40"/>
      <c r="BU24" s="3"/>
      <c r="BV24" s="13" t="s">
        <v>15</v>
      </c>
      <c r="BW24" s="40">
        <f t="shared" si="21"/>
        <v>3.0354211827128247E-2</v>
      </c>
      <c r="BX24" s="40">
        <f t="shared" si="22"/>
        <v>4.8140708261735221E-2</v>
      </c>
      <c r="BY24" s="40">
        <f t="shared" si="23"/>
        <v>8.8027140196380804E-2</v>
      </c>
      <c r="BZ24" s="40">
        <f t="shared" si="24"/>
        <v>0.10707952496405541</v>
      </c>
      <c r="CA24" s="40">
        <f t="shared" si="25"/>
        <v>0.11649627821795891</v>
      </c>
      <c r="CB24" s="40">
        <f t="shared" si="26"/>
        <v>0.158874714902495</v>
      </c>
      <c r="CC24" s="40">
        <f t="shared" si="27"/>
        <v>0.1615762742956251</v>
      </c>
      <c r="CD24" s="40">
        <f t="shared" si="28"/>
        <v>0.18914281767071861</v>
      </c>
      <c r="CE24" s="40">
        <f t="shared" si="29"/>
        <v>0.24109558596597536</v>
      </c>
      <c r="CF24" s="40">
        <f t="shared" si="30"/>
        <v>0.28110751321348276</v>
      </c>
      <c r="CG24" s="40">
        <f t="shared" si="31"/>
        <v>0.35113006424950804</v>
      </c>
      <c r="CH24" s="40">
        <f t="shared" si="32"/>
        <v>0.55107134157770321</v>
      </c>
      <c r="CI24" s="40">
        <f t="shared" si="33"/>
        <v>0.51763900797209095</v>
      </c>
      <c r="CJ24" s="40">
        <f t="shared" si="34"/>
        <v>0.86764650614665229</v>
      </c>
      <c r="CK24" s="40">
        <f t="shared" si="35"/>
        <v>0.91111465573214734</v>
      </c>
      <c r="CL24" s="113">
        <f t="shared" si="36"/>
        <v>1.0023225095840254</v>
      </c>
      <c r="CM24" s="113">
        <f t="shared" si="37"/>
        <v>1.087268023054174</v>
      </c>
      <c r="CN24" s="691">
        <f t="shared" si="38"/>
        <v>1.4883313887196272</v>
      </c>
      <c r="CO24" s="691">
        <f t="shared" si="39"/>
        <v>1.4011189645038744</v>
      </c>
      <c r="CP24" s="691">
        <f t="shared" si="40"/>
        <v>1.4167589498258695</v>
      </c>
      <c r="CQ24" s="691">
        <f t="shared" si="41"/>
        <v>1.4760786191243769</v>
      </c>
    </row>
    <row r="25" spans="1:95" ht="14">
      <c r="A25" s="13" t="s">
        <v>16</v>
      </c>
      <c r="B25" s="319">
        <v>59571481</v>
      </c>
      <c r="C25" s="319">
        <v>63802426</v>
      </c>
      <c r="D25" s="319">
        <v>65224785</v>
      </c>
      <c r="E25" s="319">
        <v>68189688</v>
      </c>
      <c r="F25" s="319">
        <v>69383572</v>
      </c>
      <c r="G25" s="319">
        <v>69806000</v>
      </c>
      <c r="H25" s="319">
        <v>71060822</v>
      </c>
      <c r="I25" s="319">
        <v>71429129</v>
      </c>
      <c r="J25" s="319">
        <v>72110709.325566664</v>
      </c>
      <c r="K25" s="319">
        <v>75687507.659741223</v>
      </c>
      <c r="L25" s="319">
        <v>77877320.571285129</v>
      </c>
      <c r="M25" s="319">
        <v>88474137.367628917</v>
      </c>
      <c r="N25" s="319">
        <v>89487159.190902144</v>
      </c>
      <c r="O25" s="319">
        <v>90874538.341918319</v>
      </c>
      <c r="P25" s="319">
        <v>92552906</v>
      </c>
      <c r="Q25" s="319">
        <v>95339595</v>
      </c>
      <c r="R25" s="319">
        <v>97573584</v>
      </c>
      <c r="S25" s="319">
        <v>100605281</v>
      </c>
      <c r="T25" s="340">
        <v>102991927</v>
      </c>
      <c r="U25" s="340">
        <v>108897677</v>
      </c>
      <c r="V25" s="666">
        <v>111867106</v>
      </c>
      <c r="W25" s="667">
        <v>115171603</v>
      </c>
      <c r="X25" s="290"/>
      <c r="Y25" s="13" t="s">
        <v>16</v>
      </c>
      <c r="Z25" s="319">
        <f>B25/'Population &amp; Income'!B24</f>
        <v>7902.8231626426104</v>
      </c>
      <c r="AA25" s="319">
        <f>C25/'Population &amp; Income'!C24</f>
        <v>8452.8916269210386</v>
      </c>
      <c r="AB25" s="319">
        <f>D25/'Population &amp; Income'!D24</f>
        <v>8675.8160415003986</v>
      </c>
      <c r="AC25" s="319">
        <f>E25/'Population &amp; Income'!E24</f>
        <v>9150.5217391304341</v>
      </c>
      <c r="AD25" s="319">
        <f>F25/'Population &amp; Income'!F24</f>
        <v>9392.6589955326926</v>
      </c>
      <c r="AE25" s="319">
        <f>G25/'Population &amp; Income'!G24</f>
        <v>9391.3628413830211</v>
      </c>
      <c r="AF25" s="319">
        <f>H25/'Population &amp; Income'!H24</f>
        <v>9647.1384740700523</v>
      </c>
      <c r="AG25" s="319">
        <f>I25/'Population &amp; Income'!I24</f>
        <v>9810.3459689603078</v>
      </c>
      <c r="AH25" s="319">
        <f>J25/'Population &amp; Income'!J24</f>
        <v>9961.4186110742739</v>
      </c>
      <c r="AI25" s="319">
        <f>K25/'Population &amp; Income'!K24</f>
        <v>10477.229742489095</v>
      </c>
      <c r="AJ25" s="319">
        <f>L25/'Population &amp; Income'!L24</f>
        <v>10807.2884500812</v>
      </c>
      <c r="AK25" s="319">
        <f>M25/'Population &amp; Income'!M24</f>
        <v>12267.628586748324</v>
      </c>
      <c r="AL25" s="319">
        <f>N25/'Population &amp; Income'!N24</f>
        <v>12484.257699623626</v>
      </c>
      <c r="AM25" s="319">
        <f>O25/'Population &amp; Income'!O24</f>
        <v>12779.431632951528</v>
      </c>
      <c r="AN25" s="319">
        <f>P25/'Population &amp; Income'!P24</f>
        <v>12984.414421997755</v>
      </c>
      <c r="AO25" s="319">
        <f>Q25/'Population &amp; Income'!Q24</f>
        <v>13556.035120147875</v>
      </c>
      <c r="AP25" s="319">
        <f>R25/'Population &amp; Income'!R24</f>
        <v>14001.088247955231</v>
      </c>
      <c r="AQ25" s="319">
        <f>S25/'Population &amp; Income'!S24</f>
        <v>14559.37496382055</v>
      </c>
      <c r="AR25" s="319">
        <f>T25/'Population &amp; Income'!T24</f>
        <v>14961.058541545613</v>
      </c>
      <c r="AS25" s="319">
        <f>U25/'Population &amp; Income'!U24</f>
        <v>15990.848311306901</v>
      </c>
      <c r="AT25" s="319">
        <f>V25/'Population &amp; Income'!V24</f>
        <v>16639.462442362041</v>
      </c>
      <c r="AU25" s="319">
        <f>W25/'Population &amp; Income'!W24</f>
        <v>17130.98363825673</v>
      </c>
      <c r="AV25" s="690"/>
      <c r="AW25" s="690"/>
      <c r="AX25" s="13" t="s">
        <v>16</v>
      </c>
      <c r="AY25" s="40">
        <f t="shared" si="0"/>
        <v>7.1022995046908441E-2</v>
      </c>
      <c r="AZ25" s="40">
        <f t="shared" si="1"/>
        <v>2.2293180513230013E-2</v>
      </c>
      <c r="BA25" s="40">
        <f t="shared" si="2"/>
        <v>4.54566925747628E-2</v>
      </c>
      <c r="BB25" s="40">
        <f t="shared" si="3"/>
        <v>1.7508277791210895E-2</v>
      </c>
      <c r="BC25" s="40">
        <f t="shared" si="4"/>
        <v>6.0882999797127772E-3</v>
      </c>
      <c r="BD25" s="40">
        <f t="shared" si="5"/>
        <v>1.7975847348365472E-2</v>
      </c>
      <c r="BE25" s="40">
        <f t="shared" si="6"/>
        <v>5.1829825441647723E-3</v>
      </c>
      <c r="BF25" s="40">
        <f t="shared" si="7"/>
        <v>9.5420500726904334E-3</v>
      </c>
      <c r="BG25" s="40">
        <f t="shared" si="8"/>
        <v>4.9601485932220808E-2</v>
      </c>
      <c r="BH25" s="40">
        <f t="shared" si="9"/>
        <v>2.8932289875211261E-2</v>
      </c>
      <c r="BI25" s="40">
        <f t="shared" si="10"/>
        <v>0.13607063929021512</v>
      </c>
      <c r="BJ25" s="40">
        <f t="shared" si="11"/>
        <v>1.1449920320374583E-2</v>
      </c>
      <c r="BK25" s="40">
        <f t="shared" si="12"/>
        <v>1.550366738155686E-2</v>
      </c>
      <c r="BL25" s="40">
        <f t="shared" si="13"/>
        <v>1.8469063928190418E-2</v>
      </c>
      <c r="BM25" s="40">
        <f t="shared" si="14"/>
        <v>3.0109146437822275E-2</v>
      </c>
      <c r="BN25" s="40">
        <f t="shared" si="15"/>
        <v>2.343191199836752E-2</v>
      </c>
      <c r="BO25" s="40">
        <f t="shared" si="16"/>
        <v>3.1070878773910775E-2</v>
      </c>
      <c r="BP25" s="691">
        <f t="shared" si="17"/>
        <v>2.3722869975384295E-2</v>
      </c>
      <c r="BQ25" s="691">
        <f t="shared" si="18"/>
        <v>5.7341873018843505E-2</v>
      </c>
      <c r="BR25" s="691">
        <f t="shared" si="19"/>
        <v>2.7268065598864886E-2</v>
      </c>
      <c r="BS25" s="691">
        <f t="shared" si="20"/>
        <v>2.9539487684610344E-2</v>
      </c>
      <c r="BT25" s="40"/>
      <c r="BU25" s="3"/>
      <c r="BV25" s="13" t="s">
        <v>16</v>
      </c>
      <c r="BW25" s="40">
        <f t="shared" si="21"/>
        <v>7.1022995046908441E-2</v>
      </c>
      <c r="BX25" s="40">
        <f t="shared" si="22"/>
        <v>9.4899504009309424E-2</v>
      </c>
      <c r="BY25" s="40">
        <f t="shared" si="23"/>
        <v>0.14467001416332087</v>
      </c>
      <c r="BZ25" s="40">
        <f t="shared" si="24"/>
        <v>0.16471121475056161</v>
      </c>
      <c r="CA25" s="40">
        <f t="shared" si="25"/>
        <v>0.1718023260156987</v>
      </c>
      <c r="CB25" s="40">
        <f t="shared" si="26"/>
        <v>0.19286646575061647</v>
      </c>
      <c r="CC25" s="40">
        <f t="shared" si="27"/>
        <v>0.19904907182012144</v>
      </c>
      <c r="CD25" s="40">
        <f t="shared" si="28"/>
        <v>0.21049045810304204</v>
      </c>
      <c r="CE25" s="40">
        <f t="shared" si="29"/>
        <v>0.2705325835317276</v>
      </c>
      <c r="CF25" s="40">
        <f t="shared" si="30"/>
        <v>0.30729200053436861</v>
      </c>
      <c r="CG25" s="40">
        <f t="shared" si="31"/>
        <v>0.4851760587860644</v>
      </c>
      <c r="CH25" s="40">
        <f t="shared" si="32"/>
        <v>0.5021812063208928</v>
      </c>
      <c r="CI25" s="40">
        <f t="shared" si="33"/>
        <v>0.52547052409051775</v>
      </c>
      <c r="CJ25" s="40">
        <f t="shared" si="34"/>
        <v>0.55364453672051561</v>
      </c>
      <c r="CK25" s="40">
        <f t="shared" si="35"/>
        <v>0.60042344758895616</v>
      </c>
      <c r="CL25" s="113">
        <f t="shared" si="36"/>
        <v>0.63792442897298463</v>
      </c>
      <c r="CM25" s="113">
        <f t="shared" si="37"/>
        <v>0.68881618034643122</v>
      </c>
      <c r="CN25" s="691">
        <f t="shared" si="38"/>
        <v>0.72887974700511471</v>
      </c>
      <c r="CO25" s="691">
        <f t="shared" si="39"/>
        <v>0.82801694992273234</v>
      </c>
      <c r="CP25" s="691">
        <f t="shared" si="40"/>
        <v>0.87786343602906225</v>
      </c>
      <c r="CQ25" s="691">
        <f t="shared" si="41"/>
        <v>0.93333455987102287</v>
      </c>
    </row>
    <row r="26" spans="1:95" ht="14">
      <c r="A26" s="13" t="s">
        <v>17</v>
      </c>
      <c r="B26" s="319">
        <v>131465868</v>
      </c>
      <c r="C26" s="319">
        <v>140858015</v>
      </c>
      <c r="D26" s="319">
        <v>148520299</v>
      </c>
      <c r="E26" s="319">
        <v>162646319</v>
      </c>
      <c r="F26" s="319">
        <v>171467377</v>
      </c>
      <c r="G26" s="319">
        <v>178312673</v>
      </c>
      <c r="H26" s="319">
        <v>183280711</v>
      </c>
      <c r="I26" s="319">
        <v>199000746</v>
      </c>
      <c r="J26" s="319">
        <v>205618183.16598055</v>
      </c>
      <c r="K26" s="319">
        <v>220795020.20581126</v>
      </c>
      <c r="L26" s="319">
        <v>227936441.42655879</v>
      </c>
      <c r="M26" s="319">
        <v>245898502.02486941</v>
      </c>
      <c r="N26" s="319">
        <v>263401701.93277135</v>
      </c>
      <c r="O26" s="319">
        <v>260938588.8560307</v>
      </c>
      <c r="P26" s="319">
        <v>275077531</v>
      </c>
      <c r="Q26" s="319">
        <v>272211204</v>
      </c>
      <c r="R26" s="319">
        <v>274943636</v>
      </c>
      <c r="S26" s="319">
        <v>282146235</v>
      </c>
      <c r="T26" s="340">
        <v>281663056</v>
      </c>
      <c r="U26" s="340">
        <v>282579427</v>
      </c>
      <c r="V26" s="666">
        <v>293318270</v>
      </c>
      <c r="W26" s="667">
        <v>298260285</v>
      </c>
      <c r="X26" s="290"/>
      <c r="Y26" s="13" t="s">
        <v>17</v>
      </c>
      <c r="Z26" s="319">
        <f>B26/'Population &amp; Income'!B25</f>
        <v>7424.0946464874633</v>
      </c>
      <c r="AA26" s="319">
        <f>C26/'Population &amp; Income'!C25</f>
        <v>7759.4896160414255</v>
      </c>
      <c r="AB26" s="319">
        <f>D26/'Population &amp; Income'!D25</f>
        <v>8047.2637082791507</v>
      </c>
      <c r="AC26" s="319">
        <f>E26/'Population &amp; Income'!E25</f>
        <v>8638.9928825622774</v>
      </c>
      <c r="AD26" s="319">
        <f>F26/'Population &amp; Income'!F25</f>
        <v>9002.8025307151111</v>
      </c>
      <c r="AE26" s="319">
        <f>G26/'Population &amp; Income'!G25</f>
        <v>9205.1351504826798</v>
      </c>
      <c r="AF26" s="319">
        <f>H26/'Population &amp; Income'!H25</f>
        <v>9386.9762355953899</v>
      </c>
      <c r="AG26" s="319">
        <f>I26/'Population &amp; Income'!I25</f>
        <v>9933.1509433962256</v>
      </c>
      <c r="AH26" s="319">
        <f>J26/'Population &amp; Income'!J25</f>
        <v>10074.877905138936</v>
      </c>
      <c r="AI26" s="319">
        <f>K26/'Population &amp; Income'!K25</f>
        <v>10827.531394949552</v>
      </c>
      <c r="AJ26" s="319">
        <f>L26/'Population &amp; Income'!L25</f>
        <v>11202.459400725354</v>
      </c>
      <c r="AK26" s="319">
        <f>M26/'Population &amp; Income'!M25</f>
        <v>11836.839415850072</v>
      </c>
      <c r="AL26" s="319">
        <f>N26/'Population &amp; Income'!N25</f>
        <v>12675.121598227774</v>
      </c>
      <c r="AM26" s="319">
        <f>O26/'Population &amp; Income'!O25</f>
        <v>12566.269629474149</v>
      </c>
      <c r="AN26" s="319">
        <f>P26/'Population &amp; Income'!P25</f>
        <v>13266.338606221365</v>
      </c>
      <c r="AO26" s="319">
        <f>Q26/'Population &amp; Income'!Q25</f>
        <v>13184.694565533275</v>
      </c>
      <c r="AP26" s="319">
        <f>R26/'Population &amp; Income'!R25</f>
        <v>13406.652818412327</v>
      </c>
      <c r="AQ26" s="319">
        <f>S26/'Population &amp; Income'!S25</f>
        <v>13715.727723494239</v>
      </c>
      <c r="AR26" s="319">
        <f>T26/'Population &amp; Income'!T25</f>
        <v>13894.877213753638</v>
      </c>
      <c r="AS26" s="319">
        <f>U26/'Population &amp; Income'!U25</f>
        <v>13694.181100072692</v>
      </c>
      <c r="AT26" s="319">
        <f>V26/'Population &amp; Income'!V25</f>
        <v>14231.842309558468</v>
      </c>
      <c r="AU26" s="319">
        <f>W26/'Population &amp; Income'!W25</f>
        <v>14511.057944925562</v>
      </c>
      <c r="AV26" s="690"/>
      <c r="AW26" s="690"/>
      <c r="AX26" s="13" t="s">
        <v>17</v>
      </c>
      <c r="AY26" s="40">
        <f t="shared" si="0"/>
        <v>7.14417144380015E-2</v>
      </c>
      <c r="AZ26" s="40">
        <f t="shared" si="1"/>
        <v>5.4397216942181102E-2</v>
      </c>
      <c r="BA26" s="40">
        <f t="shared" si="2"/>
        <v>9.5111712642054397E-2</v>
      </c>
      <c r="BB26" s="40">
        <f t="shared" si="3"/>
        <v>5.4234599677598604E-2</v>
      </c>
      <c r="BC26" s="40">
        <f t="shared" si="4"/>
        <v>3.9921856389043615E-2</v>
      </c>
      <c r="BD26" s="40">
        <f t="shared" si="5"/>
        <v>2.7861384815873406E-2</v>
      </c>
      <c r="BE26" s="40">
        <f t="shared" si="6"/>
        <v>8.5770264171443553E-2</v>
      </c>
      <c r="BF26" s="40">
        <f t="shared" si="7"/>
        <v>3.3253328437173532E-2</v>
      </c>
      <c r="BG26" s="40">
        <f t="shared" si="8"/>
        <v>7.3810772987812856E-2</v>
      </c>
      <c r="BH26" s="40">
        <f t="shared" si="9"/>
        <v>3.2344122680351875E-2</v>
      </c>
      <c r="BI26" s="40">
        <f t="shared" si="10"/>
        <v>7.8802935089683765E-2</v>
      </c>
      <c r="BJ26" s="40">
        <f t="shared" si="11"/>
        <v>7.1180587778170865E-2</v>
      </c>
      <c r="BK26" s="40">
        <f t="shared" si="12"/>
        <v>-9.3511661415510462E-3</v>
      </c>
      <c r="BL26" s="40">
        <f t="shared" si="13"/>
        <v>5.4184941391594119E-2</v>
      </c>
      <c r="BM26" s="40">
        <f t="shared" si="14"/>
        <v>-1.0420069533051029E-2</v>
      </c>
      <c r="BN26" s="40">
        <f t="shared" si="15"/>
        <v>1.0037911591618397E-2</v>
      </c>
      <c r="BO26" s="40">
        <f t="shared" si="16"/>
        <v>2.6196638353906107E-2</v>
      </c>
      <c r="BP26" s="691">
        <f t="shared" si="17"/>
        <v>-1.712512662095243E-3</v>
      </c>
      <c r="BQ26" s="691">
        <f t="shared" si="18"/>
        <v>3.2534298711862303E-3</v>
      </c>
      <c r="BR26" s="691">
        <f t="shared" si="19"/>
        <v>3.8002918733358461E-2</v>
      </c>
      <c r="BS26" s="691">
        <f t="shared" si="20"/>
        <v>1.6848643625233438E-2</v>
      </c>
      <c r="BT26" s="40"/>
      <c r="BU26" s="3"/>
      <c r="BV26" s="13" t="s">
        <v>17</v>
      </c>
      <c r="BW26" s="40">
        <f t="shared" si="21"/>
        <v>7.14417144380015E-2</v>
      </c>
      <c r="BX26" s="40">
        <f t="shared" si="22"/>
        <v>0.12972516181918792</v>
      </c>
      <c r="BY26" s="40">
        <f t="shared" si="23"/>
        <v>0.23717525677463294</v>
      </c>
      <c r="BZ26" s="40">
        <f t="shared" si="24"/>
        <v>0.30427296155683542</v>
      </c>
      <c r="CA26" s="40">
        <f t="shared" si="25"/>
        <v>0.35634195942022001</v>
      </c>
      <c r="CB26" s="40">
        <f t="shared" si="26"/>
        <v>0.39413152469354251</v>
      </c>
      <c r="CC26" s="40">
        <f t="shared" si="27"/>
        <v>0.51370655385624497</v>
      </c>
      <c r="CD26" s="40">
        <f t="shared" si="28"/>
        <v>0.56404233504912882</v>
      </c>
      <c r="CE26" s="40">
        <f t="shared" si="29"/>
        <v>0.67948550878476888</v>
      </c>
      <c r="CF26" s="40">
        <f t="shared" si="30"/>
        <v>0.73380699412077655</v>
      </c>
      <c r="CG26" s="40">
        <f t="shared" si="31"/>
        <v>0.87043607413651591</v>
      </c>
      <c r="CH26" s="40">
        <f t="shared" si="32"/>
        <v>1.0035748132950475</v>
      </c>
      <c r="CI26" s="40">
        <f t="shared" si="33"/>
        <v>0.98483905233889835</v>
      </c>
      <c r="CJ26" s="40">
        <f t="shared" si="34"/>
        <v>1.0923874400616287</v>
      </c>
      <c r="CK26" s="40">
        <f t="shared" si="35"/>
        <v>1.070584617446104</v>
      </c>
      <c r="CL26" s="113">
        <f t="shared" si="36"/>
        <v>1.0913689627789929</v>
      </c>
      <c r="CM26" s="113">
        <f t="shared" si="37"/>
        <v>1.1461557991614979</v>
      </c>
      <c r="CN26" s="691">
        <f t="shared" si="38"/>
        <v>1.1424804801806048</v>
      </c>
      <c r="CO26" s="691">
        <f t="shared" si="39"/>
        <v>1.1494508901732579</v>
      </c>
      <c r="CP26" s="691">
        <f t="shared" si="40"/>
        <v>1.2311362976738571</v>
      </c>
      <c r="CQ26" s="691">
        <f t="shared" si="41"/>
        <v>1.2687279180326867</v>
      </c>
    </row>
    <row r="27" spans="1:95" ht="14">
      <c r="A27" s="13" t="s">
        <v>18</v>
      </c>
      <c r="B27" s="319">
        <v>112212888</v>
      </c>
      <c r="C27" s="319">
        <v>120624112</v>
      </c>
      <c r="D27" s="319">
        <v>125847779</v>
      </c>
      <c r="E27" s="319">
        <v>135926007</v>
      </c>
      <c r="F27" s="319">
        <v>142101341</v>
      </c>
      <c r="G27" s="319">
        <v>147928802</v>
      </c>
      <c r="H27" s="319">
        <v>163590541</v>
      </c>
      <c r="I27" s="319">
        <v>172126257</v>
      </c>
      <c r="J27" s="319">
        <v>174960756.99590239</v>
      </c>
      <c r="K27" s="319">
        <v>188825875.79956138</v>
      </c>
      <c r="L27" s="319">
        <v>194382914.0043897</v>
      </c>
      <c r="M27" s="319">
        <v>212750868.36927408</v>
      </c>
      <c r="N27" s="319">
        <v>217091918.11297104</v>
      </c>
      <c r="O27" s="319">
        <v>214111586.07391387</v>
      </c>
      <c r="P27" s="319">
        <v>220130806</v>
      </c>
      <c r="Q27" s="319">
        <v>225081011</v>
      </c>
      <c r="R27" s="319">
        <v>224644297</v>
      </c>
      <c r="S27" s="319">
        <v>231553556</v>
      </c>
      <c r="T27" s="340">
        <v>235108160</v>
      </c>
      <c r="U27" s="340">
        <v>239726968</v>
      </c>
      <c r="V27" s="666">
        <v>240993132</v>
      </c>
      <c r="W27" s="667">
        <v>245744982</v>
      </c>
      <c r="X27" s="290"/>
      <c r="Y27" s="13" t="s">
        <v>18</v>
      </c>
      <c r="Z27" s="319">
        <f>B27/'Population &amp; Income'!B26</f>
        <v>6914.7700271136309</v>
      </c>
      <c r="AA27" s="319">
        <f>C27/'Population &amp; Income'!C26</f>
        <v>7401.6145302816467</v>
      </c>
      <c r="AB27" s="319">
        <f>D27/'Population &amp; Income'!D26</f>
        <v>7702.7652711470191</v>
      </c>
      <c r="AC27" s="319">
        <f>E27/'Population &amp; Income'!E26</f>
        <v>8252.945173041895</v>
      </c>
      <c r="AD27" s="319">
        <f>F27/'Population &amp; Income'!F26</f>
        <v>8476.5772488666189</v>
      </c>
      <c r="AE27" s="319">
        <f>G27/'Population &amp; Income'!G26</f>
        <v>8850.5924374775641</v>
      </c>
      <c r="AF27" s="319">
        <f>H27/'Population &amp; Income'!H26</f>
        <v>9623.5390905347376</v>
      </c>
      <c r="AG27" s="319">
        <f>I27/'Population &amp; Income'!I26</f>
        <v>10123.882896129868</v>
      </c>
      <c r="AH27" s="319">
        <f>J27/'Population &amp; Income'!J26</f>
        <v>10170.363134098843</v>
      </c>
      <c r="AI27" s="319">
        <f>K27/'Population &amp; Income'!K26</f>
        <v>10864.549815855085</v>
      </c>
      <c r="AJ27" s="319">
        <f>L27/'Population &amp; Income'!L26</f>
        <v>11077.8431643238</v>
      </c>
      <c r="AK27" s="319">
        <f>M27/'Population &amp; Income'!M26</f>
        <v>12024.578554754653</v>
      </c>
      <c r="AL27" s="319">
        <f>N27/'Population &amp; Income'!N26</f>
        <v>12403.83488246892</v>
      </c>
      <c r="AM27" s="319">
        <f>O27/'Population &amp; Income'!O26</f>
        <v>12190.365866198694</v>
      </c>
      <c r="AN27" s="319">
        <f>P27/'Population &amp; Income'!P26</f>
        <v>12526.649177715813</v>
      </c>
      <c r="AO27" s="319">
        <f>Q27/'Population &amp; Income'!Q26</f>
        <v>12825.859650122515</v>
      </c>
      <c r="AP27" s="319">
        <f>R27/'Population &amp; Income'!R26</f>
        <v>12822.163070776256</v>
      </c>
      <c r="AQ27" s="319">
        <f>S27/'Population &amp; Income'!S26</f>
        <v>13121.411911373038</v>
      </c>
      <c r="AR27" s="319">
        <f>T27/'Population &amp; Income'!T26</f>
        <v>13379.704074664238</v>
      </c>
      <c r="AS27" s="319">
        <f>U27/'Population &amp; Income'!U26</f>
        <v>13608.47910990009</v>
      </c>
      <c r="AT27" s="319">
        <f>V27/'Population &amp; Income'!V26</f>
        <v>13606.206639566395</v>
      </c>
      <c r="AU27" s="319">
        <f>W27/'Population &amp; Income'!W26</f>
        <v>13927.963160281115</v>
      </c>
      <c r="AV27" s="690"/>
      <c r="AW27" s="690"/>
      <c r="AX27" s="13" t="s">
        <v>18</v>
      </c>
      <c r="AY27" s="40">
        <f t="shared" si="0"/>
        <v>7.4957735692534708E-2</v>
      </c>
      <c r="AZ27" s="40">
        <f t="shared" si="1"/>
        <v>4.3305330197995574E-2</v>
      </c>
      <c r="BA27" s="40">
        <f t="shared" si="2"/>
        <v>8.0082684653497146E-2</v>
      </c>
      <c r="BB27" s="40">
        <f t="shared" si="3"/>
        <v>4.5431585436038008E-2</v>
      </c>
      <c r="BC27" s="40">
        <f t="shared" si="4"/>
        <v>4.1009190757742391E-2</v>
      </c>
      <c r="BD27" s="40">
        <f t="shared" si="5"/>
        <v>0.10587349311461335</v>
      </c>
      <c r="BE27" s="40">
        <f t="shared" si="6"/>
        <v>5.217731995885997E-2</v>
      </c>
      <c r="BF27" s="40">
        <f t="shared" si="7"/>
        <v>1.6467563085987451E-2</v>
      </c>
      <c r="BG27" s="40">
        <f t="shared" si="8"/>
        <v>7.9247021113332955E-2</v>
      </c>
      <c r="BH27" s="40">
        <f t="shared" si="9"/>
        <v>2.9429431645941983E-2</v>
      </c>
      <c r="BI27" s="40">
        <f t="shared" si="10"/>
        <v>9.4493667094987466E-2</v>
      </c>
      <c r="BJ27" s="40">
        <f t="shared" si="11"/>
        <v>2.0404380846813508E-2</v>
      </c>
      <c r="BK27" s="40">
        <f t="shared" si="12"/>
        <v>-1.3728433858630564E-2</v>
      </c>
      <c r="BL27" s="40">
        <f t="shared" si="13"/>
        <v>2.8112537188941383E-2</v>
      </c>
      <c r="BM27" s="40">
        <f t="shared" si="14"/>
        <v>2.2487561327513606E-2</v>
      </c>
      <c r="BN27" s="40">
        <f t="shared" si="15"/>
        <v>-1.9402525253451968E-3</v>
      </c>
      <c r="BO27" s="40">
        <f t="shared" si="16"/>
        <v>3.0756440703233166E-2</v>
      </c>
      <c r="BP27" s="691">
        <f t="shared" si="17"/>
        <v>1.5351109529062901E-2</v>
      </c>
      <c r="BQ27" s="691">
        <f t="shared" si="18"/>
        <v>1.9645460200105349E-2</v>
      </c>
      <c r="BR27" s="691">
        <f t="shared" si="19"/>
        <v>5.2816919621658919E-3</v>
      </c>
      <c r="BS27" s="691">
        <f t="shared" si="20"/>
        <v>1.9717781832886423E-2</v>
      </c>
      <c r="BT27" s="40"/>
      <c r="BU27" s="3"/>
      <c r="BV27" s="13" t="s">
        <v>18</v>
      </c>
      <c r="BW27" s="40">
        <f t="shared" si="21"/>
        <v>7.4957735692534708E-2</v>
      </c>
      <c r="BX27" s="40">
        <f t="shared" si="22"/>
        <v>0.12150913538558958</v>
      </c>
      <c r="BY27" s="40">
        <f t="shared" si="23"/>
        <v>0.21132259781068999</v>
      </c>
      <c r="BZ27" s="40">
        <f t="shared" si="24"/>
        <v>0.26635490390372984</v>
      </c>
      <c r="CA27" s="40">
        <f t="shared" si="25"/>
        <v>0.31828709372492042</v>
      </c>
      <c r="CB27" s="40">
        <f t="shared" si="26"/>
        <v>0.45785875326548942</v>
      </c>
      <c r="CC27" s="40">
        <f t="shared" si="27"/>
        <v>0.5339259158894476</v>
      </c>
      <c r="CD27" s="40">
        <f t="shared" si="28"/>
        <v>0.55918593767858815</v>
      </c>
      <c r="CE27" s="40">
        <f t="shared" si="29"/>
        <v>0.68274677860141508</v>
      </c>
      <c r="CF27" s="40">
        <f t="shared" si="30"/>
        <v>0.73226905989969449</v>
      </c>
      <c r="CG27" s="40">
        <f t="shared" si="31"/>
        <v>0.89595751576480309</v>
      </c>
      <c r="CH27" s="40">
        <f t="shared" si="32"/>
        <v>0.9346433549858465</v>
      </c>
      <c r="CI27" s="40">
        <f t="shared" si="33"/>
        <v>0.90808373164688416</v>
      </c>
      <c r="CJ27" s="40">
        <f t="shared" si="34"/>
        <v>0.96172480651242132</v>
      </c>
      <c r="CK27" s="40">
        <f t="shared" si="35"/>
        <v>1.0058392134065741</v>
      </c>
      <c r="CL27" s="113">
        <f t="shared" si="36"/>
        <v>1.0019473788073257</v>
      </c>
      <c r="CM27" s="113">
        <f t="shared" si="37"/>
        <v>1.0635201546546063</v>
      </c>
      <c r="CN27" s="691">
        <f t="shared" si="38"/>
        <v>1.0951974785641378</v>
      </c>
      <c r="CO27" s="691">
        <f t="shared" si="39"/>
        <v>1.1363585972406307</v>
      </c>
      <c r="CP27" s="691">
        <f t="shared" si="40"/>
        <v>1.1476421852719805</v>
      </c>
      <c r="CQ27" s="691">
        <f t="shared" si="41"/>
        <v>1.189988925336277</v>
      </c>
    </row>
    <row r="28" spans="1:95" ht="14">
      <c r="A28" s="13" t="s">
        <v>19</v>
      </c>
      <c r="B28" s="319">
        <v>121740584</v>
      </c>
      <c r="C28" s="319">
        <v>142289140</v>
      </c>
      <c r="D28" s="319">
        <v>147317024</v>
      </c>
      <c r="E28" s="319">
        <v>159447643</v>
      </c>
      <c r="F28" s="319">
        <v>167978933</v>
      </c>
      <c r="G28" s="319">
        <v>186583518</v>
      </c>
      <c r="H28" s="319">
        <v>195621143</v>
      </c>
      <c r="I28" s="319">
        <v>199588824</v>
      </c>
      <c r="J28" s="319">
        <v>206184626.87970546</v>
      </c>
      <c r="K28" s="319">
        <v>235977689.16473711</v>
      </c>
      <c r="L28" s="319">
        <v>244536576.42908454</v>
      </c>
      <c r="M28" s="319">
        <v>260977701.41555429</v>
      </c>
      <c r="N28" s="319">
        <v>264751049.46570283</v>
      </c>
      <c r="O28" s="319">
        <v>266597433.81252936</v>
      </c>
      <c r="P28" s="319">
        <v>270868798</v>
      </c>
      <c r="Q28" s="319">
        <v>281178988</v>
      </c>
      <c r="R28" s="319">
        <v>284539475</v>
      </c>
      <c r="S28" s="319">
        <v>287368944</v>
      </c>
      <c r="T28" s="340">
        <v>297192093</v>
      </c>
      <c r="U28" s="340">
        <v>305513486</v>
      </c>
      <c r="V28" s="666">
        <v>311815274</v>
      </c>
      <c r="W28" s="667">
        <v>315780769</v>
      </c>
      <c r="X28" s="290"/>
      <c r="Y28" s="13" t="s">
        <v>19</v>
      </c>
      <c r="Z28" s="319">
        <f>B28/'Population &amp; Income'!B27</f>
        <v>5580.590602796241</v>
      </c>
      <c r="AA28" s="319">
        <f>C28/'Population &amp; Income'!C27</f>
        <v>6447.4665820834653</v>
      </c>
      <c r="AB28" s="319">
        <f>D28/'Population &amp; Income'!D27</f>
        <v>6572.5450165075399</v>
      </c>
      <c r="AC28" s="319">
        <f>E28/'Population &amp; Income'!E27</f>
        <v>7080.2683392539966</v>
      </c>
      <c r="AD28" s="319">
        <f>F28/'Population &amp; Income'!F27</f>
        <v>7358.4603557035216</v>
      </c>
      <c r="AE28" s="319">
        <f>G28/'Population &amp; Income'!G27</f>
        <v>8156.2999650288511</v>
      </c>
      <c r="AF28" s="319">
        <f>H28/'Population &amp; Income'!H27</f>
        <v>8352.7388129803585</v>
      </c>
      <c r="AG28" s="319">
        <f>I28/'Population &amp; Income'!I27</f>
        <v>8409.4052414258022</v>
      </c>
      <c r="AH28" s="319">
        <f>J28/'Population &amp; Income'!J27</f>
        <v>8620.4794246887468</v>
      </c>
      <c r="AI28" s="319">
        <f>K28/'Population &amp; Income'!K27</f>
        <v>9776.5956483712598</v>
      </c>
      <c r="AJ28" s="319">
        <f>L28/'Population &amp; Income'!L27</f>
        <v>10033.093030364935</v>
      </c>
      <c r="AK28" s="319">
        <f>M28/'Population &amp; Income'!M27</f>
        <v>10570.606400241171</v>
      </c>
      <c r="AL28" s="319">
        <f>N28/'Population &amp; Income'!N27</f>
        <v>10719.533948728757</v>
      </c>
      <c r="AM28" s="319">
        <f>O28/'Population &amp; Income'!O27</f>
        <v>10749.029667467517</v>
      </c>
      <c r="AN28" s="319">
        <f>P28/'Population &amp; Income'!P27</f>
        <v>10999.748142131979</v>
      </c>
      <c r="AO28" s="319">
        <f>Q28/'Population &amp; Income'!Q27</f>
        <v>11334.206223798774</v>
      </c>
      <c r="AP28" s="319">
        <f>R28/'Population &amp; Income'!R27</f>
        <v>11458.580662048969</v>
      </c>
      <c r="AQ28" s="319">
        <f>S28/'Population &amp; Income'!S27</f>
        <v>11708.794523896835</v>
      </c>
      <c r="AR28" s="319">
        <f>T28/'Population &amp; Income'!T27</f>
        <v>12070.675155355184</v>
      </c>
      <c r="AS28" s="319">
        <f>U28/'Population &amp; Income'!U27</f>
        <v>12476.558418752807</v>
      </c>
      <c r="AT28" s="319">
        <f>V28/'Population &amp; Income'!V27</f>
        <v>12830.848242942968</v>
      </c>
      <c r="AU28" s="319">
        <f>W28/'Population &amp; Income'!W27</f>
        <v>13101.849182640444</v>
      </c>
      <c r="AV28" s="690"/>
      <c r="AW28" s="690"/>
      <c r="AX28" s="13" t="s">
        <v>19</v>
      </c>
      <c r="AY28" s="40">
        <f t="shared" si="0"/>
        <v>0.16878969465104587</v>
      </c>
      <c r="AZ28" s="40">
        <f t="shared" si="1"/>
        <v>3.5335683383847849E-2</v>
      </c>
      <c r="BA28" s="40">
        <f t="shared" si="2"/>
        <v>8.2343633278934555E-2</v>
      </c>
      <c r="BB28" s="40">
        <f t="shared" si="3"/>
        <v>5.3505275082680277E-2</v>
      </c>
      <c r="BC28" s="40">
        <f t="shared" si="4"/>
        <v>0.11075546598453509</v>
      </c>
      <c r="BD28" s="40">
        <f t="shared" si="5"/>
        <v>4.8437424145899105E-2</v>
      </c>
      <c r="BE28" s="40">
        <f t="shared" si="6"/>
        <v>2.0282475294605553E-2</v>
      </c>
      <c r="BF28" s="40">
        <f t="shared" si="7"/>
        <v>3.304695497231578E-2</v>
      </c>
      <c r="BG28" s="40">
        <f t="shared" si="8"/>
        <v>0.14449701093580486</v>
      </c>
      <c r="BH28" s="40">
        <f t="shared" si="9"/>
        <v>3.6269900322536151E-2</v>
      </c>
      <c r="BI28" s="40">
        <f t="shared" si="10"/>
        <v>6.7233807009797822E-2</v>
      </c>
      <c r="BJ28" s="40">
        <f t="shared" si="11"/>
        <v>1.4458507488117738E-2</v>
      </c>
      <c r="BK28" s="40">
        <f t="shared" si="12"/>
        <v>6.9740397651028513E-3</v>
      </c>
      <c r="BL28" s="40">
        <f t="shared" si="13"/>
        <v>1.6021775327643466E-2</v>
      </c>
      <c r="BM28" s="40">
        <f t="shared" si="14"/>
        <v>3.80634095773556E-2</v>
      </c>
      <c r="BN28" s="40">
        <f t="shared" si="15"/>
        <v>1.1951415800671421E-2</v>
      </c>
      <c r="BO28" s="40">
        <f t="shared" si="16"/>
        <v>9.9440297343628675E-3</v>
      </c>
      <c r="BP28" s="691">
        <f t="shared" si="17"/>
        <v>3.4183057025118202E-2</v>
      </c>
      <c r="BQ28" s="691">
        <f t="shared" si="18"/>
        <v>2.8000048440050523E-2</v>
      </c>
      <c r="BR28" s="691">
        <f t="shared" si="19"/>
        <v>2.0626873407480283E-2</v>
      </c>
      <c r="BS28" s="691">
        <f t="shared" si="20"/>
        <v>1.2717449498641301E-2</v>
      </c>
      <c r="BT28" s="40"/>
      <c r="BU28" s="3"/>
      <c r="BV28" s="13" t="s">
        <v>19</v>
      </c>
      <c r="BW28" s="40">
        <f t="shared" si="21"/>
        <v>0.16878969465104587</v>
      </c>
      <c r="BX28" s="40">
        <f t="shared" si="22"/>
        <v>0.21008967724353941</v>
      </c>
      <c r="BY28" s="40">
        <f t="shared" si="23"/>
        <v>0.30973285786110571</v>
      </c>
      <c r="BZ28" s="40">
        <f t="shared" si="24"/>
        <v>0.37981047470578916</v>
      </c>
      <c r="CA28" s="40">
        <f t="shared" si="25"/>
        <v>0.53263202680217137</v>
      </c>
      <c r="CB28" s="40">
        <f t="shared" si="26"/>
        <v>0.60686877434397724</v>
      </c>
      <c r="CC28" s="40">
        <f t="shared" si="27"/>
        <v>0.63946005056128197</v>
      </c>
      <c r="CD28" s="40">
        <f t="shared" si="28"/>
        <v>0.69363921303109122</v>
      </c>
      <c r="CE28" s="40">
        <f t="shared" si="29"/>
        <v>0.93836501691775276</v>
      </c>
      <c r="CF28" s="40">
        <f t="shared" si="30"/>
        <v>1.0086693228700507</v>
      </c>
      <c r="CG28" s="40">
        <f t="shared" si="31"/>
        <v>1.143719808470397</v>
      </c>
      <c r="CH28" s="40">
        <f t="shared" si="32"/>
        <v>1.1747147973735925</v>
      </c>
      <c r="CI28" s="40">
        <f t="shared" si="33"/>
        <v>1.1898813448482337</v>
      </c>
      <c r="CJ28" s="40">
        <f t="shared" si="34"/>
        <v>1.2249671317495898</v>
      </c>
      <c r="CK28" s="40">
        <f t="shared" si="35"/>
        <v>1.3096569669815286</v>
      </c>
      <c r="CL28" s="113">
        <f t="shared" si="36"/>
        <v>1.3372606377508425</v>
      </c>
      <c r="CM28" s="113">
        <f t="shared" si="37"/>
        <v>1.3605024270295927</v>
      </c>
      <c r="CN28" s="691">
        <f t="shared" si="38"/>
        <v>1.4411916161006753</v>
      </c>
      <c r="CO28" s="691">
        <f t="shared" si="39"/>
        <v>1.5095450996029394</v>
      </c>
      <c r="CP28" s="691">
        <f t="shared" si="40"/>
        <v>1.5613091686828116</v>
      </c>
      <c r="CQ28" s="691">
        <f t="shared" si="41"/>
        <v>1.5938824886859422</v>
      </c>
    </row>
    <row r="29" spans="1:95" ht="14">
      <c r="A29" s="13" t="s">
        <v>20</v>
      </c>
      <c r="B29" s="319">
        <v>54517725</v>
      </c>
      <c r="C29" s="319">
        <v>62808062</v>
      </c>
      <c r="D29" s="319">
        <v>63626302</v>
      </c>
      <c r="E29" s="319">
        <v>66676203</v>
      </c>
      <c r="F29" s="319">
        <v>70289257</v>
      </c>
      <c r="G29" s="319">
        <v>72140113</v>
      </c>
      <c r="H29" s="319">
        <v>73471162</v>
      </c>
      <c r="I29" s="319">
        <v>76320421</v>
      </c>
      <c r="J29" s="319">
        <v>77456244.329273298</v>
      </c>
      <c r="K29" s="319">
        <v>80686239.177083567</v>
      </c>
      <c r="L29" s="319">
        <v>83024050.962799996</v>
      </c>
      <c r="M29" s="319">
        <v>96442733.24244605</v>
      </c>
      <c r="N29" s="319">
        <v>96732584.775959134</v>
      </c>
      <c r="O29" s="319">
        <v>95660398.139535561</v>
      </c>
      <c r="P29" s="319">
        <v>96853203</v>
      </c>
      <c r="Q29" s="319">
        <v>98692091</v>
      </c>
      <c r="R29" s="319">
        <v>101933800</v>
      </c>
      <c r="S29" s="319">
        <v>106928963</v>
      </c>
      <c r="T29" s="340">
        <v>109071372</v>
      </c>
      <c r="U29" s="340">
        <v>113800074</v>
      </c>
      <c r="V29" s="666">
        <v>117720159</v>
      </c>
      <c r="W29" s="667">
        <v>119104430</v>
      </c>
      <c r="X29" s="290"/>
      <c r="Y29" s="13" t="s">
        <v>20</v>
      </c>
      <c r="Z29" s="319">
        <f>B29/'Population &amp; Income'!B28</f>
        <v>6949.3594646271513</v>
      </c>
      <c r="AA29" s="319">
        <f>C29/'Population &amp; Income'!C28</f>
        <v>7998.9890473764644</v>
      </c>
      <c r="AB29" s="319">
        <f>D29/'Population &amp; Income'!D28</f>
        <v>8165.5931724845996</v>
      </c>
      <c r="AC29" s="319">
        <f>E29/'Population &amp; Income'!E28</f>
        <v>8431.487481031867</v>
      </c>
      <c r="AD29" s="319">
        <f>F29/'Population &amp; Income'!F28</f>
        <v>8880.5125710675929</v>
      </c>
      <c r="AE29" s="319">
        <f>G29/'Population &amp; Income'!G28</f>
        <v>9108.6001262626269</v>
      </c>
      <c r="AF29" s="319">
        <f>H29/'Population &amp; Income'!H28</f>
        <v>9301.3244714520824</v>
      </c>
      <c r="AG29" s="319">
        <f>I29/'Population &amp; Income'!I28</f>
        <v>9665.7068135764948</v>
      </c>
      <c r="AH29" s="319">
        <f>J29/'Population &amp; Income'!J28</f>
        <v>9813.2832040128342</v>
      </c>
      <c r="AI29" s="319">
        <f>K29/'Population &amp; Income'!K28</f>
        <v>10200.535926306393</v>
      </c>
      <c r="AJ29" s="319">
        <f>L29/'Population &amp; Income'!L28</f>
        <v>10411.844866165036</v>
      </c>
      <c r="AK29" s="319">
        <f>M29/'Population &amp; Income'!M28</f>
        <v>12102.237826884935</v>
      </c>
      <c r="AL29" s="319">
        <f>N29/'Population &amp; Income'!N28</f>
        <v>12166.090400699175</v>
      </c>
      <c r="AM29" s="319">
        <f>O29/'Population &amp; Income'!O28</f>
        <v>12131.94649835581</v>
      </c>
      <c r="AN29" s="319">
        <f>P29/'Population &amp; Income'!P28</f>
        <v>12314.456834075016</v>
      </c>
      <c r="AO29" s="319">
        <f>Q29/'Population &amp; Income'!Q28</f>
        <v>12677.211432241491</v>
      </c>
      <c r="AP29" s="319">
        <f>R29/'Population &amp; Income'!R28</f>
        <v>13469.053911205074</v>
      </c>
      <c r="AQ29" s="319">
        <f>S29/'Population &amp; Income'!S28</f>
        <v>14110.446423858539</v>
      </c>
      <c r="AR29" s="319">
        <f>T29/'Population &amp; Income'!T28</f>
        <v>14321.346113445377</v>
      </c>
      <c r="AS29" s="319">
        <f>U29/'Population &amp; Income'!U28</f>
        <v>14981.578988941548</v>
      </c>
      <c r="AT29" s="319">
        <f>V29/'Population &amp; Income'!V28</f>
        <v>15426.570436377931</v>
      </c>
      <c r="AU29" s="319">
        <f>W29/'Population &amp; Income'!W28</f>
        <v>15696.419346336321</v>
      </c>
      <c r="AV29" s="690"/>
      <c r="AW29" s="690"/>
      <c r="AX29" s="13" t="s">
        <v>20</v>
      </c>
      <c r="AY29" s="40">
        <f t="shared" si="0"/>
        <v>0.15206681863559054</v>
      </c>
      <c r="AZ29" s="40">
        <f t="shared" si="1"/>
        <v>1.3027626931077733E-2</v>
      </c>
      <c r="BA29" s="40">
        <f t="shared" si="2"/>
        <v>4.7934594721535127E-2</v>
      </c>
      <c r="BB29" s="40">
        <f t="shared" si="3"/>
        <v>5.4188058669147672E-2</v>
      </c>
      <c r="BC29" s="40">
        <f t="shared" si="4"/>
        <v>2.6331989823138977E-2</v>
      </c>
      <c r="BD29" s="40">
        <f t="shared" si="5"/>
        <v>1.8450885986275069E-2</v>
      </c>
      <c r="BE29" s="40">
        <f t="shared" si="6"/>
        <v>3.8780644302318236E-2</v>
      </c>
      <c r="BF29" s="40">
        <f t="shared" si="7"/>
        <v>1.4882299054315993E-2</v>
      </c>
      <c r="BG29" s="40">
        <f t="shared" si="8"/>
        <v>4.1700896755066982E-2</v>
      </c>
      <c r="BH29" s="40">
        <f t="shared" si="9"/>
        <v>2.8974107723444525E-2</v>
      </c>
      <c r="BI29" s="40">
        <f t="shared" si="10"/>
        <v>0.16162403693910898</v>
      </c>
      <c r="BJ29" s="40">
        <f t="shared" si="11"/>
        <v>3.0054263682514088E-3</v>
      </c>
      <c r="BK29" s="40">
        <f t="shared" si="12"/>
        <v>-1.1084027568443953E-2</v>
      </c>
      <c r="BL29" s="40">
        <f t="shared" si="13"/>
        <v>1.2469160526851953E-2</v>
      </c>
      <c r="BM29" s="40">
        <f t="shared" si="14"/>
        <v>1.8986341628784337E-2</v>
      </c>
      <c r="BN29" s="40">
        <f t="shared" si="15"/>
        <v>3.2846694878518684E-2</v>
      </c>
      <c r="BO29" s="40">
        <f t="shared" si="16"/>
        <v>4.9003990825418065E-2</v>
      </c>
      <c r="BP29" s="691">
        <f t="shared" si="17"/>
        <v>2.003581574058658E-2</v>
      </c>
      <c r="BQ29" s="691">
        <f t="shared" si="18"/>
        <v>4.3354199303553276E-2</v>
      </c>
      <c r="BR29" s="691">
        <f t="shared" si="19"/>
        <v>3.4447121712767953E-2</v>
      </c>
      <c r="BS29" s="691">
        <f t="shared" si="20"/>
        <v>1.1758997029557188E-2</v>
      </c>
      <c r="BT29" s="40"/>
      <c r="BU29" s="3"/>
      <c r="BV29" s="13" t="s">
        <v>20</v>
      </c>
      <c r="BW29" s="40">
        <f t="shared" si="21"/>
        <v>0.15206681863559054</v>
      </c>
      <c r="BX29" s="40">
        <f t="shared" si="22"/>
        <v>0.16707551534844861</v>
      </c>
      <c r="BY29" s="40">
        <f t="shared" si="23"/>
        <v>0.22301880718610323</v>
      </c>
      <c r="BZ29" s="40">
        <f t="shared" si="24"/>
        <v>0.28929182206337478</v>
      </c>
      <c r="CA29" s="40">
        <f t="shared" si="25"/>
        <v>0.3232414412010039</v>
      </c>
      <c r="CB29" s="40">
        <f t="shared" si="26"/>
        <v>0.34765641816491794</v>
      </c>
      <c r="CC29" s="40">
        <f t="shared" si="27"/>
        <v>0.39991940235950785</v>
      </c>
      <c r="CD29" s="40">
        <f t="shared" si="28"/>
        <v>0.42075342155736134</v>
      </c>
      <c r="CE29" s="40">
        <f t="shared" si="29"/>
        <v>0.48000011330413306</v>
      </c>
      <c r="CF29" s="40">
        <f t="shared" si="30"/>
        <v>0.52288179601771712</v>
      </c>
      <c r="CG29" s="40">
        <f t="shared" si="31"/>
        <v>0.76901609967118123</v>
      </c>
      <c r="CH29" s="40">
        <f t="shared" si="32"/>
        <v>0.77433274730299428</v>
      </c>
      <c r="CI29" s="40">
        <f t="shared" si="33"/>
        <v>0.75466599421629499</v>
      </c>
      <c r="CJ29" s="40">
        <f t="shared" si="34"/>
        <v>0.77654520616918621</v>
      </c>
      <c r="CK29" s="40">
        <f t="shared" si="35"/>
        <v>0.81027530037249351</v>
      </c>
      <c r="CL29" s="113">
        <f t="shared" si="36"/>
        <v>0.86973686080994761</v>
      </c>
      <c r="CM29" s="113">
        <f t="shared" si="37"/>
        <v>0.96136142878302422</v>
      </c>
      <c r="CN29" s="691">
        <f t="shared" si="38"/>
        <v>1.0006589049708146</v>
      </c>
      <c r="CO29" s="691">
        <f t="shared" si="39"/>
        <v>1.0873958698753479</v>
      </c>
      <c r="CP29" s="691">
        <f t="shared" si="40"/>
        <v>1.1593006494676732</v>
      </c>
      <c r="CQ29" s="691">
        <f t="shared" si="41"/>
        <v>1.1846918593906843</v>
      </c>
    </row>
    <row r="30" spans="1:95" ht="14">
      <c r="A30" s="13" t="s">
        <v>21</v>
      </c>
      <c r="B30" s="319">
        <v>75955248</v>
      </c>
      <c r="C30" s="319">
        <v>84267041</v>
      </c>
      <c r="D30" s="319">
        <v>88400454</v>
      </c>
      <c r="E30" s="319">
        <v>101864607</v>
      </c>
      <c r="F30" s="319">
        <v>104184204</v>
      </c>
      <c r="G30" s="319">
        <v>108937754</v>
      </c>
      <c r="H30" s="319">
        <v>114094118</v>
      </c>
      <c r="I30" s="319">
        <v>120272350</v>
      </c>
      <c r="J30" s="319">
        <v>123391310.06882289</v>
      </c>
      <c r="K30" s="319">
        <v>129999555.05067609</v>
      </c>
      <c r="L30" s="319">
        <v>134352135.20074496</v>
      </c>
      <c r="M30" s="319">
        <v>149005678.89334279</v>
      </c>
      <c r="N30" s="319">
        <v>150143931.76132384</v>
      </c>
      <c r="O30" s="319">
        <v>148612333.55643377</v>
      </c>
      <c r="P30" s="319">
        <v>148276546</v>
      </c>
      <c r="Q30" s="319">
        <v>149645617</v>
      </c>
      <c r="R30" s="319">
        <v>151689774</v>
      </c>
      <c r="S30" s="319">
        <v>153273927</v>
      </c>
      <c r="T30" s="340">
        <v>157621569</v>
      </c>
      <c r="U30" s="340">
        <v>158790630</v>
      </c>
      <c r="V30" s="666">
        <v>163609314</v>
      </c>
      <c r="W30" s="667">
        <v>173045386</v>
      </c>
      <c r="X30" s="290"/>
      <c r="Y30" s="13" t="s">
        <v>21</v>
      </c>
      <c r="Z30" s="319">
        <f>B30/'Population &amp; Income'!B29</f>
        <v>5146.3681821261607</v>
      </c>
      <c r="AA30" s="319">
        <f>C30/'Population &amp; Income'!C29</f>
        <v>5595.7926157115344</v>
      </c>
      <c r="AB30" s="319">
        <f>D30/'Population &amp; Income'!D29</f>
        <v>5778.9405765836436</v>
      </c>
      <c r="AC30" s="319">
        <f>E30/'Population &amp; Income'!E29</f>
        <v>6548.6729026036646</v>
      </c>
      <c r="AD30" s="319">
        <f>F30/'Population &amp; Income'!F29</f>
        <v>6614.450130150467</v>
      </c>
      <c r="AE30" s="319">
        <f>G30/'Population &amp; Income'!G29</f>
        <v>6893.9219086191624</v>
      </c>
      <c r="AF30" s="319">
        <f>H30/'Population &amp; Income'!H29</f>
        <v>7172.122076942419</v>
      </c>
      <c r="AG30" s="319">
        <f>I30/'Population &amp; Income'!I29</f>
        <v>7502.4858087455559</v>
      </c>
      <c r="AH30" s="319">
        <f>J30/'Population &amp; Income'!J29</f>
        <v>7581.6473160567057</v>
      </c>
      <c r="AI30" s="319">
        <f>K30/'Population &amp; Income'!K29</f>
        <v>7963.2192986631608</v>
      </c>
      <c r="AJ30" s="319">
        <f>L30/'Population &amp; Income'!L29</f>
        <v>8103.2650905153778</v>
      </c>
      <c r="AK30" s="319">
        <f>M30/'Population &amp; Income'!M29</f>
        <v>8789.3398745557006</v>
      </c>
      <c r="AL30" s="319">
        <f>N30/'Population &amp; Income'!N29</f>
        <v>8855.4368482054761</v>
      </c>
      <c r="AM30" s="319">
        <f>O30/'Population &amp; Income'!O29</f>
        <v>8837.5555159629985</v>
      </c>
      <c r="AN30" s="319">
        <f>P30/'Population &amp; Income'!P29</f>
        <v>8852.8596334109498</v>
      </c>
      <c r="AO30" s="319">
        <f>Q30/'Population &amp; Income'!Q29</f>
        <v>8904.2970962751406</v>
      </c>
      <c r="AP30" s="319">
        <f>R30/'Population &amp; Income'!R29</f>
        <v>9029.690695874755</v>
      </c>
      <c r="AQ30" s="319">
        <f>S30/'Population &amp; Income'!S29</f>
        <v>9269.6659812518901</v>
      </c>
      <c r="AR30" s="319">
        <f>T30/'Population &amp; Income'!T29</f>
        <v>9614.0023787740156</v>
      </c>
      <c r="AS30" s="319">
        <f>U30/'Population &amp; Income'!U29</f>
        <v>9674.6865289709385</v>
      </c>
      <c r="AT30" s="319">
        <f>V30/'Population &amp; Income'!V29</f>
        <v>9947.0643239299607</v>
      </c>
      <c r="AU30" s="319">
        <f>W30/'Population &amp; Income'!W29</f>
        <v>10378.779223894921</v>
      </c>
      <c r="AV30" s="690"/>
      <c r="AW30" s="690"/>
      <c r="AX30" s="13" t="s">
        <v>21</v>
      </c>
      <c r="AY30" s="40">
        <f t="shared" si="0"/>
        <v>0.10943013443916344</v>
      </c>
      <c r="AZ30" s="40">
        <f t="shared" si="1"/>
        <v>4.9051360424534188E-2</v>
      </c>
      <c r="BA30" s="40">
        <f t="shared" si="2"/>
        <v>0.15230864085833767</v>
      </c>
      <c r="BB30" s="40">
        <f t="shared" si="3"/>
        <v>2.2771373377997717E-2</v>
      </c>
      <c r="BC30" s="40">
        <f t="shared" si="4"/>
        <v>4.5626398412565501E-2</v>
      </c>
      <c r="BD30" s="40">
        <f t="shared" si="5"/>
        <v>4.7333121995520484E-2</v>
      </c>
      <c r="BE30" s="40">
        <f t="shared" si="6"/>
        <v>5.4150311236903552E-2</v>
      </c>
      <c r="BF30" s="40">
        <f t="shared" si="7"/>
        <v>2.5932477987026033E-2</v>
      </c>
      <c r="BG30" s="40">
        <f t="shared" si="8"/>
        <v>5.3555189406509898E-2</v>
      </c>
      <c r="BH30" s="40">
        <f t="shared" si="9"/>
        <v>3.3481500366460124E-2</v>
      </c>
      <c r="BI30" s="40">
        <f t="shared" si="10"/>
        <v>0.10906818615649798</v>
      </c>
      <c r="BJ30" s="40">
        <f t="shared" si="11"/>
        <v>7.6389898454528012E-3</v>
      </c>
      <c r="BK30" s="40">
        <f t="shared" si="12"/>
        <v>-1.0200866508043601E-2</v>
      </c>
      <c r="BL30" s="40">
        <f t="shared" si="13"/>
        <v>-2.2594864665539736E-3</v>
      </c>
      <c r="BM30" s="40">
        <f t="shared" si="14"/>
        <v>9.2332269460876169E-3</v>
      </c>
      <c r="BN30" s="40">
        <f t="shared" si="15"/>
        <v>1.3659985778267065E-2</v>
      </c>
      <c r="BO30" s="40">
        <f t="shared" si="16"/>
        <v>1.0443373724058683E-2</v>
      </c>
      <c r="BP30" s="691">
        <f t="shared" si="17"/>
        <v>2.8365176550868954E-2</v>
      </c>
      <c r="BQ30" s="691">
        <f t="shared" si="18"/>
        <v>7.4168846777562534E-3</v>
      </c>
      <c r="BR30" s="691">
        <f t="shared" si="19"/>
        <v>3.0346148258244204E-2</v>
      </c>
      <c r="BS30" s="691">
        <f t="shared" si="20"/>
        <v>5.7674418218023944E-2</v>
      </c>
      <c r="BT30" s="40"/>
      <c r="BU30" s="3"/>
      <c r="BV30" s="13" t="s">
        <v>21</v>
      </c>
      <c r="BW30" s="40">
        <f t="shared" si="21"/>
        <v>0.10943013443916344</v>
      </c>
      <c r="BX30" s="40">
        <f t="shared" si="22"/>
        <v>0.16384919182937827</v>
      </c>
      <c r="BY30" s="40">
        <f t="shared" si="23"/>
        <v>0.3411134804009856</v>
      </c>
      <c r="BZ30" s="40">
        <f t="shared" si="24"/>
        <v>0.37165247620546243</v>
      </c>
      <c r="CA30" s="40">
        <f t="shared" si="25"/>
        <v>0.43423603856839493</v>
      </c>
      <c r="CB30" s="40">
        <f t="shared" si="26"/>
        <v>0.50212290795232473</v>
      </c>
      <c r="CC30" s="40">
        <f t="shared" si="27"/>
        <v>0.5834633309340258</v>
      </c>
      <c r="CD30" s="40">
        <f t="shared" si="28"/>
        <v>0.6245264589067353</v>
      </c>
      <c r="CE30" s="40">
        <f t="shared" si="29"/>
        <v>0.71152828110937238</v>
      </c>
      <c r="CF30" s="40">
        <f t="shared" si="30"/>
        <v>0.76883281588054264</v>
      </c>
      <c r="CG30" s="40">
        <f t="shared" si="31"/>
        <v>0.96175620272272422</v>
      </c>
      <c r="CH30" s="40">
        <f t="shared" si="32"/>
        <v>0.97674203843457719</v>
      </c>
      <c r="CI30" s="40">
        <f t="shared" si="33"/>
        <v>0.95657755677966805</v>
      </c>
      <c r="CJ30" s="40">
        <f t="shared" si="34"/>
        <v>0.95215669626936117</v>
      </c>
      <c r="CK30" s="40">
        <f t="shared" si="35"/>
        <v>0.97018140208034076</v>
      </c>
      <c r="CL30" s="113">
        <f t="shared" si="36"/>
        <v>0.99709405201336454</v>
      </c>
      <c r="CM30" s="113">
        <f t="shared" si="37"/>
        <v>1.0179504515606348</v>
      </c>
      <c r="CN30" s="691">
        <f t="shared" si="38"/>
        <v>1.075189972390058</v>
      </c>
      <c r="CO30" s="691">
        <f t="shared" si="39"/>
        <v>1.0905814170997112</v>
      </c>
      <c r="CP30" s="691">
        <f t="shared" si="40"/>
        <v>1.1540225107289492</v>
      </c>
      <c r="CQ30" s="691">
        <f t="shared" si="41"/>
        <v>1.2782545058637687</v>
      </c>
    </row>
    <row r="31" spans="1:95" ht="14">
      <c r="A31" s="13" t="s">
        <v>22</v>
      </c>
      <c r="B31" s="319">
        <v>54359296</v>
      </c>
      <c r="C31" s="319">
        <v>61873080</v>
      </c>
      <c r="D31" s="319">
        <v>63293629</v>
      </c>
      <c r="E31" s="319">
        <v>67743549</v>
      </c>
      <c r="F31" s="319">
        <v>70178541</v>
      </c>
      <c r="G31" s="319">
        <v>72415212</v>
      </c>
      <c r="H31" s="319">
        <v>74030599</v>
      </c>
      <c r="I31" s="319">
        <v>77231176</v>
      </c>
      <c r="J31" s="319">
        <v>79844750.149706215</v>
      </c>
      <c r="K31" s="319">
        <v>93017027.00063099</v>
      </c>
      <c r="L31" s="319">
        <v>96913913.451442808</v>
      </c>
      <c r="M31" s="319">
        <v>101083643.78589001</v>
      </c>
      <c r="N31" s="319">
        <v>103474425.57341249</v>
      </c>
      <c r="O31" s="319">
        <v>104274206.2779374</v>
      </c>
      <c r="P31" s="319">
        <v>105299115</v>
      </c>
      <c r="Q31" s="319">
        <v>108970840</v>
      </c>
      <c r="R31" s="319">
        <v>112777986</v>
      </c>
      <c r="S31" s="319">
        <v>118990610</v>
      </c>
      <c r="T31" s="340">
        <v>121735069</v>
      </c>
      <c r="U31" s="340">
        <v>127056566</v>
      </c>
      <c r="V31" s="666">
        <v>131678449</v>
      </c>
      <c r="W31" s="667">
        <v>135836995</v>
      </c>
      <c r="X31" s="290"/>
      <c r="Y31" s="13" t="s">
        <v>22</v>
      </c>
      <c r="Z31" s="319">
        <f>B31/'Population &amp; Income'!B30</f>
        <v>6963.783756085063</v>
      </c>
      <c r="AA31" s="319">
        <f>C31/'Population &amp; Income'!C30</f>
        <v>7962.0486423883667</v>
      </c>
      <c r="AB31" s="319">
        <f>D31/'Population &amp; Income'!D30</f>
        <v>8035.2455249460454</v>
      </c>
      <c r="AC31" s="319">
        <f>E31/'Population &amp; Income'!E30</f>
        <v>8425.8145522388058</v>
      </c>
      <c r="AD31" s="319">
        <f>F31/'Population &amp; Income'!F30</f>
        <v>8774.5112528132031</v>
      </c>
      <c r="AE31" s="319">
        <f>G31/'Population &amp; Income'!G30</f>
        <v>9083.6944305067736</v>
      </c>
      <c r="AF31" s="319">
        <f>H31/'Population &amp; Income'!H30</f>
        <v>9207.785945273632</v>
      </c>
      <c r="AG31" s="319">
        <f>I31/'Population &amp; Income'!I30</f>
        <v>9505.375507692308</v>
      </c>
      <c r="AH31" s="319">
        <f>J31/'Population &amp; Income'!J30</f>
        <v>9704.028943814561</v>
      </c>
      <c r="AI31" s="319">
        <f>K31/'Population &amp; Income'!K30</f>
        <v>11300.817276227795</v>
      </c>
      <c r="AJ31" s="319">
        <f>L31/'Population &amp; Income'!L30</f>
        <v>11632.92683368657</v>
      </c>
      <c r="AK31" s="319">
        <f>M31/'Population &amp; Income'!M30</f>
        <v>12165.560691526058</v>
      </c>
      <c r="AL31" s="319">
        <f>N31/'Population &amp; Income'!N30</f>
        <v>12421.899828740996</v>
      </c>
      <c r="AM31" s="319">
        <f>O31/'Population &amp; Income'!O30</f>
        <v>12440.253671908542</v>
      </c>
      <c r="AN31" s="319">
        <f>P31/'Population &amp; Income'!P30</f>
        <v>12477.676857447565</v>
      </c>
      <c r="AO31" s="319">
        <f>Q31/'Population &amp; Income'!Q30</f>
        <v>13105.332531569453</v>
      </c>
      <c r="AP31" s="319">
        <f>R31/'Population &amp; Income'!R30</f>
        <v>13688.309989076344</v>
      </c>
      <c r="AQ31" s="319">
        <f>S31/'Population &amp; Income'!S30</f>
        <v>14346.589100554618</v>
      </c>
      <c r="AR31" s="319">
        <f>T31/'Population &amp; Income'!T30</f>
        <v>14681.026169802219</v>
      </c>
      <c r="AS31" s="319">
        <f>U31/'Population &amp; Income'!U30</f>
        <v>15397.063257392147</v>
      </c>
      <c r="AT31" s="319">
        <f>V31/'Population &amp; Income'!V30</f>
        <v>16040.741746863199</v>
      </c>
      <c r="AU31" s="319">
        <f>W31/'Population &amp; Income'!W30</f>
        <v>16246.501016624805</v>
      </c>
      <c r="AV31" s="690"/>
      <c r="AW31" s="690"/>
      <c r="AX31" s="13" t="s">
        <v>22</v>
      </c>
      <c r="AY31" s="40">
        <f t="shared" si="0"/>
        <v>0.13822445382662793</v>
      </c>
      <c r="AZ31" s="40">
        <f t="shared" si="1"/>
        <v>2.2959080103980602E-2</v>
      </c>
      <c r="BA31" s="40">
        <f t="shared" si="2"/>
        <v>7.0305970289679554E-2</v>
      </c>
      <c r="BB31" s="40">
        <f t="shared" si="3"/>
        <v>3.5944263858983826E-2</v>
      </c>
      <c r="BC31" s="40">
        <f t="shared" si="4"/>
        <v>3.1871152750240279E-2</v>
      </c>
      <c r="BD31" s="40">
        <f t="shared" si="5"/>
        <v>2.230728814271786E-2</v>
      </c>
      <c r="BE31" s="40">
        <f t="shared" si="6"/>
        <v>4.3233163627380618E-2</v>
      </c>
      <c r="BF31" s="40">
        <f t="shared" si="7"/>
        <v>3.3840921310148313E-2</v>
      </c>
      <c r="BG31" s="40">
        <f t="shared" si="8"/>
        <v>0.1649736122441012</v>
      </c>
      <c r="BH31" s="40">
        <f t="shared" si="9"/>
        <v>4.1894334580112769E-2</v>
      </c>
      <c r="BI31" s="40">
        <f t="shared" si="10"/>
        <v>4.3025095014209522E-2</v>
      </c>
      <c r="BJ31" s="40">
        <f t="shared" si="11"/>
        <v>2.3651519652244695E-2</v>
      </c>
      <c r="BK31" s="40">
        <f t="shared" si="12"/>
        <v>7.729259670617647E-3</v>
      </c>
      <c r="BL31" s="40">
        <f t="shared" si="13"/>
        <v>9.8289764904156886E-3</v>
      </c>
      <c r="BM31" s="40">
        <f t="shared" si="14"/>
        <v>3.4869476348400458E-2</v>
      </c>
      <c r="BN31" s="40">
        <f t="shared" si="15"/>
        <v>3.493729148091361E-2</v>
      </c>
      <c r="BO31" s="40">
        <f t="shared" si="16"/>
        <v>5.5087204696136351E-2</v>
      </c>
      <c r="BP31" s="691">
        <f t="shared" si="17"/>
        <v>2.3064500635806472E-2</v>
      </c>
      <c r="BQ31" s="691">
        <f t="shared" si="18"/>
        <v>4.3713755154646525E-2</v>
      </c>
      <c r="BR31" s="691">
        <f t="shared" si="19"/>
        <v>3.6376577342724654E-2</v>
      </c>
      <c r="BS31" s="691">
        <f t="shared" si="20"/>
        <v>3.1581067605071809E-2</v>
      </c>
      <c r="BT31" s="40"/>
      <c r="BU31" s="3"/>
      <c r="BV31" s="13" t="s">
        <v>22</v>
      </c>
      <c r="BW31" s="40">
        <f t="shared" si="21"/>
        <v>0.13822445382662793</v>
      </c>
      <c r="BX31" s="40">
        <f t="shared" si="22"/>
        <v>0.16435704023834305</v>
      </c>
      <c r="BY31" s="40">
        <f t="shared" si="23"/>
        <v>0.24621829171591922</v>
      </c>
      <c r="BZ31" s="40">
        <f t="shared" si="24"/>
        <v>0.2910126908192483</v>
      </c>
      <c r="CA31" s="40">
        <f t="shared" si="25"/>
        <v>0.33215875349084728</v>
      </c>
      <c r="CB31" s="40">
        <f t="shared" si="26"/>
        <v>0.36187560265681146</v>
      </c>
      <c r="CC31" s="40">
        <f t="shared" si="27"/>
        <v>0.42075379342661096</v>
      </c>
      <c r="CD31" s="40">
        <f t="shared" si="28"/>
        <v>0.46883341075105561</v>
      </c>
      <c r="CE31" s="40">
        <f t="shared" si="29"/>
        <v>0.71115216430748096</v>
      </c>
      <c r="CF31" s="40">
        <f t="shared" si="30"/>
        <v>0.78283974559646263</v>
      </c>
      <c r="CG31" s="40">
        <f t="shared" si="31"/>
        <v>0.85954659504585951</v>
      </c>
      <c r="CH31" s="40">
        <f t="shared" si="32"/>
        <v>0.90352769788285137</v>
      </c>
      <c r="CI31" s="40">
        <f t="shared" si="33"/>
        <v>0.91824055775000102</v>
      </c>
      <c r="CJ31" s="40">
        <f t="shared" si="34"/>
        <v>0.93709489909508759</v>
      </c>
      <c r="CK31" s="40">
        <f t="shared" si="35"/>
        <v>1.004640383863691</v>
      </c>
      <c r="CL31" s="113">
        <f t="shared" si="36"/>
        <v>1.0746770892691473</v>
      </c>
      <c r="CM31" s="113">
        <f t="shared" si="37"/>
        <v>1.1889652507641011</v>
      </c>
      <c r="CN31" s="691">
        <f t="shared" si="38"/>
        <v>1.2394526411821081</v>
      </c>
      <c r="CO31" s="691">
        <f t="shared" si="39"/>
        <v>1.3373475256191691</v>
      </c>
      <c r="CP31" s="691">
        <f t="shared" si="40"/>
        <v>1.4223722286616809</v>
      </c>
      <c r="CQ31" s="691">
        <f t="shared" si="41"/>
        <v>1.4988733297796939</v>
      </c>
    </row>
    <row r="32" spans="1:95" ht="14">
      <c r="A32" s="13" t="s">
        <v>23</v>
      </c>
      <c r="B32" s="319">
        <v>58330147</v>
      </c>
      <c r="C32" s="319">
        <v>67327840</v>
      </c>
      <c r="D32" s="319">
        <v>71138046</v>
      </c>
      <c r="E32" s="319">
        <v>82543205</v>
      </c>
      <c r="F32" s="319">
        <v>86655344</v>
      </c>
      <c r="G32" s="319">
        <v>88749456</v>
      </c>
      <c r="H32" s="319">
        <v>90018158</v>
      </c>
      <c r="I32" s="319">
        <v>92188198</v>
      </c>
      <c r="J32" s="319">
        <v>93168641.282892689</v>
      </c>
      <c r="K32" s="319">
        <v>100876177.03650981</v>
      </c>
      <c r="L32" s="319">
        <v>104996962.13500217</v>
      </c>
      <c r="M32" s="319">
        <v>109914056.77445783</v>
      </c>
      <c r="N32" s="319">
        <v>114259856.78776321</v>
      </c>
      <c r="O32" s="319">
        <v>114080172.29780078</v>
      </c>
      <c r="P32" s="319">
        <v>114848624</v>
      </c>
      <c r="Q32" s="319">
        <v>145828941</v>
      </c>
      <c r="R32" s="319">
        <v>148520457</v>
      </c>
      <c r="S32" s="319">
        <v>153001679</v>
      </c>
      <c r="T32" s="340">
        <v>150626478</v>
      </c>
      <c r="U32" s="340">
        <v>151402058</v>
      </c>
      <c r="V32" s="666">
        <v>152987577</v>
      </c>
      <c r="W32" s="667">
        <v>202820851</v>
      </c>
      <c r="X32" s="290"/>
      <c r="Y32" s="13" t="s">
        <v>23</v>
      </c>
      <c r="Z32" s="319">
        <f>B32/'Population &amp; Income'!B31</f>
        <v>5212.7030384271675</v>
      </c>
      <c r="AA32" s="319">
        <f>C32/'Population &amp; Income'!C31</f>
        <v>6001.7685862007484</v>
      </c>
      <c r="AB32" s="319">
        <f>D32/'Population &amp; Income'!D31</f>
        <v>6236.896896370331</v>
      </c>
      <c r="AC32" s="319">
        <f>E32/'Population &amp; Income'!E31</f>
        <v>7177.67</v>
      </c>
      <c r="AD32" s="319">
        <f>F32/'Population &amp; Income'!F31</f>
        <v>6596.2810382888028</v>
      </c>
      <c r="AE32" s="319">
        <f>G32/'Population &amp; Income'!G31</f>
        <v>6769.0836702005945</v>
      </c>
      <c r="AF32" s="319">
        <f>H32/'Population &amp; Income'!H31</f>
        <v>6829.905766312595</v>
      </c>
      <c r="AG32" s="319">
        <f>I32/'Population &amp; Income'!I31</f>
        <v>6939.7920806985849</v>
      </c>
      <c r="AH32" s="319">
        <f>J32/'Population &amp; Income'!J31</f>
        <v>7316.5259370891072</v>
      </c>
      <c r="AI32" s="319">
        <f>K32/'Population &amp; Income'!K31</f>
        <v>7926.1551847654446</v>
      </c>
      <c r="AJ32" s="319">
        <f>L32/'Population &amp; Income'!L31</f>
        <v>8150.672421596194</v>
      </c>
      <c r="AK32" s="319">
        <f>M32/'Population &amp; Income'!M31</f>
        <v>8506.6215288644707</v>
      </c>
      <c r="AL32" s="319">
        <f>N32/'Population &amp; Income'!N31</f>
        <v>8903.5967262341783</v>
      </c>
      <c r="AM32" s="319">
        <f>O32/'Population &amp; Income'!O31</f>
        <v>8895.1401401793973</v>
      </c>
      <c r="AN32" s="319">
        <f>P32/'Population &amp; Income'!P31</f>
        <v>8928.6032807276679</v>
      </c>
      <c r="AO32" s="319">
        <f>Q32/'Population &amp; Income'!Q31</f>
        <v>11279.212700131488</v>
      </c>
      <c r="AP32" s="319">
        <f>R32/'Population &amp; Income'!R31</f>
        <v>11477.624188562597</v>
      </c>
      <c r="AQ32" s="319">
        <f>S32/'Population &amp; Income'!S31</f>
        <v>11916.018613707165</v>
      </c>
      <c r="AR32" s="319">
        <f>T32/'Population &amp; Income'!T31</f>
        <v>11898.765937277825</v>
      </c>
      <c r="AS32" s="319">
        <f>U32/'Population &amp; Income'!U31</f>
        <v>11973.274654013445</v>
      </c>
      <c r="AT32" s="319">
        <f>V32/'Population &amp; Income'!V31</f>
        <v>12129.356774756205</v>
      </c>
      <c r="AU32" s="319">
        <f>W32/'Population &amp; Income'!W31</f>
        <v>16112.237925007945</v>
      </c>
      <c r="AV32" s="690"/>
      <c r="AW32" s="690"/>
      <c r="AX32" s="13" t="s">
        <v>23</v>
      </c>
      <c r="AY32" s="40">
        <f t="shared" si="0"/>
        <v>0.15425459154080307</v>
      </c>
      <c r="AZ32" s="40">
        <f t="shared" si="1"/>
        <v>5.6591834818999091E-2</v>
      </c>
      <c r="BA32" s="40">
        <f t="shared" si="2"/>
        <v>0.16032432209341257</v>
      </c>
      <c r="BB32" s="40">
        <f t="shared" si="3"/>
        <v>4.9818019545037048E-2</v>
      </c>
      <c r="BC32" s="40">
        <f t="shared" si="4"/>
        <v>2.4165987962611976E-2</v>
      </c>
      <c r="BD32" s="40">
        <f t="shared" si="5"/>
        <v>1.4295321427096972E-2</v>
      </c>
      <c r="BE32" s="40">
        <f t="shared" si="6"/>
        <v>2.4106691896539363E-2</v>
      </c>
      <c r="BF32" s="40">
        <f t="shared" si="7"/>
        <v>1.0635236442008434E-2</v>
      </c>
      <c r="BG32" s="40">
        <f t="shared" si="8"/>
        <v>8.2726716280152032E-2</v>
      </c>
      <c r="BH32" s="40">
        <f t="shared" si="9"/>
        <v>4.0849933250354353E-2</v>
      </c>
      <c r="BI32" s="40">
        <f t="shared" si="10"/>
        <v>4.6830827668455761E-2</v>
      </c>
      <c r="BJ32" s="40">
        <f t="shared" si="11"/>
        <v>3.9538164096908045E-2</v>
      </c>
      <c r="BK32" s="40">
        <f t="shared" si="12"/>
        <v>-1.5725950916969146E-3</v>
      </c>
      <c r="BL32" s="40">
        <f t="shared" si="13"/>
        <v>6.7360671597971869E-3</v>
      </c>
      <c r="BM32" s="40">
        <f t="shared" si="14"/>
        <v>0.26974913517466259</v>
      </c>
      <c r="BN32" s="40">
        <f t="shared" si="15"/>
        <v>1.8456665607960495E-2</v>
      </c>
      <c r="BO32" s="40">
        <f t="shared" si="16"/>
        <v>3.0172422644780848E-2</v>
      </c>
      <c r="BP32" s="691">
        <f t="shared" si="17"/>
        <v>-1.5524019184129345E-2</v>
      </c>
      <c r="BQ32" s="691">
        <f t="shared" si="18"/>
        <v>5.1490283136010123E-3</v>
      </c>
      <c r="BR32" s="691">
        <f t="shared" si="19"/>
        <v>1.047224206159734E-2</v>
      </c>
      <c r="BS32" s="691">
        <f t="shared" si="20"/>
        <v>0.32573412153589437</v>
      </c>
      <c r="BT32" s="40"/>
      <c r="BU32" s="3"/>
      <c r="BV32" s="13" t="s">
        <v>23</v>
      </c>
      <c r="BW32" s="40">
        <f t="shared" si="21"/>
        <v>0.15425459154080307</v>
      </c>
      <c r="BX32" s="40">
        <f t="shared" si="22"/>
        <v>0.21957597672435147</v>
      </c>
      <c r="BY32" s="40">
        <f t="shared" si="23"/>
        <v>0.41510366843409463</v>
      </c>
      <c r="BZ32" s="40">
        <f t="shared" si="24"/>
        <v>0.48560133064639799</v>
      </c>
      <c r="CA32" s="40">
        <f t="shared" si="25"/>
        <v>0.52150235452003924</v>
      </c>
      <c r="CB32" s="40">
        <f t="shared" si="26"/>
        <v>0.54325271972998801</v>
      </c>
      <c r="CC32" s="40">
        <f t="shared" si="27"/>
        <v>0.58045543756301521</v>
      </c>
      <c r="CD32" s="40">
        <f t="shared" si="28"/>
        <v>0.59726395482755579</v>
      </c>
      <c r="CE32" s="40">
        <f t="shared" si="29"/>
        <v>0.72940035684308857</v>
      </c>
      <c r="CF32" s="40">
        <f t="shared" si="30"/>
        <v>0.80004624598326768</v>
      </c>
      <c r="CG32" s="40">
        <f t="shared" si="31"/>
        <v>0.88434390152416087</v>
      </c>
      <c r="CH32" s="40">
        <f t="shared" si="32"/>
        <v>0.95884739991763102</v>
      </c>
      <c r="CI32" s="40">
        <f t="shared" si="33"/>
        <v>0.95576692611113734</v>
      </c>
      <c r="CJ32" s="40">
        <f t="shared" si="34"/>
        <v>0.96894110347433204</v>
      </c>
      <c r="CK32" s="40">
        <f t="shared" si="35"/>
        <v>1.500061263346379</v>
      </c>
      <c r="CL32" s="113">
        <f t="shared" si="36"/>
        <v>1.5462040580833785</v>
      </c>
      <c r="CM32" s="113">
        <f t="shared" si="37"/>
        <v>1.6230292030637261</v>
      </c>
      <c r="CN32" s="691">
        <f t="shared" si="38"/>
        <v>1.5823092473948335</v>
      </c>
      <c r="CO32" s="691">
        <f t="shared" si="39"/>
        <v>1.5956056308241431</v>
      </c>
      <c r="CP32" s="691">
        <f t="shared" si="40"/>
        <v>1.6227874412865786</v>
      </c>
      <c r="CQ32" s="691">
        <f t="shared" si="41"/>
        <v>2.4771188044494385</v>
      </c>
    </row>
    <row r="33" spans="1:95" ht="14">
      <c r="A33" s="13" t="s">
        <v>24</v>
      </c>
      <c r="B33" s="319">
        <v>81857765</v>
      </c>
      <c r="C33" s="319">
        <v>95871652</v>
      </c>
      <c r="D33" s="319">
        <v>98116671</v>
      </c>
      <c r="E33" s="319">
        <v>101993939</v>
      </c>
      <c r="F33" s="319">
        <v>105255263</v>
      </c>
      <c r="G33" s="319">
        <v>108160206</v>
      </c>
      <c r="H33" s="319">
        <v>112152877</v>
      </c>
      <c r="I33" s="319">
        <v>114105182</v>
      </c>
      <c r="J33" s="319">
        <v>116474612.70484647</v>
      </c>
      <c r="K33" s="319">
        <v>134994309.73973334</v>
      </c>
      <c r="L33" s="319">
        <v>138639596.41187739</v>
      </c>
      <c r="M33" s="319">
        <v>148281298.27112621</v>
      </c>
      <c r="N33" s="319">
        <v>150537364.35016128</v>
      </c>
      <c r="O33" s="319">
        <v>149825605.39465082</v>
      </c>
      <c r="P33" s="319">
        <v>149736066</v>
      </c>
      <c r="Q33" s="319">
        <v>152081457</v>
      </c>
      <c r="R33" s="319">
        <v>154600642</v>
      </c>
      <c r="S33" s="319">
        <v>154176259</v>
      </c>
      <c r="T33" s="340">
        <v>155034382</v>
      </c>
      <c r="U33" s="340">
        <v>157318324</v>
      </c>
      <c r="V33" s="666">
        <v>158285099</v>
      </c>
      <c r="W33" s="667">
        <v>167383430</v>
      </c>
      <c r="X33" s="290"/>
      <c r="Y33" s="13" t="s">
        <v>24</v>
      </c>
      <c r="Z33" s="319">
        <f>B33/'Population &amp; Income'!B32</f>
        <v>5657.8493917611277</v>
      </c>
      <c r="AA33" s="319">
        <f>C33/'Population &amp; Income'!C32</f>
        <v>6578.7176284910447</v>
      </c>
      <c r="AB33" s="319">
        <f>D33/'Population &amp; Income'!D32</f>
        <v>6690.5333106034777</v>
      </c>
      <c r="AC33" s="319">
        <f>E33/'Population &amp; Income'!E32</f>
        <v>6876.1504078743346</v>
      </c>
      <c r="AD33" s="319">
        <f>F33/'Population &amp; Income'!F32</f>
        <v>7041.8989094801636</v>
      </c>
      <c r="AE33" s="319">
        <f>G33/'Population &amp; Income'!G32</f>
        <v>7168.6244697773063</v>
      </c>
      <c r="AF33" s="319">
        <f>H33/'Population &amp; Income'!H32</f>
        <v>7509.3991965182458</v>
      </c>
      <c r="AG33" s="319">
        <f>I33/'Population &amp; Income'!I32</f>
        <v>7581.7396677740862</v>
      </c>
      <c r="AH33" s="319">
        <f>J33/'Population &amp; Income'!J32</f>
        <v>7684.5426340863278</v>
      </c>
      <c r="AI33" s="319">
        <f>K33/'Population &amp; Income'!K32</f>
        <v>8848.024496279304</v>
      </c>
      <c r="AJ33" s="319">
        <f>L33/'Population &amp; Income'!L32</f>
        <v>8991.4778138580587</v>
      </c>
      <c r="AK33" s="319">
        <f>M33/'Population &amp; Income'!M32</f>
        <v>9663.7968112047838</v>
      </c>
      <c r="AL33" s="319">
        <f>N33/'Population &amp; Income'!N32</f>
        <v>9715.2219651604573</v>
      </c>
      <c r="AM33" s="319">
        <f>O33/'Population &amp; Income'!O32</f>
        <v>9638.8063172060483</v>
      </c>
      <c r="AN33" s="319">
        <f>P33/'Population &amp; Income'!P32</f>
        <v>9533.6855978606909</v>
      </c>
      <c r="AO33" s="319">
        <f>Q33/'Population &amp; Income'!Q32</f>
        <v>9758.1942252165536</v>
      </c>
      <c r="AP33" s="319">
        <f>R33/'Population &amp; Income'!R32</f>
        <v>9880.5293027417392</v>
      </c>
      <c r="AQ33" s="319">
        <f>S33/'Population &amp; Income'!S32</f>
        <v>9801.4150667514295</v>
      </c>
      <c r="AR33" s="319">
        <f>T33/'Population &amp; Income'!T32</f>
        <v>9952.7753739487707</v>
      </c>
      <c r="AS33" s="319">
        <f>U33/'Population &amp; Income'!U32</f>
        <v>10074.175461065573</v>
      </c>
      <c r="AT33" s="319">
        <f>V33/'Population &amp; Income'!V32</f>
        <v>10286.936959771236</v>
      </c>
      <c r="AU33" s="319">
        <f>W33/'Population &amp; Income'!W32</f>
        <v>10812.8830749354</v>
      </c>
      <c r="AV33" s="690"/>
      <c r="AW33" s="690"/>
      <c r="AX33" s="13" t="s">
        <v>24</v>
      </c>
      <c r="AY33" s="40">
        <f t="shared" si="0"/>
        <v>0.17119801646184696</v>
      </c>
      <c r="AZ33" s="40">
        <f t="shared" si="1"/>
        <v>2.3416922032385549E-2</v>
      </c>
      <c r="BA33" s="40">
        <f t="shared" si="2"/>
        <v>3.9516913491693985E-2</v>
      </c>
      <c r="BB33" s="40">
        <f t="shared" si="3"/>
        <v>3.1975664750039705E-2</v>
      </c>
      <c r="BC33" s="40">
        <f t="shared" si="4"/>
        <v>2.7599028468533682E-2</v>
      </c>
      <c r="BD33" s="40">
        <f t="shared" si="5"/>
        <v>3.6914417489182665E-2</v>
      </c>
      <c r="BE33" s="40">
        <f t="shared" si="6"/>
        <v>1.7407533825458621E-2</v>
      </c>
      <c r="BF33" s="40">
        <f t="shared" si="7"/>
        <v>2.0765320762088365E-2</v>
      </c>
      <c r="BG33" s="40">
        <f t="shared" si="8"/>
        <v>0.15900200571447162</v>
      </c>
      <c r="BH33" s="40">
        <f t="shared" si="9"/>
        <v>2.7003261686897057E-2</v>
      </c>
      <c r="BI33" s="40">
        <f t="shared" si="10"/>
        <v>6.9545080256904174E-2</v>
      </c>
      <c r="BJ33" s="40">
        <f t="shared" si="11"/>
        <v>1.521477155473747E-2</v>
      </c>
      <c r="BK33" s="40">
        <f t="shared" si="12"/>
        <v>-4.7281215436644833E-3</v>
      </c>
      <c r="BL33" s="40">
        <f t="shared" si="13"/>
        <v>-5.9762411381528591E-4</v>
      </c>
      <c r="BM33" s="40">
        <f t="shared" si="14"/>
        <v>1.5663500869590095E-2</v>
      </c>
      <c r="BN33" s="40">
        <f t="shared" si="15"/>
        <v>1.6564708477247163E-2</v>
      </c>
      <c r="BO33" s="40">
        <f t="shared" si="16"/>
        <v>-2.7450274106882427E-3</v>
      </c>
      <c r="BP33" s="691">
        <f t="shared" si="17"/>
        <v>5.5658569326163245E-3</v>
      </c>
      <c r="BQ33" s="691">
        <f t="shared" si="18"/>
        <v>1.4731841869760219E-2</v>
      </c>
      <c r="BR33" s="691">
        <f t="shared" si="19"/>
        <v>6.1453426112014773E-3</v>
      </c>
      <c r="BS33" s="691">
        <f t="shared" si="20"/>
        <v>5.7480653943300118E-2</v>
      </c>
      <c r="BT33" s="40"/>
      <c r="BU33" s="3"/>
      <c r="BV33" s="13" t="s">
        <v>24</v>
      </c>
      <c r="BW33" s="40">
        <f t="shared" si="21"/>
        <v>0.17119801646184696</v>
      </c>
      <c r="BX33" s="40">
        <f t="shared" si="22"/>
        <v>0.19862386909781865</v>
      </c>
      <c r="BY33" s="40">
        <f t="shared" si="23"/>
        <v>0.24598978484203668</v>
      </c>
      <c r="BZ33" s="40">
        <f t="shared" si="24"/>
        <v>0.28583113648411973</v>
      </c>
      <c r="CA33" s="40">
        <f t="shared" si="25"/>
        <v>0.32131882662567196</v>
      </c>
      <c r="CB33" s="40">
        <f t="shared" si="26"/>
        <v>0.37009454142804898</v>
      </c>
      <c r="CC33" s="40">
        <f t="shared" si="27"/>
        <v>0.393944508502034</v>
      </c>
      <c r="CD33" s="40">
        <f t="shared" si="28"/>
        <v>0.42289021334563032</v>
      </c>
      <c r="CE33" s="40">
        <f t="shared" si="29"/>
        <v>0.64913261117907795</v>
      </c>
      <c r="CF33" s="40">
        <f t="shared" si="30"/>
        <v>0.69366457063514253</v>
      </c>
      <c r="CG33" s="40">
        <f t="shared" si="31"/>
        <v>0.81145060912823863</v>
      </c>
      <c r="CH33" s="40">
        <f t="shared" si="32"/>
        <v>0.83901141632881482</v>
      </c>
      <c r="CI33" s="40">
        <f t="shared" si="33"/>
        <v>0.83031634683222555</v>
      </c>
      <c r="CJ33" s="40">
        <f t="shared" si="34"/>
        <v>0.82922250564744837</v>
      </c>
      <c r="CK33" s="40">
        <f t="shared" si="35"/>
        <v>0.85787453395533098</v>
      </c>
      <c r="CL33" s="113">
        <f t="shared" si="36"/>
        <v>0.88864968399760247</v>
      </c>
      <c r="CM33" s="113">
        <f t="shared" si="37"/>
        <v>0.8834652888458413</v>
      </c>
      <c r="CN33" s="691">
        <f t="shared" si="38"/>
        <v>0.89394838718110614</v>
      </c>
      <c r="CO33" s="691">
        <f t="shared" si="39"/>
        <v>0.92184973533054559</v>
      </c>
      <c r="CP33" s="691">
        <f t="shared" si="40"/>
        <v>0.93366016040139865</v>
      </c>
      <c r="CQ33" s="691">
        <f t="shared" si="41"/>
        <v>1.0448082109253778</v>
      </c>
    </row>
    <row r="34" spans="1:95" ht="14">
      <c r="A34" s="13" t="s">
        <v>25</v>
      </c>
      <c r="B34" s="319">
        <v>60486549</v>
      </c>
      <c r="C34" s="319">
        <v>73495866</v>
      </c>
      <c r="D34" s="319">
        <v>75125577</v>
      </c>
      <c r="E34" s="319">
        <v>81166670</v>
      </c>
      <c r="F34" s="319">
        <v>85474401</v>
      </c>
      <c r="G34" s="319">
        <v>92190584</v>
      </c>
      <c r="H34" s="319">
        <v>95938461</v>
      </c>
      <c r="I34" s="319">
        <v>98535626</v>
      </c>
      <c r="J34" s="319">
        <v>101329191.37579325</v>
      </c>
      <c r="K34" s="319">
        <v>108315633.37585066</v>
      </c>
      <c r="L34" s="319">
        <v>113153542.06865729</v>
      </c>
      <c r="M34" s="319">
        <v>122447279.15767379</v>
      </c>
      <c r="N34" s="319">
        <v>127585950.34428354</v>
      </c>
      <c r="O34" s="319">
        <v>129225124.76415187</v>
      </c>
      <c r="P34" s="319">
        <v>128091139</v>
      </c>
      <c r="Q34" s="319">
        <v>130725823</v>
      </c>
      <c r="R34" s="319">
        <v>131319844</v>
      </c>
      <c r="S34" s="319">
        <v>131608814</v>
      </c>
      <c r="T34" s="340">
        <v>134069690</v>
      </c>
      <c r="U34" s="340">
        <v>134521532</v>
      </c>
      <c r="V34" s="666">
        <v>138948548</v>
      </c>
      <c r="W34" s="667">
        <v>151939450</v>
      </c>
      <c r="X34" s="290"/>
      <c r="Y34" s="13" t="s">
        <v>25</v>
      </c>
      <c r="Z34" s="319">
        <f>B34/'Population &amp; Income'!B33</f>
        <v>4784.9496875247214</v>
      </c>
      <c r="AA34" s="319">
        <f>C34/'Population &amp; Income'!C33</f>
        <v>5765.7382913626734</v>
      </c>
      <c r="AB34" s="319">
        <f>D34/'Population &amp; Income'!D33</f>
        <v>5795.8322018207064</v>
      </c>
      <c r="AC34" s="319">
        <f>E34/'Population &amp; Income'!E33</f>
        <v>6259.9622088539254</v>
      </c>
      <c r="AD34" s="319">
        <f>F34/'Population &amp; Income'!F33</f>
        <v>6526.257998014813</v>
      </c>
      <c r="AE34" s="319">
        <f>G34/'Population &amp; Income'!G33</f>
        <v>7053.6024483550118</v>
      </c>
      <c r="AF34" s="319">
        <f>H34/'Population &amp; Income'!H33</f>
        <v>7229.7257724189903</v>
      </c>
      <c r="AG34" s="319">
        <f>I34/'Population &amp; Income'!I33</f>
        <v>7442.82997205227</v>
      </c>
      <c r="AH34" s="319">
        <f>J34/'Population &amp; Income'!J33</f>
        <v>7577.713982634853</v>
      </c>
      <c r="AI34" s="319">
        <f>K34/'Population &amp; Income'!K33</f>
        <v>8038.8625037739839</v>
      </c>
      <c r="AJ34" s="319">
        <f>L34/'Population &amp; Income'!L33</f>
        <v>8336.6641176348112</v>
      </c>
      <c r="AK34" s="319">
        <f>M34/'Population &amp; Income'!M33</f>
        <v>8979.0481159839983</v>
      </c>
      <c r="AL34" s="319">
        <f>N34/'Population &amp; Income'!N33</f>
        <v>9245.3587206002558</v>
      </c>
      <c r="AM34" s="319">
        <f>O34/'Population &amp; Income'!O33</f>
        <v>9368.8918120896014</v>
      </c>
      <c r="AN34" s="319">
        <f>P34/'Population &amp; Income'!P33</f>
        <v>9388.7809865865274</v>
      </c>
      <c r="AO34" s="319">
        <f>Q34/'Population &amp; Income'!Q33</f>
        <v>9591.0361702127666</v>
      </c>
      <c r="AP34" s="319">
        <f>R34/'Population &amp; Income'!R33</f>
        <v>9666.5324990798672</v>
      </c>
      <c r="AQ34" s="319">
        <f>S34/'Population &amp; Income'!S33</f>
        <v>9737.9810580836111</v>
      </c>
      <c r="AR34" s="319">
        <f>T34/'Population &amp; Income'!T33</f>
        <v>9897.3637974309768</v>
      </c>
      <c r="AS34" s="319">
        <f>U34/'Population &amp; Income'!U33</f>
        <v>10059.941070894407</v>
      </c>
      <c r="AT34" s="319">
        <f>V34/'Population &amp; Income'!V33</f>
        <v>10401.897589459501</v>
      </c>
      <c r="AU34" s="319">
        <f>W34/'Population &amp; Income'!W33</f>
        <v>11424.018796992481</v>
      </c>
      <c r="AV34" s="690"/>
      <c r="AW34" s="690"/>
      <c r="AX34" s="13" t="s">
        <v>25</v>
      </c>
      <c r="AY34" s="40">
        <f t="shared" si="0"/>
        <v>0.21507785144098732</v>
      </c>
      <c r="AZ34" s="40">
        <f t="shared" si="1"/>
        <v>2.2174185960336872E-2</v>
      </c>
      <c r="BA34" s="40">
        <f t="shared" si="2"/>
        <v>8.0413265910756329E-2</v>
      </c>
      <c r="BB34" s="40">
        <f t="shared" si="3"/>
        <v>5.3072659011389772E-2</v>
      </c>
      <c r="BC34" s="40">
        <f t="shared" si="4"/>
        <v>7.857537369580396E-2</v>
      </c>
      <c r="BD34" s="40">
        <f t="shared" si="5"/>
        <v>4.0653576942304648E-2</v>
      </c>
      <c r="BE34" s="40">
        <f t="shared" si="6"/>
        <v>2.707115554000809E-2</v>
      </c>
      <c r="BF34" s="40">
        <f t="shared" si="7"/>
        <v>2.8350815732304257E-2</v>
      </c>
      <c r="BG34" s="40">
        <f t="shared" si="8"/>
        <v>6.8947969535720785E-2</v>
      </c>
      <c r="BH34" s="40">
        <f t="shared" si="9"/>
        <v>4.4664916245462857E-2</v>
      </c>
      <c r="BI34" s="40">
        <f t="shared" si="10"/>
        <v>8.2133859171438117E-2</v>
      </c>
      <c r="BJ34" s="40">
        <f t="shared" si="11"/>
        <v>4.1966397472929913E-2</v>
      </c>
      <c r="BK34" s="40">
        <f t="shared" si="12"/>
        <v>1.2847609125026031E-2</v>
      </c>
      <c r="BL34" s="40">
        <f t="shared" si="13"/>
        <v>-8.7752731229434125E-3</v>
      </c>
      <c r="BM34" s="40">
        <f t="shared" si="14"/>
        <v>2.0568823265752989E-2</v>
      </c>
      <c r="BN34" s="40">
        <f t="shared" si="15"/>
        <v>4.5440218800534915E-3</v>
      </c>
      <c r="BO34" s="40">
        <f t="shared" si="16"/>
        <v>2.2005052031587855E-3</v>
      </c>
      <c r="BP34" s="691">
        <f t="shared" si="17"/>
        <v>1.8698413314476036E-2</v>
      </c>
      <c r="BQ34" s="691">
        <f t="shared" si="18"/>
        <v>3.3702024670900633E-3</v>
      </c>
      <c r="BR34" s="691">
        <f t="shared" si="19"/>
        <v>3.2909348668434729E-2</v>
      </c>
      <c r="BS34" s="691">
        <f t="shared" si="20"/>
        <v>9.3494334320067887E-2</v>
      </c>
      <c r="BT34" s="40"/>
      <c r="BU34" s="3"/>
      <c r="BV34" s="13" t="s">
        <v>25</v>
      </c>
      <c r="BW34" s="40">
        <f t="shared" si="21"/>
        <v>0.21507785144098732</v>
      </c>
      <c r="BX34" s="40">
        <f t="shared" si="22"/>
        <v>0.24202121367512636</v>
      </c>
      <c r="BY34" s="40">
        <f t="shared" si="23"/>
        <v>0.34189619579718461</v>
      </c>
      <c r="BZ34" s="40">
        <f t="shared" si="24"/>
        <v>0.41311419502540969</v>
      </c>
      <c r="CA34" s="40">
        <f t="shared" si="25"/>
        <v>0.52415017097437644</v>
      </c>
      <c r="CB34" s="40">
        <f t="shared" si="26"/>
        <v>0.58611232722171003</v>
      </c>
      <c r="CC34" s="40">
        <f t="shared" si="27"/>
        <v>0.62905022073585315</v>
      </c>
      <c r="CD34" s="40">
        <f t="shared" si="28"/>
        <v>0.67523512336260494</v>
      </c>
      <c r="CE34" s="40">
        <f t="shared" si="29"/>
        <v>0.79073918361337925</v>
      </c>
      <c r="CF34" s="40">
        <f t="shared" si="30"/>
        <v>0.8707223992669394</v>
      </c>
      <c r="CG34" s="40">
        <f t="shared" si="31"/>
        <v>1.0243720493571851</v>
      </c>
      <c r="CH34" s="40">
        <f t="shared" si="32"/>
        <v>1.1093276514135983</v>
      </c>
      <c r="CI34" s="40">
        <f t="shared" si="33"/>
        <v>1.1364274685955695</v>
      </c>
      <c r="CJ34" s="40">
        <f t="shared" si="34"/>
        <v>1.1176797340512847</v>
      </c>
      <c r="CK34" s="40">
        <f t="shared" si="35"/>
        <v>1.1612379142344524</v>
      </c>
      <c r="CL34" s="113">
        <f t="shared" si="36"/>
        <v>1.1710586266047349</v>
      </c>
      <c r="CM34" s="113">
        <f t="shared" si="37"/>
        <v>1.1758360524089413</v>
      </c>
      <c r="CN34" s="691">
        <f t="shared" si="38"/>
        <v>1.2165207342214217</v>
      </c>
      <c r="CO34" s="691">
        <f t="shared" si="39"/>
        <v>1.223990857868251</v>
      </c>
      <c r="CP34" s="691">
        <f t="shared" si="40"/>
        <v>1.2971809484452486</v>
      </c>
      <c r="CQ34" s="691">
        <f t="shared" si="41"/>
        <v>1.5119543520328793</v>
      </c>
    </row>
    <row r="35" spans="1:95" ht="14">
      <c r="A35" s="13" t="s">
        <v>26</v>
      </c>
      <c r="B35" s="319">
        <v>204327283</v>
      </c>
      <c r="C35" s="319">
        <v>209706776</v>
      </c>
      <c r="D35" s="319">
        <v>218876337</v>
      </c>
      <c r="E35" s="319">
        <v>244109279</v>
      </c>
      <c r="F35" s="319">
        <v>252013691</v>
      </c>
      <c r="G35" s="319">
        <v>269185941</v>
      </c>
      <c r="H35" s="319">
        <v>272578876</v>
      </c>
      <c r="I35" s="319">
        <v>276324823</v>
      </c>
      <c r="J35" s="319">
        <v>279254707.91701722</v>
      </c>
      <c r="K35" s="319">
        <v>286615661.86528134</v>
      </c>
      <c r="L35" s="319">
        <v>290762116.12504011</v>
      </c>
      <c r="M35" s="319">
        <v>299609439.29211903</v>
      </c>
      <c r="N35" s="319">
        <v>299124678.43791485</v>
      </c>
      <c r="O35" s="319">
        <v>292749176.51136935</v>
      </c>
      <c r="P35" s="319">
        <v>293694881</v>
      </c>
      <c r="Q35" s="319">
        <v>292637110</v>
      </c>
      <c r="R35" s="319">
        <v>302855241</v>
      </c>
      <c r="S35" s="319">
        <v>308652544</v>
      </c>
      <c r="T35" s="340">
        <v>311677290</v>
      </c>
      <c r="U35" s="340">
        <v>309350257</v>
      </c>
      <c r="V35" s="666">
        <v>309197641</v>
      </c>
      <c r="W35" s="667">
        <v>309502546</v>
      </c>
      <c r="X35" s="290"/>
      <c r="Y35" s="13" t="s">
        <v>26</v>
      </c>
      <c r="Z35" s="319">
        <f>B35/'Population &amp; Income'!B34</f>
        <v>6090.4135145607916</v>
      </c>
      <c r="AA35" s="319">
        <f>C35/'Population &amp; Income'!C34</f>
        <v>6270.5730945190326</v>
      </c>
      <c r="AB35" s="319">
        <f>D35/'Population &amp; Income'!D34</f>
        <v>6560.6479527606261</v>
      </c>
      <c r="AC35" s="319">
        <f>E35/'Population &amp; Income'!E34</f>
        <v>7338.5425384800383</v>
      </c>
      <c r="AD35" s="319">
        <f>F35/'Population &amp; Income'!F34</f>
        <v>7602.6816399179434</v>
      </c>
      <c r="AE35" s="319">
        <f>G35/'Population &amp; Income'!G34</f>
        <v>8155.6668787493181</v>
      </c>
      <c r="AF35" s="319">
        <f>H35/'Population &amp; Income'!H34</f>
        <v>8292.3816129719198</v>
      </c>
      <c r="AG35" s="319">
        <f>I35/'Population &amp; Income'!I34</f>
        <v>8444.3609387892302</v>
      </c>
      <c r="AH35" s="319">
        <f>J35/'Population &amp; Income'!J34</f>
        <v>8613.655395342912</v>
      </c>
      <c r="AI35" s="319">
        <f>K35/'Population &amp; Income'!K34</f>
        <v>8797.0185649698087</v>
      </c>
      <c r="AJ35" s="319">
        <f>L35/'Population &amp; Income'!L34</f>
        <v>8977.4643733802677</v>
      </c>
      <c r="AK35" s="319">
        <f>M35/'Population &amp; Income'!M34</f>
        <v>9288.7750516855995</v>
      </c>
      <c r="AL35" s="319">
        <f>N35/'Population &amp; Income'!N34</f>
        <v>9301.7189638010714</v>
      </c>
      <c r="AM35" s="319">
        <f>O35/'Population &amp; Income'!O34</f>
        <v>9154.9919164202183</v>
      </c>
      <c r="AN35" s="319">
        <f>P35/'Population &amp; Income'!P34</f>
        <v>9201.2557097653444</v>
      </c>
      <c r="AO35" s="319">
        <f>Q35/'Population &amp; Income'!Q34</f>
        <v>9153.4910853925558</v>
      </c>
      <c r="AP35" s="319">
        <f>R35/'Population &amp; Income'!R34</f>
        <v>9515.9693646703945</v>
      </c>
      <c r="AQ35" s="319">
        <f>S35/'Population &amp; Income'!S34</f>
        <v>9732.9889001009087</v>
      </c>
      <c r="AR35" s="319">
        <f>T35/'Population &amp; Income'!T34</f>
        <v>9939.3229797818731</v>
      </c>
      <c r="AS35" s="319">
        <f>U35/'Population &amp; Income'!U34</f>
        <v>10018.792531657868</v>
      </c>
      <c r="AT35" s="319">
        <f>V35/'Population &amp; Income'!V34</f>
        <v>10126.007565089241</v>
      </c>
      <c r="AU35" s="319">
        <f>W35/'Population &amp; Income'!W34</f>
        <v>10275.990105913212</v>
      </c>
      <c r="AV35" s="690"/>
      <c r="AW35" s="690"/>
      <c r="AX35" s="13" t="s">
        <v>26</v>
      </c>
      <c r="AY35" s="40">
        <f t="shared" si="0"/>
        <v>2.632782524691037E-2</v>
      </c>
      <c r="AZ35" s="40">
        <f t="shared" si="1"/>
        <v>4.3725630496555819E-2</v>
      </c>
      <c r="BA35" s="40">
        <f t="shared" si="2"/>
        <v>0.11528401080652223</v>
      </c>
      <c r="BB35" s="40">
        <f t="shared" si="3"/>
        <v>3.2380629005094065E-2</v>
      </c>
      <c r="BC35" s="40">
        <f t="shared" si="4"/>
        <v>6.8140147195415668E-2</v>
      </c>
      <c r="BD35" s="40">
        <f t="shared" si="5"/>
        <v>1.2604428698599828E-2</v>
      </c>
      <c r="BE35" s="40">
        <f t="shared" si="6"/>
        <v>1.3742616650895574E-2</v>
      </c>
      <c r="BF35" s="40">
        <f t="shared" si="7"/>
        <v>1.0603046390143608E-2</v>
      </c>
      <c r="BG35" s="40">
        <f t="shared" si="8"/>
        <v>2.6359283262115993E-2</v>
      </c>
      <c r="BH35" s="40">
        <f t="shared" si="9"/>
        <v>1.4466949338266583E-2</v>
      </c>
      <c r="BI35" s="40">
        <f t="shared" si="10"/>
        <v>3.0428046421543398E-2</v>
      </c>
      <c r="BJ35" s="40">
        <f t="shared" si="11"/>
        <v>-1.6179759067321518E-3</v>
      </c>
      <c r="BK35" s="40">
        <f t="shared" si="12"/>
        <v>-2.1313861363226754E-2</v>
      </c>
      <c r="BL35" s="40">
        <f t="shared" si="13"/>
        <v>3.230425785993371E-3</v>
      </c>
      <c r="BM35" s="40">
        <f t="shared" si="14"/>
        <v>-3.6015983540414517E-3</v>
      </c>
      <c r="BN35" s="40">
        <f t="shared" si="15"/>
        <v>3.4917413584353671E-2</v>
      </c>
      <c r="BO35" s="40">
        <f t="shared" si="16"/>
        <v>1.9142158414884425E-2</v>
      </c>
      <c r="BP35" s="691">
        <f t="shared" si="17"/>
        <v>9.7998414683405297E-3</v>
      </c>
      <c r="BQ35" s="691">
        <f t="shared" si="18"/>
        <v>-7.4661615544719343E-3</v>
      </c>
      <c r="BR35" s="691">
        <f t="shared" si="19"/>
        <v>-4.9334369875761897E-4</v>
      </c>
      <c r="BS35" s="691">
        <f t="shared" si="20"/>
        <v>9.8611683780601683E-4</v>
      </c>
      <c r="BT35" s="40"/>
      <c r="BU35" s="3"/>
      <c r="BV35" s="13" t="s">
        <v>26</v>
      </c>
      <c r="BW35" s="40">
        <f t="shared" si="21"/>
        <v>2.632782524691037E-2</v>
      </c>
      <c r="BX35" s="40">
        <f t="shared" si="22"/>
        <v>7.1204656501990482E-2</v>
      </c>
      <c r="BY35" s="40">
        <f t="shared" si="23"/>
        <v>0.1946974256981629</v>
      </c>
      <c r="BZ35" s="40">
        <f t="shared" si="24"/>
        <v>0.23338247981303603</v>
      </c>
      <c r="CA35" s="40">
        <f t="shared" si="25"/>
        <v>0.31742534353574309</v>
      </c>
      <c r="CB35" s="40">
        <f t="shared" si="26"/>
        <v>0.33403073734406774</v>
      </c>
      <c r="CC35" s="40">
        <f t="shared" si="27"/>
        <v>0.35236381036789882</v>
      </c>
      <c r="CD35" s="40">
        <f t="shared" si="28"/>
        <v>0.36670298658558104</v>
      </c>
      <c r="CE35" s="40">
        <f t="shared" si="29"/>
        <v>0.40272829774417029</v>
      </c>
      <c r="CF35" s="40">
        <f t="shared" si="30"/>
        <v>0.42302149696298813</v>
      </c>
      <c r="CG35" s="40">
        <f t="shared" si="31"/>
        <v>0.46632126113143207</v>
      </c>
      <c r="CH35" s="40">
        <f t="shared" si="32"/>
        <v>0.46394878865939232</v>
      </c>
      <c r="CI35" s="40">
        <f t="shared" si="33"/>
        <v>0.43274638713504232</v>
      </c>
      <c r="CJ35" s="40">
        <f t="shared" si="34"/>
        <v>0.43737476800883218</v>
      </c>
      <c r="CK35" s="40">
        <f t="shared" si="35"/>
        <v>0.43219792141023083</v>
      </c>
      <c r="CL35" s="113">
        <f t="shared" si="36"/>
        <v>0.48220656856676353</v>
      </c>
      <c r="CM35" s="113">
        <f t="shared" si="37"/>
        <v>0.51057920150585079</v>
      </c>
      <c r="CN35" s="691">
        <f t="shared" si="38"/>
        <v>0.52538263820598052</v>
      </c>
      <c r="CO35" s="691">
        <f t="shared" si="39"/>
        <v>0.51399388499674803</v>
      </c>
      <c r="CP35" s="691">
        <f t="shared" si="40"/>
        <v>0.51324696565362737</v>
      </c>
      <c r="CQ35" s="691">
        <f t="shared" si="41"/>
        <v>0.51473920396621731</v>
      </c>
    </row>
    <row r="36" spans="1:95" ht="14" customHeight="1">
      <c r="A36" s="13" t="s">
        <v>27</v>
      </c>
      <c r="B36" s="319">
        <v>114304665</v>
      </c>
      <c r="C36" s="319">
        <v>128614458</v>
      </c>
      <c r="D36" s="319">
        <v>134717650</v>
      </c>
      <c r="E36" s="319">
        <v>143708945</v>
      </c>
      <c r="F36" s="319">
        <v>149027293</v>
      </c>
      <c r="G36" s="319">
        <v>160496116</v>
      </c>
      <c r="H36" s="319">
        <v>160253568</v>
      </c>
      <c r="I36" s="319">
        <v>168431363</v>
      </c>
      <c r="J36" s="319">
        <v>168684587.07267165</v>
      </c>
      <c r="K36" s="319">
        <v>181780130.83575565</v>
      </c>
      <c r="L36" s="319">
        <v>187611576.81575251</v>
      </c>
      <c r="M36" s="319">
        <v>210913955.16935891</v>
      </c>
      <c r="N36" s="319">
        <v>212514413.37072268</v>
      </c>
      <c r="O36" s="319">
        <v>211685459.35465097</v>
      </c>
      <c r="P36" s="319">
        <v>211990334</v>
      </c>
      <c r="Q36" s="319">
        <v>211934173</v>
      </c>
      <c r="R36" s="319">
        <v>213759301</v>
      </c>
      <c r="S36" s="319">
        <v>214966415</v>
      </c>
      <c r="T36" s="340">
        <v>220975761</v>
      </c>
      <c r="U36" s="340">
        <v>229514299</v>
      </c>
      <c r="V36" s="666">
        <v>233128216</v>
      </c>
      <c r="W36" s="667">
        <v>236165858</v>
      </c>
      <c r="X36" s="290"/>
      <c r="Y36" s="13" t="s">
        <v>27</v>
      </c>
      <c r="Z36" s="319">
        <f>B36/'Population &amp; Income'!B35</f>
        <v>7742.1203603359527</v>
      </c>
      <c r="AA36" s="319">
        <f>C36/'Population &amp; Income'!C35</f>
        <v>8531.6390049751244</v>
      </c>
      <c r="AB36" s="319">
        <f>D36/'Population &amp; Income'!D35</f>
        <v>8973.3997202424562</v>
      </c>
      <c r="AC36" s="319">
        <f>E36/'Population &amp; Income'!E35</f>
        <v>9464.4984852476282</v>
      </c>
      <c r="AD36" s="319">
        <f>F36/'Population &amp; Income'!F35</f>
        <v>9693.4625341485626</v>
      </c>
      <c r="AE36" s="319">
        <f>G36/'Population &amp; Income'!G35</f>
        <v>10425.210522897045</v>
      </c>
      <c r="AF36" s="319">
        <f>H36/'Population &amp; Income'!H35</f>
        <v>10401.347958720062</v>
      </c>
      <c r="AG36" s="319">
        <f>I36/'Population &amp; Income'!I35</f>
        <v>10894.654786545925</v>
      </c>
      <c r="AH36" s="319">
        <f>J36/'Population &amp; Income'!J35</f>
        <v>10908.211786903237</v>
      </c>
      <c r="AI36" s="319">
        <f>K36/'Population &amp; Income'!K35</f>
        <v>11715.656795292321</v>
      </c>
      <c r="AJ36" s="319">
        <f>L36/'Population &amp; Income'!L35</f>
        <v>12120.393876591026</v>
      </c>
      <c r="AK36" s="319">
        <f>M36/'Population &amp; Income'!M35</f>
        <v>13651.388684100901</v>
      </c>
      <c r="AL36" s="319">
        <f>N36/'Population &amp; Income'!N35</f>
        <v>13881.665253819498</v>
      </c>
      <c r="AM36" s="319">
        <f>O36/'Population &amp; Income'!O35</f>
        <v>13923.011007277753</v>
      </c>
      <c r="AN36" s="319">
        <f>P36/'Population &amp; Income'!P35</f>
        <v>13919.260275771503</v>
      </c>
      <c r="AO36" s="319">
        <f>Q36/'Population &amp; Income'!Q35</f>
        <v>14051.194921434728</v>
      </c>
      <c r="AP36" s="319">
        <f>R36/'Population &amp; Income'!R35</f>
        <v>14277.270972481967</v>
      </c>
      <c r="AQ36" s="319">
        <f>S36/'Population &amp; Income'!S35</f>
        <v>14426.307965908329</v>
      </c>
      <c r="AR36" s="319">
        <f>T36/'Population &amp; Income'!T35</f>
        <v>14860.50847343645</v>
      </c>
      <c r="AS36" s="319">
        <f>U36/'Population &amp; Income'!U35</f>
        <v>15480.527384324834</v>
      </c>
      <c r="AT36" s="319">
        <f>V36/'Population &amp; Income'!V35</f>
        <v>15743.396542409508</v>
      </c>
      <c r="AU36" s="319">
        <f>W36/'Population &amp; Income'!W35</f>
        <v>16037.339263887003</v>
      </c>
      <c r="AV36" s="690"/>
      <c r="AW36" s="690"/>
      <c r="AX36" s="13" t="s">
        <v>27</v>
      </c>
      <c r="AY36" s="40">
        <f t="shared" si="0"/>
        <v>0.12518992991230934</v>
      </c>
      <c r="AZ36" s="40">
        <f t="shared" si="1"/>
        <v>4.7453389726993214E-2</v>
      </c>
      <c r="BA36" s="40">
        <f t="shared" si="2"/>
        <v>6.674177437032193E-2</v>
      </c>
      <c r="BB36" s="40">
        <f t="shared" si="3"/>
        <v>3.7007772898200599E-2</v>
      </c>
      <c r="BC36" s="40">
        <f t="shared" si="4"/>
        <v>7.6957869723903533E-2</v>
      </c>
      <c r="BD36" s="40">
        <f t="shared" si="5"/>
        <v>-1.5112390632555869E-3</v>
      </c>
      <c r="BE36" s="40">
        <f t="shared" si="6"/>
        <v>5.1030345857884428E-2</v>
      </c>
      <c r="BF36" s="40">
        <f t="shared" si="7"/>
        <v>1.5034258950433824E-3</v>
      </c>
      <c r="BG36" s="40">
        <f t="shared" si="8"/>
        <v>7.7633315469671532E-2</v>
      </c>
      <c r="BH36" s="40">
        <f t="shared" si="9"/>
        <v>3.2079666535534429E-2</v>
      </c>
      <c r="BI36" s="40">
        <f t="shared" si="10"/>
        <v>0.12420543949956214</v>
      </c>
      <c r="BJ36" s="40">
        <f t="shared" si="11"/>
        <v>7.588204393960761E-3</v>
      </c>
      <c r="BK36" s="40">
        <f t="shared" si="12"/>
        <v>-3.9006955007123713E-3</v>
      </c>
      <c r="BL36" s="40">
        <f t="shared" si="13"/>
        <v>1.4402247857669269E-3</v>
      </c>
      <c r="BM36" s="40">
        <f t="shared" si="14"/>
        <v>-2.6492245632293783E-4</v>
      </c>
      <c r="BN36" s="40">
        <f t="shared" si="15"/>
        <v>8.6117683343119936E-3</v>
      </c>
      <c r="BO36" s="40">
        <f t="shared" si="16"/>
        <v>5.6470712355108236E-3</v>
      </c>
      <c r="BP36" s="691">
        <f t="shared" si="17"/>
        <v>2.7954813313512253E-2</v>
      </c>
      <c r="BQ36" s="691">
        <f t="shared" si="18"/>
        <v>3.8640156555451347E-2</v>
      </c>
      <c r="BR36" s="691">
        <f t="shared" si="19"/>
        <v>1.574593398209146E-2</v>
      </c>
      <c r="BS36" s="691">
        <f t="shared" si="20"/>
        <v>1.3029919981886705E-2</v>
      </c>
      <c r="BT36" s="40"/>
      <c r="BU36" s="3"/>
      <c r="BV36" s="13" t="s">
        <v>27</v>
      </c>
      <c r="BW36" s="40">
        <f t="shared" si="21"/>
        <v>0.12518992991230934</v>
      </c>
      <c r="BX36" s="40">
        <f t="shared" si="22"/>
        <v>0.17858400617332634</v>
      </c>
      <c r="BY36" s="40">
        <f t="shared" si="23"/>
        <v>0.25724479398981659</v>
      </c>
      <c r="BZ36" s="40">
        <f t="shared" si="24"/>
        <v>0.30377262380323672</v>
      </c>
      <c r="CA36" s="40">
        <f t="shared" si="25"/>
        <v>0.40410818753547811</v>
      </c>
      <c r="CB36" s="40">
        <f t="shared" si="26"/>
        <v>0.4019862443934375</v>
      </c>
      <c r="CC36" s="40">
        <f t="shared" si="27"/>
        <v>0.47353008733283108</v>
      </c>
      <c r="CD36" s="40">
        <f t="shared" si="28"/>
        <v>0.47574543062325281</v>
      </c>
      <c r="CE36" s="40">
        <f t="shared" si="29"/>
        <v>0.59031244119175408</v>
      </c>
      <c r="CF36" s="40">
        <f t="shared" si="30"/>
        <v>0.64132913399249725</v>
      </c>
      <c r="CG36" s="40">
        <f t="shared" si="31"/>
        <v>0.84519114044347099</v>
      </c>
      <c r="CH36" s="40">
        <f t="shared" si="32"/>
        <v>0.85919282796308161</v>
      </c>
      <c r="CI36" s="40">
        <f t="shared" si="33"/>
        <v>0.8519406828640893</v>
      </c>
      <c r="CJ36" s="40">
        <f t="shared" si="34"/>
        <v>0.85460789373732038</v>
      </c>
      <c r="CK36" s="40">
        <f t="shared" si="35"/>
        <v>0.85411656645859557</v>
      </c>
      <c r="CL36" s="113">
        <f t="shared" si="36"/>
        <v>0.87008378879374693</v>
      </c>
      <c r="CM36" s="113">
        <f t="shared" si="37"/>
        <v>0.88064428516543924</v>
      </c>
      <c r="CN36" s="691">
        <f t="shared" si="38"/>
        <v>0.93321734506636278</v>
      </c>
      <c r="CO36" s="691">
        <f t="shared" si="39"/>
        <v>1.0079171659354411</v>
      </c>
      <c r="CP36" s="691">
        <f t="shared" si="40"/>
        <v>1.0395336970717686</v>
      </c>
      <c r="CQ36" s="691">
        <f t="shared" si="41"/>
        <v>1.0661086579449754</v>
      </c>
    </row>
    <row r="37" spans="1:95" ht="14">
      <c r="A37" s="13" t="s">
        <v>28</v>
      </c>
      <c r="B37" s="319">
        <v>49138300</v>
      </c>
      <c r="C37" s="319">
        <v>53028679</v>
      </c>
      <c r="D37" s="319">
        <v>55305785</v>
      </c>
      <c r="E37" s="319">
        <v>56385114</v>
      </c>
      <c r="F37" s="319">
        <v>58936999</v>
      </c>
      <c r="G37" s="319">
        <v>59017508</v>
      </c>
      <c r="H37" s="319">
        <v>60720037</v>
      </c>
      <c r="I37" s="319">
        <v>63558254</v>
      </c>
      <c r="J37" s="319">
        <v>64574965.306938283</v>
      </c>
      <c r="K37" s="319">
        <v>68534743.996638969</v>
      </c>
      <c r="L37" s="319">
        <v>70498372.912867188</v>
      </c>
      <c r="M37" s="319">
        <v>77296808.822474316</v>
      </c>
      <c r="N37" s="319">
        <v>81126686.160460651</v>
      </c>
      <c r="O37" s="319">
        <v>79955302.017130271</v>
      </c>
      <c r="P37" s="319">
        <v>81419196</v>
      </c>
      <c r="Q37" s="319">
        <v>84780360</v>
      </c>
      <c r="R37" s="319">
        <v>89324012</v>
      </c>
      <c r="S37" s="319">
        <v>92170300</v>
      </c>
      <c r="T37" s="340">
        <v>91949050</v>
      </c>
      <c r="U37" s="340">
        <v>93333525</v>
      </c>
      <c r="V37" s="666">
        <v>92737193</v>
      </c>
      <c r="W37" s="667">
        <v>94317858</v>
      </c>
      <c r="X37" s="290"/>
      <c r="Y37" s="13" t="s">
        <v>28</v>
      </c>
      <c r="Z37" s="319">
        <f>B37/'Population &amp; Income'!B36</f>
        <v>7170.3341602218006</v>
      </c>
      <c r="AA37" s="319">
        <f>C37/'Population &amp; Income'!C36</f>
        <v>7742.5432909913852</v>
      </c>
      <c r="AB37" s="319">
        <f>D37/'Population &amp; Income'!D36</f>
        <v>8047.9896682188592</v>
      </c>
      <c r="AC37" s="319">
        <f>E37/'Population &amp; Income'!E36</f>
        <v>8266.399941357573</v>
      </c>
      <c r="AD37" s="319">
        <f>F37/'Population &amp; Income'!F36</f>
        <v>8575.14898879674</v>
      </c>
      <c r="AE37" s="319">
        <f>G37/'Population &amp; Income'!G36</f>
        <v>8584.3647999999994</v>
      </c>
      <c r="AF37" s="319">
        <f>H37/'Population &amp; Income'!H36</f>
        <v>8955.7576696165197</v>
      </c>
      <c r="AG37" s="319">
        <f>I37/'Population &amp; Income'!I36</f>
        <v>9451.0414869888482</v>
      </c>
      <c r="AH37" s="319">
        <f>J37/'Population &amp; Income'!J36</f>
        <v>9536.990888633627</v>
      </c>
      <c r="AI37" s="319">
        <f>K37/'Population &amp; Income'!K36</f>
        <v>10108.369321038195</v>
      </c>
      <c r="AJ37" s="319">
        <f>L37/'Population &amp; Income'!L36</f>
        <v>10404.128233894213</v>
      </c>
      <c r="AK37" s="319">
        <f>M37/'Population &amp; Income'!M36</f>
        <v>11437.823146267285</v>
      </c>
      <c r="AL37" s="319">
        <f>N37/'Population &amp; Income'!N36</f>
        <v>11919.877484640119</v>
      </c>
      <c r="AM37" s="319">
        <f>O37/'Population &amp; Income'!O36</f>
        <v>11862.804453580158</v>
      </c>
      <c r="AN37" s="319">
        <f>P37/'Population &amp; Income'!P36</f>
        <v>12103.344135573063</v>
      </c>
      <c r="AO37" s="319">
        <f>Q37/'Population &amp; Income'!Q36</f>
        <v>12436.608478802993</v>
      </c>
      <c r="AP37" s="319">
        <f>R37/'Population &amp; Income'!R36</f>
        <v>13180.465102552753</v>
      </c>
      <c r="AQ37" s="319">
        <f>S37/'Population &amp; Income'!S36</f>
        <v>13604.472324723247</v>
      </c>
      <c r="AR37" s="319">
        <f>T37/'Population &amp; Income'!T36</f>
        <v>13525.897322741983</v>
      </c>
      <c r="AS37" s="319">
        <f>U37/'Population &amp; Income'!U36</f>
        <v>13961.63425579656</v>
      </c>
      <c r="AT37" s="319">
        <f>V37/'Population &amp; Income'!V36</f>
        <v>13922.413001050892</v>
      </c>
      <c r="AU37" s="319">
        <f>W37/'Population &amp; Income'!W36</f>
        <v>14151.216504126032</v>
      </c>
      <c r="AV37" s="690"/>
      <c r="AW37" s="690"/>
      <c r="AX37" s="13" t="s">
        <v>28</v>
      </c>
      <c r="AY37" s="40">
        <f t="shared" si="0"/>
        <v>7.9172030778435556E-2</v>
      </c>
      <c r="AZ37" s="40">
        <f t="shared" si="1"/>
        <v>4.2941028193442268E-2</v>
      </c>
      <c r="BA37" s="40">
        <f t="shared" si="2"/>
        <v>1.951566187877091E-2</v>
      </c>
      <c r="BB37" s="40">
        <f t="shared" si="3"/>
        <v>4.5258133201610623E-2</v>
      </c>
      <c r="BC37" s="40">
        <f t="shared" si="4"/>
        <v>1.3660179745493997E-3</v>
      </c>
      <c r="BD37" s="40">
        <f t="shared" si="5"/>
        <v>2.8847863247631535E-2</v>
      </c>
      <c r="BE37" s="40">
        <f t="shared" si="6"/>
        <v>4.6742675733218018E-2</v>
      </c>
      <c r="BF37" s="40">
        <f t="shared" si="7"/>
        <v>1.5996526697197866E-2</v>
      </c>
      <c r="BG37" s="40">
        <f t="shared" si="8"/>
        <v>6.1320647574164867E-2</v>
      </c>
      <c r="BH37" s="40">
        <f t="shared" si="9"/>
        <v>2.8651583149190998E-2</v>
      </c>
      <c r="BI37" s="40">
        <f t="shared" si="10"/>
        <v>9.6433940652923836E-2</v>
      </c>
      <c r="BJ37" s="40">
        <f t="shared" si="11"/>
        <v>4.9547677275815105E-2</v>
      </c>
      <c r="BK37" s="40">
        <f t="shared" si="12"/>
        <v>-1.4438949731208016E-2</v>
      </c>
      <c r="BL37" s="40">
        <f t="shared" si="13"/>
        <v>1.8308904424575782E-2</v>
      </c>
      <c r="BM37" s="40">
        <f t="shared" si="14"/>
        <v>4.1282205734382342E-2</v>
      </c>
      <c r="BN37" s="40">
        <f t="shared" si="15"/>
        <v>5.3593214277457654E-2</v>
      </c>
      <c r="BO37" s="40">
        <f t="shared" si="16"/>
        <v>3.186475770927083E-2</v>
      </c>
      <c r="BP37" s="691">
        <f t="shared" si="17"/>
        <v>-2.4004478666121301E-3</v>
      </c>
      <c r="BQ37" s="691">
        <f t="shared" si="18"/>
        <v>1.5056979925295585E-2</v>
      </c>
      <c r="BR37" s="691">
        <f t="shared" si="19"/>
        <v>-6.3892583077731178E-3</v>
      </c>
      <c r="BS37" s="691">
        <f t="shared" si="20"/>
        <v>1.7044563770654563E-2</v>
      </c>
      <c r="BT37" s="40"/>
      <c r="BU37" s="3"/>
      <c r="BV37" s="13" t="s">
        <v>28</v>
      </c>
      <c r="BW37" s="40">
        <f t="shared" si="21"/>
        <v>7.9172030778435556E-2</v>
      </c>
      <c r="BX37" s="40">
        <f t="shared" si="22"/>
        <v>0.12551278737766672</v>
      </c>
      <c r="BY37" s="40">
        <f t="shared" si="23"/>
        <v>0.14747791437636223</v>
      </c>
      <c r="BZ37" s="40">
        <f t="shared" si="24"/>
        <v>0.19941062267111398</v>
      </c>
      <c r="CA37" s="40">
        <f t="shared" si="25"/>
        <v>0.2010490391405482</v>
      </c>
      <c r="CB37" s="40">
        <f t="shared" si="26"/>
        <v>0.23569673757537399</v>
      </c>
      <c r="CC37" s="40">
        <f t="shared" si="27"/>
        <v>0.29345650948445512</v>
      </c>
      <c r="CD37" s="40">
        <f t="shared" si="28"/>
        <v>0.31414732107008753</v>
      </c>
      <c r="CE37" s="40">
        <f t="shared" si="29"/>
        <v>0.3947316858059593</v>
      </c>
      <c r="CF37" s="40">
        <f t="shared" si="30"/>
        <v>0.43469295667264007</v>
      </c>
      <c r="CG37" s="40">
        <f t="shared" si="31"/>
        <v>0.57304605211157722</v>
      </c>
      <c r="CH37" s="40">
        <f t="shared" si="32"/>
        <v>0.65098683024159665</v>
      </c>
      <c r="CI37" s="40">
        <f t="shared" si="33"/>
        <v>0.62714831439285179</v>
      </c>
      <c r="CJ37" s="40">
        <f t="shared" si="34"/>
        <v>0.65693961736568018</v>
      </c>
      <c r="CK37" s="40">
        <f t="shared" si="35"/>
        <v>0.72534173953921888</v>
      </c>
      <c r="CL37" s="113">
        <f t="shared" si="36"/>
        <v>0.81780834908818578</v>
      </c>
      <c r="CM37" s="113">
        <f t="shared" si="37"/>
        <v>0.87573237169377049</v>
      </c>
      <c r="CN37" s="691">
        <f t="shared" si="38"/>
        <v>0.87122977392380285</v>
      </c>
      <c r="CO37" s="691">
        <f t="shared" si="39"/>
        <v>0.89940484306538893</v>
      </c>
      <c r="CP37" s="691">
        <f t="shared" si="40"/>
        <v>0.88726905489200891</v>
      </c>
      <c r="CQ37" s="691">
        <f t="shared" si="41"/>
        <v>0.91943673265049874</v>
      </c>
    </row>
    <row r="38" spans="1:95" ht="14">
      <c r="A38" s="13" t="s">
        <v>29</v>
      </c>
      <c r="B38" s="319">
        <v>67853171</v>
      </c>
      <c r="C38" s="319">
        <v>76725799</v>
      </c>
      <c r="D38" s="319">
        <v>77298732</v>
      </c>
      <c r="E38" s="319">
        <v>78189892</v>
      </c>
      <c r="F38" s="319">
        <v>81076024</v>
      </c>
      <c r="G38" s="319">
        <v>83094121</v>
      </c>
      <c r="H38" s="319">
        <v>88889234</v>
      </c>
      <c r="I38" s="319">
        <v>95069531</v>
      </c>
      <c r="J38" s="319">
        <v>93150248.711356029</v>
      </c>
      <c r="K38" s="319">
        <v>98007040.432077363</v>
      </c>
      <c r="L38" s="319">
        <v>98076410.892639399</v>
      </c>
      <c r="M38" s="319">
        <v>104060216.14478332</v>
      </c>
      <c r="N38" s="319">
        <v>107367485.2091915</v>
      </c>
      <c r="O38" s="319">
        <v>105747780.659762</v>
      </c>
      <c r="P38" s="319">
        <v>106669968</v>
      </c>
      <c r="Q38" s="319">
        <v>111458102</v>
      </c>
      <c r="R38" s="319">
        <v>115285258</v>
      </c>
      <c r="S38" s="319">
        <v>121236929</v>
      </c>
      <c r="T38" s="340">
        <v>122055336</v>
      </c>
      <c r="U38" s="340">
        <v>123893233</v>
      </c>
      <c r="V38" s="666">
        <v>125170967</v>
      </c>
      <c r="W38" s="667">
        <v>132422111</v>
      </c>
      <c r="X38" s="290"/>
      <c r="Y38" s="13" t="s">
        <v>29</v>
      </c>
      <c r="Z38" s="319">
        <f>B38/'Population &amp; Income'!B37</f>
        <v>6443.7959164292497</v>
      </c>
      <c r="AA38" s="319">
        <f>C38/'Population &amp; Income'!C37</f>
        <v>7291.940600646265</v>
      </c>
      <c r="AB38" s="319">
        <f>D38/'Population &amp; Income'!D37</f>
        <v>7335.9335674290596</v>
      </c>
      <c r="AC38" s="319">
        <f>E38/'Population &amp; Income'!E37</f>
        <v>7444.5293725602205</v>
      </c>
      <c r="AD38" s="319">
        <f>F38/'Population &amp; Income'!F37</f>
        <v>7711.9779320840862</v>
      </c>
      <c r="AE38" s="319">
        <f>G38/'Population &amp; Income'!G37</f>
        <v>7969.1302388031072</v>
      </c>
      <c r="AF38" s="319">
        <f>H38/'Population &amp; Income'!H37</f>
        <v>8669.5829513313183</v>
      </c>
      <c r="AG38" s="319">
        <f>I38/'Population &amp; Income'!I37</f>
        <v>9226.4684588509317</v>
      </c>
      <c r="AH38" s="319">
        <f>J38/'Population &amp; Income'!J37</f>
        <v>9124.3264483647781</v>
      </c>
      <c r="AI38" s="319">
        <f>K38/'Population &amp; Income'!K37</f>
        <v>9533.7587968946846</v>
      </c>
      <c r="AJ38" s="319">
        <f>L38/'Population &amp; Income'!L37</f>
        <v>9627.6048780445071</v>
      </c>
      <c r="AK38" s="319">
        <f>M38/'Population &amp; Income'!M37</f>
        <v>10202.982267357909</v>
      </c>
      <c r="AL38" s="319">
        <f>N38/'Population &amp; Income'!N37</f>
        <v>10530.353590544479</v>
      </c>
      <c r="AM38" s="319">
        <f>O38/'Population &amp; Income'!O37</f>
        <v>10352.205644616935</v>
      </c>
      <c r="AN38" s="319">
        <f>P38/'Population &amp; Income'!P37</f>
        <v>10389.594623551184</v>
      </c>
      <c r="AO38" s="319">
        <f>Q38/'Population &amp; Income'!Q37</f>
        <v>10858.071310277643</v>
      </c>
      <c r="AP38" s="319">
        <f>R38/'Population &amp; Income'!R37</f>
        <v>11151.601663764752</v>
      </c>
      <c r="AQ38" s="319">
        <f>S38/'Population &amp; Income'!S37</f>
        <v>11708.056880733944</v>
      </c>
      <c r="AR38" s="319">
        <f>T38/'Population &amp; Income'!T37</f>
        <v>11955.660299735528</v>
      </c>
      <c r="AS38" s="319">
        <f>U38/'Population &amp; Income'!U37</f>
        <v>12312.982806599086</v>
      </c>
      <c r="AT38" s="319">
        <f>V38/'Population &amp; Income'!V37</f>
        <v>12313.917068371864</v>
      </c>
      <c r="AU38" s="319">
        <f>W38/'Population &amp; Income'!W37</f>
        <v>13310.092572117801</v>
      </c>
      <c r="AV38" s="690"/>
      <c r="AW38" s="690"/>
      <c r="AX38" s="13" t="s">
        <v>29</v>
      </c>
      <c r="AY38" s="40">
        <f t="shared" si="0"/>
        <v>0.13076217174876029</v>
      </c>
      <c r="AZ38" s="40">
        <f t="shared" si="1"/>
        <v>7.4672796825484998E-3</v>
      </c>
      <c r="BA38" s="40">
        <f t="shared" si="2"/>
        <v>1.1528779023179838E-2</v>
      </c>
      <c r="BB38" s="40">
        <f t="shared" si="3"/>
        <v>3.6911829984366776E-2</v>
      </c>
      <c r="BC38" s="40">
        <f t="shared" si="4"/>
        <v>2.4891415494178649E-2</v>
      </c>
      <c r="BD38" s="40">
        <f t="shared" si="5"/>
        <v>6.9741552473971055E-2</v>
      </c>
      <c r="BE38" s="40">
        <f t="shared" si="6"/>
        <v>6.9528071307263156E-2</v>
      </c>
      <c r="BF38" s="40">
        <f t="shared" si="7"/>
        <v>-2.0188195612787563E-2</v>
      </c>
      <c r="BG38" s="40">
        <f t="shared" si="8"/>
        <v>5.2139331756064743E-2</v>
      </c>
      <c r="BH38" s="40">
        <f t="shared" si="9"/>
        <v>7.0781099251856128E-4</v>
      </c>
      <c r="BI38" s="40">
        <f t="shared" si="10"/>
        <v>6.1011666288381707E-2</v>
      </c>
      <c r="BJ38" s="40">
        <f t="shared" si="11"/>
        <v>3.1782262106842464E-2</v>
      </c>
      <c r="BK38" s="40">
        <f t="shared" si="12"/>
        <v>-1.5085615037678527E-2</v>
      </c>
      <c r="BL38" s="40">
        <f t="shared" si="13"/>
        <v>8.7206306788139114E-3</v>
      </c>
      <c r="BM38" s="40">
        <f t="shared" si="14"/>
        <v>4.4887366985991786E-2</v>
      </c>
      <c r="BN38" s="40">
        <f t="shared" si="15"/>
        <v>3.4337171828029152E-2</v>
      </c>
      <c r="BO38" s="40">
        <f t="shared" si="16"/>
        <v>5.1625603336031049E-2</v>
      </c>
      <c r="BP38" s="691">
        <f t="shared" si="17"/>
        <v>6.7504761688577577E-3</v>
      </c>
      <c r="BQ38" s="691">
        <f t="shared" si="18"/>
        <v>1.5057899639881373E-2</v>
      </c>
      <c r="BR38" s="691">
        <f t="shared" si="19"/>
        <v>1.0313186354576767E-2</v>
      </c>
      <c r="BS38" s="691">
        <f t="shared" si="20"/>
        <v>5.7929919164082196E-2</v>
      </c>
      <c r="BT38" s="40"/>
      <c r="BU38" s="3"/>
      <c r="BV38" s="13" t="s">
        <v>29</v>
      </c>
      <c r="BW38" s="40">
        <f t="shared" si="21"/>
        <v>0.13076217174876029</v>
      </c>
      <c r="BX38" s="40">
        <f t="shared" si="22"/>
        <v>0.1392058891396542</v>
      </c>
      <c r="BY38" s="40">
        <f t="shared" si="23"/>
        <v>0.1523395420974504</v>
      </c>
      <c r="BZ38" s="40">
        <f t="shared" si="24"/>
        <v>0.19487450335961454</v>
      </c>
      <c r="CA38" s="40">
        <f t="shared" si="25"/>
        <v>0.22461662108613906</v>
      </c>
      <c r="CB38" s="40">
        <f t="shared" si="26"/>
        <v>0.31002328542611518</v>
      </c>
      <c r="CC38" s="40">
        <f t="shared" si="27"/>
        <v>0.40110667782939724</v>
      </c>
      <c r="CD38" s="40">
        <f t="shared" si="28"/>
        <v>0.37282086214299442</v>
      </c>
      <c r="CE38" s="40">
        <f t="shared" si="29"/>
        <v>0.44439882451591484</v>
      </c>
      <c r="CF38" s="40">
        <f t="shared" si="30"/>
        <v>0.4454211858814881</v>
      </c>
      <c r="CG38" s="40">
        <f t="shared" si="31"/>
        <v>0.53360874092064636</v>
      </c>
      <c r="CH38" s="40">
        <f t="shared" si="32"/>
        <v>0.58235029589393106</v>
      </c>
      <c r="CI38" s="40">
        <f t="shared" si="33"/>
        <v>0.55847956847531854</v>
      </c>
      <c r="CJ38" s="40">
        <f t="shared" si="34"/>
        <v>0.57207049321246906</v>
      </c>
      <c r="CK38" s="40">
        <f t="shared" si="35"/>
        <v>0.64263659836914622</v>
      </c>
      <c r="CL38" s="113">
        <f t="shared" si="36"/>
        <v>0.69904009349835694</v>
      </c>
      <c r="CM38" s="113">
        <f t="shared" si="37"/>
        <v>0.78675406341731624</v>
      </c>
      <c r="CN38" s="691">
        <f t="shared" si="38"/>
        <v>0.79881550414202451</v>
      </c>
      <c r="CO38" s="691">
        <f t="shared" si="39"/>
        <v>0.82590188747405779</v>
      </c>
      <c r="CP38" s="691">
        <f t="shared" si="40"/>
        <v>0.84473275390475122</v>
      </c>
      <c r="CQ38" s="691">
        <f t="shared" si="41"/>
        <v>0.95159797321778816</v>
      </c>
    </row>
    <row r="39" spans="1:95" ht="14">
      <c r="A39" s="13" t="s">
        <v>30</v>
      </c>
      <c r="B39" s="319">
        <v>62301116</v>
      </c>
      <c r="C39" s="319">
        <v>68014878</v>
      </c>
      <c r="D39" s="319">
        <v>70760886</v>
      </c>
      <c r="E39" s="319">
        <v>75539696</v>
      </c>
      <c r="F39" s="319">
        <v>79137025</v>
      </c>
      <c r="G39" s="319">
        <v>79555187</v>
      </c>
      <c r="H39" s="319">
        <v>79499154</v>
      </c>
      <c r="I39" s="319">
        <v>83932430</v>
      </c>
      <c r="J39" s="319">
        <v>83627303.192876652</v>
      </c>
      <c r="K39" s="319">
        <v>87194719.908054635</v>
      </c>
      <c r="L39" s="319">
        <v>91625252.992722154</v>
      </c>
      <c r="M39" s="319">
        <v>95077714.150927797</v>
      </c>
      <c r="N39" s="319">
        <v>96921790.717362911</v>
      </c>
      <c r="O39" s="319">
        <v>97518746.36202091</v>
      </c>
      <c r="P39" s="319">
        <v>99017329</v>
      </c>
      <c r="Q39" s="319">
        <v>101599245</v>
      </c>
      <c r="R39" s="319">
        <v>102879663</v>
      </c>
      <c r="S39" s="319">
        <v>105225368</v>
      </c>
      <c r="T39" s="340">
        <v>104769162</v>
      </c>
      <c r="U39" s="340">
        <v>112453975</v>
      </c>
      <c r="V39" s="666">
        <v>116449106</v>
      </c>
      <c r="W39" s="667">
        <v>117517196</v>
      </c>
      <c r="X39" s="290"/>
      <c r="Y39" s="13" t="s">
        <v>30</v>
      </c>
      <c r="Z39" s="319">
        <f>B39/'Population &amp; Income'!B38</f>
        <v>7295.2126463700233</v>
      </c>
      <c r="AA39" s="319">
        <f>C39/'Population &amp; Income'!C38</f>
        <v>7835.8154377880182</v>
      </c>
      <c r="AB39" s="319">
        <f>D39/'Population &amp; Income'!D38</f>
        <v>8075.8829034467017</v>
      </c>
      <c r="AC39" s="319">
        <f>E39/'Population &amp; Income'!E38</f>
        <v>8624.2374700308246</v>
      </c>
      <c r="AD39" s="319">
        <f>F39/'Population &amp; Income'!F38</f>
        <v>8918.8577707652421</v>
      </c>
      <c r="AE39" s="319">
        <f>G39/'Population &amp; Income'!G38</f>
        <v>9061.9873561909098</v>
      </c>
      <c r="AF39" s="319">
        <f>H39/'Population &amp; Income'!H38</f>
        <v>9063.8643256185151</v>
      </c>
      <c r="AG39" s="319">
        <f>I39/'Population &amp; Income'!I38</f>
        <v>9547.5406665908322</v>
      </c>
      <c r="AH39" s="319">
        <f>J39/'Population &amp; Income'!J38</f>
        <v>9554.1303773422424</v>
      </c>
      <c r="AI39" s="319">
        <f>K39/'Population &amp; Income'!K38</f>
        <v>9804.8712367091684</v>
      </c>
      <c r="AJ39" s="319">
        <f>L39/'Population &amp; Income'!L38</f>
        <v>10329.791769190773</v>
      </c>
      <c r="AK39" s="319">
        <f>M39/'Population &amp; Income'!M38</f>
        <v>10622.021466978862</v>
      </c>
      <c r="AL39" s="319">
        <f>N39/'Population &amp; Income'!N38</f>
        <v>10821.995390505015</v>
      </c>
      <c r="AM39" s="319">
        <f>O39/'Population &amp; Income'!O38</f>
        <v>10851.090059198945</v>
      </c>
      <c r="AN39" s="319">
        <f>P39/'Population &amp; Income'!P38</f>
        <v>11075.763870246084</v>
      </c>
      <c r="AO39" s="319">
        <f>Q39/'Population &amp; Income'!Q38</f>
        <v>11420.778439748201</v>
      </c>
      <c r="AP39" s="319">
        <f>R39/'Population &amp; Income'!R38</f>
        <v>11787.312442713108</v>
      </c>
      <c r="AQ39" s="319">
        <f>S39/'Population &amp; Income'!S38</f>
        <v>12038.138428097473</v>
      </c>
      <c r="AR39" s="319">
        <f>T39/'Population &amp; Income'!T38</f>
        <v>12148.557745825603</v>
      </c>
      <c r="AS39" s="319">
        <f>U39/'Population &amp; Income'!U38</f>
        <v>13056.307326134913</v>
      </c>
      <c r="AT39" s="319">
        <f>V39/'Population &amp; Income'!V38</f>
        <v>13610.227442730247</v>
      </c>
      <c r="AU39" s="319">
        <f>W39/'Population &amp; Income'!W38</f>
        <v>13786.625527921164</v>
      </c>
      <c r="AV39" s="690"/>
      <c r="AW39" s="690"/>
      <c r="AX39" s="13" t="s">
        <v>30</v>
      </c>
      <c r="AY39" s="40">
        <f t="shared" si="0"/>
        <v>9.1712032895205284E-2</v>
      </c>
      <c r="AZ39" s="40">
        <f t="shared" si="1"/>
        <v>4.03736370739355E-2</v>
      </c>
      <c r="BA39" s="40">
        <f t="shared" si="2"/>
        <v>6.7534626403632086E-2</v>
      </c>
      <c r="BB39" s="40">
        <f t="shared" si="3"/>
        <v>4.762170342861851E-2</v>
      </c>
      <c r="BC39" s="40">
        <f t="shared" si="4"/>
        <v>5.2840247659044553E-3</v>
      </c>
      <c r="BD39" s="40">
        <f t="shared" si="5"/>
        <v>-7.0432868192491329E-4</v>
      </c>
      <c r="BE39" s="40">
        <f t="shared" si="6"/>
        <v>5.57650714119549E-2</v>
      </c>
      <c r="BF39" s="40">
        <f t="shared" si="7"/>
        <v>-3.635386311624102E-3</v>
      </c>
      <c r="BG39" s="40">
        <f t="shared" si="8"/>
        <v>4.2658516763958668E-2</v>
      </c>
      <c r="BH39" s="40">
        <f t="shared" si="9"/>
        <v>5.0811942389853898E-2</v>
      </c>
      <c r="BI39" s="40">
        <f t="shared" si="10"/>
        <v>3.7680236020520175E-2</v>
      </c>
      <c r="BJ39" s="40">
        <f t="shared" si="11"/>
        <v>1.9395465939660673E-2</v>
      </c>
      <c r="BK39" s="40">
        <f t="shared" si="12"/>
        <v>6.1591479092539978E-3</v>
      </c>
      <c r="BL39" s="40">
        <f t="shared" si="13"/>
        <v>1.5367123695539216E-2</v>
      </c>
      <c r="BM39" s="40">
        <f t="shared" si="14"/>
        <v>2.6075395348222331E-2</v>
      </c>
      <c r="BN39" s="40">
        <f t="shared" si="15"/>
        <v>1.2602633021534757E-2</v>
      </c>
      <c r="BO39" s="40">
        <f t="shared" si="16"/>
        <v>2.2800473209170603E-2</v>
      </c>
      <c r="BP39" s="691">
        <f t="shared" si="17"/>
        <v>-4.3355134666765906E-3</v>
      </c>
      <c r="BQ39" s="691">
        <f t="shared" si="18"/>
        <v>7.3349951963918539E-2</v>
      </c>
      <c r="BR39" s="691">
        <f t="shared" si="19"/>
        <v>3.5526809968255905E-2</v>
      </c>
      <c r="BS39" s="691">
        <f t="shared" si="20"/>
        <v>9.1721614419263981E-3</v>
      </c>
      <c r="BT39" s="40"/>
      <c r="BU39" s="3"/>
      <c r="BV39" s="13" t="s">
        <v>30</v>
      </c>
      <c r="BW39" s="40">
        <f t="shared" si="21"/>
        <v>9.1712032895205284E-2</v>
      </c>
      <c r="BX39" s="40">
        <f t="shared" si="22"/>
        <v>0.13578841830056462</v>
      </c>
      <c r="BY39" s="40">
        <f t="shared" si="23"/>
        <v>0.21249346480406547</v>
      </c>
      <c r="BZ39" s="40">
        <f t="shared" si="24"/>
        <v>0.27023446899410275</v>
      </c>
      <c r="CA39" s="40">
        <f t="shared" si="25"/>
        <v>0.27694641938677311</v>
      </c>
      <c r="CB39" s="40">
        <f t="shared" si="26"/>
        <v>0.27604702939831766</v>
      </c>
      <c r="CC39" s="40">
        <f t="shared" si="27"/>
        <v>0.34720588311772776</v>
      </c>
      <c r="CD39" s="40">
        <f t="shared" si="28"/>
        <v>0.34230826929130215</v>
      </c>
      <c r="CE39" s="40">
        <f t="shared" si="29"/>
        <v>0.3995691490992655</v>
      </c>
      <c r="CF39" s="40">
        <f t="shared" si="30"/>
        <v>0.47068397607391421</v>
      </c>
      <c r="CG39" s="40">
        <f t="shared" si="31"/>
        <v>0.52609969540397639</v>
      </c>
      <c r="CH39" s="40">
        <f t="shared" si="32"/>
        <v>0.55569911006671069</v>
      </c>
      <c r="CI39" s="40">
        <f t="shared" si="33"/>
        <v>0.56528089098790635</v>
      </c>
      <c r="CJ39" s="40">
        <f t="shared" si="34"/>
        <v>0.58933475605798136</v>
      </c>
      <c r="CK39" s="40">
        <f t="shared" si="35"/>
        <v>0.63077728816286371</v>
      </c>
      <c r="CL39" s="113">
        <f t="shared" si="36"/>
        <v>0.65132937586543393</v>
      </c>
      <c r="CM39" s="113">
        <f t="shared" si="37"/>
        <v>0.68898046705937022</v>
      </c>
      <c r="CN39" s="691">
        <f t="shared" si="38"/>
        <v>0.6816578694994806</v>
      </c>
      <c r="CO39" s="691">
        <f t="shared" si="39"/>
        <v>0.805007393447013</v>
      </c>
      <c r="CP39" s="691">
        <f t="shared" si="40"/>
        <v>0.86913354810530197</v>
      </c>
      <c r="CQ39" s="691">
        <f t="shared" si="41"/>
        <v>0.88627754276504456</v>
      </c>
    </row>
    <row r="40" spans="1:95" ht="14">
      <c r="A40" s="13" t="s">
        <v>31</v>
      </c>
      <c r="B40" s="319">
        <v>173159213</v>
      </c>
      <c r="C40" s="319">
        <v>193688869</v>
      </c>
      <c r="D40" s="319">
        <v>200429479</v>
      </c>
      <c r="E40" s="319">
        <v>212406785</v>
      </c>
      <c r="F40" s="319">
        <v>218358651</v>
      </c>
      <c r="G40" s="319">
        <v>226177338</v>
      </c>
      <c r="H40" s="319">
        <v>230318718</v>
      </c>
      <c r="I40" s="319">
        <v>244187022</v>
      </c>
      <c r="J40" s="319">
        <v>251028185.00206104</v>
      </c>
      <c r="K40" s="319">
        <v>262340735.65811539</v>
      </c>
      <c r="L40" s="319">
        <v>271300267.62982506</v>
      </c>
      <c r="M40" s="319">
        <v>277023125.50859237</v>
      </c>
      <c r="N40" s="319">
        <v>283172640.35576123</v>
      </c>
      <c r="O40" s="319">
        <v>278606200.95735717</v>
      </c>
      <c r="P40" s="319">
        <v>284973907</v>
      </c>
      <c r="Q40" s="319">
        <v>296170762</v>
      </c>
      <c r="R40" s="319">
        <v>307463126</v>
      </c>
      <c r="S40" s="319">
        <v>316775898</v>
      </c>
      <c r="T40" s="340">
        <v>321621761</v>
      </c>
      <c r="U40" s="340">
        <v>324006321</v>
      </c>
      <c r="V40" s="666">
        <v>326572235</v>
      </c>
      <c r="W40" s="667">
        <v>350169053</v>
      </c>
      <c r="X40" s="290"/>
      <c r="Y40" s="13" t="s">
        <v>31</v>
      </c>
      <c r="Z40" s="319">
        <f>B40/'Population &amp; Income'!B39</f>
        <v>8087.3949371818226</v>
      </c>
      <c r="AA40" s="319">
        <f>C40/'Population &amp; Income'!C39</f>
        <v>9023.8943812896014</v>
      </c>
      <c r="AB40" s="319">
        <f>D40/'Population &amp; Income'!D39</f>
        <v>9238.0843934365785</v>
      </c>
      <c r="AC40" s="319">
        <f>E40/'Population &amp; Income'!E39</f>
        <v>9767.1763921460424</v>
      </c>
      <c r="AD40" s="319">
        <f>F40/'Population &amp; Income'!F39</f>
        <v>9876.906594897775</v>
      </c>
      <c r="AE40" s="319">
        <f>G40/'Population &amp; Income'!G39</f>
        <v>10139.298785134712</v>
      </c>
      <c r="AF40" s="319">
        <f>H40/'Population &amp; Income'!H39</f>
        <v>10384.540240768294</v>
      </c>
      <c r="AG40" s="319">
        <f>I40/'Population &amp; Income'!I39</f>
        <v>10896.341900937081</v>
      </c>
      <c r="AH40" s="319">
        <f>J40/'Population &amp; Income'!J39</f>
        <v>11185.642322522994</v>
      </c>
      <c r="AI40" s="319">
        <f>K40/'Population &amp; Income'!K39</f>
        <v>11735.740165434168</v>
      </c>
      <c r="AJ40" s="319">
        <f>L40/'Population &amp; Income'!L39</f>
        <v>12027.853681052715</v>
      </c>
      <c r="AK40" s="319">
        <f>M40/'Population &amp; Income'!M39</f>
        <v>12326.382731538328</v>
      </c>
      <c r="AL40" s="319">
        <f>N40/'Population &amp; Income'!N39</f>
        <v>12703.451633204488</v>
      </c>
      <c r="AM40" s="319">
        <f>O40/'Population &amp; Income'!O39</f>
        <v>12506.450642247932</v>
      </c>
      <c r="AN40" s="319">
        <f>P40/'Population &amp; Income'!P39</f>
        <v>12803.787886956912</v>
      </c>
      <c r="AO40" s="319">
        <f>Q40/'Population &amp; Income'!Q39</f>
        <v>13344.631972605208</v>
      </c>
      <c r="AP40" s="319">
        <f>R40/'Population &amp; Income'!R39</f>
        <v>13879.073985464722</v>
      </c>
      <c r="AQ40" s="319">
        <f>S40/'Population &amp; Income'!S39</f>
        <v>14360.392492860057</v>
      </c>
      <c r="AR40" s="319">
        <f>T40/'Population &amp; Income'!T39</f>
        <v>14579.40893019039</v>
      </c>
      <c r="AS40" s="319">
        <f>U40/'Population &amp; Income'!U39</f>
        <v>14901.63827438716</v>
      </c>
      <c r="AT40" s="319">
        <f>V40/'Population &amp; Income'!V39</f>
        <v>15123.285866444383</v>
      </c>
      <c r="AU40" s="319">
        <f>W40/'Population &amp; Income'!W39</f>
        <v>16123.448429873837</v>
      </c>
      <c r="AV40" s="690"/>
      <c r="AW40" s="690"/>
      <c r="AX40" s="13" t="s">
        <v>31</v>
      </c>
      <c r="AY40" s="40">
        <f t="shared" si="0"/>
        <v>0.11855942080309639</v>
      </c>
      <c r="AZ40" s="40">
        <f t="shared" si="1"/>
        <v>3.4801225464329601E-2</v>
      </c>
      <c r="BA40" s="40">
        <f t="shared" si="2"/>
        <v>5.9758205528239683E-2</v>
      </c>
      <c r="BB40" s="40">
        <f t="shared" si="3"/>
        <v>2.8021072867328602E-2</v>
      </c>
      <c r="BC40" s="40">
        <f t="shared" si="4"/>
        <v>3.5806628059815222E-2</v>
      </c>
      <c r="BD40" s="40">
        <f t="shared" si="5"/>
        <v>1.8310322495704676E-2</v>
      </c>
      <c r="BE40" s="40">
        <f t="shared" si="6"/>
        <v>6.0213534186135925E-2</v>
      </c>
      <c r="BF40" s="40">
        <f t="shared" si="7"/>
        <v>2.8016079421538789E-2</v>
      </c>
      <c r="BG40" s="40">
        <f t="shared" si="8"/>
        <v>4.5064862560996753E-2</v>
      </c>
      <c r="BH40" s="40">
        <f t="shared" si="9"/>
        <v>3.4152271278928656E-2</v>
      </c>
      <c r="BI40" s="40">
        <f t="shared" si="10"/>
        <v>2.1094184420694526E-2</v>
      </c>
      <c r="BJ40" s="40">
        <f t="shared" si="11"/>
        <v>2.2198561350713387E-2</v>
      </c>
      <c r="BK40" s="40">
        <f t="shared" si="12"/>
        <v>-1.6125990818417556E-2</v>
      </c>
      <c r="BL40" s="40">
        <f t="shared" si="13"/>
        <v>2.2855579024306995E-2</v>
      </c>
      <c r="BM40" s="40">
        <f t="shared" si="14"/>
        <v>3.9290807772095426E-2</v>
      </c>
      <c r="BN40" s="40">
        <f t="shared" si="15"/>
        <v>3.8127882454514532E-2</v>
      </c>
      <c r="BO40" s="40">
        <f t="shared" si="16"/>
        <v>3.0289069525690049E-2</v>
      </c>
      <c r="BP40" s="691">
        <f t="shared" si="17"/>
        <v>1.5297448545154153E-2</v>
      </c>
      <c r="BQ40" s="691">
        <f t="shared" si="18"/>
        <v>7.4141749382436841E-3</v>
      </c>
      <c r="BR40" s="691">
        <f t="shared" si="19"/>
        <v>7.9193331539973259E-3</v>
      </c>
      <c r="BS40" s="691">
        <f t="shared" si="20"/>
        <v>7.2256044669565977E-2</v>
      </c>
      <c r="BT40" s="40"/>
      <c r="BU40" s="3"/>
      <c r="BV40" s="13" t="s">
        <v>31</v>
      </c>
      <c r="BW40" s="40">
        <f t="shared" si="21"/>
        <v>0.11855942080309639</v>
      </c>
      <c r="BX40" s="40">
        <f t="shared" si="22"/>
        <v>0.15748665940171488</v>
      </c>
      <c r="BY40" s="40">
        <f t="shared" si="23"/>
        <v>0.22665598509043813</v>
      </c>
      <c r="BZ40" s="40">
        <f t="shared" si="24"/>
        <v>0.26102820183180203</v>
      </c>
      <c r="CA40" s="40">
        <f t="shared" si="25"/>
        <v>0.30618136962773096</v>
      </c>
      <c r="CB40" s="40">
        <f t="shared" si="26"/>
        <v>0.33009797174349598</v>
      </c>
      <c r="CC40" s="40">
        <f t="shared" si="27"/>
        <v>0.41018787143598301</v>
      </c>
      <c r="CD40" s="40">
        <f t="shared" si="28"/>
        <v>0.44969580684142424</v>
      </c>
      <c r="CE40" s="40">
        <f t="shared" si="29"/>
        <v>0.5150261491319863</v>
      </c>
      <c r="CF40" s="40">
        <f t="shared" si="30"/>
        <v>0.5667677331718125</v>
      </c>
      <c r="CG40" s="40">
        <f t="shared" si="31"/>
        <v>0.59981742067973232</v>
      </c>
      <c r="CH40" s="40">
        <f t="shared" si="32"/>
        <v>0.63533106584263133</v>
      </c>
      <c r="CI40" s="40">
        <f t="shared" si="33"/>
        <v>0.60895973208978016</v>
      </c>
      <c r="CJ40" s="40">
        <f t="shared" si="34"/>
        <v>0.64573343839348585</v>
      </c>
      <c r="CK40" s="40">
        <f t="shared" si="35"/>
        <v>0.71039563456551402</v>
      </c>
      <c r="CL40" s="113">
        <f t="shared" si="36"/>
        <v>0.77560939827094266</v>
      </c>
      <c r="CM40" s="113">
        <f t="shared" si="37"/>
        <v>0.82939095478563996</v>
      </c>
      <c r="CN40" s="691">
        <f t="shared" si="38"/>
        <v>0.85737596878544375</v>
      </c>
      <c r="CO40" s="691">
        <f t="shared" si="39"/>
        <v>0.87114687914410882</v>
      </c>
      <c r="CP40" s="691">
        <f t="shared" si="40"/>
        <v>0.88596511466011341</v>
      </c>
      <c r="CQ40" s="691">
        <f t="shared" si="41"/>
        <v>1.0222374942302377</v>
      </c>
    </row>
    <row r="41" spans="1:95" ht="14">
      <c r="A41" s="13" t="s">
        <v>32</v>
      </c>
      <c r="B41" s="319">
        <v>52752023</v>
      </c>
      <c r="C41" s="319">
        <v>60709798</v>
      </c>
      <c r="D41" s="319">
        <v>62486569</v>
      </c>
      <c r="E41" s="319">
        <v>65831885</v>
      </c>
      <c r="F41" s="319">
        <v>68966171</v>
      </c>
      <c r="G41" s="319">
        <v>71661209</v>
      </c>
      <c r="H41" s="319">
        <v>73954158</v>
      </c>
      <c r="I41" s="319">
        <v>78336601</v>
      </c>
      <c r="J41" s="319">
        <v>79730748.296369955</v>
      </c>
      <c r="K41" s="319">
        <v>83944360.44435744</v>
      </c>
      <c r="L41" s="319">
        <v>88499614.829846799</v>
      </c>
      <c r="M41" s="319">
        <v>102305277.22623773</v>
      </c>
      <c r="N41" s="319">
        <v>106361402.03087325</v>
      </c>
      <c r="O41" s="319">
        <v>105643661.71517003</v>
      </c>
      <c r="P41" s="319">
        <v>106555917</v>
      </c>
      <c r="Q41" s="319">
        <v>108425826</v>
      </c>
      <c r="R41" s="319">
        <v>109077359</v>
      </c>
      <c r="S41" s="319">
        <v>113643737</v>
      </c>
      <c r="T41" s="340">
        <v>116611940</v>
      </c>
      <c r="U41" s="340">
        <v>119880160</v>
      </c>
      <c r="V41" s="666">
        <v>123482474</v>
      </c>
      <c r="W41" s="667">
        <v>124521598</v>
      </c>
      <c r="X41" s="290"/>
      <c r="Y41" s="13" t="s">
        <v>32</v>
      </c>
      <c r="Z41" s="319">
        <f>B41/'Population &amp; Income'!B40</f>
        <v>6118.3046856877754</v>
      </c>
      <c r="AA41" s="319">
        <f>C41/'Population &amp; Income'!C40</f>
        <v>6954.1578465063003</v>
      </c>
      <c r="AB41" s="319">
        <f>D41/'Population &amp; Income'!D40</f>
        <v>7131.5417712850949</v>
      </c>
      <c r="AC41" s="319">
        <f>E41/'Population &amp; Income'!E40</f>
        <v>7371.9916013437851</v>
      </c>
      <c r="AD41" s="319">
        <f>F41/'Population &amp; Income'!F40</f>
        <v>7714.3368008948546</v>
      </c>
      <c r="AE41" s="319">
        <f>G41/'Population &amp; Income'!G40</f>
        <v>7930.6340194776449</v>
      </c>
      <c r="AF41" s="319">
        <f>H41/'Population &amp; Income'!H40</f>
        <v>8282.4681375293985</v>
      </c>
      <c r="AG41" s="319">
        <f>I41/'Population &amp; Income'!I40</f>
        <v>8541.7730890851599</v>
      </c>
      <c r="AH41" s="319">
        <f>J41/'Population &amp; Income'!J40</f>
        <v>8558.474484367749</v>
      </c>
      <c r="AI41" s="319">
        <f>K41/'Population &amp; Income'!K40</f>
        <v>8858.6281600208349</v>
      </c>
      <c r="AJ41" s="319">
        <f>L41/'Population &amp; Income'!L40</f>
        <v>9298.1314172984657</v>
      </c>
      <c r="AK41" s="319">
        <f>M41/'Population &amp; Income'!M40</f>
        <v>10663.464376301619</v>
      </c>
      <c r="AL41" s="319">
        <f>N41/'Population &amp; Income'!N40</f>
        <v>11088.553172526403</v>
      </c>
      <c r="AM41" s="319">
        <f>O41/'Population &amp; Income'!O40</f>
        <v>11049.436430830459</v>
      </c>
      <c r="AN41" s="319">
        <f>P41/'Population &amp; Income'!P40</f>
        <v>11055.812097945633</v>
      </c>
      <c r="AO41" s="319">
        <f>Q41/'Population &amp; Income'!Q40</f>
        <v>11310.851867306488</v>
      </c>
      <c r="AP41" s="319">
        <f>R41/'Population &amp; Income'!R40</f>
        <v>11615.09519752955</v>
      </c>
      <c r="AQ41" s="319">
        <f>S41/'Population &amp; Income'!S40</f>
        <v>12213.190435249866</v>
      </c>
      <c r="AR41" s="319">
        <f>T41/'Population &amp; Income'!T40</f>
        <v>12650.459969624648</v>
      </c>
      <c r="AS41" s="319">
        <f>U41/'Population &amp; Income'!U40</f>
        <v>13040.374197759165</v>
      </c>
      <c r="AT41" s="319">
        <f>V41/'Population &amp; Income'!V40</f>
        <v>13322.09235084691</v>
      </c>
      <c r="AU41" s="319">
        <f>W41/'Population &amp; Income'!W40</f>
        <v>13142.121160949868</v>
      </c>
      <c r="AV41" s="690"/>
      <c r="AW41" s="690"/>
      <c r="AX41" s="13" t="s">
        <v>32</v>
      </c>
      <c r="AY41" s="40">
        <f t="shared" si="0"/>
        <v>0.15085250853791901</v>
      </c>
      <c r="AZ41" s="40">
        <f t="shared" si="1"/>
        <v>2.9266626780738093E-2</v>
      </c>
      <c r="BA41" s="40">
        <f t="shared" si="2"/>
        <v>5.3536560792768126E-2</v>
      </c>
      <c r="BB41" s="40">
        <f t="shared" si="3"/>
        <v>4.7610455024947256E-2</v>
      </c>
      <c r="BC41" s="40">
        <f t="shared" si="4"/>
        <v>3.9077680563127104E-2</v>
      </c>
      <c r="BD41" s="40">
        <f t="shared" si="5"/>
        <v>3.1997073898097368E-2</v>
      </c>
      <c r="BE41" s="40">
        <f t="shared" si="6"/>
        <v>5.9258912798385181E-2</v>
      </c>
      <c r="BF41" s="40">
        <f t="shared" si="7"/>
        <v>1.7796882664974895E-2</v>
      </c>
      <c r="BG41" s="40">
        <f t="shared" si="8"/>
        <v>5.2848019591198614E-2</v>
      </c>
      <c r="BH41" s="40">
        <f t="shared" si="9"/>
        <v>5.4265162798027532E-2</v>
      </c>
      <c r="BI41" s="40">
        <f t="shared" si="10"/>
        <v>0.15599686420030523</v>
      </c>
      <c r="BJ41" s="40">
        <f t="shared" si="11"/>
        <v>3.9647268592663279E-2</v>
      </c>
      <c r="BK41" s="40">
        <f t="shared" si="12"/>
        <v>-6.7481276289954456E-3</v>
      </c>
      <c r="BL41" s="40">
        <f t="shared" si="13"/>
        <v>8.6352107643669247E-3</v>
      </c>
      <c r="BM41" s="40">
        <f t="shared" si="14"/>
        <v>1.7548617220383922E-2</v>
      </c>
      <c r="BN41" s="40">
        <f t="shared" si="15"/>
        <v>6.0090203970408302E-3</v>
      </c>
      <c r="BO41" s="40">
        <f t="shared" si="16"/>
        <v>4.1863664850924749E-2</v>
      </c>
      <c r="BP41" s="691">
        <f t="shared" si="17"/>
        <v>2.6118491685995858E-2</v>
      </c>
      <c r="BQ41" s="691">
        <f t="shared" si="18"/>
        <v>2.8026461098237452E-2</v>
      </c>
      <c r="BR41" s="691">
        <f t="shared" si="19"/>
        <v>3.0049292560170089E-2</v>
      </c>
      <c r="BS41" s="691">
        <f t="shared" si="20"/>
        <v>8.415153716469918E-3</v>
      </c>
      <c r="BT41" s="40"/>
      <c r="BU41" s="3"/>
      <c r="BV41" s="13" t="s">
        <v>32</v>
      </c>
      <c r="BW41" s="40">
        <f t="shared" si="21"/>
        <v>0.15085250853791901</v>
      </c>
      <c r="BX41" s="40">
        <f t="shared" si="22"/>
        <v>0.18453407938497449</v>
      </c>
      <c r="BY41" s="40">
        <f t="shared" si="23"/>
        <v>0.24794996013707379</v>
      </c>
      <c r="BZ41" s="40">
        <f t="shared" si="24"/>
        <v>0.30736542558756469</v>
      </c>
      <c r="CA41" s="40">
        <f t="shared" si="25"/>
        <v>0.35845423406795224</v>
      </c>
      <c r="CB41" s="40">
        <f t="shared" si="26"/>
        <v>0.40192079458260777</v>
      </c>
      <c r="CC41" s="40">
        <f t="shared" si="27"/>
        <v>0.48499709669902136</v>
      </c>
      <c r="CD41" s="40">
        <f t="shared" si="28"/>
        <v>0.51142541578680223</v>
      </c>
      <c r="CE41" s="40">
        <f t="shared" si="29"/>
        <v>0.59130125577093873</v>
      </c>
      <c r="CF41" s="40">
        <f t="shared" si="30"/>
        <v>0.67765347747605431</v>
      </c>
      <c r="CG41" s="40">
        <f t="shared" si="31"/>
        <v>0.93936215917705623</v>
      </c>
      <c r="CH41" s="40">
        <f t="shared" si="32"/>
        <v>1.0162525716003963</v>
      </c>
      <c r="CI41" s="40">
        <f t="shared" si="33"/>
        <v>1.0026466419149467</v>
      </c>
      <c r="CJ41" s="40">
        <f t="shared" si="34"/>
        <v>1.0199399177544337</v>
      </c>
      <c r="CK41" s="40">
        <f t="shared" si="35"/>
        <v>1.0553870701792802</v>
      </c>
      <c r="CL41" s="113">
        <f t="shared" si="36"/>
        <v>1.0677379330078014</v>
      </c>
      <c r="CM41" s="113">
        <f t="shared" si="37"/>
        <v>1.1543010208347839</v>
      </c>
      <c r="CN41" s="691">
        <f t="shared" si="38"/>
        <v>1.2105681141365896</v>
      </c>
      <c r="CO41" s="691">
        <f t="shared" si="39"/>
        <v>1.2725225153924429</v>
      </c>
      <c r="CP41" s="691">
        <f t="shared" si="40"/>
        <v>1.340810209307044</v>
      </c>
      <c r="CQ41" s="691">
        <f t="shared" si="41"/>
        <v>1.3605084870394448</v>
      </c>
    </row>
    <row r="42" spans="1:95" ht="14">
      <c r="A42" s="13" t="s">
        <v>33</v>
      </c>
      <c r="B42" s="319">
        <v>56029812</v>
      </c>
      <c r="C42" s="319">
        <v>57486331</v>
      </c>
      <c r="D42" s="319">
        <v>62394620</v>
      </c>
      <c r="E42" s="319">
        <v>70499336</v>
      </c>
      <c r="F42" s="319">
        <v>71235981</v>
      </c>
      <c r="G42" s="319">
        <v>73682980</v>
      </c>
      <c r="H42" s="319">
        <v>74654132</v>
      </c>
      <c r="I42" s="319">
        <v>75805058</v>
      </c>
      <c r="J42" s="319">
        <v>75815283.588322565</v>
      </c>
      <c r="K42" s="319">
        <v>80767161.712969527</v>
      </c>
      <c r="L42" s="319">
        <v>81525565.625255421</v>
      </c>
      <c r="M42" s="319">
        <v>84630173.835903674</v>
      </c>
      <c r="N42" s="319">
        <v>86516793.750567257</v>
      </c>
      <c r="O42" s="319">
        <v>92188739.710467011</v>
      </c>
      <c r="P42" s="319">
        <v>96593207</v>
      </c>
      <c r="Q42" s="319">
        <v>101905039</v>
      </c>
      <c r="R42" s="319">
        <v>110687628</v>
      </c>
      <c r="S42" s="319">
        <v>119639458</v>
      </c>
      <c r="T42" s="340">
        <v>122326999</v>
      </c>
      <c r="U42" s="340">
        <v>129448014</v>
      </c>
      <c r="V42" s="666">
        <v>143031427</v>
      </c>
      <c r="W42" s="667">
        <v>144458551</v>
      </c>
      <c r="X42" s="290"/>
      <c r="Y42" s="13" t="s">
        <v>33</v>
      </c>
      <c r="Z42" s="319">
        <f>B42/'Population &amp; Income'!B41</f>
        <v>10032.195523724262</v>
      </c>
      <c r="AA42" s="319">
        <f>C42/'Population &amp; Income'!C41</f>
        <v>10389.721850713899</v>
      </c>
      <c r="AB42" s="319">
        <f>D42/'Population &amp; Income'!D41</f>
        <v>11503.432890855458</v>
      </c>
      <c r="AC42" s="319">
        <f>E42/'Population &amp; Income'!E41</f>
        <v>12964.203015814637</v>
      </c>
      <c r="AD42" s="319">
        <f>F42/'Population &amp; Income'!F41</f>
        <v>13375.137251220429</v>
      </c>
      <c r="AE42" s="319">
        <f>G42/'Population &amp; Income'!G41</f>
        <v>13876.267419962334</v>
      </c>
      <c r="AF42" s="319">
        <f>H42/'Population &amp; Income'!H41</f>
        <v>14501.579642579643</v>
      </c>
      <c r="AG42" s="319">
        <f>I42/'Population &amp; Income'!I41</f>
        <v>14708.005044625534</v>
      </c>
      <c r="AH42" s="319">
        <f>J42/'Population &amp; Income'!J41</f>
        <v>14819.250114996592</v>
      </c>
      <c r="AI42" s="319">
        <f>K42/'Population &amp; Income'!K41</f>
        <v>16003.004104016154</v>
      </c>
      <c r="AJ42" s="319">
        <f>L42/'Population &amp; Income'!L41</f>
        <v>16383.755149769981</v>
      </c>
      <c r="AK42" s="319">
        <f>M42/'Population &amp; Income'!M41</f>
        <v>16936.196485071778</v>
      </c>
      <c r="AL42" s="319">
        <f>N42/'Population &amp; Income'!N41</f>
        <v>17563.29552386668</v>
      </c>
      <c r="AM42" s="319">
        <f>O42/'Population &amp; Income'!O41</f>
        <v>18771.887540310938</v>
      </c>
      <c r="AN42" s="319">
        <f>P42/'Population &amp; Income'!P41</f>
        <v>19741.100960555897</v>
      </c>
      <c r="AO42" s="319">
        <f>Q42/'Population &amp; Income'!Q41</f>
        <v>21159.684177740863</v>
      </c>
      <c r="AP42" s="319">
        <f>R42/'Population &amp; Income'!R41</f>
        <v>23778.222986036519</v>
      </c>
      <c r="AQ42" s="319">
        <f>S42/'Population &amp; Income'!S41</f>
        <v>26190.774518388793</v>
      </c>
      <c r="AR42" s="319">
        <f>T42/'Population &amp; Income'!T41</f>
        <v>27075.47565294378</v>
      </c>
      <c r="AS42" s="319">
        <f>U42/'Population &amp; Income'!U41</f>
        <v>28952.810109595168</v>
      </c>
      <c r="AT42" s="319">
        <f>V42/'Population &amp; Income'!V41</f>
        <v>32156.345998201439</v>
      </c>
      <c r="AU42" s="319">
        <f>W42/'Population &amp; Income'!W41</f>
        <v>32734.772490369363</v>
      </c>
      <c r="AV42" s="690"/>
      <c r="AW42" s="690"/>
      <c r="AX42" s="13" t="s">
        <v>33</v>
      </c>
      <c r="AY42" s="40">
        <f t="shared" ref="AY42:AY73" si="42">(C42-B42)/B42</f>
        <v>2.5995429004830501E-2</v>
      </c>
      <c r="AZ42" s="40">
        <f t="shared" ref="AZ42:AZ73" si="43">(D42-C42)/C42</f>
        <v>8.5381844946757865E-2</v>
      </c>
      <c r="BA42" s="40">
        <f t="shared" ref="BA42:BA73" si="44">(E42-D42)/D42</f>
        <v>0.12989446846539013</v>
      </c>
      <c r="BB42" s="40">
        <f t="shared" ref="BB42:BB73" si="45">(F42-E42)/E42</f>
        <v>1.0448963661161291E-2</v>
      </c>
      <c r="BC42" s="40">
        <f t="shared" ref="BC42:BC73" si="46">(G42-F42)/F42</f>
        <v>3.4350604366633203E-2</v>
      </c>
      <c r="BD42" s="40">
        <f t="shared" ref="BD42:BD73" si="47">(H42-G42)/G42</f>
        <v>1.3180140108339809E-2</v>
      </c>
      <c r="BE42" s="40">
        <f t="shared" ref="BE42:BE73" si="48">(I42-H42)/H42</f>
        <v>1.5416775591202372E-2</v>
      </c>
      <c r="BF42" s="40">
        <f t="shared" ref="BF42:BF73" si="49">(J42-I42)/I42</f>
        <v>1.3489321942824659E-4</v>
      </c>
      <c r="BG42" s="40">
        <f t="shared" ref="BG42:BG73" si="50">(K42-J42)/J42</f>
        <v>6.5315037948491875E-2</v>
      </c>
      <c r="BH42" s="40">
        <f t="shared" ref="BH42:BH73" si="51">(L42-K42)/K42</f>
        <v>9.3900032661926539E-3</v>
      </c>
      <c r="BI42" s="40">
        <f t="shared" ref="BI42:BI73" si="52">(M42-L42)/L42</f>
        <v>3.8081406572743746E-2</v>
      </c>
      <c r="BJ42" s="40">
        <f t="shared" ref="BJ42:BJ73" si="53">(N42-M42)/M42</f>
        <v>2.2292520848671584E-2</v>
      </c>
      <c r="BK42" s="40">
        <f t="shared" ref="BK42:BK73" si="54">(O42-N42)/N42</f>
        <v>6.5558901503588882E-2</v>
      </c>
      <c r="BL42" s="40">
        <f t="shared" ref="BL42:BL73" si="55">(P42-O42)/O42</f>
        <v>4.7776629807131543E-2</v>
      </c>
      <c r="BM42" s="40">
        <f t="shared" ref="BM42:BM73" si="56">(Q42-P42)/P42</f>
        <v>5.4991775974474064E-2</v>
      </c>
      <c r="BN42" s="40">
        <f t="shared" ref="BN42:BN73" si="57">(R42-Q42)/Q42</f>
        <v>8.6184050231313883E-2</v>
      </c>
      <c r="BO42" s="40">
        <f t="shared" ref="BO42:BO73" si="58">(S42-R42)/R42</f>
        <v>8.0874711670576221E-2</v>
      </c>
      <c r="BP42" s="691">
        <f t="shared" ref="BP42:BP73" si="59">(T42-S42)/S42</f>
        <v>2.2463667463287908E-2</v>
      </c>
      <c r="BQ42" s="691">
        <f t="shared" ref="BQ42:BQ73" si="60">(U42-T42)/T42</f>
        <v>5.8212946105217538E-2</v>
      </c>
      <c r="BR42" s="691">
        <f t="shared" ref="BR42:BR73" si="61">(V42-U42)/U42</f>
        <v>0.10493334412994548</v>
      </c>
      <c r="BS42" s="691">
        <f t="shared" ref="BS42:BS73" si="62">(W42-V42)/V42</f>
        <v>9.9776953214624643E-3</v>
      </c>
      <c r="BT42" s="40"/>
      <c r="BU42" s="3"/>
      <c r="BV42" s="13" t="s">
        <v>33</v>
      </c>
      <c r="BW42" s="40">
        <f t="shared" ref="BW42:BW73" si="63">(C42-$B42)/$B42</f>
        <v>2.5995429004830501E-2</v>
      </c>
      <c r="BX42" s="40">
        <f t="shared" ref="BX42:BX73" si="64">(D42-$B42)/$B42</f>
        <v>0.11359681164020326</v>
      </c>
      <c r="BY42" s="40">
        <f t="shared" ref="BY42:BY73" si="65">(E42-$B42)/$B42</f>
        <v>0.25824687757296061</v>
      </c>
      <c r="BZ42" s="40">
        <f t="shared" ref="BZ42:BZ73" si="66">(F42-$B42)/$B42</f>
        <v>0.27139425347349017</v>
      </c>
      <c r="CA42" s="40">
        <f t="shared" ref="CA42:CA73" si="67">(G42-$B42)/$B42</f>
        <v>0.31506741446856901</v>
      </c>
      <c r="CB42" s="40">
        <f t="shared" ref="CB42:CB73" si="68">(H42-$B42)/$B42</f>
        <v>0.33240018724317688</v>
      </c>
      <c r="CC42" s="40">
        <f t="shared" ref="CC42:CC73" si="69">(I42-$B42)/$B42</f>
        <v>0.352941501927581</v>
      </c>
      <c r="CD42" s="40">
        <f t="shared" ref="CD42:CD73" si="70">(J42-$B42)/$B42</f>
        <v>0.35312400456247406</v>
      </c>
      <c r="CE42" s="40">
        <f t="shared" ref="CE42:CE73" si="71">(K42-$B42)/$B42</f>
        <v>0.44150335026948739</v>
      </c>
      <c r="CF42" s="40">
        <f t="shared" ref="CF42:CF73" si="72">(L42-$B42)/$B42</f>
        <v>0.45503907143674549</v>
      </c>
      <c r="CG42" s="40">
        <f t="shared" ref="CG42:CG73" si="73">(M42-$B42)/$B42</f>
        <v>0.5104490058953558</v>
      </c>
      <c r="CH42" s="40">
        <f t="shared" ref="CH42:CH73" si="74">(N42-$B42)/$B42</f>
        <v>0.54412072185013327</v>
      </c>
      <c r="CI42" s="40">
        <f t="shared" ref="CI42:CI73" si="75">(O42-$B42)/$B42</f>
        <v>0.64535158016355665</v>
      </c>
      <c r="CJ42" s="40">
        <f t="shared" ref="CJ42:CJ73" si="76">(P42-$B42)/$B42</f>
        <v>0.72396093351160984</v>
      </c>
      <c r="CK42" s="40">
        <f t="shared" ref="CK42:CK73" si="77">(Q42-$B42)/$B42</f>
        <v>0.81876460695602549</v>
      </c>
      <c r="CL42" s="113">
        <f t="shared" ref="CL42:CL73" si="78">(R42-$B42)/$B42</f>
        <v>0.97551310720085938</v>
      </c>
      <c r="CM42" s="113">
        <f t="shared" ref="CM42:CM73" si="79">(S42-$B42)/$B42</f>
        <v>1.135282160147173</v>
      </c>
      <c r="CN42" s="691">
        <f t="shared" ref="CN42:CN73" si="80">(T42-$B42)/$B42</f>
        <v>1.1832484285330103</v>
      </c>
      <c r="CO42" s="691">
        <f t="shared" ref="CO42:CO73" si="81">(U42-$B42)/$B42</f>
        <v>1.3103417516375033</v>
      </c>
      <c r="CP42" s="691">
        <f t="shared" ref="CP42:CP73" si="82">(V42-$B42)/$B42</f>
        <v>1.5527736377198624</v>
      </c>
      <c r="CQ42" s="691">
        <f t="shared" ref="CQ42:CQ73" si="83">(W42-$B42)/$B42</f>
        <v>1.5782444353016927</v>
      </c>
    </row>
    <row r="43" spans="1:95" ht="14">
      <c r="A43" s="13" t="s">
        <v>34</v>
      </c>
      <c r="B43" s="319">
        <v>63596128</v>
      </c>
      <c r="C43" s="319">
        <v>72065223</v>
      </c>
      <c r="D43" s="319">
        <v>74106840</v>
      </c>
      <c r="E43" s="319">
        <v>77623749</v>
      </c>
      <c r="F43" s="319">
        <v>80537352</v>
      </c>
      <c r="G43" s="319">
        <v>83977839</v>
      </c>
      <c r="H43" s="319">
        <v>86440898</v>
      </c>
      <c r="I43" s="319">
        <v>89727165</v>
      </c>
      <c r="J43" s="319">
        <v>91897045.443104982</v>
      </c>
      <c r="K43" s="319">
        <v>95102134.210779905</v>
      </c>
      <c r="L43" s="319">
        <v>98318078.868138835</v>
      </c>
      <c r="M43" s="319">
        <v>103522434.70427564</v>
      </c>
      <c r="N43" s="319">
        <v>105033022.19994065</v>
      </c>
      <c r="O43" s="319">
        <v>104915427.97943932</v>
      </c>
      <c r="P43" s="319">
        <v>107885403</v>
      </c>
      <c r="Q43" s="319">
        <v>110157381</v>
      </c>
      <c r="R43" s="319">
        <v>111520378</v>
      </c>
      <c r="S43" s="319">
        <v>113503019</v>
      </c>
      <c r="T43" s="340">
        <v>117780935</v>
      </c>
      <c r="U43" s="340">
        <v>121420859</v>
      </c>
      <c r="V43" s="666">
        <v>122923518</v>
      </c>
      <c r="W43" s="667">
        <v>124645629</v>
      </c>
      <c r="X43" s="290"/>
      <c r="Y43" s="13" t="s">
        <v>34</v>
      </c>
      <c r="Z43" s="319">
        <f>B43/'Population &amp; Income'!B42</f>
        <v>6292.2853467893538</v>
      </c>
      <c r="AA43" s="319">
        <f>C43/'Population &amp; Income'!C42</f>
        <v>7086.7561215458745</v>
      </c>
      <c r="AB43" s="319">
        <f>D43/'Population &amp; Income'!D42</f>
        <v>7258.2605288932418</v>
      </c>
      <c r="AC43" s="319">
        <f>E43/'Population &amp; Income'!E42</f>
        <v>7590.0800821355233</v>
      </c>
      <c r="AD43" s="319">
        <f>F43/'Population &amp; Income'!F42</f>
        <v>7909.7772539776079</v>
      </c>
      <c r="AE43" s="319">
        <f>G43/'Population &amp; Income'!G42</f>
        <v>8269.6050221565729</v>
      </c>
      <c r="AF43" s="319">
        <f>H43/'Population &amp; Income'!H42</f>
        <v>8582.2972597299449</v>
      </c>
      <c r="AG43" s="319">
        <f>I43/'Population &amp; Income'!I42</f>
        <v>8922.7491050119334</v>
      </c>
      <c r="AH43" s="319">
        <f>J43/'Population &amp; Income'!J42</f>
        <v>9178.6901161710921</v>
      </c>
      <c r="AI43" s="319">
        <f>K43/'Population &amp; Income'!K42</f>
        <v>9424.4509177266773</v>
      </c>
      <c r="AJ43" s="319">
        <f>L43/'Population &amp; Income'!L42</f>
        <v>9745.0767041469753</v>
      </c>
      <c r="AK43" s="319">
        <f>M43/'Population &amp; Income'!M42</f>
        <v>10271.101766472431</v>
      </c>
      <c r="AL43" s="319">
        <f>N43/'Population &amp; Income'!N42</f>
        <v>10360.329670540605</v>
      </c>
      <c r="AM43" s="319">
        <f>O43/'Population &amp; Income'!O42</f>
        <v>10314.139596877636</v>
      </c>
      <c r="AN43" s="319">
        <f>P43/'Population &amp; Income'!P42</f>
        <v>10651.140586434989</v>
      </c>
      <c r="AO43" s="319">
        <f>Q43/'Population &amp; Income'!Q42</f>
        <v>10807.159913666241</v>
      </c>
      <c r="AP43" s="319">
        <f>R43/'Population &amp; Income'!R42</f>
        <v>10966.700560527092</v>
      </c>
      <c r="AQ43" s="319">
        <f>S43/'Population &amp; Income'!S42</f>
        <v>11065.90806278639</v>
      </c>
      <c r="AR43" s="319">
        <f>T43/'Population &amp; Income'!T42</f>
        <v>11620.060674822415</v>
      </c>
      <c r="AS43" s="319">
        <f>U43/'Population &amp; Income'!U42</f>
        <v>11994.552899338141</v>
      </c>
      <c r="AT43" s="319">
        <f>V43/'Population &amp; Income'!V42</f>
        <v>12221.467289719627</v>
      </c>
      <c r="AU43" s="319">
        <f>W43/'Population &amp; Income'!W42</f>
        <v>12293.680737745341</v>
      </c>
      <c r="AV43" s="690"/>
      <c r="AW43" s="690"/>
      <c r="AX43" s="13" t="s">
        <v>34</v>
      </c>
      <c r="AY43" s="40">
        <f t="shared" si="42"/>
        <v>0.13316997852447873</v>
      </c>
      <c r="AZ43" s="40">
        <f t="shared" si="43"/>
        <v>2.8330128111863334E-2</v>
      </c>
      <c r="BA43" s="40">
        <f t="shared" si="44"/>
        <v>4.745727924709784E-2</v>
      </c>
      <c r="BB43" s="40">
        <f t="shared" si="45"/>
        <v>3.7534943075217868E-2</v>
      </c>
      <c r="BC43" s="40">
        <f t="shared" si="46"/>
        <v>4.2719147259770843E-2</v>
      </c>
      <c r="BD43" s="40">
        <f t="shared" si="47"/>
        <v>2.9329868800267653E-2</v>
      </c>
      <c r="BE43" s="40">
        <f t="shared" si="48"/>
        <v>3.8017501854272731E-2</v>
      </c>
      <c r="BF43" s="40">
        <f t="shared" si="49"/>
        <v>2.4183093749869201E-2</v>
      </c>
      <c r="BG43" s="40">
        <f t="shared" si="50"/>
        <v>3.4876951181844557E-2</v>
      </c>
      <c r="BH43" s="40">
        <f t="shared" si="51"/>
        <v>3.3815693875294754E-2</v>
      </c>
      <c r="BI43" s="40">
        <f t="shared" si="52"/>
        <v>5.2933864209416905E-2</v>
      </c>
      <c r="BJ43" s="40">
        <f t="shared" si="53"/>
        <v>1.4591885323989816E-2</v>
      </c>
      <c r="BK43" s="40">
        <f t="shared" si="54"/>
        <v>-1.1195928484042032E-3</v>
      </c>
      <c r="BL43" s="40">
        <f t="shared" si="55"/>
        <v>2.8308277226326707E-2</v>
      </c>
      <c r="BM43" s="40">
        <f t="shared" si="56"/>
        <v>2.1059178877053459E-2</v>
      </c>
      <c r="BN43" s="40">
        <f t="shared" si="57"/>
        <v>1.237317906096551E-2</v>
      </c>
      <c r="BO43" s="40">
        <f t="shared" si="58"/>
        <v>1.7778284431568193E-2</v>
      </c>
      <c r="BP43" s="691">
        <f t="shared" si="59"/>
        <v>3.7689887350044846E-2</v>
      </c>
      <c r="BQ43" s="691">
        <f t="shared" si="60"/>
        <v>3.0904186658052935E-2</v>
      </c>
      <c r="BR43" s="691">
        <f t="shared" si="61"/>
        <v>1.2375624850422118E-2</v>
      </c>
      <c r="BS43" s="691">
        <f t="shared" si="62"/>
        <v>1.4009613685153398E-2</v>
      </c>
      <c r="BT43" s="40"/>
      <c r="BU43" s="3"/>
      <c r="BV43" s="13" t="s">
        <v>34</v>
      </c>
      <c r="BW43" s="40">
        <f t="shared" si="63"/>
        <v>0.13316997852447873</v>
      </c>
      <c r="BX43" s="40">
        <f t="shared" si="64"/>
        <v>0.16527282918859462</v>
      </c>
      <c r="BY43" s="40">
        <f t="shared" si="65"/>
        <v>0.2205735072424535</v>
      </c>
      <c r="BZ43" s="40">
        <f t="shared" si="66"/>
        <v>0.26638766435591804</v>
      </c>
      <c r="CA43" s="40">
        <f t="shared" si="67"/>
        <v>0.32048666547749571</v>
      </c>
      <c r="CB43" s="40">
        <f t="shared" si="68"/>
        <v>0.35921636612845359</v>
      </c>
      <c r="CC43" s="40">
        <f t="shared" si="69"/>
        <v>0.41089037684809993</v>
      </c>
      <c r="CD43" s="40">
        <f t="shared" si="70"/>
        <v>0.44501007110220581</v>
      </c>
      <c r="CE43" s="40">
        <f t="shared" si="71"/>
        <v>0.49540761680931117</v>
      </c>
      <c r="CF43" s="40">
        <f t="shared" si="72"/>
        <v>0.54597586299811895</v>
      </c>
      <c r="CG43" s="40">
        <f t="shared" si="73"/>
        <v>0.62781033940109743</v>
      </c>
      <c r="CH43" s="40">
        <f t="shared" si="74"/>
        <v>0.65156316120284319</v>
      </c>
      <c r="CI43" s="40">
        <f t="shared" si="75"/>
        <v>0.64971408289887267</v>
      </c>
      <c r="CJ43" s="40">
        <f t="shared" si="76"/>
        <v>0.69641464650174933</v>
      </c>
      <c r="CK43" s="40">
        <f t="shared" si="77"/>
        <v>0.73213974599208309</v>
      </c>
      <c r="CL43" s="113">
        <f t="shared" si="78"/>
        <v>0.75357182122785837</v>
      </c>
      <c r="CM43" s="113">
        <f t="shared" si="79"/>
        <v>0.78474731983683033</v>
      </c>
      <c r="CN43" s="691">
        <f t="shared" si="80"/>
        <v>0.85201424526977487</v>
      </c>
      <c r="CO43" s="691">
        <f t="shared" si="81"/>
        <v>0.90924923919896505</v>
      </c>
      <c r="CP43" s="691">
        <f t="shared" si="82"/>
        <v>0.93287739152924531</v>
      </c>
      <c r="CQ43" s="691">
        <f t="shared" si="83"/>
        <v>0.95995625708533705</v>
      </c>
    </row>
    <row r="44" spans="1:95" ht="14">
      <c r="A44" s="13" t="s">
        <v>35</v>
      </c>
      <c r="B44" s="319">
        <v>180185397</v>
      </c>
      <c r="C44" s="319">
        <v>219909269</v>
      </c>
      <c r="D44" s="319">
        <v>230913454</v>
      </c>
      <c r="E44" s="319">
        <v>247683532</v>
      </c>
      <c r="F44" s="319">
        <v>265402453</v>
      </c>
      <c r="G44" s="319">
        <v>286863943</v>
      </c>
      <c r="H44" s="319">
        <v>292458991</v>
      </c>
      <c r="I44" s="319">
        <v>300883046</v>
      </c>
      <c r="J44" s="319">
        <v>307454002.99732643</v>
      </c>
      <c r="K44" s="319">
        <v>333132015.62360978</v>
      </c>
      <c r="L44" s="319">
        <v>352010949.65885568</v>
      </c>
      <c r="M44" s="319">
        <v>382858769.93433845</v>
      </c>
      <c r="N44" s="319">
        <v>392583629.54236245</v>
      </c>
      <c r="O44" s="319">
        <v>386208247.67392415</v>
      </c>
      <c r="P44" s="319">
        <v>387776085</v>
      </c>
      <c r="Q44" s="319">
        <v>420157610</v>
      </c>
      <c r="R44" s="319">
        <v>430967107</v>
      </c>
      <c r="S44" s="319">
        <v>441032895</v>
      </c>
      <c r="T44" s="340">
        <v>444921066</v>
      </c>
      <c r="U44" s="340">
        <v>453604239</v>
      </c>
      <c r="V44" s="666">
        <v>458955517</v>
      </c>
      <c r="W44" s="667">
        <v>466899680</v>
      </c>
      <c r="X44" s="290"/>
      <c r="Y44" s="13" t="s">
        <v>35</v>
      </c>
      <c r="Z44" s="319">
        <f>B44/'Population &amp; Income'!B43</f>
        <v>5028.4764602461419</v>
      </c>
      <c r="AA44" s="319">
        <f>C44/'Population &amp; Income'!C43</f>
        <v>6042.6254774269773</v>
      </c>
      <c r="AB44" s="319">
        <f>D44/'Population &amp; Income'!D43</f>
        <v>6291.4054436967008</v>
      </c>
      <c r="AC44" s="319">
        <f>E44/'Population &amp; Income'!E43</f>
        <v>6671.0712131006248</v>
      </c>
      <c r="AD44" s="319">
        <f>F44/'Population &amp; Income'!F43</f>
        <v>7118.2098162800057</v>
      </c>
      <c r="AE44" s="319">
        <f>G44/'Population &amp; Income'!G43</f>
        <v>7699.1852438337046</v>
      </c>
      <c r="AF44" s="319">
        <f>H44/'Population &amp; Income'!H43</f>
        <v>7813.7003660263435</v>
      </c>
      <c r="AG44" s="319">
        <f>I44/'Population &amp; Income'!I43</f>
        <v>7977.3854230187981</v>
      </c>
      <c r="AH44" s="319">
        <f>J44/'Population &amp; Income'!J43</f>
        <v>8083.2370122338425</v>
      </c>
      <c r="AI44" s="319">
        <f>K44/'Population &amp; Income'!K43</f>
        <v>8607.172788952299</v>
      </c>
      <c r="AJ44" s="319">
        <f>L44/'Population &amp; Income'!L43</f>
        <v>9010.4423083127876</v>
      </c>
      <c r="AK44" s="319">
        <f>M44/'Population &amp; Income'!M43</f>
        <v>9719.4478417490918</v>
      </c>
      <c r="AL44" s="319">
        <f>N44/'Population &amp; Income'!N43</f>
        <v>9836.723366132861</v>
      </c>
      <c r="AM44" s="319">
        <f>O44/'Population &amp; Income'!O43</f>
        <v>9675.2824028339837</v>
      </c>
      <c r="AN44" s="319">
        <f>P44/'Population &amp; Income'!P43</f>
        <v>9554.9005765819038</v>
      </c>
      <c r="AO44" s="319">
        <f>Q44/'Population &amp; Income'!Q43</f>
        <v>10346.161290322581</v>
      </c>
      <c r="AP44" s="319">
        <f>R44/'Population &amp; Income'!R43</f>
        <v>10607.37667675798</v>
      </c>
      <c r="AQ44" s="319">
        <f>S44/'Population &amp; Income'!S43</f>
        <v>10918.547644393831</v>
      </c>
      <c r="AR44" s="319">
        <f>T44/'Population &amp; Income'!T43</f>
        <v>11076.50532762398</v>
      </c>
      <c r="AS44" s="319">
        <f>U44/'Population &amp; Income'!U43</f>
        <v>11301.961853743614</v>
      </c>
      <c r="AT44" s="319">
        <f>V44/'Population &amp; Income'!V43</f>
        <v>11413.964610793335</v>
      </c>
      <c r="AU44" s="319">
        <f>W44/'Population &amp; Income'!W43</f>
        <v>11642.512530234646</v>
      </c>
      <c r="AV44" s="690"/>
      <c r="AW44" s="690"/>
      <c r="AX44" s="13" t="s">
        <v>35</v>
      </c>
      <c r="AY44" s="40">
        <f t="shared" si="42"/>
        <v>0.22046110651242176</v>
      </c>
      <c r="AZ44" s="40">
        <f t="shared" si="43"/>
        <v>5.003965976531894E-2</v>
      </c>
      <c r="BA44" s="40">
        <f t="shared" si="44"/>
        <v>7.262494977880328E-2</v>
      </c>
      <c r="BB44" s="40">
        <f t="shared" si="45"/>
        <v>7.1538551057161115E-2</v>
      </c>
      <c r="BC44" s="40">
        <f t="shared" si="46"/>
        <v>8.0863947402927738E-2</v>
      </c>
      <c r="BD44" s="40">
        <f t="shared" si="47"/>
        <v>1.9504187042426589E-2</v>
      </c>
      <c r="BE44" s="40">
        <f t="shared" si="48"/>
        <v>2.8804226435972351E-2</v>
      </c>
      <c r="BF44" s="40">
        <f t="shared" si="49"/>
        <v>2.1838907458170419E-2</v>
      </c>
      <c r="BG44" s="40">
        <f t="shared" si="50"/>
        <v>8.3518225087173895E-2</v>
      </c>
      <c r="BH44" s="40">
        <f t="shared" si="51"/>
        <v>5.6671028750885102E-2</v>
      </c>
      <c r="BI44" s="40">
        <f t="shared" si="52"/>
        <v>8.7633127052946277E-2</v>
      </c>
      <c r="BJ44" s="40">
        <f t="shared" si="53"/>
        <v>2.5400644759141461E-2</v>
      </c>
      <c r="BK44" s="40">
        <f t="shared" si="54"/>
        <v>-1.6239550986550642E-2</v>
      </c>
      <c r="BL44" s="40">
        <f t="shared" si="55"/>
        <v>4.0595645885832506E-3</v>
      </c>
      <c r="BM44" s="40">
        <f t="shared" si="56"/>
        <v>8.350572985953994E-2</v>
      </c>
      <c r="BN44" s="40">
        <f t="shared" si="57"/>
        <v>2.5727243164773334E-2</v>
      </c>
      <c r="BO44" s="40">
        <f t="shared" si="58"/>
        <v>2.3356279021080836E-2</v>
      </c>
      <c r="BP44" s="691">
        <f t="shared" si="59"/>
        <v>8.8160566798537784E-3</v>
      </c>
      <c r="BQ44" s="691">
        <f t="shared" si="60"/>
        <v>1.9516210095567827E-2</v>
      </c>
      <c r="BR44" s="691">
        <f t="shared" si="61"/>
        <v>1.1797239840168249E-2</v>
      </c>
      <c r="BS44" s="691">
        <f t="shared" si="62"/>
        <v>1.730922214842882E-2</v>
      </c>
      <c r="BT44" s="40"/>
      <c r="BU44" s="3"/>
      <c r="BV44" s="13" t="s">
        <v>35</v>
      </c>
      <c r="BW44" s="40">
        <f t="shared" si="63"/>
        <v>0.22046110651242176</v>
      </c>
      <c r="BX44" s="40">
        <f t="shared" si="64"/>
        <v>0.28153256503910801</v>
      </c>
      <c r="BY44" s="40">
        <f t="shared" si="65"/>
        <v>0.37460380321497416</v>
      </c>
      <c r="BZ44" s="40">
        <f t="shared" si="66"/>
        <v>0.47294096757463649</v>
      </c>
      <c r="CA44" s="40">
        <f t="shared" si="67"/>
        <v>0.59204878850420939</v>
      </c>
      <c r="CB44" s="40">
        <f t="shared" si="68"/>
        <v>0.62310040585586413</v>
      </c>
      <c r="CC44" s="40">
        <f t="shared" si="69"/>
        <v>0.66985255747445505</v>
      </c>
      <c r="CD44" s="40">
        <f t="shared" si="70"/>
        <v>0.7063203129459289</v>
      </c>
      <c r="CE44" s="40">
        <f t="shared" si="71"/>
        <v>0.84882915691336391</v>
      </c>
      <c r="CF44" s="40">
        <f t="shared" si="72"/>
        <v>0.95360420722027583</v>
      </c>
      <c r="CG44" s="40">
        <f t="shared" si="73"/>
        <v>1.1248046529227806</v>
      </c>
      <c r="CH44" s="40">
        <f t="shared" si="74"/>
        <v>1.178776061094243</v>
      </c>
      <c r="CI44" s="40">
        <f t="shared" si="75"/>
        <v>1.1433937161618273</v>
      </c>
      <c r="CJ44" s="40">
        <f t="shared" si="76"/>
        <v>1.1520949613913496</v>
      </c>
      <c r="CK44" s="40">
        <f t="shared" si="77"/>
        <v>1.3318072218693726</v>
      </c>
      <c r="CL44" s="113">
        <f t="shared" si="78"/>
        <v>1.3917981932797805</v>
      </c>
      <c r="CM44" s="113">
        <f t="shared" si="79"/>
        <v>1.4476616992441402</v>
      </c>
      <c r="CN44" s="691">
        <f t="shared" si="80"/>
        <v>1.4692404235177838</v>
      </c>
      <c r="CO44" s="691">
        <f t="shared" si="81"/>
        <v>1.5174306383996257</v>
      </c>
      <c r="CP44" s="691">
        <f t="shared" si="82"/>
        <v>1.5471293714218139</v>
      </c>
      <c r="CQ44" s="691">
        <f t="shared" si="83"/>
        <v>1.5912181995525421</v>
      </c>
    </row>
    <row r="45" spans="1:95" ht="14">
      <c r="A45" s="13" t="s">
        <v>36</v>
      </c>
      <c r="B45" s="319">
        <v>132778250</v>
      </c>
      <c r="C45" s="319">
        <v>148195468</v>
      </c>
      <c r="D45" s="319">
        <v>151165186</v>
      </c>
      <c r="E45" s="319">
        <v>148434067</v>
      </c>
      <c r="F45" s="319">
        <v>151690752</v>
      </c>
      <c r="G45" s="319">
        <v>145099403</v>
      </c>
      <c r="H45" s="319">
        <v>147674260</v>
      </c>
      <c r="I45" s="319">
        <v>140973231</v>
      </c>
      <c r="J45" s="319">
        <v>141739454.50915402</v>
      </c>
      <c r="K45" s="319">
        <v>149490783.02724421</v>
      </c>
      <c r="L45" s="319">
        <v>150295769.45230749</v>
      </c>
      <c r="M45" s="319">
        <v>171850643.35223705</v>
      </c>
      <c r="N45" s="319">
        <v>172651053.00876337</v>
      </c>
      <c r="O45" s="319">
        <v>171672996.13187259</v>
      </c>
      <c r="P45" s="319">
        <v>173600800</v>
      </c>
      <c r="Q45" s="319">
        <v>188070154</v>
      </c>
      <c r="R45" s="319">
        <v>190848490</v>
      </c>
      <c r="S45" s="319">
        <v>212296399</v>
      </c>
      <c r="T45" s="340">
        <v>212110157</v>
      </c>
      <c r="U45" s="340">
        <v>206633313</v>
      </c>
      <c r="V45" s="666">
        <v>210913418</v>
      </c>
      <c r="W45" s="667">
        <v>209230239</v>
      </c>
      <c r="X45" s="290"/>
      <c r="Y45" s="13" t="s">
        <v>36</v>
      </c>
      <c r="Z45" s="319">
        <f>B45/'Population &amp; Income'!B44</f>
        <v>12159.180402930402</v>
      </c>
      <c r="AA45" s="319">
        <f>C45/'Population &amp; Income'!C44</f>
        <v>13515.318559051528</v>
      </c>
      <c r="AB45" s="319">
        <f>D45/'Population &amp; Income'!D44</f>
        <v>13905.361604268237</v>
      </c>
      <c r="AC45" s="319">
        <f>E45/'Population &amp; Income'!E44</f>
        <v>13665.4453139385</v>
      </c>
      <c r="AD45" s="319">
        <f>F45/'Population &amp; Income'!F44</f>
        <v>14272.746706812195</v>
      </c>
      <c r="AE45" s="319">
        <f>G45/'Population &amp; Income'!G44</f>
        <v>13667.991993217784</v>
      </c>
      <c r="AF45" s="319">
        <f>H45/'Population &amp; Income'!H44</f>
        <v>13921.027526395173</v>
      </c>
      <c r="AG45" s="319">
        <f>I45/'Population &amp; Income'!I44</f>
        <v>13415.800437761705</v>
      </c>
      <c r="AH45" s="319">
        <f>J45/'Population &amp; Income'!J44</f>
        <v>13350.235896124519</v>
      </c>
      <c r="AI45" s="319">
        <f>K45/'Population &amp; Income'!K44</f>
        <v>14063.102824764272</v>
      </c>
      <c r="AJ45" s="319">
        <f>L45/'Population &amp; Income'!L44</f>
        <v>14033.218436256535</v>
      </c>
      <c r="AK45" s="319">
        <f>M45/'Population &amp; Income'!M44</f>
        <v>16089.377712970419</v>
      </c>
      <c r="AL45" s="319">
        <f>N45/'Population &amp; Income'!N44</f>
        <v>16185.530421745887</v>
      </c>
      <c r="AM45" s="319">
        <f>O45/'Population &amp; Income'!O44</f>
        <v>16021.744855984376</v>
      </c>
      <c r="AN45" s="319">
        <f>P45/'Population &amp; Income'!P44</f>
        <v>16395.995466565924</v>
      </c>
      <c r="AO45" s="319">
        <f>Q45/'Population &amp; Income'!Q44</f>
        <v>17964.481230298978</v>
      </c>
      <c r="AP45" s="319">
        <f>R45/'Population &amp; Income'!R44</f>
        <v>18396.808367071524</v>
      </c>
      <c r="AQ45" s="319">
        <f>S45/'Population &amp; Income'!S44</f>
        <v>20523.627126836815</v>
      </c>
      <c r="AR45" s="319">
        <f>T45/'Population &amp; Income'!T44</f>
        <v>20734.130694037147</v>
      </c>
      <c r="AS45" s="319">
        <f>U45/'Population &amp; Income'!U44</f>
        <v>20460.769680166351</v>
      </c>
      <c r="AT45" s="319">
        <f>V45/'Population &amp; Income'!V44</f>
        <v>21045.042706046697</v>
      </c>
      <c r="AU45" s="319">
        <f>W45/'Population &amp; Income'!W44</f>
        <v>20460.614023078426</v>
      </c>
      <c r="AV45" s="690"/>
      <c r="AW45" s="690"/>
      <c r="AX45" s="13" t="s">
        <v>36</v>
      </c>
      <c r="AY45" s="40">
        <f t="shared" si="42"/>
        <v>0.11611252595963571</v>
      </c>
      <c r="AZ45" s="40">
        <f t="shared" si="43"/>
        <v>2.0039195800508555E-2</v>
      </c>
      <c r="BA45" s="40">
        <f t="shared" si="44"/>
        <v>-1.8067116326638859E-2</v>
      </c>
      <c r="BB45" s="40">
        <f t="shared" si="45"/>
        <v>2.1940280057138096E-2</v>
      </c>
      <c r="BC45" s="40">
        <f t="shared" si="46"/>
        <v>-4.3452543501135782E-2</v>
      </c>
      <c r="BD45" s="40">
        <f t="shared" si="47"/>
        <v>1.7745469290456006E-2</v>
      </c>
      <c r="BE45" s="40">
        <f t="shared" si="48"/>
        <v>-4.5377095507368716E-2</v>
      </c>
      <c r="BF45" s="40">
        <f t="shared" si="49"/>
        <v>5.4352411710988004E-3</v>
      </c>
      <c r="BG45" s="40">
        <f t="shared" si="50"/>
        <v>5.4687162053312269E-2</v>
      </c>
      <c r="BH45" s="40">
        <f t="shared" si="51"/>
        <v>5.3848565694954989E-3</v>
      </c>
      <c r="BI45" s="40">
        <f t="shared" si="52"/>
        <v>0.14341637145528197</v>
      </c>
      <c r="BJ45" s="40">
        <f t="shared" si="53"/>
        <v>4.6575889441725958E-3</v>
      </c>
      <c r="BK45" s="40">
        <f t="shared" si="54"/>
        <v>-5.6649343276298156E-3</v>
      </c>
      <c r="BL45" s="40">
        <f t="shared" si="55"/>
        <v>1.1229511405780679E-2</v>
      </c>
      <c r="BM45" s="40">
        <f t="shared" si="56"/>
        <v>8.3348429269911192E-2</v>
      </c>
      <c r="BN45" s="40">
        <f t="shared" si="57"/>
        <v>1.4772870340713392E-2</v>
      </c>
      <c r="BO45" s="40">
        <f t="shared" si="58"/>
        <v>0.11238186374961626</v>
      </c>
      <c r="BP45" s="691">
        <f t="shared" si="59"/>
        <v>-8.7727347650395145E-4</v>
      </c>
      <c r="BQ45" s="691">
        <f t="shared" si="60"/>
        <v>-2.5820753128762239E-2</v>
      </c>
      <c r="BR45" s="691">
        <f t="shared" si="61"/>
        <v>2.0713528413494487E-2</v>
      </c>
      <c r="BS45" s="691">
        <f t="shared" si="62"/>
        <v>-7.9804263567527026E-3</v>
      </c>
      <c r="BT45" s="40"/>
      <c r="BU45" s="3"/>
      <c r="BV45" s="13" t="s">
        <v>36</v>
      </c>
      <c r="BW45" s="40">
        <f t="shared" si="63"/>
        <v>0.11611252595963571</v>
      </c>
      <c r="BX45" s="40">
        <f t="shared" si="64"/>
        <v>0.13847852340274103</v>
      </c>
      <c r="BY45" s="40">
        <f t="shared" si="65"/>
        <v>0.11790949948504367</v>
      </c>
      <c r="BZ45" s="40">
        <f t="shared" si="66"/>
        <v>0.14243674698228059</v>
      </c>
      <c r="CA45" s="40">
        <f t="shared" si="67"/>
        <v>9.279496453673701E-2</v>
      </c>
      <c r="CB45" s="40">
        <f t="shared" si="68"/>
        <v>0.11218712402068863</v>
      </c>
      <c r="CC45" s="40">
        <f t="shared" si="69"/>
        <v>6.1719302671936101E-2</v>
      </c>
      <c r="CD45" s="40">
        <f t="shared" si="70"/>
        <v>6.7490003137968921E-2</v>
      </c>
      <c r="CE45" s="40">
        <f t="shared" si="71"/>
        <v>0.12586800192986586</v>
      </c>
      <c r="CF45" s="40">
        <f t="shared" si="72"/>
        <v>0.13193063963644266</v>
      </c>
      <c r="CG45" s="40">
        <f t="shared" si="73"/>
        <v>0.29426802471215763</v>
      </c>
      <c r="CH45" s="40">
        <f t="shared" si="74"/>
        <v>0.30029619315485312</v>
      </c>
      <c r="CI45" s="40">
        <f t="shared" si="75"/>
        <v>0.2929301006141638</v>
      </c>
      <c r="CJ45" s="40">
        <f t="shared" si="76"/>
        <v>0.30744907392588772</v>
      </c>
      <c r="CK45" s="40">
        <f t="shared" si="77"/>
        <v>0.41642290058801046</v>
      </c>
      <c r="CL45" s="113">
        <f t="shared" si="78"/>
        <v>0.43734753244601432</v>
      </c>
      <c r="CM45" s="113">
        <f t="shared" si="79"/>
        <v>0.59887932699820945</v>
      </c>
      <c r="CN45" s="691">
        <f t="shared" si="80"/>
        <v>0.59747667257250336</v>
      </c>
      <c r="CO45" s="691">
        <f t="shared" si="81"/>
        <v>0.55622862178105226</v>
      </c>
      <c r="CP45" s="691">
        <f t="shared" si="82"/>
        <v>0.58846360755620741</v>
      </c>
      <c r="CQ45" s="691">
        <f t="shared" si="83"/>
        <v>0.57578699071572337</v>
      </c>
    </row>
    <row r="46" spans="1:95" ht="14">
      <c r="A46" s="13" t="s">
        <v>37</v>
      </c>
      <c r="B46" s="319">
        <v>43289500</v>
      </c>
      <c r="C46" s="319">
        <v>44947845</v>
      </c>
      <c r="D46" s="319">
        <v>48151390</v>
      </c>
      <c r="E46" s="319">
        <v>49592213</v>
      </c>
      <c r="F46" s="319">
        <v>52251121</v>
      </c>
      <c r="G46" s="319">
        <v>52647791</v>
      </c>
      <c r="H46" s="319">
        <v>54366505</v>
      </c>
      <c r="I46" s="319">
        <v>53077379</v>
      </c>
      <c r="J46" s="319">
        <v>54266075.113912039</v>
      </c>
      <c r="K46" s="319">
        <v>56932918.035224736</v>
      </c>
      <c r="L46" s="319">
        <v>56450883.990885518</v>
      </c>
      <c r="M46" s="319">
        <v>62972551.037017807</v>
      </c>
      <c r="N46" s="319">
        <v>64832761.881114706</v>
      </c>
      <c r="O46" s="319">
        <v>66183552.957739241</v>
      </c>
      <c r="P46" s="319">
        <v>67369190</v>
      </c>
      <c r="Q46" s="319">
        <v>70925377</v>
      </c>
      <c r="R46" s="319">
        <v>71180517</v>
      </c>
      <c r="S46" s="319">
        <v>74795613</v>
      </c>
      <c r="T46" s="340">
        <v>76590240</v>
      </c>
      <c r="U46" s="340">
        <v>79920169</v>
      </c>
      <c r="V46" s="666">
        <v>79968186</v>
      </c>
      <c r="W46" s="667">
        <v>81841228</v>
      </c>
      <c r="X46" s="290"/>
      <c r="Y46" s="13" t="s">
        <v>37</v>
      </c>
      <c r="Z46" s="319">
        <f>B46/'Population &amp; Income'!B45</f>
        <v>9926.5076817243753</v>
      </c>
      <c r="AA46" s="319">
        <f>C46/'Population &amp; Income'!C45</f>
        <v>10217.741532166401</v>
      </c>
      <c r="AB46" s="319">
        <f>D46/'Population &amp; Income'!D45</f>
        <v>10898.91127206881</v>
      </c>
      <c r="AC46" s="319">
        <f>E46/'Population &amp; Income'!E45</f>
        <v>11327.595477386934</v>
      </c>
      <c r="AD46" s="319">
        <f>F46/'Population &amp; Income'!F45</f>
        <v>11995.206841138659</v>
      </c>
      <c r="AE46" s="319">
        <f>G46/'Population &amp; Income'!G45</f>
        <v>12255.07239292365</v>
      </c>
      <c r="AF46" s="319">
        <f>H46/'Population &amp; Income'!H45</f>
        <v>12696.521485287249</v>
      </c>
      <c r="AG46" s="319">
        <f>I46/'Population &amp; Income'!I45</f>
        <v>12477.051951104842</v>
      </c>
      <c r="AH46" s="319">
        <f>J46/'Population &amp; Income'!J45</f>
        <v>12810.688176088772</v>
      </c>
      <c r="AI46" s="319">
        <f>K46/'Population &amp; Income'!K45</f>
        <v>13594.297525125296</v>
      </c>
      <c r="AJ46" s="319">
        <f>L46/'Population &amp; Income'!L45</f>
        <v>13576.451176259143</v>
      </c>
      <c r="AK46" s="319">
        <f>M46/'Population &amp; Income'!M45</f>
        <v>15166.799382711419</v>
      </c>
      <c r="AL46" s="319">
        <f>N46/'Population &amp; Income'!N45</f>
        <v>15747.57393274586</v>
      </c>
      <c r="AM46" s="319">
        <f>O46/'Population &amp; Income'!O45</f>
        <v>16099.137182617183</v>
      </c>
      <c r="AN46" s="319">
        <f>P46/'Population &amp; Income'!P45</f>
        <v>16324.010176883936</v>
      </c>
      <c r="AO46" s="319">
        <f>Q46/'Population &amp; Income'!Q45</f>
        <v>17227.441583677435</v>
      </c>
      <c r="AP46" s="319">
        <f>R46/'Population &amp; Income'!R45</f>
        <v>17437.657275845173</v>
      </c>
      <c r="AQ46" s="319">
        <f>S46/'Population &amp; Income'!S45</f>
        <v>18390.856405212686</v>
      </c>
      <c r="AR46" s="319">
        <f>T46/'Population &amp; Income'!T45</f>
        <v>19185.931863727455</v>
      </c>
      <c r="AS46" s="319">
        <f>U46/'Population &amp; Income'!U45</f>
        <v>20497.606822262118</v>
      </c>
      <c r="AT46" s="319">
        <f>V46/'Population &amp; Income'!V45</f>
        <v>20327.449415353331</v>
      </c>
      <c r="AU46" s="319">
        <f>W46/'Population &amp; Income'!W45</f>
        <v>20578.634146341465</v>
      </c>
      <c r="AV46" s="690"/>
      <c r="AW46" s="690"/>
      <c r="AX46" s="13" t="s">
        <v>37</v>
      </c>
      <c r="AY46" s="40">
        <f t="shared" si="42"/>
        <v>3.8308250268540872E-2</v>
      </c>
      <c r="AZ46" s="40">
        <f t="shared" si="43"/>
        <v>7.1272493709097731E-2</v>
      </c>
      <c r="BA46" s="40">
        <f t="shared" si="44"/>
        <v>2.9922770661449234E-2</v>
      </c>
      <c r="BB46" s="40">
        <f t="shared" si="45"/>
        <v>5.3615433535906129E-2</v>
      </c>
      <c r="BC46" s="40">
        <f t="shared" si="46"/>
        <v>7.5916074604408966E-3</v>
      </c>
      <c r="BD46" s="40">
        <f t="shared" si="47"/>
        <v>3.2645510236127474E-2</v>
      </c>
      <c r="BE46" s="40">
        <f t="shared" si="48"/>
        <v>-2.3711768854738777E-2</v>
      </c>
      <c r="BF46" s="40">
        <f t="shared" si="49"/>
        <v>2.2395531510929326E-2</v>
      </c>
      <c r="BG46" s="40">
        <f t="shared" si="50"/>
        <v>4.9143832785301371E-2</v>
      </c>
      <c r="BH46" s="40">
        <f t="shared" si="51"/>
        <v>-8.4667018831000359E-3</v>
      </c>
      <c r="BI46" s="40">
        <f t="shared" si="52"/>
        <v>0.11552816510694976</v>
      </c>
      <c r="BJ46" s="40">
        <f t="shared" si="53"/>
        <v>2.95400267809286E-2</v>
      </c>
      <c r="BK46" s="40">
        <f t="shared" si="54"/>
        <v>2.0835007447338291E-2</v>
      </c>
      <c r="BL46" s="40">
        <f t="shared" si="55"/>
        <v>1.7914375842255456E-2</v>
      </c>
      <c r="BM46" s="40">
        <f t="shared" si="56"/>
        <v>5.2786548272288861E-2</v>
      </c>
      <c r="BN46" s="40">
        <f t="shared" si="57"/>
        <v>3.5973019924871179E-3</v>
      </c>
      <c r="BO46" s="40">
        <f t="shared" si="58"/>
        <v>5.0787717655942283E-2</v>
      </c>
      <c r="BP46" s="691">
        <f t="shared" si="59"/>
        <v>2.3993746799026838E-2</v>
      </c>
      <c r="BQ46" s="691">
        <f t="shared" si="60"/>
        <v>4.3477197616824281E-2</v>
      </c>
      <c r="BR46" s="691">
        <f t="shared" si="61"/>
        <v>6.0081204282738687E-4</v>
      </c>
      <c r="BS46" s="691">
        <f t="shared" si="62"/>
        <v>2.3422339478852253E-2</v>
      </c>
      <c r="BT46" s="40"/>
      <c r="BU46" s="3"/>
      <c r="BV46" s="13" t="s">
        <v>37</v>
      </c>
      <c r="BW46" s="40">
        <f t="shared" si="63"/>
        <v>3.8308250268540872E-2</v>
      </c>
      <c r="BX46" s="40">
        <f t="shared" si="64"/>
        <v>0.11231106850390972</v>
      </c>
      <c r="BY46" s="40">
        <f t="shared" si="65"/>
        <v>0.14559449751094375</v>
      </c>
      <c r="BZ46" s="40">
        <f t="shared" si="66"/>
        <v>0.20701604315134156</v>
      </c>
      <c r="CA46" s="40">
        <f t="shared" si="67"/>
        <v>0.21617923514940113</v>
      </c>
      <c r="CB46" s="40">
        <f t="shared" si="68"/>
        <v>0.25588202681943656</v>
      </c>
      <c r="CC46" s="40">
        <f t="shared" si="69"/>
        <v>0.22610284249067325</v>
      </c>
      <c r="CD46" s="40">
        <f t="shared" si="70"/>
        <v>0.25356206733531317</v>
      </c>
      <c r="CE46" s="40">
        <f t="shared" si="71"/>
        <v>0.31516691195843649</v>
      </c>
      <c r="CF46" s="40">
        <f t="shared" si="72"/>
        <v>0.30403178578836715</v>
      </c>
      <c r="CG46" s="40">
        <f t="shared" si="73"/>
        <v>0.45468418524163612</v>
      </c>
      <c r="CH46" s="40">
        <f t="shared" si="74"/>
        <v>0.49765559503146739</v>
      </c>
      <c r="CI46" s="40">
        <f t="shared" si="75"/>
        <v>0.52885926050749588</v>
      </c>
      <c r="CJ46" s="40">
        <f t="shared" si="76"/>
        <v>0.55624781991013983</v>
      </c>
      <c r="CK46" s="40">
        <f t="shared" si="77"/>
        <v>0.63839677057947075</v>
      </c>
      <c r="CL46" s="113">
        <f t="shared" si="78"/>
        <v>0.64429057854676075</v>
      </c>
      <c r="CM46" s="113">
        <f t="shared" si="79"/>
        <v>0.7278003441943196</v>
      </c>
      <c r="CN46" s="691">
        <f t="shared" si="80"/>
        <v>0.76925674817218959</v>
      </c>
      <c r="CO46" s="691">
        <f t="shared" si="81"/>
        <v>0.84617907344737175</v>
      </c>
      <c r="CP46" s="691">
        <f t="shared" si="82"/>
        <v>0.8472882800679149</v>
      </c>
      <c r="CQ46" s="691">
        <f t="shared" si="83"/>
        <v>0.89055609327897067</v>
      </c>
    </row>
    <row r="47" spans="1:95" ht="14">
      <c r="A47" s="13" t="s">
        <v>38</v>
      </c>
      <c r="B47" s="319">
        <v>196396627</v>
      </c>
      <c r="C47" s="319">
        <v>234200796</v>
      </c>
      <c r="D47" s="319">
        <v>255521779</v>
      </c>
      <c r="E47" s="319">
        <v>273255332</v>
      </c>
      <c r="F47" s="319">
        <v>286114213</v>
      </c>
      <c r="G47" s="319">
        <v>297096267</v>
      </c>
      <c r="H47" s="319">
        <v>301835846</v>
      </c>
      <c r="I47" s="319">
        <v>306349403</v>
      </c>
      <c r="J47" s="319">
        <v>311813924.71634847</v>
      </c>
      <c r="K47" s="319">
        <v>326664225.03702378</v>
      </c>
      <c r="L47" s="319">
        <v>343039923.92003596</v>
      </c>
      <c r="M47" s="319">
        <v>373485320.2823683</v>
      </c>
      <c r="N47" s="319">
        <v>378103015.83957267</v>
      </c>
      <c r="O47" s="319">
        <v>379088315.41541779</v>
      </c>
      <c r="P47" s="319">
        <v>384678235</v>
      </c>
      <c r="Q47" s="319">
        <v>384453969</v>
      </c>
      <c r="R47" s="319">
        <v>398133572</v>
      </c>
      <c r="S47" s="319">
        <v>405767825</v>
      </c>
      <c r="T47" s="340">
        <v>404861017</v>
      </c>
      <c r="U47" s="340">
        <v>411524615</v>
      </c>
      <c r="V47" s="666">
        <v>421194833</v>
      </c>
      <c r="W47" s="667">
        <v>431993909</v>
      </c>
      <c r="X47" s="290"/>
      <c r="Y47" s="13" t="s">
        <v>38</v>
      </c>
      <c r="Z47" s="319">
        <f>B47/'Population &amp; Income'!B46</f>
        <v>6476.8204663126999</v>
      </c>
      <c r="AA47" s="319">
        <f>C47/'Population &amp; Income'!C46</f>
        <v>7540.0275586748658</v>
      </c>
      <c r="AB47" s="319">
        <f>D47/'Population &amp; Income'!D46</f>
        <v>8069.5335228169906</v>
      </c>
      <c r="AC47" s="319">
        <f>E47/'Population &amp; Income'!E46</f>
        <v>8501.5037023209516</v>
      </c>
      <c r="AD47" s="319">
        <f>F47/'Population &amp; Income'!F46</f>
        <v>8777.0480704337697</v>
      </c>
      <c r="AE47" s="319">
        <f>G47/'Population &amp; Income'!G46</f>
        <v>9033.3019246556596</v>
      </c>
      <c r="AF47" s="319">
        <f>H47/'Population &amp; Income'!H46</f>
        <v>9184.9505812184289</v>
      </c>
      <c r="AG47" s="319">
        <f>I47/'Population &amp; Income'!I46</f>
        <v>9239.9156386668674</v>
      </c>
      <c r="AH47" s="319">
        <f>J47/'Population &amp; Income'!J46</f>
        <v>9304.2677383805822</v>
      </c>
      <c r="AI47" s="319">
        <f>K47/'Population &amp; Income'!K46</f>
        <v>9541.5417991886843</v>
      </c>
      <c r="AJ47" s="319">
        <f>L47/'Population &amp; Income'!L46</f>
        <v>9818.8145496189136</v>
      </c>
      <c r="AK47" s="319">
        <f>M47/'Population &amp; Income'!M46</f>
        <v>10570.438974396975</v>
      </c>
      <c r="AL47" s="319">
        <f>N47/'Population &amp; Income'!N46</f>
        <v>10645.391515275991</v>
      </c>
      <c r="AM47" s="319">
        <f>O47/'Population &amp; Income'!O46</f>
        <v>10722.339567682586</v>
      </c>
      <c r="AN47" s="319">
        <f>P47/'Population &amp; Income'!P46</f>
        <v>10791.01871072711</v>
      </c>
      <c r="AO47" s="319">
        <f>Q47/'Population &amp; Income'!Q46</f>
        <v>10800.482329475222</v>
      </c>
      <c r="AP47" s="319">
        <f>R47/'Population &amp; Income'!R46</f>
        <v>11241.312702939267</v>
      </c>
      <c r="AQ47" s="319">
        <f>S47/'Population &amp; Income'!S46</f>
        <v>11376.561667647966</v>
      </c>
      <c r="AR47" s="319">
        <f>T47/'Population &amp; Income'!T46</f>
        <v>11406.784915335418</v>
      </c>
      <c r="AS47" s="319">
        <f>U47/'Population &amp; Income'!U46</f>
        <v>11596.489277763689</v>
      </c>
      <c r="AT47" s="319">
        <f>V47/'Population &amp; Income'!V46</f>
        <v>11867.986277824739</v>
      </c>
      <c r="AU47" s="319">
        <f>W47/'Population &amp; Income'!W46</f>
        <v>12188.412634370679</v>
      </c>
      <c r="AV47" s="690"/>
      <c r="AW47" s="690"/>
      <c r="AX47" s="13" t="s">
        <v>38</v>
      </c>
      <c r="AY47" s="40">
        <f t="shared" si="42"/>
        <v>0.19248889136980951</v>
      </c>
      <c r="AZ47" s="40">
        <f t="shared" si="43"/>
        <v>9.1037192717312546E-2</v>
      </c>
      <c r="BA47" s="40">
        <f t="shared" si="44"/>
        <v>6.9401336627356522E-2</v>
      </c>
      <c r="BB47" s="40">
        <f t="shared" si="45"/>
        <v>4.7058115594245754E-2</v>
      </c>
      <c r="BC47" s="40">
        <f t="shared" si="46"/>
        <v>3.8383461921900397E-2</v>
      </c>
      <c r="BD47" s="40">
        <f t="shared" si="47"/>
        <v>1.595300758188254E-2</v>
      </c>
      <c r="BE47" s="40">
        <f t="shared" si="48"/>
        <v>1.4953681147599679E-2</v>
      </c>
      <c r="BF47" s="40">
        <f t="shared" si="49"/>
        <v>1.7837546483968403E-2</v>
      </c>
      <c r="BG47" s="40">
        <f t="shared" si="50"/>
        <v>4.7625520041109023E-2</v>
      </c>
      <c r="BH47" s="40">
        <f t="shared" si="51"/>
        <v>5.0130065149179316E-2</v>
      </c>
      <c r="BI47" s="40">
        <f t="shared" si="52"/>
        <v>8.8751758146463716E-2</v>
      </c>
      <c r="BJ47" s="40">
        <f t="shared" si="53"/>
        <v>1.2363793987172567E-2</v>
      </c>
      <c r="BK47" s="40">
        <f t="shared" si="54"/>
        <v>2.6059024513657419E-3</v>
      </c>
      <c r="BL47" s="40">
        <f t="shared" si="55"/>
        <v>1.4745692117829026E-2</v>
      </c>
      <c r="BM47" s="40">
        <f t="shared" si="56"/>
        <v>-5.8299633198639379E-4</v>
      </c>
      <c r="BN47" s="40">
        <f t="shared" si="57"/>
        <v>3.5581900833490943E-2</v>
      </c>
      <c r="BO47" s="40">
        <f t="shared" si="58"/>
        <v>1.9175104881635052E-2</v>
      </c>
      <c r="BP47" s="691">
        <f t="shared" si="59"/>
        <v>-2.2347952304991162E-3</v>
      </c>
      <c r="BQ47" s="691">
        <f t="shared" si="60"/>
        <v>1.6458976587513736E-2</v>
      </c>
      <c r="BR47" s="691">
        <f t="shared" si="61"/>
        <v>2.349851660756672E-2</v>
      </c>
      <c r="BS47" s="691">
        <f t="shared" si="62"/>
        <v>2.5639146432738884E-2</v>
      </c>
      <c r="BT47" s="40"/>
      <c r="BU47" s="3"/>
      <c r="BV47" s="13" t="s">
        <v>38</v>
      </c>
      <c r="BW47" s="40">
        <f t="shared" si="63"/>
        <v>0.19248889136980951</v>
      </c>
      <c r="BX47" s="40">
        <f t="shared" si="64"/>
        <v>0.30104973238669724</v>
      </c>
      <c r="BY47" s="40">
        <f t="shared" si="65"/>
        <v>0.39134432283299853</v>
      </c>
      <c r="BZ47" s="40">
        <f t="shared" si="66"/>
        <v>0.45681836480827137</v>
      </c>
      <c r="CA47" s="40">
        <f t="shared" si="67"/>
        <v>0.51273609704101486</v>
      </c>
      <c r="CB47" s="40">
        <f t="shared" si="68"/>
        <v>0.53686878746649758</v>
      </c>
      <c r="CC47" s="40">
        <f t="shared" si="69"/>
        <v>0.55985063327996976</v>
      </c>
      <c r="CD47" s="40">
        <f t="shared" si="70"/>
        <v>0.58767454145914877</v>
      </c>
      <c r="CE47" s="40">
        <f t="shared" si="71"/>
        <v>0.66328836715216999</v>
      </c>
      <c r="CF47" s="40">
        <f t="shared" si="72"/>
        <v>0.74666912135938035</v>
      </c>
      <c r="CG47" s="40">
        <f t="shared" si="73"/>
        <v>0.90168907678016441</v>
      </c>
      <c r="CH47" s="40">
        <f t="shared" si="74"/>
        <v>0.92520116875313074</v>
      </c>
      <c r="CI47" s="40">
        <f t="shared" si="75"/>
        <v>0.9302180551981567</v>
      </c>
      <c r="CJ47" s="40">
        <f t="shared" si="76"/>
        <v>0.95868045636038346</v>
      </c>
      <c r="CK47" s="40">
        <f t="shared" si="77"/>
        <v>0.95753855283879186</v>
      </c>
      <c r="CL47" s="113">
        <f t="shared" si="78"/>
        <v>1.0271914955036372</v>
      </c>
      <c r="CM47" s="113">
        <f t="shared" si="79"/>
        <v>1.066063105045078</v>
      </c>
      <c r="CN47" s="691">
        <f t="shared" si="80"/>
        <v>1.061445877072013</v>
      </c>
      <c r="CO47" s="691">
        <f t="shared" si="81"/>
        <v>1.095375166499168</v>
      </c>
      <c r="CP47" s="691">
        <f t="shared" si="82"/>
        <v>1.1446133746482317</v>
      </c>
      <c r="CQ47" s="691">
        <f t="shared" si="83"/>
        <v>1.1995994310024478</v>
      </c>
    </row>
    <row r="48" spans="1:95" ht="14">
      <c r="A48" s="13" t="s">
        <v>39</v>
      </c>
      <c r="B48" s="319">
        <v>204546735</v>
      </c>
      <c r="C48" s="319">
        <v>245094240</v>
      </c>
      <c r="D48" s="319">
        <v>256098223</v>
      </c>
      <c r="E48" s="319">
        <v>273579297</v>
      </c>
      <c r="F48" s="319">
        <v>286424011</v>
      </c>
      <c r="G48" s="319">
        <v>295096866</v>
      </c>
      <c r="H48" s="319">
        <v>301570659</v>
      </c>
      <c r="I48" s="319">
        <v>305600580</v>
      </c>
      <c r="J48" s="319">
        <v>311538717.44832802</v>
      </c>
      <c r="K48" s="319">
        <v>346733712.52330774</v>
      </c>
      <c r="L48" s="319">
        <v>362251871.79157513</v>
      </c>
      <c r="M48" s="319">
        <v>400034258.7233147</v>
      </c>
      <c r="N48" s="319">
        <v>402811103.96279657</v>
      </c>
      <c r="O48" s="319">
        <v>398837808.01411206</v>
      </c>
      <c r="P48" s="319">
        <v>391259870</v>
      </c>
      <c r="Q48" s="319">
        <v>387710288</v>
      </c>
      <c r="R48" s="319">
        <v>420344615</v>
      </c>
      <c r="S48" s="319">
        <v>422027940</v>
      </c>
      <c r="T48" s="340">
        <v>430043195</v>
      </c>
      <c r="U48" s="340">
        <v>441244798</v>
      </c>
      <c r="V48" s="666">
        <v>448758157</v>
      </c>
      <c r="W48" s="667">
        <v>484369059</v>
      </c>
      <c r="X48" s="290"/>
      <c r="Y48" s="13" t="s">
        <v>39</v>
      </c>
      <c r="Z48" s="319">
        <f>B48/'Population &amp; Income'!B47</f>
        <v>6174.0638394204652</v>
      </c>
      <c r="AA48" s="319">
        <f>C48/'Population &amp; Income'!C47</f>
        <v>7271.7472185135739</v>
      </c>
      <c r="AB48" s="319">
        <f>D48/'Population &amp; Income'!D47</f>
        <v>7494.6072107927776</v>
      </c>
      <c r="AC48" s="319">
        <f>E48/'Population &amp; Income'!E47</f>
        <v>7878.9072660772399</v>
      </c>
      <c r="AD48" s="319">
        <f>F48/'Population &amp; Income'!F47</f>
        <v>8102.0596005883681</v>
      </c>
      <c r="AE48" s="319">
        <f>G48/'Population &amp; Income'!G47</f>
        <v>8274.1305481564559</v>
      </c>
      <c r="AF48" s="319">
        <f>H48/'Population &amp; Income'!H47</f>
        <v>8322.8641331346244</v>
      </c>
      <c r="AG48" s="319">
        <f>I48/'Population &amp; Income'!I47</f>
        <v>8386.1743640405039</v>
      </c>
      <c r="AH48" s="319">
        <f>J48/'Population &amp; Income'!J47</f>
        <v>8466.1861364293709</v>
      </c>
      <c r="AI48" s="319">
        <f>K48/'Population &amp; Income'!K47</f>
        <v>9271.2027734246294</v>
      </c>
      <c r="AJ48" s="319">
        <f>L48/'Population &amp; Income'!L47</f>
        <v>9588.7099126915782</v>
      </c>
      <c r="AK48" s="319">
        <f>M48/'Population &amp; Income'!M47</f>
        <v>10438.490168392733</v>
      </c>
      <c r="AL48" s="319">
        <f>N48/'Population &amp; Income'!N47</f>
        <v>10460.452476441169</v>
      </c>
      <c r="AM48" s="319">
        <f>O48/'Population &amp; Income'!O47</f>
        <v>10318.684880837009</v>
      </c>
      <c r="AN48" s="319">
        <f>P48/'Population &amp; Income'!P47</f>
        <v>10135.740894254184</v>
      </c>
      <c r="AO48" s="319">
        <f>Q48/'Population &amp; Income'!Q47</f>
        <v>10053.42377803708</v>
      </c>
      <c r="AP48" s="319">
        <f>R48/'Population &amp; Income'!R47</f>
        <v>10927.408298021681</v>
      </c>
      <c r="AQ48" s="319">
        <f>S48/'Population &amp; Income'!S47</f>
        <v>11052.191698310855</v>
      </c>
      <c r="AR48" s="319">
        <f>T48/'Population &amp; Income'!T47</f>
        <v>11317.819696291812</v>
      </c>
      <c r="AS48" s="319">
        <f>U48/'Population &amp; Income'!U47</f>
        <v>11567.869075083892</v>
      </c>
      <c r="AT48" s="319">
        <f>V48/'Population &amp; Income'!V47</f>
        <v>11692.195539459628</v>
      </c>
      <c r="AU48" s="319">
        <f>W48/'Population &amp; Income'!W47</f>
        <v>12602.619009210595</v>
      </c>
      <c r="AV48" s="690"/>
      <c r="AW48" s="690"/>
      <c r="AX48" s="13" t="s">
        <v>39</v>
      </c>
      <c r="AY48" s="40">
        <f t="shared" si="42"/>
        <v>0.19823100574057073</v>
      </c>
      <c r="AZ48" s="40">
        <f t="shared" si="43"/>
        <v>4.4896946578589524E-2</v>
      </c>
      <c r="BA48" s="40">
        <f t="shared" si="44"/>
        <v>6.8259255356098267E-2</v>
      </c>
      <c r="BB48" s="40">
        <f t="shared" si="45"/>
        <v>4.6950606792443068E-2</v>
      </c>
      <c r="BC48" s="40">
        <f t="shared" si="46"/>
        <v>3.0279776369726209E-2</v>
      </c>
      <c r="BD48" s="40">
        <f t="shared" si="47"/>
        <v>2.1937857516928019E-2</v>
      </c>
      <c r="BE48" s="40">
        <f t="shared" si="48"/>
        <v>1.3363107052135333E-2</v>
      </c>
      <c r="BF48" s="40">
        <f t="shared" si="49"/>
        <v>1.943104115943765E-2</v>
      </c>
      <c r="BG48" s="40">
        <f t="shared" si="50"/>
        <v>0.1129714963303628</v>
      </c>
      <c r="BH48" s="40">
        <f t="shared" si="51"/>
        <v>4.4755265230300469E-2</v>
      </c>
      <c r="BI48" s="40">
        <f t="shared" si="52"/>
        <v>0.1042986658561091</v>
      </c>
      <c r="BJ48" s="40">
        <f t="shared" si="53"/>
        <v>6.9415185797936435E-3</v>
      </c>
      <c r="BK48" s="40">
        <f t="shared" si="54"/>
        <v>-9.8639186199084659E-3</v>
      </c>
      <c r="BL48" s="40">
        <f t="shared" si="55"/>
        <v>-1.9000049297843713E-2</v>
      </c>
      <c r="BM48" s="40">
        <f t="shared" si="56"/>
        <v>-9.0721851949702899E-3</v>
      </c>
      <c r="BN48" s="40">
        <f t="shared" si="57"/>
        <v>8.4171939744864338E-2</v>
      </c>
      <c r="BO48" s="40">
        <f t="shared" si="58"/>
        <v>4.0046308194051682E-3</v>
      </c>
      <c r="BP48" s="691">
        <f t="shared" si="59"/>
        <v>1.8992237812501228E-2</v>
      </c>
      <c r="BQ48" s="691">
        <f t="shared" si="60"/>
        <v>2.6047622960293559E-2</v>
      </c>
      <c r="BR48" s="691">
        <f t="shared" si="61"/>
        <v>1.7027643235807622E-2</v>
      </c>
      <c r="BS48" s="691">
        <f t="shared" si="62"/>
        <v>7.9354328037317443E-2</v>
      </c>
      <c r="BT48" s="40"/>
      <c r="BU48" s="3"/>
      <c r="BV48" s="13" t="s">
        <v>39</v>
      </c>
      <c r="BW48" s="40">
        <f t="shared" si="63"/>
        <v>0.19823100574057073</v>
      </c>
      <c r="BX48" s="40">
        <f t="shared" si="64"/>
        <v>0.25202791919411471</v>
      </c>
      <c r="BY48" s="40">
        <f t="shared" si="65"/>
        <v>0.33749041264335017</v>
      </c>
      <c r="BZ48" s="40">
        <f t="shared" si="66"/>
        <v>0.40028639909603053</v>
      </c>
      <c r="CA48" s="40">
        <f t="shared" si="67"/>
        <v>0.44268675811422753</v>
      </c>
      <c r="CB48" s="40">
        <f t="shared" si="68"/>
        <v>0.47433621465529624</v>
      </c>
      <c r="CC48" s="40">
        <f t="shared" si="69"/>
        <v>0.49403792732257495</v>
      </c>
      <c r="CD48" s="40">
        <f t="shared" si="70"/>
        <v>0.5230686397821408</v>
      </c>
      <c r="CE48" s="40">
        <f t="shared" si="71"/>
        <v>0.6951319830321796</v>
      </c>
      <c r="CF48" s="40">
        <f t="shared" si="72"/>
        <v>0.77099806453315001</v>
      </c>
      <c r="CG48" s="40">
        <f t="shared" si="73"/>
        <v>0.95571079989770902</v>
      </c>
      <c r="CH48" s="40">
        <f t="shared" si="74"/>
        <v>0.96928640275190203</v>
      </c>
      <c r="CI48" s="40">
        <f t="shared" si="75"/>
        <v>0.94986152193586493</v>
      </c>
      <c r="CJ48" s="40">
        <f t="shared" si="76"/>
        <v>0.91281405689511497</v>
      </c>
      <c r="CK48" s="40">
        <f t="shared" si="77"/>
        <v>0.89546065352741999</v>
      </c>
      <c r="CL48" s="113">
        <f t="shared" si="78"/>
        <v>1.0550052534448913</v>
      </c>
      <c r="CM48" s="113">
        <f t="shared" si="79"/>
        <v>1.0632347908168762</v>
      </c>
      <c r="CN48" s="691">
        <f t="shared" si="80"/>
        <v>1.1024202366270965</v>
      </c>
      <c r="CO48" s="691">
        <f t="shared" si="81"/>
        <v>1.1571832862548503</v>
      </c>
      <c r="CP48" s="691">
        <f t="shared" si="82"/>
        <v>1.1939150336474449</v>
      </c>
      <c r="CQ48" s="691">
        <f t="shared" si="83"/>
        <v>1.3680116869135066</v>
      </c>
    </row>
    <row r="49" spans="1:95" ht="14">
      <c r="A49" s="13" t="s">
        <v>40</v>
      </c>
      <c r="B49" s="319">
        <v>67534029</v>
      </c>
      <c r="C49" s="319">
        <v>71989441</v>
      </c>
      <c r="D49" s="319">
        <v>75433435</v>
      </c>
      <c r="E49" s="319">
        <v>78259452</v>
      </c>
      <c r="F49" s="319">
        <v>80763321</v>
      </c>
      <c r="G49" s="319">
        <v>82671692</v>
      </c>
      <c r="H49" s="319">
        <v>86831531</v>
      </c>
      <c r="I49" s="319">
        <v>88009428</v>
      </c>
      <c r="J49" s="319">
        <v>87173881.354277879</v>
      </c>
      <c r="K49" s="319">
        <v>90430892.926142842</v>
      </c>
      <c r="L49" s="319">
        <v>94076197.742968723</v>
      </c>
      <c r="M49" s="319">
        <v>98218272.754298225</v>
      </c>
      <c r="N49" s="319">
        <v>99652323.964515597</v>
      </c>
      <c r="O49" s="319">
        <v>102192222.0819287</v>
      </c>
      <c r="P49" s="319">
        <v>104558382</v>
      </c>
      <c r="Q49" s="319">
        <v>109103489</v>
      </c>
      <c r="R49" s="319">
        <v>113997944</v>
      </c>
      <c r="S49" s="319">
        <v>119001320</v>
      </c>
      <c r="T49" s="340">
        <v>122023311</v>
      </c>
      <c r="U49" s="340">
        <v>130768166</v>
      </c>
      <c r="V49" s="666">
        <v>138151687</v>
      </c>
      <c r="W49" s="667">
        <v>143415924</v>
      </c>
      <c r="X49" s="290"/>
      <c r="Y49" s="13" t="s">
        <v>40</v>
      </c>
      <c r="Z49" s="319">
        <f>B49/'Population &amp; Income'!B48</f>
        <v>6588.0430201931522</v>
      </c>
      <c r="AA49" s="319">
        <f>C49/'Population &amp; Income'!C48</f>
        <v>7025.4163169708208</v>
      </c>
      <c r="AB49" s="319">
        <f>D49/'Population &amp; Income'!D48</f>
        <v>7305.1941700561692</v>
      </c>
      <c r="AC49" s="319">
        <f>E49/'Population &amp; Income'!E48</f>
        <v>7523.5004806767929</v>
      </c>
      <c r="AD49" s="319">
        <f>F49/'Population &amp; Income'!F48</f>
        <v>7691.7448571428567</v>
      </c>
      <c r="AE49" s="319">
        <f>G49/'Population &amp; Income'!G48</f>
        <v>7933.9435700575814</v>
      </c>
      <c r="AF49" s="319">
        <f>H49/'Population &amp; Income'!H48</f>
        <v>8342.7681591083783</v>
      </c>
      <c r="AG49" s="319">
        <f>I49/'Population &amp; Income'!I48</f>
        <v>8500.0413366814755</v>
      </c>
      <c r="AH49" s="319">
        <f>J49/'Population &amp; Income'!J48</f>
        <v>8447.9001215503322</v>
      </c>
      <c r="AI49" s="319">
        <f>K49/'Population &amp; Income'!K48</f>
        <v>8803.6305418752763</v>
      </c>
      <c r="AJ49" s="319">
        <f>L49/'Population &amp; Income'!L48</f>
        <v>9146.0429460401247</v>
      </c>
      <c r="AK49" s="319">
        <f>M49/'Population &amp; Income'!M48</f>
        <v>9548.7334974040659</v>
      </c>
      <c r="AL49" s="319">
        <f>N49/'Population &amp; Income'!N48</f>
        <v>9773.6684939697534</v>
      </c>
      <c r="AM49" s="319">
        <f>O49/'Population &amp; Income'!O48</f>
        <v>10014.91788337208</v>
      </c>
      <c r="AN49" s="319">
        <f>P49/'Population &amp; Income'!P48</f>
        <v>10258.867935635793</v>
      </c>
      <c r="AO49" s="319">
        <f>Q49/'Population &amp; Income'!Q48</f>
        <v>10646.320160031226</v>
      </c>
      <c r="AP49" s="319">
        <f>R49/'Population &amp; Income'!R48</f>
        <v>11204.830351877334</v>
      </c>
      <c r="AQ49" s="319">
        <f>S49/'Population &amp; Income'!S48</f>
        <v>11721.958234830576</v>
      </c>
      <c r="AR49" s="319">
        <f>T49/'Population &amp; Income'!T48</f>
        <v>12062.407176749703</v>
      </c>
      <c r="AS49" s="319">
        <f>U49/'Population &amp; Income'!U48</f>
        <v>12838.029255841351</v>
      </c>
      <c r="AT49" s="319">
        <f>V49/'Population &amp; Income'!V48</f>
        <v>13632.493289915137</v>
      </c>
      <c r="AU49" s="319">
        <f>W49/'Population &amp; Income'!W48</f>
        <v>14389.076351961472</v>
      </c>
      <c r="AV49" s="690"/>
      <c r="AW49" s="690"/>
      <c r="AX49" s="13" t="s">
        <v>40</v>
      </c>
      <c r="AY49" s="40">
        <f t="shared" si="42"/>
        <v>6.597284459364923E-2</v>
      </c>
      <c r="AZ49" s="40">
        <f t="shared" si="43"/>
        <v>4.7840265907885017E-2</v>
      </c>
      <c r="BA49" s="40">
        <f t="shared" si="44"/>
        <v>3.7463718840325913E-2</v>
      </c>
      <c r="BB49" s="40">
        <f t="shared" si="45"/>
        <v>3.1994461193007077E-2</v>
      </c>
      <c r="BC49" s="40">
        <f t="shared" si="46"/>
        <v>2.3629179389490433E-2</v>
      </c>
      <c r="BD49" s="40">
        <f t="shared" si="47"/>
        <v>5.0317574242946424E-2</v>
      </c>
      <c r="BE49" s="40">
        <f t="shared" si="48"/>
        <v>1.3565314194448558E-2</v>
      </c>
      <c r="BF49" s="40">
        <f t="shared" si="49"/>
        <v>-9.4938311122999344E-3</v>
      </c>
      <c r="BG49" s="40">
        <f t="shared" si="50"/>
        <v>3.7362241089488116E-2</v>
      </c>
      <c r="BH49" s="40">
        <f t="shared" si="51"/>
        <v>4.0310392819001499E-2</v>
      </c>
      <c r="BI49" s="40">
        <f t="shared" si="52"/>
        <v>4.4028937294493087E-2</v>
      </c>
      <c r="BJ49" s="40">
        <f t="shared" si="53"/>
        <v>1.4600655967599621E-2</v>
      </c>
      <c r="BK49" s="40">
        <f t="shared" si="54"/>
        <v>2.548759543548142E-2</v>
      </c>
      <c r="BL49" s="40">
        <f t="shared" si="55"/>
        <v>2.3154011820726648E-2</v>
      </c>
      <c r="BM49" s="40">
        <f t="shared" si="56"/>
        <v>4.3469561340381109E-2</v>
      </c>
      <c r="BN49" s="40">
        <f t="shared" si="57"/>
        <v>4.4860664355106002E-2</v>
      </c>
      <c r="BO49" s="40">
        <f t="shared" si="58"/>
        <v>4.3890054718881598E-2</v>
      </c>
      <c r="BP49" s="691">
        <f t="shared" si="59"/>
        <v>2.5394600664933802E-2</v>
      </c>
      <c r="BQ49" s="691">
        <f t="shared" si="60"/>
        <v>7.1665445957289256E-2</v>
      </c>
      <c r="BR49" s="691">
        <f t="shared" si="61"/>
        <v>5.6462679150826353E-2</v>
      </c>
      <c r="BS49" s="691">
        <f t="shared" si="62"/>
        <v>3.8104760892279224E-2</v>
      </c>
      <c r="BT49" s="40"/>
      <c r="BU49" s="3"/>
      <c r="BV49" s="13" t="s">
        <v>40</v>
      </c>
      <c r="BW49" s="40">
        <f t="shared" si="63"/>
        <v>6.597284459364923E-2</v>
      </c>
      <c r="BX49" s="40">
        <f t="shared" si="64"/>
        <v>0.116969268929594</v>
      </c>
      <c r="BY49" s="40">
        <f t="shared" si="65"/>
        <v>0.15881509157405668</v>
      </c>
      <c r="BZ49" s="40">
        <f t="shared" si="66"/>
        <v>0.19589075605129377</v>
      </c>
      <c r="CA49" s="40">
        <f t="shared" si="67"/>
        <v>0.22414867325626314</v>
      </c>
      <c r="CB49" s="40">
        <f t="shared" si="68"/>
        <v>0.28574486500723956</v>
      </c>
      <c r="CC49" s="40">
        <f t="shared" si="69"/>
        <v>0.30318639807496156</v>
      </c>
      <c r="CD49" s="40">
        <f t="shared" si="70"/>
        <v>0.29081416650379144</v>
      </c>
      <c r="CE49" s="40">
        <f t="shared" si="71"/>
        <v>0.33904187659443275</v>
      </c>
      <c r="CF49" s="40">
        <f t="shared" si="72"/>
        <v>0.39301918064104724</v>
      </c>
      <c r="CG49" s="40">
        <f t="shared" si="73"/>
        <v>0.45435233479551806</v>
      </c>
      <c r="CH49" s="40">
        <f t="shared" si="74"/>
        <v>0.47558683289154269</v>
      </c>
      <c r="CI49" s="40">
        <f t="shared" si="75"/>
        <v>0.51319599311820563</v>
      </c>
      <c r="CJ49" s="40">
        <f t="shared" si="76"/>
        <v>0.54823255102994073</v>
      </c>
      <c r="CK49" s="40">
        <f t="shared" si="77"/>
        <v>0.61553354087611156</v>
      </c>
      <c r="CL49" s="113">
        <f t="shared" si="78"/>
        <v>0.68800744880777065</v>
      </c>
      <c r="CM49" s="113">
        <f t="shared" si="79"/>
        <v>0.7620941881018235</v>
      </c>
      <c r="CN49" s="691">
        <f t="shared" si="80"/>
        <v>0.80684186634266997</v>
      </c>
      <c r="CO49" s="691">
        <f t="shared" si="81"/>
        <v>0.93632999446841825</v>
      </c>
      <c r="CP49" s="691">
        <f t="shared" si="82"/>
        <v>1.04566037367621</v>
      </c>
      <c r="CQ49" s="691">
        <f t="shared" si="83"/>
        <v>1.1236097730819525</v>
      </c>
    </row>
    <row r="50" spans="1:95" ht="14">
      <c r="A50" s="13" t="s">
        <v>41</v>
      </c>
      <c r="B50" s="319">
        <v>79557677</v>
      </c>
      <c r="C50" s="319">
        <v>91342586</v>
      </c>
      <c r="D50" s="319">
        <v>96749755</v>
      </c>
      <c r="E50" s="319">
        <v>101790754</v>
      </c>
      <c r="F50" s="319">
        <v>107214309</v>
      </c>
      <c r="G50" s="319">
        <v>117562802</v>
      </c>
      <c r="H50" s="319">
        <v>119206847</v>
      </c>
      <c r="I50" s="319">
        <v>119607547</v>
      </c>
      <c r="J50" s="319">
        <v>120640454.08167185</v>
      </c>
      <c r="K50" s="319">
        <v>122665130.71811126</v>
      </c>
      <c r="L50" s="319">
        <v>124463146.01143439</v>
      </c>
      <c r="M50" s="319">
        <v>127707719.62548018</v>
      </c>
      <c r="N50" s="319">
        <v>131889810.71651551</v>
      </c>
      <c r="O50" s="319">
        <v>134470718.24326542</v>
      </c>
      <c r="P50" s="319">
        <v>135857756</v>
      </c>
      <c r="Q50" s="319">
        <v>139608648</v>
      </c>
      <c r="R50" s="319">
        <v>139968018</v>
      </c>
      <c r="S50" s="319">
        <v>142482452</v>
      </c>
      <c r="T50" s="340">
        <v>144986446</v>
      </c>
      <c r="U50" s="340">
        <v>151305866</v>
      </c>
      <c r="V50" s="666">
        <v>154775064</v>
      </c>
      <c r="W50" s="667">
        <v>156501776</v>
      </c>
      <c r="X50" s="290"/>
      <c r="Y50" s="13" t="s">
        <v>41</v>
      </c>
      <c r="Z50" s="319">
        <f>B50/'Population &amp; Income'!B49</f>
        <v>5680.2568185063546</v>
      </c>
      <c r="AA50" s="319">
        <f>C50/'Population &amp; Income'!C49</f>
        <v>6540.8224847833872</v>
      </c>
      <c r="AB50" s="319">
        <f>D50/'Population &amp; Income'!D49</f>
        <v>7012.3762412118576</v>
      </c>
      <c r="AC50" s="319">
        <f>E50/'Population &amp; Income'!E49</f>
        <v>7347.3909340262744</v>
      </c>
      <c r="AD50" s="319">
        <f>F50/'Population &amp; Income'!F49</f>
        <v>7813.3150415391347</v>
      </c>
      <c r="AE50" s="319">
        <f>G50/'Population &amp; Income'!G49</f>
        <v>8633.5317617683777</v>
      </c>
      <c r="AF50" s="319">
        <f>H50/'Population &amp; Income'!H49</f>
        <v>8833.4084475731761</v>
      </c>
      <c r="AG50" s="319">
        <f>I50/'Population &amp; Income'!I49</f>
        <v>8949.3114104002998</v>
      </c>
      <c r="AH50" s="319">
        <f>J50/'Population &amp; Income'!J49</f>
        <v>9100.8188051955221</v>
      </c>
      <c r="AI50" s="319">
        <f>K50/'Population &amp; Income'!K49</f>
        <v>9382.3719380534858</v>
      </c>
      <c r="AJ50" s="319">
        <f>L50/'Population &amp; Income'!L49</f>
        <v>9627.4091902409036</v>
      </c>
      <c r="AK50" s="319">
        <f>M50/'Population &amp; Income'!M49</f>
        <v>9919.0461845033151</v>
      </c>
      <c r="AL50" s="319">
        <f>N50/'Population &amp; Income'!N49</f>
        <v>10313.56042512633</v>
      </c>
      <c r="AM50" s="319">
        <f>O50/'Population &amp; Income'!O49</f>
        <v>10526.083619825082</v>
      </c>
      <c r="AN50" s="319">
        <f>P50/'Population &amp; Income'!P49</f>
        <v>10668.060934432666</v>
      </c>
      <c r="AO50" s="319">
        <f>Q50/'Population &amp; Income'!Q49</f>
        <v>11115.338216560509</v>
      </c>
      <c r="AP50" s="319">
        <f>R50/'Population &amp; Income'!R49</f>
        <v>11211.792534444088</v>
      </c>
      <c r="AQ50" s="319">
        <f>S50/'Population &amp; Income'!S49</f>
        <v>11520.25</v>
      </c>
      <c r="AR50" s="319">
        <f>T50/'Population &amp; Income'!T49</f>
        <v>11765.515377748925</v>
      </c>
      <c r="AS50" s="319">
        <f>U50/'Population &amp; Income'!U49</f>
        <v>12308.294639225576</v>
      </c>
      <c r="AT50" s="319">
        <f>V50/'Population &amp; Income'!V49</f>
        <v>12724.026964814206</v>
      </c>
      <c r="AU50" s="319">
        <f>W50/'Population &amp; Income'!W49</f>
        <v>12834.326390027883</v>
      </c>
      <c r="AV50" s="690"/>
      <c r="AW50" s="690"/>
      <c r="AX50" s="13" t="s">
        <v>41</v>
      </c>
      <c r="AY50" s="40">
        <f t="shared" si="42"/>
        <v>0.1481303809310571</v>
      </c>
      <c r="AZ50" s="40">
        <f t="shared" si="43"/>
        <v>5.9196583289200945E-2</v>
      </c>
      <c r="BA50" s="40">
        <f t="shared" si="44"/>
        <v>5.2103480778840215E-2</v>
      </c>
      <c r="BB50" s="40">
        <f t="shared" si="45"/>
        <v>5.3281411001238878E-2</v>
      </c>
      <c r="BC50" s="40">
        <f t="shared" si="46"/>
        <v>9.6521565978660559E-2</v>
      </c>
      <c r="BD50" s="40">
        <f t="shared" si="47"/>
        <v>1.3984397888032645E-2</v>
      </c>
      <c r="BE50" s="40">
        <f t="shared" si="48"/>
        <v>3.3613840990190775E-3</v>
      </c>
      <c r="BF50" s="40">
        <f t="shared" si="49"/>
        <v>8.6358019002918673E-3</v>
      </c>
      <c r="BG50" s="40">
        <f t="shared" si="50"/>
        <v>1.6782733883517514E-2</v>
      </c>
      <c r="BH50" s="40">
        <f t="shared" si="51"/>
        <v>1.465791690594641E-2</v>
      </c>
      <c r="BI50" s="40">
        <f t="shared" si="52"/>
        <v>2.6068548948197934E-2</v>
      </c>
      <c r="BJ50" s="40">
        <f t="shared" si="53"/>
        <v>3.2747363301919984E-2</v>
      </c>
      <c r="BK50" s="40">
        <f t="shared" si="54"/>
        <v>1.9568665029759742E-2</v>
      </c>
      <c r="BL50" s="40">
        <f t="shared" si="55"/>
        <v>1.0314793992736375E-2</v>
      </c>
      <c r="BM50" s="40">
        <f t="shared" si="56"/>
        <v>2.7608964776365069E-2</v>
      </c>
      <c r="BN50" s="40">
        <f t="shared" si="57"/>
        <v>2.5741242046839392E-3</v>
      </c>
      <c r="BO50" s="40">
        <f t="shared" si="58"/>
        <v>1.7964346683826016E-2</v>
      </c>
      <c r="BP50" s="691">
        <f t="shared" si="59"/>
        <v>1.7574051855873452E-2</v>
      </c>
      <c r="BQ50" s="691">
        <f t="shared" si="60"/>
        <v>4.3586281161757702E-2</v>
      </c>
      <c r="BR50" s="691">
        <f t="shared" si="61"/>
        <v>2.2928377410033791E-2</v>
      </c>
      <c r="BS50" s="691">
        <f t="shared" si="62"/>
        <v>1.115626739459788E-2</v>
      </c>
      <c r="BT50" s="40"/>
      <c r="BU50" s="3"/>
      <c r="BV50" s="13" t="s">
        <v>41</v>
      </c>
      <c r="BW50" s="40">
        <f t="shared" si="63"/>
        <v>0.1481303809310571</v>
      </c>
      <c r="BX50" s="40">
        <f t="shared" si="64"/>
        <v>0.21609577665270444</v>
      </c>
      <c r="BY50" s="40">
        <f t="shared" si="65"/>
        <v>0.27945859957675739</v>
      </c>
      <c r="BZ50" s="40">
        <f t="shared" si="66"/>
        <v>0.34762995907987609</v>
      </c>
      <c r="CA50" s="40">
        <f t="shared" si="67"/>
        <v>0.47770531309002401</v>
      </c>
      <c r="CB50" s="40">
        <f t="shared" si="68"/>
        <v>0.49837013214953474</v>
      </c>
      <c r="CC50" s="40">
        <f t="shared" si="69"/>
        <v>0.50340672968618727</v>
      </c>
      <c r="CD50" s="40">
        <f t="shared" si="70"/>
        <v>0.51638985237932289</v>
      </c>
      <c r="CE50" s="40">
        <f t="shared" si="71"/>
        <v>0.54183901973547144</v>
      </c>
      <c r="CF50" s="40">
        <f t="shared" si="72"/>
        <v>0.56443916796909988</v>
      </c>
      <c r="CG50" s="40">
        <f t="shared" si="73"/>
        <v>0.60522182699578042</v>
      </c>
      <c r="CH50" s="40">
        <f t="shared" si="74"/>
        <v>0.65778860934458294</v>
      </c>
      <c r="CI50" s="40">
        <f t="shared" si="75"/>
        <v>0.69022931933099829</v>
      </c>
      <c r="CJ50" s="40">
        <f t="shared" si="76"/>
        <v>0.70766368656038059</v>
      </c>
      <c r="CK50" s="40">
        <f t="shared" si="77"/>
        <v>0.7548105131325038</v>
      </c>
      <c r="CL50" s="113">
        <f t="shared" si="78"/>
        <v>0.75932761334899213</v>
      </c>
      <c r="CM50" s="113">
        <f t="shared" si="79"/>
        <v>0.79093278452562155</v>
      </c>
      <c r="CN50" s="691">
        <f t="shared" si="80"/>
        <v>0.82240673015125865</v>
      </c>
      <c r="CO50" s="691">
        <f t="shared" si="81"/>
        <v>0.90183866228271092</v>
      </c>
      <c r="CP50" s="691">
        <f t="shared" si="82"/>
        <v>0.94544473690452269</v>
      </c>
      <c r="CQ50" s="691">
        <f t="shared" si="83"/>
        <v>0.96714863859084277</v>
      </c>
    </row>
    <row r="51" spans="1:95" ht="14">
      <c r="A51" s="13" t="s">
        <v>42</v>
      </c>
      <c r="B51" s="319">
        <v>98502726</v>
      </c>
      <c r="C51" s="319">
        <v>115764294</v>
      </c>
      <c r="D51" s="319">
        <v>116422113</v>
      </c>
      <c r="E51" s="319">
        <v>121886220</v>
      </c>
      <c r="F51" s="319">
        <v>127126649</v>
      </c>
      <c r="G51" s="319">
        <v>137419754</v>
      </c>
      <c r="H51" s="319">
        <v>137493144</v>
      </c>
      <c r="I51" s="319">
        <v>138326876</v>
      </c>
      <c r="J51" s="319">
        <v>137529691.41262296</v>
      </c>
      <c r="K51" s="319">
        <v>146949033.05967233</v>
      </c>
      <c r="L51" s="319">
        <v>148849971.9642624</v>
      </c>
      <c r="M51" s="319">
        <v>158307073.75439647</v>
      </c>
      <c r="N51" s="319">
        <v>159196654.13802946</v>
      </c>
      <c r="O51" s="319">
        <v>158225532.70717847</v>
      </c>
      <c r="P51" s="319">
        <v>160849913</v>
      </c>
      <c r="Q51" s="319">
        <v>166379851</v>
      </c>
      <c r="R51" s="319">
        <v>169175698</v>
      </c>
      <c r="S51" s="319">
        <v>170843413</v>
      </c>
      <c r="T51" s="340">
        <v>172994026</v>
      </c>
      <c r="U51" s="340">
        <v>176252127</v>
      </c>
      <c r="V51" s="666">
        <v>178355676</v>
      </c>
      <c r="W51" s="667">
        <v>183140976</v>
      </c>
      <c r="X51" s="290"/>
      <c r="Y51" s="13" t="s">
        <v>42</v>
      </c>
      <c r="Z51" s="319">
        <f>B51/'Population &amp; Income'!B50</f>
        <v>6681.7749287749284</v>
      </c>
      <c r="AA51" s="319">
        <f>C51/'Population &amp; Income'!C50</f>
        <v>7859.0830957230146</v>
      </c>
      <c r="AB51" s="319">
        <f>D51/'Population &amp; Income'!D50</f>
        <v>7927.4215579463435</v>
      </c>
      <c r="AC51" s="319">
        <f>E51/'Population &amp; Income'!E50</f>
        <v>8305.7049403747878</v>
      </c>
      <c r="AD51" s="319">
        <f>F51/'Population &amp; Income'!F50</f>
        <v>8755.8818789172801</v>
      </c>
      <c r="AE51" s="319">
        <f>G51/'Population &amp; Income'!G50</f>
        <v>9414.891340093176</v>
      </c>
      <c r="AF51" s="319">
        <f>H51/'Population &amp; Income'!H50</f>
        <v>9445.8054410552359</v>
      </c>
      <c r="AG51" s="319">
        <f>I51/'Population &amp; Income'!I50</f>
        <v>9481.5872232503934</v>
      </c>
      <c r="AH51" s="319">
        <f>J51/'Population &amp; Income'!J50</f>
        <v>9417.2618058492844</v>
      </c>
      <c r="AI51" s="319">
        <f>K51/'Population &amp; Income'!K50</f>
        <v>10048.484208128579</v>
      </c>
      <c r="AJ51" s="319">
        <f>L51/'Population &amp; Income'!L50</f>
        <v>10114.151794812964</v>
      </c>
      <c r="AK51" s="319">
        <f>M51/'Population &amp; Income'!M50</f>
        <v>10658.973455049587</v>
      </c>
      <c r="AL51" s="319">
        <f>N51/'Population &amp; Income'!N50</f>
        <v>10663.584576195957</v>
      </c>
      <c r="AM51" s="319">
        <f>O51/'Population &amp; Income'!O50</f>
        <v>10471.577280422136</v>
      </c>
      <c r="AN51" s="319">
        <f>P51/'Population &amp; Income'!P50</f>
        <v>10620.661142291185</v>
      </c>
      <c r="AO51" s="319">
        <f>Q51/'Population &amp; Income'!Q50</f>
        <v>11005.414142082285</v>
      </c>
      <c r="AP51" s="319">
        <f>R51/'Population &amp; Income'!R50</f>
        <v>11250.628316818515</v>
      </c>
      <c r="AQ51" s="319">
        <f>S51/'Population &amp; Income'!S50</f>
        <v>11488.360769282495</v>
      </c>
      <c r="AR51" s="319">
        <f>T51/'Population &amp; Income'!T50</f>
        <v>11477.079944271214</v>
      </c>
      <c r="AS51" s="319">
        <f>U51/'Population &amp; Income'!U50</f>
        <v>11742.313590939373</v>
      </c>
      <c r="AT51" s="319">
        <f>V51/'Population &amp; Income'!V50</f>
        <v>11706.969215621923</v>
      </c>
      <c r="AU51" s="319">
        <f>W51/'Population &amp; Income'!W50</f>
        <v>12070.188888156594</v>
      </c>
      <c r="AV51" s="690"/>
      <c r="AW51" s="690"/>
      <c r="AX51" s="13" t="s">
        <v>42</v>
      </c>
      <c r="AY51" s="40">
        <f t="shared" si="42"/>
        <v>0.1752394954023912</v>
      </c>
      <c r="AZ51" s="40">
        <f t="shared" si="43"/>
        <v>5.6823997907334018E-3</v>
      </c>
      <c r="BA51" s="40">
        <f t="shared" si="44"/>
        <v>4.6933583828700998E-2</v>
      </c>
      <c r="BB51" s="40">
        <f t="shared" si="45"/>
        <v>4.2994433661163664E-2</v>
      </c>
      <c r="BC51" s="40">
        <f t="shared" si="46"/>
        <v>8.0967327314668699E-2</v>
      </c>
      <c r="BD51" s="40">
        <f t="shared" si="47"/>
        <v>5.3405713417300983E-4</v>
      </c>
      <c r="BE51" s="40">
        <f t="shared" si="48"/>
        <v>6.0638078070278179E-3</v>
      </c>
      <c r="BF51" s="40">
        <f t="shared" si="49"/>
        <v>-5.7630491660712524E-3</v>
      </c>
      <c r="BG51" s="40">
        <f t="shared" si="50"/>
        <v>6.8489513430151028E-2</v>
      </c>
      <c r="BH51" s="40">
        <f t="shared" si="51"/>
        <v>1.2936042279489832E-2</v>
      </c>
      <c r="BI51" s="40">
        <f t="shared" si="52"/>
        <v>6.3534454627943368E-2</v>
      </c>
      <c r="BJ51" s="40">
        <f t="shared" si="53"/>
        <v>5.6193343893976341E-3</v>
      </c>
      <c r="BK51" s="40">
        <f t="shared" si="54"/>
        <v>-6.1001371926383829E-3</v>
      </c>
      <c r="BL51" s="40">
        <f t="shared" si="55"/>
        <v>1.6586326163163311E-2</v>
      </c>
      <c r="BM51" s="40">
        <f t="shared" si="56"/>
        <v>3.4379490152413074E-2</v>
      </c>
      <c r="BN51" s="40">
        <f t="shared" si="57"/>
        <v>1.6803999902608398E-2</v>
      </c>
      <c r="BO51" s="40">
        <f t="shared" si="58"/>
        <v>9.8578875081691691E-3</v>
      </c>
      <c r="BP51" s="691">
        <f t="shared" si="59"/>
        <v>1.2588211405025021E-2</v>
      </c>
      <c r="BQ51" s="691">
        <f t="shared" si="60"/>
        <v>1.8833604115323612E-2</v>
      </c>
      <c r="BR51" s="691">
        <f t="shared" si="61"/>
        <v>1.1934885756017003E-2</v>
      </c>
      <c r="BS51" s="691">
        <f t="shared" si="62"/>
        <v>2.6830096508955511E-2</v>
      </c>
      <c r="BT51" s="40"/>
      <c r="BU51" s="3"/>
      <c r="BV51" s="13" t="s">
        <v>42</v>
      </c>
      <c r="BW51" s="40">
        <f t="shared" si="63"/>
        <v>0.1752394954023912</v>
      </c>
      <c r="BX51" s="40">
        <f t="shared" si="64"/>
        <v>0.18191767606512738</v>
      </c>
      <c r="BY51" s="40">
        <f t="shared" si="65"/>
        <v>0.23738930839335351</v>
      </c>
      <c r="BZ51" s="40">
        <f t="shared" si="66"/>
        <v>0.29059016092610473</v>
      </c>
      <c r="CA51" s="40">
        <f t="shared" si="67"/>
        <v>0.39508579691489959</v>
      </c>
      <c r="CB51" s="40">
        <f t="shared" si="68"/>
        <v>0.39583085243752542</v>
      </c>
      <c r="CC51" s="40">
        <f t="shared" si="69"/>
        <v>0.4042949024578264</v>
      </c>
      <c r="CD51" s="40">
        <f t="shared" si="70"/>
        <v>0.39620188189129874</v>
      </c>
      <c r="CE51" s="40">
        <f t="shared" si="71"/>
        <v>0.49182706943229498</v>
      </c>
      <c r="CF51" s="40">
        <f t="shared" si="72"/>
        <v>0.51112540747615853</v>
      </c>
      <c r="CG51" s="40">
        <f t="shared" si="73"/>
        <v>0.60713393611458499</v>
      </c>
      <c r="CH51" s="40">
        <f t="shared" si="74"/>
        <v>0.61616495911016167</v>
      </c>
      <c r="CI51" s="40">
        <f t="shared" si="75"/>
        <v>0.60630613113365484</v>
      </c>
      <c r="CJ51" s="40">
        <f t="shared" si="76"/>
        <v>0.63294884854252664</v>
      </c>
      <c r="CK51" s="40">
        <f t="shared" si="77"/>
        <v>0.68908879740038864</v>
      </c>
      <c r="CL51" s="113">
        <f t="shared" si="78"/>
        <v>0.71747224538740173</v>
      </c>
      <c r="CM51" s="113">
        <f t="shared" si="79"/>
        <v>0.73440289358083344</v>
      </c>
      <c r="CN51" s="691">
        <f t="shared" si="80"/>
        <v>0.75623592386671612</v>
      </c>
      <c r="CO51" s="691">
        <f t="shared" si="81"/>
        <v>0.78931217598993153</v>
      </c>
      <c r="CP51" s="691">
        <f t="shared" si="82"/>
        <v>0.81066741239222151</v>
      </c>
      <c r="CQ51" s="691">
        <f t="shared" si="83"/>
        <v>0.85924779381232552</v>
      </c>
    </row>
    <row r="52" spans="1:95" ht="14">
      <c r="A52" s="13" t="s">
        <v>43</v>
      </c>
      <c r="B52" s="319">
        <v>108893181</v>
      </c>
      <c r="C52" s="319">
        <v>114480608</v>
      </c>
      <c r="D52" s="319">
        <v>114163068</v>
      </c>
      <c r="E52" s="319">
        <v>123694595</v>
      </c>
      <c r="F52" s="319">
        <v>129394428</v>
      </c>
      <c r="G52" s="319">
        <v>137266623</v>
      </c>
      <c r="H52" s="319">
        <v>139701484</v>
      </c>
      <c r="I52" s="319">
        <v>142589573</v>
      </c>
      <c r="J52" s="319">
        <v>145598939.10593989</v>
      </c>
      <c r="K52" s="319">
        <v>154830827.06353888</v>
      </c>
      <c r="L52" s="319">
        <v>158626097.69168267</v>
      </c>
      <c r="M52" s="319">
        <v>174401041.65322196</v>
      </c>
      <c r="N52" s="319">
        <v>177985764.86391228</v>
      </c>
      <c r="O52" s="319">
        <v>179083698.73597491</v>
      </c>
      <c r="P52" s="319">
        <v>183408093</v>
      </c>
      <c r="Q52" s="319">
        <v>186425451</v>
      </c>
      <c r="R52" s="319">
        <v>190462049</v>
      </c>
      <c r="S52" s="319">
        <v>199629705</v>
      </c>
      <c r="T52" s="340">
        <v>204624453</v>
      </c>
      <c r="U52" s="340">
        <v>214949666</v>
      </c>
      <c r="V52" s="666">
        <v>220443274</v>
      </c>
      <c r="W52" s="667">
        <v>228447315</v>
      </c>
      <c r="X52" s="290"/>
      <c r="Y52" s="13" t="s">
        <v>43</v>
      </c>
      <c r="Z52" s="319">
        <f>B52/'Population &amp; Income'!B51</f>
        <v>7066.8557985592834</v>
      </c>
      <c r="AA52" s="319">
        <f>C52/'Population &amp; Income'!C51</f>
        <v>7370.1543809953</v>
      </c>
      <c r="AB52" s="319">
        <f>D52/'Population &amp; Income'!D51</f>
        <v>7315.8005767382247</v>
      </c>
      <c r="AC52" s="319">
        <f>E52/'Population &amp; Income'!E51</f>
        <v>7851.1326562995873</v>
      </c>
      <c r="AD52" s="319">
        <f>F52/'Population &amp; Income'!F51</f>
        <v>8223.8736494216355</v>
      </c>
      <c r="AE52" s="319">
        <f>G52/'Population &amp; Income'!G51</f>
        <v>8791.8159866777678</v>
      </c>
      <c r="AF52" s="319">
        <f>H52/'Population &amp; Income'!H51</f>
        <v>9047.437601191632</v>
      </c>
      <c r="AG52" s="319">
        <f>I52/'Population &amp; Income'!I51</f>
        <v>9159.1452338129493</v>
      </c>
      <c r="AH52" s="319">
        <f>J52/'Population &amp; Income'!J51</f>
        <v>9395.2983871678316</v>
      </c>
      <c r="AI52" s="319">
        <f>K52/'Population &amp; Income'!K51</f>
        <v>9928.2351435420896</v>
      </c>
      <c r="AJ52" s="319">
        <f>L52/'Population &amp; Income'!L51</f>
        <v>10193.169110119694</v>
      </c>
      <c r="AK52" s="319">
        <f>M52/'Population &amp; Income'!M51</f>
        <v>11227.775809774155</v>
      </c>
      <c r="AL52" s="319">
        <f>N52/'Population &amp; Income'!N51</f>
        <v>11474.069421345557</v>
      </c>
      <c r="AM52" s="319">
        <f>O52/'Population &amp; Income'!O51</f>
        <v>11547.082257784185</v>
      </c>
      <c r="AN52" s="319">
        <f>P52/'Population &amp; Income'!P51</f>
        <v>7945.5916908547415</v>
      </c>
      <c r="AO52" s="319">
        <f>Q52/'Population &amp; Income'!Q51</f>
        <v>8151.171833326046</v>
      </c>
      <c r="AP52" s="319">
        <f>R52/'Population &amp; Income'!R51</f>
        <v>8325.8458209477176</v>
      </c>
      <c r="AQ52" s="319">
        <f>S52/'Population &amp; Income'!S51</f>
        <v>12842.878602676274</v>
      </c>
      <c r="AR52" s="319">
        <f>T52/'Population &amp; Income'!T51</f>
        <v>13233.166461876737</v>
      </c>
      <c r="AS52" s="319">
        <f>U52/'Population &amp; Income'!U51</f>
        <v>14029.741270152079</v>
      </c>
      <c r="AT52" s="319">
        <f>V52/'Population &amp; Income'!V51</f>
        <v>14531.52762030323</v>
      </c>
      <c r="AU52" s="319">
        <f>W52/'Population &amp; Income'!W51</f>
        <v>14979.16956265163</v>
      </c>
      <c r="AV52" s="690"/>
      <c r="AW52" s="690"/>
      <c r="AX52" s="13" t="s">
        <v>43</v>
      </c>
      <c r="AY52" s="40">
        <f t="shared" si="42"/>
        <v>5.1311082555297927E-2</v>
      </c>
      <c r="AZ52" s="40">
        <f t="shared" si="43"/>
        <v>-2.7737448773856965E-3</v>
      </c>
      <c r="BA52" s="40">
        <f t="shared" si="44"/>
        <v>8.349045945401537E-2</v>
      </c>
      <c r="BB52" s="40">
        <f t="shared" si="45"/>
        <v>4.6079887322481632E-2</v>
      </c>
      <c r="BC52" s="40">
        <f t="shared" si="46"/>
        <v>6.0838748017804908E-2</v>
      </c>
      <c r="BD52" s="40">
        <f t="shared" si="47"/>
        <v>1.7738186798694683E-2</v>
      </c>
      <c r="BE52" s="40">
        <f t="shared" si="48"/>
        <v>2.0673287908666741E-2</v>
      </c>
      <c r="BF52" s="40">
        <f t="shared" si="49"/>
        <v>2.1105092347389911E-2</v>
      </c>
      <c r="BG52" s="40">
        <f t="shared" si="50"/>
        <v>6.3406285885652836E-2</v>
      </c>
      <c r="BH52" s="40">
        <f t="shared" si="51"/>
        <v>2.4512370695961593E-2</v>
      </c>
      <c r="BI52" s="40">
        <f t="shared" si="52"/>
        <v>9.9447343098615706E-2</v>
      </c>
      <c r="BJ52" s="40">
        <f t="shared" si="53"/>
        <v>2.0554482798435129E-2</v>
      </c>
      <c r="BK52" s="40">
        <f t="shared" si="54"/>
        <v>6.1686611449073047E-3</v>
      </c>
      <c r="BL52" s="40">
        <f t="shared" si="55"/>
        <v>2.4147336103441747E-2</v>
      </c>
      <c r="BM52" s="40">
        <f t="shared" si="56"/>
        <v>1.6451607727037434E-2</v>
      </c>
      <c r="BN52" s="40">
        <f t="shared" si="57"/>
        <v>2.1652612228359312E-2</v>
      </c>
      <c r="BO52" s="40">
        <f t="shared" si="58"/>
        <v>4.8133767583273243E-2</v>
      </c>
      <c r="BP52" s="691">
        <f t="shared" si="59"/>
        <v>2.5020064023037053E-2</v>
      </c>
      <c r="BQ52" s="691">
        <f t="shared" si="60"/>
        <v>5.0459330977417442E-2</v>
      </c>
      <c r="BR52" s="691">
        <f t="shared" si="61"/>
        <v>2.5557648458965271E-2</v>
      </c>
      <c r="BS52" s="691">
        <f t="shared" si="62"/>
        <v>3.6308846510780819E-2</v>
      </c>
      <c r="BT52" s="40"/>
      <c r="BU52" s="3"/>
      <c r="BV52" s="13" t="s">
        <v>43</v>
      </c>
      <c r="BW52" s="40">
        <f t="shared" si="63"/>
        <v>5.1311082555297927E-2</v>
      </c>
      <c r="BX52" s="40">
        <f t="shared" si="64"/>
        <v>4.839501382552136E-2</v>
      </c>
      <c r="BY52" s="40">
        <f t="shared" si="65"/>
        <v>0.13592599521911294</v>
      </c>
      <c r="BZ52" s="40">
        <f t="shared" si="66"/>
        <v>0.18826933708548749</v>
      </c>
      <c r="CA52" s="40">
        <f t="shared" si="67"/>
        <v>0.26056215586171555</v>
      </c>
      <c r="CB52" s="40">
        <f t="shared" si="68"/>
        <v>0.28292224285375595</v>
      </c>
      <c r="CC52" s="40">
        <f t="shared" si="69"/>
        <v>0.30944446374470408</v>
      </c>
      <c r="CD52" s="40">
        <f t="shared" si="70"/>
        <v>0.33708041007581452</v>
      </c>
      <c r="CE52" s="40">
        <f t="shared" si="71"/>
        <v>0.42185971280918755</v>
      </c>
      <c r="CF52" s="40">
        <f t="shared" si="72"/>
        <v>0.45671286516721987</v>
      </c>
      <c r="CG52" s="40">
        <f t="shared" si="73"/>
        <v>0.60157908926567183</v>
      </c>
      <c r="CH52" s="40">
        <f t="shared" si="74"/>
        <v>0.6344987191063165</v>
      </c>
      <c r="CI52" s="40">
        <f t="shared" si="75"/>
        <v>0.64458138784626839</v>
      </c>
      <c r="CJ52" s="40">
        <f t="shared" si="76"/>
        <v>0.68429364736805698</v>
      </c>
      <c r="CK52" s="40">
        <f t="shared" si="77"/>
        <v>0.71200298575169729</v>
      </c>
      <c r="CL52" s="113">
        <f t="shared" si="78"/>
        <v>0.74907232253597222</v>
      </c>
      <c r="CM52" s="113">
        <f t="shared" si="79"/>
        <v>0.83326176319525458</v>
      </c>
      <c r="CN52" s="691">
        <f t="shared" si="80"/>
        <v>0.87913008988138563</v>
      </c>
      <c r="CO52" s="691">
        <f t="shared" si="81"/>
        <v>0.9739497370363347</v>
      </c>
      <c r="CP52" s="691">
        <f t="shared" si="82"/>
        <v>1.0243992504911763</v>
      </c>
      <c r="CQ52" s="691">
        <f t="shared" si="83"/>
        <v>1.0979028521538001</v>
      </c>
    </row>
    <row r="53" spans="1:95" ht="14">
      <c r="A53" s="13" t="s">
        <v>44</v>
      </c>
      <c r="B53" s="319">
        <v>61249285</v>
      </c>
      <c r="C53" s="319">
        <v>68184378</v>
      </c>
      <c r="D53" s="319">
        <v>69521108</v>
      </c>
      <c r="E53" s="319">
        <v>71059001</v>
      </c>
      <c r="F53" s="319">
        <v>75140137</v>
      </c>
      <c r="G53" s="319">
        <v>79224937</v>
      </c>
      <c r="H53" s="319">
        <v>81535737</v>
      </c>
      <c r="I53" s="319">
        <v>93660541</v>
      </c>
      <c r="J53" s="319">
        <v>96904603.657534212</v>
      </c>
      <c r="K53" s="319">
        <v>102459832.86037442</v>
      </c>
      <c r="L53" s="319">
        <v>107943912.4655913</v>
      </c>
      <c r="M53" s="319">
        <v>111156725.45359628</v>
      </c>
      <c r="N53" s="319">
        <v>112538743.484552</v>
      </c>
      <c r="O53" s="319">
        <v>111202185.26309052</v>
      </c>
      <c r="P53" s="319">
        <v>111943583</v>
      </c>
      <c r="Q53" s="319">
        <v>114337251</v>
      </c>
      <c r="R53" s="319">
        <v>115591963</v>
      </c>
      <c r="S53" s="319">
        <v>114424564</v>
      </c>
      <c r="T53" s="340">
        <v>114851489</v>
      </c>
      <c r="U53" s="340">
        <v>116546303</v>
      </c>
      <c r="V53" s="666">
        <v>117599488</v>
      </c>
      <c r="W53" s="667">
        <v>120228707</v>
      </c>
      <c r="X53" s="290"/>
      <c r="Y53" s="13" t="s">
        <v>44</v>
      </c>
      <c r="Z53" s="319">
        <f>B53/'Population &amp; Income'!B52</f>
        <v>5332.9808445798872</v>
      </c>
      <c r="AA53" s="319">
        <f>C53/'Population &amp; Income'!C52</f>
        <v>5905.9660459073193</v>
      </c>
      <c r="AB53" s="319">
        <f>D53/'Population &amp; Income'!D52</f>
        <v>5978.2533321867741</v>
      </c>
      <c r="AC53" s="319">
        <f>E53/'Population &amp; Income'!E52</f>
        <v>6043.9738878965727</v>
      </c>
      <c r="AD53" s="319">
        <f>F53/'Population &amp; Income'!F52</f>
        <v>6339.3349363030457</v>
      </c>
      <c r="AE53" s="319">
        <f>G53/'Population &amp; Income'!G52</f>
        <v>6682.8289329396875</v>
      </c>
      <c r="AF53" s="319">
        <f>H53/'Population &amp; Income'!H52</f>
        <v>6865.0111139176561</v>
      </c>
      <c r="AG53" s="319">
        <f>I53/'Population &amp; Income'!I52</f>
        <v>7913.860667511618</v>
      </c>
      <c r="AH53" s="319">
        <f>J53/'Population &amp; Income'!J52</f>
        <v>8118.0031546899736</v>
      </c>
      <c r="AI53" s="319">
        <f>K53/'Population &amp; Income'!K52</f>
        <v>8533.3416224181237</v>
      </c>
      <c r="AJ53" s="319">
        <f>L53/'Population &amp; Income'!L52</f>
        <v>8898.9210606423167</v>
      </c>
      <c r="AK53" s="319">
        <f>M53/'Population &amp; Income'!M52</f>
        <v>9029.7908573189507</v>
      </c>
      <c r="AL53" s="319">
        <f>N53/'Population &amp; Income'!N52</f>
        <v>9078.6337112416913</v>
      </c>
      <c r="AM53" s="319">
        <f>O53/'Population &amp; Income'!O52</f>
        <v>9031.2828119134665</v>
      </c>
      <c r="AN53" s="319">
        <f>P53/'Population &amp; Income'!P52</f>
        <v>7183.2381288501028</v>
      </c>
      <c r="AO53" s="319">
        <f>Q53/'Population &amp; Income'!Q52</f>
        <v>7385.6502163942896</v>
      </c>
      <c r="AP53" s="319">
        <f>R53/'Population &amp; Income'!R52</f>
        <v>7422.5880048802419</v>
      </c>
      <c r="AQ53" s="319">
        <f>S53/'Population &amp; Income'!S52</f>
        <v>9204.7754806532048</v>
      </c>
      <c r="AR53" s="319">
        <f>T53/'Population &amp; Income'!T52</f>
        <v>9302.7287380528105</v>
      </c>
      <c r="AS53" s="319">
        <f>U53/'Population &amp; Income'!U52</f>
        <v>9422.4515320559458</v>
      </c>
      <c r="AT53" s="319">
        <f>V53/'Population &amp; Income'!V52</f>
        <v>9451.0558546974207</v>
      </c>
      <c r="AU53" s="319">
        <f>W53/'Population &amp; Income'!W52</f>
        <v>9820.1998693130772</v>
      </c>
      <c r="AV53" s="690"/>
      <c r="AW53" s="690"/>
      <c r="AX53" s="13" t="s">
        <v>44</v>
      </c>
      <c r="AY53" s="40">
        <f t="shared" si="42"/>
        <v>0.11322732991903497</v>
      </c>
      <c r="AZ53" s="40">
        <f t="shared" si="43"/>
        <v>1.9604637296830662E-2</v>
      </c>
      <c r="BA53" s="40">
        <f t="shared" si="44"/>
        <v>2.2121238343899813E-2</v>
      </c>
      <c r="BB53" s="40">
        <f t="shared" si="45"/>
        <v>5.7433061857990374E-2</v>
      </c>
      <c r="BC53" s="40">
        <f t="shared" si="46"/>
        <v>5.4362424172849193E-2</v>
      </c>
      <c r="BD53" s="40">
        <f t="shared" si="47"/>
        <v>2.9167583938880255E-2</v>
      </c>
      <c r="BE53" s="40">
        <f t="shared" si="48"/>
        <v>0.14870539527961832</v>
      </c>
      <c r="BF53" s="40">
        <f t="shared" si="49"/>
        <v>3.4636386069286228E-2</v>
      </c>
      <c r="BG53" s="40">
        <f t="shared" si="50"/>
        <v>5.7326783178151895E-2</v>
      </c>
      <c r="BH53" s="40">
        <f t="shared" si="51"/>
        <v>5.3524190427776917E-2</v>
      </c>
      <c r="BI53" s="40">
        <f t="shared" si="52"/>
        <v>2.9763725573955954E-2</v>
      </c>
      <c r="BJ53" s="40">
        <f t="shared" si="53"/>
        <v>1.2433058146649498E-2</v>
      </c>
      <c r="BK53" s="40">
        <f t="shared" si="54"/>
        <v>-1.1876427442473995E-2</v>
      </c>
      <c r="BL53" s="40">
        <f t="shared" si="55"/>
        <v>6.6671148157333793E-3</v>
      </c>
      <c r="BM53" s="40">
        <f t="shared" si="56"/>
        <v>2.1382806730422414E-2</v>
      </c>
      <c r="BN53" s="40">
        <f t="shared" si="57"/>
        <v>1.0973781414422847E-2</v>
      </c>
      <c r="BO53" s="40">
        <f t="shared" si="58"/>
        <v>-1.0099309413060146E-2</v>
      </c>
      <c r="BP53" s="691">
        <f t="shared" si="59"/>
        <v>3.7310607537031997E-3</v>
      </c>
      <c r="BQ53" s="691">
        <f t="shared" si="60"/>
        <v>1.4756569677559861E-2</v>
      </c>
      <c r="BR53" s="691">
        <f t="shared" si="61"/>
        <v>9.0366229806534484E-3</v>
      </c>
      <c r="BS53" s="691">
        <f t="shared" si="62"/>
        <v>2.2357401760116507E-2</v>
      </c>
      <c r="BT53" s="40"/>
      <c r="BU53" s="3"/>
      <c r="BV53" s="13" t="s">
        <v>44</v>
      </c>
      <c r="BW53" s="40">
        <f t="shared" si="63"/>
        <v>0.11322732991903497</v>
      </c>
      <c r="BX53" s="40">
        <f t="shared" si="64"/>
        <v>0.1350517479510169</v>
      </c>
      <c r="BY53" s="40">
        <f t="shared" si="65"/>
        <v>0.16016049820010145</v>
      </c>
      <c r="BZ53" s="40">
        <f t="shared" si="66"/>
        <v>0.22679206785842479</v>
      </c>
      <c r="CA53" s="40">
        <f t="shared" si="67"/>
        <v>0.29348345862323127</v>
      </c>
      <c r="CB53" s="40">
        <f t="shared" si="68"/>
        <v>0.33121124597617752</v>
      </c>
      <c r="CC53" s="40">
        <f t="shared" si="69"/>
        <v>0.52916954050973819</v>
      </c>
      <c r="CD53" s="40">
        <f t="shared" si="70"/>
        <v>0.58213444708022655</v>
      </c>
      <c r="CE53" s="40">
        <f t="shared" si="71"/>
        <v>0.67283312548667995</v>
      </c>
      <c r="CF53" s="40">
        <f t="shared" si="72"/>
        <v>0.76237016424912218</v>
      </c>
      <c r="CG53" s="40">
        <f t="shared" si="73"/>
        <v>0.81482486617756078</v>
      </c>
      <c r="CH53" s="40">
        <f t="shared" si="74"/>
        <v>0.83738868926473176</v>
      </c>
      <c r="CI53" s="40">
        <f t="shared" si="75"/>
        <v>0.81556707581305676</v>
      </c>
      <c r="CJ53" s="40">
        <f t="shared" si="76"/>
        <v>0.82767166996316777</v>
      </c>
      <c r="CK53" s="40">
        <f t="shared" si="77"/>
        <v>0.86675242004865849</v>
      </c>
      <c r="CL53" s="113">
        <f t="shared" si="78"/>
        <v>0.88723775306111741</v>
      </c>
      <c r="CM53" s="113">
        <f t="shared" si="79"/>
        <v>0.86817795505694473</v>
      </c>
      <c r="CN53" s="691">
        <f t="shared" si="80"/>
        <v>0.87514824050599116</v>
      </c>
      <c r="CO53" s="691">
        <f t="shared" si="81"/>
        <v>0.90281899617277162</v>
      </c>
      <c r="CP53" s="691">
        <f t="shared" si="82"/>
        <v>0.92001405404161041</v>
      </c>
      <c r="CQ53" s="691">
        <f t="shared" si="83"/>
        <v>0.96294057963288882</v>
      </c>
    </row>
    <row r="54" spans="1:95" ht="14">
      <c r="A54" s="13" t="s">
        <v>45</v>
      </c>
      <c r="B54" s="319">
        <v>60420841</v>
      </c>
      <c r="C54" s="319">
        <v>68270079</v>
      </c>
      <c r="D54" s="319">
        <v>69947720</v>
      </c>
      <c r="E54" s="319">
        <v>72659802</v>
      </c>
      <c r="F54" s="319">
        <v>77347943</v>
      </c>
      <c r="G54" s="319">
        <v>81404960</v>
      </c>
      <c r="H54" s="319">
        <v>83392868</v>
      </c>
      <c r="I54" s="319">
        <v>87173831</v>
      </c>
      <c r="J54" s="319">
        <v>87799548.074952304</v>
      </c>
      <c r="K54" s="319">
        <v>100152390.82488388</v>
      </c>
      <c r="L54" s="319">
        <v>103651164.52164465</v>
      </c>
      <c r="M54" s="319">
        <v>109515615.5816429</v>
      </c>
      <c r="N54" s="319">
        <v>107670767.62236351</v>
      </c>
      <c r="O54" s="319">
        <v>108321188.47528455</v>
      </c>
      <c r="P54" s="319">
        <v>109203945</v>
      </c>
      <c r="Q54" s="319">
        <v>111794314</v>
      </c>
      <c r="R54" s="319">
        <v>114465024</v>
      </c>
      <c r="S54" s="319">
        <v>118668496</v>
      </c>
      <c r="T54" s="340">
        <v>120510832</v>
      </c>
      <c r="U54" s="340">
        <v>127319412</v>
      </c>
      <c r="V54" s="666">
        <v>132790650</v>
      </c>
      <c r="W54" s="667">
        <v>135162717</v>
      </c>
      <c r="X54" s="290"/>
      <c r="Y54" s="13" t="s">
        <v>45</v>
      </c>
      <c r="Z54" s="319">
        <f>B54/'Population &amp; Income'!B53</f>
        <v>7149.5492841083897</v>
      </c>
      <c r="AA54" s="319">
        <f>C54/'Population &amp; Income'!C53</f>
        <v>7968.9598459203926</v>
      </c>
      <c r="AB54" s="319">
        <f>D54/'Population &amp; Income'!D53</f>
        <v>8044.5911443358254</v>
      </c>
      <c r="AC54" s="319">
        <f>E54/'Population &amp; Income'!E53</f>
        <v>8279.3757976299003</v>
      </c>
      <c r="AD54" s="319">
        <f>F54/'Population &amp; Income'!F53</f>
        <v>8673.2387306570981</v>
      </c>
      <c r="AE54" s="319">
        <f>G54/'Population &amp; Income'!G53</f>
        <v>9227.4948991158471</v>
      </c>
      <c r="AF54" s="319">
        <f>H54/'Population &amp; Income'!H53</f>
        <v>9450.6876699909335</v>
      </c>
      <c r="AG54" s="319">
        <f>I54/'Population &amp; Income'!I53</f>
        <v>9850.1503954802265</v>
      </c>
      <c r="AH54" s="319">
        <f>J54/'Population &amp; Income'!J53</f>
        <v>9672.7495951252949</v>
      </c>
      <c r="AI54" s="319">
        <f>K54/'Population &amp; Income'!K53</f>
        <v>10921.743819507512</v>
      </c>
      <c r="AJ54" s="319">
        <f>L54/'Population &amp; Income'!L53</f>
        <v>11223.731946036238</v>
      </c>
      <c r="AK54" s="319">
        <f>M54/'Population &amp; Income'!M53</f>
        <v>11799.98012947343</v>
      </c>
      <c r="AL54" s="319">
        <f>N54/'Population &amp; Income'!N53</f>
        <v>11714.804441558428</v>
      </c>
      <c r="AM54" s="319">
        <f>O54/'Population &amp; Income'!O53</f>
        <v>11874.719192642462</v>
      </c>
      <c r="AN54" s="319">
        <f>P54/'Population &amp; Income'!P53</f>
        <v>8958.4860541427406</v>
      </c>
      <c r="AO54" s="319">
        <f>Q54/'Population &amp; Income'!Q53</f>
        <v>9072.7409511442947</v>
      </c>
      <c r="AP54" s="319">
        <f>R54/'Population &amp; Income'!R53</f>
        <v>9195.4550128534702</v>
      </c>
      <c r="AQ54" s="319">
        <f>S54/'Population &amp; Income'!S53</f>
        <v>13159.07030383677</v>
      </c>
      <c r="AR54" s="319">
        <f>T54/'Population &amp; Income'!T53</f>
        <v>13393.068681929317</v>
      </c>
      <c r="AS54" s="319">
        <f>U54/'Population &amp; Income'!U53</f>
        <v>14212.928332217012</v>
      </c>
      <c r="AT54" s="319">
        <f>V54/'Population &amp; Income'!V53</f>
        <v>14991.041995935877</v>
      </c>
      <c r="AU54" s="319">
        <f>W54/'Population &amp; Income'!W53</f>
        <v>15243.342393143115</v>
      </c>
      <c r="AV54" s="690"/>
      <c r="AW54" s="690"/>
      <c r="AX54" s="13" t="s">
        <v>45</v>
      </c>
      <c r="AY54" s="40">
        <f t="shared" si="42"/>
        <v>0.12990944631174531</v>
      </c>
      <c r="AZ54" s="40">
        <f t="shared" si="43"/>
        <v>2.4573591016351395E-2</v>
      </c>
      <c r="BA54" s="40">
        <f t="shared" si="44"/>
        <v>3.8772986453311127E-2</v>
      </c>
      <c r="BB54" s="40">
        <f t="shared" si="45"/>
        <v>6.4521797072884954E-2</v>
      </c>
      <c r="BC54" s="40">
        <f t="shared" si="46"/>
        <v>5.2451517682894293E-2</v>
      </c>
      <c r="BD54" s="40">
        <f t="shared" si="47"/>
        <v>2.4419986202314944E-2</v>
      </c>
      <c r="BE54" s="40">
        <f t="shared" si="48"/>
        <v>4.5339164975115136E-2</v>
      </c>
      <c r="BF54" s="40">
        <f t="shared" si="49"/>
        <v>7.1778086126822209E-3</v>
      </c>
      <c r="BG54" s="40">
        <f t="shared" si="50"/>
        <v>0.14069369399699252</v>
      </c>
      <c r="BH54" s="40">
        <f t="shared" si="51"/>
        <v>3.4934499994896458E-2</v>
      </c>
      <c r="BI54" s="40">
        <f t="shared" si="52"/>
        <v>5.6578728150937632E-2</v>
      </c>
      <c r="BJ54" s="40">
        <f t="shared" si="53"/>
        <v>-1.6845524261369565E-2</v>
      </c>
      <c r="BK54" s="40">
        <f t="shared" si="54"/>
        <v>6.0408304620087495E-3</v>
      </c>
      <c r="BL54" s="40">
        <f t="shared" si="55"/>
        <v>8.1494353703188034E-3</v>
      </c>
      <c r="BM54" s="40">
        <f t="shared" si="56"/>
        <v>2.3720470904233359E-2</v>
      </c>
      <c r="BN54" s="40">
        <f t="shared" si="57"/>
        <v>2.3889497635809994E-2</v>
      </c>
      <c r="BO54" s="40">
        <f t="shared" si="58"/>
        <v>3.6722763453052698E-2</v>
      </c>
      <c r="BP54" s="691">
        <f t="shared" si="59"/>
        <v>1.5525064040585802E-2</v>
      </c>
      <c r="BQ54" s="691">
        <f t="shared" si="60"/>
        <v>5.6497659895004292E-2</v>
      </c>
      <c r="BR54" s="691">
        <f t="shared" si="61"/>
        <v>4.2972535876932894E-2</v>
      </c>
      <c r="BS54" s="691">
        <f t="shared" si="62"/>
        <v>1.7863207989417929E-2</v>
      </c>
      <c r="BT54" s="40"/>
      <c r="BU54" s="3"/>
      <c r="BV54" s="13" t="s">
        <v>45</v>
      </c>
      <c r="BW54" s="40">
        <f t="shared" si="63"/>
        <v>0.12990944631174531</v>
      </c>
      <c r="BX54" s="40">
        <f t="shared" si="64"/>
        <v>0.15767537893092221</v>
      </c>
      <c r="BY54" s="40">
        <f t="shared" si="65"/>
        <v>0.20256191071554266</v>
      </c>
      <c r="BZ54" s="40">
        <f t="shared" si="66"/>
        <v>0.28015336628631171</v>
      </c>
      <c r="CA54" s="40">
        <f t="shared" si="67"/>
        <v>0.34729935321489486</v>
      </c>
      <c r="CB54" s="40">
        <f t="shared" si="68"/>
        <v>0.38020038483079044</v>
      </c>
      <c r="CC54" s="40">
        <f t="shared" si="69"/>
        <v>0.44277751777735103</v>
      </c>
      <c r="CD54" s="40">
        <f t="shared" si="70"/>
        <v>0.45313349867063757</v>
      </c>
      <c r="CE54" s="40">
        <f t="shared" si="71"/>
        <v>0.65758021846938342</v>
      </c>
      <c r="CF54" s="40">
        <f t="shared" si="72"/>
        <v>0.71548695460304257</v>
      </c>
      <c r="CG54" s="40">
        <f t="shared" si="73"/>
        <v>0.81254702465400797</v>
      </c>
      <c r="CH54" s="40">
        <f t="shared" si="74"/>
        <v>0.78201371977532563</v>
      </c>
      <c r="CI54" s="40">
        <f t="shared" si="75"/>
        <v>0.79277856253746193</v>
      </c>
      <c r="CJ54" s="40">
        <f t="shared" si="76"/>
        <v>0.80738869556615411</v>
      </c>
      <c r="CK54" s="40">
        <f t="shared" si="77"/>
        <v>0.85026080653197134</v>
      </c>
      <c r="CL54" s="113">
        <f t="shared" si="78"/>
        <v>0.89446260769524877</v>
      </c>
      <c r="CM54" s="113">
        <f t="shared" si="79"/>
        <v>0.9640325099082947</v>
      </c>
      <c r="CN54" s="691">
        <f t="shared" si="80"/>
        <v>0.9945242404024135</v>
      </c>
      <c r="CO54" s="691">
        <f t="shared" si="81"/>
        <v>1.1072101925890108</v>
      </c>
      <c r="CP54" s="691">
        <f t="shared" si="82"/>
        <v>1.1977623581902808</v>
      </c>
      <c r="CQ54" s="691">
        <f t="shared" si="83"/>
        <v>1.2370214443059473</v>
      </c>
    </row>
    <row r="55" spans="1:95" ht="14">
      <c r="A55" s="13" t="s">
        <v>46</v>
      </c>
      <c r="B55" s="319">
        <v>192581584</v>
      </c>
      <c r="C55" s="319">
        <v>207067318</v>
      </c>
      <c r="D55" s="319">
        <v>222347712</v>
      </c>
      <c r="E55" s="319">
        <v>239659488</v>
      </c>
      <c r="F55" s="319">
        <v>251258328</v>
      </c>
      <c r="G55" s="319">
        <v>269248973</v>
      </c>
      <c r="H55" s="319">
        <v>276672214</v>
      </c>
      <c r="I55" s="319">
        <v>296436400</v>
      </c>
      <c r="J55" s="319">
        <v>299958779.64472848</v>
      </c>
      <c r="K55" s="319">
        <v>309979465.86218792</v>
      </c>
      <c r="L55" s="319">
        <v>311989238.82381141</v>
      </c>
      <c r="M55" s="319">
        <v>339208263.46477658</v>
      </c>
      <c r="N55" s="319">
        <v>337987166.49378079</v>
      </c>
      <c r="O55" s="319">
        <v>342992614.91180664</v>
      </c>
      <c r="P55" s="319">
        <v>348643322</v>
      </c>
      <c r="Q55" s="319">
        <v>369815755</v>
      </c>
      <c r="R55" s="319">
        <v>377087244</v>
      </c>
      <c r="S55" s="319">
        <v>380867928</v>
      </c>
      <c r="T55" s="340">
        <v>386873256</v>
      </c>
      <c r="U55" s="340">
        <v>422450289</v>
      </c>
      <c r="V55" s="666">
        <v>445815361</v>
      </c>
      <c r="W55" s="667">
        <v>454213070</v>
      </c>
      <c r="X55" s="290"/>
      <c r="Y55" s="13" t="s">
        <v>46</v>
      </c>
      <c r="Z55" s="319">
        <f>B55/'Population &amp; Income'!B54</f>
        <v>6815.1172765234624</v>
      </c>
      <c r="AA55" s="319">
        <f>C55/'Population &amp; Income'!C54</f>
        <v>7315.0569823718515</v>
      </c>
      <c r="AB55" s="319">
        <f>D55/'Population &amp; Income'!D54</f>
        <v>7818.1333333333332</v>
      </c>
      <c r="AC55" s="319">
        <f>E55/'Population &amp; Income'!E54</f>
        <v>8465.8408280052281</v>
      </c>
      <c r="AD55" s="319">
        <f>F55/'Population &amp; Income'!F54</f>
        <v>8883.0945023864242</v>
      </c>
      <c r="AE55" s="319">
        <f>G55/'Population &amp; Income'!G54</f>
        <v>9576.7018673306065</v>
      </c>
      <c r="AF55" s="319">
        <f>H55/'Population &amp; Income'!H54</f>
        <v>9857.5627605372865</v>
      </c>
      <c r="AG55" s="319">
        <f>I55/'Population &amp; Income'!I54</f>
        <v>10481.451099639347</v>
      </c>
      <c r="AH55" s="319">
        <f>J55/'Population &amp; Income'!J54</f>
        <v>10639.47716258392</v>
      </c>
      <c r="AI55" s="319">
        <f>K55/'Population &amp; Income'!K54</f>
        <v>10949.855730057152</v>
      </c>
      <c r="AJ55" s="319">
        <f>L55/'Population &amp; Income'!L54</f>
        <v>10959.296010391015</v>
      </c>
      <c r="AK55" s="319">
        <f>M55/'Population &amp; Income'!M54</f>
        <v>11958.690762022794</v>
      </c>
      <c r="AL55" s="319">
        <f>N55/'Population &amp; Income'!N54</f>
        <v>11838.429649519467</v>
      </c>
      <c r="AM55" s="319">
        <f>O55/'Population &amp; Income'!O54</f>
        <v>11942.639794979339</v>
      </c>
      <c r="AN55" s="319">
        <f>P55/'Population &amp; Income'!P54</f>
        <v>37957.901143168208</v>
      </c>
      <c r="AO55" s="319">
        <f>Q55/'Population &amp; Income'!Q54</f>
        <v>40254.24567323392</v>
      </c>
      <c r="AP55" s="319">
        <f>R55/'Population &amp; Income'!R54</f>
        <v>41833.508320390501</v>
      </c>
      <c r="AQ55" s="319">
        <f>S55/'Population &amp; Income'!S54</f>
        <v>13176.997232216994</v>
      </c>
      <c r="AR55" s="319">
        <f>T55/'Population &amp; Income'!T54</f>
        <v>13400.528437824732</v>
      </c>
      <c r="AS55" s="319">
        <f>U55/'Population &amp; Income'!U54</f>
        <v>14636.902813387846</v>
      </c>
      <c r="AT55" s="319">
        <f>V55/'Population &amp; Income'!V54</f>
        <v>15429.340382086246</v>
      </c>
      <c r="AU55" s="319">
        <f>W55/'Population &amp; Income'!W54</f>
        <v>15862.718097366767</v>
      </c>
      <c r="AV55" s="690"/>
      <c r="AW55" s="690"/>
      <c r="AX55" s="13" t="s">
        <v>46</v>
      </c>
      <c r="AY55" s="40">
        <f t="shared" si="42"/>
        <v>7.5218687577104981E-2</v>
      </c>
      <c r="AZ55" s="40">
        <f t="shared" si="43"/>
        <v>7.3794330015903326E-2</v>
      </c>
      <c r="BA55" s="40">
        <f t="shared" si="44"/>
        <v>7.7859024697317328E-2</v>
      </c>
      <c r="BB55" s="40">
        <f t="shared" si="45"/>
        <v>4.8397165898977468E-2</v>
      </c>
      <c r="BC55" s="40">
        <f t="shared" si="46"/>
        <v>7.1602183868707425E-2</v>
      </c>
      <c r="BD55" s="40">
        <f t="shared" si="47"/>
        <v>2.7570173870263937E-2</v>
      </c>
      <c r="BE55" s="40">
        <f t="shared" si="48"/>
        <v>7.1435384544976388E-2</v>
      </c>
      <c r="BF55" s="40">
        <f t="shared" si="49"/>
        <v>1.1882412702112433E-2</v>
      </c>
      <c r="BG55" s="40">
        <f t="shared" si="50"/>
        <v>3.340687753606663E-2</v>
      </c>
      <c r="BH55" s="40">
        <f t="shared" si="51"/>
        <v>6.4835680519463954E-3</v>
      </c>
      <c r="BI55" s="40">
        <f t="shared" si="52"/>
        <v>8.7243472703032773E-2</v>
      </c>
      <c r="BJ55" s="40">
        <f t="shared" si="53"/>
        <v>-3.5998444098122116E-3</v>
      </c>
      <c r="BK55" s="40">
        <f t="shared" si="54"/>
        <v>1.4809581292542819E-2</v>
      </c>
      <c r="BL55" s="40">
        <f t="shared" si="55"/>
        <v>1.647471940364173E-2</v>
      </c>
      <c r="BM55" s="40">
        <f t="shared" si="56"/>
        <v>6.0728061213230405E-2</v>
      </c>
      <c r="BN55" s="40">
        <f t="shared" si="57"/>
        <v>1.9662464082959366E-2</v>
      </c>
      <c r="BO55" s="40">
        <f t="shared" si="58"/>
        <v>1.0026019336787749E-2</v>
      </c>
      <c r="BP55" s="691">
        <f t="shared" si="59"/>
        <v>1.5767481477201199E-2</v>
      </c>
      <c r="BQ55" s="691">
        <f t="shared" si="60"/>
        <v>9.1960435228430476E-2</v>
      </c>
      <c r="BR55" s="691">
        <f t="shared" si="61"/>
        <v>5.5308453108905316E-2</v>
      </c>
      <c r="BS55" s="691">
        <f t="shared" si="62"/>
        <v>1.8836742146262655E-2</v>
      </c>
      <c r="BT55" s="40"/>
      <c r="BU55" s="3"/>
      <c r="BV55" s="13" t="s">
        <v>46</v>
      </c>
      <c r="BW55" s="40">
        <f t="shared" si="63"/>
        <v>7.5218687577104981E-2</v>
      </c>
      <c r="BX55" s="40">
        <f t="shared" si="64"/>
        <v>0.15456373024743633</v>
      </c>
      <c r="BY55" s="40">
        <f t="shared" si="65"/>
        <v>0.2444569362353983</v>
      </c>
      <c r="BZ55" s="40">
        <f t="shared" si="66"/>
        <v>0.3046851250325161</v>
      </c>
      <c r="CA55" s="40">
        <f t="shared" si="67"/>
        <v>0.39810342924586184</v>
      </c>
      <c r="CB55" s="40">
        <f t="shared" si="68"/>
        <v>0.43664938387878249</v>
      </c>
      <c r="CC55" s="40">
        <f t="shared" si="69"/>
        <v>0.5392769850724668</v>
      </c>
      <c r="CD55" s="40">
        <f t="shared" si="70"/>
        <v>0.5575673094719612</v>
      </c>
      <c r="CE55" s="40">
        <f t="shared" si="71"/>
        <v>0.60960076983367173</v>
      </c>
      <c r="CF55" s="40">
        <f t="shared" si="72"/>
        <v>0.62003672596135362</v>
      </c>
      <c r="CG55" s="40">
        <f t="shared" si="73"/>
        <v>0.76137435584067359</v>
      </c>
      <c r="CH55" s="40">
        <f t="shared" si="74"/>
        <v>0.75503368221221401</v>
      </c>
      <c r="CI55" s="40">
        <f t="shared" si="75"/>
        <v>0.78102499620008647</v>
      </c>
      <c r="CJ55" s="40">
        <f t="shared" si="76"/>
        <v>0.81036688326335504</v>
      </c>
      <c r="CK55" s="40">
        <f t="shared" si="77"/>
        <v>0.92030695416857722</v>
      </c>
      <c r="CL55" s="113">
        <f t="shared" si="78"/>
        <v>0.95806492068317395</v>
      </c>
      <c r="CM55" s="113">
        <f t="shared" si="79"/>
        <v>0.97769651744062924</v>
      </c>
      <c r="CN55" s="691">
        <f t="shared" si="80"/>
        <v>1.0088798106468997</v>
      </c>
      <c r="CO55" s="691">
        <f t="shared" si="81"/>
        <v>1.1936172723555956</v>
      </c>
      <c r="CP55" s="691">
        <f t="shared" si="82"/>
        <v>1.3149428504025598</v>
      </c>
      <c r="CQ55" s="691">
        <f t="shared" si="83"/>
        <v>1.3585488319589272</v>
      </c>
    </row>
    <row r="56" spans="1:95" ht="14">
      <c r="A56" s="13" t="s">
        <v>47</v>
      </c>
      <c r="B56" s="319">
        <v>106847656</v>
      </c>
      <c r="C56" s="319">
        <v>131046341</v>
      </c>
      <c r="D56" s="319">
        <v>137944763</v>
      </c>
      <c r="E56" s="319">
        <v>145078635</v>
      </c>
      <c r="F56" s="319">
        <v>150179522</v>
      </c>
      <c r="G56" s="319">
        <v>151711088</v>
      </c>
      <c r="H56" s="319">
        <v>153568797</v>
      </c>
      <c r="I56" s="319">
        <v>163974989</v>
      </c>
      <c r="J56" s="319">
        <v>186063392.00320417</v>
      </c>
      <c r="K56" s="319">
        <v>199703520.69977045</v>
      </c>
      <c r="L56" s="319">
        <v>213073554.42544645</v>
      </c>
      <c r="M56" s="319">
        <v>385280301.09182566</v>
      </c>
      <c r="N56" s="319">
        <v>256683566.87882641</v>
      </c>
      <c r="O56" s="319">
        <v>270647103.10148627</v>
      </c>
      <c r="P56" s="319">
        <v>262774895</v>
      </c>
      <c r="Q56" s="319">
        <v>255138477</v>
      </c>
      <c r="R56" s="319">
        <v>253404350</v>
      </c>
      <c r="S56" s="319">
        <v>259728923</v>
      </c>
      <c r="T56" s="340">
        <v>263460877</v>
      </c>
      <c r="U56" s="340">
        <v>272105996</v>
      </c>
      <c r="V56" s="666">
        <v>287937510</v>
      </c>
      <c r="W56" s="667">
        <v>287702883</v>
      </c>
      <c r="X56" s="290"/>
      <c r="Y56" s="13" t="s">
        <v>47</v>
      </c>
      <c r="Z56" s="319">
        <f>B56/'Population &amp; Income'!B55</f>
        <v>5357.6521085092518</v>
      </c>
      <c r="AA56" s="319">
        <f>C56/'Population &amp; Income'!C55</f>
        <v>6330.4352929810157</v>
      </c>
      <c r="AB56" s="319">
        <f>D56/'Population &amp; Income'!D55</f>
        <v>6508.0563785619925</v>
      </c>
      <c r="AC56" s="319">
        <f>E56/'Population &amp; Income'!E55</f>
        <v>6728.7526088771392</v>
      </c>
      <c r="AD56" s="319">
        <f>F56/'Population &amp; Income'!F55</f>
        <v>6931.8957765981995</v>
      </c>
      <c r="AE56" s="319">
        <f>G56/'Population &amp; Income'!G55</f>
        <v>6995.1626706012539</v>
      </c>
      <c r="AF56" s="319">
        <f>H56/'Population &amp; Income'!H55</f>
        <v>7072.9917557111276</v>
      </c>
      <c r="AG56" s="319">
        <f>I56/'Population &amp; Income'!I55</f>
        <v>7418.0044786247454</v>
      </c>
      <c r="AH56" s="319">
        <f>J56/'Population &amp; Income'!J55</f>
        <v>8302.6948685053176</v>
      </c>
      <c r="AI56" s="319">
        <f>K56/'Population &amp; Income'!K55</f>
        <v>8790.5414517021945</v>
      </c>
      <c r="AJ56" s="319">
        <f>L56/'Population &amp; Income'!L55</f>
        <v>9273.3409246397023</v>
      </c>
      <c r="AK56" s="319">
        <f>M56/'Population &amp; Income'!M55</f>
        <v>16754.231218117311</v>
      </c>
      <c r="AL56" s="319">
        <f>N56/'Population &amp; Income'!N55</f>
        <v>11187.881570798345</v>
      </c>
      <c r="AM56" s="319">
        <f>O56/'Population &amp; Income'!O55</f>
        <v>11728.51027480873</v>
      </c>
      <c r="AN56" s="319">
        <f>P56/'Population &amp; Income'!P55</f>
        <v>9131.7380803447322</v>
      </c>
      <c r="AO56" s="319">
        <f>Q56/'Population &amp; Income'!Q55</f>
        <v>8881.7961776787579</v>
      </c>
      <c r="AP56" s="319">
        <f>R56/'Population &amp; Income'!R55</f>
        <v>8815.5974952165598</v>
      </c>
      <c r="AQ56" s="319">
        <f>S56/'Population &amp; Income'!S55</f>
        <v>11513.827599964536</v>
      </c>
      <c r="AR56" s="319">
        <f>T56/'Population &amp; Income'!T55</f>
        <v>11557.329224425337</v>
      </c>
      <c r="AS56" s="319">
        <f>U56/'Population &amp; Income'!U55</f>
        <v>12014.570646414695</v>
      </c>
      <c r="AT56" s="319">
        <f>V56/'Population &amp; Income'!V55</f>
        <v>12729.332891246684</v>
      </c>
      <c r="AU56" s="319">
        <f>W56/'Population &amp; Income'!W55</f>
        <v>12603.070045558086</v>
      </c>
      <c r="AV56" s="690"/>
      <c r="AW56" s="690"/>
      <c r="AX56" s="13" t="s">
        <v>47</v>
      </c>
      <c r="AY56" s="40">
        <f t="shared" si="42"/>
        <v>0.2264783890064935</v>
      </c>
      <c r="AZ56" s="40">
        <f t="shared" si="43"/>
        <v>5.2641088239159611E-2</v>
      </c>
      <c r="BA56" s="40">
        <f t="shared" si="44"/>
        <v>5.1715424673280275E-2</v>
      </c>
      <c r="BB56" s="40">
        <f t="shared" si="45"/>
        <v>3.5159463693603128E-2</v>
      </c>
      <c r="BC56" s="40">
        <f t="shared" si="46"/>
        <v>1.0198234616834112E-2</v>
      </c>
      <c r="BD56" s="40">
        <f t="shared" si="47"/>
        <v>1.2245044343759502E-2</v>
      </c>
      <c r="BE56" s="40">
        <f t="shared" si="48"/>
        <v>6.7762411396632874E-2</v>
      </c>
      <c r="BF56" s="40">
        <f t="shared" si="49"/>
        <v>0.13470592764122197</v>
      </c>
      <c r="BG56" s="40">
        <f t="shared" si="50"/>
        <v>7.3309040266939712E-2</v>
      </c>
      <c r="BH56" s="40">
        <f t="shared" si="51"/>
        <v>6.6949414205752497E-2</v>
      </c>
      <c r="BI56" s="40">
        <f t="shared" si="52"/>
        <v>0.80820328515537876</v>
      </c>
      <c r="BJ56" s="40">
        <f t="shared" si="53"/>
        <v>-0.33377448535151083</v>
      </c>
      <c r="BK56" s="40">
        <f t="shared" si="54"/>
        <v>5.4399805926226966E-2</v>
      </c>
      <c r="BL56" s="40">
        <f t="shared" si="55"/>
        <v>-2.9086615046954239E-2</v>
      </c>
      <c r="BM56" s="40">
        <f t="shared" si="56"/>
        <v>-2.9060683289398707E-2</v>
      </c>
      <c r="BN56" s="40">
        <f t="shared" si="57"/>
        <v>-6.7968070531360895E-3</v>
      </c>
      <c r="BO56" s="40">
        <f t="shared" si="58"/>
        <v>2.4958423168347347E-2</v>
      </c>
      <c r="BP56" s="691">
        <f t="shared" si="59"/>
        <v>1.4368650040565563E-2</v>
      </c>
      <c r="BQ56" s="691">
        <f t="shared" si="60"/>
        <v>3.2813672748838528E-2</v>
      </c>
      <c r="BR56" s="691">
        <f t="shared" si="61"/>
        <v>5.8181422801135189E-2</v>
      </c>
      <c r="BS56" s="691">
        <f t="shared" si="62"/>
        <v>-8.1485388965126491E-4</v>
      </c>
      <c r="BT56" s="40"/>
      <c r="BU56" s="3"/>
      <c r="BV56" s="13" t="s">
        <v>47</v>
      </c>
      <c r="BW56" s="40">
        <f t="shared" si="63"/>
        <v>0.2264783890064935</v>
      </c>
      <c r="BX56" s="40">
        <f t="shared" si="64"/>
        <v>0.29104154610560667</v>
      </c>
      <c r="BY56" s="40">
        <f t="shared" si="65"/>
        <v>0.35780830793330648</v>
      </c>
      <c r="BZ56" s="40">
        <f t="shared" si="66"/>
        <v>0.40554811983896027</v>
      </c>
      <c r="CA56" s="40">
        <f t="shared" si="67"/>
        <v>0.41988222933032804</v>
      </c>
      <c r="CB56" s="40">
        <f t="shared" si="68"/>
        <v>0.437268750191394</v>
      </c>
      <c r="CC56" s="40">
        <f t="shared" si="69"/>
        <v>0.53466154652938758</v>
      </c>
      <c r="CD56" s="40">
        <f t="shared" si="70"/>
        <v>0.74138955376994109</v>
      </c>
      <c r="CE56" s="40">
        <f t="shared" si="71"/>
        <v>0.86904915068768984</v>
      </c>
      <c r="CF56" s="40">
        <f t="shared" si="72"/>
        <v>0.9941808964479899</v>
      </c>
      <c r="CG56" s="40">
        <f t="shared" si="73"/>
        <v>2.6058844481513534</v>
      </c>
      <c r="CH56" s="40">
        <f t="shared" si="74"/>
        <v>1.4023322222326189</v>
      </c>
      <c r="CI56" s="40">
        <f t="shared" si="75"/>
        <v>1.5330186288923948</v>
      </c>
      <c r="CJ56" s="40">
        <f t="shared" si="76"/>
        <v>1.4593416911270378</v>
      </c>
      <c r="CK56" s="40">
        <f t="shared" si="77"/>
        <v>1.3878715411407809</v>
      </c>
      <c r="CL56" s="113">
        <f t="shared" si="78"/>
        <v>1.3716416390079722</v>
      </c>
      <c r="CM56" s="113">
        <f t="shared" si="79"/>
        <v>1.4308340746380062</v>
      </c>
      <c r="CN56" s="691">
        <f t="shared" si="80"/>
        <v>1.4657618787631617</v>
      </c>
      <c r="CO56" s="691">
        <f t="shared" si="81"/>
        <v>1.5466725821294574</v>
      </c>
      <c r="CP56" s="691">
        <f t="shared" si="82"/>
        <v>1.69484161636639</v>
      </c>
      <c r="CQ56" s="691">
        <f t="shared" si="83"/>
        <v>1.6926457141932996</v>
      </c>
    </row>
    <row r="57" spans="1:95" ht="14">
      <c r="A57" s="13" t="s">
        <v>48</v>
      </c>
      <c r="B57" s="319">
        <v>46621487</v>
      </c>
      <c r="C57" s="319">
        <v>48185755</v>
      </c>
      <c r="D57" s="319">
        <v>48372597</v>
      </c>
      <c r="E57" s="319">
        <v>46534285</v>
      </c>
      <c r="F57" s="319">
        <v>50626780</v>
      </c>
      <c r="G57" s="319">
        <v>48816168</v>
      </c>
      <c r="H57" s="319">
        <v>50896531</v>
      </c>
      <c r="I57" s="319">
        <v>52948458</v>
      </c>
      <c r="J57" s="319">
        <v>51965192.273410924</v>
      </c>
      <c r="K57" s="319">
        <v>53606065.544196531</v>
      </c>
      <c r="L57" s="319">
        <v>55066759.595948309</v>
      </c>
      <c r="M57" s="319">
        <v>57122790.855943799</v>
      </c>
      <c r="N57" s="319">
        <v>59037096.851099022</v>
      </c>
      <c r="O57" s="319">
        <v>57168975.407062627</v>
      </c>
      <c r="P57" s="319">
        <v>59875187</v>
      </c>
      <c r="Q57" s="319">
        <v>59544657</v>
      </c>
      <c r="R57" s="319">
        <v>61850078</v>
      </c>
      <c r="S57" s="319">
        <v>62928822</v>
      </c>
      <c r="T57" s="340">
        <v>64370619</v>
      </c>
      <c r="U57" s="340">
        <v>72630197</v>
      </c>
      <c r="V57" s="666">
        <v>78619623</v>
      </c>
      <c r="W57" s="667">
        <v>79676063</v>
      </c>
      <c r="X57" s="290"/>
      <c r="Y57" s="13" t="s">
        <v>48</v>
      </c>
      <c r="Z57" s="319">
        <f>B57/'Population &amp; Income'!B56</f>
        <v>12096.908925791386</v>
      </c>
      <c r="AA57" s="319">
        <f>C57/'Population &amp; Income'!C56</f>
        <v>12604.173424012555</v>
      </c>
      <c r="AB57" s="319">
        <f>D57/'Population &amp; Income'!D56</f>
        <v>12803.757808364215</v>
      </c>
      <c r="AC57" s="319">
        <f>E57/'Population &amp; Income'!E56</f>
        <v>12435.672100481026</v>
      </c>
      <c r="AD57" s="319">
        <f>F57/'Population &amp; Income'!F56</f>
        <v>13511.283693621564</v>
      </c>
      <c r="AE57" s="319">
        <f>G57/'Population &amp; Income'!G56</f>
        <v>13017.6448</v>
      </c>
      <c r="AF57" s="319">
        <f>H57/'Population &amp; Income'!H56</f>
        <v>13759.537983238713</v>
      </c>
      <c r="AG57" s="319">
        <f>I57/'Population &amp; Income'!I56</f>
        <v>14244.944309927361</v>
      </c>
      <c r="AH57" s="319">
        <f>J57/'Population &amp; Income'!J56</f>
        <v>14040.851735587928</v>
      </c>
      <c r="AI57" s="319">
        <f>K57/'Population &amp; Income'!K56</f>
        <v>14551.049279097864</v>
      </c>
      <c r="AJ57" s="319">
        <f>L57/'Population &amp; Income'!L56</f>
        <v>15012.747981447194</v>
      </c>
      <c r="AK57" s="319">
        <f>M57/'Population &amp; Income'!M56</f>
        <v>15505.64355481645</v>
      </c>
      <c r="AL57" s="319">
        <f>N57/'Population &amp; Income'!N56</f>
        <v>15751.626694530156</v>
      </c>
      <c r="AM57" s="319">
        <f>O57/'Population &amp; Income'!O56</f>
        <v>15140.088826022942</v>
      </c>
      <c r="AN57" s="319">
        <f>P57/'Population &amp; Income'!P56</f>
        <v>15852.577971935398</v>
      </c>
      <c r="AO57" s="319">
        <f>Q57/'Population &amp; Income'!Q56</f>
        <v>15740.062648691515</v>
      </c>
      <c r="AP57" s="319">
        <f>R57/'Population &amp; Income'!R56</f>
        <v>16586.237060874228</v>
      </c>
      <c r="AQ57" s="319">
        <f>S57/'Population &amp; Income'!S56</f>
        <v>17030.804330175913</v>
      </c>
      <c r="AR57" s="319">
        <f>T57/'Population &amp; Income'!T56</f>
        <v>17355.249123753034</v>
      </c>
      <c r="AS57" s="319">
        <f>U57/'Population &amp; Income'!U56</f>
        <v>19619.178011885466</v>
      </c>
      <c r="AT57" s="319">
        <f>V57/'Population &amp; Income'!V56</f>
        <v>21254.291159772911</v>
      </c>
      <c r="AU57" s="319">
        <f>W57/'Population &amp; Income'!W56</f>
        <v>21662.877379010333</v>
      </c>
      <c r="AV57" s="690"/>
      <c r="AW57" s="690"/>
      <c r="AX57" s="13" t="s">
        <v>48</v>
      </c>
      <c r="AY57" s="40">
        <f t="shared" si="42"/>
        <v>3.3552511956557715E-2</v>
      </c>
      <c r="AZ57" s="40">
        <f t="shared" si="43"/>
        <v>3.8775360062325475E-3</v>
      </c>
      <c r="BA57" s="40">
        <f t="shared" si="44"/>
        <v>-3.8003169439093792E-2</v>
      </c>
      <c r="BB57" s="40">
        <f t="shared" si="45"/>
        <v>8.7945801681491395E-2</v>
      </c>
      <c r="BC57" s="40">
        <f t="shared" si="46"/>
        <v>-3.576391783162982E-2</v>
      </c>
      <c r="BD57" s="40">
        <f t="shared" si="47"/>
        <v>4.2616270084943987E-2</v>
      </c>
      <c r="BE57" s="40">
        <f t="shared" si="48"/>
        <v>4.0315655304680786E-2</v>
      </c>
      <c r="BF57" s="40">
        <f t="shared" si="49"/>
        <v>-1.8570242906584291E-2</v>
      </c>
      <c r="BG57" s="40">
        <f t="shared" si="50"/>
        <v>3.1576391792265041E-2</v>
      </c>
      <c r="BH57" s="40">
        <f t="shared" si="51"/>
        <v>2.7248671151727799E-2</v>
      </c>
      <c r="BI57" s="40">
        <f t="shared" si="52"/>
        <v>3.7337066409601639E-2</v>
      </c>
      <c r="BJ57" s="40">
        <f t="shared" si="53"/>
        <v>3.3512123033043885E-2</v>
      </c>
      <c r="BK57" s="40">
        <f t="shared" si="54"/>
        <v>-3.1643179351249176E-2</v>
      </c>
      <c r="BL57" s="40">
        <f t="shared" si="55"/>
        <v>4.7337066541217887E-2</v>
      </c>
      <c r="BM57" s="40">
        <f t="shared" si="56"/>
        <v>-5.5203167883216796E-3</v>
      </c>
      <c r="BN57" s="40">
        <f t="shared" si="57"/>
        <v>3.8717512471354062E-2</v>
      </c>
      <c r="BO57" s="40">
        <f t="shared" si="58"/>
        <v>1.7441271456440199E-2</v>
      </c>
      <c r="BP57" s="691">
        <f t="shared" si="59"/>
        <v>2.2911552356724554E-2</v>
      </c>
      <c r="BQ57" s="691">
        <f t="shared" si="60"/>
        <v>0.12831285652232116</v>
      </c>
      <c r="BR57" s="691">
        <f t="shared" si="61"/>
        <v>8.2464680634144499E-2</v>
      </c>
      <c r="BS57" s="691">
        <f t="shared" si="62"/>
        <v>1.3437357744643472E-2</v>
      </c>
      <c r="BT57" s="40"/>
      <c r="BU57" s="3"/>
      <c r="BV57" s="13" t="s">
        <v>48</v>
      </c>
      <c r="BW57" s="40">
        <f t="shared" si="63"/>
        <v>3.3552511956557715E-2</v>
      </c>
      <c r="BX57" s="40">
        <f t="shared" si="64"/>
        <v>3.7560149036001363E-2</v>
      </c>
      <c r="BY57" s="40">
        <f t="shared" si="65"/>
        <v>-1.8704251110652048E-3</v>
      </c>
      <c r="BZ57" s="40">
        <f t="shared" si="66"/>
        <v>8.5910880534548373E-2</v>
      </c>
      <c r="CA57" s="40">
        <f t="shared" si="67"/>
        <v>4.7074453030637994E-2</v>
      </c>
      <c r="CB57" s="40">
        <f t="shared" si="68"/>
        <v>9.169686072003666E-2</v>
      </c>
      <c r="CC57" s="40">
        <f t="shared" si="69"/>
        <v>0.13570933505402777</v>
      </c>
      <c r="CD57" s="40">
        <f t="shared" si="70"/>
        <v>0.11461893683079916</v>
      </c>
      <c r="CE57" s="40">
        <f t="shared" si="71"/>
        <v>0.14981458107924639</v>
      </c>
      <c r="CF57" s="40">
        <f t="shared" si="72"/>
        <v>0.18114550048453643</v>
      </c>
      <c r="CG57" s="40">
        <f t="shared" si="73"/>
        <v>0.22524600847552972</v>
      </c>
      <c r="CH57" s="40">
        <f t="shared" si="74"/>
        <v>0.26630660345730761</v>
      </c>
      <c r="CI57" s="40">
        <f t="shared" si="75"/>
        <v>0.22623663649043685</v>
      </c>
      <c r="CJ57" s="40">
        <f t="shared" si="76"/>
        <v>0.28428308174726385</v>
      </c>
      <c r="CK57" s="40">
        <f t="shared" si="77"/>
        <v>0.27719343229013693</v>
      </c>
      <c r="CL57" s="113">
        <f t="shared" si="78"/>
        <v>0.3266431849331618</v>
      </c>
      <c r="CM57" s="113">
        <f t="shared" si="79"/>
        <v>0.34978152884741748</v>
      </c>
      <c r="CN57" s="691">
        <f t="shared" si="80"/>
        <v>0.38070711901574483</v>
      </c>
      <c r="CO57" s="691">
        <f t="shared" si="81"/>
        <v>0.55786959347735954</v>
      </c>
      <c r="CP57" s="691">
        <f t="shared" si="82"/>
        <v>0.68633881197311442</v>
      </c>
      <c r="CQ57" s="691">
        <f t="shared" si="83"/>
        <v>0.70899874986827427</v>
      </c>
    </row>
    <row r="58" spans="1:95" ht="14">
      <c r="A58" s="13" t="s">
        <v>49</v>
      </c>
      <c r="B58" s="319">
        <v>201849703</v>
      </c>
      <c r="C58" s="319">
        <v>231189857</v>
      </c>
      <c r="D58" s="319">
        <v>242872165</v>
      </c>
      <c r="E58" s="319">
        <v>250278438</v>
      </c>
      <c r="F58" s="319">
        <v>259763900</v>
      </c>
      <c r="G58" s="319">
        <v>276903071</v>
      </c>
      <c r="H58" s="319">
        <v>283230073</v>
      </c>
      <c r="I58" s="319">
        <v>295958703</v>
      </c>
      <c r="J58" s="319">
        <v>290528355.73859751</v>
      </c>
      <c r="K58" s="319">
        <v>323589044.40651107</v>
      </c>
      <c r="L58" s="319">
        <v>338069448.71159011</v>
      </c>
      <c r="M58" s="319">
        <v>380269866.54618502</v>
      </c>
      <c r="N58" s="319">
        <v>398427715.69167173</v>
      </c>
      <c r="O58" s="319">
        <v>396672395.85497189</v>
      </c>
      <c r="P58" s="319">
        <v>396818345</v>
      </c>
      <c r="Q58" s="319">
        <v>386757519</v>
      </c>
      <c r="R58" s="319">
        <v>394474585</v>
      </c>
      <c r="S58" s="319">
        <v>406150215</v>
      </c>
      <c r="T58" s="340">
        <v>415509044</v>
      </c>
      <c r="U58" s="340">
        <v>418838354</v>
      </c>
      <c r="V58" s="666">
        <v>422845053</v>
      </c>
      <c r="W58" s="667">
        <v>426475372</v>
      </c>
      <c r="X58" s="290"/>
      <c r="Y58" s="13" t="s">
        <v>49</v>
      </c>
      <c r="Z58" s="319">
        <f>B58/'Population &amp; Income'!B57</f>
        <v>8874.4648494174544</v>
      </c>
      <c r="AA58" s="319">
        <f>C58/'Population &amp; Income'!C57</f>
        <v>10018.627881781938</v>
      </c>
      <c r="AB58" s="319">
        <f>D58/'Population &amp; Income'!D57</f>
        <v>10518.955563255229</v>
      </c>
      <c r="AC58" s="319">
        <f>E58/'Population &amp; Income'!E57</f>
        <v>10731.891342566785</v>
      </c>
      <c r="AD58" s="319">
        <f>F58/'Population &amp; Income'!F57</f>
        <v>10999.021891010712</v>
      </c>
      <c r="AE58" s="319">
        <f>G58/'Population &amp; Income'!G57</f>
        <v>11580.572581656977</v>
      </c>
      <c r="AF58" s="319">
        <f>H58/'Population &amp; Income'!H57</f>
        <v>11761.069387924592</v>
      </c>
      <c r="AG58" s="319">
        <f>I58/'Population &amp; Income'!I57</f>
        <v>12302.90584469571</v>
      </c>
      <c r="AH58" s="319">
        <f>J58/'Population &amp; Income'!J57</f>
        <v>11864.111227482746</v>
      </c>
      <c r="AI58" s="319">
        <f>K58/'Population &amp; Income'!K57</f>
        <v>13163.658140367386</v>
      </c>
      <c r="AJ58" s="319">
        <f>L58/'Population &amp; Income'!L57</f>
        <v>13654.406426414238</v>
      </c>
      <c r="AK58" s="319">
        <f>M58/'Population &amp; Income'!M57</f>
        <v>15306.922132841646</v>
      </c>
      <c r="AL58" s="319">
        <f>N58/'Population &amp; Income'!N57</f>
        <v>16022.347516454407</v>
      </c>
      <c r="AM58" s="319">
        <f>O58/'Population &amp; Income'!O57</f>
        <v>15969.098061794359</v>
      </c>
      <c r="AN58" s="319">
        <f>P58/'Population &amp; Income'!P57</f>
        <v>16047.328736654805</v>
      </c>
      <c r="AO58" s="319">
        <f>Q58/'Population &amp; Income'!Q57</f>
        <v>15557.422325020112</v>
      </c>
      <c r="AP58" s="319">
        <f>R58/'Population &amp; Income'!R57</f>
        <v>15895.337268807672</v>
      </c>
      <c r="AQ58" s="319">
        <f>S58/'Population &amp; Income'!S57</f>
        <v>16186.442491630798</v>
      </c>
      <c r="AR58" s="319">
        <f>T58/'Population &amp; Income'!T57</f>
        <v>16585.201133596776</v>
      </c>
      <c r="AS58" s="319">
        <f>U58/'Population &amp; Income'!U57</f>
        <v>16702.757776359867</v>
      </c>
      <c r="AT58" s="319">
        <f>V58/'Population &amp; Income'!V57</f>
        <v>16775.571411568675</v>
      </c>
      <c r="AU58" s="319">
        <f>W58/'Population &amp; Income'!W57</f>
        <v>16904.842714444268</v>
      </c>
      <c r="AV58" s="690"/>
      <c r="AW58" s="690"/>
      <c r="AX58" s="13" t="s">
        <v>49</v>
      </c>
      <c r="AY58" s="40">
        <f t="shared" si="42"/>
        <v>0.14535643879545365</v>
      </c>
      <c r="AZ58" s="40">
        <f t="shared" si="43"/>
        <v>5.0531230701872876E-2</v>
      </c>
      <c r="BA58" s="40">
        <f t="shared" si="44"/>
        <v>3.049453196911223E-2</v>
      </c>
      <c r="BB58" s="40">
        <f t="shared" si="45"/>
        <v>3.7899637203265592E-2</v>
      </c>
      <c r="BC58" s="40">
        <f t="shared" si="46"/>
        <v>6.5979803198211909E-2</v>
      </c>
      <c r="BD58" s="40">
        <f t="shared" si="47"/>
        <v>2.2849157927901782E-2</v>
      </c>
      <c r="BE58" s="40">
        <f t="shared" si="48"/>
        <v>4.4940955122375018E-2</v>
      </c>
      <c r="BF58" s="40">
        <f t="shared" si="49"/>
        <v>-1.8348327676657266E-2</v>
      </c>
      <c r="BG58" s="40">
        <f t="shared" si="50"/>
        <v>0.11379504965656387</v>
      </c>
      <c r="BH58" s="40">
        <f t="shared" si="51"/>
        <v>4.4749365145032326E-2</v>
      </c>
      <c r="BI58" s="40">
        <f t="shared" si="52"/>
        <v>0.12482765891867513</v>
      </c>
      <c r="BJ58" s="40">
        <f t="shared" si="53"/>
        <v>4.7749902747767109E-2</v>
      </c>
      <c r="BK58" s="40">
        <f t="shared" si="54"/>
        <v>-4.4056167971462598E-3</v>
      </c>
      <c r="BL58" s="40">
        <f t="shared" si="55"/>
        <v>3.6793370689064799E-4</v>
      </c>
      <c r="BM58" s="40">
        <f t="shared" si="56"/>
        <v>-2.5353732071031143E-2</v>
      </c>
      <c r="BN58" s="40">
        <f t="shared" si="57"/>
        <v>1.9953241038346819E-2</v>
      </c>
      <c r="BO58" s="40">
        <f t="shared" si="58"/>
        <v>2.9597927075580802E-2</v>
      </c>
      <c r="BP58" s="691">
        <f t="shared" si="59"/>
        <v>2.3042777411800705E-2</v>
      </c>
      <c r="BQ58" s="691">
        <f t="shared" si="60"/>
        <v>8.0126053766473495E-3</v>
      </c>
      <c r="BR58" s="691">
        <f t="shared" si="61"/>
        <v>9.5662179973135895E-3</v>
      </c>
      <c r="BS58" s="691">
        <f t="shared" si="62"/>
        <v>8.5854593171745108E-3</v>
      </c>
      <c r="BT58" s="40"/>
      <c r="BU58" s="3"/>
      <c r="BV58" s="13" t="s">
        <v>49</v>
      </c>
      <c r="BW58" s="40">
        <f t="shared" si="63"/>
        <v>0.14535643879545365</v>
      </c>
      <c r="BX58" s="40">
        <f t="shared" si="64"/>
        <v>0.20323270924010228</v>
      </c>
      <c r="BY58" s="40">
        <f t="shared" si="65"/>
        <v>0.2399247275583061</v>
      </c>
      <c r="BZ58" s="40">
        <f t="shared" si="66"/>
        <v>0.2869174248921238</v>
      </c>
      <c r="CA58" s="40">
        <f t="shared" si="67"/>
        <v>0.3718279833188558</v>
      </c>
      <c r="CB58" s="40">
        <f t="shared" si="68"/>
        <v>0.40317309755962338</v>
      </c>
      <c r="CC58" s="40">
        <f t="shared" si="69"/>
        <v>0.46623303676597433</v>
      </c>
      <c r="CD58" s="40">
        <f t="shared" si="70"/>
        <v>0.43933011255705195</v>
      </c>
      <c r="CE58" s="40">
        <f t="shared" si="71"/>
        <v>0.60311875418766936</v>
      </c>
      <c r="CF58" s="40">
        <f t="shared" si="72"/>
        <v>0.67485730068966265</v>
      </c>
      <c r="CG58" s="40">
        <f t="shared" si="73"/>
        <v>0.88392581655760483</v>
      </c>
      <c r="CH58" s="40">
        <f t="shared" si="74"/>
        <v>0.97388309108223825</v>
      </c>
      <c r="CI58" s="40">
        <f t="shared" si="75"/>
        <v>0.96518691858056327</v>
      </c>
      <c r="CJ58" s="40">
        <f t="shared" si="76"/>
        <v>0.96590997708824966</v>
      </c>
      <c r="CK58" s="40">
        <f t="shared" si="77"/>
        <v>0.9160668222533872</v>
      </c>
      <c r="CL58" s="113">
        <f t="shared" si="78"/>
        <v>0.95429856540338831</v>
      </c>
      <c r="CM58" s="113">
        <f t="shared" si="79"/>
        <v>1.01214175182611</v>
      </c>
      <c r="CN58" s="691">
        <f t="shared" si="80"/>
        <v>1.0585070863344297</v>
      </c>
      <c r="CO58" s="691">
        <f t="shared" si="81"/>
        <v>1.0750010912822596</v>
      </c>
      <c r="CP58" s="691">
        <f t="shared" si="82"/>
        <v>1.0948510040661295</v>
      </c>
      <c r="CQ58" s="691">
        <f t="shared" si="83"/>
        <v>1.1128362621370813</v>
      </c>
    </row>
    <row r="59" spans="1:95" ht="14">
      <c r="A59" s="13" t="s">
        <v>50</v>
      </c>
      <c r="B59" s="319">
        <v>96402296</v>
      </c>
      <c r="C59" s="319">
        <v>102571258</v>
      </c>
      <c r="D59" s="319">
        <v>105969043</v>
      </c>
      <c r="E59" s="319">
        <v>108782928</v>
      </c>
      <c r="F59" s="319">
        <v>111879660</v>
      </c>
      <c r="G59" s="319">
        <v>114667736</v>
      </c>
      <c r="H59" s="319">
        <v>115266561</v>
      </c>
      <c r="I59" s="319">
        <v>113796493</v>
      </c>
      <c r="J59" s="319">
        <v>114491128.81544217</v>
      </c>
      <c r="K59" s="319">
        <v>122621087.65386379</v>
      </c>
      <c r="L59" s="319">
        <v>126643050.37831253</v>
      </c>
      <c r="M59" s="319">
        <v>132849090.61433344</v>
      </c>
      <c r="N59" s="319">
        <v>134544384.33099204</v>
      </c>
      <c r="O59" s="319">
        <v>135836899.48290652</v>
      </c>
      <c r="P59" s="319">
        <v>139349037</v>
      </c>
      <c r="Q59" s="319">
        <v>144500177</v>
      </c>
      <c r="R59" s="319">
        <v>149833076</v>
      </c>
      <c r="S59" s="319">
        <v>156915293</v>
      </c>
      <c r="T59" s="340">
        <v>159689429</v>
      </c>
      <c r="U59" s="340">
        <v>165332954</v>
      </c>
      <c r="V59" s="666">
        <v>168852277</v>
      </c>
      <c r="W59" s="667">
        <v>167953574</v>
      </c>
      <c r="X59" s="290"/>
      <c r="Y59" s="13" t="s">
        <v>50</v>
      </c>
      <c r="Z59" s="319">
        <f>B59/'Population &amp; Income'!B58</f>
        <v>6983.1434987323437</v>
      </c>
      <c r="AA59" s="319">
        <f>C59/'Population &amp; Income'!C58</f>
        <v>7492.4220598977354</v>
      </c>
      <c r="AB59" s="319">
        <f>D59/'Population &amp; Income'!D58</f>
        <v>7732.7089171044954</v>
      </c>
      <c r="AC59" s="319">
        <f>E59/'Population &amp; Income'!E58</f>
        <v>8011.7048166151126</v>
      </c>
      <c r="AD59" s="319">
        <f>F59/'Population &amp; Income'!F58</f>
        <v>8352.3449048152288</v>
      </c>
      <c r="AE59" s="319">
        <f>G59/'Population &amp; Income'!G58</f>
        <v>8541.9946364719908</v>
      </c>
      <c r="AF59" s="319">
        <f>H59/'Population &amp; Income'!H58</f>
        <v>8521.8513233771992</v>
      </c>
      <c r="AG59" s="319">
        <f>I59/'Population &amp; Income'!I58</f>
        <v>8351.4232349919275</v>
      </c>
      <c r="AH59" s="319">
        <f>J59/'Population &amp; Income'!J58</f>
        <v>8375.9696258279455</v>
      </c>
      <c r="AI59" s="319">
        <f>K59/'Population &amp; Income'!K58</f>
        <v>8839.4671030755326</v>
      </c>
      <c r="AJ59" s="319">
        <f>L59/'Population &amp; Income'!L58</f>
        <v>9024.6597575937103</v>
      </c>
      <c r="AK59" s="319">
        <f>M59/'Population &amp; Income'!M58</f>
        <v>9450.0704662351291</v>
      </c>
      <c r="AL59" s="319">
        <f>N59/'Population &amp; Income'!N58</f>
        <v>9550.9607674445979</v>
      </c>
      <c r="AM59" s="319">
        <f>O59/'Population &amp; Income'!O58</f>
        <v>9602.4953685074597</v>
      </c>
      <c r="AN59" s="319">
        <f>P59/'Population &amp; Income'!P58</f>
        <v>9722.2519360915376</v>
      </c>
      <c r="AO59" s="319">
        <f>Q59/'Population &amp; Income'!Q58</f>
        <v>10126.860817156072</v>
      </c>
      <c r="AP59" s="319">
        <f>R59/'Population &amp; Income'!R58</f>
        <v>10461.742494065074</v>
      </c>
      <c r="AQ59" s="319">
        <f>S59/'Population &amp; Income'!S58</f>
        <v>10986.927111048873</v>
      </c>
      <c r="AR59" s="319">
        <f>T59/'Population &amp; Income'!T58</f>
        <v>11241.776064765927</v>
      </c>
      <c r="AS59" s="319">
        <f>U59/'Population &amp; Income'!U58</f>
        <v>11790.127219567852</v>
      </c>
      <c r="AT59" s="319">
        <f>V59/'Population &amp; Income'!V58</f>
        <v>12236.558953547359</v>
      </c>
      <c r="AU59" s="319">
        <f>W59/'Population &amp; Income'!W58</f>
        <v>12362.253349035773</v>
      </c>
      <c r="AV59" s="690"/>
      <c r="AW59" s="690"/>
      <c r="AX59" s="13" t="s">
        <v>50</v>
      </c>
      <c r="AY59" s="40">
        <f t="shared" si="42"/>
        <v>6.39918576213164E-2</v>
      </c>
      <c r="AZ59" s="40">
        <f t="shared" si="43"/>
        <v>3.3126092691580324E-2</v>
      </c>
      <c r="BA59" s="40">
        <f t="shared" si="44"/>
        <v>2.6553839879444791E-2</v>
      </c>
      <c r="BB59" s="40">
        <f t="shared" si="45"/>
        <v>2.8467077113423531E-2</v>
      </c>
      <c r="BC59" s="40">
        <f t="shared" si="46"/>
        <v>2.4920311699195369E-2</v>
      </c>
      <c r="BD59" s="40">
        <f t="shared" si="47"/>
        <v>5.2222623458790538E-3</v>
      </c>
      <c r="BE59" s="40">
        <f t="shared" si="48"/>
        <v>-1.275363806507596E-2</v>
      </c>
      <c r="BF59" s="40">
        <f t="shared" si="49"/>
        <v>6.1041935223976954E-3</v>
      </c>
      <c r="BG59" s="40">
        <f t="shared" si="50"/>
        <v>7.1009508968393295E-2</v>
      </c>
      <c r="BH59" s="40">
        <f t="shared" si="51"/>
        <v>3.2799927006046323E-2</v>
      </c>
      <c r="BI59" s="40">
        <f t="shared" si="52"/>
        <v>4.900419105100523E-2</v>
      </c>
      <c r="BJ59" s="40">
        <f t="shared" si="53"/>
        <v>1.2761048711881039E-2</v>
      </c>
      <c r="BK59" s="40">
        <f t="shared" si="54"/>
        <v>9.6066079483092103E-3</v>
      </c>
      <c r="BL59" s="40">
        <f t="shared" si="55"/>
        <v>2.5855548311712172E-2</v>
      </c>
      <c r="BM59" s="40">
        <f t="shared" si="56"/>
        <v>3.6965738055297792E-2</v>
      </c>
      <c r="BN59" s="40">
        <f t="shared" si="57"/>
        <v>3.6905830226076471E-2</v>
      </c>
      <c r="BO59" s="40">
        <f t="shared" si="58"/>
        <v>4.7267380401374126E-2</v>
      </c>
      <c r="BP59" s="691">
        <f t="shared" si="59"/>
        <v>1.7679194595774678E-2</v>
      </c>
      <c r="BQ59" s="691">
        <f t="shared" si="60"/>
        <v>3.5340629842191995E-2</v>
      </c>
      <c r="BR59" s="691">
        <f t="shared" si="61"/>
        <v>2.1286276660852501E-2</v>
      </c>
      <c r="BS59" s="691">
        <f t="shared" si="62"/>
        <v>-5.3224215626064665E-3</v>
      </c>
      <c r="BT59" s="40"/>
      <c r="BU59" s="3"/>
      <c r="BV59" s="13" t="s">
        <v>50</v>
      </c>
      <c r="BW59" s="40">
        <f t="shared" si="63"/>
        <v>6.39918576213164E-2</v>
      </c>
      <c r="BX59" s="40">
        <f t="shared" si="64"/>
        <v>9.9237750519966875E-2</v>
      </c>
      <c r="BY59" s="40">
        <f t="shared" si="65"/>
        <v>0.12842673373671515</v>
      </c>
      <c r="BZ59" s="40">
        <f t="shared" si="66"/>
        <v>0.16054974458284688</v>
      </c>
      <c r="CA59" s="40">
        <f t="shared" si="67"/>
        <v>0.18947100596027297</v>
      </c>
      <c r="CB59" s="40">
        <f t="shared" si="68"/>
        <v>0.19568273560621419</v>
      </c>
      <c r="CC59" s="40">
        <f t="shared" si="69"/>
        <v>0.18043343075563262</v>
      </c>
      <c r="CD59" s="40">
        <f t="shared" si="70"/>
        <v>0.18763902485727285</v>
      </c>
      <c r="CE59" s="40">
        <f t="shared" si="71"/>
        <v>0.27197268884408921</v>
      </c>
      <c r="CF59" s="40">
        <f t="shared" si="72"/>
        <v>0.31369330019185981</v>
      </c>
      <c r="CG59" s="40">
        <f t="shared" si="73"/>
        <v>0.37806977765688732</v>
      </c>
      <c r="CH59" s="40">
        <f t="shared" si="74"/>
        <v>0.39565539321793791</v>
      </c>
      <c r="CI59" s="40">
        <f t="shared" si="75"/>
        <v>0.40906290741152596</v>
      </c>
      <c r="CJ59" s="40">
        <f t="shared" si="76"/>
        <v>0.44549500148834631</v>
      </c>
      <c r="CK59" s="40">
        <f t="shared" si="77"/>
        <v>0.49892879107360677</v>
      </c>
      <c r="CL59" s="113">
        <f t="shared" si="78"/>
        <v>0.55424800255794737</v>
      </c>
      <c r="CM59" s="113">
        <f t="shared" si="79"/>
        <v>0.62771323413292979</v>
      </c>
      <c r="CN59" s="691">
        <f t="shared" si="80"/>
        <v>0.65648989314528361</v>
      </c>
      <c r="CO59" s="691">
        <f t="shared" si="81"/>
        <v>0.71503128929626325</v>
      </c>
      <c r="CP59" s="691">
        <f t="shared" si="82"/>
        <v>0.75153791980224205</v>
      </c>
      <c r="CQ59" s="691">
        <f t="shared" si="83"/>
        <v>0.74221549661016373</v>
      </c>
    </row>
    <row r="60" spans="1:95" ht="14">
      <c r="A60" s="13" t="s">
        <v>51</v>
      </c>
      <c r="B60" s="319">
        <v>94475606</v>
      </c>
      <c r="C60" s="319">
        <v>106903373</v>
      </c>
      <c r="D60" s="319">
        <v>110769312</v>
      </c>
      <c r="E60" s="319">
        <v>122178895</v>
      </c>
      <c r="F60" s="319">
        <v>129241519</v>
      </c>
      <c r="G60" s="319">
        <v>133100513</v>
      </c>
      <c r="H60" s="319">
        <v>137998089</v>
      </c>
      <c r="I60" s="319">
        <v>142121745</v>
      </c>
      <c r="J60" s="319">
        <v>148272816.20275426</v>
      </c>
      <c r="K60" s="319">
        <v>153138569.83915967</v>
      </c>
      <c r="L60" s="319">
        <v>156506270.02056211</v>
      </c>
      <c r="M60" s="319">
        <v>167476758.39243436</v>
      </c>
      <c r="N60" s="319">
        <v>169625325.69174632</v>
      </c>
      <c r="O60" s="319">
        <v>169802098.4864828</v>
      </c>
      <c r="P60" s="319">
        <v>175955054</v>
      </c>
      <c r="Q60" s="319">
        <v>178194744</v>
      </c>
      <c r="R60" s="319">
        <v>183219134</v>
      </c>
      <c r="S60" s="319">
        <v>185782961</v>
      </c>
      <c r="T60" s="340">
        <v>191795318</v>
      </c>
      <c r="U60" s="340">
        <v>194468664</v>
      </c>
      <c r="V60" s="666">
        <v>198577260</v>
      </c>
      <c r="W60" s="667">
        <v>205464917</v>
      </c>
      <c r="X60" s="290"/>
      <c r="Y60" s="13" t="s">
        <v>51</v>
      </c>
      <c r="Z60" s="319">
        <f>B60/'Population &amp; Income'!B59</f>
        <v>6809.5434625918988</v>
      </c>
      <c r="AA60" s="319">
        <f>C60/'Population &amp; Income'!C59</f>
        <v>7496.2045438608793</v>
      </c>
      <c r="AB60" s="319">
        <f>D60/'Population &amp; Income'!D59</f>
        <v>7694.9852031955543</v>
      </c>
      <c r="AC60" s="319">
        <f>E60/'Population &amp; Income'!E59</f>
        <v>8343.2733542747883</v>
      </c>
      <c r="AD60" s="319">
        <f>F60/'Population &amp; Income'!F59</f>
        <v>8704.8911564625851</v>
      </c>
      <c r="AE60" s="319">
        <f>G60/'Population &amp; Income'!G59</f>
        <v>8990.2406619385347</v>
      </c>
      <c r="AF60" s="319">
        <f>H60/'Population &amp; Income'!H59</f>
        <v>9196.1941223510603</v>
      </c>
      <c r="AG60" s="319">
        <f>I60/'Population &amp; Income'!I59</f>
        <v>9408.9205561072486</v>
      </c>
      <c r="AH60" s="319">
        <f>J60/'Population &amp; Income'!J59</f>
        <v>9831.1110066804304</v>
      </c>
      <c r="AI60" s="319">
        <f>K60/'Population &amp; Income'!K59</f>
        <v>10001.212763790469</v>
      </c>
      <c r="AJ60" s="319">
        <f>L60/'Population &amp; Income'!L59</f>
        <v>10202.494786216565</v>
      </c>
      <c r="AK60" s="319">
        <f>M60/'Population &amp; Income'!M59</f>
        <v>10863.827088248207</v>
      </c>
      <c r="AL60" s="319">
        <f>N60/'Population &amp; Income'!N59</f>
        <v>10997.492588935835</v>
      </c>
      <c r="AM60" s="319">
        <f>O60/'Population &amp; Income'!O59</f>
        <v>10923.261401510634</v>
      </c>
      <c r="AN60" s="319">
        <f>P60/'Population &amp; Income'!P59</f>
        <v>11252.48155016947</v>
      </c>
      <c r="AO60" s="319">
        <f>Q60/'Population &amp; Income'!Q59</f>
        <v>11346.370200573067</v>
      </c>
      <c r="AP60" s="319">
        <f>R60/'Population &amp; Income'!R59</f>
        <v>11726.024576</v>
      </c>
      <c r="AQ60" s="319">
        <f>S60/'Population &amp; Income'!S59</f>
        <v>11797.241617983236</v>
      </c>
      <c r="AR60" s="319">
        <f>T60/'Population &amp; Income'!T59</f>
        <v>12112.113545942533</v>
      </c>
      <c r="AS60" s="319">
        <f>U60/'Population &amp; Income'!U59</f>
        <v>12220.741783447496</v>
      </c>
      <c r="AT60" s="319">
        <f>V60/'Population &amp; Income'!V59</f>
        <v>12397.131976526407</v>
      </c>
      <c r="AU60" s="319">
        <f>W60/'Population &amp; Income'!W59</f>
        <v>12791.191994023533</v>
      </c>
      <c r="AV60" s="690"/>
      <c r="AW60" s="690"/>
      <c r="AX60" s="13" t="s">
        <v>51</v>
      </c>
      <c r="AY60" s="40">
        <f t="shared" si="42"/>
        <v>0.13154471853824362</v>
      </c>
      <c r="AZ60" s="40">
        <f t="shared" si="43"/>
        <v>3.6162928180011683E-2</v>
      </c>
      <c r="BA60" s="40">
        <f t="shared" si="44"/>
        <v>0.10300310432550128</v>
      </c>
      <c r="BB60" s="40">
        <f t="shared" si="45"/>
        <v>5.780559727602709E-2</v>
      </c>
      <c r="BC60" s="40">
        <f t="shared" si="46"/>
        <v>2.9858779360214732E-2</v>
      </c>
      <c r="BD60" s="40">
        <f t="shared" si="47"/>
        <v>3.6796071552331285E-2</v>
      </c>
      <c r="BE60" s="40">
        <f t="shared" si="48"/>
        <v>2.9881979017839878E-2</v>
      </c>
      <c r="BF60" s="40">
        <f t="shared" si="49"/>
        <v>4.3280296078226872E-2</v>
      </c>
      <c r="BG60" s="40">
        <f t="shared" si="50"/>
        <v>3.2816221887576345E-2</v>
      </c>
      <c r="BH60" s="40">
        <f t="shared" si="51"/>
        <v>2.1991195196216839E-2</v>
      </c>
      <c r="BI60" s="40">
        <f t="shared" si="52"/>
        <v>7.0096158897857072E-2</v>
      </c>
      <c r="BJ60" s="40">
        <f t="shared" si="53"/>
        <v>1.2829047564184438E-2</v>
      </c>
      <c r="BK60" s="40">
        <f t="shared" si="54"/>
        <v>1.04213680366172E-3</v>
      </c>
      <c r="BL60" s="40">
        <f t="shared" si="55"/>
        <v>3.6236039297282363E-2</v>
      </c>
      <c r="BM60" s="40">
        <f t="shared" si="56"/>
        <v>1.2728761971224765E-2</v>
      </c>
      <c r="BN60" s="40">
        <f t="shared" si="57"/>
        <v>2.8196061719979799E-2</v>
      </c>
      <c r="BO60" s="40">
        <f t="shared" si="58"/>
        <v>1.3993227366744349E-2</v>
      </c>
      <c r="BP60" s="691">
        <f t="shared" si="59"/>
        <v>3.2362262758854406E-2</v>
      </c>
      <c r="BQ60" s="691">
        <f t="shared" si="60"/>
        <v>1.393853628898282E-2</v>
      </c>
      <c r="BR60" s="691">
        <f t="shared" si="61"/>
        <v>2.1127290718673319E-2</v>
      </c>
      <c r="BS60" s="691">
        <f t="shared" si="62"/>
        <v>3.468502385419156E-2</v>
      </c>
      <c r="BT60" s="40"/>
      <c r="BU60" s="3"/>
      <c r="BV60" s="13" t="s">
        <v>51</v>
      </c>
      <c r="BW60" s="40">
        <f t="shared" si="63"/>
        <v>0.13154471853824362</v>
      </c>
      <c r="BX60" s="40">
        <f t="shared" si="64"/>
        <v>0.17246468892721364</v>
      </c>
      <c r="BY60" s="40">
        <f t="shared" si="65"/>
        <v>0.29323219159874986</v>
      </c>
      <c r="BZ60" s="40">
        <f t="shared" si="66"/>
        <v>0.36798825085070108</v>
      </c>
      <c r="CA60" s="40">
        <f t="shared" si="67"/>
        <v>0.40883471020021822</v>
      </c>
      <c r="CB60" s="40">
        <f t="shared" si="68"/>
        <v>0.4606742930021534</v>
      </c>
      <c r="CC60" s="40">
        <f t="shared" si="69"/>
        <v>0.5043221315775418</v>
      </c>
      <c r="CD60" s="40">
        <f t="shared" si="70"/>
        <v>0.56942963882924724</v>
      </c>
      <c r="CE60" s="40">
        <f t="shared" si="71"/>
        <v>0.62093239009400658</v>
      </c>
      <c r="CF60" s="40">
        <f t="shared" si="72"/>
        <v>0.65657863068443412</v>
      </c>
      <c r="CG60" s="40">
        <f t="shared" si="73"/>
        <v>0.77269842960768476</v>
      </c>
      <c r="CH60" s="40">
        <f t="shared" si="74"/>
        <v>0.79544046207807684</v>
      </c>
      <c r="CI60" s="40">
        <f t="shared" si="75"/>
        <v>0.79731155666239173</v>
      </c>
      <c r="CJ60" s="40">
        <f t="shared" si="76"/>
        <v>0.86243900885906988</v>
      </c>
      <c r="CK60" s="40">
        <f t="shared" si="77"/>
        <v>0.88614555168876075</v>
      </c>
      <c r="CL60" s="113">
        <f t="shared" si="78"/>
        <v>0.9393274280770425</v>
      </c>
      <c r="CM60" s="113">
        <f t="shared" si="79"/>
        <v>0.9664648777166881</v>
      </c>
      <c r="CN60" s="691">
        <f t="shared" si="80"/>
        <v>1.030104130795414</v>
      </c>
      <c r="CO60" s="691">
        <f t="shared" si="81"/>
        <v>1.0584008108929197</v>
      </c>
      <c r="CP60" s="691">
        <f t="shared" si="82"/>
        <v>1.1018892432402074</v>
      </c>
      <c r="CQ60" s="691">
        <f t="shared" si="83"/>
        <v>1.1747933217808626</v>
      </c>
    </row>
    <row r="61" spans="1:95" ht="14">
      <c r="A61" s="13" t="s">
        <v>52</v>
      </c>
      <c r="B61" s="319">
        <v>76849905</v>
      </c>
      <c r="C61" s="319">
        <v>82309323</v>
      </c>
      <c r="D61" s="319">
        <v>84756225</v>
      </c>
      <c r="E61" s="319">
        <v>90203239</v>
      </c>
      <c r="F61" s="319">
        <v>93710462</v>
      </c>
      <c r="G61" s="319">
        <v>94002021</v>
      </c>
      <c r="H61" s="319">
        <v>95593480</v>
      </c>
      <c r="I61" s="319">
        <v>95823586</v>
      </c>
      <c r="J61" s="319">
        <v>98142123.662399873</v>
      </c>
      <c r="K61" s="319">
        <v>104443807.03344485</v>
      </c>
      <c r="L61" s="319">
        <v>108211288.28600298</v>
      </c>
      <c r="M61" s="319">
        <v>109929786.94008559</v>
      </c>
      <c r="N61" s="319">
        <v>112871726.43749192</v>
      </c>
      <c r="O61" s="319">
        <v>112429469.28399928</v>
      </c>
      <c r="P61" s="319">
        <v>109284892</v>
      </c>
      <c r="Q61" s="319">
        <v>111278184</v>
      </c>
      <c r="R61" s="319">
        <v>114594686</v>
      </c>
      <c r="S61" s="319">
        <v>115777526</v>
      </c>
      <c r="T61" s="340">
        <v>118723364</v>
      </c>
      <c r="U61" s="340">
        <v>129902242</v>
      </c>
      <c r="V61" s="666">
        <v>133263788</v>
      </c>
      <c r="W61" s="667">
        <v>136560203</v>
      </c>
      <c r="X61" s="290"/>
      <c r="Y61" s="13" t="s">
        <v>52</v>
      </c>
      <c r="Z61" s="319">
        <f>B61/'Population &amp; Income'!B60</f>
        <v>8502.0361765682046</v>
      </c>
      <c r="AA61" s="319">
        <f>C61/'Population &amp; Income'!C60</f>
        <v>9039.0207555457946</v>
      </c>
      <c r="AB61" s="319">
        <f>D61/'Population &amp; Income'!D60</f>
        <v>9251.8529636502572</v>
      </c>
      <c r="AC61" s="319">
        <f>E61/'Population &amp; Income'!E60</f>
        <v>9764.3688027711632</v>
      </c>
      <c r="AD61" s="319">
        <f>F61/'Population &amp; Income'!F60</f>
        <v>10045.070425554723</v>
      </c>
      <c r="AE61" s="319">
        <f>G61/'Population &amp; Income'!G60</f>
        <v>10117.5353567969</v>
      </c>
      <c r="AF61" s="319">
        <f>H61/'Population &amp; Income'!H60</f>
        <v>10324.384922777837</v>
      </c>
      <c r="AG61" s="319">
        <f>I61/'Population &amp; Income'!I60</f>
        <v>10332.497951261592</v>
      </c>
      <c r="AH61" s="319">
        <f>J61/'Population &amp; Income'!J60</f>
        <v>10605.373207521059</v>
      </c>
      <c r="AI61" s="319">
        <f>K61/'Population &amp; Income'!K60</f>
        <v>11341.492782435102</v>
      </c>
      <c r="AJ61" s="319">
        <f>L61/'Population &amp; Income'!L60</f>
        <v>11737.855329862565</v>
      </c>
      <c r="AK61" s="319">
        <f>M61/'Population &amp; Income'!M60</f>
        <v>11928.145284297481</v>
      </c>
      <c r="AL61" s="319">
        <f>N61/'Population &amp; Income'!N60</f>
        <v>12326.277868023581</v>
      </c>
      <c r="AM61" s="319">
        <f>O61/'Population &amp; Income'!O60</f>
        <v>12472.761180829741</v>
      </c>
      <c r="AN61" s="319">
        <f>P61/'Population &amp; Income'!P60</f>
        <v>12427.210825562885</v>
      </c>
      <c r="AO61" s="319">
        <f>Q61/'Population &amp; Income'!Q60</f>
        <v>12772.977961432507</v>
      </c>
      <c r="AP61" s="319">
        <f>R61/'Population &amp; Income'!R60</f>
        <v>13167.262553142595</v>
      </c>
      <c r="AQ61" s="319">
        <f>S61/'Population &amp; Income'!S60</f>
        <v>13195.52382037839</v>
      </c>
      <c r="AR61" s="319">
        <f>T61/'Population &amp; Income'!T60</f>
        <v>13673.081193136013</v>
      </c>
      <c r="AS61" s="319">
        <f>U61/'Population &amp; Income'!U60</f>
        <v>15175.495560747664</v>
      </c>
      <c r="AT61" s="319">
        <f>V61/'Population &amp; Income'!V60</f>
        <v>15571.837812573031</v>
      </c>
      <c r="AU61" s="319">
        <f>W61/'Population &amp; Income'!W60</f>
        <v>15856.967371110079</v>
      </c>
      <c r="AV61" s="690"/>
      <c r="AW61" s="690"/>
      <c r="AX61" s="13" t="s">
        <v>52</v>
      </c>
      <c r="AY61" s="40">
        <f t="shared" si="42"/>
        <v>7.1040009743668517E-2</v>
      </c>
      <c r="AZ61" s="40">
        <f t="shared" si="43"/>
        <v>2.9728126909754803E-2</v>
      </c>
      <c r="BA61" s="40">
        <f t="shared" si="44"/>
        <v>6.4266831138361818E-2</v>
      </c>
      <c r="BB61" s="40">
        <f t="shared" si="45"/>
        <v>3.888134216555128E-2</v>
      </c>
      <c r="BC61" s="40">
        <f t="shared" si="46"/>
        <v>3.1112748115573264E-3</v>
      </c>
      <c r="BD61" s="40">
        <f t="shared" si="47"/>
        <v>1.6930050897522725E-2</v>
      </c>
      <c r="BE61" s="40">
        <f t="shared" si="48"/>
        <v>2.4071306955244227E-3</v>
      </c>
      <c r="BF61" s="40">
        <f t="shared" si="49"/>
        <v>2.4195897473507963E-2</v>
      </c>
      <c r="BG61" s="40">
        <f t="shared" si="50"/>
        <v>6.4209771868420182E-2</v>
      </c>
      <c r="BH61" s="40">
        <f t="shared" si="51"/>
        <v>3.6071849155706374E-2</v>
      </c>
      <c r="BI61" s="40">
        <f t="shared" si="52"/>
        <v>1.5880955501986177E-2</v>
      </c>
      <c r="BJ61" s="40">
        <f t="shared" si="53"/>
        <v>2.6761986712571018E-2</v>
      </c>
      <c r="BK61" s="40">
        <f t="shared" si="54"/>
        <v>-3.9182279517764379E-3</v>
      </c>
      <c r="BL61" s="40">
        <f t="shared" si="55"/>
        <v>-2.7969333165275456E-2</v>
      </c>
      <c r="BM61" s="40">
        <f t="shared" si="56"/>
        <v>1.8239410439276457E-2</v>
      </c>
      <c r="BN61" s="40">
        <f t="shared" si="57"/>
        <v>2.9803703482436415E-2</v>
      </c>
      <c r="BO61" s="40">
        <f t="shared" si="58"/>
        <v>1.032194459697721E-2</v>
      </c>
      <c r="BP61" s="691">
        <f t="shared" si="59"/>
        <v>2.544395360460544E-2</v>
      </c>
      <c r="BQ61" s="691">
        <f t="shared" si="60"/>
        <v>9.4159040170054484E-2</v>
      </c>
      <c r="BR61" s="691">
        <f t="shared" si="61"/>
        <v>2.5877505639971942E-2</v>
      </c>
      <c r="BS61" s="691">
        <f t="shared" si="62"/>
        <v>2.4736014557833221E-2</v>
      </c>
      <c r="BT61" s="40"/>
      <c r="BU61" s="3"/>
      <c r="BV61" s="13" t="s">
        <v>52</v>
      </c>
      <c r="BW61" s="40">
        <f t="shared" si="63"/>
        <v>7.1040009743668517E-2</v>
      </c>
      <c r="BX61" s="40">
        <f t="shared" si="64"/>
        <v>0.10288002307875332</v>
      </c>
      <c r="BY61" s="40">
        <f t="shared" si="65"/>
        <v>0.17375862728782815</v>
      </c>
      <c r="BZ61" s="40">
        <f t="shared" si="66"/>
        <v>0.21939593809517396</v>
      </c>
      <c r="CA61" s="40">
        <f t="shared" si="67"/>
        <v>0.22318981396268481</v>
      </c>
      <c r="CB61" s="40">
        <f t="shared" si="68"/>
        <v>0.24389847977040441</v>
      </c>
      <c r="CC61" s="40">
        <f t="shared" si="69"/>
        <v>0.24689270598317592</v>
      </c>
      <c r="CD61" s="40">
        <f t="shared" si="70"/>
        <v>0.27706239405760974</v>
      </c>
      <c r="CE61" s="40">
        <f t="shared" si="71"/>
        <v>0.35906227904178739</v>
      </c>
      <c r="CF61" s="40">
        <f t="shared" si="72"/>
        <v>0.40808616856459329</v>
      </c>
      <c r="CG61" s="40">
        <f t="shared" si="73"/>
        <v>0.43044792235052975</v>
      </c>
      <c r="CH61" s="40">
        <f t="shared" si="74"/>
        <v>0.46872955064149946</v>
      </c>
      <c r="CI61" s="40">
        <f t="shared" si="75"/>
        <v>0.46297473346257589</v>
      </c>
      <c r="CJ61" s="40">
        <f t="shared" si="76"/>
        <v>0.42205630572998104</v>
      </c>
      <c r="CK61" s="40">
        <f t="shared" si="77"/>
        <v>0.4479937743579514</v>
      </c>
      <c r="CL61" s="113">
        <f t="shared" si="78"/>
        <v>0.49114935145332972</v>
      </c>
      <c r="CM61" s="113">
        <f t="shared" si="79"/>
        <v>0.50654091244484944</v>
      </c>
      <c r="CN61" s="691">
        <f t="shared" si="80"/>
        <v>0.54487326952453619</v>
      </c>
      <c r="CO61" s="691">
        <f t="shared" si="81"/>
        <v>0.69033705376734034</v>
      </c>
      <c r="CP61" s="691">
        <f t="shared" si="82"/>
        <v>0.73407876040965825</v>
      </c>
      <c r="CQ61" s="691">
        <f t="shared" si="83"/>
        <v>0.77697295787158094</v>
      </c>
    </row>
    <row r="62" spans="1:95" ht="14" customHeight="1">
      <c r="A62" s="13" t="s">
        <v>53</v>
      </c>
      <c r="B62" s="319">
        <v>105382483</v>
      </c>
      <c r="C62" s="319">
        <v>119613559</v>
      </c>
      <c r="D62" s="319">
        <v>122816333</v>
      </c>
      <c r="E62" s="319">
        <v>128640895</v>
      </c>
      <c r="F62" s="319">
        <v>134353084</v>
      </c>
      <c r="G62" s="319">
        <v>148175646</v>
      </c>
      <c r="H62" s="319">
        <v>149084985</v>
      </c>
      <c r="I62" s="319">
        <v>149214744</v>
      </c>
      <c r="J62" s="319">
        <v>150638227.4225277</v>
      </c>
      <c r="K62" s="319">
        <v>164175094.78524977</v>
      </c>
      <c r="L62" s="319">
        <v>168475438.66631439</v>
      </c>
      <c r="M62" s="319">
        <v>182213392.783905</v>
      </c>
      <c r="N62" s="319">
        <v>184208719.25232139</v>
      </c>
      <c r="O62" s="319">
        <v>190055175.36605257</v>
      </c>
      <c r="P62" s="319">
        <v>209186690</v>
      </c>
      <c r="Q62" s="319">
        <v>204346002</v>
      </c>
      <c r="R62" s="319">
        <v>207044863</v>
      </c>
      <c r="S62" s="319">
        <v>212993953</v>
      </c>
      <c r="T62" s="340">
        <v>222426523</v>
      </c>
      <c r="U62" s="340">
        <v>218448310</v>
      </c>
      <c r="V62" s="666">
        <v>221678923</v>
      </c>
      <c r="W62" s="667">
        <v>222537972</v>
      </c>
      <c r="X62" s="290"/>
      <c r="Y62" s="13" t="s">
        <v>53</v>
      </c>
      <c r="Z62" s="319">
        <f>B62/'Population &amp; Income'!B61</f>
        <v>8922.401405469478</v>
      </c>
      <c r="AA62" s="319">
        <f>C62/'Population &amp; Income'!C61</f>
        <v>10123.872958104104</v>
      </c>
      <c r="AB62" s="319">
        <f>D62/'Population &amp; Income'!D61</f>
        <v>10161.026971126003</v>
      </c>
      <c r="AC62" s="319">
        <f>E62/'Population &amp; Income'!E61</f>
        <v>10593.831425512641</v>
      </c>
      <c r="AD62" s="319">
        <f>F62/'Population &amp; Income'!F61</f>
        <v>11066.064080388765</v>
      </c>
      <c r="AE62" s="319">
        <f>G62/'Population &amp; Income'!G61</f>
        <v>12225.713366336633</v>
      </c>
      <c r="AF62" s="319">
        <f>H62/'Population &amp; Income'!H61</f>
        <v>12337.387040714995</v>
      </c>
      <c r="AG62" s="319">
        <f>I62/'Population &amp; Income'!I61</f>
        <v>12336.894915254237</v>
      </c>
      <c r="AH62" s="319">
        <f>J62/'Population &amp; Income'!J61</f>
        <v>12311.067948882617</v>
      </c>
      <c r="AI62" s="319">
        <f>K62/'Population &amp; Income'!K61</f>
        <v>13363.866079385411</v>
      </c>
      <c r="AJ62" s="319">
        <f>L62/'Population &amp; Income'!L61</f>
        <v>13762.084517751544</v>
      </c>
      <c r="AK62" s="319">
        <f>M62/'Population &amp; Income'!M61</f>
        <v>14815.30147035572</v>
      </c>
      <c r="AL62" s="319">
        <f>N62/'Population &amp; Income'!N61</f>
        <v>15009.265807245285</v>
      </c>
      <c r="AM62" s="319">
        <f>O62/'Population &amp; Income'!O61</f>
        <v>15605.154394125344</v>
      </c>
      <c r="AN62" s="319">
        <f>P62/'Population &amp; Income'!P61</f>
        <v>17089.019687933993</v>
      </c>
      <c r="AO62" s="319">
        <f>Q62/'Population &amp; Income'!Q61</f>
        <v>16726.36506507326</v>
      </c>
      <c r="AP62" s="319">
        <f>R62/'Population &amp; Income'!R61</f>
        <v>17259.491747249082</v>
      </c>
      <c r="AQ62" s="319">
        <f>S62/'Population &amp; Income'!S61</f>
        <v>17801.416882574176</v>
      </c>
      <c r="AR62" s="319">
        <f>T62/'Population &amp; Income'!T61</f>
        <v>18817.810744500846</v>
      </c>
      <c r="AS62" s="319">
        <f>U62/'Population &amp; Income'!U61</f>
        <v>18672.391657406617</v>
      </c>
      <c r="AT62" s="319">
        <f>V62/'Population &amp; Income'!V61</f>
        <v>19077.359982788297</v>
      </c>
      <c r="AU62" s="319">
        <f>W62/'Population &amp; Income'!W61</f>
        <v>19456.021332400771</v>
      </c>
      <c r="AV62" s="690"/>
      <c r="AW62" s="690"/>
      <c r="AX62" s="13" t="s">
        <v>53</v>
      </c>
      <c r="AY62" s="40">
        <f t="shared" si="42"/>
        <v>0.13504213978332624</v>
      </c>
      <c r="AZ62" s="40">
        <f t="shared" si="43"/>
        <v>2.6776011237990168E-2</v>
      </c>
      <c r="BA62" s="40">
        <f t="shared" si="44"/>
        <v>4.7424978891040491E-2</v>
      </c>
      <c r="BB62" s="40">
        <f t="shared" si="45"/>
        <v>4.4404145353621804E-2</v>
      </c>
      <c r="BC62" s="40">
        <f t="shared" si="46"/>
        <v>0.10288235735623308</v>
      </c>
      <c r="BD62" s="40">
        <f t="shared" si="47"/>
        <v>6.1368991770752931E-3</v>
      </c>
      <c r="BE62" s="40">
        <f t="shared" si="48"/>
        <v>8.7036934001100109E-4</v>
      </c>
      <c r="BF62" s="40">
        <f t="shared" si="49"/>
        <v>9.5398308797668193E-3</v>
      </c>
      <c r="BG62" s="40">
        <f t="shared" si="50"/>
        <v>8.986342706192553E-2</v>
      </c>
      <c r="BH62" s="40">
        <f t="shared" si="51"/>
        <v>2.6193643357963124E-2</v>
      </c>
      <c r="BI62" s="40">
        <f t="shared" si="52"/>
        <v>8.1542771019580226E-2</v>
      </c>
      <c r="BJ62" s="40">
        <f t="shared" si="53"/>
        <v>1.0950492924429213E-2</v>
      </c>
      <c r="BK62" s="40">
        <f t="shared" si="54"/>
        <v>3.173821596209539E-2</v>
      </c>
      <c r="BL62" s="40">
        <f t="shared" si="55"/>
        <v>0.1006629500990936</v>
      </c>
      <c r="BM62" s="40">
        <f t="shared" si="56"/>
        <v>-2.3140516253687078E-2</v>
      </c>
      <c r="BN62" s="40">
        <f t="shared" si="57"/>
        <v>1.3207310021166941E-2</v>
      </c>
      <c r="BO62" s="40">
        <f t="shared" si="58"/>
        <v>2.8733337856346623E-2</v>
      </c>
      <c r="BP62" s="691">
        <f t="shared" si="59"/>
        <v>4.4285623451478927E-2</v>
      </c>
      <c r="BQ62" s="691">
        <f t="shared" si="60"/>
        <v>-1.7885515388827978E-2</v>
      </c>
      <c r="BR62" s="691">
        <f t="shared" si="61"/>
        <v>1.4788912763847887E-2</v>
      </c>
      <c r="BS62" s="691">
        <f t="shared" si="62"/>
        <v>3.8751947563368484E-3</v>
      </c>
      <c r="BT62" s="40"/>
      <c r="BU62" s="3"/>
      <c r="BV62" s="13" t="s">
        <v>53</v>
      </c>
      <c r="BW62" s="40">
        <f t="shared" si="63"/>
        <v>0.13504213978332624</v>
      </c>
      <c r="BX62" s="40">
        <f t="shared" si="64"/>
        <v>0.16543404087375699</v>
      </c>
      <c r="BY62" s="40">
        <f t="shared" si="65"/>
        <v>0.22070472566109492</v>
      </c>
      <c r="BZ62" s="40">
        <f t="shared" si="66"/>
        <v>0.27490907573320322</v>
      </c>
      <c r="CA62" s="40">
        <f t="shared" si="67"/>
        <v>0.40607472685949142</v>
      </c>
      <c r="CB62" s="40">
        <f t="shared" si="68"/>
        <v>0.41470366569366179</v>
      </c>
      <c r="CC62" s="40">
        <f t="shared" si="69"/>
        <v>0.41593498038948273</v>
      </c>
      <c r="CD62" s="40">
        <f t="shared" si="70"/>
        <v>0.42944276063914438</v>
      </c>
      <c r="CE62" s="40">
        <f t="shared" si="71"/>
        <v>0.55789738589903759</v>
      </c>
      <c r="CF62" s="40">
        <f t="shared" si="72"/>
        <v>0.59870439441358003</v>
      </c>
      <c r="CG62" s="40">
        <f t="shared" si="73"/>
        <v>0.72906718077524324</v>
      </c>
      <c r="CH62" s="40">
        <f t="shared" si="74"/>
        <v>0.74800131870418529</v>
      </c>
      <c r="CI62" s="40">
        <f t="shared" si="75"/>
        <v>0.80347976205924632</v>
      </c>
      <c r="CJ62" s="40">
        <f t="shared" si="76"/>
        <v>0.98502335535214136</v>
      </c>
      <c r="CK62" s="40">
        <f t="shared" si="77"/>
        <v>0.9390888901336667</v>
      </c>
      <c r="CL62" s="113">
        <f t="shared" si="78"/>
        <v>0.96469903826426262</v>
      </c>
      <c r="CM62" s="113">
        <f t="shared" si="79"/>
        <v>1.0211513995167489</v>
      </c>
      <c r="CN62" s="691">
        <f t="shared" si="80"/>
        <v>1.1106593493341772</v>
      </c>
      <c r="CO62" s="691">
        <f t="shared" si="81"/>
        <v>1.0729091190610873</v>
      </c>
      <c r="CP62" s="691">
        <f t="shared" si="82"/>
        <v>1.1035651911902664</v>
      </c>
      <c r="CQ62" s="691">
        <f t="shared" si="83"/>
        <v>1.1117169159887796</v>
      </c>
    </row>
    <row r="63" spans="1:95" ht="14">
      <c r="A63" s="13" t="s">
        <v>54</v>
      </c>
      <c r="B63" s="321">
        <v>199395045</v>
      </c>
      <c r="C63" s="321">
        <v>232260545</v>
      </c>
      <c r="D63" s="321">
        <v>239061140</v>
      </c>
      <c r="E63" s="321">
        <v>247933720</v>
      </c>
      <c r="F63" s="321">
        <v>261499619</v>
      </c>
      <c r="G63" s="321">
        <v>306390639</v>
      </c>
      <c r="H63" s="321">
        <v>316336004</v>
      </c>
      <c r="I63" s="321">
        <v>323594648</v>
      </c>
      <c r="J63" s="321">
        <v>331912453.56273597</v>
      </c>
      <c r="K63" s="321">
        <v>401522232.11115831</v>
      </c>
      <c r="L63" s="321">
        <v>409445569.93595058</v>
      </c>
      <c r="M63" s="321">
        <v>463026712.36458099</v>
      </c>
      <c r="N63" s="321">
        <v>470579477.68667674</v>
      </c>
      <c r="O63" s="321">
        <v>468061442.65407139</v>
      </c>
      <c r="P63" s="321">
        <v>468209117</v>
      </c>
      <c r="Q63" s="321">
        <v>467668619</v>
      </c>
      <c r="R63" s="321">
        <v>466424202</v>
      </c>
      <c r="S63" s="321">
        <v>463347094</v>
      </c>
      <c r="T63" s="340">
        <v>480964580</v>
      </c>
      <c r="U63" s="340">
        <v>508898755</v>
      </c>
      <c r="V63" s="666">
        <v>498220754</v>
      </c>
      <c r="W63" s="667">
        <v>518360953</v>
      </c>
      <c r="X63" s="290"/>
      <c r="Y63" s="13" t="s">
        <v>54</v>
      </c>
      <c r="Z63" s="319">
        <f>B63/'Population &amp; Income'!B62</f>
        <v>11266.529833879535</v>
      </c>
      <c r="AA63" s="319">
        <f>C63/'Population &amp; Income'!C62</f>
        <v>12791.790769400232</v>
      </c>
      <c r="AB63" s="319">
        <f>D63/'Population &amp; Income'!D62</f>
        <v>12907.571945359321</v>
      </c>
      <c r="AC63" s="319">
        <f>E63/'Population &amp; Income'!E62</f>
        <v>13023.096963966804</v>
      </c>
      <c r="AD63" s="319">
        <f>F63/'Population &amp; Income'!F62</f>
        <v>13555.524285936446</v>
      </c>
      <c r="AE63" s="319">
        <f>G63/'Population &amp; Income'!G62</f>
        <v>15677.768970987054</v>
      </c>
      <c r="AF63" s="319">
        <f>H63/'Population &amp; Income'!H62</f>
        <v>16149.479477230958</v>
      </c>
      <c r="AG63" s="319">
        <f>I63/'Population &amp; Income'!I62</f>
        <v>16317.616257374817</v>
      </c>
      <c r="AH63" s="319">
        <f>J63/'Population &amp; Income'!J62</f>
        <v>16508.129591302892</v>
      </c>
      <c r="AI63" s="319">
        <f>K63/'Population &amp; Income'!K62</f>
        <v>19805.762941407702</v>
      </c>
      <c r="AJ63" s="319">
        <f>L63/'Population &amp; Income'!L62</f>
        <v>19904.986384829877</v>
      </c>
      <c r="AK63" s="319">
        <f>M63/'Population &amp; Income'!M62</f>
        <v>22351.163948859867</v>
      </c>
      <c r="AL63" s="319">
        <f>N63/'Population &amp; Income'!N62</f>
        <v>22683.995068049011</v>
      </c>
      <c r="AM63" s="319">
        <f>O63/'Population &amp; Income'!O62</f>
        <v>22758.992640964279</v>
      </c>
      <c r="AN63" s="319">
        <f>P63/'Population &amp; Income'!P62</f>
        <v>22759.533200466652</v>
      </c>
      <c r="AO63" s="319">
        <f>Q63/'Population &amp; Income'!Q62</f>
        <v>22929.428270249067</v>
      </c>
      <c r="AP63" s="319">
        <f>R63/'Population &amp; Income'!R62</f>
        <v>23185.574489237959</v>
      </c>
      <c r="AQ63" s="319">
        <f>S63/'Population &amp; Income'!S62</f>
        <v>22864.401381692573</v>
      </c>
      <c r="AR63" s="319">
        <f>T63/'Population &amp; Income'!T62</f>
        <v>23817.202139249282</v>
      </c>
      <c r="AS63" s="319">
        <f>U63/'Population &amp; Income'!U62</f>
        <v>25245.498313324733</v>
      </c>
      <c r="AT63" s="319">
        <f>V63/'Population &amp; Income'!V62</f>
        <v>24648.530846484937</v>
      </c>
      <c r="AU63" s="319">
        <f>W63/'Population &amp; Income'!W62</f>
        <v>25731.494316207496</v>
      </c>
      <c r="AV63" s="690"/>
      <c r="AW63" s="690"/>
      <c r="AX63" s="13" t="s">
        <v>54</v>
      </c>
      <c r="AY63" s="40">
        <f t="shared" si="42"/>
        <v>0.16482606175093267</v>
      </c>
      <c r="AZ63" s="40">
        <f t="shared" si="43"/>
        <v>2.928002687671296E-2</v>
      </c>
      <c r="BA63" s="40">
        <f t="shared" si="44"/>
        <v>3.7114271269684397E-2</v>
      </c>
      <c r="BB63" s="40">
        <f t="shared" si="45"/>
        <v>5.4715828891689279E-2</v>
      </c>
      <c r="BC63" s="40">
        <f t="shared" si="46"/>
        <v>0.17166763061325913</v>
      </c>
      <c r="BD63" s="40">
        <f t="shared" si="47"/>
        <v>3.245975475118873E-2</v>
      </c>
      <c r="BE63" s="40">
        <f t="shared" si="48"/>
        <v>2.2945993842673689E-2</v>
      </c>
      <c r="BF63" s="40">
        <f t="shared" si="49"/>
        <v>2.5704397814193685E-2</v>
      </c>
      <c r="BG63" s="40">
        <f t="shared" si="50"/>
        <v>0.20972331047308879</v>
      </c>
      <c r="BH63" s="40">
        <f t="shared" si="51"/>
        <v>1.9733248102184169E-2</v>
      </c>
      <c r="BI63" s="40">
        <f t="shared" si="52"/>
        <v>0.13086267470670665</v>
      </c>
      <c r="BJ63" s="40">
        <f t="shared" si="53"/>
        <v>1.6311726992003013E-2</v>
      </c>
      <c r="BK63" s="40">
        <f t="shared" si="54"/>
        <v>-5.3509240245319814E-3</v>
      </c>
      <c r="BL63" s="40">
        <f t="shared" si="55"/>
        <v>3.1550205266053192E-4</v>
      </c>
      <c r="BM63" s="40">
        <f t="shared" si="56"/>
        <v>-1.1543944369626618E-3</v>
      </c>
      <c r="BN63" s="40">
        <f t="shared" si="57"/>
        <v>-2.6608948076543917E-3</v>
      </c>
      <c r="BO63" s="40">
        <f t="shared" si="58"/>
        <v>-6.597230561376401E-3</v>
      </c>
      <c r="BP63" s="691">
        <f t="shared" si="59"/>
        <v>3.8022221846501968E-2</v>
      </c>
      <c r="BQ63" s="691">
        <f t="shared" si="60"/>
        <v>5.8079484772038725E-2</v>
      </c>
      <c r="BR63" s="691">
        <f t="shared" si="61"/>
        <v>-2.0982564596763457E-2</v>
      </c>
      <c r="BS63" s="691">
        <f t="shared" si="62"/>
        <v>4.042424736083957E-2</v>
      </c>
      <c r="BT63" s="40"/>
      <c r="BU63" s="3"/>
      <c r="BV63" s="13" t="s">
        <v>54</v>
      </c>
      <c r="BW63" s="40">
        <f t="shared" si="63"/>
        <v>0.16482606175093267</v>
      </c>
      <c r="BX63" s="40">
        <f t="shared" si="64"/>
        <v>0.19893220014569571</v>
      </c>
      <c r="BY63" s="40">
        <f t="shared" si="65"/>
        <v>0.24342969505586259</v>
      </c>
      <c r="BZ63" s="40">
        <f t="shared" si="66"/>
        <v>0.31146498148938456</v>
      </c>
      <c r="CA63" s="40">
        <f t="shared" si="67"/>
        <v>0.536601067493929</v>
      </c>
      <c r="CB63" s="40">
        <f t="shared" si="68"/>
        <v>0.58647876129519672</v>
      </c>
      <c r="CC63" s="40">
        <f t="shared" si="69"/>
        <v>0.62288209318340881</v>
      </c>
      <c r="CD63" s="40">
        <f t="shared" si="70"/>
        <v>0.66459730011212648</v>
      </c>
      <c r="CE63" s="40">
        <f t="shared" si="71"/>
        <v>1.0137021564962074</v>
      </c>
      <c r="CF63" s="40">
        <f t="shared" si="72"/>
        <v>1.0534390407542504</v>
      </c>
      <c r="CG63" s="40">
        <f t="shared" si="73"/>
        <v>1.3221575659745255</v>
      </c>
      <c r="CH63" s="40">
        <f t="shared" si="74"/>
        <v>1.3600359662231163</v>
      </c>
      <c r="CI63" s="40">
        <f t="shared" si="75"/>
        <v>1.3474075930726934</v>
      </c>
      <c r="CJ63" s="40">
        <f t="shared" si="76"/>
        <v>1.3481482049867388</v>
      </c>
      <c r="CK63" s="40">
        <f t="shared" si="77"/>
        <v>1.3454375157617382</v>
      </c>
      <c r="CL63" s="113">
        <f t="shared" si="78"/>
        <v>1.3391965532543699</v>
      </c>
      <c r="CM63" s="113">
        <f t="shared" si="79"/>
        <v>1.3237643342641738</v>
      </c>
      <c r="CN63" s="691">
        <f t="shared" si="80"/>
        <v>1.4121190173005553</v>
      </c>
      <c r="CO63" s="691">
        <f t="shared" si="81"/>
        <v>1.5522136470342078</v>
      </c>
      <c r="CP63" s="691">
        <f t="shared" si="82"/>
        <v>1.4986616593205713</v>
      </c>
      <c r="CQ63" s="691">
        <f t="shared" si="83"/>
        <v>1.5996681763079921</v>
      </c>
    </row>
    <row r="64" spans="1:95" ht="15" customHeight="1">
      <c r="A64" s="231" t="s">
        <v>513</v>
      </c>
      <c r="B64" s="604">
        <v>329695095</v>
      </c>
      <c r="C64" s="605">
        <v>336663364</v>
      </c>
      <c r="D64" s="606">
        <v>343242002</v>
      </c>
      <c r="E64" s="605">
        <v>353018930</v>
      </c>
      <c r="F64" s="604">
        <v>359545314</v>
      </c>
      <c r="G64" s="605">
        <v>372128594</v>
      </c>
      <c r="H64" s="604">
        <v>374032307</v>
      </c>
      <c r="I64" s="604">
        <v>377723743</v>
      </c>
      <c r="J64" s="607">
        <v>380888673.48920202</v>
      </c>
      <c r="K64" s="607">
        <v>385111936.4009394</v>
      </c>
      <c r="L64" s="607">
        <v>391457189.055987</v>
      </c>
      <c r="M64" s="608">
        <v>398331344.72692919</v>
      </c>
      <c r="N64" s="608">
        <v>400813151.52110648</v>
      </c>
      <c r="O64" s="608">
        <v>391312997.78275627</v>
      </c>
      <c r="P64" s="609">
        <v>411030390</v>
      </c>
      <c r="Q64" s="610">
        <v>424271264</v>
      </c>
      <c r="R64" s="610">
        <v>431212072</v>
      </c>
      <c r="S64" s="610">
        <v>442088644</v>
      </c>
      <c r="T64" s="340">
        <v>447759232</v>
      </c>
      <c r="U64" s="340">
        <v>457937311</v>
      </c>
      <c r="V64" s="666">
        <v>439085257</v>
      </c>
      <c r="W64" s="667">
        <v>414800027</v>
      </c>
      <c r="X64" s="290"/>
      <c r="Y64" s="231" t="s">
        <v>513</v>
      </c>
      <c r="Z64" s="336">
        <f>B64/'Population &amp; Income'!B63</f>
        <v>16023.284166018662</v>
      </c>
      <c r="AA64" s="336">
        <f>C64/'Population &amp; Income'!C63</f>
        <v>16408.195925528806</v>
      </c>
      <c r="AB64" s="336">
        <f>D64/'Population &amp; Income'!D63</f>
        <v>16870.244863855303</v>
      </c>
      <c r="AC64" s="336">
        <f>E64/'Population &amp; Income'!E63</f>
        <v>17696.071482279815</v>
      </c>
      <c r="AD64" s="336">
        <f>F64/'Population &amp; Income'!F63</f>
        <v>18290.955588340032</v>
      </c>
      <c r="AE64" s="336">
        <f>G64/'Population &amp; Income'!G63</f>
        <v>18949.414095121701</v>
      </c>
      <c r="AF64" s="336">
        <f>H64/'Population &amp; Income'!H63</f>
        <v>19264.1278842192</v>
      </c>
      <c r="AG64" s="336">
        <f>I64/'Population &amp; Income'!I63</f>
        <v>19465.279206390107</v>
      </c>
      <c r="AH64" s="336">
        <f>J64/'Population &amp; Income'!J63</f>
        <v>19801.854613423551</v>
      </c>
      <c r="AI64" s="336">
        <f>K64/'Population &amp; Income'!K63</f>
        <v>20355.829399066515</v>
      </c>
      <c r="AJ64" s="336">
        <f>L64/'Population &amp; Income'!L63</f>
        <v>20798.958028584402</v>
      </c>
      <c r="AK64" s="336">
        <f>M64/'Population &amp; Income'!M63</f>
        <v>21210.401742647988</v>
      </c>
      <c r="AL64" s="336">
        <f>N64/'Population &amp; Income'!N63</f>
        <v>21314.179820319408</v>
      </c>
      <c r="AM64" s="336">
        <f>O64/'Population &amp; Income'!O63</f>
        <v>20708.774226437145</v>
      </c>
      <c r="AN64" s="336">
        <f>P64/'Population &amp; Income'!P63</f>
        <v>21712.027362527071</v>
      </c>
      <c r="AO64" s="336">
        <f>Q64/'Population &amp; Income'!Q63</f>
        <v>22580.832614827825</v>
      </c>
      <c r="AP64" s="336">
        <f>R64/'Population &amp; Income'!R63</f>
        <v>23335.249310027601</v>
      </c>
      <c r="AQ64" s="336">
        <f>S64/'Population &amp; Income'!S63</f>
        <v>24068.414851916375</v>
      </c>
      <c r="AR64" s="336">
        <f>T64/'Population &amp; Income'!T63</f>
        <v>24553.588067558674</v>
      </c>
      <c r="AS64" s="336">
        <f>U64/'Population &amp; Income'!U63</f>
        <v>25207.09588814884</v>
      </c>
      <c r="AT64" s="336">
        <f>V64/'Population &amp; Income'!V63</f>
        <v>24509.364052469999</v>
      </c>
      <c r="AU64" s="336">
        <f>W64/'Population &amp; Income'!W63</f>
        <v>23592.311853031508</v>
      </c>
      <c r="AV64" s="695"/>
      <c r="AW64" s="695"/>
      <c r="AX64" s="231" t="s">
        <v>513</v>
      </c>
      <c r="AY64" s="603">
        <f t="shared" si="42"/>
        <v>2.113549490325296E-2</v>
      </c>
      <c r="AZ64" s="603">
        <f t="shared" si="43"/>
        <v>1.9540700603229284E-2</v>
      </c>
      <c r="BA64" s="603">
        <f t="shared" si="44"/>
        <v>2.8484066469231233E-2</v>
      </c>
      <c r="BB64" s="603">
        <f t="shared" si="45"/>
        <v>1.8487348539637804E-2</v>
      </c>
      <c r="BC64" s="603">
        <f t="shared" si="46"/>
        <v>3.4997758307594017E-2</v>
      </c>
      <c r="BD64" s="603">
        <f t="shared" si="47"/>
        <v>5.1157396413348448E-3</v>
      </c>
      <c r="BE64" s="603">
        <f t="shared" si="48"/>
        <v>9.8692971995063515E-3</v>
      </c>
      <c r="BF64" s="603">
        <f t="shared" si="49"/>
        <v>8.3789556464339675E-3</v>
      </c>
      <c r="BG64" s="603">
        <f t="shared" si="50"/>
        <v>1.1087919399254884E-2</v>
      </c>
      <c r="BH64" s="603">
        <f t="shared" si="51"/>
        <v>1.6476385318894823E-2</v>
      </c>
      <c r="BI64" s="603">
        <f t="shared" si="52"/>
        <v>1.7560427712464445E-2</v>
      </c>
      <c r="BJ64" s="603">
        <f t="shared" si="53"/>
        <v>6.2305084122331973E-3</v>
      </c>
      <c r="BK64" s="603">
        <f t="shared" si="54"/>
        <v>-2.3702200644606201E-2</v>
      </c>
      <c r="BL64" s="603">
        <f t="shared" si="55"/>
        <v>5.0387777377612589E-2</v>
      </c>
      <c r="BM64" s="603">
        <f t="shared" si="56"/>
        <v>3.2213856498542602E-2</v>
      </c>
      <c r="BN64" s="603">
        <f t="shared" si="57"/>
        <v>1.63593638997903E-2</v>
      </c>
      <c r="BO64" s="603">
        <f t="shared" si="58"/>
        <v>2.5223254881417141E-2</v>
      </c>
      <c r="BP64" s="691">
        <f t="shared" si="59"/>
        <v>1.2826812172085561E-2</v>
      </c>
      <c r="BQ64" s="691">
        <f t="shared" si="60"/>
        <v>2.2731142704836515E-2</v>
      </c>
      <c r="BR64" s="691">
        <f t="shared" si="61"/>
        <v>-4.1167324756379152E-2</v>
      </c>
      <c r="BS64" s="691">
        <f t="shared" si="62"/>
        <v>-5.5308689173319249E-2</v>
      </c>
      <c r="BT64" s="603"/>
      <c r="BU64" s="3"/>
      <c r="BV64" s="231" t="s">
        <v>513</v>
      </c>
      <c r="BW64" s="603">
        <f t="shared" si="63"/>
        <v>2.113549490325296E-2</v>
      </c>
      <c r="BX64" s="603">
        <f t="shared" si="64"/>
        <v>4.1089197884487789E-2</v>
      </c>
      <c r="BY64" s="603">
        <f t="shared" si="65"/>
        <v>7.074365179742817E-2</v>
      </c>
      <c r="BZ64" s="603">
        <f t="shared" si="66"/>
        <v>9.0538862884811805E-2</v>
      </c>
      <c r="CA64" s="603">
        <f t="shared" si="67"/>
        <v>0.12870527843309285</v>
      </c>
      <c r="CB64" s="603">
        <f t="shared" si="68"/>
        <v>0.13447944076935692</v>
      </c>
      <c r="CC64" s="603">
        <f t="shared" si="69"/>
        <v>0.14567595553703946</v>
      </c>
      <c r="CD64" s="603">
        <f t="shared" si="70"/>
        <v>0.15527552355367016</v>
      </c>
      <c r="CE64" s="603">
        <f t="shared" si="71"/>
        <v>0.16808512544276524</v>
      </c>
      <c r="CF64" s="603">
        <f t="shared" si="72"/>
        <v>0.18733094605482983</v>
      </c>
      <c r="CG64" s="603">
        <f t="shared" si="73"/>
        <v>0.20818098530379769</v>
      </c>
      <c r="CH64" s="603">
        <f t="shared" si="74"/>
        <v>0.21570856709623321</v>
      </c>
      <c r="CI64" s="603">
        <f t="shared" si="75"/>
        <v>0.1868935987135516</v>
      </c>
      <c r="CJ64" s="603">
        <f t="shared" si="76"/>
        <v>0.24669852913644347</v>
      </c>
      <c r="CK64" s="603">
        <f t="shared" si="77"/>
        <v>0.28685949665098898</v>
      </c>
      <c r="CL64" s="114">
        <f t="shared" si="78"/>
        <v>0.3079116994446035</v>
      </c>
      <c r="CM64" s="114">
        <f t="shared" si="79"/>
        <v>0.34090148960208216</v>
      </c>
      <c r="CN64" s="691">
        <f t="shared" si="80"/>
        <v>0.35810098115047784</v>
      </c>
      <c r="CO64" s="691">
        <f t="shared" si="81"/>
        <v>0.38897216836058784</v>
      </c>
      <c r="CP64" s="691">
        <f t="shared" si="82"/>
        <v>0.33179190002811537</v>
      </c>
      <c r="CQ64" s="691">
        <f t="shared" si="83"/>
        <v>0.2581322357859161</v>
      </c>
    </row>
    <row r="65" spans="1:95" ht="14">
      <c r="A65" s="13" t="s">
        <v>55</v>
      </c>
      <c r="B65" s="325">
        <v>175915275</v>
      </c>
      <c r="C65" s="325">
        <v>176687607</v>
      </c>
      <c r="D65" s="325">
        <v>183046529</v>
      </c>
      <c r="E65" s="325">
        <v>202430478</v>
      </c>
      <c r="F65" s="325">
        <v>216820360</v>
      </c>
      <c r="G65" s="325">
        <v>227478863</v>
      </c>
      <c r="H65" s="325">
        <v>235451644</v>
      </c>
      <c r="I65" s="325">
        <v>246827914</v>
      </c>
      <c r="J65" s="325">
        <v>245329282.2913118</v>
      </c>
      <c r="K65" s="325">
        <v>251122624.22800159</v>
      </c>
      <c r="L65" s="325">
        <v>259799947.16042918</v>
      </c>
      <c r="M65" s="325">
        <v>275887919.51662594</v>
      </c>
      <c r="N65" s="325">
        <v>284261838.84014213</v>
      </c>
      <c r="O65" s="325">
        <v>284814001.98527926</v>
      </c>
      <c r="P65" s="325">
        <v>298105112</v>
      </c>
      <c r="Q65" s="325">
        <v>297345483</v>
      </c>
      <c r="R65" s="325">
        <v>305892791</v>
      </c>
      <c r="S65" s="325">
        <v>314599106</v>
      </c>
      <c r="T65" s="340">
        <v>314747567</v>
      </c>
      <c r="U65" s="340">
        <v>317246918</v>
      </c>
      <c r="V65" s="666">
        <v>327020468</v>
      </c>
      <c r="W65" s="667">
        <v>329321118</v>
      </c>
      <c r="X65" s="290"/>
      <c r="Y65" s="13" t="s">
        <v>55</v>
      </c>
      <c r="Z65" s="319">
        <f>B65/'Population &amp; Income'!B64</f>
        <v>8004.8814615944666</v>
      </c>
      <c r="AA65" s="319">
        <f>C65/'Population &amp; Income'!C64</f>
        <v>8005.0564969191737</v>
      </c>
      <c r="AB65" s="319">
        <f>D65/'Population &amp; Income'!D64</f>
        <v>8329.383372770295</v>
      </c>
      <c r="AC65" s="319">
        <f>E65/'Population &amp; Income'!E64</f>
        <v>9221.9251059177259</v>
      </c>
      <c r="AD65" s="319">
        <f>F65/'Population &amp; Income'!F64</f>
        <v>9901.8294743572187</v>
      </c>
      <c r="AE65" s="319">
        <f>G65/'Population &amp; Income'!G64</f>
        <v>10307.152831898506</v>
      </c>
      <c r="AF65" s="319">
        <f>H65/'Population &amp; Income'!H64</f>
        <v>10587.330545438193</v>
      </c>
      <c r="AG65" s="319">
        <f>I65/'Population &amp; Income'!I64</f>
        <v>11059.093776602895</v>
      </c>
      <c r="AH65" s="319">
        <f>J65/'Population &amp; Income'!J64</f>
        <v>10895.291659249091</v>
      </c>
      <c r="AI65" s="319">
        <f>K65/'Population &amp; Income'!K64</f>
        <v>11117.523650965184</v>
      </c>
      <c r="AJ65" s="319">
        <f>L65/'Population &amp; Income'!L64</f>
        <v>11445.940045837922</v>
      </c>
      <c r="AK65" s="319">
        <f>M65/'Population &amp; Income'!M64</f>
        <v>12098.224851632431</v>
      </c>
      <c r="AL65" s="319">
        <f>N65/'Population &amp; Income'!N64</f>
        <v>12345.254878838796</v>
      </c>
      <c r="AM65" s="319">
        <f>O65/'Population &amp; Income'!O64</f>
        <v>12254.281128357252</v>
      </c>
      <c r="AN65" s="319">
        <f>P65/'Population &amp; Income'!P64</f>
        <v>12750.43250641574</v>
      </c>
      <c r="AO65" s="319">
        <f>Q65/'Population &amp; Income'!Q64</f>
        <v>12675.653636286128</v>
      </c>
      <c r="AP65" s="319">
        <f>R65/'Population &amp; Income'!R64</f>
        <v>13061.735812801571</v>
      </c>
      <c r="AQ65" s="319">
        <f>S65/'Population &amp; Income'!S64</f>
        <v>13524.745539744637</v>
      </c>
      <c r="AR65" s="319">
        <f>T65/'Population &amp; Income'!T64</f>
        <v>13636.652094796586</v>
      </c>
      <c r="AS65" s="319">
        <f>U65/'Population &amp; Income'!U64</f>
        <v>13929.000614682122</v>
      </c>
      <c r="AT65" s="319">
        <f>V65/'Population &amp; Income'!V64</f>
        <v>14425.252227613586</v>
      </c>
      <c r="AU65" s="319">
        <f>W65/'Population &amp; Income'!W64</f>
        <v>14654.731132075472</v>
      </c>
      <c r="AV65" s="690"/>
      <c r="AW65" s="690"/>
      <c r="AX65" s="13" t="s">
        <v>55</v>
      </c>
      <c r="AY65" s="40">
        <f t="shared" si="42"/>
        <v>4.3903634860588429E-3</v>
      </c>
      <c r="AZ65" s="40">
        <f t="shared" si="43"/>
        <v>3.5989632255305826E-2</v>
      </c>
      <c r="BA65" s="40">
        <f t="shared" si="44"/>
        <v>0.1058962937232205</v>
      </c>
      <c r="BB65" s="40">
        <f t="shared" si="45"/>
        <v>7.1085550664954714E-2</v>
      </c>
      <c r="BC65" s="40">
        <f t="shared" si="46"/>
        <v>4.9158220196664187E-2</v>
      </c>
      <c r="BD65" s="40">
        <f t="shared" si="47"/>
        <v>3.5048447556202178E-2</v>
      </c>
      <c r="BE65" s="40">
        <f t="shared" si="48"/>
        <v>4.8316800030497979E-2</v>
      </c>
      <c r="BF65" s="40">
        <f t="shared" si="49"/>
        <v>-6.0715649393212456E-3</v>
      </c>
      <c r="BG65" s="40">
        <f t="shared" si="50"/>
        <v>2.3614555435786076E-2</v>
      </c>
      <c r="BH65" s="40">
        <f t="shared" si="51"/>
        <v>3.4554126531224798E-2</v>
      </c>
      <c r="BI65" s="40">
        <f t="shared" si="52"/>
        <v>6.1924463542181826E-2</v>
      </c>
      <c r="BJ65" s="40">
        <f t="shared" si="53"/>
        <v>3.0352613257542613E-2</v>
      </c>
      <c r="BK65" s="40">
        <f t="shared" si="54"/>
        <v>1.9424455543877856E-3</v>
      </c>
      <c r="BL65" s="40">
        <f t="shared" si="55"/>
        <v>4.6665929069764259E-2</v>
      </c>
      <c r="BM65" s="40">
        <f t="shared" si="56"/>
        <v>-2.5481917935040307E-3</v>
      </c>
      <c r="BN65" s="40">
        <f t="shared" si="57"/>
        <v>2.8745376972819189E-2</v>
      </c>
      <c r="BO65" s="40">
        <f t="shared" si="58"/>
        <v>2.8461981635912435E-2</v>
      </c>
      <c r="BP65" s="691">
        <f t="shared" si="59"/>
        <v>4.7190534610101531E-4</v>
      </c>
      <c r="BQ65" s="691">
        <f t="shared" si="60"/>
        <v>7.9408111834586483E-3</v>
      </c>
      <c r="BR65" s="691">
        <f t="shared" si="61"/>
        <v>3.0807391484257068E-2</v>
      </c>
      <c r="BS65" s="691">
        <f t="shared" si="62"/>
        <v>7.0351865559681115E-3</v>
      </c>
      <c r="BT65" s="40"/>
      <c r="BU65" s="3"/>
      <c r="BV65" s="13" t="s">
        <v>55</v>
      </c>
      <c r="BW65" s="40">
        <f t="shared" si="63"/>
        <v>4.3903634860588429E-3</v>
      </c>
      <c r="BX65" s="40">
        <f t="shared" si="64"/>
        <v>4.0538003308695052E-2</v>
      </c>
      <c r="BY65" s="40">
        <f t="shared" si="65"/>
        <v>0.150727121337246</v>
      </c>
      <c r="BZ65" s="40">
        <f t="shared" si="66"/>
        <v>0.23252719242260231</v>
      </c>
      <c r="CA65" s="40">
        <f t="shared" si="67"/>
        <v>0.29311603554608889</v>
      </c>
      <c r="CB65" s="40">
        <f t="shared" si="68"/>
        <v>0.33843774510201002</v>
      </c>
      <c r="CC65" s="40">
        <f t="shared" si="69"/>
        <v>0.40310677398537448</v>
      </c>
      <c r="CD65" s="40">
        <f t="shared" si="70"/>
        <v>0.39458772009032078</v>
      </c>
      <c r="CE65" s="40">
        <f t="shared" si="71"/>
        <v>0.42752028911646017</v>
      </c>
      <c r="CF65" s="40">
        <f t="shared" si="72"/>
        <v>0.47684700581248091</v>
      </c>
      <c r="CG65" s="40">
        <f t="shared" si="73"/>
        <v>0.56829996438129626</v>
      </c>
      <c r="CH65" s="40">
        <f t="shared" si="74"/>
        <v>0.61590196667197961</v>
      </c>
      <c r="CI65" s="40">
        <f t="shared" si="75"/>
        <v>0.6190407682634681</v>
      </c>
      <c r="CJ65" s="40">
        <f t="shared" si="76"/>
        <v>0.69459480991630773</v>
      </c>
      <c r="CK65" s="40">
        <f t="shared" si="77"/>
        <v>0.69027665732836452</v>
      </c>
      <c r="CL65" s="113">
        <f t="shared" si="78"/>
        <v>0.73886429703162504</v>
      </c>
      <c r="CM65" s="113">
        <f t="shared" si="79"/>
        <v>0.7883558207210829</v>
      </c>
      <c r="CN65" s="691">
        <f t="shared" si="80"/>
        <v>0.78919975539361209</v>
      </c>
      <c r="CO65" s="691">
        <f t="shared" si="81"/>
        <v>0.80340745282068315</v>
      </c>
      <c r="CP65" s="691">
        <f t="shared" si="82"/>
        <v>0.85896573222535677</v>
      </c>
      <c r="CQ65" s="691">
        <f t="shared" si="83"/>
        <v>0.87204390295271406</v>
      </c>
    </row>
    <row r="66" spans="1:95" ht="14">
      <c r="A66" s="13" t="s">
        <v>56</v>
      </c>
      <c r="B66" s="319">
        <v>45898666</v>
      </c>
      <c r="C66" s="319">
        <v>55172575</v>
      </c>
      <c r="D66" s="319">
        <v>57021070</v>
      </c>
      <c r="E66" s="319">
        <v>59780058</v>
      </c>
      <c r="F66" s="319">
        <v>62025186</v>
      </c>
      <c r="G66" s="319">
        <v>65975246</v>
      </c>
      <c r="H66" s="319">
        <v>68118576</v>
      </c>
      <c r="I66" s="319">
        <v>69974266</v>
      </c>
      <c r="J66" s="319">
        <v>70218345.147326127</v>
      </c>
      <c r="K66" s="319">
        <v>73230224.645871684</v>
      </c>
      <c r="L66" s="319">
        <v>76489403.191642135</v>
      </c>
      <c r="M66" s="319">
        <v>80134940.039256468</v>
      </c>
      <c r="N66" s="319">
        <v>84436075.61859183</v>
      </c>
      <c r="O66" s="319">
        <v>82086721.609683409</v>
      </c>
      <c r="P66" s="319">
        <v>83213355</v>
      </c>
      <c r="Q66" s="319">
        <v>84447230</v>
      </c>
      <c r="R66" s="319">
        <v>87509145</v>
      </c>
      <c r="S66" s="319">
        <v>88994949</v>
      </c>
      <c r="T66" s="340">
        <v>89569404</v>
      </c>
      <c r="U66" s="340">
        <v>100572213</v>
      </c>
      <c r="V66" s="666">
        <v>102281210</v>
      </c>
      <c r="W66" s="667">
        <v>103029614</v>
      </c>
      <c r="X66" s="290"/>
      <c r="Y66" s="13" t="s">
        <v>56</v>
      </c>
      <c r="Z66" s="319">
        <f>B66/'Population &amp; Income'!B65</f>
        <v>4543.5226687784598</v>
      </c>
      <c r="AA66" s="319">
        <f>C66/'Population &amp; Income'!C65</f>
        <v>5510.6447263284063</v>
      </c>
      <c r="AB66" s="319">
        <f>D66/'Population &amp; Income'!D65</f>
        <v>5583.1851561735048</v>
      </c>
      <c r="AC66" s="319">
        <f>E66/'Population &amp; Income'!E65</f>
        <v>5778.084090469747</v>
      </c>
      <c r="AD66" s="319">
        <f>F66/'Population &amp; Income'!F65</f>
        <v>6006.1185242568026</v>
      </c>
      <c r="AE66" s="319">
        <f>G66/'Population &amp; Income'!G65</f>
        <v>6456.1352382816322</v>
      </c>
      <c r="AF66" s="319">
        <f>H66/'Population &amp; Income'!H65</f>
        <v>6595.5243996901627</v>
      </c>
      <c r="AG66" s="319">
        <f>I66/'Population &amp; Income'!I65</f>
        <v>6714.0919209364802</v>
      </c>
      <c r="AH66" s="319">
        <f>J66/'Population &amp; Income'!J65</f>
        <v>6685.5512850924615</v>
      </c>
      <c r="AI66" s="319">
        <f>K66/'Population &amp; Income'!K65</f>
        <v>6965.6829302645947</v>
      </c>
      <c r="AJ66" s="319">
        <f>L66/'Population &amp; Income'!L65</f>
        <v>7169.3132619404005</v>
      </c>
      <c r="AK66" s="319">
        <f>M66/'Population &amp; Income'!M65</f>
        <v>7499.7604154662113</v>
      </c>
      <c r="AL66" s="319">
        <f>N66/'Population &amp; Income'!N65</f>
        <v>7893.4351330832787</v>
      </c>
      <c r="AM66" s="319">
        <f>O66/'Population &amp; Income'!O65</f>
        <v>7654.4872817683154</v>
      </c>
      <c r="AN66" s="319">
        <f>P66/'Population &amp; Income'!P65</f>
        <v>7613.9953335163327</v>
      </c>
      <c r="AO66" s="319">
        <f>Q66/'Population &amp; Income'!Q65</f>
        <v>7624.3436258577103</v>
      </c>
      <c r="AP66" s="319">
        <f>R66/'Population &amp; Income'!R65</f>
        <v>7957.5470582886246</v>
      </c>
      <c r="AQ66" s="319">
        <f>S66/'Population &amp; Income'!S65</f>
        <v>8093.3929610767555</v>
      </c>
      <c r="AR66" s="319">
        <f>T66/'Population &amp; Income'!T65</f>
        <v>8229.456449834619</v>
      </c>
      <c r="AS66" s="319">
        <f>U66/'Population &amp; Income'!U65</f>
        <v>9196.4349853694221</v>
      </c>
      <c r="AT66" s="319">
        <f>V66/'Population &amp; Income'!V65</f>
        <v>9480.1381036240618</v>
      </c>
      <c r="AU66" s="319">
        <f>W66/'Population &amp; Income'!W65</f>
        <v>9758.4404243227891</v>
      </c>
      <c r="AV66" s="690"/>
      <c r="AW66" s="690"/>
      <c r="AX66" s="13" t="s">
        <v>56</v>
      </c>
      <c r="AY66" s="40">
        <f t="shared" si="42"/>
        <v>0.20205181998099903</v>
      </c>
      <c r="AZ66" s="40">
        <f t="shared" si="43"/>
        <v>3.350387398086821E-2</v>
      </c>
      <c r="BA66" s="40">
        <f t="shared" si="44"/>
        <v>4.8385412620282293E-2</v>
      </c>
      <c r="BB66" s="40">
        <f t="shared" si="45"/>
        <v>3.7556470754846041E-2</v>
      </c>
      <c r="BC66" s="40">
        <f t="shared" si="46"/>
        <v>6.3684774762303817E-2</v>
      </c>
      <c r="BD66" s="40">
        <f t="shared" si="47"/>
        <v>3.2486881519168571E-2</v>
      </c>
      <c r="BE66" s="40">
        <f t="shared" si="48"/>
        <v>2.7242055089348901E-2</v>
      </c>
      <c r="BF66" s="40">
        <f t="shared" si="49"/>
        <v>3.4881272970569881E-3</v>
      </c>
      <c r="BG66" s="40">
        <f t="shared" si="50"/>
        <v>4.2893057252008565E-2</v>
      </c>
      <c r="BH66" s="40">
        <f t="shared" si="51"/>
        <v>4.450592035640008E-2</v>
      </c>
      <c r="BI66" s="40">
        <f t="shared" si="52"/>
        <v>4.7660678414244373E-2</v>
      </c>
      <c r="BJ66" s="40">
        <f t="shared" si="53"/>
        <v>5.367366066822192E-2</v>
      </c>
      <c r="BK66" s="40">
        <f t="shared" si="54"/>
        <v>-2.7824054963434618E-2</v>
      </c>
      <c r="BL66" s="40">
        <f t="shared" si="55"/>
        <v>1.3724916383841631E-2</v>
      </c>
      <c r="BM66" s="40">
        <f t="shared" si="56"/>
        <v>1.4827848246234033E-2</v>
      </c>
      <c r="BN66" s="40">
        <f t="shared" si="57"/>
        <v>3.6258323689243567E-2</v>
      </c>
      <c r="BO66" s="40">
        <f t="shared" si="58"/>
        <v>1.6978842611249371E-2</v>
      </c>
      <c r="BP66" s="691">
        <f t="shared" si="59"/>
        <v>6.4549168964634163E-3</v>
      </c>
      <c r="BQ66" s="691">
        <f t="shared" si="60"/>
        <v>0.12284115455317755</v>
      </c>
      <c r="BR66" s="691">
        <f t="shared" si="61"/>
        <v>1.6992735359218952E-2</v>
      </c>
      <c r="BS66" s="691">
        <f t="shared" si="62"/>
        <v>7.3171211017155546E-3</v>
      </c>
      <c r="BT66" s="40"/>
      <c r="BU66" s="3"/>
      <c r="BV66" s="13" t="s">
        <v>56</v>
      </c>
      <c r="BW66" s="40">
        <f t="shared" si="63"/>
        <v>0.20205181998099903</v>
      </c>
      <c r="BX66" s="40">
        <f t="shared" si="64"/>
        <v>0.24232521267611568</v>
      </c>
      <c r="BY66" s="40">
        <f t="shared" si="65"/>
        <v>0.30243563070002949</v>
      </c>
      <c r="BZ66" s="40">
        <f t="shared" si="66"/>
        <v>0.35135051637448461</v>
      </c>
      <c r="CA66" s="40">
        <f t="shared" si="67"/>
        <v>0.4374109696347166</v>
      </c>
      <c r="CB66" s="40">
        <f t="shared" si="68"/>
        <v>0.48410796949959284</v>
      </c>
      <c r="CC66" s="40">
        <f t="shared" si="69"/>
        <v>0.52453812056324256</v>
      </c>
      <c r="CD66" s="40">
        <f t="shared" si="70"/>
        <v>0.52985590359698309</v>
      </c>
      <c r="CE66" s="40">
        <f t="shared" si="71"/>
        <v>0.59547610045729182</v>
      </c>
      <c r="CF66" s="40">
        <f t="shared" si="72"/>
        <v>0.66648423271478385</v>
      </c>
      <c r="CG66" s="40">
        <f t="shared" si="73"/>
        <v>0.74591000181261191</v>
      </c>
      <c r="CH66" s="40">
        <f t="shared" si="74"/>
        <v>0.83961938280715676</v>
      </c>
      <c r="CI66" s="40">
        <f t="shared" si="75"/>
        <v>0.78843371198813073</v>
      </c>
      <c r="CJ66" s="40">
        <f t="shared" si="76"/>
        <v>0.81297981514321138</v>
      </c>
      <c r="CK66" s="40">
        <f t="shared" si="77"/>
        <v>0.83986240471564033</v>
      </c>
      <c r="CL66" s="113">
        <f t="shared" si="78"/>
        <v>0.90657273132949001</v>
      </c>
      <c r="CM66" s="113">
        <f t="shared" si="79"/>
        <v>0.93894412966163332</v>
      </c>
      <c r="CN66" s="691">
        <f t="shared" si="80"/>
        <v>0.95145985288548474</v>
      </c>
      <c r="CO66" s="691">
        <f t="shared" si="81"/>
        <v>1.1911794342781117</v>
      </c>
      <c r="CP66" s="691">
        <f t="shared" si="82"/>
        <v>1.2284135665293627</v>
      </c>
      <c r="CQ66" s="691">
        <f t="shared" si="83"/>
        <v>1.244719138460364</v>
      </c>
    </row>
    <row r="67" spans="1:95" ht="14">
      <c r="A67" s="13" t="s">
        <v>57</v>
      </c>
      <c r="B67" s="319">
        <v>96757173</v>
      </c>
      <c r="C67" s="319">
        <v>113856852</v>
      </c>
      <c r="D67" s="319">
        <v>118414959</v>
      </c>
      <c r="E67" s="319">
        <v>122831954</v>
      </c>
      <c r="F67" s="319">
        <v>131004211</v>
      </c>
      <c r="G67" s="319">
        <v>139564081</v>
      </c>
      <c r="H67" s="319">
        <v>141438998</v>
      </c>
      <c r="I67" s="319">
        <v>145664593</v>
      </c>
      <c r="J67" s="319">
        <v>150623313.46628392</v>
      </c>
      <c r="K67" s="319">
        <v>162993774.21982539</v>
      </c>
      <c r="L67" s="319">
        <v>167749053.59546256</v>
      </c>
      <c r="M67" s="319">
        <v>177201186.64080566</v>
      </c>
      <c r="N67" s="319">
        <v>179776327.58378389</v>
      </c>
      <c r="O67" s="319">
        <v>181014936.39064172</v>
      </c>
      <c r="P67" s="319">
        <v>184597379</v>
      </c>
      <c r="Q67" s="319">
        <v>188364436</v>
      </c>
      <c r="R67" s="319">
        <v>188661576</v>
      </c>
      <c r="S67" s="319">
        <v>195896730</v>
      </c>
      <c r="T67" s="340">
        <v>200275835</v>
      </c>
      <c r="U67" s="340">
        <v>205077049</v>
      </c>
      <c r="V67" s="666">
        <v>208913066</v>
      </c>
      <c r="W67" s="667">
        <v>212210542</v>
      </c>
      <c r="X67" s="290"/>
      <c r="Y67" s="13" t="s">
        <v>57</v>
      </c>
      <c r="Z67" s="319">
        <f>B67/'Population &amp; Income'!B66</f>
        <v>7637.3173099692158</v>
      </c>
      <c r="AA67" s="319">
        <f>C67/'Population &amp; Income'!C66</f>
        <v>8927.8485062338277</v>
      </c>
      <c r="AB67" s="319">
        <f>D67/'Population &amp; Income'!D66</f>
        <v>9277.2609683484807</v>
      </c>
      <c r="AC67" s="319">
        <f>E67/'Population &amp; Income'!E66</f>
        <v>9518.9053006819595</v>
      </c>
      <c r="AD67" s="319">
        <f>F67/'Population &amp; Income'!F66</f>
        <v>10057.132734530938</v>
      </c>
      <c r="AE67" s="319">
        <f>G67/'Population &amp; Income'!G66</f>
        <v>10697.844626705504</v>
      </c>
      <c r="AF67" s="319">
        <f>H67/'Population &amp; Income'!H66</f>
        <v>10819.16912720875</v>
      </c>
      <c r="AG67" s="319">
        <f>I67/'Population &amp; Income'!I66</f>
        <v>10939.886819376643</v>
      </c>
      <c r="AH67" s="319">
        <f>J67/'Population &amp; Income'!J66</f>
        <v>11273.356295657804</v>
      </c>
      <c r="AI67" s="319">
        <f>K67/'Population &amp; Income'!K66</f>
        <v>12067.355757742311</v>
      </c>
      <c r="AJ67" s="319">
        <f>L67/'Population &amp; Income'!L66</f>
        <v>12256.086329762735</v>
      </c>
      <c r="AK67" s="319">
        <f>M67/'Population &amp; Income'!M66</f>
        <v>12983.674284935936</v>
      </c>
      <c r="AL67" s="319">
        <f>N67/'Population &amp; Income'!N66</f>
        <v>13071.789979188823</v>
      </c>
      <c r="AM67" s="319">
        <f>O67/'Population &amp; Income'!O66</f>
        <v>13035.786863793874</v>
      </c>
      <c r="AN67" s="319">
        <f>P67/'Population &amp; Income'!P66</f>
        <v>13309.111679884643</v>
      </c>
      <c r="AO67" s="319">
        <f>Q67/'Population &amp; Income'!Q66</f>
        <v>13534.844865991234</v>
      </c>
      <c r="AP67" s="319">
        <f>R67/'Population &amp; Income'!R66</f>
        <v>13613.910809640642</v>
      </c>
      <c r="AQ67" s="319">
        <f>S67/'Population &amp; Income'!S66</f>
        <v>14311.56706604325</v>
      </c>
      <c r="AR67" s="319">
        <f>T67/'Population &amp; Income'!T66</f>
        <v>14645.399268738574</v>
      </c>
      <c r="AS67" s="319">
        <f>U67/'Population &amp; Income'!U66</f>
        <v>15050.421913987964</v>
      </c>
      <c r="AT67" s="319">
        <f>V67/'Population &amp; Income'!V66</f>
        <v>15289.305181498828</v>
      </c>
      <c r="AU67" s="319">
        <f>W67/'Population &amp; Income'!W66</f>
        <v>15532.904552774118</v>
      </c>
      <c r="AV67" s="690"/>
      <c r="AW67" s="690"/>
      <c r="AX67" s="13" t="s">
        <v>57</v>
      </c>
      <c r="AY67" s="40">
        <f t="shared" si="42"/>
        <v>0.17672776570270401</v>
      </c>
      <c r="AZ67" s="40">
        <f t="shared" si="43"/>
        <v>4.0033664377089925E-2</v>
      </c>
      <c r="BA67" s="40">
        <f t="shared" si="44"/>
        <v>3.7300988298277417E-2</v>
      </c>
      <c r="BB67" s="40">
        <f t="shared" si="45"/>
        <v>6.6532011694611648E-2</v>
      </c>
      <c r="BC67" s="40">
        <f t="shared" si="46"/>
        <v>6.5340418713716E-2</v>
      </c>
      <c r="BD67" s="40">
        <f t="shared" si="47"/>
        <v>1.3434094120535211E-2</v>
      </c>
      <c r="BE67" s="40">
        <f t="shared" si="48"/>
        <v>2.9875741908182919E-2</v>
      </c>
      <c r="BF67" s="40">
        <f t="shared" si="49"/>
        <v>3.40420438773609E-2</v>
      </c>
      <c r="BG67" s="40">
        <f t="shared" si="50"/>
        <v>8.2128459856983027E-2</v>
      </c>
      <c r="BH67" s="40">
        <f t="shared" si="51"/>
        <v>2.9174607425335487E-2</v>
      </c>
      <c r="BI67" s="40">
        <f t="shared" si="52"/>
        <v>5.6346863620092412E-2</v>
      </c>
      <c r="BJ67" s="40">
        <f t="shared" si="53"/>
        <v>1.4532300780796426E-2</v>
      </c>
      <c r="BK67" s="40">
        <f t="shared" si="54"/>
        <v>6.8897213749155965E-3</v>
      </c>
      <c r="BL67" s="40">
        <f t="shared" si="55"/>
        <v>1.9790867432216436E-2</v>
      </c>
      <c r="BM67" s="40">
        <f t="shared" si="56"/>
        <v>2.0406882375074244E-2</v>
      </c>
      <c r="BN67" s="40">
        <f t="shared" si="57"/>
        <v>1.5774739983294935E-3</v>
      </c>
      <c r="BO67" s="40">
        <f t="shared" si="58"/>
        <v>3.8349907561463392E-2</v>
      </c>
      <c r="BP67" s="691">
        <f t="shared" si="59"/>
        <v>2.2354150577194424E-2</v>
      </c>
      <c r="BQ67" s="691">
        <f t="shared" si="60"/>
        <v>2.3973007028032112E-2</v>
      </c>
      <c r="BR67" s="691">
        <f t="shared" si="61"/>
        <v>1.8705247704242128E-2</v>
      </c>
      <c r="BS67" s="691">
        <f t="shared" si="62"/>
        <v>1.5783962502374075E-2</v>
      </c>
      <c r="BT67" s="40"/>
      <c r="BU67" s="3"/>
      <c r="BV67" s="13" t="s">
        <v>57</v>
      </c>
      <c r="BW67" s="40">
        <f t="shared" si="63"/>
        <v>0.17672776570270401</v>
      </c>
      <c r="BX67" s="40">
        <f t="shared" si="64"/>
        <v>0.22383649013804899</v>
      </c>
      <c r="BY67" s="40">
        <f t="shared" si="65"/>
        <v>0.26948680073569325</v>
      </c>
      <c r="BZ67" s="40">
        <f t="shared" si="66"/>
        <v>0.35394831140839556</v>
      </c>
      <c r="CA67" s="40">
        <f t="shared" si="67"/>
        <v>0.44241586099254882</v>
      </c>
      <c r="CB67" s="40">
        <f t="shared" si="68"/>
        <v>0.46179341143007557</v>
      </c>
      <c r="CC67" s="40">
        <f t="shared" si="69"/>
        <v>0.50546557411304271</v>
      </c>
      <c r="CD67" s="40">
        <f t="shared" si="70"/>
        <v>0.55671469924285533</v>
      </c>
      <c r="CE67" s="40">
        <f t="shared" si="71"/>
        <v>0.68456527992839755</v>
      </c>
      <c r="CF67" s="40">
        <f t="shared" si="72"/>
        <v>0.73371181065265889</v>
      </c>
      <c r="CG67" s="40">
        <f t="shared" si="73"/>
        <v>0.83140103360404771</v>
      </c>
      <c r="CH67" s="40">
        <f t="shared" si="74"/>
        <v>0.85801550427464324</v>
      </c>
      <c r="CI67" s="40">
        <f t="shared" si="75"/>
        <v>0.87081671340936884</v>
      </c>
      <c r="CJ67" s="40">
        <f t="shared" si="76"/>
        <v>0.90784179897442852</v>
      </c>
      <c r="CK67" s="40">
        <f t="shared" si="77"/>
        <v>0.94677490215634974</v>
      </c>
      <c r="CL67" s="113">
        <f t="shared" si="78"/>
        <v>0.9498458889451018</v>
      </c>
      <c r="CM67" s="113">
        <f t="shared" si="79"/>
        <v>1.0246222985452458</v>
      </c>
      <c r="CN67" s="691">
        <f t="shared" si="80"/>
        <v>1.0698810102688718</v>
      </c>
      <c r="CO67" s="691">
        <f t="shared" si="81"/>
        <v>1.1195022822752376</v>
      </c>
      <c r="CP67" s="691">
        <f t="shared" si="82"/>
        <v>1.1591480974749024</v>
      </c>
      <c r="CQ67" s="691">
        <f t="shared" si="83"/>
        <v>1.1932280100825186</v>
      </c>
    </row>
    <row r="68" spans="1:95" ht="14">
      <c r="A68" s="13" t="s">
        <v>58</v>
      </c>
      <c r="B68" s="319">
        <v>50177537</v>
      </c>
      <c r="C68" s="319">
        <v>58861353</v>
      </c>
      <c r="D68" s="319">
        <v>60283799</v>
      </c>
      <c r="E68" s="319">
        <v>64234555</v>
      </c>
      <c r="F68" s="319">
        <v>66933574</v>
      </c>
      <c r="G68" s="319">
        <v>70827038</v>
      </c>
      <c r="H68" s="319">
        <v>72806532</v>
      </c>
      <c r="I68" s="319">
        <v>75853758</v>
      </c>
      <c r="J68" s="319">
        <v>77432994.352196783</v>
      </c>
      <c r="K68" s="319">
        <v>79602758.722454339</v>
      </c>
      <c r="L68" s="319">
        <v>83139871.117559746</v>
      </c>
      <c r="M68" s="319">
        <v>97596936.346487805</v>
      </c>
      <c r="N68" s="319">
        <v>100348194.46666624</v>
      </c>
      <c r="O68" s="319">
        <v>100700763.1466233</v>
      </c>
      <c r="P68" s="319">
        <v>101358255</v>
      </c>
      <c r="Q68" s="319">
        <v>102954630</v>
      </c>
      <c r="R68" s="319">
        <v>104105946</v>
      </c>
      <c r="S68" s="319">
        <v>104074804</v>
      </c>
      <c r="T68" s="340">
        <v>105087561</v>
      </c>
      <c r="U68" s="340">
        <v>107207382</v>
      </c>
      <c r="V68" s="666">
        <v>108630142</v>
      </c>
      <c r="W68" s="667">
        <v>115322642</v>
      </c>
      <c r="X68" s="290"/>
      <c r="Y68" s="13" t="s">
        <v>58</v>
      </c>
      <c r="Z68" s="319">
        <f>B68/'Population &amp; Income'!B67</f>
        <v>5376.3566913104041</v>
      </c>
      <c r="AA68" s="319">
        <f>C68/'Population &amp; Income'!C67</f>
        <v>6331.2200709906419</v>
      </c>
      <c r="AB68" s="319">
        <f>D68/'Population &amp; Income'!D67</f>
        <v>6350.3422521858211</v>
      </c>
      <c r="AC68" s="319">
        <f>E68/'Population &amp; Income'!E67</f>
        <v>6755.1325060469026</v>
      </c>
      <c r="AD68" s="319">
        <f>F68/'Population &amp; Income'!F67</f>
        <v>7021.9863617289129</v>
      </c>
      <c r="AE68" s="319">
        <f>G68/'Population &amp; Income'!G67</f>
        <v>7497.3047528315865</v>
      </c>
      <c r="AF68" s="319">
        <f>H68/'Population &amp; Income'!H67</f>
        <v>7667.0737152485253</v>
      </c>
      <c r="AG68" s="319">
        <f>I68/'Population &amp; Income'!I67</f>
        <v>7916.2761427676896</v>
      </c>
      <c r="AH68" s="319">
        <f>J68/'Population &amp; Income'!J67</f>
        <v>8103.9240556982504</v>
      </c>
      <c r="AI68" s="319">
        <f>K68/'Population &amp; Income'!K67</f>
        <v>8329.2621871355386</v>
      </c>
      <c r="AJ68" s="319">
        <f>L68/'Population &amp; Income'!L67</f>
        <v>8600.3797576869492</v>
      </c>
      <c r="AK68" s="319">
        <f>M68/'Population &amp; Income'!M67</f>
        <v>10108.434629361762</v>
      </c>
      <c r="AL68" s="319">
        <f>N68/'Population &amp; Income'!N67</f>
        <v>10326.013013651598</v>
      </c>
      <c r="AM68" s="319">
        <f>O68/'Population &amp; Income'!O67</f>
        <v>10410.499653326093</v>
      </c>
      <c r="AN68" s="319">
        <f>P68/'Population &amp; Income'!P67</f>
        <v>10417.086844809866</v>
      </c>
      <c r="AO68" s="319">
        <f>Q68/'Population &amp; Income'!Q67</f>
        <v>10681.048863990041</v>
      </c>
      <c r="AP68" s="319">
        <f>R68/'Population &amp; Income'!R67</f>
        <v>10843.239870846786</v>
      </c>
      <c r="AQ68" s="319">
        <f>S68/'Population &amp; Income'!S67</f>
        <v>10886.485774058578</v>
      </c>
      <c r="AR68" s="319">
        <f>T68/'Population &amp; Income'!T67</f>
        <v>11102.753407290016</v>
      </c>
      <c r="AS68" s="319">
        <f>U68/'Population &amp; Income'!U67</f>
        <v>11396.553842882959</v>
      </c>
      <c r="AT68" s="319">
        <f>V68/'Population &amp; Income'!V67</f>
        <v>11760.327162498646</v>
      </c>
      <c r="AU68" s="319">
        <f>W68/'Population &amp; Income'!W67</f>
        <v>12554.173960374483</v>
      </c>
      <c r="AV68" s="690"/>
      <c r="AW68" s="690"/>
      <c r="AX68" s="13" t="s">
        <v>58</v>
      </c>
      <c r="AY68" s="40">
        <f t="shared" si="42"/>
        <v>0.17306182246450239</v>
      </c>
      <c r="AZ68" s="40">
        <f t="shared" si="43"/>
        <v>2.4166043210049896E-2</v>
      </c>
      <c r="BA68" s="40">
        <f t="shared" si="44"/>
        <v>6.5535949385008063E-2</v>
      </c>
      <c r="BB68" s="40">
        <f t="shared" si="45"/>
        <v>4.2018178533345489E-2</v>
      </c>
      <c r="BC68" s="40">
        <f t="shared" si="46"/>
        <v>5.8169073714784754E-2</v>
      </c>
      <c r="BD68" s="40">
        <f t="shared" si="47"/>
        <v>2.7948281558802444E-2</v>
      </c>
      <c r="BE68" s="40">
        <f t="shared" si="48"/>
        <v>4.1853744661261988E-2</v>
      </c>
      <c r="BF68" s="40">
        <f t="shared" si="49"/>
        <v>2.0819487311317955E-2</v>
      </c>
      <c r="BG68" s="40">
        <f t="shared" si="50"/>
        <v>2.8021186425886937E-2</v>
      </c>
      <c r="BH68" s="40">
        <f t="shared" si="51"/>
        <v>4.4434545383508904E-2</v>
      </c>
      <c r="BI68" s="40">
        <f t="shared" si="52"/>
        <v>0.17388847293840251</v>
      </c>
      <c r="BJ68" s="40">
        <f t="shared" si="53"/>
        <v>2.8190004965022039E-2</v>
      </c>
      <c r="BK68" s="40">
        <f t="shared" si="54"/>
        <v>3.5134531501130159E-3</v>
      </c>
      <c r="BL68" s="40">
        <f t="shared" si="55"/>
        <v>6.5291645547846926E-3</v>
      </c>
      <c r="BM68" s="40">
        <f t="shared" si="56"/>
        <v>1.5749827184771484E-2</v>
      </c>
      <c r="BN68" s="40">
        <f t="shared" si="57"/>
        <v>1.1182751081714343E-2</v>
      </c>
      <c r="BO68" s="40">
        <f t="shared" si="58"/>
        <v>-2.9913757279531372E-4</v>
      </c>
      <c r="BP68" s="691">
        <f t="shared" si="59"/>
        <v>9.7310488329144483E-3</v>
      </c>
      <c r="BQ68" s="691">
        <f t="shared" si="60"/>
        <v>2.0171949751502941E-2</v>
      </c>
      <c r="BR68" s="691">
        <f t="shared" si="61"/>
        <v>1.3271101051604823E-2</v>
      </c>
      <c r="BS68" s="691">
        <f t="shared" si="62"/>
        <v>6.160813082615689E-2</v>
      </c>
      <c r="BT68" s="40"/>
      <c r="BU68" s="3"/>
      <c r="BV68" s="13" t="s">
        <v>58</v>
      </c>
      <c r="BW68" s="40">
        <f t="shared" si="63"/>
        <v>0.17306182246450239</v>
      </c>
      <c r="BX68" s="40">
        <f t="shared" si="64"/>
        <v>0.20141008515423944</v>
      </c>
      <c r="BY68" s="40">
        <f t="shared" si="65"/>
        <v>0.2801456356855459</v>
      </c>
      <c r="BZ68" s="40">
        <f t="shared" si="66"/>
        <v>0.33393502355446419</v>
      </c>
      <c r="CA68" s="40">
        <f t="shared" si="67"/>
        <v>0.41152878827033701</v>
      </c>
      <c r="CB68" s="40">
        <f t="shared" si="68"/>
        <v>0.45097859227327158</v>
      </c>
      <c r="CC68" s="40">
        <f t="shared" si="69"/>
        <v>0.5117074797832345</v>
      </c>
      <c r="CD68" s="40">
        <f t="shared" si="70"/>
        <v>0.54318045447700603</v>
      </c>
      <c r="CE68" s="40">
        <f t="shared" si="71"/>
        <v>0.58642220168069104</v>
      </c>
      <c r="CF68" s="40">
        <f t="shared" si="72"/>
        <v>0.65691415099867789</v>
      </c>
      <c r="CG68" s="40">
        <f t="shared" si="73"/>
        <v>0.94503242250586761</v>
      </c>
      <c r="CH68" s="40">
        <f t="shared" si="74"/>
        <v>0.99986289615343693</v>
      </c>
      <c r="CI68" s="40">
        <f t="shared" si="75"/>
        <v>1.0068893207457212</v>
      </c>
      <c r="CJ68" s="40">
        <f t="shared" si="76"/>
        <v>1.0199926313641101</v>
      </c>
      <c r="CK68" s="40">
        <f t="shared" si="77"/>
        <v>1.0518071662226067</v>
      </c>
      <c r="CL68" s="113">
        <f t="shared" si="78"/>
        <v>1.0747520150301519</v>
      </c>
      <c r="CM68" s="113">
        <f t="shared" si="79"/>
        <v>1.0741313787482236</v>
      </c>
      <c r="CN68" s="691">
        <f t="shared" si="80"/>
        <v>1.0943148524807027</v>
      </c>
      <c r="CO68" s="691">
        <f t="shared" si="81"/>
        <v>1.1365612664487696</v>
      </c>
      <c r="CP68" s="691">
        <f t="shared" si="82"/>
        <v>1.1649157869187561</v>
      </c>
      <c r="CQ68" s="691">
        <f t="shared" si="83"/>
        <v>1.2982922019468592</v>
      </c>
    </row>
    <row r="69" spans="1:95" ht="14">
      <c r="A69" s="13" t="s">
        <v>59</v>
      </c>
      <c r="B69" s="319">
        <v>133210274</v>
      </c>
      <c r="C69" s="319">
        <v>139236752</v>
      </c>
      <c r="D69" s="319">
        <v>140211855</v>
      </c>
      <c r="E69" s="319">
        <v>149824458</v>
      </c>
      <c r="F69" s="319">
        <v>151545282</v>
      </c>
      <c r="G69" s="319">
        <v>154835973</v>
      </c>
      <c r="H69" s="319">
        <v>150381077</v>
      </c>
      <c r="I69" s="319">
        <v>151828533</v>
      </c>
      <c r="J69" s="319">
        <v>154089690.36526203</v>
      </c>
      <c r="K69" s="319">
        <v>161923489.38404277</v>
      </c>
      <c r="L69" s="319">
        <v>161146077.52679196</v>
      </c>
      <c r="M69" s="319">
        <v>172238388.46690765</v>
      </c>
      <c r="N69" s="319">
        <v>178550937.53289574</v>
      </c>
      <c r="O69" s="319">
        <v>173821655.84814507</v>
      </c>
      <c r="P69" s="319">
        <v>177851003</v>
      </c>
      <c r="Q69" s="319">
        <v>178991554</v>
      </c>
      <c r="R69" s="319">
        <v>186550347</v>
      </c>
      <c r="S69" s="319">
        <v>192506264</v>
      </c>
      <c r="T69" s="340">
        <v>193388498</v>
      </c>
      <c r="U69" s="340">
        <v>197902841</v>
      </c>
      <c r="V69" s="666">
        <v>198438409</v>
      </c>
      <c r="W69" s="667">
        <v>197078112</v>
      </c>
      <c r="X69" s="290"/>
      <c r="Y69" s="13" t="s">
        <v>59</v>
      </c>
      <c r="Z69" s="319">
        <f>B69/'Population &amp; Income'!B68</f>
        <v>6330.083349173161</v>
      </c>
      <c r="AA69" s="319">
        <f>C69/'Population &amp; Income'!C68</f>
        <v>6678.6623177283191</v>
      </c>
      <c r="AB69" s="319">
        <f>D69/'Population &amp; Income'!D68</f>
        <v>6797.4913947738405</v>
      </c>
      <c r="AC69" s="319">
        <f>E69/'Population &amp; Income'!E68</f>
        <v>7411.1821329639888</v>
      </c>
      <c r="AD69" s="319">
        <f>F69/'Population &amp; Income'!F68</f>
        <v>7554.6002991026917</v>
      </c>
      <c r="AE69" s="319">
        <f>G69/'Population &amp; Income'!G68</f>
        <v>7785.7883542012369</v>
      </c>
      <c r="AF69" s="319">
        <f>H69/'Population &amp; Income'!H68</f>
        <v>7580.0734412016736</v>
      </c>
      <c r="AG69" s="319">
        <f>I69/'Population &amp; Income'!I68</f>
        <v>7749.5167925683954</v>
      </c>
      <c r="AH69" s="319">
        <f>J69/'Population &amp; Income'!J68</f>
        <v>7968.2330316093721</v>
      </c>
      <c r="AI69" s="319">
        <f>K69/'Population &amp; Income'!K68</f>
        <v>8428.6861373193879</v>
      </c>
      <c r="AJ69" s="319">
        <f>L69/'Population &amp; Income'!L68</f>
        <v>8502.4047658308427</v>
      </c>
      <c r="AK69" s="319">
        <f>M69/'Population &amp; Income'!M68</f>
        <v>9167.4679831226131</v>
      </c>
      <c r="AL69" s="319">
        <f>N69/'Population &amp; Income'!N68</f>
        <v>9624.3498023337506</v>
      </c>
      <c r="AM69" s="319">
        <f>O69/'Population &amp; Income'!O68</f>
        <v>9458.1377651618823</v>
      </c>
      <c r="AN69" s="319">
        <f>P69/'Population &amp; Income'!P68</f>
        <v>9760.7707041325939</v>
      </c>
      <c r="AO69" s="319">
        <f>Q69/'Population &amp; Income'!Q68</f>
        <v>9845.5200220021998</v>
      </c>
      <c r="AP69" s="319">
        <f>R69/'Population &amp; Income'!R68</f>
        <v>10300.389100546628</v>
      </c>
      <c r="AQ69" s="319">
        <f>S69/'Population &amp; Income'!S68</f>
        <v>10801.002300398362</v>
      </c>
      <c r="AR69" s="319">
        <f>T69/'Population &amp; Income'!T68</f>
        <v>10996.104963893786</v>
      </c>
      <c r="AS69" s="319">
        <f>U69/'Population &amp; Income'!U68</f>
        <v>11346.338779956426</v>
      </c>
      <c r="AT69" s="319">
        <f>V69/'Population &amp; Income'!V68</f>
        <v>11622.937327944708</v>
      </c>
      <c r="AU69" s="319">
        <f>W69/'Population &amp; Income'!W68</f>
        <v>11712.713181980269</v>
      </c>
      <c r="AV69" s="690"/>
      <c r="AW69" s="690"/>
      <c r="AX69" s="13" t="s">
        <v>59</v>
      </c>
      <c r="AY69" s="40">
        <f t="shared" si="42"/>
        <v>4.5240339344996765E-2</v>
      </c>
      <c r="AZ69" s="40">
        <f t="shared" si="43"/>
        <v>7.0032012812249458E-3</v>
      </c>
      <c r="BA69" s="40">
        <f t="shared" si="44"/>
        <v>6.8557705052828807E-2</v>
      </c>
      <c r="BB69" s="40">
        <f t="shared" si="45"/>
        <v>1.1485601369570782E-2</v>
      </c>
      <c r="BC69" s="40">
        <f t="shared" si="46"/>
        <v>2.1714242479683399E-2</v>
      </c>
      <c r="BD69" s="40">
        <f t="shared" si="47"/>
        <v>-2.8771711855358057E-2</v>
      </c>
      <c r="BE69" s="40">
        <f t="shared" si="48"/>
        <v>9.6252535816058818E-3</v>
      </c>
      <c r="BF69" s="40">
        <f t="shared" si="49"/>
        <v>1.4892835493984728E-2</v>
      </c>
      <c r="BG69" s="40">
        <f t="shared" si="50"/>
        <v>5.0839215785372163E-2</v>
      </c>
      <c r="BH69" s="40">
        <f t="shared" si="51"/>
        <v>-4.80110612862955E-3</v>
      </c>
      <c r="BI69" s="40">
        <f t="shared" si="52"/>
        <v>6.88338873049609E-2</v>
      </c>
      <c r="BJ69" s="40">
        <f t="shared" si="53"/>
        <v>3.6650070417959875E-2</v>
      </c>
      <c r="BK69" s="40">
        <f t="shared" si="54"/>
        <v>-2.6487016814903959E-2</v>
      </c>
      <c r="BL69" s="40">
        <f t="shared" si="55"/>
        <v>2.3180927210675467E-2</v>
      </c>
      <c r="BM69" s="40">
        <f t="shared" si="56"/>
        <v>6.4129579297340254E-3</v>
      </c>
      <c r="BN69" s="40">
        <f t="shared" si="57"/>
        <v>4.2229886444809572E-2</v>
      </c>
      <c r="BO69" s="40">
        <f t="shared" si="58"/>
        <v>3.1926592985645853E-2</v>
      </c>
      <c r="BP69" s="691">
        <f t="shared" si="59"/>
        <v>4.5828846379772871E-3</v>
      </c>
      <c r="BQ69" s="691">
        <f t="shared" si="60"/>
        <v>2.3343389326080811E-2</v>
      </c>
      <c r="BR69" s="691">
        <f t="shared" si="61"/>
        <v>2.706216834956907E-3</v>
      </c>
      <c r="BS69" s="691">
        <f t="shared" si="62"/>
        <v>-6.8550085986629735E-3</v>
      </c>
      <c r="BT69" s="40"/>
      <c r="BU69" s="3"/>
      <c r="BV69" s="13" t="s">
        <v>59</v>
      </c>
      <c r="BW69" s="40">
        <f t="shared" si="63"/>
        <v>4.5240339344996765E-2</v>
      </c>
      <c r="BX69" s="40">
        <f t="shared" si="64"/>
        <v>5.2560367828685645E-2</v>
      </c>
      <c r="BY69" s="40">
        <f t="shared" si="65"/>
        <v>0.12472149107658168</v>
      </c>
      <c r="BZ69" s="40">
        <f t="shared" si="66"/>
        <v>0.13763959377487656</v>
      </c>
      <c r="CA69" s="40">
        <f t="shared" si="67"/>
        <v>0.16234257576859273</v>
      </c>
      <c r="CB69" s="40">
        <f t="shared" si="68"/>
        <v>0.1288999901013641</v>
      </c>
      <c r="CC69" s="40">
        <f t="shared" si="69"/>
        <v>0.13976593877436211</v>
      </c>
      <c r="CD69" s="40">
        <f t="shared" si="70"/>
        <v>0.15674028540217574</v>
      </c>
      <c r="CE69" s="40">
        <f t="shared" si="71"/>
        <v>0.21554805437936994</v>
      </c>
      <c r="CF69" s="40">
        <f t="shared" si="72"/>
        <v>0.20971207916584542</v>
      </c>
      <c r="CG69" s="40">
        <f t="shared" si="73"/>
        <v>0.29298126409459718</v>
      </c>
      <c r="CH69" s="40">
        <f t="shared" si="74"/>
        <v>0.34036911847276691</v>
      </c>
      <c r="CI69" s="40">
        <f t="shared" si="75"/>
        <v>0.30486673909360074</v>
      </c>
      <c r="CJ69" s="40">
        <f t="shared" si="76"/>
        <v>0.33511475999216095</v>
      </c>
      <c r="CK69" s="40">
        <f t="shared" si="77"/>
        <v>0.34367679477935764</v>
      </c>
      <c r="CL69" s="113">
        <f t="shared" si="78"/>
        <v>0.40042011324141558</v>
      </c>
      <c r="CM69" s="113">
        <f t="shared" si="79"/>
        <v>0.44513075620578635</v>
      </c>
      <c r="CN69" s="691">
        <f t="shared" si="80"/>
        <v>0.45175362374827033</v>
      </c>
      <c r="CO69" s="691">
        <f t="shared" si="81"/>
        <v>0.48564247379297487</v>
      </c>
      <c r="CP69" s="691">
        <f t="shared" si="82"/>
        <v>0.48966294446628045</v>
      </c>
      <c r="CQ69" s="691">
        <f t="shared" si="83"/>
        <v>0.47945129217285448</v>
      </c>
    </row>
    <row r="70" spans="1:95" ht="14">
      <c r="A70" s="13" t="s">
        <v>60</v>
      </c>
      <c r="B70" s="319">
        <v>149503553</v>
      </c>
      <c r="C70" s="319">
        <v>178775440</v>
      </c>
      <c r="D70" s="319">
        <v>190897104</v>
      </c>
      <c r="E70" s="319">
        <v>214012349</v>
      </c>
      <c r="F70" s="319">
        <v>229262315</v>
      </c>
      <c r="G70" s="319">
        <v>234536363</v>
      </c>
      <c r="H70" s="319">
        <v>230199729</v>
      </c>
      <c r="I70" s="319">
        <v>230160324</v>
      </c>
      <c r="J70" s="319">
        <v>236118250.3445819</v>
      </c>
      <c r="K70" s="319">
        <v>257975093.74164426</v>
      </c>
      <c r="L70" s="319">
        <v>256349009.20703807</v>
      </c>
      <c r="M70" s="319">
        <v>270538667.01895076</v>
      </c>
      <c r="N70" s="319">
        <v>288778839.48233742</v>
      </c>
      <c r="O70" s="319">
        <v>290555025.08931881</v>
      </c>
      <c r="P70" s="319">
        <v>295695031</v>
      </c>
      <c r="Q70" s="319">
        <v>302736691</v>
      </c>
      <c r="R70" s="319">
        <v>313665074</v>
      </c>
      <c r="S70" s="319">
        <v>322900386</v>
      </c>
      <c r="T70" s="340">
        <v>324045500</v>
      </c>
      <c r="U70" s="340">
        <v>331150903</v>
      </c>
      <c r="V70" s="666">
        <v>336343628</v>
      </c>
      <c r="W70" s="667">
        <v>346609413</v>
      </c>
      <c r="X70" s="290"/>
      <c r="Y70" s="13" t="s">
        <v>60</v>
      </c>
      <c r="Z70" s="319">
        <f>B70/'Population &amp; Income'!B69</f>
        <v>8347.4903964265777</v>
      </c>
      <c r="AA70" s="319">
        <f>C70/'Population &amp; Income'!C69</f>
        <v>9922.5975467613916</v>
      </c>
      <c r="AB70" s="319">
        <f>D70/'Population &amp; Income'!D69</f>
        <v>10576.016842105264</v>
      </c>
      <c r="AC70" s="319">
        <f>E70/'Population &amp; Income'!E69</f>
        <v>11847.45067537644</v>
      </c>
      <c r="AD70" s="319">
        <f>F70/'Population &amp; Income'!F69</f>
        <v>12642.677567001214</v>
      </c>
      <c r="AE70" s="319">
        <f>G70/'Population &amp; Income'!G69</f>
        <v>12907.179736943481</v>
      </c>
      <c r="AF70" s="319">
        <f>H70/'Population &amp; Income'!H69</f>
        <v>12566.859318702915</v>
      </c>
      <c r="AG70" s="319">
        <f>I70/'Population &amp; Income'!I69</f>
        <v>12568.138699284662</v>
      </c>
      <c r="AH70" s="319">
        <f>J70/'Population &amp; Income'!J69</f>
        <v>12794.963170292722</v>
      </c>
      <c r="AI70" s="319">
        <f>K70/'Population &amp; Income'!K69</f>
        <v>13868.137498206874</v>
      </c>
      <c r="AJ70" s="319">
        <f>L70/'Population &amp; Income'!L69</f>
        <v>13729.060047506324</v>
      </c>
      <c r="AK70" s="319">
        <f>M70/'Population &amp; Income'!M69</f>
        <v>14268.164496542944</v>
      </c>
      <c r="AL70" s="319">
        <f>N70/'Population &amp; Income'!N69</f>
        <v>15218.109163276635</v>
      </c>
      <c r="AM70" s="319">
        <f>O70/'Population &amp; Income'!O69</f>
        <v>15252.232288153218</v>
      </c>
      <c r="AN70" s="319">
        <f>P70/'Population &amp; Income'!P69</f>
        <v>15580.937453893983</v>
      </c>
      <c r="AO70" s="319">
        <f>Q70/'Population &amp; Income'!Q69</f>
        <v>16012.730931979266</v>
      </c>
      <c r="AP70" s="319">
        <f>R70/'Population &amp; Income'!R69</f>
        <v>16493.063098117575</v>
      </c>
      <c r="AQ70" s="319">
        <f>S70/'Population &amp; Income'!S69</f>
        <v>16930.599098154362</v>
      </c>
      <c r="AR70" s="319">
        <f>T70/'Population &amp; Income'!T69</f>
        <v>16886.164669098489</v>
      </c>
      <c r="AS70" s="319">
        <f>U70/'Population &amp; Income'!U69</f>
        <v>17310.554260324097</v>
      </c>
      <c r="AT70" s="319">
        <f>V70/'Population &amp; Income'!V69</f>
        <v>17440.685921700802</v>
      </c>
      <c r="AU70" s="319">
        <f>W70/'Population &amp; Income'!W69</f>
        <v>18029.09820546164</v>
      </c>
      <c r="AV70" s="690"/>
      <c r="AW70" s="690"/>
      <c r="AX70" s="13" t="s">
        <v>60</v>
      </c>
      <c r="AY70" s="40">
        <f t="shared" si="42"/>
        <v>0.19579392203474924</v>
      </c>
      <c r="AZ70" s="40">
        <f t="shared" si="43"/>
        <v>6.7803854936673624E-2</v>
      </c>
      <c r="BA70" s="40">
        <f t="shared" si="44"/>
        <v>0.12108745767038981</v>
      </c>
      <c r="BB70" s="40">
        <f t="shared" si="45"/>
        <v>7.1257411412273222E-2</v>
      </c>
      <c r="BC70" s="40">
        <f t="shared" si="46"/>
        <v>2.3004426174445633E-2</v>
      </c>
      <c r="BD70" s="40">
        <f t="shared" si="47"/>
        <v>-1.8490241532397259E-2</v>
      </c>
      <c r="BE70" s="40">
        <f t="shared" si="48"/>
        <v>-1.7117743870150257E-4</v>
      </c>
      <c r="BF70" s="40">
        <f t="shared" si="49"/>
        <v>2.5885983478985294E-2</v>
      </c>
      <c r="BG70" s="40">
        <f t="shared" si="50"/>
        <v>9.2567361333422235E-2</v>
      </c>
      <c r="BH70" s="40">
        <f t="shared" si="51"/>
        <v>-6.303261725857429E-3</v>
      </c>
      <c r="BI70" s="40">
        <f t="shared" si="52"/>
        <v>5.5352887283650593E-2</v>
      </c>
      <c r="BJ70" s="40">
        <f t="shared" si="53"/>
        <v>6.7421683799857579E-2</v>
      </c>
      <c r="BK70" s="40">
        <f t="shared" si="54"/>
        <v>6.1506778341701646E-3</v>
      </c>
      <c r="BL70" s="40">
        <f t="shared" si="55"/>
        <v>1.7690301205773713E-2</v>
      </c>
      <c r="BM70" s="40">
        <f t="shared" si="56"/>
        <v>2.3813927397379905E-2</v>
      </c>
      <c r="BN70" s="40">
        <f t="shared" si="57"/>
        <v>3.6098640584005061E-2</v>
      </c>
      <c r="BO70" s="40">
        <f t="shared" si="58"/>
        <v>2.9443227077299655E-2</v>
      </c>
      <c r="BP70" s="691">
        <f t="shared" si="59"/>
        <v>3.5463382815528748E-3</v>
      </c>
      <c r="BQ70" s="691">
        <f t="shared" si="60"/>
        <v>2.1927176893368368E-2</v>
      </c>
      <c r="BR70" s="691">
        <f t="shared" si="61"/>
        <v>1.5680842035934294E-2</v>
      </c>
      <c r="BS70" s="691">
        <f t="shared" si="62"/>
        <v>3.0521716915059262E-2</v>
      </c>
      <c r="BT70" s="40"/>
      <c r="BU70" s="3"/>
      <c r="BV70" s="13" t="s">
        <v>60</v>
      </c>
      <c r="BW70" s="40">
        <f t="shared" si="63"/>
        <v>0.19579392203474924</v>
      </c>
      <c r="BX70" s="40">
        <f t="shared" si="64"/>
        <v>0.27687335965854937</v>
      </c>
      <c r="BY70" s="40">
        <f t="shared" si="65"/>
        <v>0.43148670854665239</v>
      </c>
      <c r="BZ70" s="40">
        <f t="shared" si="66"/>
        <v>0.53349074586876211</v>
      </c>
      <c r="CA70" s="40">
        <f t="shared" si="67"/>
        <v>0.5687678205212956</v>
      </c>
      <c r="CB70" s="40">
        <f t="shared" si="68"/>
        <v>0.53976092461160441</v>
      </c>
      <c r="CC70" s="40">
        <f t="shared" si="69"/>
        <v>0.5394973522803167</v>
      </c>
      <c r="CD70" s="40">
        <f t="shared" si="70"/>
        <v>0.57934875530738661</v>
      </c>
      <c r="CE70" s="40">
        <f t="shared" si="71"/>
        <v>0.7255449022114161</v>
      </c>
      <c r="CF70" s="40">
        <f t="shared" si="72"/>
        <v>0.71466834107305843</v>
      </c>
      <c r="CG70" s="40">
        <f t="shared" si="73"/>
        <v>0.80958018448531965</v>
      </c>
      <c r="CH70" s="40">
        <f t="shared" si="74"/>
        <v>0.93158512749417677</v>
      </c>
      <c r="CI70" s="40">
        <f t="shared" si="75"/>
        <v>0.94346568532266795</v>
      </c>
      <c r="CJ70" s="40">
        <f t="shared" si="76"/>
        <v>0.97784617867911139</v>
      </c>
      <c r="CK70" s="40">
        <f t="shared" si="77"/>
        <v>1.024946463981361</v>
      </c>
      <c r="CL70" s="113">
        <f t="shared" si="78"/>
        <v>1.0980442785864761</v>
      </c>
      <c r="CM70" s="113">
        <f t="shared" si="79"/>
        <v>1.1598174726991271</v>
      </c>
      <c r="CN70" s="691">
        <f t="shared" si="80"/>
        <v>1.1674769160837268</v>
      </c>
      <c r="CO70" s="691">
        <f t="shared" si="81"/>
        <v>1.2150035658349871</v>
      </c>
      <c r="CP70" s="691">
        <f t="shared" si="82"/>
        <v>1.2497366868598769</v>
      </c>
      <c r="CQ70" s="691">
        <f t="shared" si="83"/>
        <v>1.3184025131496373</v>
      </c>
    </row>
    <row r="71" spans="1:95" ht="14">
      <c r="A71" s="13" t="s">
        <v>61</v>
      </c>
      <c r="B71" s="319">
        <v>207691037</v>
      </c>
      <c r="C71" s="319">
        <v>245795434</v>
      </c>
      <c r="D71" s="319">
        <v>259463527</v>
      </c>
      <c r="E71" s="319">
        <v>273279736</v>
      </c>
      <c r="F71" s="319">
        <v>283670977</v>
      </c>
      <c r="G71" s="319">
        <v>312922784</v>
      </c>
      <c r="H71" s="319">
        <v>323135415</v>
      </c>
      <c r="I71" s="319">
        <v>334867342</v>
      </c>
      <c r="J71" s="319">
        <v>337377203.26857936</v>
      </c>
      <c r="K71" s="319">
        <v>355255594.97731113</v>
      </c>
      <c r="L71" s="319">
        <v>376269529.0119344</v>
      </c>
      <c r="M71" s="319">
        <v>513082007.49721336</v>
      </c>
      <c r="N71" s="319">
        <v>524885343.43793511</v>
      </c>
      <c r="O71" s="319">
        <v>530311732.20276582</v>
      </c>
      <c r="P71" s="319">
        <v>540436161</v>
      </c>
      <c r="Q71" s="319">
        <v>544748052</v>
      </c>
      <c r="R71" s="319">
        <v>552689414</v>
      </c>
      <c r="S71" s="319">
        <v>561747319</v>
      </c>
      <c r="T71" s="340">
        <v>561611059</v>
      </c>
      <c r="U71" s="340">
        <v>573139368</v>
      </c>
      <c r="V71" s="666">
        <v>583344977</v>
      </c>
      <c r="W71" s="667">
        <v>587128152</v>
      </c>
      <c r="X71" s="290"/>
      <c r="Y71" s="13" t="s">
        <v>61</v>
      </c>
      <c r="Z71" s="319">
        <f>B71/'Population &amp; Income'!B70</f>
        <v>5419.4879576233598</v>
      </c>
      <c r="AA71" s="319">
        <f>C71/'Population &amp; Income'!C70</f>
        <v>6335.4237183287369</v>
      </c>
      <c r="AB71" s="319">
        <f>D71/'Population &amp; Income'!D70</f>
        <v>6621.6702480604326</v>
      </c>
      <c r="AC71" s="319">
        <f>E71/'Population &amp; Income'!E70</f>
        <v>6906.584512737566</v>
      </c>
      <c r="AD71" s="319">
        <f>F71/'Population &amp; Income'!F70</f>
        <v>7101.5390411816252</v>
      </c>
      <c r="AE71" s="319">
        <f>G71/'Population &amp; Income'!G70</f>
        <v>7780.4715184365596</v>
      </c>
      <c r="AF71" s="319">
        <f>H71/'Population &amp; Income'!H70</f>
        <v>7844.4253878086083</v>
      </c>
      <c r="AG71" s="319">
        <f>I71/'Population &amp; Income'!I70</f>
        <v>7995.3045865864433</v>
      </c>
      <c r="AH71" s="319">
        <f>J71/'Population &amp; Income'!J70</f>
        <v>7916.6792582264725</v>
      </c>
      <c r="AI71" s="319">
        <f>K71/'Population &amp; Income'!K70</f>
        <v>8199.4044124289958</v>
      </c>
      <c r="AJ71" s="319">
        <f>L71/'Population &amp; Income'!L70</f>
        <v>8546.7241115714805</v>
      </c>
      <c r="AK71" s="319">
        <f>M71/'Population &amp; Income'!M70</f>
        <v>11581.986625219264</v>
      </c>
      <c r="AL71" s="319">
        <f>N71/'Population &amp; Income'!N70</f>
        <v>11875.234014432921</v>
      </c>
      <c r="AM71" s="319">
        <f>O71/'Population &amp; Income'!O70</f>
        <v>11906.4151819211</v>
      </c>
      <c r="AN71" s="319">
        <f>P71/'Population &amp; Income'!P70</f>
        <v>11932.528780552428</v>
      </c>
      <c r="AO71" s="319">
        <f>Q71/'Population &amp; Income'!Q70</f>
        <v>12076.796328729466</v>
      </c>
      <c r="AP71" s="319">
        <f>R71/'Population &amp; Income'!R70</f>
        <v>12285.536132660547</v>
      </c>
      <c r="AQ71" s="319">
        <f>S71/'Population &amp; Income'!S70</f>
        <v>12537.04374316513</v>
      </c>
      <c r="AR71" s="319">
        <f>T71/'Population &amp; Income'!T70</f>
        <v>12526.733856757299</v>
      </c>
      <c r="AS71" s="319">
        <f>U71/'Population &amp; Income'!U70</f>
        <v>12847.777807666442</v>
      </c>
      <c r="AT71" s="319">
        <f>V71/'Population &amp; Income'!V70</f>
        <v>13077.138114239599</v>
      </c>
      <c r="AU71" s="319">
        <f>W71/'Population &amp; Income'!W70</f>
        <v>13121.941534060432</v>
      </c>
      <c r="AV71" s="690"/>
      <c r="AW71" s="690"/>
      <c r="AX71" s="13" t="s">
        <v>61</v>
      </c>
      <c r="AY71" s="40">
        <f t="shared" si="42"/>
        <v>0.18346673766186647</v>
      </c>
      <c r="AZ71" s="40">
        <f t="shared" si="43"/>
        <v>5.5607595216760619E-2</v>
      </c>
      <c r="BA71" s="40">
        <f t="shared" si="44"/>
        <v>5.3249137401882307E-2</v>
      </c>
      <c r="BB71" s="40">
        <f t="shared" si="45"/>
        <v>3.8024191446086583E-2</v>
      </c>
      <c r="BC71" s="40">
        <f t="shared" si="46"/>
        <v>0.10311878680489757</v>
      </c>
      <c r="BD71" s="40">
        <f t="shared" si="47"/>
        <v>3.2636265309463688E-2</v>
      </c>
      <c r="BE71" s="40">
        <f t="shared" si="48"/>
        <v>3.6306534212599384E-2</v>
      </c>
      <c r="BF71" s="40">
        <f t="shared" si="49"/>
        <v>7.495091201157991E-3</v>
      </c>
      <c r="BG71" s="40">
        <f t="shared" si="50"/>
        <v>5.2992293301154479E-2</v>
      </c>
      <c r="BH71" s="40">
        <f t="shared" si="51"/>
        <v>5.9151592069831713E-2</v>
      </c>
      <c r="BI71" s="40">
        <f t="shared" si="52"/>
        <v>0.36360233273351134</v>
      </c>
      <c r="BJ71" s="40">
        <f t="shared" si="53"/>
        <v>2.300477461351216E-2</v>
      </c>
      <c r="BK71" s="40">
        <f t="shared" si="54"/>
        <v>1.0338236402808511E-2</v>
      </c>
      <c r="BL71" s="40">
        <f t="shared" si="55"/>
        <v>1.9091466740100482E-2</v>
      </c>
      <c r="BM71" s="40">
        <f t="shared" si="56"/>
        <v>7.9785390230392075E-3</v>
      </c>
      <c r="BN71" s="40">
        <f t="shared" si="57"/>
        <v>1.4578045705430077E-2</v>
      </c>
      <c r="BO71" s="40">
        <f t="shared" si="58"/>
        <v>1.6388779612124069E-2</v>
      </c>
      <c r="BP71" s="691">
        <f t="shared" si="59"/>
        <v>-2.4256457555073797E-4</v>
      </c>
      <c r="BQ71" s="691">
        <f t="shared" si="60"/>
        <v>2.0527211519885687E-2</v>
      </c>
      <c r="BR71" s="691">
        <f t="shared" si="61"/>
        <v>1.7806504961634391E-2</v>
      </c>
      <c r="BS71" s="691">
        <f t="shared" si="62"/>
        <v>6.4853134065813688E-3</v>
      </c>
      <c r="BT71" s="40"/>
      <c r="BU71" s="3"/>
      <c r="BV71" s="13" t="s">
        <v>61</v>
      </c>
      <c r="BW71" s="40">
        <f t="shared" si="63"/>
        <v>0.18346673766186647</v>
      </c>
      <c r="BX71" s="40">
        <f t="shared" si="64"/>
        <v>0.24927647696226776</v>
      </c>
      <c r="BY71" s="40">
        <f t="shared" si="65"/>
        <v>0.31579937173697104</v>
      </c>
      <c r="BZ71" s="40">
        <f t="shared" si="66"/>
        <v>0.36583157895253804</v>
      </c>
      <c r="CA71" s="40">
        <f t="shared" si="67"/>
        <v>0.50667447435394142</v>
      </c>
      <c r="CB71" s="40">
        <f t="shared" si="68"/>
        <v>0.55584670223395338</v>
      </c>
      <c r="CC71" s="40">
        <f t="shared" si="69"/>
        <v>0.61233410375817032</v>
      </c>
      <c r="CD71" s="40">
        <f t="shared" si="70"/>
        <v>0.62441869491257518</v>
      </c>
      <c r="CE71" s="40">
        <f t="shared" si="71"/>
        <v>0.71050036683726092</v>
      </c>
      <c r="CF71" s="40">
        <f t="shared" si="72"/>
        <v>0.81167918677171613</v>
      </c>
      <c r="CG71" s="40">
        <f t="shared" si="73"/>
        <v>1.4704099652466629</v>
      </c>
      <c r="CH71" s="40">
        <f t="shared" si="74"/>
        <v>1.5272411897001368</v>
      </c>
      <c r="CI71" s="40">
        <f t="shared" si="75"/>
        <v>1.5533684065661717</v>
      </c>
      <c r="CJ71" s="40">
        <f t="shared" si="76"/>
        <v>1.6021159545753532</v>
      </c>
      <c r="CK71" s="40">
        <f t="shared" si="77"/>
        <v>1.6228770382614055</v>
      </c>
      <c r="CL71" s="113">
        <f t="shared" si="78"/>
        <v>1.6611134596049033</v>
      </c>
      <c r="CM71" s="113">
        <f t="shared" si="79"/>
        <v>1.7047258616172252</v>
      </c>
      <c r="CN71" s="691">
        <f t="shared" si="80"/>
        <v>1.7040697909366209</v>
      </c>
      <c r="CO71" s="691">
        <f t="shared" si="81"/>
        <v>1.7595768034997099</v>
      </c>
      <c r="CP71" s="691">
        <f t="shared" si="82"/>
        <v>1.8087152215432387</v>
      </c>
      <c r="CQ71" s="691">
        <f t="shared" si="83"/>
        <v>1.8269306200247823</v>
      </c>
    </row>
    <row r="72" spans="1:95" ht="14">
      <c r="A72" s="13" t="s">
        <v>62</v>
      </c>
      <c r="B72" s="319">
        <v>160721007</v>
      </c>
      <c r="C72" s="319">
        <v>165144456</v>
      </c>
      <c r="D72" s="319">
        <v>170604053</v>
      </c>
      <c r="E72" s="319">
        <v>184311625</v>
      </c>
      <c r="F72" s="319">
        <v>190873010</v>
      </c>
      <c r="G72" s="319">
        <v>192798335</v>
      </c>
      <c r="H72" s="319">
        <v>195364247</v>
      </c>
      <c r="I72" s="319">
        <v>185139094</v>
      </c>
      <c r="J72" s="319">
        <v>191253548.08397812</v>
      </c>
      <c r="K72" s="319">
        <v>201039124.32218191</v>
      </c>
      <c r="L72" s="319">
        <v>205473179.29419681</v>
      </c>
      <c r="M72" s="319">
        <v>229044891.1663225</v>
      </c>
      <c r="N72" s="319">
        <v>230266571.06024659</v>
      </c>
      <c r="O72" s="319">
        <v>251379337.5823361</v>
      </c>
      <c r="P72" s="319">
        <v>249424429</v>
      </c>
      <c r="Q72" s="319">
        <v>253271662</v>
      </c>
      <c r="R72" s="319">
        <v>263759128</v>
      </c>
      <c r="S72" s="319">
        <v>272039031</v>
      </c>
      <c r="T72" s="340">
        <v>270432395</v>
      </c>
      <c r="U72" s="340">
        <v>280669759</v>
      </c>
      <c r="V72" s="666">
        <v>292776146</v>
      </c>
      <c r="W72" s="667">
        <v>286962870</v>
      </c>
      <c r="X72" s="290"/>
      <c r="Y72" s="13" t="s">
        <v>62</v>
      </c>
      <c r="Z72" s="319">
        <f>B72/'Population &amp; Income'!B71</f>
        <v>9277.3612906949893</v>
      </c>
      <c r="AA72" s="319">
        <f>C72/'Population &amp; Income'!C71</f>
        <v>9453.5723853683667</v>
      </c>
      <c r="AB72" s="319">
        <f>D72/'Population &amp; Income'!D71</f>
        <v>9463.2822831151534</v>
      </c>
      <c r="AC72" s="319">
        <f>E72/'Population &amp; Income'!E71</f>
        <v>10081.589815118696</v>
      </c>
      <c r="AD72" s="319">
        <f>F72/'Population &amp; Income'!F71</f>
        <v>10429.649199497295</v>
      </c>
      <c r="AE72" s="319">
        <f>G72/'Population &amp; Income'!G71</f>
        <v>10559.663435206485</v>
      </c>
      <c r="AF72" s="319">
        <f>H72/'Population &amp; Income'!H71</f>
        <v>10669.228714980067</v>
      </c>
      <c r="AG72" s="319">
        <f>I72/'Population &amp; Income'!I71</f>
        <v>10047.709432323891</v>
      </c>
      <c r="AH72" s="319">
        <f>J72/'Population &amp; Income'!J71</f>
        <v>10375.043294129224</v>
      </c>
      <c r="AI72" s="319">
        <f>K72/'Population &amp; Income'!K71</f>
        <v>10736.401832960315</v>
      </c>
      <c r="AJ72" s="319">
        <f>L72/'Population &amp; Income'!L71</f>
        <v>10983.758982958081</v>
      </c>
      <c r="AK72" s="319">
        <f>M72/'Population &amp; Income'!M71</f>
        <v>12322.19126136876</v>
      </c>
      <c r="AL72" s="319">
        <f>N72/'Population &amp; Income'!N71</f>
        <v>12378.592143868755</v>
      </c>
      <c r="AM72" s="319">
        <f>O72/'Population &amp; Income'!O71</f>
        <v>13555.831405432275</v>
      </c>
      <c r="AN72" s="319">
        <f>P72/'Population &amp; Income'!P71</f>
        <v>13492.612193010928</v>
      </c>
      <c r="AO72" s="319">
        <f>Q72/'Population &amp; Income'!Q71</f>
        <v>13564.975737775159</v>
      </c>
      <c r="AP72" s="319">
        <f>R72/'Population &amp; Income'!R71</f>
        <v>14207.332507406411</v>
      </c>
      <c r="AQ72" s="319">
        <f>S72/'Population &amp; Income'!S71</f>
        <v>14571.698055600193</v>
      </c>
      <c r="AR72" s="319">
        <f>T72/'Population &amp; Income'!T71</f>
        <v>14637.74803788904</v>
      </c>
      <c r="AS72" s="319">
        <f>U72/'Population &amp; Income'!U71</f>
        <v>15292.021303258145</v>
      </c>
      <c r="AT72" s="319">
        <f>V72/'Population &amp; Income'!V71</f>
        <v>15878.953574140362</v>
      </c>
      <c r="AU72" s="319">
        <f>W72/'Population &amp; Income'!W71</f>
        <v>15455.532396186783</v>
      </c>
      <c r="AV72" s="690"/>
      <c r="AW72" s="690"/>
      <c r="AX72" s="13" t="s">
        <v>62</v>
      </c>
      <c r="AY72" s="40">
        <f t="shared" si="42"/>
        <v>2.752253163769687E-2</v>
      </c>
      <c r="AZ72" s="40">
        <f t="shared" si="43"/>
        <v>3.3059523354510914E-2</v>
      </c>
      <c r="BA72" s="40">
        <f t="shared" si="44"/>
        <v>8.0347282253605073E-2</v>
      </c>
      <c r="BB72" s="40">
        <f t="shared" si="45"/>
        <v>3.5599409424120695E-2</v>
      </c>
      <c r="BC72" s="40">
        <f t="shared" si="46"/>
        <v>1.0086942098309237E-2</v>
      </c>
      <c r="BD72" s="40">
        <f t="shared" si="47"/>
        <v>1.3308787132419998E-2</v>
      </c>
      <c r="BE72" s="40">
        <f t="shared" si="48"/>
        <v>-5.2338916444624586E-2</v>
      </c>
      <c r="BF72" s="40">
        <f t="shared" si="49"/>
        <v>3.3026272041593314E-2</v>
      </c>
      <c r="BG72" s="40">
        <f t="shared" si="50"/>
        <v>5.1165462477626898E-2</v>
      </c>
      <c r="BH72" s="40">
        <f t="shared" si="51"/>
        <v>2.2055681882641721E-2</v>
      </c>
      <c r="BI72" s="40">
        <f t="shared" si="52"/>
        <v>0.11471916652623393</v>
      </c>
      <c r="BJ72" s="40">
        <f t="shared" si="53"/>
        <v>5.3338011064257103E-3</v>
      </c>
      <c r="BK72" s="40">
        <f t="shared" si="54"/>
        <v>9.1688369809292028E-2</v>
      </c>
      <c r="BL72" s="40">
        <f t="shared" si="55"/>
        <v>-7.7767273998635335E-3</v>
      </c>
      <c r="BM72" s="40">
        <f t="shared" si="56"/>
        <v>1.5424443449362371E-2</v>
      </c>
      <c r="BN72" s="40">
        <f t="shared" si="57"/>
        <v>4.1407972440280348E-2</v>
      </c>
      <c r="BO72" s="40">
        <f t="shared" si="58"/>
        <v>3.1391910728488605E-2</v>
      </c>
      <c r="BP72" s="691">
        <f t="shared" si="59"/>
        <v>-5.9059025247005827E-3</v>
      </c>
      <c r="BQ72" s="691">
        <f t="shared" si="60"/>
        <v>3.7855538719760259E-2</v>
      </c>
      <c r="BR72" s="691">
        <f t="shared" si="61"/>
        <v>4.3133920245394163E-2</v>
      </c>
      <c r="BS72" s="691">
        <f t="shared" si="62"/>
        <v>-1.9855702315310891E-2</v>
      </c>
      <c r="BT72" s="40"/>
      <c r="BU72" s="3"/>
      <c r="BV72" s="13" t="s">
        <v>62</v>
      </c>
      <c r="BW72" s="40">
        <f t="shared" si="63"/>
        <v>2.752253163769687E-2</v>
      </c>
      <c r="BX72" s="40">
        <f t="shared" si="64"/>
        <v>6.1491936769659486E-2</v>
      </c>
      <c r="BY72" s="40">
        <f t="shared" si="65"/>
        <v>0.14677992902321724</v>
      </c>
      <c r="BZ72" s="40">
        <f t="shared" si="66"/>
        <v>0.18760461723587882</v>
      </c>
      <c r="CA72" s="40">
        <f t="shared" si="67"/>
        <v>0.19958391624562183</v>
      </c>
      <c r="CB72" s="40">
        <f t="shared" si="68"/>
        <v>0.21554892323440955</v>
      </c>
      <c r="CC72" s="40">
        <f t="shared" si="69"/>
        <v>0.15192840970689039</v>
      </c>
      <c r="CD72" s="40">
        <f t="shared" si="70"/>
        <v>0.18997231073831011</v>
      </c>
      <c r="CE72" s="40">
        <f t="shared" si="71"/>
        <v>0.25085779435280608</v>
      </c>
      <c r="CF72" s="40">
        <f t="shared" si="72"/>
        <v>0.27844631594547448</v>
      </c>
      <c r="CG72" s="40">
        <f t="shared" si="73"/>
        <v>0.42510861175927361</v>
      </c>
      <c r="CH72" s="40">
        <f t="shared" si="74"/>
        <v>0.43270985764945208</v>
      </c>
      <c r="CI72" s="40">
        <f t="shared" si="75"/>
        <v>0.5640726889070331</v>
      </c>
      <c r="CJ72" s="40">
        <f t="shared" si="76"/>
        <v>0.55190932197183162</v>
      </c>
      <c r="CK72" s="40">
        <f t="shared" si="77"/>
        <v>0.57584665954712444</v>
      </c>
      <c r="CL72" s="113">
        <f t="shared" si="78"/>
        <v>0.64109927459575955</v>
      </c>
      <c r="CM72" s="113">
        <f t="shared" si="79"/>
        <v>0.69261651652045708</v>
      </c>
      <c r="CN72" s="691">
        <f t="shared" si="80"/>
        <v>0.68262008836218901</v>
      </c>
      <c r="CO72" s="691">
        <f t="shared" si="81"/>
        <v>0.74631657826783027</v>
      </c>
      <c r="CP72" s="691">
        <f t="shared" si="82"/>
        <v>0.82164205827804448</v>
      </c>
      <c r="CQ72" s="691">
        <f t="shared" si="83"/>
        <v>0.78547207584382539</v>
      </c>
    </row>
    <row r="73" spans="1:95" ht="14">
      <c r="A73" s="13" t="s">
        <v>63</v>
      </c>
      <c r="B73" s="319">
        <v>118746341</v>
      </c>
      <c r="C73" s="319">
        <v>131699101</v>
      </c>
      <c r="D73" s="319">
        <v>146071678</v>
      </c>
      <c r="E73" s="319">
        <v>163056751</v>
      </c>
      <c r="F73" s="319">
        <v>178009847</v>
      </c>
      <c r="G73" s="319">
        <v>191584628</v>
      </c>
      <c r="H73" s="319">
        <v>198428090</v>
      </c>
      <c r="I73" s="319">
        <v>210314918</v>
      </c>
      <c r="J73" s="319">
        <v>216749282.79697996</v>
      </c>
      <c r="K73" s="319">
        <v>230113904.22233808</v>
      </c>
      <c r="L73" s="319">
        <v>241867836.73879191</v>
      </c>
      <c r="M73" s="319">
        <v>267933906.6625317</v>
      </c>
      <c r="N73" s="319">
        <v>273833655.03924245</v>
      </c>
      <c r="O73" s="319">
        <v>276354306.21422869</v>
      </c>
      <c r="P73" s="319">
        <v>275352693</v>
      </c>
      <c r="Q73" s="319">
        <v>272614168</v>
      </c>
      <c r="R73" s="319">
        <v>278862110</v>
      </c>
      <c r="S73" s="319">
        <v>283930668</v>
      </c>
      <c r="T73" s="340">
        <v>289871898</v>
      </c>
      <c r="U73" s="340">
        <v>295213131</v>
      </c>
      <c r="V73" s="666">
        <v>300243747</v>
      </c>
      <c r="W73" s="667">
        <v>308833315</v>
      </c>
      <c r="X73" s="290"/>
      <c r="Y73" s="13" t="s">
        <v>63</v>
      </c>
      <c r="Z73" s="319">
        <f>B73/'Population &amp; Income'!B72</f>
        <v>4606.1420093095421</v>
      </c>
      <c r="AA73" s="319">
        <f>C73/'Population &amp; Income'!C72</f>
        <v>5046.1359055902522</v>
      </c>
      <c r="AB73" s="319">
        <f>D73/'Population &amp; Income'!D72</f>
        <v>5531.132492710818</v>
      </c>
      <c r="AC73" s="319">
        <f>E73/'Population &amp; Income'!E72</f>
        <v>6105.3937544463997</v>
      </c>
      <c r="AD73" s="319">
        <f>F73/'Population &amp; Income'!F72</f>
        <v>6593.2014889440352</v>
      </c>
      <c r="AE73" s="319">
        <f>G73/'Population &amp; Income'!G72</f>
        <v>6986.7848729076259</v>
      </c>
      <c r="AF73" s="319">
        <f>H73/'Population &amp; Income'!H72</f>
        <v>7131.0317688492778</v>
      </c>
      <c r="AG73" s="319">
        <f>I73/'Population &amp; Income'!I72</f>
        <v>7419.8242370788503</v>
      </c>
      <c r="AH73" s="319">
        <f>J73/'Population &amp; Income'!J72</f>
        <v>7554.8721783541287</v>
      </c>
      <c r="AI73" s="319">
        <f>K73/'Population &amp; Income'!K72</f>
        <v>7851.5730934331268</v>
      </c>
      <c r="AJ73" s="319">
        <f>L73/'Population &amp; Income'!L72</f>
        <v>8048.0430152993686</v>
      </c>
      <c r="AK73" s="319">
        <f>M73/'Population &amp; Income'!M72</f>
        <v>8762.8828709619211</v>
      </c>
      <c r="AL73" s="319">
        <f>N73/'Population &amp; Income'!N72</f>
        <v>8893.5906151101808</v>
      </c>
      <c r="AM73" s="319">
        <f>O73/'Population &amp; Income'!O72</f>
        <v>8890.2784691725483</v>
      </c>
      <c r="AN73" s="319">
        <f>P73/'Population &amp; Income'!P72</f>
        <v>8843.2634165141153</v>
      </c>
      <c r="AO73" s="319">
        <f>Q73/'Population &amp; Income'!Q72</f>
        <v>8752.5016213439503</v>
      </c>
      <c r="AP73" s="319">
        <f>R73/'Population &amp; Income'!R72</f>
        <v>8990.6215946094071</v>
      </c>
      <c r="AQ73" s="319">
        <f>S73/'Population &amp; Income'!S72</f>
        <v>9166.7420417124031</v>
      </c>
      <c r="AR73" s="319">
        <f>T73/'Population &amp; Income'!T72</f>
        <v>9343.1715713134563</v>
      </c>
      <c r="AS73" s="319">
        <f>U73/'Population &amp; Income'!U72</f>
        <v>9467.1176923323601</v>
      </c>
      <c r="AT73" s="319">
        <f>V73/'Population &amp; Income'!V72</f>
        <v>9597.0512066485535</v>
      </c>
      <c r="AU73" s="319">
        <f>W73/'Population &amp; Income'!W72</f>
        <v>9713.572214883312</v>
      </c>
      <c r="AV73" s="690"/>
      <c r="AW73" s="690"/>
      <c r="AX73" s="13" t="s">
        <v>63</v>
      </c>
      <c r="AY73" s="40">
        <f t="shared" si="42"/>
        <v>0.10907923470248233</v>
      </c>
      <c r="AZ73" s="40">
        <f t="shared" si="43"/>
        <v>0.10913192945789357</v>
      </c>
      <c r="BA73" s="40">
        <f t="shared" si="44"/>
        <v>0.11627902980617502</v>
      </c>
      <c r="BB73" s="40">
        <f t="shared" si="45"/>
        <v>9.1704856795533723E-2</v>
      </c>
      <c r="BC73" s="40">
        <f t="shared" si="46"/>
        <v>7.6258595964076081E-2</v>
      </c>
      <c r="BD73" s="40">
        <f t="shared" si="47"/>
        <v>3.5720308416393405E-2</v>
      </c>
      <c r="BE73" s="40">
        <f t="shared" si="48"/>
        <v>5.9904966076123597E-2</v>
      </c>
      <c r="BF73" s="40">
        <f t="shared" si="49"/>
        <v>3.0593953382707564E-2</v>
      </c>
      <c r="BG73" s="40">
        <f t="shared" si="50"/>
        <v>6.1659357082515479E-2</v>
      </c>
      <c r="BH73" s="40">
        <f t="shared" si="51"/>
        <v>5.1078758392179027E-2</v>
      </c>
      <c r="BI73" s="40">
        <f t="shared" si="52"/>
        <v>0.10776988902369089</v>
      </c>
      <c r="BJ73" s="40">
        <f t="shared" si="53"/>
        <v>2.2019416841264506E-2</v>
      </c>
      <c r="BK73" s="40">
        <f t="shared" si="54"/>
        <v>9.2050452112068352E-3</v>
      </c>
      <c r="BL73" s="40">
        <f t="shared" si="55"/>
        <v>-3.6243807015340782E-3</v>
      </c>
      <c r="BM73" s="40">
        <f t="shared" si="56"/>
        <v>-9.945517402293937E-3</v>
      </c>
      <c r="BN73" s="40">
        <f t="shared" si="57"/>
        <v>2.2918625417883635E-2</v>
      </c>
      <c r="BO73" s="40">
        <f t="shared" si="58"/>
        <v>1.8175857594995605E-2</v>
      </c>
      <c r="BP73" s="691">
        <f t="shared" si="59"/>
        <v>2.0924932279594397E-2</v>
      </c>
      <c r="BQ73" s="691">
        <f t="shared" si="60"/>
        <v>1.8426184245014327E-2</v>
      </c>
      <c r="BR73" s="691">
        <f t="shared" si="61"/>
        <v>1.7040624117766631E-2</v>
      </c>
      <c r="BS73" s="691">
        <f t="shared" si="62"/>
        <v>2.8608649092032548E-2</v>
      </c>
      <c r="BT73" s="40"/>
      <c r="BU73" s="3"/>
      <c r="BV73" s="13" t="s">
        <v>63</v>
      </c>
      <c r="BW73" s="40">
        <f t="shared" si="63"/>
        <v>0.10907923470248233</v>
      </c>
      <c r="BX73" s="40">
        <f t="shared" si="64"/>
        <v>0.23011519150724821</v>
      </c>
      <c r="BY73" s="40">
        <f t="shared" si="65"/>
        <v>0.3731517925255482</v>
      </c>
      <c r="BZ73" s="40">
        <f t="shared" si="66"/>
        <v>0.49907648101763408</v>
      </c>
      <c r="CA73" s="40">
        <f t="shared" si="67"/>
        <v>0.61339394870280672</v>
      </c>
      <c r="CB73" s="40">
        <f t="shared" si="68"/>
        <v>0.6710248781476138</v>
      </c>
      <c r="CC73" s="40">
        <f t="shared" si="69"/>
        <v>0.77112756678540517</v>
      </c>
      <c r="CD73" s="40">
        <f t="shared" si="70"/>
        <v>0.82531336099846619</v>
      </c>
      <c r="CE73" s="40">
        <f t="shared" si="71"/>
        <v>0.93786100931175709</v>
      </c>
      <c r="CF73" s="40">
        <f t="shared" si="72"/>
        <v>1.0368445436040166</v>
      </c>
      <c r="CG73" s="40">
        <f t="shared" si="73"/>
        <v>1.2563550540267316</v>
      </c>
      <c r="CH73" s="40">
        <f t="shared" si="74"/>
        <v>1.3060386765032401</v>
      </c>
      <c r="CI73" s="40">
        <f t="shared" si="75"/>
        <v>1.3272658667792441</v>
      </c>
      <c r="CJ73" s="40">
        <f t="shared" si="76"/>
        <v>1.3188309692843505</v>
      </c>
      <c r="CK73" s="40">
        <f t="shared" si="77"/>
        <v>1.2957689955263547</v>
      </c>
      <c r="CL73" s="113">
        <f t="shared" si="78"/>
        <v>1.3483848651808144</v>
      </c>
      <c r="CM73" s="113">
        <f t="shared" si="79"/>
        <v>1.3910687740685836</v>
      </c>
      <c r="CN73" s="691">
        <f t="shared" si="80"/>
        <v>1.4411017262418215</v>
      </c>
      <c r="CO73" s="691">
        <f t="shared" si="81"/>
        <v>1.486081916410376</v>
      </c>
      <c r="CP73" s="691">
        <f t="shared" si="82"/>
        <v>1.528446303873902</v>
      </c>
      <c r="CQ73" s="691">
        <f t="shared" si="83"/>
        <v>1.6007817369294772</v>
      </c>
    </row>
    <row r="74" spans="1:95" ht="14">
      <c r="A74" s="13">
        <v>3</v>
      </c>
      <c r="B74" s="319">
        <v>135172287</v>
      </c>
      <c r="C74" s="319">
        <v>150504643</v>
      </c>
      <c r="D74" s="319">
        <v>162083954</v>
      </c>
      <c r="E74" s="319">
        <v>175659128</v>
      </c>
      <c r="F74" s="319">
        <v>186561492</v>
      </c>
      <c r="G74" s="319">
        <v>199754999</v>
      </c>
      <c r="H74" s="319">
        <v>207129896</v>
      </c>
      <c r="I74" s="319">
        <v>223946507</v>
      </c>
      <c r="J74" s="319">
        <v>235315053.6524958</v>
      </c>
      <c r="K74" s="319">
        <v>277706574.36996466</v>
      </c>
      <c r="L74" s="319">
        <v>304268575.13936263</v>
      </c>
      <c r="M74" s="319">
        <v>369630226.53101408</v>
      </c>
      <c r="N74" s="319">
        <v>389243513.19892365</v>
      </c>
      <c r="O74" s="319">
        <v>396787683.23917007</v>
      </c>
      <c r="P74" s="319">
        <v>414331462</v>
      </c>
      <c r="Q74" s="319">
        <v>425012663</v>
      </c>
      <c r="R74" s="319">
        <v>442275690</v>
      </c>
      <c r="S74" s="319">
        <v>458904449</v>
      </c>
      <c r="T74" s="340">
        <v>462627173</v>
      </c>
      <c r="U74" s="340">
        <v>484111794</v>
      </c>
      <c r="V74" s="666">
        <v>489851946</v>
      </c>
      <c r="W74" s="667">
        <v>498555165</v>
      </c>
      <c r="X74" s="290"/>
      <c r="Y74" s="13" t="s">
        <v>64</v>
      </c>
      <c r="Z74" s="319">
        <f>B74/'Population &amp; Income'!B73</f>
        <v>3593.2874421819342</v>
      </c>
      <c r="AA74" s="319">
        <f>C74/'Population &amp; Income'!C73</f>
        <v>3922.967366088883</v>
      </c>
      <c r="AB74" s="319">
        <f>D74/'Population &amp; Income'!D73</f>
        <v>4056.0535021646106</v>
      </c>
      <c r="AC74" s="319">
        <f>E74/'Population &amp; Income'!E73</f>
        <v>4507.8945774629819</v>
      </c>
      <c r="AD74" s="319">
        <f>F74/'Population &amp; Income'!F73</f>
        <v>4446.492647234073</v>
      </c>
      <c r="AE74" s="319">
        <f>G74/'Population &amp; Income'!G73</f>
        <v>4585.9543367464075</v>
      </c>
      <c r="AF74" s="319">
        <f>H74/'Population &amp; Income'!H73</f>
        <v>4650.9463567980238</v>
      </c>
      <c r="AG74" s="319">
        <f>I74/'Population &amp; Income'!I73</f>
        <v>5031.7142696654455</v>
      </c>
      <c r="AH74" s="319">
        <f>J74/'Population &amp; Income'!J73</f>
        <v>5194.4781274694997</v>
      </c>
      <c r="AI74" s="319">
        <f>K74/'Population &amp; Income'!K73</f>
        <v>6094.0657092377587</v>
      </c>
      <c r="AJ74" s="319">
        <f>L74/'Population &amp; Income'!L73</f>
        <v>6545.9441319083226</v>
      </c>
      <c r="AK74" s="319">
        <f>M74/'Population &amp; Income'!M73</f>
        <v>7805.1866995589689</v>
      </c>
      <c r="AL74" s="319">
        <f>N74/'Population &amp; Income'!N73</f>
        <v>8058.8719088804064</v>
      </c>
      <c r="AM74" s="319">
        <f>O74/'Population &amp; Income'!O73</f>
        <v>7837.0073718974927</v>
      </c>
      <c r="AN74" s="319">
        <f>P74/'Population &amp; Income'!P73</f>
        <v>7843.1760652696539</v>
      </c>
      <c r="AO74" s="319">
        <f>Q74/'Population &amp; Income'!Q73</f>
        <v>8006.7190949851174</v>
      </c>
      <c r="AP74" s="319">
        <f>R74/'Population &amp; Income'!R73</f>
        <v>8304.2432264969302</v>
      </c>
      <c r="AQ74" s="319">
        <f>S74/'Population &amp; Income'!S73</f>
        <v>8538.0748865074056</v>
      </c>
      <c r="AR74" s="319">
        <f>T74/'Population &amp; Income'!T73</f>
        <v>8646.4288010466316</v>
      </c>
      <c r="AS74" s="319">
        <f>U74/'Population &amp; Income'!U73</f>
        <v>9107.3781699149677</v>
      </c>
      <c r="AT74" s="319">
        <f>V74/'Population &amp; Income'!V73</f>
        <v>9303.2238006609186</v>
      </c>
      <c r="AU74" s="319">
        <f>W74/'Population &amp; Income'!W73</f>
        <v>9576.7334178528217</v>
      </c>
      <c r="AV74" s="690"/>
      <c r="AW74" s="690"/>
      <c r="AX74" s="13" t="s">
        <v>64</v>
      </c>
      <c r="AY74" s="40">
        <f t="shared" ref="AY74:AY98" si="84">(C74-B74)/B74</f>
        <v>0.11342825027440721</v>
      </c>
      <c r="AZ74" s="40">
        <f t="shared" ref="AZ74:AZ98" si="85">(D74-C74)/C74</f>
        <v>7.6936569990070008E-2</v>
      </c>
      <c r="BA74" s="40">
        <f t="shared" ref="BA74:BA98" si="86">(E74-D74)/D74</f>
        <v>8.37539661699023E-2</v>
      </c>
      <c r="BB74" s="40">
        <f t="shared" ref="BB74:BB98" si="87">(F74-E74)/E74</f>
        <v>6.206545668381093E-2</v>
      </c>
      <c r="BC74" s="40">
        <f t="shared" ref="BC74:BC98" si="88">(G74-F74)/F74</f>
        <v>7.0719347591838511E-2</v>
      </c>
      <c r="BD74" s="40">
        <f t="shared" ref="BD74:BD98" si="89">(H74-G74)/G74</f>
        <v>3.6919711831592261E-2</v>
      </c>
      <c r="BE74" s="40">
        <f t="shared" ref="BE74:BE98" si="90">(I74-H74)/H74</f>
        <v>8.1188719372504298E-2</v>
      </c>
      <c r="BF74" s="40">
        <f t="shared" ref="BF74:BF98" si="91">(J74-I74)/I74</f>
        <v>5.07645633985968E-2</v>
      </c>
      <c r="BG74" s="40">
        <f t="shared" ref="BG74:BG98" si="92">(K74-J74)/J74</f>
        <v>0.18014793384222252</v>
      </c>
      <c r="BH74" s="40">
        <f t="shared" ref="BH74:BH98" si="93">(L74-K74)/K74</f>
        <v>9.5647720366935557E-2</v>
      </c>
      <c r="BI74" s="40">
        <f t="shared" ref="BI74:BI98" si="94">(M74-L74)/L74</f>
        <v>0.21481564884482132</v>
      </c>
      <c r="BJ74" s="40">
        <f t="shared" ref="BJ74:BJ98" si="95">(N74-M74)/M74</f>
        <v>5.3061912311610955E-2</v>
      </c>
      <c r="BK74" s="40">
        <f t="shared" ref="BK74:BK98" si="96">(O74-N74)/N74</f>
        <v>1.9381620462332442E-2</v>
      </c>
      <c r="BL74" s="40">
        <f t="shared" ref="BL74:BL98" si="97">(P74-O74)/O74</f>
        <v>4.4214524547767108E-2</v>
      </c>
      <c r="BM74" s="40">
        <f t="shared" ref="BM74:BM98" si="98">(Q74-P74)/P74</f>
        <v>2.5779362610894366E-2</v>
      </c>
      <c r="BN74" s="40">
        <f t="shared" ref="BN74:BN98" si="99">(R74-Q74)/Q74</f>
        <v>4.0617676843195609E-2</v>
      </c>
      <c r="BO74" s="40">
        <f t="shared" ref="BO74:BO98" si="100">(S74-R74)/R74</f>
        <v>3.7598175472859471E-2</v>
      </c>
      <c r="BP74" s="691">
        <f t="shared" ref="BP74:BP98" si="101">(T74-S74)/S74</f>
        <v>8.1121985374345319E-3</v>
      </c>
      <c r="BQ74" s="691">
        <f t="shared" ref="BQ74:BQ98" si="102">(U74-T74)/T74</f>
        <v>4.6440464922712178E-2</v>
      </c>
      <c r="BR74" s="691">
        <f t="shared" ref="BR74:BR98" si="103">(V74-U74)/U74</f>
        <v>1.1857079441448188E-2</v>
      </c>
      <c r="BS74" s="691">
        <f t="shared" ref="BS74:BS98" si="104">(W74-V74)/V74</f>
        <v>1.7767039757763871E-2</v>
      </c>
      <c r="BT74" s="40"/>
      <c r="BU74" s="3"/>
      <c r="BV74" s="13" t="s">
        <v>64</v>
      </c>
      <c r="BW74" s="40">
        <f t="shared" ref="BW74:BW98" si="105">(C74-$B74)/$B74</f>
        <v>0.11342825027440721</v>
      </c>
      <c r="BX74" s="40">
        <f t="shared" ref="BX74:BX98" si="106">(D74-$B74)/$B74</f>
        <v>0.19909160078056531</v>
      </c>
      <c r="BY74" s="40">
        <f t="shared" ref="BY74:BY98" si="107">(E74-$B74)/$B74</f>
        <v>0.29952027814695475</v>
      </c>
      <c r="BZ74" s="40">
        <f t="shared" ref="BZ74:BZ98" si="108">(F74-$B74)/$B74</f>
        <v>0.38017559768001852</v>
      </c>
      <c r="CA74" s="40">
        <f t="shared" ref="CA74:CA98" si="109">(G74-$B74)/$B74</f>
        <v>0.47778071551012524</v>
      </c>
      <c r="CB74" s="40">
        <f t="shared" ref="CB74:CB98" si="110">(H74-$B74)/$B74</f>
        <v>0.53233995367704323</v>
      </c>
      <c r="CC74" s="40">
        <f t="shared" ref="CC74:CC98" si="111">(I74-$B74)/$B74</f>
        <v>0.65674867215940502</v>
      </c>
      <c r="CD74" s="40">
        <f t="shared" ref="CD74:CD98" si="112">(J74-$B74)/$B74</f>
        <v>0.74085279516278213</v>
      </c>
      <c r="CE74" s="40">
        <f t="shared" ref="CE74:CE98" si="113">(K74-$B74)/$B74</f>
        <v>1.0544638293348152</v>
      </c>
      <c r="CF74" s="40">
        <f t="shared" ref="CF74:CF98" si="114">(L74-$B74)/$B74</f>
        <v>1.2509686111870153</v>
      </c>
      <c r="CG74" s="40">
        <f t="shared" ref="CG74:CG98" si="115">(M74-$B74)/$B74</f>
        <v>1.7345118939284803</v>
      </c>
      <c r="CH74" s="40">
        <f t="shared" ref="CH74:CH98" si="116">(N74-$B74)/$B74</f>
        <v>1.8796103242591704</v>
      </c>
      <c r="CI74" s="40">
        <f t="shared" ref="CI74:CI98" si="117">(O74-$B74)/$B74</f>
        <v>1.9354218386433757</v>
      </c>
      <c r="CJ74" s="40">
        <f t="shared" ref="CJ74:CJ98" si="118">(P74-$B74)/$B74</f>
        <v>2.065210119586125</v>
      </c>
      <c r="CK74" s="40">
        <f t="shared" ref="CK74:CK98" si="119">(Q74-$B74)/$B74</f>
        <v>2.1442292827375184</v>
      </c>
      <c r="CL74" s="113">
        <f t="shared" ref="CL74:CL98" si="120">(R74-$B74)/$B74</f>
        <v>2.2719405716646639</v>
      </c>
      <c r="CM74" s="113">
        <f t="shared" ref="CM74:CM98" si="121">(S74-$B74)/$B74</f>
        <v>2.39495956741488</v>
      </c>
      <c r="CN74" s="691">
        <f t="shared" ref="CN74:CN98" si="122">(T74-$B74)/$B74</f>
        <v>2.4225001534523125</v>
      </c>
      <c r="CO74" s="691">
        <f t="shared" ref="CO74:CO98" si="123">(U74-$B74)/$B74</f>
        <v>2.5814426517766913</v>
      </c>
      <c r="CP74" s="691">
        <f t="shared" ref="CP74:CP98" si="124">(V74-$B74)/$B74</f>
        <v>2.6239081018137984</v>
      </c>
      <c r="CQ74" s="691">
        <f t="shared" ref="CQ74:CQ98" si="125">(W74-$B74)/$B74</f>
        <v>2.6882942211372067</v>
      </c>
    </row>
    <row r="75" spans="1:95" ht="14">
      <c r="A75" s="13" t="s">
        <v>65</v>
      </c>
      <c r="B75" s="319">
        <v>41266078</v>
      </c>
      <c r="C75" s="319">
        <v>45526096</v>
      </c>
      <c r="D75" s="319">
        <v>47250808</v>
      </c>
      <c r="E75" s="319">
        <v>45863873</v>
      </c>
      <c r="F75" s="319">
        <v>48855375</v>
      </c>
      <c r="G75" s="319">
        <v>49698731</v>
      </c>
      <c r="H75" s="319">
        <v>51390246</v>
      </c>
      <c r="I75" s="319">
        <v>53415238</v>
      </c>
      <c r="J75" s="319">
        <v>54018773.440871961</v>
      </c>
      <c r="K75" s="319">
        <v>61300531.392526075</v>
      </c>
      <c r="L75" s="319">
        <v>64308205.189502269</v>
      </c>
      <c r="M75" s="319">
        <v>68070105.686034605</v>
      </c>
      <c r="N75" s="319">
        <v>68517591.088782221</v>
      </c>
      <c r="O75" s="319">
        <v>71296019.717901841</v>
      </c>
      <c r="P75" s="319">
        <v>71861568</v>
      </c>
      <c r="Q75" s="319">
        <v>76568039</v>
      </c>
      <c r="R75" s="319">
        <v>77388651</v>
      </c>
      <c r="S75" s="319">
        <v>78964407</v>
      </c>
      <c r="T75" s="340">
        <v>80613988</v>
      </c>
      <c r="U75" s="340">
        <v>82775507</v>
      </c>
      <c r="V75" s="666">
        <v>84180935</v>
      </c>
      <c r="W75" s="667">
        <v>90099155</v>
      </c>
      <c r="X75" s="290"/>
      <c r="Y75" s="13" t="s">
        <v>65</v>
      </c>
      <c r="Z75" s="319">
        <f>B75/'Population &amp; Income'!B74</f>
        <v>7908.4089689536222</v>
      </c>
      <c r="AA75" s="319">
        <f>C75/'Population &amp; Income'!C74</f>
        <v>8841.7354826179835</v>
      </c>
      <c r="AB75" s="319">
        <f>D75/'Population &amp; Income'!D74</f>
        <v>9228.6734374999996</v>
      </c>
      <c r="AC75" s="319">
        <f>E75/'Population &amp; Income'!E74</f>
        <v>8900.4216960993599</v>
      </c>
      <c r="AD75" s="319">
        <f>F75/'Population &amp; Income'!F74</f>
        <v>9339.5861212005348</v>
      </c>
      <c r="AE75" s="319">
        <f>G75/'Population &amp; Income'!G74</f>
        <v>9551.9375360369013</v>
      </c>
      <c r="AF75" s="319">
        <f>H75/'Population &amp; Income'!H74</f>
        <v>9920.8969111969109</v>
      </c>
      <c r="AG75" s="319">
        <f>I75/'Population &amp; Income'!I74</f>
        <v>10349.784537880256</v>
      </c>
      <c r="AH75" s="319">
        <f>J75/'Population &amp; Income'!J74</f>
        <v>10527.923102878964</v>
      </c>
      <c r="AI75" s="319">
        <f>K75/'Population &amp; Income'!K74</f>
        <v>11896.086045512531</v>
      </c>
      <c r="AJ75" s="319">
        <f>L75/'Population &amp; Income'!L74</f>
        <v>12445.94642723094</v>
      </c>
      <c r="AK75" s="319">
        <f>M75/'Population &amp; Income'!M74</f>
        <v>13487.241071138222</v>
      </c>
      <c r="AL75" s="319">
        <f>N75/'Population &amp; Income'!N74</f>
        <v>13627.205864912932</v>
      </c>
      <c r="AM75" s="319">
        <f>O75/'Population &amp; Income'!O74</f>
        <v>14293.508363653136</v>
      </c>
      <c r="AN75" s="319">
        <f>P75/'Population &amp; Income'!P74</f>
        <v>14456.159324079663</v>
      </c>
      <c r="AO75" s="319">
        <f>Q75/'Population &amp; Income'!Q74</f>
        <v>15430.882507053608</v>
      </c>
      <c r="AP75" s="319">
        <f>R75/'Population &amp; Income'!R74</f>
        <v>15694.31170148043</v>
      </c>
      <c r="AQ75" s="319">
        <f>S75/'Population &amp; Income'!S74</f>
        <v>16197.827076923077</v>
      </c>
      <c r="AR75" s="319">
        <f>T75/'Population &amp; Income'!T74</f>
        <v>16642.028901734106</v>
      </c>
      <c r="AS75" s="319">
        <f>U75/'Population &amp; Income'!U74</f>
        <v>17021.49023236685</v>
      </c>
      <c r="AT75" s="319">
        <f>V75/'Population &amp; Income'!V74</f>
        <v>17346.164228312384</v>
      </c>
      <c r="AU75" s="319">
        <f>W75/'Population &amp; Income'!W74</f>
        <v>18727.739555186032</v>
      </c>
      <c r="AV75" s="690"/>
      <c r="AW75" s="690"/>
      <c r="AX75" s="13" t="s">
        <v>65</v>
      </c>
      <c r="AY75" s="40">
        <f t="shared" si="84"/>
        <v>0.10323292656985721</v>
      </c>
      <c r="AZ75" s="40">
        <f t="shared" si="85"/>
        <v>3.788403029330694E-2</v>
      </c>
      <c r="BA75" s="40">
        <f t="shared" si="86"/>
        <v>-2.9352619747793518E-2</v>
      </c>
      <c r="BB75" s="40">
        <f t="shared" si="87"/>
        <v>6.5225673374771462E-2</v>
      </c>
      <c r="BC75" s="40">
        <f t="shared" si="88"/>
        <v>1.7262297137213663E-2</v>
      </c>
      <c r="BD75" s="40">
        <f t="shared" si="89"/>
        <v>3.403537607429051E-2</v>
      </c>
      <c r="BE75" s="40">
        <f t="shared" si="90"/>
        <v>3.9404209117815857E-2</v>
      </c>
      <c r="BF75" s="40">
        <f t="shared" si="91"/>
        <v>1.1298937596645388E-2</v>
      </c>
      <c r="BG75" s="40">
        <f t="shared" si="92"/>
        <v>0.13480050522851289</v>
      </c>
      <c r="BH75" s="40">
        <f t="shared" si="93"/>
        <v>4.9064400073747114E-2</v>
      </c>
      <c r="BI75" s="40">
        <f t="shared" si="94"/>
        <v>5.8497986150396121E-2</v>
      </c>
      <c r="BJ75" s="40">
        <f t="shared" si="95"/>
        <v>6.5738902303397358E-3</v>
      </c>
      <c r="BK75" s="40">
        <f t="shared" si="96"/>
        <v>4.0550588322923499E-2</v>
      </c>
      <c r="BL75" s="40">
        <f t="shared" si="97"/>
        <v>7.9323962871402018E-3</v>
      </c>
      <c r="BM75" s="40">
        <f t="shared" si="98"/>
        <v>6.5493575091487011E-2</v>
      </c>
      <c r="BN75" s="40">
        <f t="shared" si="99"/>
        <v>1.0717422187082524E-2</v>
      </c>
      <c r="BO75" s="40">
        <f t="shared" si="100"/>
        <v>2.0361590228520715E-2</v>
      </c>
      <c r="BP75" s="691">
        <f t="shared" si="101"/>
        <v>2.0890184105352681E-2</v>
      </c>
      <c r="BQ75" s="691">
        <f t="shared" si="102"/>
        <v>2.6813200210365477E-2</v>
      </c>
      <c r="BR75" s="691">
        <f t="shared" si="103"/>
        <v>1.6978790598044902E-2</v>
      </c>
      <c r="BS75" s="691">
        <f t="shared" si="104"/>
        <v>7.0303566953728899E-2</v>
      </c>
      <c r="BT75" s="40"/>
      <c r="BU75" s="3"/>
      <c r="BV75" s="13" t="s">
        <v>65</v>
      </c>
      <c r="BW75" s="40">
        <f t="shared" si="105"/>
        <v>0.10323292656985721</v>
      </c>
      <c r="BX75" s="40">
        <f t="shared" si="106"/>
        <v>0.14502783618060336</v>
      </c>
      <c r="BY75" s="40">
        <f t="shared" si="107"/>
        <v>0.11141826950455529</v>
      </c>
      <c r="BZ75" s="40">
        <f t="shared" si="108"/>
        <v>0.18391127453401315</v>
      </c>
      <c r="CA75" s="40">
        <f t="shared" si="109"/>
        <v>0.20434830273911661</v>
      </c>
      <c r="CB75" s="40">
        <f t="shared" si="110"/>
        <v>0.24533875014727594</v>
      </c>
      <c r="CC75" s="40">
        <f t="shared" si="111"/>
        <v>0.29441033868059863</v>
      </c>
      <c r="CD75" s="40">
        <f t="shared" si="112"/>
        <v>0.30903580032180333</v>
      </c>
      <c r="CE75" s="40">
        <f t="shared" si="113"/>
        <v>0.48549448756739311</v>
      </c>
      <c r="CF75" s="40">
        <f t="shared" si="114"/>
        <v>0.55837938341274562</v>
      </c>
      <c r="CG75" s="40">
        <f t="shared" si="115"/>
        <v>0.64954143900068728</v>
      </c>
      <c r="CH75" s="40">
        <f t="shared" si="116"/>
        <v>0.66038534335107446</v>
      </c>
      <c r="CI75" s="40">
        <f t="shared" si="117"/>
        <v>0.72771494586671992</v>
      </c>
      <c r="CJ75" s="40">
        <f t="shared" si="118"/>
        <v>0.74141986548854966</v>
      </c>
      <c r="CK75" s="40">
        <f t="shared" si="119"/>
        <v>0.85547167821473125</v>
      </c>
      <c r="CL75" s="113">
        <f t="shared" si="120"/>
        <v>0.87535755154633299</v>
      </c>
      <c r="CM75" s="113">
        <f t="shared" si="121"/>
        <v>0.91354281354288136</v>
      </c>
      <c r="CN75" s="691">
        <f t="shared" si="122"/>
        <v>0.95351707521126672</v>
      </c>
      <c r="CO75" s="691">
        <f t="shared" si="123"/>
        <v>1.005897119663274</v>
      </c>
      <c r="CP75" s="691">
        <f t="shared" si="124"/>
        <v>1.0399548268192582</v>
      </c>
      <c r="CQ75" s="691">
        <f t="shared" si="125"/>
        <v>1.1833709275691284</v>
      </c>
    </row>
    <row r="76" spans="1:95" ht="14">
      <c r="A76" s="13" t="s">
        <v>66</v>
      </c>
      <c r="B76" s="319">
        <v>97576154</v>
      </c>
      <c r="C76" s="319">
        <v>103368938</v>
      </c>
      <c r="D76" s="319">
        <v>110098836</v>
      </c>
      <c r="E76" s="319">
        <v>116485215</v>
      </c>
      <c r="F76" s="319">
        <v>118626260</v>
      </c>
      <c r="G76" s="319">
        <v>126562418</v>
      </c>
      <c r="H76" s="319">
        <v>131322905</v>
      </c>
      <c r="I76" s="319">
        <v>140380651</v>
      </c>
      <c r="J76" s="319">
        <v>146414171.09754425</v>
      </c>
      <c r="K76" s="319">
        <v>157420029.86951274</v>
      </c>
      <c r="L76" s="319">
        <v>155076206.16837174</v>
      </c>
      <c r="M76" s="319">
        <v>162952592.06978557</v>
      </c>
      <c r="N76" s="319">
        <v>172884360.01276964</v>
      </c>
      <c r="O76" s="319">
        <v>170188278.96774566</v>
      </c>
      <c r="P76" s="319">
        <v>200278338</v>
      </c>
      <c r="Q76" s="319">
        <v>196249299</v>
      </c>
      <c r="R76" s="319">
        <v>200855933</v>
      </c>
      <c r="S76" s="319">
        <v>210558693</v>
      </c>
      <c r="T76" s="340">
        <v>226577612</v>
      </c>
      <c r="U76" s="340">
        <v>230635222</v>
      </c>
      <c r="V76" s="666">
        <v>244511043</v>
      </c>
      <c r="W76" s="667">
        <v>245580050</v>
      </c>
      <c r="X76" s="290"/>
      <c r="Y76" s="13" t="s">
        <v>66</v>
      </c>
      <c r="Z76" s="319">
        <f>B76/'Population &amp; Income'!B75</f>
        <v>10805.775636766335</v>
      </c>
      <c r="AA76" s="319">
        <f>C76/'Population &amp; Income'!C75</f>
        <v>11423.244336390761</v>
      </c>
      <c r="AB76" s="319">
        <f>D76/'Population &amp; Income'!D75</f>
        <v>11965.964134333224</v>
      </c>
      <c r="AC76" s="319">
        <f>E76/'Population &amp; Income'!E75</f>
        <v>12269.350642511059</v>
      </c>
      <c r="AD76" s="319">
        <f>F76/'Population &amp; Income'!F75</f>
        <v>12268.72065363533</v>
      </c>
      <c r="AE76" s="319">
        <f>G76/'Population &amp; Income'!G75</f>
        <v>13042.293693322341</v>
      </c>
      <c r="AF76" s="319">
        <f>H76/'Population &amp; Income'!H75</f>
        <v>13462.112250128139</v>
      </c>
      <c r="AG76" s="319">
        <f>I76/'Population &amp; Income'!I75</f>
        <v>14390.635674013327</v>
      </c>
      <c r="AH76" s="319">
        <f>J76/'Population &amp; Income'!J75</f>
        <v>14952.427603915876</v>
      </c>
      <c r="AI76" s="319">
        <f>K76/'Population &amp; Income'!K75</f>
        <v>15745.152017354745</v>
      </c>
      <c r="AJ76" s="319">
        <f>L76/'Population &amp; Income'!L75</f>
        <v>15366.251106655938</v>
      </c>
      <c r="AK76" s="319">
        <f>M76/'Population &amp; Income'!M75</f>
        <v>16057.606628871263</v>
      </c>
      <c r="AL76" s="319">
        <f>N76/'Population &amp; Income'!N75</f>
        <v>17088.500544901613</v>
      </c>
      <c r="AM76" s="319">
        <f>O76/'Population &amp; Income'!O75</f>
        <v>16835.322877410788</v>
      </c>
      <c r="AN76" s="319">
        <f>P76/'Population &amp; Income'!P75</f>
        <v>19667.91102818423</v>
      </c>
      <c r="AO76" s="319">
        <f>Q76/'Population &amp; Income'!Q75</f>
        <v>19042.237434504172</v>
      </c>
      <c r="AP76" s="319">
        <f>R76/'Population &amp; Income'!R75</f>
        <v>19544.218448963704</v>
      </c>
      <c r="AQ76" s="319">
        <f>S76/'Population &amp; Income'!S75</f>
        <v>20659.212421507065</v>
      </c>
      <c r="AR76" s="319">
        <f>T76/'Population &amp; Income'!T75</f>
        <v>22044.912628916132</v>
      </c>
      <c r="AS76" s="319">
        <f>U76/'Population &amp; Income'!U75</f>
        <v>22662.397759654123</v>
      </c>
      <c r="AT76" s="319">
        <f>V76/'Population &amp; Income'!V75</f>
        <v>23915.399354460093</v>
      </c>
      <c r="AU76" s="319">
        <f>W76/'Population &amp; Income'!W75</f>
        <v>24019.957942097026</v>
      </c>
      <c r="AV76" s="690"/>
      <c r="AW76" s="690"/>
      <c r="AX76" s="13" t="s">
        <v>66</v>
      </c>
      <c r="AY76" s="40">
        <f t="shared" si="84"/>
        <v>5.9366799802336952E-2</v>
      </c>
      <c r="AZ76" s="40">
        <f t="shared" si="85"/>
        <v>6.5105612287513298E-2</v>
      </c>
      <c r="BA76" s="40">
        <f t="shared" si="86"/>
        <v>5.8005872105677848E-2</v>
      </c>
      <c r="BB76" s="40">
        <f t="shared" si="87"/>
        <v>1.8380401323893337E-2</v>
      </c>
      <c r="BC76" s="40">
        <f t="shared" si="88"/>
        <v>6.6900515956584986E-2</v>
      </c>
      <c r="BD76" s="40">
        <f t="shared" si="89"/>
        <v>3.7613748814438741E-2</v>
      </c>
      <c r="BE76" s="40">
        <f t="shared" si="90"/>
        <v>6.8973085845153978E-2</v>
      </c>
      <c r="BF76" s="40">
        <f t="shared" si="91"/>
        <v>4.297971304851872E-2</v>
      </c>
      <c r="BG76" s="40">
        <f t="shared" si="92"/>
        <v>7.5169354779436925E-2</v>
      </c>
      <c r="BH76" s="40">
        <f t="shared" si="93"/>
        <v>-1.4888980157631923E-2</v>
      </c>
      <c r="BI76" s="40">
        <f t="shared" si="94"/>
        <v>5.0790421664443842E-2</v>
      </c>
      <c r="BJ76" s="40">
        <f t="shared" si="95"/>
        <v>6.0948818406832868E-2</v>
      </c>
      <c r="BK76" s="40">
        <f t="shared" si="96"/>
        <v>-1.559470761163612E-2</v>
      </c>
      <c r="BL76" s="40">
        <f t="shared" si="97"/>
        <v>0.17680453210268993</v>
      </c>
      <c r="BM76" s="40">
        <f t="shared" si="98"/>
        <v>-2.0117198096580968E-2</v>
      </c>
      <c r="BN76" s="40">
        <f t="shared" si="99"/>
        <v>2.3473378113824498E-2</v>
      </c>
      <c r="BO76" s="40">
        <f t="shared" si="100"/>
        <v>4.8307061957686859E-2</v>
      </c>
      <c r="BP76" s="691">
        <f t="shared" si="101"/>
        <v>7.6078165055859265E-2</v>
      </c>
      <c r="BQ76" s="691">
        <f t="shared" si="102"/>
        <v>1.7908256531541166E-2</v>
      </c>
      <c r="BR76" s="691">
        <f t="shared" si="103"/>
        <v>6.0163494888911637E-2</v>
      </c>
      <c r="BS76" s="691">
        <f t="shared" si="104"/>
        <v>4.3720193038479654E-3</v>
      </c>
      <c r="BT76" s="40"/>
      <c r="BU76" s="3"/>
      <c r="BV76" s="13" t="s">
        <v>66</v>
      </c>
      <c r="BW76" s="40">
        <f t="shared" si="105"/>
        <v>5.9366799802336952E-2</v>
      </c>
      <c r="BX76" s="40">
        <f t="shared" si="106"/>
        <v>0.12833752394053161</v>
      </c>
      <c r="BY76" s="40">
        <f t="shared" si="107"/>
        <v>0.19378772604626332</v>
      </c>
      <c r="BZ76" s="40">
        <f t="shared" si="108"/>
        <v>0.21573002354653167</v>
      </c>
      <c r="CA76" s="40">
        <f t="shared" si="109"/>
        <v>0.29706298938570586</v>
      </c>
      <c r="CB76" s="40">
        <f t="shared" si="110"/>
        <v>0.34585039086496483</v>
      </c>
      <c r="CC76" s="40">
        <f t="shared" si="111"/>
        <v>0.43867784540882804</v>
      </c>
      <c r="CD76" s="40">
        <f t="shared" si="112"/>
        <v>0.50051180637376069</v>
      </c>
      <c r="CE76" s="40">
        <f t="shared" si="113"/>
        <v>0.61330431069780367</v>
      </c>
      <c r="CF76" s="40">
        <f t="shared" si="114"/>
        <v>0.58928385482760204</v>
      </c>
      <c r="CG76" s="40">
        <f t="shared" si="115"/>
        <v>0.67000425195878865</v>
      </c>
      <c r="CH76" s="40">
        <f t="shared" si="116"/>
        <v>0.7717890378500637</v>
      </c>
      <c r="CI76" s="40">
        <f t="shared" si="117"/>
        <v>0.74415850585528986</v>
      </c>
      <c r="CJ76" s="40">
        <f t="shared" si="118"/>
        <v>1.052533634395961</v>
      </c>
      <c r="CK76" s="40">
        <f t="shared" si="119"/>
        <v>1.0112424086729224</v>
      </c>
      <c r="CL76" s="113">
        <f t="shared" si="120"/>
        <v>1.058453062210261</v>
      </c>
      <c r="CM76" s="113">
        <f t="shared" si="121"/>
        <v>1.1578908818234421</v>
      </c>
      <c r="CN76" s="691">
        <f t="shared" si="122"/>
        <v>1.3220592605033399</v>
      </c>
      <c r="CO76" s="691">
        <f t="shared" si="123"/>
        <v>1.3636432934218743</v>
      </c>
      <c r="CP76" s="691">
        <f t="shared" si="124"/>
        <v>1.5058483346248717</v>
      </c>
      <c r="CQ76" s="691">
        <f t="shared" si="125"/>
        <v>1.5168039519163667</v>
      </c>
    </row>
    <row r="77" spans="1:95" ht="14">
      <c r="A77" s="13" t="s">
        <v>67</v>
      </c>
      <c r="B77" s="319">
        <v>278264495</v>
      </c>
      <c r="C77" s="319">
        <v>276559180</v>
      </c>
      <c r="D77" s="319">
        <v>286457490</v>
      </c>
      <c r="E77" s="319">
        <v>278957942</v>
      </c>
      <c r="F77" s="319">
        <v>286191443</v>
      </c>
      <c r="G77" s="319">
        <v>283146537</v>
      </c>
      <c r="H77" s="319">
        <v>286282624</v>
      </c>
      <c r="I77" s="319">
        <v>288421674</v>
      </c>
      <c r="J77" s="319">
        <v>289049274.16431534</v>
      </c>
      <c r="K77" s="319">
        <v>298233249.4328838</v>
      </c>
      <c r="L77" s="319">
        <v>304867378.58267331</v>
      </c>
      <c r="M77" s="319">
        <v>328257625.41823804</v>
      </c>
      <c r="N77" s="319">
        <v>398800106.57563996</v>
      </c>
      <c r="O77" s="319">
        <v>411125414.80493701</v>
      </c>
      <c r="P77" s="319">
        <v>433306455</v>
      </c>
      <c r="Q77" s="319">
        <v>432030176</v>
      </c>
      <c r="R77" s="319">
        <v>437437385</v>
      </c>
      <c r="S77" s="319">
        <v>451782010</v>
      </c>
      <c r="T77" s="340">
        <v>460266922</v>
      </c>
      <c r="U77" s="340">
        <v>480230738</v>
      </c>
      <c r="V77" s="666">
        <v>485990001</v>
      </c>
      <c r="W77" s="667">
        <v>499819326</v>
      </c>
      <c r="X77" s="290"/>
      <c r="Y77" s="13" t="s">
        <v>67</v>
      </c>
      <c r="Z77" s="319">
        <f>B77/'Population &amp; Income'!B76</f>
        <v>11297.787048315064</v>
      </c>
      <c r="AA77" s="319">
        <f>C77/'Population &amp; Income'!C76</f>
        <v>11273.405348116745</v>
      </c>
      <c r="AB77" s="319">
        <f>D77/'Population &amp; Income'!D76</f>
        <v>11639.881755383991</v>
      </c>
      <c r="AC77" s="319">
        <f>E77/'Population &amp; Income'!E76</f>
        <v>11321.345048701298</v>
      </c>
      <c r="AD77" s="319">
        <f>F77/'Population &amp; Income'!F76</f>
        <v>11605.492416869423</v>
      </c>
      <c r="AE77" s="319">
        <f>G77/'Population &amp; Income'!G76</f>
        <v>11473.177073625349</v>
      </c>
      <c r="AF77" s="319">
        <f>H77/'Population &amp; Income'!H76</f>
        <v>11589.920408080645</v>
      </c>
      <c r="AG77" s="319">
        <f>I77/'Population &amp; Income'!I76</f>
        <v>11532.254058376649</v>
      </c>
      <c r="AH77" s="319">
        <f>J77/'Population &amp; Income'!J76</f>
        <v>11465.204639415942</v>
      </c>
      <c r="AI77" s="319">
        <f>K77/'Population &amp; Income'!K76</f>
        <v>11717.938369136136</v>
      </c>
      <c r="AJ77" s="319">
        <f>L77/'Population &amp; Income'!L76</f>
        <v>11964.967762271322</v>
      </c>
      <c r="AK77" s="319">
        <f>M77/'Population &amp; Income'!M76</f>
        <v>12824.066313170999</v>
      </c>
      <c r="AL77" s="319">
        <f>N77/'Population &amp; Income'!N76</f>
        <v>15579.95493908036</v>
      </c>
      <c r="AM77" s="319">
        <f>O77/'Population &amp; Income'!O76</f>
        <v>16209.013357709233</v>
      </c>
      <c r="AN77" s="319">
        <f>P77/'Population &amp; Income'!P76</f>
        <v>17038.51421493453</v>
      </c>
      <c r="AO77" s="319">
        <f>Q77/'Population &amp; Income'!Q76</f>
        <v>17131.81759060988</v>
      </c>
      <c r="AP77" s="319">
        <f>R77/'Population &amp; Income'!R76</f>
        <v>17269.537504934859</v>
      </c>
      <c r="AQ77" s="319">
        <f>S77/'Population &amp; Income'!S76</f>
        <v>18114.755813953489</v>
      </c>
      <c r="AR77" s="319">
        <f>T77/'Population &amp; Income'!T76</f>
        <v>18358.538630289975</v>
      </c>
      <c r="AS77" s="319">
        <f>U77/'Population &amp; Income'!U76</f>
        <v>19140.324352331605</v>
      </c>
      <c r="AT77" s="319">
        <f>V77/'Population &amp; Income'!V76</f>
        <v>19448.157229180841</v>
      </c>
      <c r="AU77" s="319">
        <f>W77/'Population &amp; Income'!W76</f>
        <v>20036.854119061936</v>
      </c>
      <c r="AV77" s="690"/>
      <c r="AW77" s="690"/>
      <c r="AX77" s="13" t="s">
        <v>67</v>
      </c>
      <c r="AY77" s="40">
        <f t="shared" si="84"/>
        <v>-6.1283959349539008E-3</v>
      </c>
      <c r="AZ77" s="40">
        <f t="shared" si="85"/>
        <v>3.5790929087944214E-2</v>
      </c>
      <c r="BA77" s="40">
        <f t="shared" si="86"/>
        <v>-2.6180317365763414E-2</v>
      </c>
      <c r="BB77" s="40">
        <f t="shared" si="87"/>
        <v>2.5930435778738287E-2</v>
      </c>
      <c r="BC77" s="40">
        <f t="shared" si="88"/>
        <v>-1.0639402660267519E-2</v>
      </c>
      <c r="BD77" s="40">
        <f t="shared" si="89"/>
        <v>1.1075844448699721E-2</v>
      </c>
      <c r="BE77" s="40">
        <f t="shared" si="90"/>
        <v>7.4718121907391766E-3</v>
      </c>
      <c r="BF77" s="40">
        <f t="shared" si="91"/>
        <v>2.1759812832767306E-3</v>
      </c>
      <c r="BG77" s="40">
        <f t="shared" si="92"/>
        <v>3.1773043869840881E-2</v>
      </c>
      <c r="BH77" s="40">
        <f t="shared" si="93"/>
        <v>2.2244767015096003E-2</v>
      </c>
      <c r="BI77" s="40">
        <f t="shared" si="94"/>
        <v>7.6722694780615275E-2</v>
      </c>
      <c r="BJ77" s="40">
        <f t="shared" si="95"/>
        <v>0.21489974853599417</v>
      </c>
      <c r="BK77" s="40">
        <f t="shared" si="96"/>
        <v>3.0905980279519595E-2</v>
      </c>
      <c r="BL77" s="40">
        <f t="shared" si="97"/>
        <v>5.3952004415944547E-2</v>
      </c>
      <c r="BM77" s="40">
        <f t="shared" si="98"/>
        <v>-2.9454419274690933E-3</v>
      </c>
      <c r="BN77" s="40">
        <f t="shared" si="99"/>
        <v>1.2515813247267247E-2</v>
      </c>
      <c r="BO77" s="40">
        <f t="shared" si="100"/>
        <v>3.2792407535080705E-2</v>
      </c>
      <c r="BP77" s="691">
        <f t="shared" si="101"/>
        <v>1.8780986874621236E-2</v>
      </c>
      <c r="BQ77" s="691">
        <f t="shared" si="102"/>
        <v>4.3374431326177292E-2</v>
      </c>
      <c r="BR77" s="691">
        <f t="shared" si="103"/>
        <v>1.1992699642645531E-2</v>
      </c>
      <c r="BS77" s="691">
        <f t="shared" si="104"/>
        <v>2.8455986690145915E-2</v>
      </c>
      <c r="BT77" s="40"/>
      <c r="BU77" s="3"/>
      <c r="BV77" s="13" t="s">
        <v>67</v>
      </c>
      <c r="BW77" s="40">
        <f t="shared" si="105"/>
        <v>-6.1283959349539008E-3</v>
      </c>
      <c r="BX77" s="40">
        <f t="shared" si="106"/>
        <v>2.9443192168659534E-2</v>
      </c>
      <c r="BY77" s="40">
        <f t="shared" si="107"/>
        <v>2.4920426876594514E-3</v>
      </c>
      <c r="BZ77" s="40">
        <f t="shared" si="108"/>
        <v>2.8487098219267967E-2</v>
      </c>
      <c r="CA77" s="40">
        <f t="shared" si="109"/>
        <v>1.7544609850423065E-2</v>
      </c>
      <c r="CB77" s="40">
        <f t="shared" si="110"/>
        <v>2.8814775668739197E-2</v>
      </c>
      <c r="CC77" s="40">
        <f t="shared" si="111"/>
        <v>3.6501886451593475E-2</v>
      </c>
      <c r="CD77" s="40">
        <f t="shared" si="112"/>
        <v>3.8757295156593166E-2</v>
      </c>
      <c r="CE77" s="40">
        <f t="shared" si="113"/>
        <v>7.1761776265720847E-2</v>
      </c>
      <c r="CF77" s="40">
        <f t="shared" si="114"/>
        <v>9.5602867274437259E-2</v>
      </c>
      <c r="CG77" s="40">
        <f t="shared" si="115"/>
        <v>0.17966047166110086</v>
      </c>
      <c r="CH77" s="40">
        <f t="shared" si="116"/>
        <v>0.4331692103789237</v>
      </c>
      <c r="CI77" s="40">
        <f t="shared" si="117"/>
        <v>0.47746270973210941</v>
      </c>
      <c r="CJ77" s="40">
        <f t="shared" si="118"/>
        <v>0.55717478437196954</v>
      </c>
      <c r="CK77" s="40">
        <f t="shared" si="119"/>
        <v>0.55258821647368273</v>
      </c>
      <c r="CL77" s="113">
        <f t="shared" si="120"/>
        <v>0.57202012064097507</v>
      </c>
      <c r="CM77" s="113">
        <f t="shared" si="121"/>
        <v>0.62357044509038062</v>
      </c>
      <c r="CN77" s="691">
        <f t="shared" si="122"/>
        <v>0.65406270030964608</v>
      </c>
      <c r="CO77" s="691">
        <f t="shared" si="123"/>
        <v>0.72580672931341816</v>
      </c>
      <c r="CP77" s="691">
        <f t="shared" si="124"/>
        <v>0.74650381105933039</v>
      </c>
      <c r="CQ77" s="691">
        <f t="shared" si="125"/>
        <v>0.79620230026112382</v>
      </c>
    </row>
    <row r="78" spans="1:95" ht="14">
      <c r="A78" s="13" t="s">
        <v>68</v>
      </c>
      <c r="B78" s="319">
        <v>156689068</v>
      </c>
      <c r="C78" s="319">
        <v>176466970</v>
      </c>
      <c r="D78" s="319">
        <v>183078888</v>
      </c>
      <c r="E78" s="319">
        <v>193467045</v>
      </c>
      <c r="F78" s="319">
        <v>198118189</v>
      </c>
      <c r="G78" s="319">
        <v>221790041</v>
      </c>
      <c r="H78" s="319">
        <v>229908902</v>
      </c>
      <c r="I78" s="319">
        <v>234458120</v>
      </c>
      <c r="J78" s="319">
        <v>240464860.34297577</v>
      </c>
      <c r="K78" s="319">
        <v>252464483.93588179</v>
      </c>
      <c r="L78" s="319">
        <v>259514477.81508571</v>
      </c>
      <c r="M78" s="319">
        <v>266356664.9873836</v>
      </c>
      <c r="N78" s="319">
        <v>270270003.61537188</v>
      </c>
      <c r="O78" s="319">
        <v>270806102.06490123</v>
      </c>
      <c r="P78" s="319">
        <v>276187826</v>
      </c>
      <c r="Q78" s="319">
        <v>277354224</v>
      </c>
      <c r="R78" s="319">
        <v>285897173</v>
      </c>
      <c r="S78" s="319">
        <v>290375350</v>
      </c>
      <c r="T78" s="340">
        <v>293812570</v>
      </c>
      <c r="U78" s="340">
        <v>305478817</v>
      </c>
      <c r="V78" s="666">
        <v>318330491</v>
      </c>
      <c r="W78" s="667">
        <v>334660529</v>
      </c>
      <c r="X78" s="290"/>
      <c r="Y78" s="13" t="s">
        <v>68</v>
      </c>
      <c r="Z78" s="319">
        <f>B78/'Population &amp; Income'!B77</f>
        <v>6978.225171461655</v>
      </c>
      <c r="AA78" s="319">
        <f>C78/'Population &amp; Income'!C77</f>
        <v>7676.4820776057077</v>
      </c>
      <c r="AB78" s="319">
        <f>D78/'Population &amp; Income'!D77</f>
        <v>7866.5787822798948</v>
      </c>
      <c r="AC78" s="319">
        <f>E78/'Population &amp; Income'!E77</f>
        <v>8306.5151775363865</v>
      </c>
      <c r="AD78" s="319">
        <f>F78/'Population &amp; Income'!F77</f>
        <v>8469.1227717693328</v>
      </c>
      <c r="AE78" s="319">
        <f>G78/'Population &amp; Income'!G77</f>
        <v>9467.283092158621</v>
      </c>
      <c r="AF78" s="319">
        <f>H78/'Population &amp; Income'!H77</f>
        <v>9767.5631744413295</v>
      </c>
      <c r="AG78" s="319">
        <f>I78/'Population &amp; Income'!I77</f>
        <v>9891.4955912753667</v>
      </c>
      <c r="AH78" s="319">
        <f>J78/'Population &amp; Income'!J77</f>
        <v>10129.527795735952</v>
      </c>
      <c r="AI78" s="319">
        <f>K78/'Population &amp; Income'!K77</f>
        <v>10695.381653712426</v>
      </c>
      <c r="AJ78" s="319">
        <f>L78/'Population &amp; Income'!L77</f>
        <v>10884.761253883304</v>
      </c>
      <c r="AK78" s="319">
        <f>M78/'Population &amp; Income'!M77</f>
        <v>11232.990257565098</v>
      </c>
      <c r="AL78" s="319">
        <f>N78/'Population &amp; Income'!N77</f>
        <v>11373.085491304993</v>
      </c>
      <c r="AM78" s="319">
        <f>O78/'Population &amp; Income'!O77</f>
        <v>11503.593817803034</v>
      </c>
      <c r="AN78" s="319">
        <f>P78/'Population &amp; Income'!P77</f>
        <v>11775.221743764656</v>
      </c>
      <c r="AO78" s="319">
        <f>Q78/'Population &amp; Income'!Q77</f>
        <v>11911.282971870303</v>
      </c>
      <c r="AP78" s="319">
        <f>R78/'Population &amp; Income'!R77</f>
        <v>12395.819155393687</v>
      </c>
      <c r="AQ78" s="319">
        <f>S78/'Population &amp; Income'!S77</f>
        <v>12603.643821346413</v>
      </c>
      <c r="AR78" s="319">
        <f>T78/'Population &amp; Income'!T77</f>
        <v>12806.196661291026</v>
      </c>
      <c r="AS78" s="319">
        <f>U78/'Population &amp; Income'!U77</f>
        <v>13389.384922200306</v>
      </c>
      <c r="AT78" s="319">
        <f>V78/'Population &amp; Income'!V77</f>
        <v>13990.08925903138</v>
      </c>
      <c r="AU78" s="319">
        <f>W78/'Population &amp; Income'!W77</f>
        <v>14642.770903522205</v>
      </c>
      <c r="AV78" s="690"/>
      <c r="AW78" s="690"/>
      <c r="AX78" s="13" t="s">
        <v>68</v>
      </c>
      <c r="AY78" s="40">
        <f t="shared" si="84"/>
        <v>0.12622387925620951</v>
      </c>
      <c r="AZ78" s="40">
        <f t="shared" si="85"/>
        <v>3.7468303558450627E-2</v>
      </c>
      <c r="BA78" s="40">
        <f t="shared" si="86"/>
        <v>5.6741425040772585E-2</v>
      </c>
      <c r="BB78" s="40">
        <f t="shared" si="87"/>
        <v>2.4041014323653933E-2</v>
      </c>
      <c r="BC78" s="40">
        <f t="shared" si="88"/>
        <v>0.11948348669793261</v>
      </c>
      <c r="BD78" s="40">
        <f t="shared" si="89"/>
        <v>3.6606066545611937E-2</v>
      </c>
      <c r="BE78" s="40">
        <f t="shared" si="90"/>
        <v>1.9787045914385688E-2</v>
      </c>
      <c r="BF78" s="40">
        <f t="shared" si="91"/>
        <v>2.5619672899261349E-2</v>
      </c>
      <c r="BG78" s="40">
        <f t="shared" si="92"/>
        <v>4.9901775984195477E-2</v>
      </c>
      <c r="BH78" s="40">
        <f t="shared" si="93"/>
        <v>2.7924695661328731E-2</v>
      </c>
      <c r="BI78" s="40">
        <f t="shared" si="94"/>
        <v>2.6365338958750591E-2</v>
      </c>
      <c r="BJ78" s="40">
        <f t="shared" si="95"/>
        <v>1.4692099513160823E-2</v>
      </c>
      <c r="BK78" s="40">
        <f t="shared" si="96"/>
        <v>1.9835662202908953E-3</v>
      </c>
      <c r="BL78" s="40">
        <f t="shared" si="97"/>
        <v>1.9872978836381561E-2</v>
      </c>
      <c r="BM78" s="40">
        <f t="shared" si="98"/>
        <v>4.2232056962568654E-3</v>
      </c>
      <c r="BN78" s="40">
        <f t="shared" si="99"/>
        <v>3.0801582455798473E-2</v>
      </c>
      <c r="BO78" s="40">
        <f t="shared" si="100"/>
        <v>1.5663593147876281E-2</v>
      </c>
      <c r="BP78" s="691">
        <f t="shared" si="101"/>
        <v>1.183716179765259E-2</v>
      </c>
      <c r="BQ78" s="691">
        <f t="shared" si="102"/>
        <v>3.970642576660352E-2</v>
      </c>
      <c r="BR78" s="691">
        <f t="shared" si="103"/>
        <v>4.2070589791500995E-2</v>
      </c>
      <c r="BS78" s="691">
        <f t="shared" si="104"/>
        <v>5.12990067294559E-2</v>
      </c>
      <c r="BT78" s="40"/>
      <c r="BU78" s="3"/>
      <c r="BV78" s="13" t="s">
        <v>68</v>
      </c>
      <c r="BW78" s="40">
        <f t="shared" si="105"/>
        <v>0.12622387925620951</v>
      </c>
      <c r="BX78" s="40">
        <f t="shared" si="106"/>
        <v>0.168421577438957</v>
      </c>
      <c r="BY78" s="40">
        <f t="shared" si="107"/>
        <v>0.23471948279123084</v>
      </c>
      <c r="BZ78" s="40">
        <f t="shared" si="108"/>
        <v>0.26440339156270942</v>
      </c>
      <c r="CA78" s="40">
        <f t="shared" si="109"/>
        <v>0.4154787173793133</v>
      </c>
      <c r="CB78" s="40">
        <f t="shared" si="110"/>
        <v>0.46729382550159787</v>
      </c>
      <c r="CC78" s="40">
        <f t="shared" si="111"/>
        <v>0.49632723579669258</v>
      </c>
      <c r="CD78" s="40">
        <f t="shared" si="112"/>
        <v>0.5346626501280598</v>
      </c>
      <c r="CE78" s="40">
        <f t="shared" si="113"/>
        <v>0.61124504190606199</v>
      </c>
      <c r="CF78" s="40">
        <f t="shared" si="114"/>
        <v>0.65623856933711355</v>
      </c>
      <c r="CG78" s="40">
        <f t="shared" si="115"/>
        <v>0.69990586061424276</v>
      </c>
      <c r="CH78" s="40">
        <f t="shared" si="116"/>
        <v>0.72488104668139253</v>
      </c>
      <c r="CI78" s="40">
        <f t="shared" si="117"/>
        <v>0.72830246245960972</v>
      </c>
      <c r="CJ78" s="40">
        <f t="shared" si="118"/>
        <v>0.76264898071893572</v>
      </c>
      <c r="CK78" s="40">
        <f t="shared" si="119"/>
        <v>0.77009300993480923</v>
      </c>
      <c r="CL78" s="113">
        <f t="shared" si="120"/>
        <v>0.82461467573474878</v>
      </c>
      <c r="CM78" s="113">
        <f t="shared" si="121"/>
        <v>0.8531946976671021</v>
      </c>
      <c r="CN78" s="691">
        <f t="shared" si="122"/>
        <v>0.87513126314593948</v>
      </c>
      <c r="CO78" s="691">
        <f t="shared" si="123"/>
        <v>0.94958602344868115</v>
      </c>
      <c r="CP78" s="691">
        <f t="shared" si="124"/>
        <v>1.0316062573044342</v>
      </c>
      <c r="CQ78" s="691">
        <f t="shared" si="125"/>
        <v>1.1358256403694991</v>
      </c>
    </row>
    <row r="79" spans="1:95" ht="14">
      <c r="A79" s="13" t="s">
        <v>69</v>
      </c>
      <c r="B79" s="319">
        <v>90501835</v>
      </c>
      <c r="C79" s="319">
        <v>100357819</v>
      </c>
      <c r="D79" s="319">
        <v>99862551</v>
      </c>
      <c r="E79" s="319">
        <v>102516034</v>
      </c>
      <c r="F79" s="319">
        <v>102983293</v>
      </c>
      <c r="G79" s="319">
        <v>96650164</v>
      </c>
      <c r="H79" s="319">
        <v>96446727</v>
      </c>
      <c r="I79" s="319">
        <v>96655453</v>
      </c>
      <c r="J79" s="319">
        <v>94161635.931439817</v>
      </c>
      <c r="K79" s="319">
        <v>101968392.92000468</v>
      </c>
      <c r="L79" s="319">
        <v>102956623.82550906</v>
      </c>
      <c r="M79" s="319">
        <v>127297839.06074511</v>
      </c>
      <c r="N79" s="319">
        <v>149644314.29324231</v>
      </c>
      <c r="O79" s="319">
        <v>182544587.03529003</v>
      </c>
      <c r="P79" s="319">
        <v>205779203</v>
      </c>
      <c r="Q79" s="319">
        <v>173892350</v>
      </c>
      <c r="R79" s="319">
        <v>175206845</v>
      </c>
      <c r="S79" s="319">
        <v>177585277</v>
      </c>
      <c r="T79" s="340">
        <v>181492548</v>
      </c>
      <c r="U79" s="340">
        <v>185254587</v>
      </c>
      <c r="V79" s="666">
        <v>183028089</v>
      </c>
      <c r="W79" s="667">
        <v>173621540</v>
      </c>
      <c r="X79" s="290"/>
      <c r="Y79" s="13" t="s">
        <v>69</v>
      </c>
      <c r="Z79" s="319">
        <f>B79/'Population &amp; Income'!B78</f>
        <v>13681.305366591081</v>
      </c>
      <c r="AA79" s="319">
        <f>C79/'Population &amp; Income'!C78</f>
        <v>15178.13354506957</v>
      </c>
      <c r="AB79" s="319">
        <f>D79/'Population &amp; Income'!D78</f>
        <v>15185.911040145986</v>
      </c>
      <c r="AC79" s="319">
        <f>E79/'Population &amp; Income'!E78</f>
        <v>15665.653117359414</v>
      </c>
      <c r="AD79" s="319">
        <f>F79/'Population &amp; Income'!F78</f>
        <v>15352.309630292188</v>
      </c>
      <c r="AE79" s="319">
        <f>G79/'Population &amp; Income'!G78</f>
        <v>14739.997559859692</v>
      </c>
      <c r="AF79" s="319">
        <f>H79/'Population &amp; Income'!H78</f>
        <v>14472.798169267708</v>
      </c>
      <c r="AG79" s="319">
        <f>I79/'Population &amp; Income'!I78</f>
        <v>14495.418866226755</v>
      </c>
      <c r="AH79" s="319">
        <f>J79/'Population &amp; Income'!J78</f>
        <v>14018.406421235644</v>
      </c>
      <c r="AI79" s="319">
        <f>K79/'Population &amp; Income'!K78</f>
        <v>15203.279099449035</v>
      </c>
      <c r="AJ79" s="319">
        <f>L79/'Population &amp; Income'!L78</f>
        <v>15350.622308857768</v>
      </c>
      <c r="AK79" s="319">
        <f>M79/'Population &amp; Income'!M78</f>
        <v>18898.135252485914</v>
      </c>
      <c r="AL79" s="319">
        <f>N79/'Population &amp; Income'!N78</f>
        <v>22375.046993606804</v>
      </c>
      <c r="AM79" s="319">
        <f>O79/'Population &amp; Income'!O78</f>
        <v>27380.319039341539</v>
      </c>
      <c r="AN79" s="319">
        <f>P79/'Population &amp; Income'!P78</f>
        <v>30759.223168908818</v>
      </c>
      <c r="AO79" s="319">
        <f>Q79/'Population &amp; Income'!Q78</f>
        <v>25954.082089552237</v>
      </c>
      <c r="AP79" s="319">
        <f>R79/'Population &amp; Income'!R78</f>
        <v>26279.712764361782</v>
      </c>
      <c r="AQ79" s="319">
        <f>S79/'Population &amp; Income'!S78</f>
        <v>26910.937566297926</v>
      </c>
      <c r="AR79" s="319">
        <f>T79/'Population &amp; Income'!T78</f>
        <v>27793.652067381317</v>
      </c>
      <c r="AS79" s="319">
        <f>U79/'Population &amp; Income'!U78</f>
        <v>28864.846837020879</v>
      </c>
      <c r="AT79" s="319">
        <f>V79/'Population &amp; Income'!V78</f>
        <v>28354.467699457786</v>
      </c>
      <c r="AU79" s="319">
        <f>W79/'Population &amp; Income'!W78</f>
        <v>27668.771314741036</v>
      </c>
      <c r="AV79" s="690"/>
      <c r="AW79" s="690"/>
      <c r="AX79" s="13" t="s">
        <v>69</v>
      </c>
      <c r="AY79" s="40">
        <f t="shared" si="84"/>
        <v>0.10890369239474537</v>
      </c>
      <c r="AZ79" s="40">
        <f t="shared" si="85"/>
        <v>-4.9350215552213224E-3</v>
      </c>
      <c r="BA79" s="40">
        <f t="shared" si="86"/>
        <v>2.6571352057689773E-2</v>
      </c>
      <c r="BB79" s="40">
        <f t="shared" si="87"/>
        <v>4.5579113994987357E-3</v>
      </c>
      <c r="BC79" s="40">
        <f t="shared" si="88"/>
        <v>-6.1496664318162753E-2</v>
      </c>
      <c r="BD79" s="40">
        <f t="shared" si="89"/>
        <v>-2.104880028967152E-3</v>
      </c>
      <c r="BE79" s="40">
        <f t="shared" si="90"/>
        <v>2.1641584581714216E-3</v>
      </c>
      <c r="BF79" s="40">
        <f t="shared" si="91"/>
        <v>-2.5801100622436512E-2</v>
      </c>
      <c r="BG79" s="40">
        <f t="shared" si="92"/>
        <v>8.2908043295350717E-2</v>
      </c>
      <c r="BH79" s="40">
        <f t="shared" si="93"/>
        <v>9.6915414395091388E-3</v>
      </c>
      <c r="BI79" s="40">
        <f t="shared" si="94"/>
        <v>0.23642204193184843</v>
      </c>
      <c r="BJ79" s="40">
        <f t="shared" si="95"/>
        <v>0.17554481205163044</v>
      </c>
      <c r="BK79" s="40">
        <f t="shared" si="96"/>
        <v>0.21985648367218621</v>
      </c>
      <c r="BL79" s="40">
        <f t="shared" si="97"/>
        <v>0.12728186763608709</v>
      </c>
      <c r="BM79" s="40">
        <f t="shared" si="98"/>
        <v>-0.15495663572960772</v>
      </c>
      <c r="BN79" s="40">
        <f t="shared" si="99"/>
        <v>7.5592457057484129E-3</v>
      </c>
      <c r="BO79" s="40">
        <f t="shared" si="100"/>
        <v>1.3574994744069502E-2</v>
      </c>
      <c r="BP79" s="691">
        <f t="shared" si="101"/>
        <v>2.2002223754168538E-2</v>
      </c>
      <c r="BQ79" s="691">
        <f t="shared" si="102"/>
        <v>2.0728338664351111E-2</v>
      </c>
      <c r="BR79" s="691">
        <f t="shared" si="103"/>
        <v>-1.2018584997304278E-2</v>
      </c>
      <c r="BS79" s="691">
        <f t="shared" si="104"/>
        <v>-5.1394018543241195E-2</v>
      </c>
      <c r="BT79" s="40"/>
      <c r="BU79" s="3"/>
      <c r="BV79" s="13" t="s">
        <v>69</v>
      </c>
      <c r="BW79" s="40">
        <f t="shared" si="105"/>
        <v>0.10890369239474537</v>
      </c>
      <c r="BX79" s="40">
        <f t="shared" si="106"/>
        <v>0.10343122877011278</v>
      </c>
      <c r="BY79" s="40">
        <f t="shared" si="107"/>
        <v>0.13275088842121269</v>
      </c>
      <c r="BZ79" s="40">
        <f t="shared" si="108"/>
        <v>0.13791386660834004</v>
      </c>
      <c r="CA79" s="40">
        <f t="shared" si="109"/>
        <v>6.7935959530544321E-2</v>
      </c>
      <c r="CB79" s="40">
        <f t="shared" si="110"/>
        <v>6.5688082457112607E-2</v>
      </c>
      <c r="CC79" s="40">
        <f t="shared" si="111"/>
        <v>6.7994400334534646E-2</v>
      </c>
      <c r="CD79" s="40">
        <f t="shared" si="112"/>
        <v>4.0438969347304579E-2</v>
      </c>
      <c r="CE79" s="40">
        <f t="shared" si="113"/>
        <v>0.12669972846412098</v>
      </c>
      <c r="CF79" s="40">
        <f t="shared" si="114"/>
        <v>0.1376191855724147</v>
      </c>
      <c r="CG79" s="40">
        <f t="shared" si="115"/>
        <v>0.4065774363662914</v>
      </c>
      <c r="CH79" s="40">
        <f t="shared" si="116"/>
        <v>0.65349480806927618</v>
      </c>
      <c r="CI79" s="40">
        <f t="shared" si="117"/>
        <v>1.0170263623416038</v>
      </c>
      <c r="CJ79" s="40">
        <f t="shared" si="118"/>
        <v>1.2737572448116661</v>
      </c>
      <c r="CK79" s="40">
        <f t="shared" si="119"/>
        <v>0.92142347168982819</v>
      </c>
      <c r="CL79" s="113">
        <f t="shared" si="120"/>
        <v>0.93594798381712374</v>
      </c>
      <c r="CM79" s="113">
        <f t="shared" si="121"/>
        <v>0.96222846752223312</v>
      </c>
      <c r="CN79" s="691">
        <f t="shared" si="122"/>
        <v>1.0054018573214565</v>
      </c>
      <c r="CO79" s="691">
        <f t="shared" si="123"/>
        <v>1.0469705061781345</v>
      </c>
      <c r="CP79" s="691">
        <f t="shared" si="124"/>
        <v>1.0223688171626575</v>
      </c>
      <c r="CQ79" s="691">
        <f t="shared" si="125"/>
        <v>0.91843115667212716</v>
      </c>
    </row>
    <row r="80" spans="1:95" ht="14">
      <c r="A80" s="13" t="s">
        <v>70</v>
      </c>
      <c r="B80" s="319">
        <v>53195574</v>
      </c>
      <c r="C80" s="319">
        <v>59306441</v>
      </c>
      <c r="D80" s="319">
        <v>62376310</v>
      </c>
      <c r="E80" s="319">
        <v>61836973</v>
      </c>
      <c r="F80" s="319">
        <v>64450919</v>
      </c>
      <c r="G80" s="319">
        <v>68980704</v>
      </c>
      <c r="H80" s="319">
        <v>69264956</v>
      </c>
      <c r="I80" s="319">
        <v>70962185</v>
      </c>
      <c r="J80" s="319">
        <v>70980764.885171503</v>
      </c>
      <c r="K80" s="319">
        <v>75380623.716537744</v>
      </c>
      <c r="L80" s="319">
        <v>77431082.278034627</v>
      </c>
      <c r="M80" s="319">
        <v>80557055.430832341</v>
      </c>
      <c r="N80" s="319">
        <v>80710721.139578313</v>
      </c>
      <c r="O80" s="319">
        <v>85423011.935236156</v>
      </c>
      <c r="P80" s="319">
        <v>86580618</v>
      </c>
      <c r="Q80" s="319">
        <v>87264083</v>
      </c>
      <c r="R80" s="319">
        <v>89033578</v>
      </c>
      <c r="S80" s="319">
        <v>95057659</v>
      </c>
      <c r="T80" s="340">
        <v>96728519</v>
      </c>
      <c r="U80" s="340">
        <v>97911147</v>
      </c>
      <c r="V80" s="666">
        <v>99137819</v>
      </c>
      <c r="W80" s="667">
        <v>99148268</v>
      </c>
      <c r="X80" s="290"/>
      <c r="Y80" s="13" t="s">
        <v>70</v>
      </c>
      <c r="Z80" s="319">
        <f>B80/'Population &amp; Income'!B79</f>
        <v>4010.220429702224</v>
      </c>
      <c r="AA80" s="319">
        <f>C80/'Population &amp; Income'!C79</f>
        <v>4426.1841182177777</v>
      </c>
      <c r="AB80" s="319">
        <f>D80/'Population &amp; Income'!D79</f>
        <v>4621.4944061643328</v>
      </c>
      <c r="AC80" s="319">
        <f>E80/'Population &amp; Income'!E79</f>
        <v>4575.0941846700207</v>
      </c>
      <c r="AD80" s="319">
        <f>F80/'Population &amp; Income'!F79</f>
        <v>4780.5161697077583</v>
      </c>
      <c r="AE80" s="319">
        <f>G80/'Population &amp; Income'!G79</f>
        <v>5124.8665676077262</v>
      </c>
      <c r="AF80" s="319">
        <f>H80/'Population &amp; Income'!H79</f>
        <v>5090.0173427395648</v>
      </c>
      <c r="AG80" s="319">
        <f>I80/'Population &amp; Income'!I79</f>
        <v>5160.1356166375799</v>
      </c>
      <c r="AH80" s="319">
        <f>J80/'Population &amp; Income'!J79</f>
        <v>5127.5565184693714</v>
      </c>
      <c r="AI80" s="319">
        <f>K80/'Population &amp; Income'!K79</f>
        <v>5415.2746922800106</v>
      </c>
      <c r="AJ80" s="319">
        <f>L80/'Population &amp; Income'!L79</f>
        <v>5511.5013366100529</v>
      </c>
      <c r="AK80" s="319">
        <f>M80/'Population &amp; Income'!M79</f>
        <v>5729.927834898097</v>
      </c>
      <c r="AL80" s="319">
        <f>N80/'Population &amp; Income'!N79</f>
        <v>5749.036337315928</v>
      </c>
      <c r="AM80" s="319">
        <f>O80/'Population &amp; Income'!O79</f>
        <v>6087.2950855295485</v>
      </c>
      <c r="AN80" s="319">
        <f>P80/'Population &amp; Income'!P79</f>
        <v>6135.2478741496598</v>
      </c>
      <c r="AO80" s="319">
        <f>Q80/'Population &amp; Income'!Q79</f>
        <v>6175.365013091784</v>
      </c>
      <c r="AP80" s="319">
        <f>R80/'Population &amp; Income'!R79</f>
        <v>6343.2301225420351</v>
      </c>
      <c r="AQ80" s="319">
        <f>S80/'Population &amp; Income'!S79</f>
        <v>6774.3485604332955</v>
      </c>
      <c r="AR80" s="319">
        <f>T80/'Population &amp; Income'!T79</f>
        <v>6919.5592674726377</v>
      </c>
      <c r="AS80" s="319">
        <f>U80/'Population &amp; Income'!U79</f>
        <v>7089.3597132720297</v>
      </c>
      <c r="AT80" s="319">
        <f>V80/'Population &amp; Income'!V79</f>
        <v>7175.0610841716725</v>
      </c>
      <c r="AU80" s="319">
        <f>W80/'Population &amp; Income'!W79</f>
        <v>7309.6629312887053</v>
      </c>
      <c r="AV80" s="690"/>
      <c r="AW80" s="690"/>
      <c r="AX80" s="13" t="s">
        <v>70</v>
      </c>
      <c r="AY80" s="40">
        <f t="shared" si="84"/>
        <v>0.11487547817418044</v>
      </c>
      <c r="AZ80" s="40">
        <f t="shared" si="85"/>
        <v>5.1762826233325988E-2</v>
      </c>
      <c r="BA80" s="40">
        <f t="shared" si="86"/>
        <v>-8.6465037768345063E-3</v>
      </c>
      <c r="BB80" s="40">
        <f t="shared" si="87"/>
        <v>4.2271571087414E-2</v>
      </c>
      <c r="BC80" s="40">
        <f t="shared" si="88"/>
        <v>7.0282706131777575E-2</v>
      </c>
      <c r="BD80" s="40">
        <f t="shared" si="89"/>
        <v>4.1207465786374112E-3</v>
      </c>
      <c r="BE80" s="40">
        <f t="shared" si="90"/>
        <v>2.4503429988463429E-2</v>
      </c>
      <c r="BF80" s="40">
        <f t="shared" si="91"/>
        <v>2.6182797459665074E-4</v>
      </c>
      <c r="BG80" s="40">
        <f t="shared" si="92"/>
        <v>6.198663593558161E-2</v>
      </c>
      <c r="BH80" s="40">
        <f t="shared" si="93"/>
        <v>2.7201400842840649E-2</v>
      </c>
      <c r="BI80" s="40">
        <f t="shared" si="94"/>
        <v>4.0371037842053759E-2</v>
      </c>
      <c r="BJ80" s="40">
        <f t="shared" si="95"/>
        <v>1.9075387987326736E-3</v>
      </c>
      <c r="BK80" s="40">
        <f t="shared" si="96"/>
        <v>5.8384942286769707E-2</v>
      </c>
      <c r="BL80" s="40">
        <f t="shared" si="97"/>
        <v>1.3551454561699233E-2</v>
      </c>
      <c r="BM80" s="40">
        <f t="shared" si="98"/>
        <v>7.8939722975874347E-3</v>
      </c>
      <c r="BN80" s="40">
        <f t="shared" si="99"/>
        <v>2.027747200414631E-2</v>
      </c>
      <c r="BO80" s="40">
        <f t="shared" si="100"/>
        <v>6.7660776252303378E-2</v>
      </c>
      <c r="BP80" s="691">
        <f t="shared" si="101"/>
        <v>1.7577331669823681E-2</v>
      </c>
      <c r="BQ80" s="691">
        <f t="shared" si="102"/>
        <v>1.2226259765230148E-2</v>
      </c>
      <c r="BR80" s="691">
        <f t="shared" si="103"/>
        <v>1.2528420282932646E-2</v>
      </c>
      <c r="BS80" s="691">
        <f t="shared" si="104"/>
        <v>1.0539872780537971E-4</v>
      </c>
      <c r="BT80" s="40"/>
      <c r="BU80" s="3"/>
      <c r="BV80" s="13" t="s">
        <v>70</v>
      </c>
      <c r="BW80" s="40">
        <f t="shared" si="105"/>
        <v>0.11487547817418044</v>
      </c>
      <c r="BX80" s="40">
        <f t="shared" si="106"/>
        <v>0.17258458382270675</v>
      </c>
      <c r="BY80" s="40">
        <f t="shared" si="107"/>
        <v>0.16244582679002581</v>
      </c>
      <c r="BZ80" s="40">
        <f t="shared" si="108"/>
        <v>0.21158423819244812</v>
      </c>
      <c r="CA80" s="40">
        <f t="shared" si="109"/>
        <v>0.29673765715922157</v>
      </c>
      <c r="CB80" s="40">
        <f t="shared" si="110"/>
        <v>0.30208118442335069</v>
      </c>
      <c r="CC80" s="40">
        <f t="shared" si="111"/>
        <v>0.33398663956516383</v>
      </c>
      <c r="CD80" s="40">
        <f t="shared" si="112"/>
        <v>0.33433591458514017</v>
      </c>
      <c r="CE80" s="40">
        <f t="shared" si="113"/>
        <v>0.41704690913830056</v>
      </c>
      <c r="CF80" s="40">
        <f t="shared" si="114"/>
        <v>0.45559257012687987</v>
      </c>
      <c r="CG80" s="40">
        <f t="shared" si="115"/>
        <v>0.51435635285808445</v>
      </c>
      <c r="CH80" s="40">
        <f t="shared" si="116"/>
        <v>0.51724504635626856</v>
      </c>
      <c r="CI80" s="40">
        <f t="shared" si="117"/>
        <v>0.60582931082266644</v>
      </c>
      <c r="CJ80" s="40">
        <f t="shared" si="118"/>
        <v>0.62759063376212465</v>
      </c>
      <c r="CK80" s="40">
        <f t="shared" si="119"/>
        <v>0.64043878913685559</v>
      </c>
      <c r="CL80" s="113">
        <f t="shared" si="120"/>
        <v>0.67370274075809389</v>
      </c>
      <c r="CM80" s="113">
        <f t="shared" si="121"/>
        <v>0.7869467674133942</v>
      </c>
      <c r="CN80" s="691">
        <f t="shared" si="122"/>
        <v>0.81835652342053866</v>
      </c>
      <c r="CO80" s="691">
        <f t="shared" si="123"/>
        <v>0.84058822262167898</v>
      </c>
      <c r="CP80" s="691">
        <f t="shared" si="124"/>
        <v>0.86364788544249937</v>
      </c>
      <c r="CQ80" s="691">
        <f t="shared" si="125"/>
        <v>0.86384431155870223</v>
      </c>
    </row>
    <row r="81" spans="1:95" ht="14">
      <c r="A81" s="104" t="s">
        <v>300</v>
      </c>
      <c r="B81" s="320">
        <v>58726445</v>
      </c>
      <c r="C81" s="320">
        <v>66283582</v>
      </c>
      <c r="D81" s="320">
        <v>67413706</v>
      </c>
      <c r="E81" s="320">
        <v>70368166</v>
      </c>
      <c r="F81" s="320">
        <v>72346610</v>
      </c>
      <c r="G81" s="320">
        <v>75464166</v>
      </c>
      <c r="H81" s="320">
        <v>76749056</v>
      </c>
      <c r="I81" s="320">
        <v>78514388</v>
      </c>
      <c r="J81" s="320">
        <v>80222946.950172126</v>
      </c>
      <c r="K81" s="320">
        <v>83605949.967102468</v>
      </c>
      <c r="L81" s="320">
        <v>86785851.936802298</v>
      </c>
      <c r="M81" s="320">
        <v>93024892.810786292</v>
      </c>
      <c r="N81" s="320">
        <v>94633408.878505617</v>
      </c>
      <c r="O81" s="320">
        <v>98532630.667679116</v>
      </c>
      <c r="P81" s="320">
        <v>100562418</v>
      </c>
      <c r="Q81" s="320">
        <v>100531107</v>
      </c>
      <c r="R81" s="320">
        <v>103694838</v>
      </c>
      <c r="S81" s="320">
        <v>106550509</v>
      </c>
      <c r="T81" s="340">
        <v>108875857</v>
      </c>
      <c r="U81" s="340">
        <v>112797627</v>
      </c>
      <c r="V81" s="666">
        <v>114537360</v>
      </c>
      <c r="W81" s="667">
        <v>116251035</v>
      </c>
      <c r="X81" s="290"/>
      <c r="Y81" s="41" t="s">
        <v>300</v>
      </c>
      <c r="Z81" s="320">
        <f>B81/'Population &amp; Income'!B80</f>
        <v>6343.3187513501834</v>
      </c>
      <c r="AA81" s="320">
        <f>C81/'Population &amp; Income'!C80</f>
        <v>7121.1411688869794</v>
      </c>
      <c r="AB81" s="320">
        <f>D81/'Population &amp; Income'!D80</f>
        <v>7261.2781128823781</v>
      </c>
      <c r="AC81" s="320">
        <f>E81/'Population &amp; Income'!E80</f>
        <v>7385.4078505457601</v>
      </c>
      <c r="AD81" s="320">
        <f>F81/'Population &amp; Income'!F80</f>
        <v>7459.9515363992577</v>
      </c>
      <c r="AE81" s="320">
        <f>G81/'Population &amp; Income'!G80</f>
        <v>7815.2615990057993</v>
      </c>
      <c r="AF81" s="320">
        <f>H81/'Population &amp; Income'!H80</f>
        <v>7918.8047874535696</v>
      </c>
      <c r="AG81" s="320">
        <f>I81/'Population &amp; Income'!I80</f>
        <v>8131.1503728251864</v>
      </c>
      <c r="AH81" s="320">
        <f>J81/'Population &amp; Income'!J80</f>
        <v>8261.0387138474034</v>
      </c>
      <c r="AI81" s="320">
        <f>K81/'Population &amp; Income'!K80</f>
        <v>8589.9465701327917</v>
      </c>
      <c r="AJ81" s="320">
        <f>L81/'Population &amp; Income'!L80</f>
        <v>8952.5326941203111</v>
      </c>
      <c r="AK81" s="320">
        <f>M81/'Population &amp; Income'!M80</f>
        <v>9490.3991849404501</v>
      </c>
      <c r="AL81" s="320">
        <f>N81/'Population &amp; Income'!N80</f>
        <v>9699.0272500261981</v>
      </c>
      <c r="AM81" s="320">
        <f>O81/'Population &amp; Income'!O80</f>
        <v>10149.632330828092</v>
      </c>
      <c r="AN81" s="320">
        <f>P81/'Population &amp; Income'!P80</f>
        <v>10230.154425228891</v>
      </c>
      <c r="AO81" s="320">
        <f>Q81/'Population &amp; Income'!Q80</f>
        <v>10368.30724009901</v>
      </c>
      <c r="AP81" s="320">
        <f>R81/'Population &amp; Income'!R80</f>
        <v>10945.20139328689</v>
      </c>
      <c r="AQ81" s="320">
        <f>S81/'Population &amp; Income'!S80</f>
        <v>11231.212079687994</v>
      </c>
      <c r="AR81" s="320">
        <f>T81/'Population &amp; Income'!T80</f>
        <v>11500.56586035703</v>
      </c>
      <c r="AS81" s="320">
        <f>U81/'Population &amp; Income'!U80</f>
        <v>11936.256825396826</v>
      </c>
      <c r="AT81" s="320">
        <f>V81/'Population &amp; Income'!V80</f>
        <v>12353.037100949094</v>
      </c>
      <c r="AU81" s="320">
        <f>W81/'Population &amp; Income'!W80</f>
        <v>12417.329096346934</v>
      </c>
      <c r="AV81" s="696"/>
      <c r="AW81" s="696"/>
      <c r="AX81" s="41" t="s">
        <v>300</v>
      </c>
      <c r="AY81" s="40">
        <f t="shared" si="84"/>
        <v>0.12868371310403687</v>
      </c>
      <c r="AZ81" s="40">
        <f t="shared" si="85"/>
        <v>1.7049832943548525E-2</v>
      </c>
      <c r="BA81" s="40">
        <f t="shared" si="86"/>
        <v>4.382580598669357E-2</v>
      </c>
      <c r="BB81" s="40">
        <f t="shared" si="87"/>
        <v>2.8115611255237205E-2</v>
      </c>
      <c r="BC81" s="40">
        <f t="shared" si="88"/>
        <v>4.3091943077913392E-2</v>
      </c>
      <c r="BD81" s="40">
        <f t="shared" si="89"/>
        <v>1.7026491752390134E-2</v>
      </c>
      <c r="BE81" s="40">
        <f t="shared" si="90"/>
        <v>2.3001351313037648E-2</v>
      </c>
      <c r="BF81" s="40">
        <f t="shared" si="91"/>
        <v>2.1761093650403622E-2</v>
      </c>
      <c r="BG81" s="40">
        <f t="shared" si="92"/>
        <v>4.2170016753829601E-2</v>
      </c>
      <c r="BH81" s="40">
        <f t="shared" si="93"/>
        <v>3.8034397922050614E-2</v>
      </c>
      <c r="BI81" s="40">
        <f t="shared" si="94"/>
        <v>7.1890068885044553E-2</v>
      </c>
      <c r="BJ81" s="40">
        <f t="shared" si="95"/>
        <v>1.7291243441592195E-2</v>
      </c>
      <c r="BK81" s="40">
        <f t="shared" si="96"/>
        <v>4.1203437933631716E-2</v>
      </c>
      <c r="BL81" s="40">
        <f t="shared" si="97"/>
        <v>2.060015366043301E-2</v>
      </c>
      <c r="BM81" s="40">
        <f t="shared" si="98"/>
        <v>-3.113588617171079E-4</v>
      </c>
      <c r="BN81" s="40">
        <f t="shared" si="99"/>
        <v>3.1470169725675061E-2</v>
      </c>
      <c r="BO81" s="40">
        <f t="shared" si="100"/>
        <v>2.7539181844326716E-2</v>
      </c>
      <c r="BP81" s="691">
        <f t="shared" si="101"/>
        <v>2.1823903253244899E-2</v>
      </c>
      <c r="BQ81" s="691">
        <f t="shared" si="102"/>
        <v>3.6020566065440934E-2</v>
      </c>
      <c r="BR81" s="691">
        <f t="shared" si="103"/>
        <v>1.5423489361172465E-2</v>
      </c>
      <c r="BS81" s="691">
        <f t="shared" si="104"/>
        <v>1.4961712056223401E-2</v>
      </c>
      <c r="BT81" s="40"/>
      <c r="BU81" s="3"/>
      <c r="BV81" s="41" t="s">
        <v>300</v>
      </c>
      <c r="BW81" s="40">
        <f t="shared" si="105"/>
        <v>0.12868371310403687</v>
      </c>
      <c r="BX81" s="40">
        <f t="shared" si="106"/>
        <v>0.14792758185856475</v>
      </c>
      <c r="BY81" s="40">
        <f t="shared" si="107"/>
        <v>0.1982364333478725</v>
      </c>
      <c r="BZ81" s="40">
        <f t="shared" si="108"/>
        <v>0.23192558309974323</v>
      </c>
      <c r="CA81" s="40">
        <f t="shared" si="109"/>
        <v>0.28501165020290264</v>
      </c>
      <c r="CB81" s="40">
        <f t="shared" si="110"/>
        <v>0.30689089046680756</v>
      </c>
      <c r="CC81" s="40">
        <f t="shared" si="111"/>
        <v>0.33695114696624323</v>
      </c>
      <c r="CD81" s="40">
        <f t="shared" si="112"/>
        <v>0.36604466608139019</v>
      </c>
      <c r="CE81" s="40">
        <f t="shared" si="113"/>
        <v>0.42365079253652199</v>
      </c>
      <c r="CF81" s="40">
        <f t="shared" si="114"/>
        <v>0.47779849328189877</v>
      </c>
      <c r="CG81" s="40">
        <f t="shared" si="115"/>
        <v>0.58403752876214954</v>
      </c>
      <c r="CH81" s="40">
        <f t="shared" si="116"/>
        <v>0.61142750729259399</v>
      </c>
      <c r="CI81" s="40">
        <f t="shared" si="117"/>
        <v>0.67782386057387123</v>
      </c>
      <c r="CJ81" s="40">
        <f t="shared" si="118"/>
        <v>0.71238728991683387</v>
      </c>
      <c r="CK81" s="40">
        <f t="shared" si="119"/>
        <v>0.71185412295942652</v>
      </c>
      <c r="CL81" s="113">
        <f t="shared" si="120"/>
        <v>0.76572646275455636</v>
      </c>
      <c r="CM81" s="113">
        <f t="shared" si="121"/>
        <v>0.8143531248996938</v>
      </c>
      <c r="CN81" s="691">
        <f t="shared" si="122"/>
        <v>0.8539493919647273</v>
      </c>
      <c r="CO81" s="691">
        <f t="shared" si="123"/>
        <v>0.92072969851997677</v>
      </c>
      <c r="CP81" s="691">
        <f t="shared" si="124"/>
        <v>0.95035405259078765</v>
      </c>
      <c r="CQ81" s="691">
        <f t="shared" si="125"/>
        <v>0.97953468833333945</v>
      </c>
    </row>
    <row r="82" spans="1:95" ht="17" customHeight="1">
      <c r="A82" s="231" t="s">
        <v>301</v>
      </c>
      <c r="B82" s="320">
        <v>186937269</v>
      </c>
      <c r="C82" s="320">
        <v>201041020</v>
      </c>
      <c r="D82" s="320">
        <v>208846149</v>
      </c>
      <c r="E82" s="320">
        <v>231746767</v>
      </c>
      <c r="F82" s="320">
        <v>244391711</v>
      </c>
      <c r="G82" s="320">
        <v>255588817</v>
      </c>
      <c r="H82" s="320">
        <v>252897893</v>
      </c>
      <c r="I82" s="320">
        <v>268187803</v>
      </c>
      <c r="J82" s="320">
        <v>274462750.28445011</v>
      </c>
      <c r="K82" s="320">
        <v>300045839.9229818</v>
      </c>
      <c r="L82" s="320">
        <v>310545202.27920628</v>
      </c>
      <c r="M82" s="320">
        <v>350926315.19453025</v>
      </c>
      <c r="N82" s="320">
        <v>366287219.35074914</v>
      </c>
      <c r="O82" s="320">
        <v>398112257.20114791</v>
      </c>
      <c r="P82" s="320">
        <v>373500730</v>
      </c>
      <c r="Q82" s="320">
        <v>390535991</v>
      </c>
      <c r="R82" s="320">
        <v>402466606</v>
      </c>
      <c r="S82" s="320">
        <v>409991935</v>
      </c>
      <c r="T82" s="340">
        <v>422792832</v>
      </c>
      <c r="U82" s="340">
        <v>433279876</v>
      </c>
      <c r="V82" s="666">
        <v>440842245</v>
      </c>
      <c r="W82" s="667">
        <v>456524929</v>
      </c>
      <c r="X82" s="290"/>
      <c r="Y82" s="13" t="s">
        <v>301</v>
      </c>
      <c r="Z82" s="320">
        <f>B82/'Population &amp; Income'!B81</f>
        <v>11013.153587840226</v>
      </c>
      <c r="AA82" s="320">
        <f>C82/'Population &amp; Income'!C81</f>
        <v>11636.338484690628</v>
      </c>
      <c r="AB82" s="320">
        <f>D82/'Population &amp; Income'!D81</f>
        <v>11934.747642722441</v>
      </c>
      <c r="AC82" s="320">
        <f>E82/'Population &amp; Income'!E81</f>
        <v>13144.278089728319</v>
      </c>
      <c r="AD82" s="320">
        <f>F82/'Population &amp; Income'!F81</f>
        <v>13597.713848550604</v>
      </c>
      <c r="AE82" s="320">
        <f>G82/'Population &amp; Income'!G81</f>
        <v>14189.131016488092</v>
      </c>
      <c r="AF82" s="320">
        <f>H82/'Population &amp; Income'!H81</f>
        <v>14019.507345196518</v>
      </c>
      <c r="AG82" s="320">
        <f>I82/'Population &amp; Income'!I81</f>
        <v>14767.237652111668</v>
      </c>
      <c r="AH82" s="320">
        <f>J82/'Population &amp; Income'!J81</f>
        <v>15065.470978397745</v>
      </c>
      <c r="AI82" s="320">
        <f>K82/'Population &amp; Income'!K81</f>
        <v>16456.197001205604</v>
      </c>
      <c r="AJ82" s="320">
        <f>L82/'Population &amp; Income'!L81</f>
        <v>17004.062984132193</v>
      </c>
      <c r="AK82" s="320">
        <f>M82/'Population &amp; Income'!M81</f>
        <v>19183.639380885052</v>
      </c>
      <c r="AL82" s="320">
        <f>N82/'Population &amp; Income'!N81</f>
        <v>20141.164596434024</v>
      </c>
      <c r="AM82" s="320">
        <f>O82/'Population &amp; Income'!O81</f>
        <v>21927.3109275803</v>
      </c>
      <c r="AN82" s="320">
        <f>P82/'Population &amp; Income'!P81</f>
        <v>20604.663209576873</v>
      </c>
      <c r="AO82" s="320">
        <f>Q82/'Population &amp; Income'!Q81</f>
        <v>21549.191138332506</v>
      </c>
      <c r="AP82" s="320">
        <f>R82/'Population &amp; Income'!R81</f>
        <v>22686.956369785796</v>
      </c>
      <c r="AQ82" s="320">
        <f>S82/'Population &amp; Income'!S81</f>
        <v>23061.758071774104</v>
      </c>
      <c r="AR82" s="320">
        <f>T82/'Population &amp; Income'!T81</f>
        <v>23540.803563474386</v>
      </c>
      <c r="AS82" s="320">
        <f>U82/'Population &amp; Income'!U81</f>
        <v>24212.34288907516</v>
      </c>
      <c r="AT82" s="320">
        <f>V82/'Population &amp; Income'!V81</f>
        <v>24450.485024958401</v>
      </c>
      <c r="AU82" s="320">
        <f>W82/'Population &amp; Income'!W81</f>
        <v>25585.659866614358</v>
      </c>
      <c r="AV82" s="696"/>
      <c r="AW82" s="696"/>
      <c r="AX82" s="13" t="s">
        <v>301</v>
      </c>
      <c r="AY82" s="40">
        <f t="shared" si="84"/>
        <v>7.5446437596132856E-2</v>
      </c>
      <c r="AZ82" s="40">
        <f t="shared" si="85"/>
        <v>3.8823564464605283E-2</v>
      </c>
      <c r="BA82" s="40">
        <f t="shared" si="86"/>
        <v>0.10965305374148891</v>
      </c>
      <c r="BB82" s="40">
        <f t="shared" si="87"/>
        <v>5.4563626339607145E-2</v>
      </c>
      <c r="BC82" s="40">
        <f t="shared" si="88"/>
        <v>4.5816226557700235E-2</v>
      </c>
      <c r="BD82" s="40">
        <f t="shared" si="89"/>
        <v>-1.0528332309625268E-2</v>
      </c>
      <c r="BE82" s="40">
        <f t="shared" si="90"/>
        <v>6.0458827152031672E-2</v>
      </c>
      <c r="BF82" s="40">
        <f t="shared" si="91"/>
        <v>2.3397586371405987E-2</v>
      </c>
      <c r="BG82" s="40">
        <f t="shared" si="92"/>
        <v>9.3211518182404196E-2</v>
      </c>
      <c r="BH82" s="40">
        <f t="shared" si="93"/>
        <v>3.4992527671503591E-2</v>
      </c>
      <c r="BI82" s="40">
        <f t="shared" si="94"/>
        <v>0.13003296337844547</v>
      </c>
      <c r="BJ82" s="40">
        <f t="shared" si="95"/>
        <v>4.3772448776615173E-2</v>
      </c>
      <c r="BK82" s="40">
        <f t="shared" si="96"/>
        <v>8.6885471753039178E-2</v>
      </c>
      <c r="BL82" s="40">
        <f t="shared" si="97"/>
        <v>-6.1820571348831482E-2</v>
      </c>
      <c r="BM82" s="40">
        <f t="shared" si="98"/>
        <v>4.5609712730681942E-2</v>
      </c>
      <c r="BN82" s="40">
        <f t="shared" si="99"/>
        <v>3.054933546444891E-2</v>
      </c>
      <c r="BO82" s="40">
        <f t="shared" si="100"/>
        <v>1.8698020873811328E-2</v>
      </c>
      <c r="BP82" s="691">
        <f t="shared" si="101"/>
        <v>3.1222314165765236E-2</v>
      </c>
      <c r="BQ82" s="691">
        <f t="shared" si="102"/>
        <v>2.4804214277691444E-2</v>
      </c>
      <c r="BR82" s="691">
        <f t="shared" si="103"/>
        <v>1.745377392048552E-2</v>
      </c>
      <c r="BS82" s="691">
        <f t="shared" si="104"/>
        <v>3.5574367424791607E-2</v>
      </c>
      <c r="BT82" s="40"/>
      <c r="BU82" s="3"/>
      <c r="BV82" s="13" t="s">
        <v>301</v>
      </c>
      <c r="BW82" s="40">
        <f t="shared" si="105"/>
        <v>7.5446437596132856E-2</v>
      </c>
      <c r="BX82" s="40">
        <f t="shared" si="106"/>
        <v>0.11719910169437642</v>
      </c>
      <c r="BY82" s="40">
        <f t="shared" si="107"/>
        <v>0.23970339483241301</v>
      </c>
      <c r="BZ82" s="40">
        <f t="shared" si="108"/>
        <v>0.30734610763999126</v>
      </c>
      <c r="CA82" s="40">
        <f t="shared" si="109"/>
        <v>0.36724377309695266</v>
      </c>
      <c r="CB82" s="40">
        <f t="shared" si="110"/>
        <v>0.35284897630552203</v>
      </c>
      <c r="CC82" s="40">
        <f t="shared" si="111"/>
        <v>0.4346406387267806</v>
      </c>
      <c r="CD82" s="40">
        <f t="shared" si="112"/>
        <v>0.46820776698331951</v>
      </c>
      <c r="CE82" s="40">
        <f t="shared" si="113"/>
        <v>0.60506164195103229</v>
      </c>
      <c r="CF82" s="40">
        <f t="shared" si="114"/>
        <v>0.66122680587147276</v>
      </c>
      <c r="CG82" s="40">
        <f t="shared" si="115"/>
        <v>0.87724105028264987</v>
      </c>
      <c r="CH82" s="40">
        <f t="shared" si="116"/>
        <v>0.95941248799750645</v>
      </c>
      <c r="CI82" s="40">
        <f t="shared" si="117"/>
        <v>1.1296569663759659</v>
      </c>
      <c r="CJ82" s="40">
        <f t="shared" si="118"/>
        <v>0.99800035593758463</v>
      </c>
      <c r="CK82" s="40">
        <f t="shared" si="119"/>
        <v>1.089128578207698</v>
      </c>
      <c r="CL82" s="113">
        <f t="shared" si="120"/>
        <v>1.1529500679717322</v>
      </c>
      <c r="CM82" s="113">
        <f t="shared" si="121"/>
        <v>1.1932059732829412</v>
      </c>
      <c r="CN82" s="691">
        <f t="shared" si="122"/>
        <v>1.261682939211014</v>
      </c>
      <c r="CO82" s="691">
        <f t="shared" si="123"/>
        <v>1.3177822074634031</v>
      </c>
      <c r="CP82" s="691">
        <f t="shared" si="124"/>
        <v>1.3582362541093933</v>
      </c>
      <c r="CQ82" s="691">
        <f t="shared" si="125"/>
        <v>1.4421290170875449</v>
      </c>
    </row>
    <row r="83" spans="1:95" ht="14">
      <c r="A83" s="13" t="s">
        <v>73</v>
      </c>
      <c r="B83" s="319">
        <v>28022841</v>
      </c>
      <c r="C83" s="319">
        <v>30993858</v>
      </c>
      <c r="D83" s="319">
        <v>31366528</v>
      </c>
      <c r="E83" s="319">
        <v>32410804</v>
      </c>
      <c r="F83" s="319">
        <v>33544995</v>
      </c>
      <c r="G83" s="319">
        <v>34569031</v>
      </c>
      <c r="H83" s="319">
        <v>34807673</v>
      </c>
      <c r="I83" s="319">
        <v>35233863</v>
      </c>
      <c r="J83" s="319">
        <v>35633339.7818719</v>
      </c>
      <c r="K83" s="319">
        <v>36751850.503560826</v>
      </c>
      <c r="L83" s="319">
        <v>37313680.825323172</v>
      </c>
      <c r="M83" s="319">
        <v>38283554.674113676</v>
      </c>
      <c r="N83" s="319">
        <v>38282203.950314701</v>
      </c>
      <c r="O83" s="319">
        <v>38911089.961059488</v>
      </c>
      <c r="P83" s="319">
        <v>39630732</v>
      </c>
      <c r="Q83" s="319">
        <v>41068680</v>
      </c>
      <c r="R83" s="319">
        <v>41629992</v>
      </c>
      <c r="S83" s="319">
        <v>42983433</v>
      </c>
      <c r="T83" s="340">
        <v>43773491</v>
      </c>
      <c r="U83" s="340">
        <v>46923140</v>
      </c>
      <c r="V83" s="666">
        <v>48337084</v>
      </c>
      <c r="W83" s="667">
        <v>49818539</v>
      </c>
      <c r="X83" s="290"/>
      <c r="Y83" s="13" t="s">
        <v>73</v>
      </c>
      <c r="Z83" s="319">
        <f>B83/'Population &amp; Income'!B82</f>
        <v>6629.4868701206533</v>
      </c>
      <c r="AA83" s="319">
        <f>C83/'Population &amp; Income'!C82</f>
        <v>7334.0884997633693</v>
      </c>
      <c r="AB83" s="319">
        <f>D83/'Population &amp; Income'!D82</f>
        <v>7376.8880526810908</v>
      </c>
      <c r="AC83" s="319">
        <f>E83/'Population &amp; Income'!E82</f>
        <v>7757.4925801819054</v>
      </c>
      <c r="AD83" s="319">
        <f>F83/'Population &amp; Income'!F82</f>
        <v>8028.9600287218764</v>
      </c>
      <c r="AE83" s="319">
        <f>G83/'Population &amp; Income'!G82</f>
        <v>8262.1967017208408</v>
      </c>
      <c r="AF83" s="319">
        <f>H83/'Population &amp; Income'!H82</f>
        <v>8199.6873969375738</v>
      </c>
      <c r="AG83" s="319">
        <f>I83/'Population &amp; Income'!I82</f>
        <v>8263.1010787992491</v>
      </c>
      <c r="AH83" s="319">
        <f>J83/'Population &amp; Income'!J82</f>
        <v>8261.8455325462328</v>
      </c>
      <c r="AI83" s="319">
        <f>K83/'Population &amp; Income'!K82</f>
        <v>8586.8809587758933</v>
      </c>
      <c r="AJ83" s="319">
        <f>L83/'Population &amp; Income'!L82</f>
        <v>8744.7107629067668</v>
      </c>
      <c r="AK83" s="319">
        <f>M83/'Population &amp; Income'!M82</f>
        <v>8876.3168732004815</v>
      </c>
      <c r="AL83" s="319">
        <f>N83/'Population &amp; Income'!N82</f>
        <v>8734.2468515433957</v>
      </c>
      <c r="AM83" s="319">
        <f>O83/'Population &amp; Income'!O82</f>
        <v>8815.380598336993</v>
      </c>
      <c r="AN83" s="319">
        <f>P83/'Population &amp; Income'!P82</f>
        <v>8931.8755916159571</v>
      </c>
      <c r="AO83" s="319">
        <f>Q83/'Population &amp; Income'!Q82</f>
        <v>9374.2707144487558</v>
      </c>
      <c r="AP83" s="319">
        <f>R83/'Population &amp; Income'!R82</f>
        <v>9526.3139588100694</v>
      </c>
      <c r="AQ83" s="319">
        <f>S83/'Population &amp; Income'!S82</f>
        <v>9863.1099128040387</v>
      </c>
      <c r="AR83" s="319">
        <f>T83/'Population &amp; Income'!T82</f>
        <v>9953.0447930877672</v>
      </c>
      <c r="AS83" s="319">
        <f>U83/'Population &amp; Income'!U82</f>
        <v>10582.575552548489</v>
      </c>
      <c r="AT83" s="319">
        <f>V83/'Population &amp; Income'!V82</f>
        <v>11000.701866181156</v>
      </c>
      <c r="AU83" s="319">
        <f>W83/'Population &amp; Income'!W82</f>
        <v>11051.139973380657</v>
      </c>
      <c r="AV83" s="690"/>
      <c r="AW83" s="690"/>
      <c r="AX83" s="13" t="s">
        <v>73</v>
      </c>
      <c r="AY83" s="40">
        <f t="shared" si="84"/>
        <v>0.10602126315458164</v>
      </c>
      <c r="AZ83" s="40">
        <f t="shared" si="85"/>
        <v>1.2023995205759799E-2</v>
      </c>
      <c r="BA83" s="40">
        <f t="shared" si="86"/>
        <v>3.3292687032495279E-2</v>
      </c>
      <c r="BB83" s="40">
        <f t="shared" si="87"/>
        <v>3.499422599945376E-2</v>
      </c>
      <c r="BC83" s="40">
        <f t="shared" si="88"/>
        <v>3.0527236626507172E-2</v>
      </c>
      <c r="BD83" s="40">
        <f t="shared" si="89"/>
        <v>6.9033465242343646E-3</v>
      </c>
      <c r="BE83" s="40">
        <f t="shared" si="90"/>
        <v>1.2244139388461849E-2</v>
      </c>
      <c r="BF83" s="40">
        <f t="shared" si="91"/>
        <v>1.1337864992887666E-2</v>
      </c>
      <c r="BG83" s="40">
        <f t="shared" si="92"/>
        <v>3.1389443945918236E-2</v>
      </c>
      <c r="BH83" s="40">
        <f t="shared" si="93"/>
        <v>1.5287130146219737E-2</v>
      </c>
      <c r="BI83" s="40">
        <f t="shared" si="94"/>
        <v>2.5992446398702452E-2</v>
      </c>
      <c r="BJ83" s="40">
        <f t="shared" si="95"/>
        <v>-3.5282089410800512E-5</v>
      </c>
      <c r="BK83" s="40">
        <f t="shared" si="96"/>
        <v>1.6427633360947547E-2</v>
      </c>
      <c r="BL83" s="40">
        <f t="shared" si="97"/>
        <v>1.8494522761009723E-2</v>
      </c>
      <c r="BM83" s="40">
        <f t="shared" si="98"/>
        <v>3.6283659862754995E-2</v>
      </c>
      <c r="BN83" s="40">
        <f t="shared" si="99"/>
        <v>1.3667641618868685E-2</v>
      </c>
      <c r="BO83" s="40">
        <f t="shared" si="100"/>
        <v>3.2511200098236867E-2</v>
      </c>
      <c r="BP83" s="691">
        <f t="shared" si="101"/>
        <v>1.8380523491457745E-2</v>
      </c>
      <c r="BQ83" s="691">
        <f t="shared" si="102"/>
        <v>7.1953342720597724E-2</v>
      </c>
      <c r="BR83" s="691">
        <f t="shared" si="103"/>
        <v>3.0133192279971032E-2</v>
      </c>
      <c r="BS83" s="691">
        <f t="shared" si="104"/>
        <v>3.0648414786460847E-2</v>
      </c>
      <c r="BT83" s="40"/>
      <c r="BU83" s="3"/>
      <c r="BV83" s="13" t="s">
        <v>73</v>
      </c>
      <c r="BW83" s="40">
        <f t="shared" si="105"/>
        <v>0.10602126315458164</v>
      </c>
      <c r="BX83" s="40">
        <f t="shared" si="106"/>
        <v>0.11932005752022073</v>
      </c>
      <c r="BY83" s="40">
        <f t="shared" si="107"/>
        <v>0.15658522988443604</v>
      </c>
      <c r="BZ83" s="40">
        <f t="shared" si="108"/>
        <v>0.19705903480664219</v>
      </c>
      <c r="CA83" s="40">
        <f t="shared" si="109"/>
        <v>0.23360193921808284</v>
      </c>
      <c r="CB83" s="40">
        <f t="shared" si="110"/>
        <v>0.24211792087747278</v>
      </c>
      <c r="CC83" s="40">
        <f t="shared" si="111"/>
        <v>0.25732658583760298</v>
      </c>
      <c r="CD83" s="40">
        <f t="shared" si="112"/>
        <v>0.27158198491979813</v>
      </c>
      <c r="CE83" s="40">
        <f t="shared" si="113"/>
        <v>0.31149623635807755</v>
      </c>
      <c r="CF83" s="40">
        <f t="shared" si="114"/>
        <v>0.33154525000956087</v>
      </c>
      <c r="CG83" s="40">
        <f t="shared" si="115"/>
        <v>0.36615536854788122</v>
      </c>
      <c r="CH83" s="40">
        <f t="shared" si="116"/>
        <v>0.36610716773201907</v>
      </c>
      <c r="CI83" s="40">
        <f t="shared" si="117"/>
        <v>0.38854907541528316</v>
      </c>
      <c r="CJ83" s="40">
        <f t="shared" si="118"/>
        <v>0.41422962789533008</v>
      </c>
      <c r="CK83" s="40">
        <f t="shared" si="119"/>
        <v>0.46554305468171481</v>
      </c>
      <c r="CL83" s="113">
        <f t="shared" si="120"/>
        <v>0.48557357193012657</v>
      </c>
      <c r="CM83" s="113">
        <f t="shared" si="121"/>
        <v>0.53387135158779941</v>
      </c>
      <c r="CN83" s="691">
        <f t="shared" si="122"/>
        <v>0.56206470999853297</v>
      </c>
      <c r="CO83" s="691">
        <f t="shared" si="123"/>
        <v>0.67446048742880849</v>
      </c>
      <c r="CP83" s="691">
        <f t="shared" si="124"/>
        <v>0.72491732726171487</v>
      </c>
      <c r="CQ83" s="691">
        <f t="shared" si="125"/>
        <v>0.77778330897998527</v>
      </c>
    </row>
    <row r="84" spans="1:95" ht="14">
      <c r="A84" s="13" t="s">
        <v>74</v>
      </c>
      <c r="B84" s="319">
        <v>37373158</v>
      </c>
      <c r="C84" s="319">
        <v>40304757</v>
      </c>
      <c r="D84" s="319">
        <v>41665077</v>
      </c>
      <c r="E84" s="319">
        <v>42911423</v>
      </c>
      <c r="F84" s="319">
        <v>44555299</v>
      </c>
      <c r="G84" s="319">
        <v>45431193</v>
      </c>
      <c r="H84" s="319">
        <v>46124447</v>
      </c>
      <c r="I84" s="319">
        <v>46306730</v>
      </c>
      <c r="J84" s="319">
        <v>47146759.908477888</v>
      </c>
      <c r="K84" s="319">
        <v>48857319.676334217</v>
      </c>
      <c r="L84" s="319">
        <v>50599980.994651951</v>
      </c>
      <c r="M84" s="319">
        <v>52988346.480757162</v>
      </c>
      <c r="N84" s="319">
        <v>54009539.271020487</v>
      </c>
      <c r="O84" s="319">
        <v>57038681.51096607</v>
      </c>
      <c r="P84" s="319">
        <v>58992006</v>
      </c>
      <c r="Q84" s="319">
        <v>61146781</v>
      </c>
      <c r="R84" s="319">
        <v>63694136</v>
      </c>
      <c r="S84" s="319">
        <v>65674855</v>
      </c>
      <c r="T84" s="340">
        <v>67966614</v>
      </c>
      <c r="U84" s="340">
        <v>72564267</v>
      </c>
      <c r="V84" s="666">
        <v>74129576</v>
      </c>
      <c r="W84" s="667">
        <v>77367128</v>
      </c>
      <c r="X84" s="290"/>
      <c r="Y84" s="13" t="s">
        <v>74</v>
      </c>
      <c r="Z84" s="319">
        <f>B84/'Population &amp; Income'!B83</f>
        <v>7667.8617152236357</v>
      </c>
      <c r="AA84" s="319">
        <f>C84/'Population &amp; Income'!C83</f>
        <v>8203.695705271728</v>
      </c>
      <c r="AB84" s="319">
        <f>D84/'Population &amp; Income'!D83</f>
        <v>8541.4261992619922</v>
      </c>
      <c r="AC84" s="319">
        <f>E84/'Population &amp; Income'!E83</f>
        <v>8627.1457579412945</v>
      </c>
      <c r="AD84" s="319">
        <f>F84/'Population &amp; Income'!F83</f>
        <v>8954.0391881028936</v>
      </c>
      <c r="AE84" s="319">
        <f>G84/'Population &amp; Income'!G83</f>
        <v>9166.9073849878932</v>
      </c>
      <c r="AF84" s="319">
        <f>H84/'Population &amp; Income'!H83</f>
        <v>9457.5450071765426</v>
      </c>
      <c r="AG84" s="319">
        <f>I84/'Population &amp; Income'!I83</f>
        <v>9491.0288993646245</v>
      </c>
      <c r="AH84" s="319">
        <f>J84/'Population &amp; Income'!J83</f>
        <v>9745.0929947246568</v>
      </c>
      <c r="AI84" s="319">
        <f>K84/'Population &amp; Income'!K83</f>
        <v>10193.473748452789</v>
      </c>
      <c r="AJ84" s="319">
        <f>L84/'Population &amp; Income'!L83</f>
        <v>10491.391456490141</v>
      </c>
      <c r="AK84" s="319">
        <f>M84/'Population &amp; Income'!M83</f>
        <v>10970.672149225085</v>
      </c>
      <c r="AL84" s="319">
        <f>N84/'Population &amp; Income'!N83</f>
        <v>11209.950035496158</v>
      </c>
      <c r="AM84" s="319">
        <f>O84/'Population &amp; Income'!O83</f>
        <v>11779.983789955817</v>
      </c>
      <c r="AN84" s="319">
        <f>P84/'Population &amp; Income'!P83</f>
        <v>12206.084419615147</v>
      </c>
      <c r="AO84" s="319">
        <f>Q84/'Population &amp; Income'!Q83</f>
        <v>12625.806524881273</v>
      </c>
      <c r="AP84" s="319">
        <f>R84/'Population &amp; Income'!R83</f>
        <v>13060.10580274759</v>
      </c>
      <c r="AQ84" s="319">
        <f>S84/'Population &amp; Income'!S83</f>
        <v>13345.835196098355</v>
      </c>
      <c r="AR84" s="319">
        <f>T84/'Population &amp; Income'!T83</f>
        <v>13970.527029804727</v>
      </c>
      <c r="AS84" s="319">
        <f>U84/'Population &amp; Income'!U83</f>
        <v>14933.991973657132</v>
      </c>
      <c r="AT84" s="319">
        <f>V84/'Population &amp; Income'!V83</f>
        <v>15030.327656123276</v>
      </c>
      <c r="AU84" s="319">
        <f>W84/'Population &amp; Income'!W83</f>
        <v>15588.782591174693</v>
      </c>
      <c r="AV84" s="690"/>
      <c r="AW84" s="690"/>
      <c r="AX84" s="13" t="s">
        <v>74</v>
      </c>
      <c r="AY84" s="40">
        <f t="shared" si="84"/>
        <v>7.8441297361063256E-2</v>
      </c>
      <c r="AZ84" s="40">
        <f t="shared" si="85"/>
        <v>3.3750854768830392E-2</v>
      </c>
      <c r="BA84" s="40">
        <f t="shared" si="86"/>
        <v>2.9913445257763474E-2</v>
      </c>
      <c r="BB84" s="40">
        <f t="shared" si="87"/>
        <v>3.830858743603073E-2</v>
      </c>
      <c r="BC84" s="40">
        <f t="shared" si="88"/>
        <v>1.9658582024104473E-2</v>
      </c>
      <c r="BD84" s="40">
        <f t="shared" si="89"/>
        <v>1.5259427591963082E-2</v>
      </c>
      <c r="BE84" s="40">
        <f t="shared" si="90"/>
        <v>3.9519823402977602E-3</v>
      </c>
      <c r="BF84" s="40">
        <f t="shared" si="91"/>
        <v>1.81405577219097E-2</v>
      </c>
      <c r="BG84" s="40">
        <f t="shared" si="92"/>
        <v>3.6281597530284121E-2</v>
      </c>
      <c r="BH84" s="40">
        <f t="shared" si="93"/>
        <v>3.5668377427627365E-2</v>
      </c>
      <c r="BI84" s="40">
        <f t="shared" si="94"/>
        <v>4.7200916663538747E-2</v>
      </c>
      <c r="BJ84" s="40">
        <f t="shared" si="95"/>
        <v>1.9272025984697853E-2</v>
      </c>
      <c r="BK84" s="40">
        <f t="shared" si="96"/>
        <v>5.6085319016429908E-2</v>
      </c>
      <c r="BL84" s="40">
        <f t="shared" si="97"/>
        <v>3.4245610825670826E-2</v>
      </c>
      <c r="BM84" s="40">
        <f t="shared" si="98"/>
        <v>3.6526559208717196E-2</v>
      </c>
      <c r="BN84" s="40">
        <f t="shared" si="99"/>
        <v>4.165967461148936E-2</v>
      </c>
      <c r="BO84" s="40">
        <f t="shared" si="100"/>
        <v>3.1097352509813464E-2</v>
      </c>
      <c r="BP84" s="691">
        <f t="shared" si="101"/>
        <v>3.4895531935319843E-2</v>
      </c>
      <c r="BQ84" s="691">
        <f t="shared" si="102"/>
        <v>6.764575619435742E-2</v>
      </c>
      <c r="BR84" s="691">
        <f t="shared" si="103"/>
        <v>2.1571347230724455E-2</v>
      </c>
      <c r="BS84" s="691">
        <f t="shared" si="104"/>
        <v>4.3674227949179148E-2</v>
      </c>
      <c r="BT84" s="40"/>
      <c r="BU84" s="3"/>
      <c r="BV84" s="13" t="s">
        <v>74</v>
      </c>
      <c r="BW84" s="40">
        <f t="shared" si="105"/>
        <v>7.8441297361063256E-2</v>
      </c>
      <c r="BX84" s="40">
        <f t="shared" si="106"/>
        <v>0.11483961296500553</v>
      </c>
      <c r="BY84" s="40">
        <f t="shared" si="107"/>
        <v>0.14818830669862043</v>
      </c>
      <c r="BZ84" s="40">
        <f t="shared" si="108"/>
        <v>0.19217377883881259</v>
      </c>
      <c r="CA84" s="40">
        <f t="shared" si="109"/>
        <v>0.21561022485710199</v>
      </c>
      <c r="CB84" s="40">
        <f t="shared" si="110"/>
        <v>0.23415974106335891</v>
      </c>
      <c r="CC84" s="40">
        <f t="shared" si="111"/>
        <v>0.23903711856514775</v>
      </c>
      <c r="CD84" s="40">
        <f t="shared" si="112"/>
        <v>0.26151394293406749</v>
      </c>
      <c r="CE84" s="40">
        <f t="shared" si="113"/>
        <v>0.3072836840904431</v>
      </c>
      <c r="CF84" s="40">
        <f t="shared" si="114"/>
        <v>0.35391237193956021</v>
      </c>
      <c r="CG84" s="40">
        <f t="shared" si="115"/>
        <v>0.41781827697721347</v>
      </c>
      <c r="CH84" s="40">
        <f t="shared" si="116"/>
        <v>0.44514250765269786</v>
      </c>
      <c r="CI84" s="40">
        <f t="shared" si="117"/>
        <v>0.52619378621860291</v>
      </c>
      <c r="CJ84" s="40">
        <f t="shared" si="118"/>
        <v>0.5784592246660023</v>
      </c>
      <c r="CK84" s="40">
        <f t="shared" si="119"/>
        <v>0.63611490899431089</v>
      </c>
      <c r="CL84" s="113">
        <f t="shared" si="120"/>
        <v>0.70427492373002032</v>
      </c>
      <c r="CM84" s="113">
        <f t="shared" si="121"/>
        <v>0.7572733618068882</v>
      </c>
      <c r="CN84" s="691">
        <f t="shared" si="122"/>
        <v>0.81859435052290741</v>
      </c>
      <c r="CO84" s="691">
        <f t="shared" si="123"/>
        <v>0.94161454057481575</v>
      </c>
      <c r="CP84" s="691">
        <f t="shared" si="124"/>
        <v>0.9834977820177786</v>
      </c>
      <c r="CQ84" s="691">
        <f t="shared" si="125"/>
        <v>1.0701255162863144</v>
      </c>
    </row>
    <row r="85" spans="1:95" ht="14">
      <c r="A85" s="13" t="s">
        <v>75</v>
      </c>
      <c r="B85" s="319">
        <v>270685734</v>
      </c>
      <c r="C85" s="319">
        <v>288428780</v>
      </c>
      <c r="D85" s="319">
        <v>302215753</v>
      </c>
      <c r="E85" s="319">
        <v>321997176</v>
      </c>
      <c r="F85" s="319">
        <v>326312457</v>
      </c>
      <c r="G85" s="319">
        <v>346404042</v>
      </c>
      <c r="H85" s="319">
        <v>344904970</v>
      </c>
      <c r="I85" s="319">
        <v>349004740</v>
      </c>
      <c r="J85" s="319">
        <v>356449039.03067619</v>
      </c>
      <c r="K85" s="319">
        <v>373248740.46848077</v>
      </c>
      <c r="L85" s="319">
        <v>381002849.71366262</v>
      </c>
      <c r="M85" s="319">
        <v>396506151.48238057</v>
      </c>
      <c r="N85" s="319">
        <v>409643510.04802579</v>
      </c>
      <c r="O85" s="319">
        <v>396037577.8101992</v>
      </c>
      <c r="P85" s="319">
        <v>408863321</v>
      </c>
      <c r="Q85" s="319">
        <v>416837547</v>
      </c>
      <c r="R85" s="319">
        <v>427882374</v>
      </c>
      <c r="S85" s="319">
        <v>438479422</v>
      </c>
      <c r="T85" s="340">
        <v>450954047</v>
      </c>
      <c r="U85" s="340">
        <v>468875057</v>
      </c>
      <c r="V85" s="666">
        <v>469222119</v>
      </c>
      <c r="W85" s="667">
        <v>476413682</v>
      </c>
      <c r="X85" s="290"/>
      <c r="Y85" s="13" t="s">
        <v>75</v>
      </c>
      <c r="Z85" s="319">
        <f>B85/'Population &amp; Income'!B84</f>
        <v>6748.752998080231</v>
      </c>
      <c r="AA85" s="319">
        <f>C85/'Population &amp; Income'!C84</f>
        <v>7161.3064852517628</v>
      </c>
      <c r="AB85" s="319">
        <f>D85/'Population &amp; Income'!D84</f>
        <v>7517.0568351407819</v>
      </c>
      <c r="AC85" s="319">
        <f>E85/'Population &amp; Income'!E84</f>
        <v>7957.620996441281</v>
      </c>
      <c r="AD85" s="319">
        <f>F85/'Population &amp; Income'!F84</f>
        <v>8082.8430556587646</v>
      </c>
      <c r="AE85" s="319">
        <f>G85/'Population &amp; Income'!G84</f>
        <v>8615.7300402924939</v>
      </c>
      <c r="AF85" s="319">
        <f>H85/'Population &amp; Income'!H84</f>
        <v>8647.4857715933304</v>
      </c>
      <c r="AG85" s="319">
        <f>I85/'Population &amp; Income'!I84</f>
        <v>8757.9608531994982</v>
      </c>
      <c r="AH85" s="319">
        <f>J85/'Population &amp; Income'!J84</f>
        <v>8977.660664685578</v>
      </c>
      <c r="AI85" s="319">
        <f>K85/'Population &amp; Income'!K84</f>
        <v>9397.2340811319718</v>
      </c>
      <c r="AJ85" s="319">
        <f>L85/'Population &amp; Income'!L84</f>
        <v>9614.9712237839449</v>
      </c>
      <c r="AK85" s="319">
        <f>M85/'Population &amp; Income'!M84</f>
        <v>10035.843769328016</v>
      </c>
      <c r="AL85" s="319">
        <f>N85/'Population &amp; Income'!N84</f>
        <v>10425.355917034225</v>
      </c>
      <c r="AM85" s="319">
        <f>O85/'Population &amp; Income'!O84</f>
        <v>10106.866857476054</v>
      </c>
      <c r="AN85" s="319">
        <f>P85/'Population &amp; Income'!P84</f>
        <v>10422.741944529418</v>
      </c>
      <c r="AO85" s="319">
        <f>Q85/'Population &amp; Income'!Q84</f>
        <v>10656.7185734373</v>
      </c>
      <c r="AP85" s="319">
        <f>R85/'Population &amp; Income'!R84</f>
        <v>10932.378803750735</v>
      </c>
      <c r="AQ85" s="319">
        <f>S85/'Population &amp; Income'!S84</f>
        <v>11160.076915245609</v>
      </c>
      <c r="AR85" s="319">
        <f>T85/'Population &amp; Income'!T84</f>
        <v>11599.208987087814</v>
      </c>
      <c r="AS85" s="319">
        <f>U85/'Population &amp; Income'!U84</f>
        <v>12021.204414931803</v>
      </c>
      <c r="AT85" s="319">
        <f>V85/'Population &amp; Income'!V84</f>
        <v>12110.520557491289</v>
      </c>
      <c r="AU85" s="319">
        <f>W85/'Population &amp; Income'!W84</f>
        <v>12361.217456734386</v>
      </c>
      <c r="AV85" s="690"/>
      <c r="AW85" s="690"/>
      <c r="AX85" s="13" t="s">
        <v>75</v>
      </c>
      <c r="AY85" s="40">
        <f t="shared" si="84"/>
        <v>6.5548507997839289E-2</v>
      </c>
      <c r="AZ85" s="40">
        <f t="shared" si="85"/>
        <v>4.7800268059241521E-2</v>
      </c>
      <c r="BA85" s="40">
        <f t="shared" si="86"/>
        <v>6.5454638957883837E-2</v>
      </c>
      <c r="BB85" s="40">
        <f t="shared" si="87"/>
        <v>1.3401611323448376E-2</v>
      </c>
      <c r="BC85" s="40">
        <f t="shared" si="88"/>
        <v>6.1571615085476185E-2</v>
      </c>
      <c r="BD85" s="40">
        <f t="shared" si="89"/>
        <v>-4.3275245616215992E-3</v>
      </c>
      <c r="BE85" s="40">
        <f t="shared" si="90"/>
        <v>1.1886665477740144E-2</v>
      </c>
      <c r="BF85" s="40">
        <f t="shared" si="91"/>
        <v>2.1330080017469638E-2</v>
      </c>
      <c r="BG85" s="40">
        <f t="shared" si="92"/>
        <v>4.7130724446584324E-2</v>
      </c>
      <c r="BH85" s="40">
        <f t="shared" si="93"/>
        <v>2.0774642763561207E-2</v>
      </c>
      <c r="BI85" s="40">
        <f t="shared" si="94"/>
        <v>4.0690776408547166E-2</v>
      </c>
      <c r="BJ85" s="40">
        <f t="shared" si="95"/>
        <v>3.3132798864607273E-2</v>
      </c>
      <c r="BK85" s="40">
        <f t="shared" si="96"/>
        <v>-3.3214079813522382E-2</v>
      </c>
      <c r="BL85" s="40">
        <f t="shared" si="97"/>
        <v>3.2385167237709775E-2</v>
      </c>
      <c r="BM85" s="40">
        <f t="shared" si="98"/>
        <v>1.9503402703124843E-2</v>
      </c>
      <c r="BN85" s="40">
        <f t="shared" si="99"/>
        <v>2.6496718156725933E-2</v>
      </c>
      <c r="BO85" s="40">
        <f t="shared" si="100"/>
        <v>2.4766264384613327E-2</v>
      </c>
      <c r="BP85" s="691">
        <f t="shared" si="101"/>
        <v>2.8449738742813795E-2</v>
      </c>
      <c r="BQ85" s="691">
        <f t="shared" si="102"/>
        <v>3.9740213263902695E-2</v>
      </c>
      <c r="BR85" s="691">
        <f t="shared" si="103"/>
        <v>7.4020145626983096E-4</v>
      </c>
      <c r="BS85" s="691">
        <f t="shared" si="104"/>
        <v>1.5326564347236154E-2</v>
      </c>
      <c r="BT85" s="40"/>
      <c r="BU85" s="3"/>
      <c r="BV85" s="13" t="s">
        <v>75</v>
      </c>
      <c r="BW85" s="40">
        <f t="shared" si="105"/>
        <v>6.5548507997839289E-2</v>
      </c>
      <c r="BX85" s="40">
        <f t="shared" si="106"/>
        <v>0.11648201231026087</v>
      </c>
      <c r="BY85" s="40">
        <f t="shared" si="107"/>
        <v>0.18956093932900062</v>
      </c>
      <c r="BZ85" s="40">
        <f t="shared" si="108"/>
        <v>0.20550297268344403</v>
      </c>
      <c r="CA85" s="40">
        <f t="shared" si="109"/>
        <v>0.2797277377019064</v>
      </c>
      <c r="CB85" s="40">
        <f t="shared" si="110"/>
        <v>0.27418968448481296</v>
      </c>
      <c r="CC85" s="40">
        <f t="shared" si="111"/>
        <v>0.28933555101947117</v>
      </c>
      <c r="CD85" s="40">
        <f t="shared" si="112"/>
        <v>0.31683718149208479</v>
      </c>
      <c r="CE85" s="40">
        <f t="shared" si="113"/>
        <v>0.378900671834005</v>
      </c>
      <c r="CF85" s="40">
        <f t="shared" si="114"/>
        <v>0.40754684069779096</v>
      </c>
      <c r="CG85" s="40">
        <f t="shared" si="115"/>
        <v>0.46482101447718177</v>
      </c>
      <c r="CH85" s="40">
        <f t="shared" si="116"/>
        <v>0.51335463452250418</v>
      </c>
      <c r="CI85" s="40">
        <f t="shared" si="117"/>
        <v>0.46308995290530974</v>
      </c>
      <c r="CJ85" s="40">
        <f t="shared" si="118"/>
        <v>0.51047236571396115</v>
      </c>
      <c r="CK85" s="40">
        <f t="shared" si="119"/>
        <v>0.53993171653442218</v>
      </c>
      <c r="CL85" s="113">
        <f t="shared" si="120"/>
        <v>0.58073485320803797</v>
      </c>
      <c r="CM85" s="113">
        <f t="shared" si="121"/>
        <v>0.61988375050456113</v>
      </c>
      <c r="CN85" s="691">
        <f t="shared" si="122"/>
        <v>0.66596902000014524</v>
      </c>
      <c r="CO85" s="691">
        <f t="shared" si="123"/>
        <v>0.73217498414600601</v>
      </c>
      <c r="CP85" s="691">
        <f t="shared" si="124"/>
        <v>0.73345714259178507</v>
      </c>
      <c r="CQ85" s="691">
        <f t="shared" si="125"/>
        <v>0.76002508503089417</v>
      </c>
    </row>
    <row r="86" spans="1:95" ht="14">
      <c r="A86" s="13" t="s">
        <v>76</v>
      </c>
      <c r="B86" s="319">
        <v>41299857</v>
      </c>
      <c r="C86" s="319">
        <v>47130969</v>
      </c>
      <c r="D86" s="319">
        <v>47527168</v>
      </c>
      <c r="E86" s="319">
        <v>51486408</v>
      </c>
      <c r="F86" s="319">
        <v>51944035</v>
      </c>
      <c r="G86" s="319">
        <v>55253599</v>
      </c>
      <c r="H86" s="319">
        <v>56176779</v>
      </c>
      <c r="I86" s="319">
        <v>56979810</v>
      </c>
      <c r="J86" s="319">
        <v>58303625.205944374</v>
      </c>
      <c r="K86" s="319">
        <v>60259658.547934487</v>
      </c>
      <c r="L86" s="319">
        <v>61936173.426712632</v>
      </c>
      <c r="M86" s="319">
        <v>64368565.268407486</v>
      </c>
      <c r="N86" s="319">
        <v>65113882.289158747</v>
      </c>
      <c r="O86" s="319">
        <v>66096617.330402501</v>
      </c>
      <c r="P86" s="319">
        <v>66382123</v>
      </c>
      <c r="Q86" s="319">
        <v>67558299</v>
      </c>
      <c r="R86" s="319">
        <v>66338268</v>
      </c>
      <c r="S86" s="319">
        <v>70418611</v>
      </c>
      <c r="T86" s="340">
        <v>72311770</v>
      </c>
      <c r="U86" s="340">
        <v>74564402</v>
      </c>
      <c r="V86" s="666">
        <v>76295240</v>
      </c>
      <c r="W86" s="667">
        <v>78088479</v>
      </c>
      <c r="X86" s="290"/>
      <c r="Y86" s="13" t="s">
        <v>76</v>
      </c>
      <c r="Z86" s="319">
        <f>B86/'Population &amp; Income'!B85</f>
        <v>5135.520641631435</v>
      </c>
      <c r="AA86" s="319">
        <f>C86/'Population &amp; Income'!C85</f>
        <v>5741.3776343038126</v>
      </c>
      <c r="AB86" s="319">
        <f>D86/'Population &amp; Income'!D85</f>
        <v>5685.0679425837325</v>
      </c>
      <c r="AC86" s="319">
        <f>E86/'Population &amp; Income'!E85</f>
        <v>6177.1335332933413</v>
      </c>
      <c r="AD86" s="319">
        <f>F86/'Population &amp; Income'!F85</f>
        <v>6235.0300084023529</v>
      </c>
      <c r="AE86" s="319">
        <f>G86/'Population &amp; Income'!G85</f>
        <v>6654.6548235577502</v>
      </c>
      <c r="AF86" s="319">
        <f>H86/'Population &amp; Income'!H85</f>
        <v>6790.3758007977758</v>
      </c>
      <c r="AG86" s="319">
        <f>I86/'Population &amp; Income'!I85</f>
        <v>6937.7584317545352</v>
      </c>
      <c r="AH86" s="319">
        <f>J86/'Population &amp; Income'!J85</f>
        <v>7063.6812704076056</v>
      </c>
      <c r="AI86" s="319">
        <f>K86/'Population &amp; Income'!K85</f>
        <v>7260.1998250523475</v>
      </c>
      <c r="AJ86" s="319">
        <f>L86/'Population &amp; Income'!L85</f>
        <v>7450.5200802012068</v>
      </c>
      <c r="AK86" s="319">
        <f>M86/'Population &amp; Income'!M85</f>
        <v>7661.1003651996534</v>
      </c>
      <c r="AL86" s="319">
        <f>N86/'Population &amp; Income'!N85</f>
        <v>7733.2401768597083</v>
      </c>
      <c r="AM86" s="319">
        <f>O86/'Population &amp; Income'!O85</f>
        <v>7825.7894068674523</v>
      </c>
      <c r="AN86" s="319">
        <f>P86/'Population &amp; Income'!P85</f>
        <v>7867.977124570345</v>
      </c>
      <c r="AO86" s="319">
        <f>Q86/'Population &amp; Income'!Q85</f>
        <v>8028.318360071301</v>
      </c>
      <c r="AP86" s="319">
        <f>R86/'Population &amp; Income'!R85</f>
        <v>7975.2666506371725</v>
      </c>
      <c r="AQ86" s="319">
        <f>S86/'Population &amp; Income'!S85</f>
        <v>8487.2376762685308</v>
      </c>
      <c r="AR86" s="319">
        <f>T86/'Population &amp; Income'!T85</f>
        <v>8726.9816558049715</v>
      </c>
      <c r="AS86" s="319">
        <f>U86/'Population &amp; Income'!U85</f>
        <v>9056.7717721365243</v>
      </c>
      <c r="AT86" s="319">
        <f>V86/'Population &amp; Income'!V85</f>
        <v>9340.7492654260532</v>
      </c>
      <c r="AU86" s="319">
        <f>W86/'Population &amp; Income'!W85</f>
        <v>9466.4176263789559</v>
      </c>
      <c r="AV86" s="690"/>
      <c r="AW86" s="690"/>
      <c r="AX86" s="13" t="s">
        <v>76</v>
      </c>
      <c r="AY86" s="40">
        <f t="shared" si="84"/>
        <v>0.14118964140723295</v>
      </c>
      <c r="AZ86" s="40">
        <f t="shared" si="85"/>
        <v>8.4063410620732193E-3</v>
      </c>
      <c r="BA86" s="40">
        <f t="shared" si="86"/>
        <v>8.3304774229341835E-2</v>
      </c>
      <c r="BB86" s="40">
        <f t="shared" si="87"/>
        <v>8.8883069877393663E-3</v>
      </c>
      <c r="BC86" s="40">
        <f t="shared" si="88"/>
        <v>6.3714033767303599E-2</v>
      </c>
      <c r="BD86" s="40">
        <f t="shared" si="89"/>
        <v>1.6708051904456032E-2</v>
      </c>
      <c r="BE86" s="40">
        <f t="shared" si="90"/>
        <v>1.4294714191427743E-2</v>
      </c>
      <c r="BF86" s="40">
        <f t="shared" si="91"/>
        <v>2.3233057568011795E-2</v>
      </c>
      <c r="BG86" s="40">
        <f t="shared" si="92"/>
        <v>3.3549086100235923E-2</v>
      </c>
      <c r="BH86" s="40">
        <f t="shared" si="93"/>
        <v>2.7821513084820001E-2</v>
      </c>
      <c r="BI86" s="40">
        <f t="shared" si="94"/>
        <v>3.9272556038242118E-2</v>
      </c>
      <c r="BJ86" s="40">
        <f t="shared" si="95"/>
        <v>1.1578897519983511E-2</v>
      </c>
      <c r="BK86" s="40">
        <f t="shared" si="96"/>
        <v>1.5092557941478735E-2</v>
      </c>
      <c r="BL86" s="40">
        <f t="shared" si="97"/>
        <v>4.3195201377752637E-3</v>
      </c>
      <c r="BM86" s="40">
        <f t="shared" si="98"/>
        <v>1.7718264298356351E-2</v>
      </c>
      <c r="BN86" s="40">
        <f t="shared" si="99"/>
        <v>-1.8058936030938257E-2</v>
      </c>
      <c r="BO86" s="40">
        <f t="shared" si="100"/>
        <v>6.1508132832168605E-2</v>
      </c>
      <c r="BP86" s="691">
        <f t="shared" si="101"/>
        <v>2.6884355898471216E-2</v>
      </c>
      <c r="BQ86" s="691">
        <f t="shared" si="102"/>
        <v>3.115166452155714E-2</v>
      </c>
      <c r="BR86" s="691">
        <f t="shared" si="103"/>
        <v>2.3212658501572909E-2</v>
      </c>
      <c r="BS86" s="691">
        <f t="shared" si="104"/>
        <v>2.3503943365274164E-2</v>
      </c>
      <c r="BT86" s="40"/>
      <c r="BU86" s="3"/>
      <c r="BV86" s="13" t="s">
        <v>76</v>
      </c>
      <c r="BW86" s="40">
        <f t="shared" si="105"/>
        <v>0.14118964140723295</v>
      </c>
      <c r="BX86" s="40">
        <f t="shared" si="106"/>
        <v>0.15078287074940719</v>
      </c>
      <c r="BY86" s="40">
        <f t="shared" si="107"/>
        <v>0.24664857798418044</v>
      </c>
      <c r="BZ86" s="40">
        <f t="shared" si="108"/>
        <v>0.25772917325113254</v>
      </c>
      <c r="CA86" s="40">
        <f t="shared" si="109"/>
        <v>0.33786417226577808</v>
      </c>
      <c r="CB86" s="40">
        <f t="shared" si="110"/>
        <v>0.36021727629710681</v>
      </c>
      <c r="CC86" s="40">
        <f t="shared" si="111"/>
        <v>0.37966119350001626</v>
      </c>
      <c r="CD86" s="40">
        <f t="shared" si="112"/>
        <v>0.41171494143295395</v>
      </c>
      <c r="CE86" s="40">
        <f t="shared" si="113"/>
        <v>0.45907668755207764</v>
      </c>
      <c r="CF86" s="40">
        <f t="shared" si="114"/>
        <v>0.4996704087065636</v>
      </c>
      <c r="CG86" s="40">
        <f t="shared" si="115"/>
        <v>0.55856629887138565</v>
      </c>
      <c r="CH86" s="40">
        <f t="shared" si="116"/>
        <v>0.57661277832411739</v>
      </c>
      <c r="CI86" s="40">
        <f t="shared" si="117"/>
        <v>0.60040789803224992</v>
      </c>
      <c r="CJ86" s="40">
        <f t="shared" si="118"/>
        <v>0.6073208921764548</v>
      </c>
      <c r="CK86" s="40">
        <f t="shared" si="119"/>
        <v>0.63579982855630712</v>
      </c>
      <c r="CL86" s="113">
        <f t="shared" si="120"/>
        <v>0.60625902409298904</v>
      </c>
      <c r="CM86" s="113">
        <f t="shared" si="121"/>
        <v>0.70505701750977012</v>
      </c>
      <c r="CN86" s="691">
        <f t="shared" si="122"/>
        <v>0.75089637719568858</v>
      </c>
      <c r="CO86" s="691">
        <f t="shared" si="123"/>
        <v>0.80543971375009848</v>
      </c>
      <c r="CP86" s="691">
        <f t="shared" si="124"/>
        <v>0.84734876927055702</v>
      </c>
      <c r="CQ86" s="691">
        <f t="shared" si="125"/>
        <v>0.89076875011940115</v>
      </c>
    </row>
    <row r="87" spans="1:95" ht="14">
      <c r="A87" s="13" t="s">
        <v>77</v>
      </c>
      <c r="B87" s="319">
        <v>62395150</v>
      </c>
      <c r="C87" s="319">
        <v>66932226</v>
      </c>
      <c r="D87" s="319">
        <v>66435729</v>
      </c>
      <c r="E87" s="319">
        <v>67395700</v>
      </c>
      <c r="F87" s="319">
        <v>70265368</v>
      </c>
      <c r="G87" s="319">
        <v>73157900</v>
      </c>
      <c r="H87" s="319">
        <v>74156034</v>
      </c>
      <c r="I87" s="319">
        <v>75459513</v>
      </c>
      <c r="J87" s="319">
        <v>75151358.386321977</v>
      </c>
      <c r="K87" s="319">
        <v>78287284.540533841</v>
      </c>
      <c r="L87" s="319">
        <v>81164582.145327672</v>
      </c>
      <c r="M87" s="319">
        <v>85848300.838798016</v>
      </c>
      <c r="N87" s="319">
        <v>88999413.661229983</v>
      </c>
      <c r="O87" s="319">
        <v>92493872.178878918</v>
      </c>
      <c r="P87" s="319">
        <v>92308034</v>
      </c>
      <c r="Q87" s="319">
        <v>93098494</v>
      </c>
      <c r="R87" s="319">
        <v>97310252</v>
      </c>
      <c r="S87" s="319">
        <v>100062799</v>
      </c>
      <c r="T87" s="340">
        <v>123741887</v>
      </c>
      <c r="U87" s="340">
        <v>125743970</v>
      </c>
      <c r="V87" s="666">
        <v>127868842</v>
      </c>
      <c r="W87" s="667">
        <v>129169301</v>
      </c>
      <c r="X87" s="290"/>
      <c r="Y87" s="13" t="s">
        <v>77</v>
      </c>
      <c r="Z87" s="319">
        <f>B87/'Population &amp; Income'!B86</f>
        <v>8982.8894327670605</v>
      </c>
      <c r="AA87" s="319">
        <f>C87/'Population &amp; Income'!C86</f>
        <v>9722.8683904706559</v>
      </c>
      <c r="AB87" s="319">
        <f>D87/'Population &amp; Income'!D86</f>
        <v>9677.4550619082293</v>
      </c>
      <c r="AC87" s="319">
        <f>E87/'Population &amp; Income'!E86</f>
        <v>9893.6729301233117</v>
      </c>
      <c r="AD87" s="319">
        <f>F87/'Population &amp; Income'!F86</f>
        <v>10348.360530191458</v>
      </c>
      <c r="AE87" s="319">
        <f>G87/'Population &amp; Income'!G86</f>
        <v>10779.12185059673</v>
      </c>
      <c r="AF87" s="319">
        <f>H87/'Population &amp; Income'!H86</f>
        <v>11028.559488399762</v>
      </c>
      <c r="AG87" s="319">
        <f>I87/'Population &amp; Income'!I86</f>
        <v>11314.966711650923</v>
      </c>
      <c r="AH87" s="319">
        <f>J87/'Population &amp; Income'!J86</f>
        <v>11282.293707599756</v>
      </c>
      <c r="AI87" s="319">
        <f>K87/'Population &amp; Income'!K86</f>
        <v>11714.392419651929</v>
      </c>
      <c r="AJ87" s="319">
        <f>L87/'Population &amp; Income'!L86</f>
        <v>12423.784194907037</v>
      </c>
      <c r="AK87" s="319">
        <f>M87/'Population &amp; Income'!M86</f>
        <v>13207.430898276618</v>
      </c>
      <c r="AL87" s="319">
        <f>N87/'Population &amp; Income'!N86</f>
        <v>13860.678034765609</v>
      </c>
      <c r="AM87" s="319">
        <f>O87/'Population &amp; Income'!O86</f>
        <v>14522.510940316992</v>
      </c>
      <c r="AN87" s="319">
        <f>P87/'Population &amp; Income'!P86</f>
        <v>14488.782608695652</v>
      </c>
      <c r="AO87" s="319">
        <f>Q87/'Population &amp; Income'!Q86</f>
        <v>14902.912437970226</v>
      </c>
      <c r="AP87" s="319">
        <f>R87/'Population &amp; Income'!R86</f>
        <v>15609.600898299646</v>
      </c>
      <c r="AQ87" s="319">
        <f>S87/'Population &amp; Income'!S86</f>
        <v>16199.255140035615</v>
      </c>
      <c r="AR87" s="319">
        <f>T87/'Population &amp; Income'!T86</f>
        <v>20199.459190336271</v>
      </c>
      <c r="AS87" s="319">
        <f>U87/'Population &amp; Income'!U86</f>
        <v>20506.192106979779</v>
      </c>
      <c r="AT87" s="319">
        <f>V87/'Population &amp; Income'!V86</f>
        <v>21024.143702729365</v>
      </c>
      <c r="AU87" s="319">
        <f>W87/'Population &amp; Income'!W86</f>
        <v>21453.13087526989</v>
      </c>
      <c r="AV87" s="690"/>
      <c r="AW87" s="690"/>
      <c r="AX87" s="13" t="s">
        <v>77</v>
      </c>
      <c r="AY87" s="40">
        <f t="shared" si="84"/>
        <v>7.2715203024594055E-2</v>
      </c>
      <c r="AZ87" s="40">
        <f t="shared" si="85"/>
        <v>-7.4179065850880259E-3</v>
      </c>
      <c r="BA87" s="40">
        <f t="shared" si="86"/>
        <v>1.4449619420899257E-2</v>
      </c>
      <c r="BB87" s="40">
        <f t="shared" si="87"/>
        <v>4.257939304733091E-2</v>
      </c>
      <c r="BC87" s="40">
        <f t="shared" si="88"/>
        <v>4.1165827239387685E-2</v>
      </c>
      <c r="BD87" s="40">
        <f t="shared" si="89"/>
        <v>1.3643557291830411E-2</v>
      </c>
      <c r="BE87" s="40">
        <f t="shared" si="90"/>
        <v>1.7577517697346112E-2</v>
      </c>
      <c r="BF87" s="40">
        <f t="shared" si="91"/>
        <v>-4.0837079571136806E-3</v>
      </c>
      <c r="BG87" s="40">
        <f t="shared" si="92"/>
        <v>4.172813667706933E-2</v>
      </c>
      <c r="BH87" s="40">
        <f t="shared" si="93"/>
        <v>3.6753064328142446E-2</v>
      </c>
      <c r="BI87" s="40">
        <f t="shared" si="94"/>
        <v>5.7706435118263802E-2</v>
      </c>
      <c r="BJ87" s="40">
        <f t="shared" si="95"/>
        <v>3.6705593373932713E-2</v>
      </c>
      <c r="BK87" s="40">
        <f t="shared" si="96"/>
        <v>3.9263837523136343E-2</v>
      </c>
      <c r="BL87" s="40">
        <f t="shared" si="97"/>
        <v>-2.0091944958203906E-3</v>
      </c>
      <c r="BM87" s="40">
        <f t="shared" si="98"/>
        <v>8.5632849682401417E-3</v>
      </c>
      <c r="BN87" s="40">
        <f t="shared" si="99"/>
        <v>4.5239808068216439E-2</v>
      </c>
      <c r="BO87" s="40">
        <f t="shared" si="100"/>
        <v>2.8286300193734983E-2</v>
      </c>
      <c r="BP87" s="691">
        <f t="shared" si="101"/>
        <v>0.23664227102022201</v>
      </c>
      <c r="BQ87" s="691">
        <f t="shared" si="102"/>
        <v>1.6179509206934915E-2</v>
      </c>
      <c r="BR87" s="691">
        <f t="shared" si="103"/>
        <v>1.6898400774208098E-2</v>
      </c>
      <c r="BS87" s="691">
        <f t="shared" si="104"/>
        <v>1.0170257113926159E-2</v>
      </c>
      <c r="BT87" s="40"/>
      <c r="BU87" s="3"/>
      <c r="BV87" s="13" t="s">
        <v>77</v>
      </c>
      <c r="BW87" s="40">
        <f t="shared" si="105"/>
        <v>7.2715203024594055E-2</v>
      </c>
      <c r="BX87" s="40">
        <f t="shared" si="106"/>
        <v>6.475790185615389E-2</v>
      </c>
      <c r="BY87" s="40">
        <f t="shared" si="107"/>
        <v>8.014324831337051E-2</v>
      </c>
      <c r="BZ87" s="40">
        <f t="shared" si="108"/>
        <v>0.12613509223072628</v>
      </c>
      <c r="CA87" s="40">
        <f t="shared" si="109"/>
        <v>0.17249337488570826</v>
      </c>
      <c r="CB87" s="40">
        <f t="shared" si="110"/>
        <v>0.18849035542025303</v>
      </c>
      <c r="CC87" s="40">
        <f t="shared" si="111"/>
        <v>0.20938106567577769</v>
      </c>
      <c r="CD87" s="40">
        <f t="shared" si="112"/>
        <v>0.20444230659469489</v>
      </c>
      <c r="CE87" s="40">
        <f t="shared" si="113"/>
        <v>0.25470143978392296</v>
      </c>
      <c r="CF87" s="40">
        <f t="shared" si="114"/>
        <v>0.30081556251291441</v>
      </c>
      <c r="CG87" s="40">
        <f t="shared" si="115"/>
        <v>0.37588099137189374</v>
      </c>
      <c r="CH87" s="40">
        <f t="shared" si="116"/>
        <v>0.4263835195721139</v>
      </c>
      <c r="CI87" s="40">
        <f t="shared" si="117"/>
        <v>0.48238881033027275</v>
      </c>
      <c r="CJ87" s="40">
        <f t="shared" si="118"/>
        <v>0.47941040289189146</v>
      </c>
      <c r="CK87" s="40">
        <f t="shared" si="119"/>
        <v>0.49207901575683366</v>
      </c>
      <c r="CL87" s="113">
        <f t="shared" si="120"/>
        <v>0.55958038405228616</v>
      </c>
      <c r="CM87" s="113">
        <f t="shared" si="121"/>
        <v>0.60369514297184956</v>
      </c>
      <c r="CN87" s="691">
        <f t="shared" si="122"/>
        <v>0.98319720362880769</v>
      </c>
      <c r="CO87" s="691">
        <f t="shared" si="123"/>
        <v>1.0152843610440876</v>
      </c>
      <c r="CP87" s="691">
        <f t="shared" si="124"/>
        <v>1.0493394438510044</v>
      </c>
      <c r="CQ87" s="691">
        <f t="shared" si="125"/>
        <v>1.0701817529086797</v>
      </c>
    </row>
    <row r="88" spans="1:95" ht="14">
      <c r="A88" s="13" t="s">
        <v>78</v>
      </c>
      <c r="B88" s="319">
        <v>242849522</v>
      </c>
      <c r="C88" s="319">
        <v>255355931</v>
      </c>
      <c r="D88" s="319">
        <v>259812420</v>
      </c>
      <c r="E88" s="319">
        <v>273214356</v>
      </c>
      <c r="F88" s="319">
        <v>290090567</v>
      </c>
      <c r="G88" s="319">
        <v>299944431</v>
      </c>
      <c r="H88" s="319">
        <v>310698713</v>
      </c>
      <c r="I88" s="319">
        <v>314018045</v>
      </c>
      <c r="J88" s="319">
        <v>326453388.841088</v>
      </c>
      <c r="K88" s="319">
        <v>343620818.1710164</v>
      </c>
      <c r="L88" s="319">
        <v>359535901.54631442</v>
      </c>
      <c r="M88" s="319">
        <v>370676700.05018651</v>
      </c>
      <c r="N88" s="319">
        <v>384702545.27225196</v>
      </c>
      <c r="O88" s="319">
        <v>383077371.41215974</v>
      </c>
      <c r="P88" s="319">
        <v>390231358</v>
      </c>
      <c r="Q88" s="319">
        <v>399326632</v>
      </c>
      <c r="R88" s="319">
        <v>412707955</v>
      </c>
      <c r="S88" s="319">
        <v>429329417</v>
      </c>
      <c r="T88" s="340">
        <v>431327883</v>
      </c>
      <c r="U88" s="340">
        <v>443118386</v>
      </c>
      <c r="V88" s="666">
        <v>454646544</v>
      </c>
      <c r="W88" s="667">
        <v>465971426</v>
      </c>
      <c r="X88" s="290"/>
      <c r="Y88" s="13" t="s">
        <v>78</v>
      </c>
      <c r="Z88" s="319">
        <f>B88/'Population &amp; Income'!B87</f>
        <v>8177.5776004310201</v>
      </c>
      <c r="AA88" s="319">
        <f>C88/'Population &amp; Income'!C87</f>
        <v>8605.6661274559356</v>
      </c>
      <c r="AB88" s="319">
        <f>D88/'Population &amp; Income'!D87</f>
        <v>8708.6015954950726</v>
      </c>
      <c r="AC88" s="319">
        <f>E88/'Population &amp; Income'!E87</f>
        <v>9192.6367215100436</v>
      </c>
      <c r="AD88" s="319">
        <f>F88/'Population &amp; Income'!F87</f>
        <v>9748.9772482860608</v>
      </c>
      <c r="AE88" s="319">
        <f>G88/'Population &amp; Income'!G87</f>
        <v>10074.71553808948</v>
      </c>
      <c r="AF88" s="319">
        <f>H88/'Population &amp; Income'!H87</f>
        <v>10364.915699226047</v>
      </c>
      <c r="AG88" s="319">
        <f>I88/'Population &amp; Income'!I87</f>
        <v>10499.466530694128</v>
      </c>
      <c r="AH88" s="319">
        <f>J88/'Population &amp; Income'!J87</f>
        <v>10858.614583591272</v>
      </c>
      <c r="AI88" s="319">
        <f>K88/'Population &amp; Income'!K87</f>
        <v>11363.122294015093</v>
      </c>
      <c r="AJ88" s="319">
        <f>L88/'Population &amp; Income'!L87</f>
        <v>11860.39128938162</v>
      </c>
      <c r="AK88" s="319">
        <f>M88/'Population &amp; Income'!M87</f>
        <v>12252.560078345503</v>
      </c>
      <c r="AL88" s="319">
        <f>N88/'Population &amp; Income'!N87</f>
        <v>12796.971102130663</v>
      </c>
      <c r="AM88" s="319">
        <f>O88/'Population &amp; Income'!O87</f>
        <v>12845.892874556846</v>
      </c>
      <c r="AN88" s="319">
        <f>P88/'Population &amp; Income'!P87</f>
        <v>13005.110911151103</v>
      </c>
      <c r="AO88" s="319">
        <f>Q88/'Population &amp; Income'!Q87</f>
        <v>13388.092399503805</v>
      </c>
      <c r="AP88" s="319">
        <f>R88/'Population &amp; Income'!R87</f>
        <v>13851.584326229233</v>
      </c>
      <c r="AQ88" s="319">
        <f>S88/'Population &amp; Income'!S87</f>
        <v>14416.703055742109</v>
      </c>
      <c r="AR88" s="319">
        <f>T88/'Population &amp; Income'!T87</f>
        <v>14441.620618073459</v>
      </c>
      <c r="AS88" s="319">
        <f>U88/'Population &amp; Income'!U87</f>
        <v>14876.733566104882</v>
      </c>
      <c r="AT88" s="319">
        <f>V88/'Population &amp; Income'!V87</f>
        <v>15365.909963498716</v>
      </c>
      <c r="AU88" s="319">
        <f>W88/'Population &amp; Income'!W87</f>
        <v>15866.097790186932</v>
      </c>
      <c r="AV88" s="690"/>
      <c r="AW88" s="690"/>
      <c r="AX88" s="13" t="s">
        <v>78</v>
      </c>
      <c r="AY88" s="40">
        <f t="shared" si="84"/>
        <v>5.1498594261182036E-2</v>
      </c>
      <c r="AZ88" s="40">
        <f t="shared" si="85"/>
        <v>1.7452067717980673E-2</v>
      </c>
      <c r="BA88" s="40">
        <f t="shared" si="86"/>
        <v>5.1583122931536531E-2</v>
      </c>
      <c r="BB88" s="40">
        <f t="shared" si="87"/>
        <v>6.1769122410244064E-2</v>
      </c>
      <c r="BC88" s="40">
        <f t="shared" si="88"/>
        <v>3.3968233100113182E-2</v>
      </c>
      <c r="BD88" s="40">
        <f t="shared" si="89"/>
        <v>3.5854247949014262E-2</v>
      </c>
      <c r="BE88" s="40">
        <f t="shared" si="90"/>
        <v>1.0683443030547732E-2</v>
      </c>
      <c r="BF88" s="40">
        <f t="shared" si="91"/>
        <v>3.9600730082527576E-2</v>
      </c>
      <c r="BG88" s="40">
        <f t="shared" si="92"/>
        <v>5.2587689136488681E-2</v>
      </c>
      <c r="BH88" s="40">
        <f t="shared" si="93"/>
        <v>4.6315829931402049E-2</v>
      </c>
      <c r="BI88" s="40">
        <f t="shared" si="94"/>
        <v>3.0986609281457168E-2</v>
      </c>
      <c r="BJ88" s="40">
        <f t="shared" si="95"/>
        <v>3.7838486260847973E-2</v>
      </c>
      <c r="BK88" s="40">
        <f t="shared" si="96"/>
        <v>-4.2244946909360728E-3</v>
      </c>
      <c r="BL88" s="40">
        <f t="shared" si="97"/>
        <v>1.8675043533550713E-2</v>
      </c>
      <c r="BM88" s="40">
        <f t="shared" si="98"/>
        <v>2.3307388843927811E-2</v>
      </c>
      <c r="BN88" s="40">
        <f t="shared" si="99"/>
        <v>3.3509718430199766E-2</v>
      </c>
      <c r="BO88" s="40">
        <f t="shared" si="100"/>
        <v>4.0274149791951548E-2</v>
      </c>
      <c r="BP88" s="691">
        <f t="shared" si="101"/>
        <v>4.6548545728931495E-3</v>
      </c>
      <c r="BQ88" s="691">
        <f t="shared" si="102"/>
        <v>2.7335360093101144E-2</v>
      </c>
      <c r="BR88" s="691">
        <f t="shared" si="103"/>
        <v>2.6015977590241539E-2</v>
      </c>
      <c r="BS88" s="691">
        <f t="shared" si="104"/>
        <v>2.490920067347966E-2</v>
      </c>
      <c r="BT88" s="40"/>
      <c r="BU88" s="3"/>
      <c r="BV88" s="13" t="s">
        <v>78</v>
      </c>
      <c r="BW88" s="40">
        <f t="shared" si="105"/>
        <v>5.1498594261182036E-2</v>
      </c>
      <c r="BX88" s="40">
        <f t="shared" si="106"/>
        <v>6.984941893358966E-2</v>
      </c>
      <c r="BY88" s="40">
        <f t="shared" si="107"/>
        <v>0.12503559302867395</v>
      </c>
      <c r="BZ88" s="40">
        <f t="shared" si="108"/>
        <v>0.19452805429034364</v>
      </c>
      <c r="CA88" s="40">
        <f t="shared" si="109"/>
        <v>0.23510406168310266</v>
      </c>
      <c r="CB88" s="40">
        <f t="shared" si="110"/>
        <v>0.27938778895352323</v>
      </c>
      <c r="CC88" s="40">
        <f t="shared" si="111"/>
        <v>0.29305605551078662</v>
      </c>
      <c r="CD88" s="40">
        <f t="shared" si="112"/>
        <v>0.34426201934664707</v>
      </c>
      <c r="CE88" s="40">
        <f t="shared" si="113"/>
        <v>0.41495365253803712</v>
      </c>
      <c r="CF88" s="40">
        <f t="shared" si="114"/>
        <v>0.48048840526980496</v>
      </c>
      <c r="CG88" s="40">
        <f t="shared" si="115"/>
        <v>0.52636372102962803</v>
      </c>
      <c r="CH88" s="40">
        <f t="shared" si="116"/>
        <v>0.58411901371686437</v>
      </c>
      <c r="CI88" s="40">
        <f t="shared" si="117"/>
        <v>0.57742691135360658</v>
      </c>
      <c r="CJ88" s="40">
        <f t="shared" si="118"/>
        <v>0.60688542759412967</v>
      </c>
      <c r="CK88" s="40">
        <f t="shared" si="119"/>
        <v>0.64433773108270731</v>
      </c>
      <c r="CL88" s="113">
        <f t="shared" si="120"/>
        <v>0.69943902545544234</v>
      </c>
      <c r="CM88" s="113">
        <f t="shared" si="121"/>
        <v>0.76788248732892295</v>
      </c>
      <c r="CN88" s="691">
        <f t="shared" si="122"/>
        <v>0.77611172320940369</v>
      </c>
      <c r="CO88" s="691">
        <f t="shared" si="123"/>
        <v>0.82466237672891118</v>
      </c>
      <c r="CP88" s="691">
        <f t="shared" si="124"/>
        <v>0.87213275223164743</v>
      </c>
      <c r="CQ88" s="691">
        <f t="shared" si="125"/>
        <v>0.91876608264437931</v>
      </c>
    </row>
    <row r="89" spans="1:95" ht="14">
      <c r="A89" s="13" t="s">
        <v>79</v>
      </c>
      <c r="B89" s="319">
        <v>230457522</v>
      </c>
      <c r="C89" s="319">
        <v>262255699</v>
      </c>
      <c r="D89" s="319">
        <v>270361101</v>
      </c>
      <c r="E89" s="319">
        <v>285856765</v>
      </c>
      <c r="F89" s="319">
        <v>305761283</v>
      </c>
      <c r="G89" s="319">
        <v>326282312</v>
      </c>
      <c r="H89" s="319">
        <v>338546306</v>
      </c>
      <c r="I89" s="319">
        <v>353851913</v>
      </c>
      <c r="J89" s="319">
        <v>365036367.42616451</v>
      </c>
      <c r="K89" s="319">
        <v>408031703.96230024</v>
      </c>
      <c r="L89" s="319">
        <v>424474246.32390708</v>
      </c>
      <c r="M89" s="319">
        <v>465481135.63500482</v>
      </c>
      <c r="N89" s="319">
        <v>504613432.12269378</v>
      </c>
      <c r="O89" s="319">
        <v>511947882.07567096</v>
      </c>
      <c r="P89" s="319">
        <v>516170910</v>
      </c>
      <c r="Q89" s="319">
        <v>521964251</v>
      </c>
      <c r="R89" s="319">
        <v>538803777</v>
      </c>
      <c r="S89" s="319">
        <v>554483036</v>
      </c>
      <c r="T89" s="340">
        <v>565754013</v>
      </c>
      <c r="U89" s="340">
        <v>589358508</v>
      </c>
      <c r="V89" s="666">
        <v>601284649</v>
      </c>
      <c r="W89" s="667">
        <v>620146842</v>
      </c>
      <c r="X89" s="290"/>
      <c r="Y89" s="13" t="s">
        <v>79</v>
      </c>
      <c r="Z89" s="319">
        <f>B89/'Population &amp; Income'!B88</f>
        <v>8711.9616678637576</v>
      </c>
      <c r="AA89" s="319">
        <f>C89/'Population &amp; Income'!C88</f>
        <v>9746.0217399383109</v>
      </c>
      <c r="AB89" s="319">
        <f>D89/'Population &amp; Income'!D88</f>
        <v>9877.2870451556337</v>
      </c>
      <c r="AC89" s="319">
        <f>E89/'Population &amp; Income'!E88</f>
        <v>10147.559992900249</v>
      </c>
      <c r="AD89" s="319">
        <f>F89/'Population &amp; Income'!F88</f>
        <v>10690.95395104895</v>
      </c>
      <c r="AE89" s="319">
        <f>G89/'Population &amp; Income'!G88</f>
        <v>11313.141430602267</v>
      </c>
      <c r="AF89" s="319">
        <f>H89/'Population &amp; Income'!H88</f>
        <v>11535.976624527209</v>
      </c>
      <c r="AG89" s="319">
        <f>I89/'Population &amp; Income'!I88</f>
        <v>11777.789675143124</v>
      </c>
      <c r="AH89" s="319">
        <f>J89/'Population &amp; Income'!J88</f>
        <v>11951.947070465736</v>
      </c>
      <c r="AI89" s="319">
        <f>K89/'Population &amp; Income'!K88</f>
        <v>13247.782596178578</v>
      </c>
      <c r="AJ89" s="319">
        <f>L89/'Population &amp; Income'!L88</f>
        <v>13455.723271537028</v>
      </c>
      <c r="AK89" s="319">
        <f>M89/'Population &amp; Income'!M88</f>
        <v>14561.757355784421</v>
      </c>
      <c r="AL89" s="319">
        <f>N89/'Population &amp; Income'!N88</f>
        <v>15710.745419306137</v>
      </c>
      <c r="AM89" s="319">
        <f>O89/'Population &amp; Income'!O88</f>
        <v>15892.092943306356</v>
      </c>
      <c r="AN89" s="319">
        <f>P89/'Population &amp; Income'!P88</f>
        <v>16106.181665002496</v>
      </c>
      <c r="AO89" s="319">
        <f>Q89/'Population &amp; Income'!Q88</f>
        <v>16366.620186880722</v>
      </c>
      <c r="AP89" s="319">
        <f>R89/'Population &amp; Income'!R88</f>
        <v>17068.036524328432</v>
      </c>
      <c r="AQ89" s="319">
        <f>S89/'Population &amp; Income'!S88</f>
        <v>17716.811068153496</v>
      </c>
      <c r="AR89" s="319">
        <f>T89/'Population &amp; Income'!T88</f>
        <v>18200.811124694377</v>
      </c>
      <c r="AS89" s="319">
        <f>U89/'Population &amp; Income'!U88</f>
        <v>19071.856449420749</v>
      </c>
      <c r="AT89" s="319">
        <f>V89/'Population &amp; Income'!V88</f>
        <v>19366.916255998971</v>
      </c>
      <c r="AU89" s="319">
        <f>W89/'Population &amp; Income'!W88</f>
        <v>19563.609009747943</v>
      </c>
      <c r="AV89" s="690"/>
      <c r="AW89" s="690"/>
      <c r="AX89" s="13" t="s">
        <v>79</v>
      </c>
      <c r="AY89" s="40">
        <f t="shared" si="84"/>
        <v>0.13797847310013167</v>
      </c>
      <c r="AZ89" s="40">
        <f t="shared" si="85"/>
        <v>3.0906485658487064E-2</v>
      </c>
      <c r="BA89" s="40">
        <f t="shared" si="86"/>
        <v>5.7314694838441274E-2</v>
      </c>
      <c r="BB89" s="40">
        <f t="shared" si="87"/>
        <v>6.9631089542344746E-2</v>
      </c>
      <c r="BC89" s="40">
        <f t="shared" si="88"/>
        <v>6.7114543733779397E-2</v>
      </c>
      <c r="BD89" s="40">
        <f t="shared" si="89"/>
        <v>3.7587063561079583E-2</v>
      </c>
      <c r="BE89" s="40">
        <f t="shared" si="90"/>
        <v>4.5209788819849064E-2</v>
      </c>
      <c r="BF89" s="40">
        <f t="shared" si="91"/>
        <v>3.160772632636441E-2</v>
      </c>
      <c r="BG89" s="40">
        <f t="shared" si="92"/>
        <v>0.11778370697498339</v>
      </c>
      <c r="BH89" s="40">
        <f t="shared" si="93"/>
        <v>4.0297217598380619E-2</v>
      </c>
      <c r="BI89" s="40">
        <f t="shared" si="94"/>
        <v>9.6606306899020375E-2</v>
      </c>
      <c r="BJ89" s="40">
        <f t="shared" si="95"/>
        <v>8.4068490625952133E-2</v>
      </c>
      <c r="BK89" s="40">
        <f t="shared" si="96"/>
        <v>1.4534789377532567E-2</v>
      </c>
      <c r="BL89" s="40">
        <f t="shared" si="97"/>
        <v>8.248941097689387E-3</v>
      </c>
      <c r="BM89" s="40">
        <f t="shared" si="98"/>
        <v>1.1223687518539159E-2</v>
      </c>
      <c r="BN89" s="40">
        <f t="shared" si="99"/>
        <v>3.2261837793945009E-2</v>
      </c>
      <c r="BO89" s="40">
        <f t="shared" si="100"/>
        <v>2.9100128227200605E-2</v>
      </c>
      <c r="BP89" s="691">
        <f t="shared" si="101"/>
        <v>2.0327000590149705E-2</v>
      </c>
      <c r="BQ89" s="691">
        <f t="shared" si="102"/>
        <v>4.172218748362639E-2</v>
      </c>
      <c r="BR89" s="691">
        <f t="shared" si="103"/>
        <v>2.0235800176146772E-2</v>
      </c>
      <c r="BS89" s="691">
        <f t="shared" si="104"/>
        <v>3.1369822980463286E-2</v>
      </c>
      <c r="BT89" s="40"/>
      <c r="BU89" s="3"/>
      <c r="BV89" s="13" t="s">
        <v>79</v>
      </c>
      <c r="BW89" s="40">
        <f t="shared" si="105"/>
        <v>0.13797847310013167</v>
      </c>
      <c r="BX89" s="40">
        <f t="shared" si="106"/>
        <v>0.1731493884586679</v>
      </c>
      <c r="BY89" s="40">
        <f t="shared" si="107"/>
        <v>0.24038808765808042</v>
      </c>
      <c r="BZ89" s="40">
        <f t="shared" si="108"/>
        <v>0.326757661657058</v>
      </c>
      <c r="CA89" s="40">
        <f t="shared" si="109"/>
        <v>0.41580239676446751</v>
      </c>
      <c r="CB89" s="40">
        <f t="shared" si="110"/>
        <v>0.46901825144158238</v>
      </c>
      <c r="CC89" s="40">
        <f t="shared" si="111"/>
        <v>0.53543225636176028</v>
      </c>
      <c r="CD89" s="40">
        <f t="shared" si="112"/>
        <v>0.58396377891351492</v>
      </c>
      <c r="CE89" s="40">
        <f t="shared" si="113"/>
        <v>0.77052890450805178</v>
      </c>
      <c r="CF89" s="40">
        <f t="shared" si="114"/>
        <v>0.84187629303723521</v>
      </c>
      <c r="CG89" s="40">
        <f t="shared" si="115"/>
        <v>1.0198131594724202</v>
      </c>
      <c r="CH89" s="40">
        <f t="shared" si="116"/>
        <v>1.1896158031357023</v>
      </c>
      <c r="CI89" s="40">
        <f t="shared" si="117"/>
        <v>1.2214414076519966</v>
      </c>
      <c r="CJ89" s="40">
        <f t="shared" si="118"/>
        <v>1.2397659469756861</v>
      </c>
      <c r="CK89" s="40">
        <f t="shared" si="119"/>
        <v>1.2649043800792061</v>
      </c>
      <c r="CL89" s="113">
        <f t="shared" si="120"/>
        <v>1.3379743578081169</v>
      </c>
      <c r="CM89" s="113">
        <f t="shared" si="121"/>
        <v>1.4060097114122403</v>
      </c>
      <c r="CN89" s="691">
        <f t="shared" si="122"/>
        <v>1.4549166722360227</v>
      </c>
      <c r="CO89" s="691">
        <f t="shared" si="123"/>
        <v>1.5573411658917342</v>
      </c>
      <c r="CP89" s="691">
        <f t="shared" si="124"/>
        <v>1.6090910107069536</v>
      </c>
      <c r="CQ89" s="691">
        <f t="shared" si="125"/>
        <v>1.6909377338527487</v>
      </c>
    </row>
    <row r="90" spans="1:95" ht="14">
      <c r="A90" s="13" t="s">
        <v>80</v>
      </c>
      <c r="B90" s="319">
        <v>62280731</v>
      </c>
      <c r="C90" s="319">
        <v>66266379</v>
      </c>
      <c r="D90" s="319">
        <v>60529534</v>
      </c>
      <c r="E90" s="319">
        <v>59906293</v>
      </c>
      <c r="F90" s="319">
        <v>64007624</v>
      </c>
      <c r="G90" s="319">
        <v>65236075</v>
      </c>
      <c r="H90" s="319">
        <v>66386624</v>
      </c>
      <c r="I90" s="319">
        <v>67508771</v>
      </c>
      <c r="J90" s="319">
        <v>66295605.753365397</v>
      </c>
      <c r="K90" s="319">
        <v>68949966.376822934</v>
      </c>
      <c r="L90" s="319">
        <v>73334961.283445448</v>
      </c>
      <c r="M90" s="319">
        <v>74575983.545215562</v>
      </c>
      <c r="N90" s="319">
        <v>78772550.000732794</v>
      </c>
      <c r="O90" s="319">
        <v>80552031.583055928</v>
      </c>
      <c r="P90" s="319">
        <v>79541080</v>
      </c>
      <c r="Q90" s="319">
        <v>84104574</v>
      </c>
      <c r="R90" s="319">
        <v>85311514</v>
      </c>
      <c r="S90" s="319">
        <v>87775931</v>
      </c>
      <c r="T90" s="340">
        <v>87033026</v>
      </c>
      <c r="U90" s="340">
        <v>89266252</v>
      </c>
      <c r="V90" s="666">
        <v>90094402</v>
      </c>
      <c r="W90" s="667">
        <v>89334751</v>
      </c>
      <c r="X90" s="290"/>
      <c r="Y90" s="13" t="s">
        <v>80</v>
      </c>
      <c r="Z90" s="319">
        <f>B90/'Population &amp; Income'!B89</f>
        <v>9090.7504014012557</v>
      </c>
      <c r="AA90" s="319">
        <f>C90/'Population &amp; Income'!C89</f>
        <v>9506.0076029264092</v>
      </c>
      <c r="AB90" s="319">
        <f>D90/'Population &amp; Income'!D89</f>
        <v>8305.369648737651</v>
      </c>
      <c r="AC90" s="319">
        <f>E90/'Population &amp; Income'!E89</f>
        <v>8329.5735539488323</v>
      </c>
      <c r="AD90" s="319">
        <f>F90/'Population &amp; Income'!F89</f>
        <v>8856.7350214473499</v>
      </c>
      <c r="AE90" s="319">
        <f>G90/'Population &amp; Income'!G89</f>
        <v>9014.2427801575232</v>
      </c>
      <c r="AF90" s="319">
        <f>H90/'Population &amp; Income'!H89</f>
        <v>9160.5663032979155</v>
      </c>
      <c r="AG90" s="319">
        <f>I90/'Population &amp; Income'!I89</f>
        <v>9586.5905992615735</v>
      </c>
      <c r="AH90" s="319">
        <f>J90/'Population &amp; Income'!J89</f>
        <v>9573.3726719661227</v>
      </c>
      <c r="AI90" s="319">
        <f>K90/'Population &amp; Income'!K89</f>
        <v>10080.404441055984</v>
      </c>
      <c r="AJ90" s="319">
        <f>L90/'Population &amp; Income'!L89</f>
        <v>10811.582085131276</v>
      </c>
      <c r="AK90" s="319">
        <f>M90/'Population &amp; Income'!M89</f>
        <v>11120.784900867218</v>
      </c>
      <c r="AL90" s="319">
        <f>N90/'Population &amp; Income'!N89</f>
        <v>11694.262173505462</v>
      </c>
      <c r="AM90" s="319">
        <f>O90/'Population &amp; Income'!O89</f>
        <v>12042.462488123176</v>
      </c>
      <c r="AN90" s="319">
        <f>P90/'Population &amp; Income'!P89</f>
        <v>11859.412554048009</v>
      </c>
      <c r="AO90" s="319">
        <f>Q90/'Population &amp; Income'!Q89</f>
        <v>12630.210842468839</v>
      </c>
      <c r="AP90" s="319">
        <f>R90/'Population &amp; Income'!R89</f>
        <v>13032.617476321419</v>
      </c>
      <c r="AQ90" s="319">
        <f>S90/'Population &amp; Income'!S89</f>
        <v>13612.892524813897</v>
      </c>
      <c r="AR90" s="319">
        <f>T90/'Population &amp; Income'!T89</f>
        <v>13487.219277855262</v>
      </c>
      <c r="AS90" s="319">
        <f>U90/'Population &amp; Income'!U89</f>
        <v>14117.705519531868</v>
      </c>
      <c r="AT90" s="319">
        <f>V90/'Population &amp; Income'!V89</f>
        <v>14387.480357713192</v>
      </c>
      <c r="AU90" s="319">
        <f>W90/'Population &amp; Income'!W89</f>
        <v>14341.748434740728</v>
      </c>
      <c r="AV90" s="690"/>
      <c r="AW90" s="690"/>
      <c r="AX90" s="13" t="s">
        <v>80</v>
      </c>
      <c r="AY90" s="40">
        <f t="shared" si="84"/>
        <v>6.3994881498741565E-2</v>
      </c>
      <c r="AZ90" s="40">
        <f t="shared" si="85"/>
        <v>-8.6572483461032329E-2</v>
      </c>
      <c r="BA90" s="40">
        <f t="shared" si="86"/>
        <v>-1.0296477749192651E-2</v>
      </c>
      <c r="BB90" s="40">
        <f t="shared" si="87"/>
        <v>6.846244016467519E-2</v>
      </c>
      <c r="BC90" s="40">
        <f t="shared" si="88"/>
        <v>1.9192260596956386E-2</v>
      </c>
      <c r="BD90" s="40">
        <f t="shared" si="89"/>
        <v>1.7636698713097011E-2</v>
      </c>
      <c r="BE90" s="40">
        <f t="shared" si="90"/>
        <v>1.6903209297101776E-2</v>
      </c>
      <c r="BF90" s="40">
        <f t="shared" si="91"/>
        <v>-1.7970483370740115E-2</v>
      </c>
      <c r="BG90" s="40">
        <f t="shared" si="92"/>
        <v>4.0038258845274843E-2</v>
      </c>
      <c r="BH90" s="40">
        <f t="shared" si="93"/>
        <v>6.3596766424189308E-2</v>
      </c>
      <c r="BI90" s="40">
        <f t="shared" si="94"/>
        <v>1.6922655170887251E-2</v>
      </c>
      <c r="BJ90" s="40">
        <f t="shared" si="95"/>
        <v>5.6272358150970224E-2</v>
      </c>
      <c r="BK90" s="40">
        <f t="shared" si="96"/>
        <v>2.2590122857601792E-2</v>
      </c>
      <c r="BL90" s="40">
        <f t="shared" si="97"/>
        <v>-1.2550292813081345E-2</v>
      </c>
      <c r="BM90" s="40">
        <f t="shared" si="98"/>
        <v>5.7372794032970131E-2</v>
      </c>
      <c r="BN90" s="40">
        <f t="shared" si="99"/>
        <v>1.4350468025674799E-2</v>
      </c>
      <c r="BO90" s="40">
        <f t="shared" si="100"/>
        <v>2.8887273059062111E-2</v>
      </c>
      <c r="BP90" s="691">
        <f t="shared" si="101"/>
        <v>-8.4636527523701231E-3</v>
      </c>
      <c r="BQ90" s="691">
        <f t="shared" si="102"/>
        <v>2.5659523776640835E-2</v>
      </c>
      <c r="BR90" s="691">
        <f t="shared" si="103"/>
        <v>9.2773022440776395E-3</v>
      </c>
      <c r="BS90" s="691">
        <f t="shared" si="104"/>
        <v>-8.4317225392094835E-3</v>
      </c>
      <c r="BT90" s="40"/>
      <c r="BU90" s="3"/>
      <c r="BV90" s="13" t="s">
        <v>80</v>
      </c>
      <c r="BW90" s="40">
        <f t="shared" si="105"/>
        <v>6.3994881498741565E-2</v>
      </c>
      <c r="BX90" s="40">
        <f t="shared" si="106"/>
        <v>-2.8117797782431293E-2</v>
      </c>
      <c r="BY90" s="40">
        <f t="shared" si="107"/>
        <v>-3.8124761252400843E-2</v>
      </c>
      <c r="BZ90" s="40">
        <f t="shared" si="108"/>
        <v>2.7727564726239325E-2</v>
      </c>
      <c r="CA90" s="40">
        <f t="shared" si="109"/>
        <v>4.7451979971140673E-2</v>
      </c>
      <c r="CB90" s="40">
        <f t="shared" si="110"/>
        <v>6.5925574958328598E-2</v>
      </c>
      <c r="CC90" s="40">
        <f t="shared" si="111"/>
        <v>8.3943138046982779E-2</v>
      </c>
      <c r="CD90" s="40">
        <f t="shared" si="112"/>
        <v>6.4464155909881624E-2</v>
      </c>
      <c r="CE90" s="40">
        <f t="shared" si="113"/>
        <v>0.10708344731571846</v>
      </c>
      <c r="CF90" s="40">
        <f t="shared" si="114"/>
        <v>0.17749037472674251</v>
      </c>
      <c r="CG90" s="40">
        <f t="shared" si="115"/>
        <v>0.19741663830528197</v>
      </c>
      <c r="CH90" s="40">
        <f t="shared" si="116"/>
        <v>0.26479809623192757</v>
      </c>
      <c r="CI90" s="40">
        <f t="shared" si="117"/>
        <v>0.29337004061586769</v>
      </c>
      <c r="CJ90" s="40">
        <f t="shared" si="118"/>
        <v>0.27713786789047162</v>
      </c>
      <c r="CK90" s="40">
        <f t="shared" si="119"/>
        <v>0.35041083573665827</v>
      </c>
      <c r="CL90" s="113">
        <f t="shared" si="120"/>
        <v>0.36978986325642194</v>
      </c>
      <c r="CM90" s="113">
        <f t="shared" si="121"/>
        <v>0.40935935706984555</v>
      </c>
      <c r="CN90" s="691">
        <f t="shared" si="122"/>
        <v>0.39743102886830278</v>
      </c>
      <c r="CO90" s="691">
        <f t="shared" si="123"/>
        <v>0.43328844357976465</v>
      </c>
      <c r="CP90" s="691">
        <f t="shared" si="124"/>
        <v>0.44658549367379774</v>
      </c>
      <c r="CQ90" s="691">
        <f t="shared" si="125"/>
        <v>0.4343882861618949</v>
      </c>
    </row>
    <row r="91" spans="1:95" ht="14">
      <c r="A91" s="13" t="s">
        <v>81</v>
      </c>
      <c r="B91" s="319">
        <v>115241750</v>
      </c>
      <c r="C91" s="319">
        <v>117615727</v>
      </c>
      <c r="D91" s="319">
        <v>120410242</v>
      </c>
      <c r="E91" s="319">
        <v>126019602</v>
      </c>
      <c r="F91" s="319">
        <v>131361040</v>
      </c>
      <c r="G91" s="319">
        <v>139857277</v>
      </c>
      <c r="H91" s="319">
        <v>142133987</v>
      </c>
      <c r="I91" s="319">
        <v>147127941</v>
      </c>
      <c r="J91" s="319">
        <v>147689357.66065097</v>
      </c>
      <c r="K91" s="319">
        <v>158792252.82461563</v>
      </c>
      <c r="L91" s="319">
        <v>165881808.76840413</v>
      </c>
      <c r="M91" s="319">
        <v>169777958.50477809</v>
      </c>
      <c r="N91" s="319">
        <v>188849905.26965463</v>
      </c>
      <c r="O91" s="319">
        <v>187879412.45989743</v>
      </c>
      <c r="P91" s="319">
        <v>190563378</v>
      </c>
      <c r="Q91" s="319">
        <v>200963017</v>
      </c>
      <c r="R91" s="319">
        <v>203789808</v>
      </c>
      <c r="S91" s="319">
        <v>207597483</v>
      </c>
      <c r="T91" s="340">
        <v>209185734</v>
      </c>
      <c r="U91" s="340">
        <v>216149529</v>
      </c>
      <c r="V91" s="666">
        <v>221882813</v>
      </c>
      <c r="W91" s="667">
        <v>232538003</v>
      </c>
      <c r="X91" s="290"/>
      <c r="Y91" s="13" t="s">
        <v>81</v>
      </c>
      <c r="Z91" s="319">
        <f>B91/'Population &amp; Income'!B90</f>
        <v>5083.8958002470445</v>
      </c>
      <c r="AA91" s="319">
        <f>C91/'Population &amp; Income'!C90</f>
        <v>5179.9404122258438</v>
      </c>
      <c r="AB91" s="319">
        <f>D91/'Population &amp; Income'!D90</f>
        <v>5284.3957693320463</v>
      </c>
      <c r="AC91" s="319">
        <f>E91/'Population &amp; Income'!E90</f>
        <v>5493.44385353095</v>
      </c>
      <c r="AD91" s="319">
        <f>F91/'Population &amp; Income'!F90</f>
        <v>5699.2077747407693</v>
      </c>
      <c r="AE91" s="319">
        <f>G91/'Population &amp; Income'!G90</f>
        <v>5785.4420865392567</v>
      </c>
      <c r="AF91" s="319">
        <f>H91/'Population &amp; Income'!H90</f>
        <v>5809.9242560497059</v>
      </c>
      <c r="AG91" s="319">
        <f>I91/'Population &amp; Income'!I90</f>
        <v>6032.8005986550761</v>
      </c>
      <c r="AH91" s="319">
        <f>J91/'Population &amp; Income'!J90</f>
        <v>5944.4297710062774</v>
      </c>
      <c r="AI91" s="319">
        <f>K91/'Population &amp; Income'!K90</f>
        <v>6361.6142311852745</v>
      </c>
      <c r="AJ91" s="319">
        <f>L91/'Population &amp; Income'!L90</f>
        <v>6534.6389114990789</v>
      </c>
      <c r="AK91" s="319">
        <f>M91/'Population &amp; Income'!M90</f>
        <v>6660.5711457347234</v>
      </c>
      <c r="AL91" s="319">
        <f>N91/'Population &amp; Income'!N90</f>
        <v>7377.8140121754359</v>
      </c>
      <c r="AM91" s="319">
        <f>O91/'Population &amp; Income'!O90</f>
        <v>7284.9714020898573</v>
      </c>
      <c r="AN91" s="319">
        <f>P91/'Population &amp; Income'!P90</f>
        <v>7315.5736496602558</v>
      </c>
      <c r="AO91" s="319">
        <f>Q91/'Population &amp; Income'!Q90</f>
        <v>7743.34439178515</v>
      </c>
      <c r="AP91" s="319">
        <f>R91/'Population &amp; Income'!R90</f>
        <v>7895.7693917086399</v>
      </c>
      <c r="AQ91" s="319">
        <f>S91/'Population &amp; Income'!S90</f>
        <v>8097.8890232485564</v>
      </c>
      <c r="AR91" s="319">
        <f>T91/'Population &amp; Income'!T90</f>
        <v>8162.3901201810522</v>
      </c>
      <c r="AS91" s="319">
        <f>U91/'Population &amp; Income'!U90</f>
        <v>8426.5537016100734</v>
      </c>
      <c r="AT91" s="319">
        <f>V91/'Population &amp; Income'!V90</f>
        <v>8608.450552861299</v>
      </c>
      <c r="AU91" s="319">
        <f>W91/'Population &amp; Income'!W90</f>
        <v>9035.8656693219345</v>
      </c>
      <c r="AV91" s="690"/>
      <c r="AW91" s="690"/>
      <c r="AX91" s="13" t="s">
        <v>81</v>
      </c>
      <c r="AY91" s="40">
        <f t="shared" si="84"/>
        <v>2.0599973533897219E-2</v>
      </c>
      <c r="AZ91" s="40">
        <f t="shared" si="85"/>
        <v>2.3759705196567803E-2</v>
      </c>
      <c r="BA91" s="40">
        <f t="shared" si="86"/>
        <v>4.6585405915885461E-2</v>
      </c>
      <c r="BB91" s="40">
        <f t="shared" si="87"/>
        <v>4.2385771064409487E-2</v>
      </c>
      <c r="BC91" s="40">
        <f t="shared" si="88"/>
        <v>6.4678515030027167E-2</v>
      </c>
      <c r="BD91" s="40">
        <f t="shared" si="89"/>
        <v>1.6278809718281589E-2</v>
      </c>
      <c r="BE91" s="40">
        <f t="shared" si="90"/>
        <v>3.5135537287081096E-2</v>
      </c>
      <c r="BF91" s="40">
        <f t="shared" si="91"/>
        <v>3.8158398522750245E-3</v>
      </c>
      <c r="BG91" s="40">
        <f t="shared" si="92"/>
        <v>7.5177354278133032E-2</v>
      </c>
      <c r="BH91" s="40">
        <f t="shared" si="93"/>
        <v>4.4646736964043442E-2</v>
      </c>
      <c r="BI91" s="40">
        <f t="shared" si="94"/>
        <v>2.348750453893091E-2</v>
      </c>
      <c r="BJ91" s="40">
        <f t="shared" si="95"/>
        <v>0.11233464539709258</v>
      </c>
      <c r="BK91" s="40">
        <f t="shared" si="96"/>
        <v>-5.1389637096796925E-3</v>
      </c>
      <c r="BL91" s="40">
        <f t="shared" si="97"/>
        <v>1.4285575545300683E-2</v>
      </c>
      <c r="BM91" s="40">
        <f t="shared" si="98"/>
        <v>5.4573124748030021E-2</v>
      </c>
      <c r="BN91" s="40">
        <f t="shared" si="99"/>
        <v>1.4066224931326544E-2</v>
      </c>
      <c r="BO91" s="40">
        <f t="shared" si="100"/>
        <v>1.8684324978607371E-2</v>
      </c>
      <c r="BP91" s="691">
        <f t="shared" si="101"/>
        <v>7.6506274404107297E-3</v>
      </c>
      <c r="BQ91" s="691">
        <f t="shared" si="102"/>
        <v>3.3290009155213234E-2</v>
      </c>
      <c r="BR91" s="691">
        <f t="shared" si="103"/>
        <v>2.6524619445272998E-2</v>
      </c>
      <c r="BS91" s="691">
        <f t="shared" si="104"/>
        <v>4.8021700536129405E-2</v>
      </c>
      <c r="BT91" s="40"/>
      <c r="BU91" s="3"/>
      <c r="BV91" s="13" t="s">
        <v>81</v>
      </c>
      <c r="BW91" s="40">
        <f t="shared" si="105"/>
        <v>2.0599973533897219E-2</v>
      </c>
      <c r="BX91" s="40">
        <f t="shared" si="106"/>
        <v>4.484912802868752E-2</v>
      </c>
      <c r="BY91" s="40">
        <f t="shared" si="107"/>
        <v>9.3523848778762908E-2</v>
      </c>
      <c r="BZ91" s="40">
        <f t="shared" si="108"/>
        <v>0.13987370028657148</v>
      </c>
      <c r="CA91" s="40">
        <f t="shared" si="109"/>
        <v>0.2135990385428892</v>
      </c>
      <c r="CB91" s="40">
        <f t="shared" si="110"/>
        <v>0.23335498636561836</v>
      </c>
      <c r="CC91" s="40">
        <f t="shared" si="111"/>
        <v>0.27668957647727493</v>
      </c>
      <c r="CD91" s="40">
        <f t="shared" si="112"/>
        <v>0.28156121944218104</v>
      </c>
      <c r="CE91" s="40">
        <f t="shared" si="113"/>
        <v>0.37790560126530209</v>
      </c>
      <c r="CF91" s="40">
        <f t="shared" si="114"/>
        <v>0.43942459020627617</v>
      </c>
      <c r="CG91" s="40">
        <f t="shared" si="115"/>
        <v>0.47323308180219487</v>
      </c>
      <c r="CH91" s="40">
        <f t="shared" si="116"/>
        <v>0.63872819763371025</v>
      </c>
      <c r="CI91" s="40">
        <f t="shared" si="117"/>
        <v>0.63030683289604184</v>
      </c>
      <c r="CJ91" s="40">
        <f t="shared" si="118"/>
        <v>0.65359670431939809</v>
      </c>
      <c r="CK91" s="40">
        <f t="shared" si="119"/>
        <v>0.74383864354715201</v>
      </c>
      <c r="CL91" s="113">
        <f t="shared" si="120"/>
        <v>0.76836787015122554</v>
      </c>
      <c r="CM91" s="113">
        <f t="shared" si="121"/>
        <v>0.80140863011885888</v>
      </c>
      <c r="CN91" s="691">
        <f t="shared" si="122"/>
        <v>0.81519053641583883</v>
      </c>
      <c r="CO91" s="691">
        <f t="shared" si="123"/>
        <v>0.87561824599157856</v>
      </c>
      <c r="CP91" s="691">
        <f t="shared" si="124"/>
        <v>0.92536830619111565</v>
      </c>
      <c r="CQ91" s="691">
        <f t="shared" si="125"/>
        <v>1.0178277664127802</v>
      </c>
    </row>
    <row r="92" spans="1:95" ht="14">
      <c r="A92" s="13" t="s">
        <v>82</v>
      </c>
      <c r="B92" s="319">
        <v>151741150</v>
      </c>
      <c r="C92" s="319">
        <v>161422440</v>
      </c>
      <c r="D92" s="319">
        <v>178200148</v>
      </c>
      <c r="E92" s="319">
        <v>197130580</v>
      </c>
      <c r="F92" s="319">
        <v>201573448</v>
      </c>
      <c r="G92" s="319">
        <v>206483467</v>
      </c>
      <c r="H92" s="319">
        <v>202214118</v>
      </c>
      <c r="I92" s="319">
        <v>202776137</v>
      </c>
      <c r="J92" s="319">
        <v>202219192.70068401</v>
      </c>
      <c r="K92" s="319">
        <v>206131352.04333171</v>
      </c>
      <c r="L92" s="319">
        <v>211827055.93389171</v>
      </c>
      <c r="M92" s="319">
        <v>215942306.39988911</v>
      </c>
      <c r="N92" s="319">
        <v>222172857.52292672</v>
      </c>
      <c r="O92" s="319">
        <v>220128083.06542465</v>
      </c>
      <c r="P92" s="319">
        <v>223200061</v>
      </c>
      <c r="Q92" s="319">
        <v>232742372</v>
      </c>
      <c r="R92" s="319">
        <v>236828015</v>
      </c>
      <c r="S92" s="319">
        <v>244950215</v>
      </c>
      <c r="T92" s="340">
        <v>250219007</v>
      </c>
      <c r="U92" s="340">
        <v>258980988</v>
      </c>
      <c r="V92" s="666">
        <v>260447180</v>
      </c>
      <c r="W92" s="667">
        <v>261803410</v>
      </c>
      <c r="X92" s="290"/>
      <c r="Y92" s="13" t="s">
        <v>82</v>
      </c>
      <c r="Z92" s="319">
        <f>B92/'Population &amp; Income'!B91</f>
        <v>7642.0804794520545</v>
      </c>
      <c r="AA92" s="319">
        <f>C92/'Population &amp; Income'!C91</f>
        <v>8061.4482620854978</v>
      </c>
      <c r="AB92" s="319">
        <f>D92/'Population &amp; Income'!D91</f>
        <v>8768.8292490896565</v>
      </c>
      <c r="AC92" s="319">
        <f>E92/'Population &amp; Income'!E91</f>
        <v>9650.4910167915023</v>
      </c>
      <c r="AD92" s="319">
        <f>F92/'Population &amp; Income'!F91</f>
        <v>9867.5077344820838</v>
      </c>
      <c r="AE92" s="319">
        <f>G92/'Population &amp; Income'!G91</f>
        <v>10065.490250560593</v>
      </c>
      <c r="AF92" s="319">
        <f>H92/'Population &amp; Income'!H91</f>
        <v>9886.2871809914923</v>
      </c>
      <c r="AG92" s="319">
        <f>I92/'Population &amp; Income'!I91</f>
        <v>9900.6951320736298</v>
      </c>
      <c r="AH92" s="319">
        <f>J92/'Population &amp; Income'!J91</f>
        <v>9806.9443598779835</v>
      </c>
      <c r="AI92" s="319">
        <f>K92/'Population &amp; Income'!K91</f>
        <v>9947.4641464787037</v>
      </c>
      <c r="AJ92" s="319">
        <f>L92/'Population &amp; Income'!L91</f>
        <v>10225.781121597476</v>
      </c>
      <c r="AK92" s="319">
        <f>M92/'Population &amp; Income'!M91</f>
        <v>10408.864667882441</v>
      </c>
      <c r="AL92" s="319">
        <f>N92/'Population &amp; Income'!N91</f>
        <v>10634.859868983138</v>
      </c>
      <c r="AM92" s="319">
        <f>O92/'Population &amp; Income'!O91</f>
        <v>10446.968965185546</v>
      </c>
      <c r="AN92" s="319">
        <f>P92/'Population &amp; Income'!P91</f>
        <v>10572.690114158495</v>
      </c>
      <c r="AO92" s="319">
        <f>Q92/'Population &amp; Income'!Q91</f>
        <v>11099.354857170109</v>
      </c>
      <c r="AP92" s="319">
        <f>R92/'Population &amp; Income'!R91</f>
        <v>11414.498505880085</v>
      </c>
      <c r="AQ92" s="319">
        <f>S92/'Population &amp; Income'!S91</f>
        <v>11692.692491288368</v>
      </c>
      <c r="AR92" s="319">
        <f>T92/'Population &amp; Income'!T91</f>
        <v>11936.221294662024</v>
      </c>
      <c r="AS92" s="319">
        <f>U92/'Population &amp; Income'!U91</f>
        <v>12449.21347882517</v>
      </c>
      <c r="AT92" s="319">
        <f>V92/'Population &amp; Income'!V91</f>
        <v>12568.02489986971</v>
      </c>
      <c r="AU92" s="319">
        <f>W92/'Population &amp; Income'!W91</f>
        <v>12810.266183882175</v>
      </c>
      <c r="AV92" s="690"/>
      <c r="AW92" s="690"/>
      <c r="AX92" s="13" t="s">
        <v>82</v>
      </c>
      <c r="AY92" s="40">
        <f t="shared" si="84"/>
        <v>6.3801348546521489E-2</v>
      </c>
      <c r="AZ92" s="40">
        <f t="shared" si="85"/>
        <v>0.10393665217797476</v>
      </c>
      <c r="BA92" s="40">
        <f t="shared" si="86"/>
        <v>0.1062312922433712</v>
      </c>
      <c r="BB92" s="40">
        <f t="shared" si="87"/>
        <v>2.2537690499363418E-2</v>
      </c>
      <c r="BC92" s="40">
        <f t="shared" si="88"/>
        <v>2.4358461140179533E-2</v>
      </c>
      <c r="BD92" s="40">
        <f t="shared" si="89"/>
        <v>-2.0676468978506644E-2</v>
      </c>
      <c r="BE92" s="40">
        <f t="shared" si="90"/>
        <v>2.7793262189537132E-3</v>
      </c>
      <c r="BF92" s="40">
        <f t="shared" si="91"/>
        <v>-2.7465968508710126E-3</v>
      </c>
      <c r="BG92" s="40">
        <f t="shared" si="92"/>
        <v>1.9346132730528248E-2</v>
      </c>
      <c r="BH92" s="40">
        <f t="shared" si="93"/>
        <v>2.7631429348809997E-2</v>
      </c>
      <c r="BI92" s="40">
        <f t="shared" si="94"/>
        <v>1.9427407173527967E-2</v>
      </c>
      <c r="BJ92" s="40">
        <f t="shared" si="95"/>
        <v>2.8852850684569727E-2</v>
      </c>
      <c r="BK92" s="40">
        <f t="shared" si="96"/>
        <v>-9.2035295413665022E-3</v>
      </c>
      <c r="BL92" s="40">
        <f t="shared" si="97"/>
        <v>1.395541128508497E-2</v>
      </c>
      <c r="BM92" s="40">
        <f t="shared" si="98"/>
        <v>4.2752277742433058E-2</v>
      </c>
      <c r="BN92" s="40">
        <f t="shared" si="99"/>
        <v>1.7554358344341357E-2</v>
      </c>
      <c r="BO92" s="40">
        <f t="shared" si="100"/>
        <v>3.4295773665121501E-2</v>
      </c>
      <c r="BP92" s="691">
        <f t="shared" si="101"/>
        <v>2.1509644316907418E-2</v>
      </c>
      <c r="BQ92" s="691">
        <f t="shared" si="102"/>
        <v>3.5017247910347597E-2</v>
      </c>
      <c r="BR92" s="691">
        <f t="shared" si="103"/>
        <v>5.6613885494946059E-3</v>
      </c>
      <c r="BS92" s="691">
        <f t="shared" si="104"/>
        <v>5.2073130528808185E-3</v>
      </c>
      <c r="BT92" s="40"/>
      <c r="BU92" s="3"/>
      <c r="BV92" s="13" t="s">
        <v>82</v>
      </c>
      <c r="BW92" s="40">
        <f t="shared" si="105"/>
        <v>6.3801348546521489E-2</v>
      </c>
      <c r="BX92" s="40">
        <f t="shared" si="106"/>
        <v>0.17436929929686179</v>
      </c>
      <c r="BY92" s="40">
        <f t="shared" si="107"/>
        <v>0.29912406753210979</v>
      </c>
      <c r="BZ92" s="40">
        <f t="shared" si="108"/>
        <v>0.32840332368642255</v>
      </c>
      <c r="CA92" s="40">
        <f t="shared" si="109"/>
        <v>0.36076118442492361</v>
      </c>
      <c r="CB92" s="40">
        <f t="shared" si="110"/>
        <v>0.33262544800800575</v>
      </c>
      <c r="CC92" s="40">
        <f t="shared" si="111"/>
        <v>0.33632924885569931</v>
      </c>
      <c r="CD92" s="40">
        <f t="shared" si="112"/>
        <v>0.33265889114906544</v>
      </c>
      <c r="CE92" s="40">
        <f t="shared" si="113"/>
        <v>0.35844068694175385</v>
      </c>
      <c r="CF92" s="40">
        <f t="shared" si="114"/>
        <v>0.39597634480753385</v>
      </c>
      <c r="CG92" s="40">
        <f t="shared" si="115"/>
        <v>0.42309654566272309</v>
      </c>
      <c r="CH92" s="40">
        <f t="shared" si="116"/>
        <v>0.4641569378044566</v>
      </c>
      <c r="CI92" s="40">
        <f t="shared" si="117"/>
        <v>0.45068152617417656</v>
      </c>
      <c r="CJ92" s="40">
        <f t="shared" si="118"/>
        <v>0.47092638351561195</v>
      </c>
      <c r="CK92" s="40">
        <f t="shared" si="119"/>
        <v>0.53381183680234401</v>
      </c>
      <c r="CL92" s="113">
        <f t="shared" si="120"/>
        <v>0.56073691941836479</v>
      </c>
      <c r="CM92" s="113">
        <f t="shared" si="121"/>
        <v>0.61426359955753596</v>
      </c>
      <c r="CN92" s="691">
        <f t="shared" si="122"/>
        <v>0.64898583541774923</v>
      </c>
      <c r="CO92" s="691">
        <f t="shared" si="123"/>
        <v>0.70672878121722416</v>
      </c>
      <c r="CP92" s="691">
        <f t="shared" si="124"/>
        <v>0.71639123599630028</v>
      </c>
      <c r="CQ92" s="691">
        <f t="shared" si="125"/>
        <v>0.72532902248335407</v>
      </c>
    </row>
    <row r="93" spans="1:95" ht="14">
      <c r="A93" s="13" t="s">
        <v>83</v>
      </c>
      <c r="B93" s="319">
        <v>214620459</v>
      </c>
      <c r="C93" s="319">
        <v>244909667</v>
      </c>
      <c r="D93" s="319">
        <v>257412533</v>
      </c>
      <c r="E93" s="319">
        <v>277090091</v>
      </c>
      <c r="F93" s="319">
        <v>298686318</v>
      </c>
      <c r="G93" s="319">
        <v>328319384</v>
      </c>
      <c r="H93" s="319">
        <v>341663216</v>
      </c>
      <c r="I93" s="319">
        <v>363614549</v>
      </c>
      <c r="J93" s="319">
        <v>373248584.24012715</v>
      </c>
      <c r="K93" s="319">
        <v>426826714.45902222</v>
      </c>
      <c r="L93" s="319">
        <v>455714720.90480244</v>
      </c>
      <c r="M93" s="319">
        <v>499643361.73854369</v>
      </c>
      <c r="N93" s="319">
        <v>520102181.76980138</v>
      </c>
      <c r="O93" s="319">
        <v>521407157.39482075</v>
      </c>
      <c r="P93" s="319">
        <v>518990561</v>
      </c>
      <c r="Q93" s="319">
        <v>517751283</v>
      </c>
      <c r="R93" s="319">
        <v>527839808</v>
      </c>
      <c r="S93" s="319">
        <v>530330335</v>
      </c>
      <c r="T93" s="340">
        <v>543764810</v>
      </c>
      <c r="U93" s="340">
        <v>551514174</v>
      </c>
      <c r="V93" s="666">
        <v>564385162</v>
      </c>
      <c r="W93" s="667">
        <v>573422713</v>
      </c>
      <c r="X93" s="290"/>
      <c r="Y93" s="13" t="s">
        <v>83</v>
      </c>
      <c r="Z93" s="319">
        <f>B93/'Population &amp; Income'!B92</f>
        <v>9687.6617766543295</v>
      </c>
      <c r="AA93" s="319">
        <f>C93/'Population &amp; Income'!C92</f>
        <v>10758.16679112673</v>
      </c>
      <c r="AB93" s="319">
        <f>D93/'Population &amp; Income'!D92</f>
        <v>10991.14146029035</v>
      </c>
      <c r="AC93" s="319">
        <f>E93/'Population &amp; Income'!E92</f>
        <v>11511.366000581613</v>
      </c>
      <c r="AD93" s="319">
        <f>F93/'Population &amp; Income'!F92</f>
        <v>12070.572560113154</v>
      </c>
      <c r="AE93" s="319">
        <f>G93/'Population &amp; Income'!G92</f>
        <v>12912.742232360575</v>
      </c>
      <c r="AF93" s="319">
        <f>H93/'Population &amp; Income'!H92</f>
        <v>13007.812990177415</v>
      </c>
      <c r="AG93" s="319">
        <f>I93/'Population &amp; Income'!I92</f>
        <v>13383.435128271192</v>
      </c>
      <c r="AH93" s="319">
        <f>J93/'Population &amp; Income'!J92</f>
        <v>13344.127283262205</v>
      </c>
      <c r="AI93" s="319">
        <f>K93/'Population &amp; Income'!K92</f>
        <v>14670.105325967425</v>
      </c>
      <c r="AJ93" s="319">
        <f>L93/'Population &amp; Income'!L92</f>
        <v>15102.393401981853</v>
      </c>
      <c r="AK93" s="319">
        <f>M93/'Population &amp; Income'!M92</f>
        <v>16038.885520626081</v>
      </c>
      <c r="AL93" s="319">
        <f>N93/'Population &amp; Income'!N92</f>
        <v>16265.900915396447</v>
      </c>
      <c r="AM93" s="319">
        <f>O93/'Population &amp; Income'!O92</f>
        <v>16132.647196621929</v>
      </c>
      <c r="AN93" s="319">
        <f>P93/'Population &amp; Income'!P92</f>
        <v>15937.555613560988</v>
      </c>
      <c r="AO93" s="319">
        <f>Q93/'Population &amp; Income'!Q92</f>
        <v>15887.789462378791</v>
      </c>
      <c r="AP93" s="319">
        <f>R93/'Population &amp; Income'!R92</f>
        <v>16115.769792080115</v>
      </c>
      <c r="AQ93" s="319">
        <f>S93/'Population &amp; Income'!S92</f>
        <v>16071.103215248946</v>
      </c>
      <c r="AR93" s="319">
        <f>T93/'Population &amp; Income'!T92</f>
        <v>16342.524268926758</v>
      </c>
      <c r="AS93" s="319">
        <f>U93/'Population &amp; Income'!U92</f>
        <v>16441.024713071994</v>
      </c>
      <c r="AT93" s="319">
        <f>V93/'Population &amp; Income'!V92</f>
        <v>16696.797881782142</v>
      </c>
      <c r="AU93" s="319">
        <f>W93/'Population &amp; Income'!W92</f>
        <v>16682.35862450179</v>
      </c>
      <c r="AV93" s="690"/>
      <c r="AW93" s="690"/>
      <c r="AX93" s="13" t="s">
        <v>83</v>
      </c>
      <c r="AY93" s="40">
        <f t="shared" si="84"/>
        <v>0.1411291735239463</v>
      </c>
      <c r="AZ93" s="40">
        <f t="shared" si="85"/>
        <v>5.1050928912495727E-2</v>
      </c>
      <c r="BA93" s="40">
        <f t="shared" si="86"/>
        <v>7.6443667177619509E-2</v>
      </c>
      <c r="BB93" s="40">
        <f t="shared" si="87"/>
        <v>7.7939369546058582E-2</v>
      </c>
      <c r="BC93" s="40">
        <f t="shared" si="88"/>
        <v>9.9211327115425491E-2</v>
      </c>
      <c r="BD93" s="40">
        <f t="shared" si="89"/>
        <v>4.0642839412734763E-2</v>
      </c>
      <c r="BE93" s="40">
        <f t="shared" si="90"/>
        <v>6.4248452780471393E-2</v>
      </c>
      <c r="BF93" s="40">
        <f t="shared" si="91"/>
        <v>2.6495186363203378E-2</v>
      </c>
      <c r="BG93" s="40">
        <f t="shared" si="92"/>
        <v>0.14354543454725047</v>
      </c>
      <c r="BH93" s="40">
        <f t="shared" si="93"/>
        <v>6.768087719718778E-2</v>
      </c>
      <c r="BI93" s="40">
        <f t="shared" si="94"/>
        <v>9.6395044572013769E-2</v>
      </c>
      <c r="BJ93" s="40">
        <f t="shared" si="95"/>
        <v>4.0946846486801719E-2</v>
      </c>
      <c r="BK93" s="40">
        <f t="shared" si="96"/>
        <v>2.5090754677836694E-3</v>
      </c>
      <c r="BL93" s="40">
        <f t="shared" si="97"/>
        <v>-4.6347587687425064E-3</v>
      </c>
      <c r="BM93" s="40">
        <f t="shared" si="98"/>
        <v>-2.3878623102742713E-3</v>
      </c>
      <c r="BN93" s="40">
        <f t="shared" si="99"/>
        <v>1.9485272815828059E-2</v>
      </c>
      <c r="BO93" s="40">
        <f t="shared" si="100"/>
        <v>4.7183387123390288E-3</v>
      </c>
      <c r="BP93" s="691">
        <f t="shared" si="101"/>
        <v>2.5332277098574798E-2</v>
      </c>
      <c r="BQ93" s="691">
        <f t="shared" si="102"/>
        <v>1.4251315748071303E-2</v>
      </c>
      <c r="BR93" s="691">
        <f t="shared" si="103"/>
        <v>2.3337547078164485E-2</v>
      </c>
      <c r="BS93" s="691">
        <f t="shared" si="104"/>
        <v>1.6013091074141315E-2</v>
      </c>
      <c r="BT93" s="40"/>
      <c r="BU93" s="3"/>
      <c r="BV93" s="13" t="s">
        <v>83</v>
      </c>
      <c r="BW93" s="40">
        <f t="shared" si="105"/>
        <v>0.1411291735239463</v>
      </c>
      <c r="BX93" s="40">
        <f t="shared" si="106"/>
        <v>0.19938487784149228</v>
      </c>
      <c r="BY93" s="40">
        <f t="shared" si="107"/>
        <v>0.29107025626107713</v>
      </c>
      <c r="BZ93" s="40">
        <f t="shared" si="108"/>
        <v>0.39169545807373379</v>
      </c>
      <c r="CA93" s="40">
        <f t="shared" si="109"/>
        <v>0.52976741140973893</v>
      </c>
      <c r="CB93" s="40">
        <f t="shared" si="110"/>
        <v>0.59194150265049983</v>
      </c>
      <c r="CC93" s="40">
        <f t="shared" si="111"/>
        <v>0.69422128111281323</v>
      </c>
      <c r="CD93" s="40">
        <f t="shared" si="112"/>
        <v>0.7391099896964024</v>
      </c>
      <c r="CE93" s="40">
        <f t="shared" si="113"/>
        <v>0.9887512888928367</v>
      </c>
      <c r="CF93" s="40">
        <f t="shared" si="114"/>
        <v>1.1233517206521417</v>
      </c>
      <c r="CG93" s="40">
        <f t="shared" si="115"/>
        <v>1.328032304406467</v>
      </c>
      <c r="CH93" s="40">
        <f t="shared" si="116"/>
        <v>1.4233578857913141</v>
      </c>
      <c r="CI93" s="40">
        <f t="shared" si="117"/>
        <v>1.4294382736122131</v>
      </c>
      <c r="CJ93" s="40">
        <f t="shared" si="118"/>
        <v>1.4181784132704702</v>
      </c>
      <c r="CK93" s="40">
        <f t="shared" si="119"/>
        <v>1.4124041361779027</v>
      </c>
      <c r="CL93" s="113">
        <f t="shared" si="120"/>
        <v>1.4594104889133612</v>
      </c>
      <c r="CM93" s="113">
        <f t="shared" si="121"/>
        <v>1.4710148206327338</v>
      </c>
      <c r="CN93" s="691">
        <f t="shared" si="122"/>
        <v>1.5336112527836874</v>
      </c>
      <c r="CO93" s="691">
        <f t="shared" si="123"/>
        <v>1.5697185467299741</v>
      </c>
      <c r="CP93" s="691">
        <f t="shared" si="124"/>
        <v>1.6296894742919172</v>
      </c>
      <c r="CQ93" s="691">
        <f t="shared" si="125"/>
        <v>1.6717989313404646</v>
      </c>
    </row>
    <row r="94" spans="1:95" ht="14">
      <c r="A94" s="13" t="s">
        <v>84</v>
      </c>
      <c r="B94" s="319">
        <v>122763189</v>
      </c>
      <c r="C94" s="319">
        <v>137903876</v>
      </c>
      <c r="D94" s="319">
        <v>142952535</v>
      </c>
      <c r="E94" s="319">
        <v>151026072</v>
      </c>
      <c r="F94" s="319">
        <v>155566840</v>
      </c>
      <c r="G94" s="319">
        <v>159937467</v>
      </c>
      <c r="H94" s="319">
        <v>156089352</v>
      </c>
      <c r="I94" s="319">
        <v>160166836</v>
      </c>
      <c r="J94" s="319">
        <v>167337162.41776118</v>
      </c>
      <c r="K94" s="319">
        <v>181824486.79592535</v>
      </c>
      <c r="L94" s="319">
        <v>189175357.00116882</v>
      </c>
      <c r="M94" s="319">
        <v>210247052.08968472</v>
      </c>
      <c r="N94" s="319">
        <v>215128627.95004541</v>
      </c>
      <c r="O94" s="319">
        <v>216790374.2292285</v>
      </c>
      <c r="P94" s="319">
        <v>221639428</v>
      </c>
      <c r="Q94" s="319">
        <v>232566462</v>
      </c>
      <c r="R94" s="319">
        <v>234816173</v>
      </c>
      <c r="S94" s="319">
        <v>239101106</v>
      </c>
      <c r="T94" s="340">
        <v>244201661</v>
      </c>
      <c r="U94" s="340">
        <v>250679086</v>
      </c>
      <c r="V94" s="666">
        <v>250655423</v>
      </c>
      <c r="W94" s="667">
        <v>258308981</v>
      </c>
      <c r="X94" s="290"/>
      <c r="Y94" s="13" t="s">
        <v>84</v>
      </c>
      <c r="Z94" s="319">
        <f>B94/'Population &amp; Income'!B93</f>
        <v>5549.8729204339961</v>
      </c>
      <c r="AA94" s="319">
        <f>C94/'Population &amp; Income'!C93</f>
        <v>6123.0741497202735</v>
      </c>
      <c r="AB94" s="319">
        <f>D94/'Population &amp; Income'!D93</f>
        <v>6260.5121748270121</v>
      </c>
      <c r="AC94" s="319">
        <f>E94/'Population &amp; Income'!E93</f>
        <v>6547.2784497333851</v>
      </c>
      <c r="AD94" s="319">
        <f>F94/'Population &amp; Income'!F93</f>
        <v>6649.5764052147897</v>
      </c>
      <c r="AE94" s="319">
        <f>G94/'Population &amp; Income'!G93</f>
        <v>6801.7975248787952</v>
      </c>
      <c r="AF94" s="319">
        <f>H94/'Population &amp; Income'!H93</f>
        <v>6559.4785678265252</v>
      </c>
      <c r="AG94" s="319">
        <f>I94/'Population &amp; Income'!I93</f>
        <v>6685.8756052763401</v>
      </c>
      <c r="AH94" s="319">
        <f>J94/'Population &amp; Income'!J93</f>
        <v>6922.1958475122519</v>
      </c>
      <c r="AI94" s="319">
        <f>K94/'Population &amp; Income'!K93</f>
        <v>7509.9949112356098</v>
      </c>
      <c r="AJ94" s="319">
        <f>L94/'Population &amp; Income'!L93</f>
        <v>7684.1202730073855</v>
      </c>
      <c r="AK94" s="319">
        <f>M94/'Population &amp; Income'!M93</f>
        <v>8458.6036405569976</v>
      </c>
      <c r="AL94" s="319">
        <f>N94/'Population &amp; Income'!N93</f>
        <v>8566.424877555266</v>
      </c>
      <c r="AM94" s="319">
        <f>O94/'Population &amp; Income'!O93</f>
        <v>8633.2831917975582</v>
      </c>
      <c r="AN94" s="319">
        <f>P94/'Population &amp; Income'!P93</f>
        <v>8804.299197584809</v>
      </c>
      <c r="AO94" s="319">
        <f>Q94/'Population &amp; Income'!Q93</f>
        <v>9263.0127852790065</v>
      </c>
      <c r="AP94" s="319">
        <f>R94/'Population &amp; Income'!R93</f>
        <v>9357.0899780832842</v>
      </c>
      <c r="AQ94" s="319">
        <f>S94/'Population &amp; Income'!S93</f>
        <v>9498.6932305736536</v>
      </c>
      <c r="AR94" s="319">
        <f>T94/'Population &amp; Income'!T93</f>
        <v>9727.2121489743076</v>
      </c>
      <c r="AS94" s="319">
        <f>U94/'Population &amp; Income'!U93</f>
        <v>10110.065981044565</v>
      </c>
      <c r="AT94" s="319">
        <f>V94/'Population &amp; Income'!V93</f>
        <v>10091.204275534441</v>
      </c>
      <c r="AU94" s="319">
        <f>W94/'Population &amp; Income'!W93</f>
        <v>10323.274758212772</v>
      </c>
      <c r="AV94" s="690"/>
      <c r="AW94" s="690"/>
      <c r="AX94" s="13" t="s">
        <v>84</v>
      </c>
      <c r="AY94" s="40">
        <f t="shared" si="84"/>
        <v>0.1233324673571326</v>
      </c>
      <c r="AZ94" s="40">
        <f t="shared" si="85"/>
        <v>3.660998621967667E-2</v>
      </c>
      <c r="BA94" s="40">
        <f t="shared" si="86"/>
        <v>5.647704673442832E-2</v>
      </c>
      <c r="BB94" s="40">
        <f t="shared" si="87"/>
        <v>3.0066119974304834E-2</v>
      </c>
      <c r="BC94" s="40">
        <f t="shared" si="88"/>
        <v>2.8094849776469071E-2</v>
      </c>
      <c r="BD94" s="40">
        <f t="shared" si="89"/>
        <v>-2.4060122197633652E-2</v>
      </c>
      <c r="BE94" s="40">
        <f t="shared" si="90"/>
        <v>2.612275563806556E-2</v>
      </c>
      <c r="BF94" s="40">
        <f t="shared" si="91"/>
        <v>4.4767859544663648E-2</v>
      </c>
      <c r="BG94" s="40">
        <f t="shared" si="92"/>
        <v>8.6575654617569192E-2</v>
      </c>
      <c r="BH94" s="40">
        <f t="shared" si="93"/>
        <v>4.0428384178495591E-2</v>
      </c>
      <c r="BI94" s="40">
        <f t="shared" si="94"/>
        <v>0.11138710359820131</v>
      </c>
      <c r="BJ94" s="40">
        <f t="shared" si="95"/>
        <v>2.3218284450801034E-2</v>
      </c>
      <c r="BK94" s="40">
        <f t="shared" si="96"/>
        <v>7.7244311694720635E-3</v>
      </c>
      <c r="BL94" s="40">
        <f t="shared" si="97"/>
        <v>2.2367477283120701E-2</v>
      </c>
      <c r="BM94" s="40">
        <f t="shared" si="98"/>
        <v>4.9300948385410923E-2</v>
      </c>
      <c r="BN94" s="40">
        <f t="shared" si="99"/>
        <v>9.6734111215055589E-3</v>
      </c>
      <c r="BO94" s="40">
        <f t="shared" si="100"/>
        <v>1.824803183382092E-2</v>
      </c>
      <c r="BP94" s="691">
        <f t="shared" si="101"/>
        <v>2.1332209981496281E-2</v>
      </c>
      <c r="BQ94" s="691">
        <f t="shared" si="102"/>
        <v>2.65249014829592E-2</v>
      </c>
      <c r="BR94" s="691">
        <f t="shared" si="103"/>
        <v>-9.4395589107900286E-5</v>
      </c>
      <c r="BS94" s="691">
        <f t="shared" si="104"/>
        <v>3.0534180782515925E-2</v>
      </c>
      <c r="BT94" s="40"/>
      <c r="BU94" s="3"/>
      <c r="BV94" s="13" t="s">
        <v>84</v>
      </c>
      <c r="BW94" s="40">
        <f t="shared" si="105"/>
        <v>0.1233324673571326</v>
      </c>
      <c r="BX94" s="40">
        <f t="shared" si="106"/>
        <v>0.1644576535071926</v>
      </c>
      <c r="BY94" s="40">
        <f t="shared" si="107"/>
        <v>0.23022278282458108</v>
      </c>
      <c r="BZ94" s="40">
        <f t="shared" si="108"/>
        <v>0.26721080860810809</v>
      </c>
      <c r="CA94" s="40">
        <f t="shared" si="109"/>
        <v>0.3028129059110708</v>
      </c>
      <c r="CB94" s="40">
        <f t="shared" si="110"/>
        <v>0.27146706819419625</v>
      </c>
      <c r="CC94" s="40">
        <f t="shared" si="111"/>
        <v>0.30468129171848085</v>
      </c>
      <c r="CD94" s="40">
        <f t="shared" si="112"/>
        <v>0.36308908053668415</v>
      </c>
      <c r="CE94" s="40">
        <f t="shared" si="113"/>
        <v>0.48109940998620809</v>
      </c>
      <c r="CF94" s="40">
        <f t="shared" si="114"/>
        <v>0.54097786593967367</v>
      </c>
      <c r="CG94" s="40">
        <f t="shared" si="115"/>
        <v>0.71262292713563125</v>
      </c>
      <c r="CH94" s="40">
        <f t="shared" si="116"/>
        <v>0.75238709341482979</v>
      </c>
      <c r="CI94" s="40">
        <f t="shared" si="117"/>
        <v>0.76592328690018385</v>
      </c>
      <c r="CJ94" s="40">
        <f t="shared" si="118"/>
        <v>0.80542253590365753</v>
      </c>
      <c r="CK94" s="40">
        <f t="shared" si="119"/>
        <v>0.89443157916010152</v>
      </c>
      <c r="CL94" s="113">
        <f t="shared" si="120"/>
        <v>0.9127571946668801</v>
      </c>
      <c r="CM94" s="113">
        <f t="shared" si="121"/>
        <v>0.94766124884553138</v>
      </c>
      <c r="CN94" s="691">
        <f t="shared" si="122"/>
        <v>0.98920916757872757</v>
      </c>
      <c r="CO94" s="691">
        <f t="shared" si="123"/>
        <v>1.0419727447777525</v>
      </c>
      <c r="CP94" s="691">
        <f t="shared" si="124"/>
        <v>1.041779991557567</v>
      </c>
      <c r="CQ94" s="691">
        <f t="shared" si="125"/>
        <v>1.1041240709379097</v>
      </c>
    </row>
    <row r="95" spans="1:95" ht="14">
      <c r="A95" s="13" t="s">
        <v>85</v>
      </c>
      <c r="B95" s="319">
        <v>74044715</v>
      </c>
      <c r="C95" s="319">
        <v>73073854</v>
      </c>
      <c r="D95" s="319">
        <v>81267765</v>
      </c>
      <c r="E95" s="319">
        <v>87262192</v>
      </c>
      <c r="F95" s="319">
        <v>93097434</v>
      </c>
      <c r="G95" s="319">
        <v>96491789</v>
      </c>
      <c r="H95" s="319">
        <v>98781502</v>
      </c>
      <c r="I95" s="319">
        <v>100581103</v>
      </c>
      <c r="J95" s="319">
        <v>101251469.10996774</v>
      </c>
      <c r="K95" s="319">
        <v>102331416.29968126</v>
      </c>
      <c r="L95" s="319">
        <v>107481564.85431427</v>
      </c>
      <c r="M95" s="319">
        <v>115515498.11296412</v>
      </c>
      <c r="N95" s="319">
        <v>121660574.0145288</v>
      </c>
      <c r="O95" s="319">
        <v>121244086.97736728</v>
      </c>
      <c r="P95" s="319">
        <v>125078853</v>
      </c>
      <c r="Q95" s="319">
        <v>124754709</v>
      </c>
      <c r="R95" s="319">
        <v>126913283</v>
      </c>
      <c r="S95" s="319">
        <v>129490177</v>
      </c>
      <c r="T95" s="340">
        <v>134430628</v>
      </c>
      <c r="U95" s="340">
        <v>134752878</v>
      </c>
      <c r="V95" s="666">
        <v>136079112</v>
      </c>
      <c r="W95" s="667">
        <v>139588638</v>
      </c>
      <c r="X95" s="290"/>
      <c r="Y95" s="13" t="s">
        <v>85</v>
      </c>
      <c r="Z95" s="319">
        <f>B95/'Population &amp; Income'!B94</f>
        <v>5730.5715501896138</v>
      </c>
      <c r="AA95" s="319">
        <f>C95/'Population &amp; Income'!C94</f>
        <v>5622.7957833179444</v>
      </c>
      <c r="AB95" s="319">
        <f>D95/'Population &amp; Income'!D94</f>
        <v>6150.1260027243834</v>
      </c>
      <c r="AC95" s="319">
        <f>E95/'Population &amp; Income'!E94</f>
        <v>6613.7783841139908</v>
      </c>
      <c r="AD95" s="319">
        <f>F95/'Population &amp; Income'!F94</f>
        <v>7021.4521457123465</v>
      </c>
      <c r="AE95" s="319">
        <f>G95/'Population &amp; Income'!G94</f>
        <v>7218.1170706163975</v>
      </c>
      <c r="AF95" s="319">
        <f>H95/'Population &amp; Income'!H94</f>
        <v>7417.1423637182761</v>
      </c>
      <c r="AG95" s="319">
        <f>I95/'Population &amp; Income'!I94</f>
        <v>7486.4981764049126</v>
      </c>
      <c r="AH95" s="319">
        <f>J95/'Population &amp; Income'!J94</f>
        <v>7559.4646192300834</v>
      </c>
      <c r="AI95" s="319">
        <f>K95/'Population &amp; Income'!K94</f>
        <v>7572.2522050970301</v>
      </c>
      <c r="AJ95" s="319">
        <f>L95/'Population &amp; Income'!L94</f>
        <v>8003.6908819952541</v>
      </c>
      <c r="AK95" s="319">
        <f>M95/'Population &amp; Income'!M94</f>
        <v>8648.9591279547858</v>
      </c>
      <c r="AL95" s="319">
        <f>N95/'Population &amp; Income'!N94</f>
        <v>9081.1804146098966</v>
      </c>
      <c r="AM95" s="319">
        <f>O95/'Population &amp; Income'!O94</f>
        <v>8990.366823177168</v>
      </c>
      <c r="AN95" s="319">
        <f>P95/'Population &amp; Income'!P94</f>
        <v>9249.3420838571328</v>
      </c>
      <c r="AO95" s="319">
        <f>Q95/'Population &amp; Income'!Q94</f>
        <v>9303.1102908277408</v>
      </c>
      <c r="AP95" s="319">
        <f>R95/'Population &amp; Income'!R94</f>
        <v>9469.7271302790632</v>
      </c>
      <c r="AQ95" s="319">
        <f>S95/'Population &amp; Income'!S94</f>
        <v>9660.5622948373621</v>
      </c>
      <c r="AR95" s="319">
        <f>T95/'Population &amp; Income'!T94</f>
        <v>10037.379825281863</v>
      </c>
      <c r="AS95" s="319">
        <f>U95/'Population &amp; Income'!U94</f>
        <v>10076.488297315487</v>
      </c>
      <c r="AT95" s="319">
        <f>V95/'Population &amp; Income'!V94</f>
        <v>10356.884998858361</v>
      </c>
      <c r="AU95" s="319">
        <f>W95/'Population &amp; Income'!W94</f>
        <v>10498.543772563176</v>
      </c>
      <c r="AV95" s="690"/>
      <c r="AW95" s="690"/>
      <c r="AX95" s="13" t="s">
        <v>85</v>
      </c>
      <c r="AY95" s="40">
        <f t="shared" si="84"/>
        <v>-1.3111820337211103E-2</v>
      </c>
      <c r="AZ95" s="40">
        <f t="shared" si="85"/>
        <v>0.11213191246215096</v>
      </c>
      <c r="BA95" s="40">
        <f t="shared" si="86"/>
        <v>7.3761435422765712E-2</v>
      </c>
      <c r="BB95" s="40">
        <f t="shared" si="87"/>
        <v>6.6870220266756542E-2</v>
      </c>
      <c r="BC95" s="40">
        <f t="shared" si="88"/>
        <v>3.6460242287666061E-2</v>
      </c>
      <c r="BD95" s="40">
        <f t="shared" si="89"/>
        <v>2.3729614962367418E-2</v>
      </c>
      <c r="BE95" s="40">
        <f t="shared" si="90"/>
        <v>1.8217995915875019E-2</v>
      </c>
      <c r="BF95" s="40">
        <f t="shared" si="91"/>
        <v>6.6649309857711387E-3</v>
      </c>
      <c r="BG95" s="40">
        <f t="shared" si="92"/>
        <v>1.0665990322971096E-2</v>
      </c>
      <c r="BH95" s="40">
        <f t="shared" si="93"/>
        <v>5.0328127381239499E-2</v>
      </c>
      <c r="BI95" s="40">
        <f t="shared" si="94"/>
        <v>7.4747081227738349E-2</v>
      </c>
      <c r="BJ95" s="40">
        <f t="shared" si="95"/>
        <v>5.3196982240039534E-2</v>
      </c>
      <c r="BK95" s="40">
        <f t="shared" si="96"/>
        <v>-3.4233525571873182E-3</v>
      </c>
      <c r="BL95" s="40">
        <f t="shared" si="97"/>
        <v>3.1628478701386541E-2</v>
      </c>
      <c r="BM95" s="40">
        <f t="shared" si="98"/>
        <v>-2.5915172087483083E-3</v>
      </c>
      <c r="BN95" s="40">
        <f t="shared" si="99"/>
        <v>1.7302545269052731E-2</v>
      </c>
      <c r="BO95" s="40">
        <f t="shared" si="100"/>
        <v>2.0304367983294547E-2</v>
      </c>
      <c r="BP95" s="691">
        <f t="shared" si="101"/>
        <v>3.8153094809654946E-2</v>
      </c>
      <c r="BQ95" s="691">
        <f t="shared" si="102"/>
        <v>2.3971471739312263E-3</v>
      </c>
      <c r="BR95" s="691">
        <f t="shared" si="103"/>
        <v>9.8419716126582468E-3</v>
      </c>
      <c r="BS95" s="691">
        <f t="shared" si="104"/>
        <v>2.5790335845225092E-2</v>
      </c>
      <c r="BT95" s="40"/>
      <c r="BU95" s="3"/>
      <c r="BV95" s="13" t="s">
        <v>85</v>
      </c>
      <c r="BW95" s="40">
        <f t="shared" si="105"/>
        <v>-1.3111820337211103E-2</v>
      </c>
      <c r="BX95" s="40">
        <f t="shared" si="106"/>
        <v>9.7549838634668248E-2</v>
      </c>
      <c r="BY95" s="40">
        <f t="shared" si="107"/>
        <v>0.17850669018038626</v>
      </c>
      <c r="BZ95" s="40">
        <f t="shared" si="108"/>
        <v>0.2573136921385949</v>
      </c>
      <c r="CA95" s="40">
        <f t="shared" si="109"/>
        <v>0.30315565398556804</v>
      </c>
      <c r="CB95" s="40">
        <f t="shared" si="110"/>
        <v>0.33407903589067767</v>
      </c>
      <c r="CC95" s="40">
        <f t="shared" si="111"/>
        <v>0.35838328231798855</v>
      </c>
      <c r="CD95" s="40">
        <f t="shared" si="112"/>
        <v>0.36743681314686322</v>
      </c>
      <c r="CE95" s="40">
        <f t="shared" si="113"/>
        <v>0.38202188096316209</v>
      </c>
      <c r="CF95" s="40">
        <f t="shared" si="114"/>
        <v>0.45157645423193632</v>
      </c>
      <c r="CG95" s="40">
        <f t="shared" si="115"/>
        <v>0.56007755736468323</v>
      </c>
      <c r="CH95" s="40">
        <f t="shared" si="116"/>
        <v>0.64306897547689656</v>
      </c>
      <c r="CI95" s="40">
        <f t="shared" si="117"/>
        <v>0.63744417109806262</v>
      </c>
      <c r="CJ95" s="40">
        <f t="shared" si="118"/>
        <v>0.68923403918834725</v>
      </c>
      <c r="CK95" s="40">
        <f t="shared" si="119"/>
        <v>0.68485636010618722</v>
      </c>
      <c r="CL95" s="113">
        <f t="shared" si="120"/>
        <v>0.7140086635487759</v>
      </c>
      <c r="CM95" s="113">
        <f t="shared" si="121"/>
        <v>0.74881052618002508</v>
      </c>
      <c r="CN95" s="691">
        <f t="shared" si="122"/>
        <v>0.81553305998949421</v>
      </c>
      <c r="CO95" s="691">
        <f t="shared" si="123"/>
        <v>0.8198851599334267</v>
      </c>
      <c r="CP95" s="691">
        <f t="shared" si="124"/>
        <v>0.83779641801578952</v>
      </c>
      <c r="CQ95" s="691">
        <f t="shared" si="125"/>
        <v>0.8851938048515684</v>
      </c>
    </row>
    <row r="96" spans="1:95" ht="14">
      <c r="A96" s="13" t="s">
        <v>86</v>
      </c>
      <c r="B96" s="319">
        <v>140026905</v>
      </c>
      <c r="C96" s="319">
        <v>177107663</v>
      </c>
      <c r="D96" s="319">
        <v>185972246</v>
      </c>
      <c r="E96" s="319">
        <v>196233061</v>
      </c>
      <c r="F96" s="319">
        <v>211082342</v>
      </c>
      <c r="G96" s="319">
        <v>223949080</v>
      </c>
      <c r="H96" s="319">
        <v>234631689</v>
      </c>
      <c r="I96" s="319">
        <v>244430765</v>
      </c>
      <c r="J96" s="319">
        <v>255569582.885827</v>
      </c>
      <c r="K96" s="319">
        <v>269146552.76264256</v>
      </c>
      <c r="L96" s="319">
        <v>283083994.0676657</v>
      </c>
      <c r="M96" s="319">
        <v>319572582.95317709</v>
      </c>
      <c r="N96" s="319">
        <v>327893144.66469699</v>
      </c>
      <c r="O96" s="319">
        <v>328186422.28867918</v>
      </c>
      <c r="P96" s="319">
        <v>334057687</v>
      </c>
      <c r="Q96" s="319">
        <v>343023532</v>
      </c>
      <c r="R96" s="319">
        <v>346692890</v>
      </c>
      <c r="S96" s="319">
        <v>352642188</v>
      </c>
      <c r="T96" s="340">
        <v>362093432</v>
      </c>
      <c r="U96" s="340">
        <v>377647689</v>
      </c>
      <c r="V96" s="666">
        <v>388116875</v>
      </c>
      <c r="W96" s="667">
        <v>422277483</v>
      </c>
      <c r="X96" s="290"/>
      <c r="Y96" s="13" t="s">
        <v>86</v>
      </c>
      <c r="Z96" s="319">
        <f>B96/'Population &amp; Income'!B95</f>
        <v>4987.0683453237407</v>
      </c>
      <c r="AA96" s="319">
        <f>C96/'Population &amp; Income'!C95</f>
        <v>6129.7775585782019</v>
      </c>
      <c r="AB96" s="319">
        <f>D96/'Population &amp; Income'!D95</f>
        <v>6275.6376459472231</v>
      </c>
      <c r="AC96" s="319">
        <f>E96/'Population &amp; Income'!E95</f>
        <v>6441.6853560056461</v>
      </c>
      <c r="AD96" s="319">
        <f>F96/'Population &amp; Income'!F95</f>
        <v>6761.3421954578944</v>
      </c>
      <c r="AE96" s="319">
        <f>G96/'Population &amp; Income'!G95</f>
        <v>7028.4995135423533</v>
      </c>
      <c r="AF96" s="319">
        <f>H96/'Population &amp; Income'!H95</f>
        <v>7264.3638812347135</v>
      </c>
      <c r="AG96" s="319">
        <f>I96/'Population &amp; Income'!I95</f>
        <v>7479.521572827417</v>
      </c>
      <c r="AH96" s="319">
        <f>J96/'Population &amp; Income'!J95</f>
        <v>7653.1587376722464</v>
      </c>
      <c r="AI96" s="319">
        <f>K96/'Population &amp; Income'!K95</f>
        <v>7914.9111237359966</v>
      </c>
      <c r="AJ96" s="319">
        <f>L96/'Population &amp; Income'!L95</f>
        <v>8159.9214247568807</v>
      </c>
      <c r="AK96" s="319">
        <f>M96/'Population &amp; Income'!M95</f>
        <v>9007.8806819397669</v>
      </c>
      <c r="AL96" s="319">
        <f>N96/'Population &amp; Income'!N95</f>
        <v>9123.8562152790073</v>
      </c>
      <c r="AM96" s="319">
        <f>O96/'Population &amp; Income'!O95</f>
        <v>9117.0492621240428</v>
      </c>
      <c r="AN96" s="319">
        <f>P96/'Population &amp; Income'!P95</f>
        <v>9202.9446265737351</v>
      </c>
      <c r="AO96" s="319">
        <f>Q96/'Population &amp; Income'!Q95</f>
        <v>9441.8808698045686</v>
      </c>
      <c r="AP96" s="319">
        <f>R96/'Population &amp; Income'!R95</f>
        <v>9537.3687106269426</v>
      </c>
      <c r="AQ96" s="319">
        <f>S96/'Population &amp; Income'!S95</f>
        <v>9670.4378873471178</v>
      </c>
      <c r="AR96" s="319">
        <f>T96/'Population &amp; Income'!T95</f>
        <v>9811.2348127675723</v>
      </c>
      <c r="AS96" s="319">
        <f>U96/'Population &amp; Income'!U95</f>
        <v>10063.627591536535</v>
      </c>
      <c r="AT96" s="319">
        <f>V96/'Population &amp; Income'!V95</f>
        <v>10185.1906523907</v>
      </c>
      <c r="AU96" s="319">
        <f>W96/'Population &amp; Income'!W95</f>
        <v>10921.440139661192</v>
      </c>
      <c r="AV96" s="690"/>
      <c r="AW96" s="690"/>
      <c r="AX96" s="13" t="s">
        <v>86</v>
      </c>
      <c r="AY96" s="40">
        <f t="shared" si="84"/>
        <v>0.26481166601518474</v>
      </c>
      <c r="AZ96" s="40">
        <f t="shared" si="85"/>
        <v>5.0051944957344954E-2</v>
      </c>
      <c r="BA96" s="40">
        <f t="shared" si="86"/>
        <v>5.5173904820184833E-2</v>
      </c>
      <c r="BB96" s="40">
        <f t="shared" si="87"/>
        <v>7.5671657590868441E-2</v>
      </c>
      <c r="BC96" s="40">
        <f t="shared" si="88"/>
        <v>6.095601308043095E-2</v>
      </c>
      <c r="BD96" s="40">
        <f t="shared" si="89"/>
        <v>4.7701062223609043E-2</v>
      </c>
      <c r="BE96" s="40">
        <f t="shared" si="90"/>
        <v>4.1763651115344441E-2</v>
      </c>
      <c r="BF96" s="40">
        <f t="shared" si="91"/>
        <v>4.5570441535160294E-2</v>
      </c>
      <c r="BG96" s="40">
        <f t="shared" si="92"/>
        <v>5.3124357458770533E-2</v>
      </c>
      <c r="BH96" s="40">
        <f t="shared" si="93"/>
        <v>5.178383732566106E-2</v>
      </c>
      <c r="BI96" s="40">
        <f t="shared" si="94"/>
        <v>0.12889668667310633</v>
      </c>
      <c r="BJ96" s="40">
        <f t="shared" si="95"/>
        <v>2.6036531778256468E-2</v>
      </c>
      <c r="BK96" s="40">
        <f t="shared" si="96"/>
        <v>8.9443048369338839E-4</v>
      </c>
      <c r="BL96" s="40">
        <f t="shared" si="97"/>
        <v>1.7890029302176123E-2</v>
      </c>
      <c r="BM96" s="40">
        <f t="shared" si="98"/>
        <v>2.6839211755663027E-2</v>
      </c>
      <c r="BN96" s="40">
        <f t="shared" si="99"/>
        <v>1.0697102844827567E-2</v>
      </c>
      <c r="BO96" s="40">
        <f t="shared" si="100"/>
        <v>1.7160138472986856E-2</v>
      </c>
      <c r="BP96" s="691">
        <f t="shared" si="101"/>
        <v>2.6801228898908715E-2</v>
      </c>
      <c r="BQ96" s="691">
        <f t="shared" si="102"/>
        <v>4.295647373134346E-2</v>
      </c>
      <c r="BR96" s="691">
        <f t="shared" si="103"/>
        <v>2.7722097354076488E-2</v>
      </c>
      <c r="BS96" s="691">
        <f t="shared" si="104"/>
        <v>8.8016291484362796E-2</v>
      </c>
      <c r="BT96" s="40"/>
      <c r="BU96" s="3"/>
      <c r="BV96" s="13" t="s">
        <v>86</v>
      </c>
      <c r="BW96" s="40">
        <f t="shared" si="105"/>
        <v>0.26481166601518474</v>
      </c>
      <c r="BX96" s="40">
        <f t="shared" si="106"/>
        <v>0.32811794990398452</v>
      </c>
      <c r="BY96" s="40">
        <f t="shared" si="107"/>
        <v>0.40139540326196599</v>
      </c>
      <c r="BZ96" s="40">
        <f t="shared" si="108"/>
        <v>0.5074413163670225</v>
      </c>
      <c r="CA96" s="40">
        <f t="shared" si="109"/>
        <v>0.59932892896547274</v>
      </c>
      <c r="CB96" s="40">
        <f t="shared" si="110"/>
        <v>0.67561861772207277</v>
      </c>
      <c r="CC96" s="40">
        <f t="shared" si="111"/>
        <v>0.74559856907499311</v>
      </c>
      <c r="CD96" s="40">
        <f t="shared" si="112"/>
        <v>0.82514626661088453</v>
      </c>
      <c r="CE96" s="40">
        <f t="shared" si="113"/>
        <v>0.92210598929286169</v>
      </c>
      <c r="CF96" s="40">
        <f t="shared" si="114"/>
        <v>1.021640013165082</v>
      </c>
      <c r="CG96" s="40">
        <f t="shared" si="115"/>
        <v>1.2822227125078363</v>
      </c>
      <c r="CH96" s="40">
        <f t="shared" si="116"/>
        <v>1.3416438766871053</v>
      </c>
      <c r="CI96" s="40">
        <f t="shared" si="117"/>
        <v>1.343738314352368</v>
      </c>
      <c r="CJ96" s="40">
        <f t="shared" si="118"/>
        <v>1.3856678614727649</v>
      </c>
      <c r="CK96" s="40">
        <f t="shared" si="119"/>
        <v>1.4496973063855121</v>
      </c>
      <c r="CL96" s="113">
        <f t="shared" si="120"/>
        <v>1.4759019704106151</v>
      </c>
      <c r="CM96" s="113">
        <f t="shared" si="121"/>
        <v>1.5183887910684022</v>
      </c>
      <c r="CN96" s="691">
        <f t="shared" si="122"/>
        <v>1.5858847055142724</v>
      </c>
      <c r="CO96" s="691">
        <f t="shared" si="123"/>
        <v>1.6969651939389792</v>
      </c>
      <c r="CP96" s="691">
        <f t="shared" si="124"/>
        <v>1.7717307256059112</v>
      </c>
      <c r="CQ96" s="691">
        <f t="shared" si="125"/>
        <v>2.0156881850670056</v>
      </c>
    </row>
    <row r="97" spans="1:95" ht="14">
      <c r="A97" s="13" t="s">
        <v>87</v>
      </c>
      <c r="B97" s="319">
        <v>18689810</v>
      </c>
      <c r="C97" s="319">
        <v>19897750</v>
      </c>
      <c r="D97" s="319">
        <v>20609212</v>
      </c>
      <c r="E97" s="319">
        <v>20733861</v>
      </c>
      <c r="F97" s="319">
        <v>21448293</v>
      </c>
      <c r="G97" s="319">
        <v>21387251</v>
      </c>
      <c r="H97" s="319">
        <v>22244957</v>
      </c>
      <c r="I97" s="319">
        <v>22540110</v>
      </c>
      <c r="J97" s="319">
        <v>22605878.410459593</v>
      </c>
      <c r="K97" s="319">
        <v>22866363.547934759</v>
      </c>
      <c r="L97" s="319">
        <v>23581330.149459772</v>
      </c>
      <c r="M97" s="319">
        <v>24324773.761138327</v>
      </c>
      <c r="N97" s="319">
        <v>24381189.113207579</v>
      </c>
      <c r="O97" s="319">
        <v>24360139.904967148</v>
      </c>
      <c r="P97" s="319">
        <v>24594533</v>
      </c>
      <c r="Q97" s="319">
        <v>26168669</v>
      </c>
      <c r="R97" s="319">
        <v>27815192</v>
      </c>
      <c r="S97" s="319">
        <v>29598429</v>
      </c>
      <c r="T97" s="340">
        <v>30594403</v>
      </c>
      <c r="U97" s="340">
        <v>31959599</v>
      </c>
      <c r="V97" s="666">
        <v>32026180</v>
      </c>
      <c r="W97" s="667">
        <v>31814771</v>
      </c>
      <c r="X97" s="290"/>
      <c r="Y97" s="13" t="s">
        <v>87</v>
      </c>
      <c r="Z97" s="319">
        <f>B97/'Population &amp; Income'!B96</f>
        <v>7836.3983228511534</v>
      </c>
      <c r="AA97" s="319">
        <f>C97/'Population &amp; Income'!C96</f>
        <v>8218.81453944651</v>
      </c>
      <c r="AB97" s="319">
        <f>D97/'Population &amp; Income'!D96</f>
        <v>8673.910774410775</v>
      </c>
      <c r="AC97" s="319">
        <f>E97/'Population &amp; Income'!E96</f>
        <v>8693.4427672955972</v>
      </c>
      <c r="AD97" s="319">
        <f>F97/'Population &amp; Income'!F96</f>
        <v>9004.3211586901762</v>
      </c>
      <c r="AE97" s="319">
        <f>G97/'Population &amp; Income'!G96</f>
        <v>9202.7758175559375</v>
      </c>
      <c r="AF97" s="319">
        <f>H97/'Population &amp; Income'!H96</f>
        <v>9588.3435344827594</v>
      </c>
      <c r="AG97" s="319">
        <f>I97/'Population &amp; Income'!I96</f>
        <v>9838.5464862505451</v>
      </c>
      <c r="AH97" s="319">
        <f>J97/'Population &amp; Income'!J96</f>
        <v>9962.9256987481676</v>
      </c>
      <c r="AI97" s="319">
        <f>K97/'Population &amp; Income'!K96</f>
        <v>10249.378551293034</v>
      </c>
      <c r="AJ97" s="319">
        <f>L97/'Population &amp; Income'!L96</f>
        <v>10709.050930726509</v>
      </c>
      <c r="AK97" s="319">
        <f>M97/'Population &amp; Income'!M96</f>
        <v>10971.93223326041</v>
      </c>
      <c r="AL97" s="319">
        <f>N97/'Population &amp; Income'!N96</f>
        <v>11256.319996864071</v>
      </c>
      <c r="AM97" s="319">
        <f>O97/'Population &amp; Income'!O96</f>
        <v>11077.826241458457</v>
      </c>
      <c r="AN97" s="319">
        <f>P97/'Population &amp; Income'!P96</f>
        <v>11418.074744661095</v>
      </c>
      <c r="AO97" s="319">
        <f>Q97/'Population &amp; Income'!Q96</f>
        <v>12262.731490159325</v>
      </c>
      <c r="AP97" s="319">
        <f>R97/'Population &amp; Income'!R96</f>
        <v>13379.120731120731</v>
      </c>
      <c r="AQ97" s="319">
        <f>S97/'Population &amp; Income'!S96</f>
        <v>14161.927751196172</v>
      </c>
      <c r="AR97" s="319">
        <f>T97/'Population &amp; Income'!T96</f>
        <v>14844.44590004852</v>
      </c>
      <c r="AS97" s="319">
        <f>U97/'Population &amp; Income'!U96</f>
        <v>15582.447098976108</v>
      </c>
      <c r="AT97" s="319">
        <f>V97/'Population &amp; Income'!V96</f>
        <v>15823.211462450592</v>
      </c>
      <c r="AU97" s="319">
        <f>W97/'Population &amp; Income'!W96</f>
        <v>15466.587749149247</v>
      </c>
      <c r="AV97" s="690"/>
      <c r="AW97" s="690"/>
      <c r="AX97" s="13" t="s">
        <v>87</v>
      </c>
      <c r="AY97" s="40">
        <f t="shared" si="84"/>
        <v>6.4630940603462528E-2</v>
      </c>
      <c r="AZ97" s="40">
        <f t="shared" si="85"/>
        <v>3.575590204922667E-2</v>
      </c>
      <c r="BA97" s="40">
        <f t="shared" si="86"/>
        <v>6.0482176611119341E-3</v>
      </c>
      <c r="BB97" s="40">
        <f t="shared" si="87"/>
        <v>3.4457258105472975E-2</v>
      </c>
      <c r="BC97" s="40">
        <f t="shared" si="88"/>
        <v>-2.8460073722416978E-3</v>
      </c>
      <c r="BD97" s="40">
        <f t="shared" si="89"/>
        <v>4.0103611258875675E-2</v>
      </c>
      <c r="BE97" s="40">
        <f t="shared" si="90"/>
        <v>1.3268310655758966E-2</v>
      </c>
      <c r="BF97" s="40">
        <f t="shared" si="91"/>
        <v>2.9178389306703887E-3</v>
      </c>
      <c r="BG97" s="40">
        <f t="shared" si="92"/>
        <v>1.1522893857318178E-2</v>
      </c>
      <c r="BH97" s="40">
        <f t="shared" si="93"/>
        <v>3.1267175474850993E-2</v>
      </c>
      <c r="BI97" s="40">
        <f t="shared" si="94"/>
        <v>3.1526788648755986E-2</v>
      </c>
      <c r="BJ97" s="40">
        <f t="shared" si="95"/>
        <v>2.3192549547729553E-3</v>
      </c>
      <c r="BK97" s="40">
        <f t="shared" si="96"/>
        <v>-8.6333804896448617E-4</v>
      </c>
      <c r="BL97" s="40">
        <f t="shared" si="97"/>
        <v>9.6219929748867436E-3</v>
      </c>
      <c r="BM97" s="40">
        <f t="shared" si="98"/>
        <v>6.4003492158196298E-2</v>
      </c>
      <c r="BN97" s="40">
        <f t="shared" si="99"/>
        <v>6.2919631105426116E-2</v>
      </c>
      <c r="BO97" s="40">
        <f t="shared" si="100"/>
        <v>6.41101812275824E-2</v>
      </c>
      <c r="BP97" s="691">
        <f t="shared" si="101"/>
        <v>3.3649556197729281E-2</v>
      </c>
      <c r="BQ97" s="691">
        <f t="shared" si="102"/>
        <v>4.4622410183980381E-2</v>
      </c>
      <c r="BR97" s="691">
        <f t="shared" si="103"/>
        <v>2.083286464263835E-3</v>
      </c>
      <c r="BS97" s="691">
        <f t="shared" si="104"/>
        <v>-6.6011306999461065E-3</v>
      </c>
      <c r="BT97" s="40"/>
      <c r="BU97" s="3"/>
      <c r="BV97" s="13" t="s">
        <v>87</v>
      </c>
      <c r="BW97" s="40">
        <f t="shared" si="105"/>
        <v>6.4630940603462528E-2</v>
      </c>
      <c r="BX97" s="40">
        <f t="shared" si="106"/>
        <v>0.10269778023425599</v>
      </c>
      <c r="BY97" s="40">
        <f t="shared" si="107"/>
        <v>0.10936713642353775</v>
      </c>
      <c r="BZ97" s="40">
        <f t="shared" si="108"/>
        <v>0.14759288617701302</v>
      </c>
      <c r="CA97" s="40">
        <f t="shared" si="109"/>
        <v>0.14432682836262112</v>
      </c>
      <c r="CB97" s="40">
        <f t="shared" si="110"/>
        <v>0.19021846664037784</v>
      </c>
      <c r="CC97" s="40">
        <f t="shared" si="111"/>
        <v>0.20601065500398347</v>
      </c>
      <c r="CD97" s="40">
        <f t="shared" si="112"/>
        <v>0.20952959984395736</v>
      </c>
      <c r="CE97" s="40">
        <f t="shared" si="113"/>
        <v>0.22346688104024381</v>
      </c>
      <c r="CF97" s="40">
        <f t="shared" si="114"/>
        <v>0.26172123469739778</v>
      </c>
      <c r="CG97" s="40">
        <f t="shared" si="115"/>
        <v>0.30149925339735006</v>
      </c>
      <c r="CH97" s="40">
        <f t="shared" si="116"/>
        <v>0.30451776198942521</v>
      </c>
      <c r="CI97" s="40">
        <f t="shared" si="117"/>
        <v>0.30339152216994969</v>
      </c>
      <c r="CJ97" s="40">
        <f t="shared" si="118"/>
        <v>0.31593274623979589</v>
      </c>
      <c r="CK97" s="40">
        <f t="shared" si="119"/>
        <v>0.4001570374444684</v>
      </c>
      <c r="CL97" s="113">
        <f t="shared" si="120"/>
        <v>0.48825440173014067</v>
      </c>
      <c r="CM97" s="113">
        <f t="shared" si="121"/>
        <v>0.58366666113780719</v>
      </c>
      <c r="CN97" s="691">
        <f t="shared" si="122"/>
        <v>0.63695634145023416</v>
      </c>
      <c r="CO97" s="691">
        <f t="shared" si="123"/>
        <v>0.71000127877169428</v>
      </c>
      <c r="CP97" s="691">
        <f t="shared" si="124"/>
        <v>0.7135637012896332</v>
      </c>
      <c r="CQ97" s="691">
        <f t="shared" si="125"/>
        <v>0.7022522433347369</v>
      </c>
    </row>
    <row r="98" spans="1:95" ht="14">
      <c r="A98" s="13" t="s">
        <v>88</v>
      </c>
      <c r="B98" s="321">
        <v>89961896</v>
      </c>
      <c r="C98" s="321">
        <v>99067731</v>
      </c>
      <c r="D98" s="321">
        <v>105066537</v>
      </c>
      <c r="E98" s="321">
        <v>110361073</v>
      </c>
      <c r="F98" s="321">
        <v>115725511</v>
      </c>
      <c r="G98" s="321">
        <v>116966719</v>
      </c>
      <c r="H98" s="321">
        <v>120807918</v>
      </c>
      <c r="I98" s="321">
        <v>121302495</v>
      </c>
      <c r="J98" s="321">
        <v>123891987.16874175</v>
      </c>
      <c r="K98" s="321">
        <v>136908166.76305363</v>
      </c>
      <c r="L98" s="321">
        <v>141517835.68854633</v>
      </c>
      <c r="M98" s="321">
        <v>154376146.57802069</v>
      </c>
      <c r="N98" s="321">
        <v>159060060.25392812</v>
      </c>
      <c r="O98" s="321">
        <v>155995708.29658419</v>
      </c>
      <c r="P98" s="321">
        <v>157634513</v>
      </c>
      <c r="Q98" s="321">
        <v>164974678</v>
      </c>
      <c r="R98" s="321">
        <v>167243301</v>
      </c>
      <c r="S98" s="321">
        <v>167828568</v>
      </c>
      <c r="T98" s="342">
        <v>172009004</v>
      </c>
      <c r="U98" s="342">
        <v>179941252</v>
      </c>
      <c r="V98" s="670">
        <v>188114165</v>
      </c>
      <c r="W98" s="671">
        <v>190681855</v>
      </c>
      <c r="X98" s="290"/>
      <c r="Y98" s="13" t="s">
        <v>88</v>
      </c>
      <c r="Z98" s="321">
        <f>B98/'Population &amp; Income'!B97</f>
        <v>4994.2761339032922</v>
      </c>
      <c r="AA98" s="321">
        <f>C98/'Population &amp; Income'!C97</f>
        <v>5513.8715979295375</v>
      </c>
      <c r="AB98" s="321">
        <f>D98/'Population &amp; Income'!D97</f>
        <v>5866.3616415410388</v>
      </c>
      <c r="AC98" s="321">
        <f>E98/'Population &amp; Income'!E97</f>
        <v>6122.6670180305127</v>
      </c>
      <c r="AD98" s="321">
        <f>F98/'Population &amp; Income'!F97</f>
        <v>6455.7353006805761</v>
      </c>
      <c r="AE98" s="321">
        <f>G98/'Population &amp; Income'!G97</f>
        <v>6511.5358793074656</v>
      </c>
      <c r="AF98" s="321">
        <f>H98/'Population &amp; Income'!H97</f>
        <v>6657.1839973549349</v>
      </c>
      <c r="AG98" s="321">
        <f>I98/'Population &amp; Income'!I97</f>
        <v>6658.7525388373497</v>
      </c>
      <c r="AH98" s="321">
        <f>J98/'Population &amp; Income'!J97</f>
        <v>6797.5412689971326</v>
      </c>
      <c r="AI98" s="321">
        <f>K98/'Population &amp; Income'!K97</f>
        <v>7404.8443270622329</v>
      </c>
      <c r="AJ98" s="321">
        <f>L98/'Population &amp; Income'!L97</f>
        <v>7627.3491262555963</v>
      </c>
      <c r="AK98" s="321">
        <f>M98/'Population &amp; Income'!M97</f>
        <v>8249.6738405397682</v>
      </c>
      <c r="AL98" s="321">
        <f>N98/'Population &amp; Income'!N97</f>
        <v>8414.0954429712292</v>
      </c>
      <c r="AM98" s="321">
        <f>O98/'Population &amp; Income'!O97</f>
        <v>8372.0124669448924</v>
      </c>
      <c r="AN98" s="321">
        <f>P98/'Population &amp; Income'!P97</f>
        <v>8362.1300196276061</v>
      </c>
      <c r="AO98" s="321">
        <f>Q98/'Population &amp; Income'!Q97</f>
        <v>8848.1994100294978</v>
      </c>
      <c r="AP98" s="321">
        <f>R98/'Population &amp; Income'!R97</f>
        <v>8977.578023511729</v>
      </c>
      <c r="AQ98" s="321">
        <f>S98/'Population &amp; Income'!S97</f>
        <v>9085.0737833594976</v>
      </c>
      <c r="AR98" s="321">
        <f>T98/'Population &amp; Income'!T97</f>
        <v>9400.4264946988733</v>
      </c>
      <c r="AS98" s="321">
        <f>U98/'Population &amp; Income'!U97</f>
        <v>9856.0142411129982</v>
      </c>
      <c r="AT98" s="321">
        <f>V98/'Population &amp; Income'!V97</f>
        <v>10287.332658864705</v>
      </c>
      <c r="AU98" s="321">
        <f>W98/'Population &amp; Income'!W97</f>
        <v>10402.152364846435</v>
      </c>
      <c r="AV98" s="690"/>
      <c r="AW98" s="690"/>
      <c r="AX98" s="13" t="s">
        <v>88</v>
      </c>
      <c r="AY98" s="40">
        <f t="shared" si="84"/>
        <v>0.10121879823431022</v>
      </c>
      <c r="AZ98" s="40">
        <f t="shared" si="85"/>
        <v>6.0552572865527725E-2</v>
      </c>
      <c r="BA98" s="40">
        <f t="shared" si="86"/>
        <v>5.0392219551311568E-2</v>
      </c>
      <c r="BB98" s="40">
        <f t="shared" si="87"/>
        <v>4.8608063098480384E-2</v>
      </c>
      <c r="BC98" s="40">
        <f t="shared" si="88"/>
        <v>1.0725448427702341E-2</v>
      </c>
      <c r="BD98" s="40">
        <f t="shared" si="89"/>
        <v>3.2840102149056603E-2</v>
      </c>
      <c r="BE98" s="40">
        <f t="shared" si="90"/>
        <v>4.0939121225481261E-3</v>
      </c>
      <c r="BF98" s="40">
        <f t="shared" si="91"/>
        <v>2.1347394121957242E-2</v>
      </c>
      <c r="BG98" s="40">
        <f t="shared" si="92"/>
        <v>0.10506070563372069</v>
      </c>
      <c r="BH98" s="40">
        <f t="shared" si="93"/>
        <v>3.3669787818214218E-2</v>
      </c>
      <c r="BI98" s="40">
        <f t="shared" si="94"/>
        <v>9.0860002394136691E-2</v>
      </c>
      <c r="BJ98" s="40">
        <f t="shared" si="95"/>
        <v>3.0340915871612417E-2</v>
      </c>
      <c r="BK98" s="40">
        <f t="shared" si="96"/>
        <v>-1.9265376565631341E-2</v>
      </c>
      <c r="BL98" s="40">
        <f t="shared" si="97"/>
        <v>1.0505447369744694E-2</v>
      </c>
      <c r="BM98" s="40">
        <f t="shared" si="98"/>
        <v>4.6564453813486895E-2</v>
      </c>
      <c r="BN98" s="40">
        <f t="shared" si="99"/>
        <v>1.3751340675445962E-2</v>
      </c>
      <c r="BO98" s="40">
        <f t="shared" si="100"/>
        <v>3.4994944281804149E-3</v>
      </c>
      <c r="BP98" s="691">
        <f t="shared" si="101"/>
        <v>2.4908965439066368E-2</v>
      </c>
      <c r="BQ98" s="691">
        <f t="shared" si="102"/>
        <v>4.6115306847541539E-2</v>
      </c>
      <c r="BR98" s="691">
        <f t="shared" si="103"/>
        <v>4.5419896267032751E-2</v>
      </c>
      <c r="BS98" s="691">
        <f t="shared" si="104"/>
        <v>1.3649636644853406E-2</v>
      </c>
      <c r="BT98" s="40"/>
      <c r="BU98" s="3"/>
      <c r="BV98" s="13" t="s">
        <v>88</v>
      </c>
      <c r="BW98" s="40">
        <f t="shared" si="105"/>
        <v>0.10121879823431022</v>
      </c>
      <c r="BX98" s="40">
        <f t="shared" si="106"/>
        <v>0.16790042975528216</v>
      </c>
      <c r="BY98" s="40">
        <f t="shared" si="107"/>
        <v>0.22675352462558149</v>
      </c>
      <c r="BZ98" s="40">
        <f t="shared" si="108"/>
        <v>0.28638363735686495</v>
      </c>
      <c r="CA98" s="40">
        <f t="shared" si="109"/>
        <v>0.30018067871757614</v>
      </c>
      <c r="CB98" s="40">
        <f t="shared" si="110"/>
        <v>0.3428787450188911</v>
      </c>
      <c r="CC98" s="40">
        <f t="shared" si="111"/>
        <v>0.34837637259223614</v>
      </c>
      <c r="CD98" s="40">
        <f t="shared" si="112"/>
        <v>0.37716069444269767</v>
      </c>
      <c r="CE98" s="40">
        <f t="shared" si="113"/>
        <v>0.52184616877187229</v>
      </c>
      <c r="CF98" s="40">
        <f t="shared" si="114"/>
        <v>0.57308640636638353</v>
      </c>
      <c r="CG98" s="40">
        <f t="shared" si="115"/>
        <v>0.71601704101501695</v>
      </c>
      <c r="CH98" s="40">
        <f t="shared" si="116"/>
        <v>0.76808256969070687</v>
      </c>
      <c r="CI98" s="40">
        <f t="shared" si="117"/>
        <v>0.73401979318648625</v>
      </c>
      <c r="CJ98" s="40">
        <f t="shared" si="118"/>
        <v>0.7522364468619025</v>
      </c>
      <c r="CK98" s="40">
        <f t="shared" si="119"/>
        <v>0.83382837996211201</v>
      </c>
      <c r="CL98" s="113">
        <f t="shared" si="120"/>
        <v>0.85904597875527211</v>
      </c>
      <c r="CM98" s="113">
        <f t="shared" si="121"/>
        <v>0.8655516997996574</v>
      </c>
      <c r="CN98" s="691">
        <f t="shared" si="122"/>
        <v>0.91202066261475856</v>
      </c>
      <c r="CO98" s="691">
        <f t="shared" si="123"/>
        <v>1.0001940821700779</v>
      </c>
      <c r="CP98" s="691">
        <f t="shared" si="124"/>
        <v>1.0910426898961756</v>
      </c>
      <c r="CQ98" s="691">
        <f t="shared" si="125"/>
        <v>1.1195846628221353</v>
      </c>
    </row>
    <row r="99" spans="1:95">
      <c r="A99" s="13" t="s">
        <v>91</v>
      </c>
      <c r="B99" s="39">
        <f t="shared" ref="B99:R99" si="126">AVERAGE(B10:B98)</f>
        <v>114998016.24719101</v>
      </c>
      <c r="C99" s="39">
        <f t="shared" si="126"/>
        <v>127222337.66292135</v>
      </c>
      <c r="D99" s="39">
        <f t="shared" si="126"/>
        <v>132387783.86516854</v>
      </c>
      <c r="E99" s="39">
        <f t="shared" si="126"/>
        <v>140223198.95505619</v>
      </c>
      <c r="F99" s="39">
        <f t="shared" si="126"/>
        <v>146494578.43820226</v>
      </c>
      <c r="G99" s="39">
        <f t="shared" si="126"/>
        <v>153934399.57303372</v>
      </c>
      <c r="H99" s="39">
        <f t="shared" si="126"/>
        <v>157262923.05617976</v>
      </c>
      <c r="I99" s="39">
        <f t="shared" si="126"/>
        <v>162117554.55056179</v>
      </c>
      <c r="J99" s="39">
        <f t="shared" si="126"/>
        <v>165357728.07938689</v>
      </c>
      <c r="K99" s="39">
        <f t="shared" si="126"/>
        <v>177283481.61660379</v>
      </c>
      <c r="L99" s="39">
        <f t="shared" si="126"/>
        <v>183279101.13341373</v>
      </c>
      <c r="M99" s="39">
        <f t="shared" si="126"/>
        <v>200868068.63848701</v>
      </c>
      <c r="N99" s="39">
        <f t="shared" si="126"/>
        <v>205898866.22514844</v>
      </c>
      <c r="O99" s="39">
        <f t="shared" si="126"/>
        <v>207099492.86000285</v>
      </c>
      <c r="P99" s="39">
        <f t="shared" si="126"/>
        <v>211838704.22471911</v>
      </c>
      <c r="Q99" s="257">
        <f t="shared" si="126"/>
        <v>215333505.85393259</v>
      </c>
      <c r="R99" s="3">
        <f t="shared" si="126"/>
        <v>220549896.88764045</v>
      </c>
      <c r="S99" s="148"/>
      <c r="T99" s="661"/>
      <c r="U99" s="661"/>
      <c r="V99" s="661"/>
      <c r="W99" s="661"/>
      <c r="X99" s="148"/>
      <c r="Y99" s="13" t="s">
        <v>91</v>
      </c>
      <c r="Z99" s="39">
        <f t="shared" ref="Z99:AQ99" si="127">AVERAGE(Z10:Z98)</f>
        <v>7345.037044083354</v>
      </c>
      <c r="AA99" s="39">
        <f t="shared" si="127"/>
        <v>8042.7067984247687</v>
      </c>
      <c r="AB99" s="39">
        <f t="shared" si="127"/>
        <v>8279.1498466032754</v>
      </c>
      <c r="AC99" s="39">
        <f t="shared" si="127"/>
        <v>8682.0217863091784</v>
      </c>
      <c r="AD99" s="39">
        <f t="shared" si="127"/>
        <v>8999.7219699303641</v>
      </c>
      <c r="AE99" s="39">
        <f t="shared" si="127"/>
        <v>9366.494950122893</v>
      </c>
      <c r="AF99" s="39">
        <f t="shared" si="127"/>
        <v>9551.62817286266</v>
      </c>
      <c r="AG99" s="39">
        <f t="shared" si="127"/>
        <v>9785.6900713145533</v>
      </c>
      <c r="AH99" s="39">
        <f t="shared" si="127"/>
        <v>9911.6404804848298</v>
      </c>
      <c r="AI99" s="39">
        <f t="shared" si="127"/>
        <v>10531.174741014827</v>
      </c>
      <c r="AJ99" s="39">
        <f t="shared" si="127"/>
        <v>10817.466483940307</v>
      </c>
      <c r="AK99" s="39">
        <f t="shared" si="127"/>
        <v>11720.678976107065</v>
      </c>
      <c r="AL99" s="39">
        <f t="shared" si="127"/>
        <v>12065.110658504014</v>
      </c>
      <c r="AM99" s="39">
        <f t="shared" si="127"/>
        <v>12209.771482994791</v>
      </c>
      <c r="AN99" s="39">
        <f t="shared" si="127"/>
        <v>12721.091627037918</v>
      </c>
      <c r="AO99" s="39">
        <f t="shared" si="127"/>
        <v>12982.658949747543</v>
      </c>
      <c r="AP99" s="39">
        <f t="shared" si="127"/>
        <v>13406.837495796561</v>
      </c>
      <c r="AQ99" s="39">
        <f t="shared" si="127"/>
        <v>13645.906260854475</v>
      </c>
      <c r="AR99" s="39"/>
      <c r="AS99" s="39"/>
      <c r="AT99" s="39"/>
      <c r="AU99" s="39"/>
      <c r="AV99" s="39"/>
      <c r="AW99" s="39"/>
      <c r="AX99" s="39"/>
      <c r="AY99" s="13" t="s">
        <v>91</v>
      </c>
      <c r="AZ99" s="40">
        <f t="shared" ref="AZ99:BP99" si="128">AVERAGE(AY10:AY98)</f>
        <v>0.10938308205538037</v>
      </c>
      <c r="BA99" s="40">
        <f t="shared" si="128"/>
        <v>3.7609080501633321E-2</v>
      </c>
      <c r="BB99" s="40">
        <f t="shared" si="128"/>
        <v>5.7035291255716512E-2</v>
      </c>
      <c r="BC99" s="40">
        <f t="shared" si="128"/>
        <v>4.3670182981396778E-2</v>
      </c>
      <c r="BD99" s="40">
        <f t="shared" si="128"/>
        <v>4.4264414587116885E-2</v>
      </c>
      <c r="BE99" s="40">
        <f t="shared" si="128"/>
        <v>2.205613727269333E-2</v>
      </c>
      <c r="BF99" s="40">
        <f t="shared" si="128"/>
        <v>3.0410869882325244E-2</v>
      </c>
      <c r="BG99" s="40">
        <f t="shared" si="128"/>
        <v>1.7504550896812923E-2</v>
      </c>
      <c r="BH99" s="40">
        <f t="shared" si="128"/>
        <v>6.6671991194069094E-2</v>
      </c>
      <c r="BI99" s="40">
        <f t="shared" si="128"/>
        <v>3.2691130955716997E-2</v>
      </c>
      <c r="BJ99" s="40">
        <f t="shared" si="128"/>
        <v>8.764874597344155E-2</v>
      </c>
      <c r="BK99" s="40">
        <f t="shared" si="128"/>
        <v>2.8649528245249717E-2</v>
      </c>
      <c r="BL99" s="40">
        <f t="shared" si="128"/>
        <v>8.6781043274194343E-3</v>
      </c>
      <c r="BM99" s="40">
        <f t="shared" si="128"/>
        <v>2.5107817799358077E-2</v>
      </c>
      <c r="BN99" s="40">
        <f t="shared" si="128"/>
        <v>2.0757671942826312E-2</v>
      </c>
      <c r="BO99" s="40">
        <f t="shared" si="128"/>
        <v>2.4940977266757897E-2</v>
      </c>
      <c r="BP99" s="40">
        <f t="shared" si="128"/>
        <v>2.9410978535070787E-2</v>
      </c>
      <c r="BQ99" s="40"/>
      <c r="BR99" s="40"/>
      <c r="BS99" s="40"/>
      <c r="BT99" s="40"/>
      <c r="BU99" s="40"/>
      <c r="BW99" s="13" t="s">
        <v>91</v>
      </c>
      <c r="BX99" s="40">
        <f t="shared" ref="BX99:CN99" si="129">(C99-$B99)/$B99</f>
        <v>0.1063002807757472</v>
      </c>
      <c r="BY99" s="40">
        <f t="shared" si="129"/>
        <v>0.15121797910494217</v>
      </c>
      <c r="BZ99" s="40">
        <f t="shared" si="129"/>
        <v>0.21935319869903702</v>
      </c>
      <c r="CA99" s="40">
        <f t="shared" si="129"/>
        <v>0.27388787405957188</v>
      </c>
      <c r="CB99" s="40">
        <f t="shared" si="129"/>
        <v>0.33858308687819461</v>
      </c>
      <c r="CC99" s="40">
        <f t="shared" si="129"/>
        <v>0.36752726862817625</v>
      </c>
      <c r="CD99" s="40">
        <f t="shared" si="129"/>
        <v>0.40974218374416294</v>
      </c>
      <c r="CE99" s="40">
        <f t="shared" si="129"/>
        <v>0.43791809176904811</v>
      </c>
      <c r="CF99" s="40">
        <f t="shared" si="129"/>
        <v>0.54162208533692158</v>
      </c>
      <c r="CG99" s="40">
        <f t="shared" si="129"/>
        <v>0.59375880658194036</v>
      </c>
      <c r="CH99" s="40">
        <f t="shared" si="129"/>
        <v>0.74670898849869072</v>
      </c>
      <c r="CI99" s="40">
        <f t="shared" si="129"/>
        <v>0.79045580910338364</v>
      </c>
      <c r="CJ99" s="40">
        <f t="shared" si="129"/>
        <v>0.80089622080817013</v>
      </c>
      <c r="CK99" s="40">
        <f t="shared" si="129"/>
        <v>0.84210746530937286</v>
      </c>
      <c r="CL99" s="40">
        <f t="shared" si="129"/>
        <v>0.87249756892386754</v>
      </c>
      <c r="CM99" s="113">
        <f t="shared" si="129"/>
        <v>0.91785827342937043</v>
      </c>
      <c r="CN99" s="113">
        <f t="shared" si="129"/>
        <v>-1</v>
      </c>
    </row>
    <row r="100" spans="1:95">
      <c r="P100" s="41"/>
      <c r="Q100" s="256"/>
      <c r="R100" s="41"/>
      <c r="S100" s="104"/>
      <c r="T100" s="104"/>
      <c r="U100" s="104"/>
      <c r="V100" s="104"/>
      <c r="W100" s="104"/>
      <c r="X100" s="96"/>
    </row>
    <row r="101" spans="1:95">
      <c r="P101" s="41"/>
      <c r="Q101" s="256"/>
      <c r="R101" s="41"/>
      <c r="S101" s="41"/>
      <c r="T101" s="41"/>
      <c r="U101" s="41"/>
      <c r="V101" s="41"/>
      <c r="W101" s="41"/>
      <c r="X101" s="41"/>
    </row>
    <row r="102" spans="1:95">
      <c r="P102" s="41"/>
      <c r="Q102" s="256"/>
      <c r="R102" s="41"/>
      <c r="S102" s="41"/>
      <c r="T102" s="41"/>
      <c r="U102" s="41"/>
      <c r="V102" s="41"/>
      <c r="W102" s="41"/>
      <c r="X102" s="41"/>
    </row>
    <row r="103" spans="1:95">
      <c r="P103" s="41"/>
      <c r="Q103" s="256"/>
      <c r="R103" s="41"/>
      <c r="S103" s="41"/>
      <c r="T103" s="41"/>
      <c r="U103" s="41"/>
      <c r="V103" s="41"/>
      <c r="W103" s="41"/>
      <c r="X103" s="41"/>
    </row>
    <row r="104" spans="1:95">
      <c r="P104" s="41"/>
      <c r="Q104" s="256"/>
      <c r="R104" s="41"/>
      <c r="S104" s="41"/>
      <c r="T104" s="41"/>
      <c r="U104" s="41"/>
      <c r="V104" s="41"/>
      <c r="W104" s="41"/>
      <c r="X104" s="41"/>
    </row>
    <row r="105" spans="1:95">
      <c r="P105" s="41"/>
      <c r="Q105" s="256"/>
      <c r="R105" s="41"/>
      <c r="S105" s="41"/>
      <c r="T105" s="41"/>
      <c r="U105" s="41"/>
      <c r="V105" s="41"/>
      <c r="W105" s="41"/>
      <c r="X105" s="41"/>
    </row>
    <row r="106" spans="1:95">
      <c r="P106" s="41"/>
      <c r="Q106" s="256"/>
      <c r="R106" s="41"/>
      <c r="S106" s="41"/>
      <c r="T106" s="41"/>
      <c r="U106" s="41"/>
      <c r="V106" s="41"/>
      <c r="W106" s="41"/>
      <c r="X106" s="41"/>
    </row>
    <row r="107" spans="1:95">
      <c r="P107" s="41"/>
      <c r="Q107" s="256"/>
      <c r="R107" s="41"/>
      <c r="S107" s="41"/>
      <c r="T107" s="41"/>
      <c r="U107" s="41"/>
      <c r="V107" s="41"/>
      <c r="W107" s="41"/>
      <c r="X107" s="41"/>
    </row>
    <row r="108" spans="1:95">
      <c r="P108" s="41"/>
      <c r="Q108" s="256"/>
      <c r="R108" s="41"/>
      <c r="S108" s="41"/>
      <c r="T108" s="41"/>
      <c r="U108" s="41"/>
      <c r="V108" s="41"/>
      <c r="W108" s="41"/>
      <c r="X108" s="41"/>
    </row>
    <row r="109" spans="1:95">
      <c r="P109" s="41"/>
      <c r="Q109" s="256"/>
      <c r="R109" s="41"/>
      <c r="S109" s="41"/>
      <c r="T109" s="41"/>
      <c r="U109" s="41"/>
      <c r="V109" s="41"/>
      <c r="W109" s="41"/>
      <c r="X109" s="41"/>
    </row>
    <row r="110" spans="1:95">
      <c r="P110" s="41"/>
      <c r="Q110" s="256"/>
      <c r="R110" s="41"/>
      <c r="S110" s="41"/>
      <c r="T110" s="41"/>
      <c r="U110" s="41"/>
      <c r="V110" s="41"/>
      <c r="W110" s="41"/>
      <c r="X110" s="41"/>
    </row>
    <row r="111" spans="1:95">
      <c r="P111" s="41"/>
      <c r="Q111" s="256"/>
      <c r="R111" s="41"/>
      <c r="S111" s="41"/>
      <c r="T111" s="41"/>
      <c r="U111" s="41"/>
      <c r="V111" s="41"/>
      <c r="W111" s="41"/>
      <c r="X111" s="41"/>
    </row>
    <row r="112" spans="1:95">
      <c r="P112" s="41"/>
      <c r="Q112" s="256"/>
      <c r="R112" s="41"/>
      <c r="S112" s="41"/>
      <c r="T112" s="41"/>
      <c r="U112" s="41"/>
      <c r="V112" s="41"/>
      <c r="W112" s="41"/>
      <c r="X112" s="41"/>
    </row>
    <row r="113" spans="16:24">
      <c r="P113" s="41"/>
      <c r="Q113" s="256"/>
      <c r="R113" s="41"/>
      <c r="S113" s="41"/>
      <c r="T113" s="41"/>
      <c r="U113" s="41"/>
      <c r="V113" s="41"/>
      <c r="W113" s="41"/>
      <c r="X113" s="41"/>
    </row>
    <row r="114" spans="16:24">
      <c r="P114" s="41"/>
      <c r="Q114" s="256"/>
      <c r="R114" s="41"/>
      <c r="S114" s="41"/>
      <c r="T114" s="41"/>
      <c r="U114" s="41"/>
      <c r="V114" s="41"/>
      <c r="W114" s="41"/>
      <c r="X114" s="41"/>
    </row>
    <row r="115" spans="16:24">
      <c r="P115" s="41"/>
      <c r="Q115" s="256"/>
      <c r="R115" s="41"/>
      <c r="S115" s="41"/>
      <c r="T115" s="41"/>
      <c r="U115" s="41"/>
      <c r="V115" s="41"/>
      <c r="W115" s="41"/>
      <c r="X115" s="41"/>
    </row>
    <row r="116" spans="16:24">
      <c r="P116" s="41"/>
      <c r="Q116" s="256"/>
      <c r="R116" s="41"/>
      <c r="S116" s="41"/>
      <c r="T116" s="41"/>
      <c r="U116" s="41"/>
      <c r="V116" s="41"/>
      <c r="W116" s="41"/>
      <c r="X116" s="41"/>
    </row>
    <row r="117" spans="16:24">
      <c r="P117" s="41"/>
      <c r="Q117" s="256"/>
      <c r="R117" s="41"/>
      <c r="S117" s="41"/>
      <c r="T117" s="41"/>
      <c r="U117" s="41"/>
      <c r="V117" s="41"/>
      <c r="W117" s="41"/>
      <c r="X117" s="41"/>
    </row>
    <row r="118" spans="16:24">
      <c r="P118" s="41"/>
      <c r="Q118" s="256"/>
      <c r="R118" s="41"/>
      <c r="S118" s="41"/>
      <c r="T118" s="41"/>
      <c r="U118" s="41"/>
      <c r="V118" s="41"/>
      <c r="W118" s="41"/>
      <c r="X118" s="41"/>
    </row>
    <row r="119" spans="16:24">
      <c r="P119" s="41"/>
      <c r="Q119" s="256"/>
      <c r="R119" s="41"/>
      <c r="S119" s="41"/>
      <c r="T119" s="41"/>
      <c r="U119" s="41"/>
      <c r="V119" s="41"/>
      <c r="W119" s="41"/>
      <c r="X119" s="41"/>
    </row>
    <row r="120" spans="16:24">
      <c r="P120" s="41"/>
      <c r="Q120" s="256"/>
      <c r="R120" s="41"/>
      <c r="S120" s="41"/>
      <c r="T120" s="41"/>
      <c r="U120" s="41"/>
      <c r="V120" s="41"/>
      <c r="W120" s="41"/>
      <c r="X120" s="41"/>
    </row>
    <row r="121" spans="16:24">
      <c r="P121" s="41"/>
      <c r="Q121" s="256"/>
      <c r="R121" s="41"/>
      <c r="S121" s="41"/>
      <c r="T121" s="41"/>
      <c r="U121" s="41"/>
      <c r="V121" s="41"/>
      <c r="W121" s="41"/>
      <c r="X121" s="41"/>
    </row>
    <row r="122" spans="16:24">
      <c r="P122" s="41"/>
      <c r="Q122" s="256"/>
      <c r="R122" s="41"/>
      <c r="S122" s="41"/>
      <c r="T122" s="41"/>
      <c r="U122" s="41"/>
      <c r="V122" s="41"/>
      <c r="W122" s="41"/>
      <c r="X122" s="41"/>
    </row>
    <row r="123" spans="16:24">
      <c r="P123" s="41"/>
      <c r="Q123" s="256"/>
      <c r="R123" s="41"/>
      <c r="S123" s="41"/>
      <c r="T123" s="41"/>
      <c r="U123" s="41"/>
      <c r="V123" s="41"/>
      <c r="W123" s="41"/>
      <c r="X123" s="41"/>
    </row>
    <row r="124" spans="16:24">
      <c r="P124" s="41"/>
      <c r="Q124" s="41"/>
      <c r="R124" s="41"/>
      <c r="S124" s="41"/>
      <c r="T124" s="41"/>
      <c r="U124" s="41"/>
      <c r="V124" s="41"/>
      <c r="W124" s="41"/>
      <c r="X124" s="41"/>
    </row>
  </sheetData>
  <mergeCells count="6">
    <mergeCell ref="BW6:CA6"/>
    <mergeCell ref="A1:C1"/>
    <mergeCell ref="E4:G4"/>
    <mergeCell ref="A6:B6"/>
    <mergeCell ref="Z6:AC6"/>
    <mergeCell ref="AY6:BC6"/>
  </mergeCells>
  <phoneticPr fontId="3" type="noConversion"/>
  <pageMargins left="0.75" right="0.75" top="1" bottom="1" header="0.5" footer="0.5"/>
  <pageSetup orientation="portrait" horizontalDpi="4294967293" verticalDpi="300" r:id="rId1"/>
  <headerFooter alignWithMargins="0"/>
  <tableParts count="4">
    <tablePart r:id="rId2"/>
    <tablePart r:id="rId3"/>
    <tablePart r:id="rId4"/>
    <tablePart r:id="rId5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10"/>
  </sheetPr>
  <dimension ref="A1:CQ209"/>
  <sheetViews>
    <sheetView workbookViewId="0">
      <selection activeCell="A82" sqref="A82:XFD82"/>
    </sheetView>
  </sheetViews>
  <sheetFormatPr baseColWidth="10" defaultColWidth="9.1640625" defaultRowHeight="13"/>
  <cols>
    <col min="1" max="1" width="15.33203125" style="3" bestFit="1" customWidth="1"/>
    <col min="2" max="19" width="14.83203125" style="3" bestFit="1" customWidth="1"/>
    <col min="20" max="20" width="18" style="486" customWidth="1"/>
    <col min="21" max="22" width="17.83203125" style="486" customWidth="1"/>
    <col min="23" max="23" width="14.83203125" style="486" customWidth="1"/>
    <col min="24" max="24" width="11.33203125" style="3" customWidth="1"/>
    <col min="25" max="25" width="15" style="3" customWidth="1"/>
    <col min="26" max="26" width="10.1640625" style="3" bestFit="1" customWidth="1"/>
    <col min="27" max="28" width="9.5" style="3" bestFit="1" customWidth="1"/>
    <col min="29" max="43" width="10.1640625" style="3" bestFit="1" customWidth="1"/>
    <col min="44" max="48" width="10.1640625" style="486" customWidth="1"/>
    <col min="49" max="49" width="9.1640625" style="3"/>
    <col min="50" max="50" width="13.5" style="3" bestFit="1" customWidth="1"/>
    <col min="51" max="67" width="9.5" style="3" bestFit="1" customWidth="1"/>
    <col min="68" max="72" width="9.5" style="486" customWidth="1"/>
    <col min="73" max="73" width="9.1640625" style="3"/>
    <col min="74" max="74" width="13.5" style="3" bestFit="1" customWidth="1"/>
    <col min="75" max="91" width="9.5" style="3" bestFit="1" customWidth="1"/>
    <col min="92" max="16384" width="9.1640625" style="3"/>
  </cols>
  <sheetData>
    <row r="1" spans="1:95">
      <c r="A1" s="979" t="s">
        <v>267</v>
      </c>
      <c r="B1" s="979"/>
      <c r="C1" s="979"/>
      <c r="D1" s="110"/>
    </row>
    <row r="2" spans="1:95" ht="18">
      <c r="H2" s="110"/>
      <c r="I2" s="14"/>
      <c r="J2" s="14"/>
      <c r="K2" s="14"/>
      <c r="L2" s="14"/>
      <c r="M2" s="14"/>
      <c r="N2" s="14"/>
      <c r="O2" s="43"/>
    </row>
    <row r="3" spans="1:95" s="4" customFormat="1">
      <c r="H3" s="110"/>
      <c r="I3" s="267"/>
      <c r="J3" s="267"/>
      <c r="K3" s="267"/>
      <c r="L3" s="18"/>
      <c r="M3" s="18"/>
      <c r="N3" s="18"/>
      <c r="O3" s="1"/>
      <c r="T3" s="664"/>
      <c r="U3" s="664"/>
      <c r="V3" s="664"/>
      <c r="W3" s="688"/>
      <c r="AR3" s="688"/>
      <c r="AS3" s="688"/>
      <c r="AT3" s="688"/>
      <c r="AU3" s="688"/>
      <c r="AV3" s="688"/>
      <c r="BP3" s="688"/>
      <c r="BQ3" s="688"/>
      <c r="BR3" s="688"/>
      <c r="BS3" s="688"/>
      <c r="BT3" s="688"/>
    </row>
    <row r="4" spans="1:95" s="4" customFormat="1">
      <c r="C4" s="96"/>
      <c r="D4" s="982" t="s">
        <v>546</v>
      </c>
      <c r="E4" s="982"/>
      <c r="F4" s="982"/>
      <c r="G4" s="982"/>
      <c r="H4" s="982"/>
      <c r="I4" s="207"/>
      <c r="J4" s="207"/>
      <c r="K4" s="207"/>
      <c r="L4" s="207"/>
      <c r="M4" s="207"/>
      <c r="N4" s="207"/>
      <c r="O4" s="1"/>
      <c r="T4" s="664"/>
      <c r="U4" s="664"/>
      <c r="V4" s="664"/>
      <c r="W4" s="688"/>
      <c r="AR4" s="688"/>
      <c r="AS4" s="688"/>
      <c r="AT4" s="688"/>
      <c r="AU4" s="1"/>
      <c r="AV4" s="688"/>
      <c r="BP4" s="688"/>
      <c r="BQ4" s="688"/>
      <c r="BR4" s="688"/>
      <c r="BS4" s="688"/>
      <c r="BT4" s="688"/>
    </row>
    <row r="5" spans="1:95" s="4" customFormat="1">
      <c r="D5" s="981" t="s">
        <v>268</v>
      </c>
      <c r="E5" s="981"/>
      <c r="F5" s="981"/>
      <c r="H5" s="110"/>
      <c r="I5" s="851"/>
      <c r="J5" s="207"/>
      <c r="K5" s="207"/>
      <c r="L5" s="207"/>
      <c r="M5" s="207"/>
      <c r="N5" s="207"/>
      <c r="O5" s="1"/>
      <c r="T5" s="664"/>
      <c r="U5" s="664"/>
      <c r="V5" s="664"/>
      <c r="W5" s="688"/>
      <c r="Z5" s="908" t="s">
        <v>437</v>
      </c>
      <c r="AR5" s="688"/>
      <c r="AS5" s="688"/>
      <c r="AT5" s="688"/>
      <c r="AU5" s="1"/>
      <c r="AV5" s="688"/>
      <c r="AX5" s="908" t="s">
        <v>437</v>
      </c>
      <c r="BP5" s="688"/>
      <c r="BQ5" s="688"/>
      <c r="BR5" s="688"/>
      <c r="BS5" s="688"/>
      <c r="BT5" s="688"/>
      <c r="BV5" s="908" t="s">
        <v>437</v>
      </c>
    </row>
    <row r="6" spans="1:95">
      <c r="A6" s="979" t="s">
        <v>319</v>
      </c>
      <c r="B6" s="979"/>
      <c r="Z6" s="979" t="s">
        <v>289</v>
      </c>
      <c r="AA6" s="979"/>
      <c r="AB6" s="979"/>
      <c r="AU6" s="1"/>
      <c r="AX6" s="979" t="s">
        <v>290</v>
      </c>
      <c r="AY6" s="979"/>
      <c r="AZ6" s="979"/>
      <c r="BA6" s="979"/>
      <c r="BV6" s="979" t="s">
        <v>291</v>
      </c>
      <c r="BW6" s="979"/>
      <c r="BX6" s="979"/>
      <c r="BY6" s="979"/>
      <c r="BZ6" s="979"/>
    </row>
    <row r="7" spans="1:95">
      <c r="F7" s="287"/>
      <c r="AU7" s="1"/>
    </row>
    <row r="9" spans="1:95" s="4" customFormat="1">
      <c r="A9" s="16" t="s">
        <v>0</v>
      </c>
      <c r="B9" s="318" t="s">
        <v>409</v>
      </c>
      <c r="C9" s="318" t="s">
        <v>410</v>
      </c>
      <c r="D9" s="318" t="s">
        <v>411</v>
      </c>
      <c r="E9" s="318" t="s">
        <v>412</v>
      </c>
      <c r="F9" s="318" t="s">
        <v>413</v>
      </c>
      <c r="G9" s="318" t="s">
        <v>414</v>
      </c>
      <c r="H9" s="318" t="s">
        <v>415</v>
      </c>
      <c r="I9" s="318" t="s">
        <v>416</v>
      </c>
      <c r="J9" s="318" t="s">
        <v>417</v>
      </c>
      <c r="K9" s="318" t="s">
        <v>418</v>
      </c>
      <c r="L9" s="318" t="s">
        <v>419</v>
      </c>
      <c r="M9" s="318" t="s">
        <v>420</v>
      </c>
      <c r="N9" s="318" t="s">
        <v>421</v>
      </c>
      <c r="O9" s="318" t="s">
        <v>422</v>
      </c>
      <c r="P9" s="318" t="s">
        <v>423</v>
      </c>
      <c r="Q9" s="318" t="s">
        <v>355</v>
      </c>
      <c r="R9" s="318" t="s">
        <v>399</v>
      </c>
      <c r="S9" s="318" t="s">
        <v>424</v>
      </c>
      <c r="T9" s="664" t="s">
        <v>446</v>
      </c>
      <c r="U9" s="664" t="s">
        <v>523</v>
      </c>
      <c r="V9" s="664" t="s">
        <v>524</v>
      </c>
      <c r="W9" s="693" t="s">
        <v>525</v>
      </c>
      <c r="X9" s="806"/>
      <c r="Y9" s="16" t="s">
        <v>0</v>
      </c>
      <c r="Z9" s="318" t="s">
        <v>409</v>
      </c>
      <c r="AA9" s="318" t="s">
        <v>410</v>
      </c>
      <c r="AB9" s="318" t="s">
        <v>411</v>
      </c>
      <c r="AC9" s="318" t="s">
        <v>412</v>
      </c>
      <c r="AD9" s="318" t="s">
        <v>413</v>
      </c>
      <c r="AE9" s="318" t="s">
        <v>414</v>
      </c>
      <c r="AF9" s="318" t="s">
        <v>415</v>
      </c>
      <c r="AG9" s="318" t="s">
        <v>416</v>
      </c>
      <c r="AH9" s="318" t="s">
        <v>417</v>
      </c>
      <c r="AI9" s="318" t="s">
        <v>418</v>
      </c>
      <c r="AJ9" s="318" t="s">
        <v>419</v>
      </c>
      <c r="AK9" s="318" t="s">
        <v>420</v>
      </c>
      <c r="AL9" s="318" t="s">
        <v>421</v>
      </c>
      <c r="AM9" s="318" t="s">
        <v>422</v>
      </c>
      <c r="AN9" s="318" t="s">
        <v>423</v>
      </c>
      <c r="AO9" s="318" t="s">
        <v>355</v>
      </c>
      <c r="AP9" s="318" t="s">
        <v>399</v>
      </c>
      <c r="AQ9" s="318" t="s">
        <v>424</v>
      </c>
      <c r="AR9" s="699" t="s">
        <v>446</v>
      </c>
      <c r="AS9" s="699" t="s">
        <v>523</v>
      </c>
      <c r="AT9" s="699" t="s">
        <v>524</v>
      </c>
      <c r="AU9" s="699" t="s">
        <v>525</v>
      </c>
      <c r="AV9" s="355"/>
      <c r="AX9" s="16" t="s">
        <v>0</v>
      </c>
      <c r="AY9" s="356" t="s">
        <v>410</v>
      </c>
      <c r="AZ9" s="356" t="s">
        <v>411</v>
      </c>
      <c r="BA9" s="356" t="s">
        <v>412</v>
      </c>
      <c r="BB9" s="356" t="s">
        <v>413</v>
      </c>
      <c r="BC9" s="356" t="s">
        <v>414</v>
      </c>
      <c r="BD9" s="356" t="s">
        <v>415</v>
      </c>
      <c r="BE9" s="356" t="s">
        <v>416</v>
      </c>
      <c r="BF9" s="356" t="s">
        <v>417</v>
      </c>
      <c r="BG9" s="356" t="s">
        <v>418</v>
      </c>
      <c r="BH9" s="356" t="s">
        <v>419</v>
      </c>
      <c r="BI9" s="356" t="s">
        <v>420</v>
      </c>
      <c r="BJ9" s="356" t="s">
        <v>421</v>
      </c>
      <c r="BK9" s="356" t="s">
        <v>422</v>
      </c>
      <c r="BL9" s="356" t="s">
        <v>423</v>
      </c>
      <c r="BM9" s="356" t="s">
        <v>355</v>
      </c>
      <c r="BN9" s="356" t="s">
        <v>399</v>
      </c>
      <c r="BO9" s="356" t="s">
        <v>424</v>
      </c>
      <c r="BP9" s="694" t="s">
        <v>446</v>
      </c>
      <c r="BQ9" s="694" t="s">
        <v>523</v>
      </c>
      <c r="BR9" s="694" t="s">
        <v>524</v>
      </c>
      <c r="BS9" s="694" t="s">
        <v>525</v>
      </c>
      <c r="BT9" s="689"/>
      <c r="BV9" s="4" t="s">
        <v>0</v>
      </c>
      <c r="BW9" s="356" t="s">
        <v>410</v>
      </c>
      <c r="BX9" s="356" t="s">
        <v>411</v>
      </c>
      <c r="BY9" s="356" t="s">
        <v>412</v>
      </c>
      <c r="BZ9" s="356" t="s">
        <v>413</v>
      </c>
      <c r="CA9" s="356" t="s">
        <v>414</v>
      </c>
      <c r="CB9" s="356" t="s">
        <v>415</v>
      </c>
      <c r="CC9" s="356" t="s">
        <v>416</v>
      </c>
      <c r="CD9" s="356" t="s">
        <v>417</v>
      </c>
      <c r="CE9" s="356" t="s">
        <v>418</v>
      </c>
      <c r="CF9" s="356" t="s">
        <v>419</v>
      </c>
      <c r="CG9" s="356" t="s">
        <v>420</v>
      </c>
      <c r="CH9" s="356" t="s">
        <v>421</v>
      </c>
      <c r="CI9" s="356" t="s">
        <v>422</v>
      </c>
      <c r="CJ9" s="356" t="s">
        <v>423</v>
      </c>
      <c r="CK9" s="356" t="s">
        <v>355</v>
      </c>
      <c r="CL9" s="356" t="s">
        <v>399</v>
      </c>
      <c r="CM9" s="356" t="s">
        <v>424</v>
      </c>
      <c r="CN9" s="693" t="s">
        <v>446</v>
      </c>
      <c r="CO9" s="693" t="s">
        <v>523</v>
      </c>
      <c r="CP9" s="693" t="s">
        <v>524</v>
      </c>
      <c r="CQ9" s="693" t="s">
        <v>525</v>
      </c>
    </row>
    <row r="10" spans="1:95">
      <c r="A10" s="13" t="s">
        <v>1</v>
      </c>
      <c r="B10" s="319">
        <v>252173403.90000001</v>
      </c>
      <c r="C10" s="319">
        <v>216427934.19999999</v>
      </c>
      <c r="D10" s="319">
        <v>229252844.69999999</v>
      </c>
      <c r="E10" s="319">
        <v>233141503.74000001</v>
      </c>
      <c r="F10" s="319">
        <v>238659855.59</v>
      </c>
      <c r="G10" s="319">
        <v>241971152.24000001</v>
      </c>
      <c r="H10" s="319">
        <v>263161353.66</v>
      </c>
      <c r="I10" s="319">
        <v>239854030.09999999</v>
      </c>
      <c r="J10" s="319">
        <v>244911625.00999999</v>
      </c>
      <c r="K10" s="319">
        <v>257094990.11000001</v>
      </c>
      <c r="L10" s="319">
        <v>266805768.38</v>
      </c>
      <c r="M10" s="319">
        <v>270169599.62</v>
      </c>
      <c r="N10" s="319">
        <v>274901955.75</v>
      </c>
      <c r="O10" s="319">
        <v>273899280.88</v>
      </c>
      <c r="P10" s="319">
        <v>272764090.69</v>
      </c>
      <c r="Q10" s="319">
        <v>280800921.67000002</v>
      </c>
      <c r="R10" s="319">
        <v>281289082.94999999</v>
      </c>
      <c r="S10" s="319">
        <v>308007429.44</v>
      </c>
      <c r="T10" s="679">
        <v>320458733.80000001</v>
      </c>
      <c r="U10" s="679">
        <v>320037370.95999998</v>
      </c>
      <c r="V10" s="680">
        <v>333360255.75999999</v>
      </c>
      <c r="W10" s="809">
        <v>346338161.51999998</v>
      </c>
      <c r="X10" s="812"/>
      <c r="Y10" s="13" t="s">
        <v>1</v>
      </c>
      <c r="Z10" s="319">
        <f>B10/'Population &amp; Income'!B9</f>
        <v>10134.364984125708</v>
      </c>
      <c r="AA10" s="319">
        <f>C10/'Population &amp; Income'!C9</f>
        <v>8702.0197901170031</v>
      </c>
      <c r="AB10" s="319">
        <f>D10/'Population &amp; Income'!D9</f>
        <v>9211.7509020773887</v>
      </c>
      <c r="AC10" s="319">
        <f>E10/'Population &amp; Income'!E9</f>
        <v>9340.2309098193182</v>
      </c>
      <c r="AD10" s="319">
        <f>F10/'Population &amp; Income'!F9</f>
        <v>9563.2255004808467</v>
      </c>
      <c r="AE10" s="319">
        <f>G10/'Population &amp; Income'!G9</f>
        <v>9691.6390531501584</v>
      </c>
      <c r="AF10" s="319">
        <f>H10/'Population &amp; Income'!H9</f>
        <v>10496.225018347161</v>
      </c>
      <c r="AG10" s="319">
        <f>I10/'Population &amp; Income'!I9</f>
        <v>9610.3065189518384</v>
      </c>
      <c r="AH10" s="319">
        <f>J10/'Population &amp; Income'!J9</f>
        <v>9801.1695617896585</v>
      </c>
      <c r="AI10" s="319">
        <f>K10/'Population &amp; Income'!K9</f>
        <v>10346.291203267738</v>
      </c>
      <c r="AJ10" s="319">
        <f>L10/'Population &amp; Income'!L9</f>
        <v>10669.243347062822</v>
      </c>
      <c r="AK10" s="319">
        <f>M10/'Population &amp; Income'!M9</f>
        <v>10814.13759836689</v>
      </c>
      <c r="AL10" s="319">
        <f>N10/'Population &amp; Income'!N9</f>
        <v>10823.337759360606</v>
      </c>
      <c r="AM10" s="319">
        <f>O10/'Population &amp; Income'!O9</f>
        <v>10708.811857528248</v>
      </c>
      <c r="AN10" s="319">
        <f>P10/'Population &amp; Income'!P9</f>
        <v>10656.096053834433</v>
      </c>
      <c r="AO10" s="319">
        <f>Q10/'Population &amp; Income'!Q9</f>
        <v>10987.671062372829</v>
      </c>
      <c r="AP10" s="319">
        <f>R10/'Population &amp; Income'!R9</f>
        <v>10996.015908291309</v>
      </c>
      <c r="AQ10" s="319">
        <f>S10/'Population &amp; Income'!S9</f>
        <v>12044.714118567183</v>
      </c>
      <c r="AR10" s="319">
        <f>T10/'Population &amp; Income'!T9</f>
        <v>12535.547402597404</v>
      </c>
      <c r="AS10" s="319">
        <f>U10/'Population &amp; Income'!U9</f>
        <v>12585.03228313016</v>
      </c>
      <c r="AT10" s="319">
        <f>V10/'Population &amp; Income'!V9</f>
        <v>13145.638856421783</v>
      </c>
      <c r="AU10" s="319">
        <f>W10/'Population &amp; Income'!W9</f>
        <v>13647.718860385388</v>
      </c>
      <c r="AV10" s="690"/>
      <c r="AW10" s="486"/>
      <c r="AX10" s="13" t="s">
        <v>1</v>
      </c>
      <c r="AY10" s="40">
        <f t="shared" ref="AY10:AY41" si="0">(C10-B10)/B10</f>
        <v>-0.14174956259136262</v>
      </c>
      <c r="AZ10" s="40">
        <f t="shared" ref="AZ10:AZ41" si="1">(D10-C10)/C10</f>
        <v>5.9257186681588726E-2</v>
      </c>
      <c r="BA10" s="40">
        <f t="shared" ref="BA10:BA41" si="2">(E10-D10)/D10</f>
        <v>1.6962315320835895E-2</v>
      </c>
      <c r="BB10" s="40">
        <f t="shared" ref="BB10:BB41" si="3">(F10-E10)/E10</f>
        <v>2.3669538719944407E-2</v>
      </c>
      <c r="BC10" s="40">
        <f t="shared" ref="BC10:BC41" si="4">(G10-F10)/F10</f>
        <v>1.3874543927021261E-2</v>
      </c>
      <c r="BD10" s="40">
        <f t="shared" ref="BD10:BD41" si="5">(H10-G10)/G10</f>
        <v>8.7573255009268228E-2</v>
      </c>
      <c r="BE10" s="40">
        <f t="shared" ref="BE10:BE41" si="6">(I10-H10)/H10</f>
        <v>-8.8566665415897916E-2</v>
      </c>
      <c r="BF10" s="40">
        <f t="shared" ref="BF10:BF41" si="7">(J10-I10)/I10</f>
        <v>2.108613688038255E-2</v>
      </c>
      <c r="BG10" s="40">
        <f t="shared" ref="BG10:BG41" si="8">(K10-J10)/J10</f>
        <v>4.9745964894490263E-2</v>
      </c>
      <c r="BH10" s="40">
        <f t="shared" ref="BH10:BH41" si="9">(L10-K10)/K10</f>
        <v>3.7771168803581709E-2</v>
      </c>
      <c r="BI10" s="40">
        <f t="shared" ref="BI10:BI41" si="10">(M10-L10)/L10</f>
        <v>1.2607790530259635E-2</v>
      </c>
      <c r="BJ10" s="40">
        <f t="shared" ref="BJ10:BJ41" si="11">(N10-M10)/M10</f>
        <v>1.7516242155505901E-2</v>
      </c>
      <c r="BK10" s="40">
        <f t="shared" ref="BK10:BK41" si="12">(O10-N10)/N10</f>
        <v>-3.6473908207181054E-3</v>
      </c>
      <c r="BL10" s="40">
        <f t="shared" ref="BL10:BL41" si="13">(P10-O10)/O10</f>
        <v>-4.1445533787193255E-3</v>
      </c>
      <c r="BM10" s="40">
        <f t="shared" ref="BM10:BM41" si="14">(Q10-P10)/P10</f>
        <v>2.9464402589320249E-2</v>
      </c>
      <c r="BN10" s="40">
        <f t="shared" ref="BN10:BN41" si="15">(R10-Q10)/Q10</f>
        <v>1.7384603907164638E-3</v>
      </c>
      <c r="BO10" s="40">
        <f t="shared" ref="BO10:BO41" si="16">(S10-R10)/R10</f>
        <v>9.4985365979344746E-2</v>
      </c>
      <c r="BP10" s="40">
        <f t="shared" ref="BP10:BP41" si="17">(T10-S10)/S10</f>
        <v>4.0425337734996208E-2</v>
      </c>
      <c r="BQ10" s="40">
        <f t="shared" ref="BQ10:BQ41" si="18">(U10-T10)/T10</f>
        <v>-1.3148739464938664E-3</v>
      </c>
      <c r="BR10" s="40">
        <f t="shared" ref="BR10:BR41" si="19">(V10-U10)/U10</f>
        <v>4.1629153370545527E-2</v>
      </c>
      <c r="BS10" s="40">
        <f t="shared" ref="BS10:BS41" si="20">(W10-V10)/V10</f>
        <v>3.893057296351287E-2</v>
      </c>
      <c r="BT10" s="40"/>
      <c r="BV10" s="13" t="s">
        <v>1</v>
      </c>
      <c r="BW10" s="40">
        <f t="shared" ref="BW10:BW41" si="21">(C10-$B10)/$B10</f>
        <v>-0.14174956259136262</v>
      </c>
      <c r="BX10" s="40">
        <f t="shared" ref="BX10:BX41" si="22">(D10-$B10)/$B10</f>
        <v>-9.0892056202283814E-2</v>
      </c>
      <c r="BY10" s="40">
        <f t="shared" ref="BY10:BY41" si="23">(E10-$B10)/$B10</f>
        <v>-7.5471480598910207E-2</v>
      </c>
      <c r="BZ10" s="40">
        <f t="shared" ref="BZ10:BZ41" si="24">(F10-$B10)/$B10</f>
        <v>-5.3588317011253231E-2</v>
      </c>
      <c r="CA10" s="40">
        <f t="shared" ref="CA10:CA41" si="25">(G10-$B10)/$B10</f>
        <v>-4.045728654257974E-2</v>
      </c>
      <c r="CB10" s="40">
        <f t="shared" ref="CB10:CB41" si="26">(H10-$B10)/$B10</f>
        <v>4.3572992195312119E-2</v>
      </c>
      <c r="CC10" s="40">
        <f t="shared" ref="CC10:CC41" si="27">(I10-$B10)/$B10</f>
        <v>-4.8852787841517538E-2</v>
      </c>
      <c r="CD10" s="40">
        <f t="shared" ref="CD10:CD41" si="28">(J10-$B10)/$B10</f>
        <v>-2.8796767532549516E-2</v>
      </c>
      <c r="CE10" s="40">
        <f t="shared" ref="CE10:CE41" si="29">(K10-$B10)/$B10</f>
        <v>1.9516674375191747E-2</v>
      </c>
      <c r="CF10" s="40">
        <f t="shared" ref="CF10:CF41" si="30">(L10-$B10)/$B10</f>
        <v>5.802501078108336E-2</v>
      </c>
      <c r="CG10" s="40">
        <f t="shared" ref="CG10:CG41" si="31">(M10-$B10)/$B10</f>
        <v>7.1364368492786948E-2</v>
      </c>
      <c r="CH10" s="40">
        <f t="shared" ref="CH10:CH41" si="32">(N10-$B10)/$B10</f>
        <v>9.0130646208087264E-2</v>
      </c>
      <c r="CI10" s="40">
        <f t="shared" ref="CI10:CI41" si="33">(O10-$B10)/$B10</f>
        <v>8.6154513695724397E-2</v>
      </c>
      <c r="CJ10" s="40">
        <f t="shared" ref="CJ10:CJ41" si="34">(P10-$B10)/$B10</f>
        <v>8.1652888336175525E-2</v>
      </c>
      <c r="CK10" s="40">
        <f t="shared" ref="CK10:CK41" si="35">(Q10-$B10)/$B10</f>
        <v>0.11352314450001366</v>
      </c>
      <c r="CL10" s="40">
        <f t="shared" ref="CL10:CL41" si="36">(R10-$B10)/$B10</f>
        <v>0.11545896038087299</v>
      </c>
      <c r="CM10" s="40">
        <f t="shared" ref="CM10:CM41" si="37">(S10-$B10)/$B10</f>
        <v>0.2214112379675896</v>
      </c>
      <c r="CN10" s="40">
        <f t="shared" ref="CN10:CN41" si="38">(T10-$B10)/$B10</f>
        <v>0.27078719977574922</v>
      </c>
      <c r="CO10" s="40">
        <f t="shared" ref="CO10:CO41" si="39">(U10-$B10)/$B10</f>
        <v>0.26911627479522621</v>
      </c>
      <c r="CP10" s="40">
        <f t="shared" ref="CP10:CP41" si="40">(V10-$B10)/$B10</f>
        <v>0.32194851084373211</v>
      </c>
      <c r="CQ10" s="40">
        <f t="shared" ref="CQ10:CQ41" si="41">(W10-$B10)/$B10</f>
        <v>0.3734127237991412</v>
      </c>
    </row>
    <row r="11" spans="1:95">
      <c r="A11" s="13" t="s">
        <v>2</v>
      </c>
      <c r="B11" s="319">
        <v>49431347.579999998</v>
      </c>
      <c r="C11" s="319">
        <v>58477775.850000001</v>
      </c>
      <c r="D11" s="319">
        <v>55537698.780000001</v>
      </c>
      <c r="E11" s="319">
        <v>59214038.469999999</v>
      </c>
      <c r="F11" s="319">
        <v>62162497.799999997</v>
      </c>
      <c r="G11" s="319">
        <v>66434709.729999997</v>
      </c>
      <c r="H11" s="319">
        <v>66125414.579999998</v>
      </c>
      <c r="I11" s="319">
        <v>67580363.730000004</v>
      </c>
      <c r="J11" s="319">
        <v>71259146.890000001</v>
      </c>
      <c r="K11" s="319">
        <v>73723231.439999998</v>
      </c>
      <c r="L11" s="319">
        <v>73125086.620000005</v>
      </c>
      <c r="M11" s="319">
        <v>75214805.170000002</v>
      </c>
      <c r="N11" s="319">
        <v>75586007.909999996</v>
      </c>
      <c r="O11" s="319">
        <v>73986121.840000004</v>
      </c>
      <c r="P11" s="319">
        <v>82746191.010000005</v>
      </c>
      <c r="Q11" s="319">
        <v>74395217.060000002</v>
      </c>
      <c r="R11" s="319">
        <v>79488369.849999994</v>
      </c>
      <c r="S11" s="319">
        <v>77551518.650000006</v>
      </c>
      <c r="T11" s="677">
        <v>79180100.099999994</v>
      </c>
      <c r="U11" s="677">
        <v>86330055.049999997</v>
      </c>
      <c r="V11" s="678">
        <v>84360703.390000001</v>
      </c>
      <c r="W11" s="809">
        <v>85200192.730000004</v>
      </c>
      <c r="X11" s="811"/>
      <c r="Y11" s="13" t="s">
        <v>2</v>
      </c>
      <c r="Z11" s="319">
        <f>B11/'Population &amp; Income'!B10</f>
        <v>3143.0881655751255</v>
      </c>
      <c r="AA11" s="319">
        <f>C11/'Population &amp; Income'!C10</f>
        <v>3666.778019187359</v>
      </c>
      <c r="AB11" s="319">
        <f>D11/'Population &amp; Income'!D10</f>
        <v>3425.7154441154703</v>
      </c>
      <c r="AC11" s="319">
        <f>E11/'Population &amp; Income'!E10</f>
        <v>3630.9810197449106</v>
      </c>
      <c r="AD11" s="319">
        <f>F11/'Population &amp; Income'!F10</f>
        <v>3762.4075656700156</v>
      </c>
      <c r="AE11" s="319">
        <f>G11/'Population &amp; Income'!G10</f>
        <v>4006.9185603136307</v>
      </c>
      <c r="AF11" s="319">
        <f>H11/'Population &amp; Income'!H10</f>
        <v>4007.3580134537301</v>
      </c>
      <c r="AG11" s="319">
        <f>I11/'Population &amp; Income'!I10</f>
        <v>4069.1452149566476</v>
      </c>
      <c r="AH11" s="319">
        <f>J11/'Population &amp; Income'!J10</f>
        <v>4297.8978823884199</v>
      </c>
      <c r="AI11" s="319">
        <f>K11/'Population &amp; Income'!K10</f>
        <v>4465.0979007934102</v>
      </c>
      <c r="AJ11" s="319">
        <f>L11/'Population &amp; Income'!L10</f>
        <v>4336.9365174070344</v>
      </c>
      <c r="AK11" s="319">
        <f>M11/'Population &amp; Income'!M10</f>
        <v>4468.0292960674824</v>
      </c>
      <c r="AL11" s="319">
        <f>N11/'Population &amp; Income'!N10</f>
        <v>4466.2023109194042</v>
      </c>
      <c r="AM11" s="319">
        <f>O11/'Population &amp; Income'!O10</f>
        <v>4342.9280253580655</v>
      </c>
      <c r="AN11" s="319">
        <f>P11/'Population &amp; Income'!P10</f>
        <v>4767.0348548219845</v>
      </c>
      <c r="AO11" s="319">
        <f>Q11/'Population &amp; Income'!Q10</f>
        <v>4303.0375996298226</v>
      </c>
      <c r="AP11" s="319">
        <f>R11/'Population &amp; Income'!R10</f>
        <v>4563.8381954412353</v>
      </c>
      <c r="AQ11" s="319">
        <f>S11/'Population &amp; Income'!S10</f>
        <v>4445.4868816279741</v>
      </c>
      <c r="AR11" s="697">
        <f>T11/'Population &amp; Income'!T10</f>
        <v>4567.6435015863854</v>
      </c>
      <c r="AS11" s="697">
        <f>U11/'Population &amp; Income'!U10</f>
        <v>4992.7739893586258</v>
      </c>
      <c r="AT11" s="697">
        <f>V11/'Population &amp; Income'!V10</f>
        <v>4862.2883798270896</v>
      </c>
      <c r="AU11" s="697">
        <f>W11/'Population &amp; Income'!W10</f>
        <v>4853.3291216177731</v>
      </c>
      <c r="AV11" s="690"/>
      <c r="AW11" s="486"/>
      <c r="AX11" s="13" t="s">
        <v>2</v>
      </c>
      <c r="AY11" s="40">
        <f t="shared" si="0"/>
        <v>0.1830099463778366</v>
      </c>
      <c r="AZ11" s="40">
        <f t="shared" si="1"/>
        <v>-5.0276827859211413E-2</v>
      </c>
      <c r="BA11" s="40">
        <f t="shared" si="2"/>
        <v>6.6195391072341389E-2</v>
      </c>
      <c r="BB11" s="40">
        <f t="shared" si="3"/>
        <v>4.9793248462419865E-2</v>
      </c>
      <c r="BC11" s="40">
        <f t="shared" si="4"/>
        <v>6.872651648820971E-2</v>
      </c>
      <c r="BD11" s="40">
        <f t="shared" si="5"/>
        <v>-4.6556258205540067E-3</v>
      </c>
      <c r="BE11" s="40">
        <f t="shared" si="6"/>
        <v>2.200287377011113E-2</v>
      </c>
      <c r="BF11" s="40">
        <f t="shared" si="7"/>
        <v>5.4435681564213391E-2</v>
      </c>
      <c r="BG11" s="40">
        <f t="shared" si="8"/>
        <v>3.4579203618641537E-2</v>
      </c>
      <c r="BH11" s="40">
        <f t="shared" si="9"/>
        <v>-8.1133830994209177E-3</v>
      </c>
      <c r="BI11" s="40">
        <f t="shared" si="10"/>
        <v>2.8577313841136025E-2</v>
      </c>
      <c r="BJ11" s="40">
        <f t="shared" si="11"/>
        <v>4.9352350133860575E-3</v>
      </c>
      <c r="BK11" s="40">
        <f t="shared" si="12"/>
        <v>-2.1166431648367668E-2</v>
      </c>
      <c r="BL11" s="40">
        <f t="shared" si="13"/>
        <v>0.11840151844888214</v>
      </c>
      <c r="BM11" s="40">
        <f t="shared" si="14"/>
        <v>-0.10092275968317109</v>
      </c>
      <c r="BN11" s="40">
        <f t="shared" si="15"/>
        <v>6.8460755829132761E-2</v>
      </c>
      <c r="BO11" s="40">
        <f t="shared" si="16"/>
        <v>-2.4366472776520126E-2</v>
      </c>
      <c r="BP11" s="691">
        <f t="shared" si="17"/>
        <v>2.0999994305075907E-2</v>
      </c>
      <c r="BQ11" s="691">
        <f t="shared" si="18"/>
        <v>9.0299897840114038E-2</v>
      </c>
      <c r="BR11" s="691">
        <f t="shared" si="19"/>
        <v>-2.2811889310847794E-2</v>
      </c>
      <c r="BS11" s="691">
        <f t="shared" si="20"/>
        <v>9.9511894313995906E-3</v>
      </c>
      <c r="BT11" s="40"/>
      <c r="BV11" s="13" t="s">
        <v>2</v>
      </c>
      <c r="BW11" s="40">
        <f t="shared" si="21"/>
        <v>0.1830099463778366</v>
      </c>
      <c r="BX11" s="40">
        <f t="shared" si="22"/>
        <v>0.12353195894806319</v>
      </c>
      <c r="BY11" s="40">
        <f t="shared" si="23"/>
        <v>0.19790459635290406</v>
      </c>
      <c r="BZ11" s="40">
        <f t="shared" si="24"/>
        <v>0.25755215755337901</v>
      </c>
      <c r="CA11" s="40">
        <f t="shared" si="25"/>
        <v>0.34397933664425501</v>
      </c>
      <c r="CB11" s="40">
        <f t="shared" si="26"/>
        <v>0.33772227174228298</v>
      </c>
      <c r="CC11" s="40">
        <f t="shared" si="27"/>
        <v>0.36715600602689469</v>
      </c>
      <c r="CD11" s="40">
        <f t="shared" si="28"/>
        <v>0.44157807501957652</v>
      </c>
      <c r="CE11" s="40">
        <f t="shared" si="29"/>
        <v>0.49142669680784778</v>
      </c>
      <c r="CF11" s="40">
        <f t="shared" si="30"/>
        <v>0.47932618065194182</v>
      </c>
      <c r="CG11" s="40">
        <f t="shared" si="31"/>
        <v>0.52160134918984147</v>
      </c>
      <c r="CH11" s="40">
        <f t="shared" si="32"/>
        <v>0.52911080944477862</v>
      </c>
      <c r="CI11" s="40">
        <f t="shared" si="33"/>
        <v>0.49674499001388556</v>
      </c>
      <c r="CJ11" s="40">
        <f t="shared" si="34"/>
        <v>0.67396186956228654</v>
      </c>
      <c r="CK11" s="40">
        <f t="shared" si="35"/>
        <v>0.50502101808166011</v>
      </c>
      <c r="CL11" s="40">
        <f t="shared" si="36"/>
        <v>0.60805589451826147</v>
      </c>
      <c r="CM11" s="40">
        <f t="shared" si="37"/>
        <v>0.56887324434135944</v>
      </c>
      <c r="CN11" s="691">
        <f t="shared" si="38"/>
        <v>0.60181957353791404</v>
      </c>
      <c r="CO11" s="691">
        <f t="shared" si="39"/>
        <v>0.74646371738668271</v>
      </c>
      <c r="CP11" s="691">
        <f t="shared" si="40"/>
        <v>0.70662358038024586</v>
      </c>
      <c r="CQ11" s="691">
        <f t="shared" si="41"/>
        <v>0.72360651491670314</v>
      </c>
    </row>
    <row r="12" spans="1:95">
      <c r="A12" s="13" t="s">
        <v>3</v>
      </c>
      <c r="B12" s="319">
        <v>36482032.810000002</v>
      </c>
      <c r="C12" s="319">
        <v>40293325.259999998</v>
      </c>
      <c r="D12" s="319">
        <v>38896640.310000002</v>
      </c>
      <c r="E12" s="319">
        <v>36200332.960000001</v>
      </c>
      <c r="F12" s="319">
        <v>35404259.090000004</v>
      </c>
      <c r="G12" s="319">
        <v>35699996.68</v>
      </c>
      <c r="H12" s="319">
        <v>33505139.23</v>
      </c>
      <c r="I12" s="319">
        <v>35990811.5</v>
      </c>
      <c r="J12" s="319">
        <v>38597523.859999999</v>
      </c>
      <c r="K12" s="319">
        <v>41374389.270000003</v>
      </c>
      <c r="L12" s="319">
        <v>46342175.299999997</v>
      </c>
      <c r="M12" s="319">
        <v>45519769.609999999</v>
      </c>
      <c r="N12" s="319">
        <v>54829927.090000004</v>
      </c>
      <c r="O12" s="319">
        <v>51675569.270000003</v>
      </c>
      <c r="P12" s="319">
        <v>58266169</v>
      </c>
      <c r="Q12" s="319">
        <v>52051640.579999998</v>
      </c>
      <c r="R12" s="319">
        <v>56988772.32</v>
      </c>
      <c r="S12" s="319">
        <v>53518469.549999997</v>
      </c>
      <c r="T12" s="677">
        <v>53799094.859999999</v>
      </c>
      <c r="U12" s="677">
        <v>52330727.799999997</v>
      </c>
      <c r="V12" s="678">
        <v>50899269.979999997</v>
      </c>
      <c r="W12" s="809">
        <v>77327383.140000001</v>
      </c>
      <c r="X12" s="811"/>
      <c r="Y12" s="13" t="s">
        <v>3</v>
      </c>
      <c r="Z12" s="319">
        <f>B12/'Population &amp; Income'!B11</f>
        <v>5247.703223532797</v>
      </c>
      <c r="AA12" s="319">
        <f>C12/'Population &amp; Income'!C11</f>
        <v>5984.4534769047968</v>
      </c>
      <c r="AB12" s="319">
        <f>D12/'Population &amp; Income'!D11</f>
        <v>5867.6482591642789</v>
      </c>
      <c r="AC12" s="319">
        <f>E12/'Population &amp; Income'!E11</f>
        <v>5528.4564691508858</v>
      </c>
      <c r="AD12" s="319">
        <f>F12/'Population &amp; Income'!F11</f>
        <v>5541.439832524652</v>
      </c>
      <c r="AE12" s="319">
        <f>G12/'Population &amp; Income'!G11</f>
        <v>5627.3639155107185</v>
      </c>
      <c r="AF12" s="319">
        <f>H12/'Population &amp; Income'!H11</f>
        <v>5413.6595944417513</v>
      </c>
      <c r="AG12" s="319">
        <f>I12/'Population &amp; Income'!I11</f>
        <v>5811.531002745035</v>
      </c>
      <c r="AH12" s="319">
        <f>J12/'Population &amp; Income'!J11</f>
        <v>6272.9601592719</v>
      </c>
      <c r="AI12" s="319">
        <f>K12/'Population &amp; Income'!K11</f>
        <v>6835.35259705931</v>
      </c>
      <c r="AJ12" s="319">
        <f>L12/'Population &amp; Income'!L11</f>
        <v>7843.9700914014893</v>
      </c>
      <c r="AK12" s="319">
        <f>M12/'Population &amp; Income'!M11</f>
        <v>7703.4641411406328</v>
      </c>
      <c r="AL12" s="319">
        <f>N12/'Population &amp; Income'!N11</f>
        <v>9456.6966350465682</v>
      </c>
      <c r="AM12" s="319">
        <f>O12/'Population &amp; Income'!O11</f>
        <v>8938.8633921466881</v>
      </c>
      <c r="AN12" s="319">
        <f>P12/'Population &amp; Income'!P11</f>
        <v>10319.902408784981</v>
      </c>
      <c r="AO12" s="319">
        <f>Q12/'Population &amp; Income'!Q11</f>
        <v>9334.9427152080334</v>
      </c>
      <c r="AP12" s="319">
        <f>R12/'Population &amp; Income'!R11</f>
        <v>10329.666905927133</v>
      </c>
      <c r="AQ12" s="319">
        <f>S12/'Population &amp; Income'!S11</f>
        <v>9821.7048173976873</v>
      </c>
      <c r="AR12" s="697">
        <f>T12/'Population &amp; Income'!T11</f>
        <v>10031.529901174716</v>
      </c>
      <c r="AS12" s="697">
        <f>U12/'Population &amp; Income'!U11</f>
        <v>9871.8596113940766</v>
      </c>
      <c r="AT12" s="697">
        <f>V12/'Population &amp; Income'!V11</f>
        <v>9616.3366672964294</v>
      </c>
      <c r="AU12" s="697">
        <f>W12/'Population &amp; Income'!W11</f>
        <v>14659.219552606635</v>
      </c>
      <c r="AV12" s="690"/>
      <c r="AW12" s="486"/>
      <c r="AX12" s="13" t="s">
        <v>3</v>
      </c>
      <c r="AY12" s="40">
        <f t="shared" si="0"/>
        <v>0.10447039697182914</v>
      </c>
      <c r="AZ12" s="40">
        <f t="shared" si="1"/>
        <v>-3.466293588299383E-2</v>
      </c>
      <c r="BA12" s="40">
        <f t="shared" si="2"/>
        <v>-6.9319800592309855E-2</v>
      </c>
      <c r="BB12" s="40">
        <f t="shared" si="3"/>
        <v>-2.1990788617320973E-2</v>
      </c>
      <c r="BC12" s="40">
        <f t="shared" si="4"/>
        <v>8.3531642124810828E-3</v>
      </c>
      <c r="BD12" s="40">
        <f t="shared" si="5"/>
        <v>-6.1480606557860307E-2</v>
      </c>
      <c r="BE12" s="40">
        <f t="shared" si="6"/>
        <v>7.4187791100845973E-2</v>
      </c>
      <c r="BF12" s="40">
        <f t="shared" si="7"/>
        <v>7.2427162694011477E-2</v>
      </c>
      <c r="BG12" s="40">
        <f t="shared" si="8"/>
        <v>7.1944133516755701E-2</v>
      </c>
      <c r="BH12" s="40">
        <f t="shared" si="9"/>
        <v>0.12006910839411632</v>
      </c>
      <c r="BI12" s="40">
        <f t="shared" si="10"/>
        <v>-1.774637648483449E-2</v>
      </c>
      <c r="BJ12" s="40">
        <f t="shared" si="11"/>
        <v>0.20452997806813822</v>
      </c>
      <c r="BK12" s="40">
        <f t="shared" si="12"/>
        <v>-5.7529856182779761E-2</v>
      </c>
      <c r="BL12" s="40">
        <f t="shared" si="13"/>
        <v>0.12753801889563579</v>
      </c>
      <c r="BM12" s="40">
        <f t="shared" si="14"/>
        <v>-0.10665757722976435</v>
      </c>
      <c r="BN12" s="40">
        <f t="shared" si="15"/>
        <v>9.4850646108107783E-2</v>
      </c>
      <c r="BO12" s="40">
        <f t="shared" si="16"/>
        <v>-6.0894499543063738E-2</v>
      </c>
      <c r="BP12" s="691">
        <f t="shared" si="17"/>
        <v>5.2435227008467847E-3</v>
      </c>
      <c r="BQ12" s="691">
        <f t="shared" si="18"/>
        <v>-2.729352722050615E-2</v>
      </c>
      <c r="BR12" s="691">
        <f t="shared" si="19"/>
        <v>-2.7354059081135126E-2</v>
      </c>
      <c r="BS12" s="691">
        <f t="shared" si="20"/>
        <v>0.51922381539822637</v>
      </c>
      <c r="BT12" s="40"/>
      <c r="BV12" s="13" t="s">
        <v>3</v>
      </c>
      <c r="BW12" s="40">
        <f t="shared" si="21"/>
        <v>0.10447039697182914</v>
      </c>
      <c r="BX12" s="40">
        <f t="shared" si="22"/>
        <v>6.6186210416929889E-2</v>
      </c>
      <c r="BY12" s="40">
        <f t="shared" si="23"/>
        <v>-7.7216050834422092E-3</v>
      </c>
      <c r="BZ12" s="40">
        <f t="shared" si="24"/>
        <v>-2.9542589515586776E-2</v>
      </c>
      <c r="CA12" s="40">
        <f t="shared" si="25"/>
        <v>-2.1436199404591311E-2</v>
      </c>
      <c r="CB12" s="40">
        <f t="shared" si="26"/>
        <v>-8.1598895420762096E-2</v>
      </c>
      <c r="CC12" s="40">
        <f t="shared" si="27"/>
        <v>-1.3464746127451398E-2</v>
      </c>
      <c r="CD12" s="40">
        <f t="shared" si="28"/>
        <v>5.79872032081536E-2</v>
      </c>
      <c r="CE12" s="40">
        <f t="shared" si="29"/>
        <v>0.13410317581477996</v>
      </c>
      <c r="CF12" s="40">
        <f t="shared" si="30"/>
        <v>0.2702739329617963</v>
      </c>
      <c r="CG12" s="40">
        <f t="shared" si="31"/>
        <v>0.24773117350858487</v>
      </c>
      <c r="CH12" s="40">
        <f t="shared" si="32"/>
        <v>0.50292960306122814</v>
      </c>
      <c r="CI12" s="40">
        <f t="shared" si="33"/>
        <v>0.41646627914427337</v>
      </c>
      <c r="CJ12" s="40">
        <f t="shared" si="34"/>
        <v>0.59711958221880668</v>
      </c>
      <c r="CK12" s="40">
        <f t="shared" si="35"/>
        <v>0.42677467703313526</v>
      </c>
      <c r="CL12" s="40">
        <f t="shared" si="36"/>
        <v>0.56210517700041496</v>
      </c>
      <c r="CM12" s="40">
        <f t="shared" si="37"/>
        <v>0.46698156401334573</v>
      </c>
      <c r="CN12" s="691">
        <f t="shared" si="38"/>
        <v>0.4746737151459734</v>
      </c>
      <c r="CO12" s="691">
        <f t="shared" si="39"/>
        <v>0.43442466796027185</v>
      </c>
      <c r="CP12" s="691">
        <f t="shared" si="40"/>
        <v>0.39518733084544894</v>
      </c>
      <c r="CQ12" s="691">
        <f t="shared" si="41"/>
        <v>1.1196018199622906</v>
      </c>
    </row>
    <row r="13" spans="1:95">
      <c r="A13" s="13" t="s">
        <v>4</v>
      </c>
      <c r="B13" s="319">
        <v>184717969.09999999</v>
      </c>
      <c r="C13" s="319">
        <v>187545377.90000001</v>
      </c>
      <c r="D13" s="319">
        <v>186357811.69999999</v>
      </c>
      <c r="E13" s="319">
        <v>190106725.34</v>
      </c>
      <c r="F13" s="319">
        <v>188978389.18000001</v>
      </c>
      <c r="G13" s="319">
        <v>190126055.52000001</v>
      </c>
      <c r="H13" s="319">
        <v>186257113.34999999</v>
      </c>
      <c r="I13" s="319">
        <v>188558335.19999999</v>
      </c>
      <c r="J13" s="319">
        <v>198492238.78999999</v>
      </c>
      <c r="K13" s="319">
        <v>220722946.38</v>
      </c>
      <c r="L13" s="319">
        <v>226619404.16</v>
      </c>
      <c r="M13" s="319">
        <v>230733025.16999999</v>
      </c>
      <c r="N13" s="319">
        <v>258289296.47</v>
      </c>
      <c r="O13" s="319">
        <v>257687108.09</v>
      </c>
      <c r="P13" s="319">
        <v>219127212.94</v>
      </c>
      <c r="Q13" s="319">
        <v>226418408.08000001</v>
      </c>
      <c r="R13" s="319">
        <v>232381001.61000001</v>
      </c>
      <c r="S13" s="319">
        <v>235790662.59999999</v>
      </c>
      <c r="T13" s="677">
        <v>244161493.94999999</v>
      </c>
      <c r="U13" s="677">
        <v>248655859.91</v>
      </c>
      <c r="V13" s="678">
        <v>256024249.19</v>
      </c>
      <c r="W13" s="809">
        <v>254872923.61000001</v>
      </c>
      <c r="X13" s="811"/>
      <c r="Y13" s="13" t="s">
        <v>4</v>
      </c>
      <c r="Z13" s="319">
        <f>B13/'Population &amp; Income'!B12</f>
        <v>7390.7881846917135</v>
      </c>
      <c r="AA13" s="319">
        <f>C13/'Population &amp; Income'!C12</f>
        <v>7432.5438077121235</v>
      </c>
      <c r="AB13" s="319">
        <f>D13/'Population &amp; Income'!D12</f>
        <v>7265.4117621832356</v>
      </c>
      <c r="AC13" s="319">
        <f>E13/'Population &amp; Income'!E12</f>
        <v>7365.6228337853545</v>
      </c>
      <c r="AD13" s="319">
        <f>F13/'Population &amp; Income'!F12</f>
        <v>7307.1838674503133</v>
      </c>
      <c r="AE13" s="319">
        <f>G13/'Population &amp; Income'!G12</f>
        <v>7373.7998572758306</v>
      </c>
      <c r="AF13" s="319">
        <f>H13/'Population &amp; Income'!H12</f>
        <v>7219.2679593023249</v>
      </c>
      <c r="AG13" s="319">
        <f>I13/'Population &amp; Income'!I12</f>
        <v>7328.9153917910444</v>
      </c>
      <c r="AH13" s="319">
        <f>J13/'Population &amp; Income'!J12</f>
        <v>7767.2564582273526</v>
      </c>
      <c r="AI13" s="319">
        <f>K13/'Population &amp; Income'!K12</f>
        <v>8580.0950973760937</v>
      </c>
      <c r="AJ13" s="319">
        <f>L13/'Population &amp; Income'!L12</f>
        <v>8760.2692087054002</v>
      </c>
      <c r="AK13" s="319">
        <f>M13/'Population &amp; Income'!M12</f>
        <v>8992.634857354431</v>
      </c>
      <c r="AL13" s="319">
        <f>N13/'Population &amp; Income'!N12</f>
        <v>10021.312038100412</v>
      </c>
      <c r="AM13" s="319">
        <f>O13/'Population &amp; Income'!O12</f>
        <v>10054.90510730451</v>
      </c>
      <c r="AN13" s="319">
        <f>P13/'Population &amp; Income'!P12</f>
        <v>8604.0212399874345</v>
      </c>
      <c r="AO13" s="319">
        <f>Q13/'Population &amp; Income'!Q12</f>
        <v>8846.8881365998514</v>
      </c>
      <c r="AP13" s="319">
        <f>R13/'Population &amp; Income'!R12</f>
        <v>9069.9426880293522</v>
      </c>
      <c r="AQ13" s="319">
        <f>S13/'Population &amp; Income'!S12</f>
        <v>9188.6778613460119</v>
      </c>
      <c r="AR13" s="697">
        <f>T13/'Population &amp; Income'!T12</f>
        <v>9408.1956670006166</v>
      </c>
      <c r="AS13" s="697">
        <f>U13/'Population &amp; Income'!U12</f>
        <v>9533.6193508933356</v>
      </c>
      <c r="AT13" s="697">
        <f>V13/'Population &amp; Income'!V12</f>
        <v>9839.139510011144</v>
      </c>
      <c r="AU13" s="697">
        <f>W13/'Population &amp; Income'!W12</f>
        <v>9940.0539608439612</v>
      </c>
      <c r="AV13" s="690"/>
      <c r="AW13" s="486"/>
      <c r="AX13" s="13" t="s">
        <v>4</v>
      </c>
      <c r="AY13" s="40">
        <f t="shared" si="0"/>
        <v>1.5306625629200965E-2</v>
      </c>
      <c r="AZ13" s="40">
        <f t="shared" si="1"/>
        <v>-6.3321539208139443E-3</v>
      </c>
      <c r="BA13" s="40">
        <f t="shared" si="2"/>
        <v>2.0116750705546173E-2</v>
      </c>
      <c r="BB13" s="40">
        <f t="shared" si="3"/>
        <v>-5.9352774499797523E-3</v>
      </c>
      <c r="BC13" s="40">
        <f t="shared" si="4"/>
        <v>6.0730030824152226E-3</v>
      </c>
      <c r="BD13" s="40">
        <f t="shared" si="5"/>
        <v>-2.0349352746094444E-2</v>
      </c>
      <c r="BE13" s="40">
        <f t="shared" si="6"/>
        <v>1.2355081685796963E-2</v>
      </c>
      <c r="BF13" s="40">
        <f t="shared" si="7"/>
        <v>5.2683449816542528E-2</v>
      </c>
      <c r="BG13" s="40">
        <f t="shared" si="8"/>
        <v>0.11199786815604189</v>
      </c>
      <c r="BH13" s="40">
        <f t="shared" si="9"/>
        <v>2.67142944433542E-2</v>
      </c>
      <c r="BI13" s="40">
        <f t="shared" si="10"/>
        <v>1.8152112901575066E-2</v>
      </c>
      <c r="BJ13" s="40">
        <f t="shared" si="11"/>
        <v>0.11942924633219298</v>
      </c>
      <c r="BK13" s="40">
        <f t="shared" si="12"/>
        <v>-2.3314492246872443E-3</v>
      </c>
      <c r="BL13" s="40">
        <f t="shared" si="13"/>
        <v>-0.14963843335357135</v>
      </c>
      <c r="BM13" s="40">
        <f t="shared" si="14"/>
        <v>3.3273800374563442E-2</v>
      </c>
      <c r="BN13" s="40">
        <f t="shared" si="15"/>
        <v>2.6334402668767323E-2</v>
      </c>
      <c r="BO13" s="40">
        <f t="shared" si="16"/>
        <v>1.4672718364999303E-2</v>
      </c>
      <c r="BP13" s="691">
        <f t="shared" si="17"/>
        <v>3.5501114665428629E-2</v>
      </c>
      <c r="BQ13" s="691">
        <f t="shared" si="18"/>
        <v>1.8407349526294987E-2</v>
      </c>
      <c r="BR13" s="691">
        <f t="shared" si="19"/>
        <v>2.9632880088436123E-2</v>
      </c>
      <c r="BS13" s="691">
        <f t="shared" si="20"/>
        <v>-4.4969395814752093E-3</v>
      </c>
      <c r="BT13" s="40"/>
      <c r="BV13" s="13" t="s">
        <v>4</v>
      </c>
      <c r="BW13" s="40">
        <f t="shared" si="21"/>
        <v>1.5306625629200965E-2</v>
      </c>
      <c r="BX13" s="40">
        <f t="shared" si="22"/>
        <v>8.8775477988946444E-3</v>
      </c>
      <c r="BY13" s="40">
        <f t="shared" si="23"/>
        <v>2.9172885920387751E-2</v>
      </c>
      <c r="BZ13" s="40">
        <f t="shared" si="24"/>
        <v>2.3064459298453889E-2</v>
      </c>
      <c r="CA13" s="40">
        <f t="shared" si="25"/>
        <v>2.9277532913282864E-2</v>
      </c>
      <c r="CB13" s="40">
        <f t="shared" si="26"/>
        <v>8.3324013224006371E-3</v>
      </c>
      <c r="CC13" s="40">
        <f t="shared" si="27"/>
        <v>2.0790430507174704E-2</v>
      </c>
      <c r="CD13" s="40">
        <f t="shared" si="28"/>
        <v>7.4569191926006279E-2</v>
      </c>
      <c r="CE13" s="40">
        <f t="shared" si="29"/>
        <v>0.19491865060787961</v>
      </c>
      <c r="CF13" s="40">
        <f t="shared" si="30"/>
        <v>0.22684005927607398</v>
      </c>
      <c r="CG13" s="40">
        <f t="shared" si="31"/>
        <v>0.24910979854422832</v>
      </c>
      <c r="CH13" s="40">
        <f t="shared" si="32"/>
        <v>0.39829004037052296</v>
      </c>
      <c r="CI13" s="40">
        <f t="shared" si="33"/>
        <v>0.39502999814001316</v>
      </c>
      <c r="CJ13" s="40">
        <f t="shared" si="34"/>
        <v>0.18627989473710604</v>
      </c>
      <c r="CK13" s="40">
        <f t="shared" si="35"/>
        <v>0.22575193514294664</v>
      </c>
      <c r="CL13" s="40">
        <f t="shared" si="36"/>
        <v>0.25803138017502175</v>
      </c>
      <c r="CM13" s="40">
        <f t="shared" si="37"/>
        <v>0.27649012031066122</v>
      </c>
      <c r="CN13" s="691">
        <f t="shared" si="38"/>
        <v>0.32180694244109681</v>
      </c>
      <c r="CO13" s="691">
        <f t="shared" si="39"/>
        <v>0.34613790483689333</v>
      </c>
      <c r="CP13" s="691">
        <f t="shared" si="40"/>
        <v>0.38602784795342365</v>
      </c>
      <c r="CQ13" s="691">
        <f t="shared" si="41"/>
        <v>0.37979496446293498</v>
      </c>
    </row>
    <row r="14" spans="1:95">
      <c r="A14" s="13" t="s">
        <v>5</v>
      </c>
      <c r="B14" s="319">
        <v>211537842.19999999</v>
      </c>
      <c r="C14" s="319">
        <v>216020623.09999999</v>
      </c>
      <c r="D14" s="319">
        <v>242133431.69999999</v>
      </c>
      <c r="E14" s="319">
        <v>248253192.58000001</v>
      </c>
      <c r="F14" s="319">
        <v>267258036.94999999</v>
      </c>
      <c r="G14" s="319">
        <v>280935589.85000002</v>
      </c>
      <c r="H14" s="319">
        <v>278970574.91000003</v>
      </c>
      <c r="I14" s="319">
        <v>280718290.97000003</v>
      </c>
      <c r="J14" s="319">
        <v>293981624.32999998</v>
      </c>
      <c r="K14" s="319">
        <v>307791591.25999999</v>
      </c>
      <c r="L14" s="319">
        <v>353664925.5</v>
      </c>
      <c r="M14" s="319">
        <v>357422559.81</v>
      </c>
      <c r="N14" s="319">
        <v>353735485.38</v>
      </c>
      <c r="O14" s="319">
        <v>335378333.10000002</v>
      </c>
      <c r="P14" s="319">
        <v>328590601.85000002</v>
      </c>
      <c r="Q14" s="319">
        <v>343866763.73000002</v>
      </c>
      <c r="R14" s="319">
        <v>351206956.5</v>
      </c>
      <c r="S14" s="319">
        <v>359631478.81999999</v>
      </c>
      <c r="T14" s="677">
        <v>363746761.12</v>
      </c>
      <c r="U14" s="677">
        <v>373720959.48000002</v>
      </c>
      <c r="V14" s="678">
        <v>387714272.57999998</v>
      </c>
      <c r="W14" s="809">
        <v>380613568.14999998</v>
      </c>
      <c r="X14" s="811"/>
      <c r="Y14" s="13" t="s">
        <v>5</v>
      </c>
      <c r="Z14" s="319">
        <f>B14/'Population &amp; Income'!B13</f>
        <v>6470.0364642911754</v>
      </c>
      <c r="AA14" s="319">
        <f>C14/'Population &amp; Income'!C13</f>
        <v>6511.5485486058778</v>
      </c>
      <c r="AB14" s="319">
        <f>D14/'Population &amp; Income'!D13</f>
        <v>7189.4483713886984</v>
      </c>
      <c r="AC14" s="319">
        <f>E14/'Population &amp; Income'!E13</f>
        <v>7351.5115218099445</v>
      </c>
      <c r="AD14" s="319">
        <f>F14/'Population &amp; Income'!F13</f>
        <v>7867.2407921462418</v>
      </c>
      <c r="AE14" s="319">
        <f>G14/'Population &amp; Income'!G13</f>
        <v>8267.4315014272688</v>
      </c>
      <c r="AF14" s="319">
        <f>H14/'Population &amp; Income'!H13</f>
        <v>8178.3171091436789</v>
      </c>
      <c r="AG14" s="319">
        <f>I14/'Population &amp; Income'!I13</f>
        <v>8123.8110539719301</v>
      </c>
      <c r="AH14" s="319">
        <f>J14/'Population &amp; Income'!J13</f>
        <v>8435.8697331343792</v>
      </c>
      <c r="AI14" s="319">
        <f>K14/'Population &amp; Income'!K13</f>
        <v>8733.9062813200526</v>
      </c>
      <c r="AJ14" s="319">
        <f>L14/'Population &amp; Income'!L13</f>
        <v>9891.0651499049109</v>
      </c>
      <c r="AK14" s="319">
        <f>M14/'Population &amp; Income'!M13</f>
        <v>9971.6147698359564</v>
      </c>
      <c r="AL14" s="319">
        <f>N14/'Population &amp; Income'!N13</f>
        <v>9843.7591590371503</v>
      </c>
      <c r="AM14" s="319">
        <f>O14/'Population &amp; Income'!O13</f>
        <v>9410.1664730639732</v>
      </c>
      <c r="AN14" s="319">
        <f>P14/'Population &amp; Income'!P13</f>
        <v>9190.0601831911627</v>
      </c>
      <c r="AO14" s="319">
        <f>Q14/'Population &amp; Income'!Q13</f>
        <v>9679.5711113300495</v>
      </c>
      <c r="AP14" s="319">
        <f>R14/'Population &amp; Income'!R13</f>
        <v>9880.3509958926461</v>
      </c>
      <c r="AQ14" s="319">
        <f>S14/'Population &amp; Income'!S13</f>
        <v>10109.959485550433</v>
      </c>
      <c r="AR14" s="697">
        <f>T14/'Population &amp; Income'!T13</f>
        <v>10187.272758640005</v>
      </c>
      <c r="AS14" s="697">
        <f>U14/'Population &amp; Income'!U13</f>
        <v>10449.056631437679</v>
      </c>
      <c r="AT14" s="697">
        <f>V14/'Population &amp; Income'!V13</f>
        <v>10850.617725847978</v>
      </c>
      <c r="AU14" s="697">
        <f>W14/'Population &amp; Income'!W13</f>
        <v>10671.009536559381</v>
      </c>
      <c r="AV14" s="690"/>
      <c r="AW14" s="486"/>
      <c r="AX14" s="13" t="s">
        <v>5</v>
      </c>
      <c r="AY14" s="40">
        <f t="shared" si="0"/>
        <v>2.1191389934675273E-2</v>
      </c>
      <c r="AZ14" s="40">
        <f t="shared" si="1"/>
        <v>0.12088109100542629</v>
      </c>
      <c r="BA14" s="40">
        <f t="shared" si="2"/>
        <v>2.5274332573712189E-2</v>
      </c>
      <c r="BB14" s="40">
        <f t="shared" si="3"/>
        <v>7.6554279816061707E-2</v>
      </c>
      <c r="BC14" s="40">
        <f t="shared" si="4"/>
        <v>5.1177330553239461E-2</v>
      </c>
      <c r="BD14" s="40">
        <f t="shared" si="5"/>
        <v>-6.9945390010898167E-3</v>
      </c>
      <c r="BE14" s="40">
        <f t="shared" si="6"/>
        <v>6.2648760019361933E-3</v>
      </c>
      <c r="BF14" s="40">
        <f t="shared" si="7"/>
        <v>4.7247841649967114E-2</v>
      </c>
      <c r="BG14" s="40">
        <f t="shared" si="8"/>
        <v>4.6975612715501075E-2</v>
      </c>
      <c r="BH14" s="40">
        <f t="shared" si="9"/>
        <v>0.14904024522635365</v>
      </c>
      <c r="BI14" s="40">
        <f t="shared" si="10"/>
        <v>1.0624843005530109E-2</v>
      </c>
      <c r="BJ14" s="40">
        <f t="shared" si="11"/>
        <v>-1.0315729460278041E-2</v>
      </c>
      <c r="BK14" s="40">
        <f t="shared" si="12"/>
        <v>-5.1895139274138184E-2</v>
      </c>
      <c r="BL14" s="40">
        <f t="shared" si="13"/>
        <v>-2.0239027331488635E-2</v>
      </c>
      <c r="BM14" s="40">
        <f t="shared" si="14"/>
        <v>4.6489953741809961E-2</v>
      </c>
      <c r="BN14" s="40">
        <f t="shared" si="15"/>
        <v>2.1346037315090476E-2</v>
      </c>
      <c r="BO14" s="40">
        <f t="shared" si="16"/>
        <v>2.3987344681197946E-2</v>
      </c>
      <c r="BP14" s="691">
        <f t="shared" si="17"/>
        <v>1.1443053632298306E-2</v>
      </c>
      <c r="BQ14" s="691">
        <f t="shared" si="18"/>
        <v>2.7420720748932051E-2</v>
      </c>
      <c r="BR14" s="691">
        <f t="shared" si="19"/>
        <v>3.7443211960791374E-2</v>
      </c>
      <c r="BS14" s="691">
        <f t="shared" si="20"/>
        <v>-1.8314271442083335E-2</v>
      </c>
      <c r="BT14" s="40"/>
      <c r="BV14" s="13" t="s">
        <v>5</v>
      </c>
      <c r="BW14" s="40">
        <f t="shared" si="21"/>
        <v>2.1191389934675273E-2</v>
      </c>
      <c r="BX14" s="40">
        <f t="shared" si="22"/>
        <v>0.14463411927532652</v>
      </c>
      <c r="BY14" s="40">
        <f t="shared" si="23"/>
        <v>0.17356398268110929</v>
      </c>
      <c r="BZ14" s="40">
        <f t="shared" si="24"/>
        <v>0.26340532819333073</v>
      </c>
      <c r="CA14" s="40">
        <f t="shared" si="25"/>
        <v>0.32806304029700478</v>
      </c>
      <c r="CB14" s="40">
        <f t="shared" si="26"/>
        <v>0.31877385156574145</v>
      </c>
      <c r="CC14" s="40">
        <f t="shared" si="27"/>
        <v>0.32703580622039663</v>
      </c>
      <c r="CD14" s="40">
        <f t="shared" si="28"/>
        <v>0.38973538385653439</v>
      </c>
      <c r="CE14" s="40">
        <f t="shared" si="29"/>
        <v>0.45501905502560719</v>
      </c>
      <c r="CF14" s="40">
        <f t="shared" si="30"/>
        <v>0.67187545179564101</v>
      </c>
      <c r="CG14" s="40">
        <f t="shared" si="31"/>
        <v>0.6896388659957694</v>
      </c>
      <c r="CH14" s="40">
        <f t="shared" si="32"/>
        <v>0.67220900856858612</v>
      </c>
      <c r="CI14" s="40">
        <f t="shared" si="33"/>
        <v>0.58542948917345083</v>
      </c>
      <c r="CJ14" s="40">
        <f t="shared" si="34"/>
        <v>0.5533419384099213</v>
      </c>
      <c r="CK14" s="40">
        <f t="shared" si="35"/>
        <v>0.62555673327181194</v>
      </c>
      <c r="CL14" s="40">
        <f t="shared" si="36"/>
        <v>0.66025592795802857</v>
      </c>
      <c r="CM14" s="40">
        <f t="shared" si="37"/>
        <v>0.70008105916095997</v>
      </c>
      <c r="CN14" s="691">
        <f t="shared" si="38"/>
        <v>0.71953517790019339</v>
      </c>
      <c r="CO14" s="691">
        <f t="shared" si="39"/>
        <v>0.76668607183135973</v>
      </c>
      <c r="CP14" s="691">
        <f t="shared" si="40"/>
        <v>0.83283647288711926</v>
      </c>
      <c r="CQ14" s="691">
        <f t="shared" si="41"/>
        <v>0.79926940821371395</v>
      </c>
    </row>
    <row r="15" spans="1:95">
      <c r="A15" s="13" t="s">
        <v>6</v>
      </c>
      <c r="B15" s="319">
        <v>62135913.369999997</v>
      </c>
      <c r="C15" s="319">
        <v>65812488.5</v>
      </c>
      <c r="D15" s="319">
        <v>69838095.150000006</v>
      </c>
      <c r="E15" s="319">
        <v>69825246.370000005</v>
      </c>
      <c r="F15" s="319">
        <v>70964258.900000006</v>
      </c>
      <c r="G15" s="319">
        <v>71426733.400000006</v>
      </c>
      <c r="H15" s="319">
        <v>74208150.599999994</v>
      </c>
      <c r="I15" s="319">
        <v>74984801.25</v>
      </c>
      <c r="J15" s="319">
        <v>83626746.150000006</v>
      </c>
      <c r="K15" s="319">
        <v>89400607.959999993</v>
      </c>
      <c r="L15" s="319">
        <v>89986246.579999998</v>
      </c>
      <c r="M15" s="319">
        <v>92387726.049999997</v>
      </c>
      <c r="N15" s="319">
        <v>91145639.909999996</v>
      </c>
      <c r="O15" s="319">
        <v>87704558.609999999</v>
      </c>
      <c r="P15" s="319">
        <v>86503530.859999999</v>
      </c>
      <c r="Q15" s="319">
        <v>91483942.769999996</v>
      </c>
      <c r="R15" s="319">
        <v>92543900.420000002</v>
      </c>
      <c r="S15" s="319">
        <v>93018318.75</v>
      </c>
      <c r="T15" s="677">
        <v>91910389.890000001</v>
      </c>
      <c r="U15" s="677">
        <v>93610036.549999997</v>
      </c>
      <c r="V15" s="678">
        <v>95703934.340000004</v>
      </c>
      <c r="W15" s="809">
        <v>90500968.310000002</v>
      </c>
      <c r="X15" s="811"/>
      <c r="Y15" s="13" t="s">
        <v>6</v>
      </c>
      <c r="Z15" s="319">
        <f>B15/'Population &amp; Income'!B14</f>
        <v>5122.076776028357</v>
      </c>
      <c r="AA15" s="319">
        <f>C15/'Population &amp; Income'!C14</f>
        <v>5395.3507542220032</v>
      </c>
      <c r="AB15" s="319">
        <f>D15/'Population &amp; Income'!D14</f>
        <v>5636.1952344443553</v>
      </c>
      <c r="AC15" s="319">
        <f>E15/'Population &amp; Income'!E14</f>
        <v>5588.7022866976149</v>
      </c>
      <c r="AD15" s="319">
        <f>F15/'Population &amp; Income'!F14</f>
        <v>5658.1293972253234</v>
      </c>
      <c r="AE15" s="319">
        <f>G15/'Population &amp; Income'!G14</f>
        <v>5631.2467202775151</v>
      </c>
      <c r="AF15" s="319">
        <f>H15/'Population &amp; Income'!H14</f>
        <v>5806.5845539906095</v>
      </c>
      <c r="AG15" s="319">
        <f>I15/'Population &amp; Income'!I14</f>
        <v>5801.9809076137417</v>
      </c>
      <c r="AH15" s="319">
        <f>J15/'Population &amp; Income'!J14</f>
        <v>6462.1548682482035</v>
      </c>
      <c r="AI15" s="319">
        <f>K15/'Population &amp; Income'!K14</f>
        <v>6889.689269420468</v>
      </c>
      <c r="AJ15" s="319">
        <f>L15/'Population &amp; Income'!L14</f>
        <v>6936.9601125501076</v>
      </c>
      <c r="AK15" s="319">
        <f>M15/'Population &amp; Income'!M14</f>
        <v>7235.3141240504347</v>
      </c>
      <c r="AL15" s="319">
        <f>N15/'Population &amp; Income'!N14</f>
        <v>7240.1016689173084</v>
      </c>
      <c r="AM15" s="319">
        <f>O15/'Population &amp; Income'!O14</f>
        <v>7042.2802802312508</v>
      </c>
      <c r="AN15" s="319">
        <f>P15/'Population &amp; Income'!P14</f>
        <v>6989.0547677143086</v>
      </c>
      <c r="AO15" s="319">
        <f>Q15/'Population &amp; Income'!Q14</f>
        <v>7387.2692805232555</v>
      </c>
      <c r="AP15" s="319">
        <f>R15/'Population &amp; Income'!R14</f>
        <v>7501.3293685661019</v>
      </c>
      <c r="AQ15" s="319">
        <f>S15/'Population &amp; Income'!S14</f>
        <v>7577.8671079429732</v>
      </c>
      <c r="AR15" s="697">
        <f>T15/'Population &amp; Income'!T14</f>
        <v>7643.911334830339</v>
      </c>
      <c r="AS15" s="697">
        <f>U15/'Population &amp; Income'!U14</f>
        <v>7881.6230150711453</v>
      </c>
      <c r="AT15" s="697">
        <f>V15/'Population &amp; Income'!V14</f>
        <v>8036.9444356734975</v>
      </c>
      <c r="AU15" s="697">
        <f>W15/'Population &amp; Income'!W14</f>
        <v>7637.2125156118145</v>
      </c>
      <c r="AV15" s="690"/>
      <c r="AW15" s="486"/>
      <c r="AX15" s="13" t="s">
        <v>6</v>
      </c>
      <c r="AY15" s="40">
        <f t="shared" si="0"/>
        <v>5.9169889530828072E-2</v>
      </c>
      <c r="AZ15" s="40">
        <f t="shared" si="1"/>
        <v>6.1167823034073629E-2</v>
      </c>
      <c r="BA15" s="40">
        <f t="shared" si="2"/>
        <v>-1.8397953111986033E-4</v>
      </c>
      <c r="BB15" s="40">
        <f t="shared" si="3"/>
        <v>1.6312330986480716E-2</v>
      </c>
      <c r="BC15" s="40">
        <f t="shared" si="4"/>
        <v>6.5170059853890752E-3</v>
      </c>
      <c r="BD15" s="40">
        <f t="shared" si="5"/>
        <v>3.8940842841344157E-2</v>
      </c>
      <c r="BE15" s="40">
        <f t="shared" si="6"/>
        <v>1.0465840257714305E-2</v>
      </c>
      <c r="BF15" s="40">
        <f t="shared" si="7"/>
        <v>0.11524928726806495</v>
      </c>
      <c r="BG15" s="40">
        <f t="shared" si="8"/>
        <v>6.9043243648909888E-2</v>
      </c>
      <c r="BH15" s="40">
        <f t="shared" si="9"/>
        <v>6.5507230136738412E-3</v>
      </c>
      <c r="BI15" s="40">
        <f t="shared" si="10"/>
        <v>2.6687183444917044E-2</v>
      </c>
      <c r="BJ15" s="40">
        <f t="shared" si="11"/>
        <v>-1.3444276562535881E-2</v>
      </c>
      <c r="BK15" s="40">
        <f t="shared" si="12"/>
        <v>-3.7753657809609174E-2</v>
      </c>
      <c r="BL15" s="40">
        <f t="shared" si="13"/>
        <v>-1.3694017381019689E-2</v>
      </c>
      <c r="BM15" s="40">
        <f t="shared" si="14"/>
        <v>5.7574666149297994E-2</v>
      </c>
      <c r="BN15" s="40">
        <f t="shared" si="15"/>
        <v>1.1586269873226257E-2</v>
      </c>
      <c r="BO15" s="40">
        <f t="shared" si="16"/>
        <v>5.1264138192458324E-3</v>
      </c>
      <c r="BP15" s="691">
        <f t="shared" si="17"/>
        <v>-1.1910867395676289E-2</v>
      </c>
      <c r="BQ15" s="691">
        <f t="shared" si="18"/>
        <v>1.8492432270542689E-2</v>
      </c>
      <c r="BR15" s="691">
        <f t="shared" si="19"/>
        <v>2.236830437387546E-2</v>
      </c>
      <c r="BS15" s="691">
        <f t="shared" si="20"/>
        <v>-5.4365226109888275E-2</v>
      </c>
      <c r="BT15" s="40"/>
      <c r="BV15" s="13" t="s">
        <v>6</v>
      </c>
      <c r="BW15" s="40">
        <f t="shared" si="21"/>
        <v>5.9169889530828072E-2</v>
      </c>
      <c r="BX15" s="40">
        <f t="shared" si="22"/>
        <v>0.12395700589666908</v>
      </c>
      <c r="BY15" s="40">
        <f t="shared" si="23"/>
        <v>0.12375022081372533</v>
      </c>
      <c r="BZ15" s="40">
        <f t="shared" si="24"/>
        <v>0.1420812063617696</v>
      </c>
      <c r="CA15" s="40">
        <f t="shared" si="25"/>
        <v>0.14952415641942962</v>
      </c>
      <c r="CB15" s="40">
        <f t="shared" si="26"/>
        <v>0.19428759593688735</v>
      </c>
      <c r="CC15" s="40">
        <f t="shared" si="27"/>
        <v>0.20678681913773247</v>
      </c>
      <c r="CD15" s="40">
        <f t="shared" si="28"/>
        <v>0.34586813992785137</v>
      </c>
      <c r="CE15" s="40">
        <f t="shared" si="29"/>
        <v>0.43879124183219514</v>
      </c>
      <c r="CF15" s="40">
        <f t="shared" si="30"/>
        <v>0.44821636473193766</v>
      </c>
      <c r="CG15" s="40">
        <f t="shared" si="31"/>
        <v>0.48686518052546979</v>
      </c>
      <c r="CH15" s="40">
        <f t="shared" si="32"/>
        <v>0.46687535382728051</v>
      </c>
      <c r="CI15" s="40">
        <f t="shared" si="33"/>
        <v>0.411495443669536</v>
      </c>
      <c r="CJ15" s="40">
        <f t="shared" si="34"/>
        <v>0.39216640053069529</v>
      </c>
      <c r="CK15" s="40">
        <f t="shared" si="35"/>
        <v>0.47231991626551995</v>
      </c>
      <c r="CL15" s="40">
        <f t="shared" si="36"/>
        <v>0.48937861215509815</v>
      </c>
      <c r="CM15" s="40">
        <f t="shared" si="37"/>
        <v>0.49701378325453921</v>
      </c>
      <c r="CN15" s="691">
        <f t="shared" si="38"/>
        <v>0.47918305059269467</v>
      </c>
      <c r="CO15" s="691">
        <f t="shared" si="39"/>
        <v>0.50653674297151485</v>
      </c>
      <c r="CP15" s="691">
        <f t="shared" si="40"/>
        <v>0.54023541538872866</v>
      </c>
      <c r="CQ15" s="691">
        <f t="shared" si="41"/>
        <v>0.45650016876866273</v>
      </c>
    </row>
    <row r="16" spans="1:95">
      <c r="A16" s="13" t="s">
        <v>7</v>
      </c>
      <c r="B16" s="319">
        <v>69775202.75</v>
      </c>
      <c r="C16" s="319">
        <v>76633266.849999994</v>
      </c>
      <c r="D16" s="319">
        <v>81097631.480000004</v>
      </c>
      <c r="E16" s="319">
        <v>82506216.819999993</v>
      </c>
      <c r="F16" s="319">
        <v>85490840.069999993</v>
      </c>
      <c r="G16" s="319">
        <v>86461606.700000003</v>
      </c>
      <c r="H16" s="319">
        <v>88576030.920000002</v>
      </c>
      <c r="I16" s="319">
        <v>88708569.530000001</v>
      </c>
      <c r="J16" s="319">
        <v>89865702.200000003</v>
      </c>
      <c r="K16" s="319">
        <v>95196019.579999998</v>
      </c>
      <c r="L16" s="319">
        <v>98548522.659999996</v>
      </c>
      <c r="M16" s="319">
        <v>98946150.739999995</v>
      </c>
      <c r="N16" s="319">
        <v>103216614.77</v>
      </c>
      <c r="O16" s="319">
        <v>100186041.56</v>
      </c>
      <c r="P16" s="319">
        <v>99331880.790000007</v>
      </c>
      <c r="Q16" s="319">
        <v>106110135.79000001</v>
      </c>
      <c r="R16" s="319">
        <v>113073339.62</v>
      </c>
      <c r="S16" s="319">
        <v>134065810.38</v>
      </c>
      <c r="T16" s="677">
        <v>118218627.56999999</v>
      </c>
      <c r="U16" s="677">
        <v>121439886.2</v>
      </c>
      <c r="V16" s="678">
        <v>122285954.26000001</v>
      </c>
      <c r="W16" s="809">
        <v>123244914.69</v>
      </c>
      <c r="X16" s="811"/>
      <c r="Y16" s="13" t="s">
        <v>7</v>
      </c>
      <c r="Z16" s="319">
        <f>B16/'Population &amp; Income'!B15</f>
        <v>4380.9382024235574</v>
      </c>
      <c r="AA16" s="319">
        <f>C16/'Population &amp; Income'!C15</f>
        <v>4785.6908043464682</v>
      </c>
      <c r="AB16" s="319">
        <f>D16/'Population &amp; Income'!D15</f>
        <v>5027.7514866707997</v>
      </c>
      <c r="AC16" s="319">
        <f>E16/'Population &amp; Income'!E15</f>
        <v>5028.7204741878459</v>
      </c>
      <c r="AD16" s="319">
        <f>F16/'Population &amp; Income'!F15</f>
        <v>5119.2119802395209</v>
      </c>
      <c r="AE16" s="319">
        <f>G16/'Population &amp; Income'!G15</f>
        <v>5146.2178858401285</v>
      </c>
      <c r="AF16" s="319">
        <f>H16/'Population &amp; Income'!H15</f>
        <v>5207.5977964606973</v>
      </c>
      <c r="AG16" s="319">
        <f>I16/'Population &amp; Income'!I15</f>
        <v>5184.9067467414816</v>
      </c>
      <c r="AH16" s="319">
        <f>J16/'Population &amp; Income'!J15</f>
        <v>5258.9947448501871</v>
      </c>
      <c r="AI16" s="319">
        <f>K16/'Population &amp; Income'!K15</f>
        <v>5561.4897224981014</v>
      </c>
      <c r="AJ16" s="319">
        <f>L16/'Population &amp; Income'!L15</f>
        <v>5731.8980201244694</v>
      </c>
      <c r="AK16" s="319">
        <f>M16/'Population &amp; Income'!M15</f>
        <v>5756.3645785095114</v>
      </c>
      <c r="AL16" s="319">
        <f>N16/'Population &amp; Income'!N15</f>
        <v>6003.0600657205996</v>
      </c>
      <c r="AM16" s="319">
        <f>O16/'Population &amp; Income'!O15</f>
        <v>5878.0827012438394</v>
      </c>
      <c r="AN16" s="319">
        <f>P16/'Population &amp; Income'!P15</f>
        <v>5825.9167618768333</v>
      </c>
      <c r="AO16" s="319">
        <f>Q16/'Population &amp; Income'!Q15</f>
        <v>6235.5371563730387</v>
      </c>
      <c r="AP16" s="319">
        <f>R16/'Population &amp; Income'!R15</f>
        <v>6767.2116595846555</v>
      </c>
      <c r="AQ16" s="319">
        <f>S16/'Population &amp; Income'!S15</f>
        <v>8100.6531951661627</v>
      </c>
      <c r="AR16" s="697">
        <f>T16/'Population &amp; Income'!T15</f>
        <v>7142.6879082834866</v>
      </c>
      <c r="AS16" s="697">
        <f>U16/'Population &amp; Income'!U15</f>
        <v>7400.3586959171234</v>
      </c>
      <c r="AT16" s="697">
        <f>V16/'Population &amp; Income'!V15</f>
        <v>7448.7393713833226</v>
      </c>
      <c r="AU16" s="697">
        <f>W16/'Population &amp; Income'!W15</f>
        <v>7545.2990504469208</v>
      </c>
      <c r="AV16" s="690"/>
      <c r="AW16" s="486"/>
      <c r="AX16" s="13" t="s">
        <v>7</v>
      </c>
      <c r="AY16" s="40">
        <f t="shared" si="0"/>
        <v>9.8287985268519965E-2</v>
      </c>
      <c r="AZ16" s="40">
        <f t="shared" si="1"/>
        <v>5.8256222310585346E-2</v>
      </c>
      <c r="BA16" s="40">
        <f t="shared" si="2"/>
        <v>1.7369007137370822E-2</v>
      </c>
      <c r="BB16" s="40">
        <f t="shared" si="3"/>
        <v>3.6174525569526654E-2</v>
      </c>
      <c r="BC16" s="40">
        <f t="shared" si="4"/>
        <v>1.1355212198232528E-2</v>
      </c>
      <c r="BD16" s="40">
        <f t="shared" si="5"/>
        <v>2.4455065094227527E-2</v>
      </c>
      <c r="BE16" s="40">
        <f t="shared" si="6"/>
        <v>1.4963259092034217E-3</v>
      </c>
      <c r="BF16" s="40">
        <f t="shared" si="7"/>
        <v>1.3044203915481646E-2</v>
      </c>
      <c r="BG16" s="40">
        <f t="shared" si="8"/>
        <v>5.9314257269554783E-2</v>
      </c>
      <c r="BH16" s="40">
        <f t="shared" si="9"/>
        <v>3.5216840943466665E-2</v>
      </c>
      <c r="BI16" s="40">
        <f t="shared" si="10"/>
        <v>4.0348456706128999E-3</v>
      </c>
      <c r="BJ16" s="40">
        <f t="shared" si="11"/>
        <v>4.3159476119707427E-2</v>
      </c>
      <c r="BK16" s="40">
        <f t="shared" si="12"/>
        <v>-2.936129243100145E-2</v>
      </c>
      <c r="BL16" s="40">
        <f t="shared" si="13"/>
        <v>-8.5257462686401386E-3</v>
      </c>
      <c r="BM16" s="40">
        <f t="shared" si="14"/>
        <v>6.8238464288520595E-2</v>
      </c>
      <c r="BN16" s="40">
        <f t="shared" si="15"/>
        <v>6.5622419367935836E-2</v>
      </c>
      <c r="BO16" s="40">
        <f t="shared" si="16"/>
        <v>0.18565358404154642</v>
      </c>
      <c r="BP16" s="691">
        <f t="shared" si="17"/>
        <v>-0.11820450542224219</v>
      </c>
      <c r="BQ16" s="691">
        <f t="shared" si="18"/>
        <v>2.724831692105906E-2</v>
      </c>
      <c r="BR16" s="691">
        <f t="shared" si="19"/>
        <v>6.9669701320915958E-3</v>
      </c>
      <c r="BS16" s="691">
        <f t="shared" si="20"/>
        <v>7.8419507440820636E-3</v>
      </c>
      <c r="BT16" s="40"/>
      <c r="BV16" s="13" t="s">
        <v>7</v>
      </c>
      <c r="BW16" s="40">
        <f t="shared" si="21"/>
        <v>9.8287985268519965E-2</v>
      </c>
      <c r="BX16" s="40">
        <f t="shared" si="22"/>
        <v>0.16227009429936776</v>
      </c>
      <c r="BY16" s="40">
        <f t="shared" si="23"/>
        <v>0.18245757186280612</v>
      </c>
      <c r="BZ16" s="40">
        <f t="shared" si="24"/>
        <v>0.22523241353103762</v>
      </c>
      <c r="CA16" s="40">
        <f t="shared" si="25"/>
        <v>0.23914518757883513</v>
      </c>
      <c r="CB16" s="40">
        <f t="shared" si="26"/>
        <v>0.26944856380227433</v>
      </c>
      <c r="CC16" s="40">
        <f t="shared" si="27"/>
        <v>0.27134807257869276</v>
      </c>
      <c r="CD16" s="40">
        <f t="shared" si="28"/>
        <v>0.28793179608496378</v>
      </c>
      <c r="CE16" s="40">
        <f t="shared" si="29"/>
        <v>0.36432451398358706</v>
      </c>
      <c r="CF16" s="40">
        <f t="shared" si="30"/>
        <v>0.41237171338781953</v>
      </c>
      <c r="CG16" s="40">
        <f t="shared" si="31"/>
        <v>0.41807041528087846</v>
      </c>
      <c r="CH16" s="40">
        <f t="shared" si="32"/>
        <v>0.47927359150525717</v>
      </c>
      <c r="CI16" s="40">
        <f t="shared" si="33"/>
        <v>0.43584020699961351</v>
      </c>
      <c r="CJ16" s="40">
        <f t="shared" si="34"/>
        <v>0.42359859771242309</v>
      </c>
      <c r="CK16" s="40">
        <f t="shared" si="35"/>
        <v>0.52074277978361028</v>
      </c>
      <c r="CL16" s="40">
        <f t="shared" si="36"/>
        <v>0.6205376002293308</v>
      </c>
      <c r="CM16" s="40">
        <f t="shared" si="37"/>
        <v>0.92139621378599279</v>
      </c>
      <c r="CN16" s="691">
        <f t="shared" si="38"/>
        <v>0.69427852461525086</v>
      </c>
      <c r="CO16" s="691">
        <f t="shared" si="39"/>
        <v>0.7404447628065115</v>
      </c>
      <c r="CP16" s="691">
        <f t="shared" si="40"/>
        <v>0.75257038948553978</v>
      </c>
      <c r="CQ16" s="691">
        <f t="shared" si="41"/>
        <v>0.76631396015542208</v>
      </c>
    </row>
    <row r="17" spans="1:95">
      <c r="A17" s="13" t="s">
        <v>8</v>
      </c>
      <c r="B17" s="319">
        <v>90935893.870000005</v>
      </c>
      <c r="C17" s="319">
        <v>106501338.5</v>
      </c>
      <c r="D17" s="319">
        <v>99056607.760000005</v>
      </c>
      <c r="E17" s="319">
        <v>101394550.39</v>
      </c>
      <c r="F17" s="319">
        <v>103915618.08</v>
      </c>
      <c r="G17" s="319">
        <v>105375715.62</v>
      </c>
      <c r="H17" s="319">
        <v>106306226.68000001</v>
      </c>
      <c r="I17" s="319">
        <v>112312172.19</v>
      </c>
      <c r="J17" s="319">
        <v>128945493.45999999</v>
      </c>
      <c r="K17" s="319">
        <v>135893767.08000001</v>
      </c>
      <c r="L17" s="319">
        <v>141958882.81999999</v>
      </c>
      <c r="M17" s="319">
        <v>149259136.06</v>
      </c>
      <c r="N17" s="319">
        <v>150112946.47</v>
      </c>
      <c r="O17" s="319">
        <v>146891723.13999999</v>
      </c>
      <c r="P17" s="319">
        <v>144666875.38999999</v>
      </c>
      <c r="Q17" s="319">
        <v>143921859.40000001</v>
      </c>
      <c r="R17" s="319">
        <v>146338102.69</v>
      </c>
      <c r="S17" s="319">
        <v>149226516.88</v>
      </c>
      <c r="T17" s="677">
        <v>156165951.75999999</v>
      </c>
      <c r="U17" s="677">
        <v>157993499.28999999</v>
      </c>
      <c r="V17" s="678">
        <v>163625491.33000001</v>
      </c>
      <c r="W17" s="809">
        <v>167210773.50999999</v>
      </c>
      <c r="X17" s="811"/>
      <c r="Y17" s="13" t="s">
        <v>8</v>
      </c>
      <c r="Z17" s="319">
        <f>B17/'Population &amp; Income'!B16</f>
        <v>5713.4891850967579</v>
      </c>
      <c r="AA17" s="319">
        <f>C17/'Population &amp; Income'!C16</f>
        <v>6545.4697621535242</v>
      </c>
      <c r="AB17" s="319">
        <f>D17/'Population &amp; Income'!D16</f>
        <v>5977.7085124615296</v>
      </c>
      <c r="AC17" s="319">
        <f>E17/'Population &amp; Income'!E16</f>
        <v>5982.332314000826</v>
      </c>
      <c r="AD17" s="319">
        <f>F17/'Population &amp; Income'!F16</f>
        <v>6040.903271712591</v>
      </c>
      <c r="AE17" s="319">
        <f>G17/'Population &amp; Income'!G16</f>
        <v>6056.4236806713034</v>
      </c>
      <c r="AF17" s="319">
        <f>H17/'Population &amp; Income'!H16</f>
        <v>6044.2475938139642</v>
      </c>
      <c r="AG17" s="319">
        <f>I17/'Population &amp; Income'!I16</f>
        <v>6240.9519998888636</v>
      </c>
      <c r="AH17" s="319">
        <f>J17/'Population &amp; Income'!J16</f>
        <v>7032.367662521815</v>
      </c>
      <c r="AI17" s="319">
        <f>K17/'Population &amp; Income'!K16</f>
        <v>7271.712707619864</v>
      </c>
      <c r="AJ17" s="319">
        <f>L17/'Population &amp; Income'!L16</f>
        <v>7571.5442327590799</v>
      </c>
      <c r="AK17" s="319">
        <f>M17/'Population &amp; Income'!M16</f>
        <v>7845.4210806833116</v>
      </c>
      <c r="AL17" s="319">
        <f>N17/'Population &amp; Income'!N16</f>
        <v>7881.5996256431799</v>
      </c>
      <c r="AM17" s="319">
        <f>O17/'Population &amp; Income'!O16</f>
        <v>7732.7712750052633</v>
      </c>
      <c r="AN17" s="319">
        <f>P17/'Population &amp; Income'!P16</f>
        <v>7571.0108535691852</v>
      </c>
      <c r="AO17" s="319">
        <f>Q17/'Population &amp; Income'!Q16</f>
        <v>7577.2275139517742</v>
      </c>
      <c r="AP17" s="319">
        <f>R17/'Population &amp; Income'!R16</f>
        <v>7717.4402853074571</v>
      </c>
      <c r="AQ17" s="319">
        <f>S17/'Population &amp; Income'!S16</f>
        <v>7882.2373167124442</v>
      </c>
      <c r="AR17" s="697">
        <f>T17/'Population &amp; Income'!T16</f>
        <v>8309.3514823879959</v>
      </c>
      <c r="AS17" s="697">
        <f>U17/'Population &amp; Income'!U16</f>
        <v>8454.7278477016098</v>
      </c>
      <c r="AT17" s="697">
        <f>V17/'Population &amp; Income'!V16</f>
        <v>8685.4658596528479</v>
      </c>
      <c r="AU17" s="697">
        <f>W17/'Population &amp; Income'!W16</f>
        <v>8766.4241118800455</v>
      </c>
      <c r="AV17" s="690"/>
      <c r="AW17" s="486"/>
      <c r="AX17" s="13" t="s">
        <v>8</v>
      </c>
      <c r="AY17" s="40">
        <f t="shared" si="0"/>
        <v>0.17116942460863716</v>
      </c>
      <c r="AZ17" s="40">
        <f t="shared" si="1"/>
        <v>-6.9902696481133841E-2</v>
      </c>
      <c r="BA17" s="40">
        <f t="shared" si="2"/>
        <v>2.3602086553019219E-2</v>
      </c>
      <c r="BB17" s="40">
        <f t="shared" si="3"/>
        <v>2.4863936772766014E-2</v>
      </c>
      <c r="BC17" s="40">
        <f t="shared" si="4"/>
        <v>1.4050799744807779E-2</v>
      </c>
      <c r="BD17" s="40">
        <f t="shared" si="5"/>
        <v>8.8304127238913298E-3</v>
      </c>
      <c r="BE17" s="40">
        <f t="shared" si="6"/>
        <v>5.6496648386165728E-2</v>
      </c>
      <c r="BF17" s="40">
        <f t="shared" si="7"/>
        <v>0.14809900784272237</v>
      </c>
      <c r="BG17" s="40">
        <f t="shared" si="8"/>
        <v>5.3885354451378591E-2</v>
      </c>
      <c r="BH17" s="40">
        <f t="shared" si="9"/>
        <v>4.4631301864120634E-2</v>
      </c>
      <c r="BI17" s="40">
        <f t="shared" si="10"/>
        <v>5.1425124620461636E-2</v>
      </c>
      <c r="BJ17" s="40">
        <f t="shared" si="11"/>
        <v>5.7203226049544935E-3</v>
      </c>
      <c r="BK17" s="40">
        <f t="shared" si="12"/>
        <v>-2.1458664330752931E-2</v>
      </c>
      <c r="BL17" s="40">
        <f t="shared" si="13"/>
        <v>-1.5146175035876839E-2</v>
      </c>
      <c r="BM17" s="40">
        <f t="shared" si="14"/>
        <v>-5.1498726850326276E-3</v>
      </c>
      <c r="BN17" s="40">
        <f t="shared" si="15"/>
        <v>1.6788577496657825E-2</v>
      </c>
      <c r="BO17" s="40">
        <f t="shared" si="16"/>
        <v>1.9737950246073385E-2</v>
      </c>
      <c r="BP17" s="691">
        <f t="shared" si="17"/>
        <v>4.6502692853042454E-2</v>
      </c>
      <c r="BQ17" s="691">
        <f t="shared" si="18"/>
        <v>1.17025991223018E-2</v>
      </c>
      <c r="BR17" s="691">
        <f t="shared" si="19"/>
        <v>3.5646985890618169E-2</v>
      </c>
      <c r="BS17" s="691">
        <f t="shared" si="20"/>
        <v>2.1911513608653909E-2</v>
      </c>
      <c r="BT17" s="40"/>
      <c r="BV17" s="13" t="s">
        <v>8</v>
      </c>
      <c r="BW17" s="40">
        <f t="shared" si="21"/>
        <v>0.17116942460863716</v>
      </c>
      <c r="BX17" s="40">
        <f t="shared" si="22"/>
        <v>8.9301523792235424E-2</v>
      </c>
      <c r="BY17" s="40">
        <f t="shared" si="23"/>
        <v>0.11501131263911549</v>
      </c>
      <c r="BZ17" s="40">
        <f t="shared" si="24"/>
        <v>0.1427348834174933</v>
      </c>
      <c r="CA17" s="40">
        <f t="shared" si="25"/>
        <v>0.15879122242579874</v>
      </c>
      <c r="CB17" s="40">
        <f t="shared" si="26"/>
        <v>0.1690238271806411</v>
      </c>
      <c r="CC17" s="40">
        <f t="shared" si="27"/>
        <v>0.23506975529991556</v>
      </c>
      <c r="CD17" s="40">
        <f t="shared" si="28"/>
        <v>0.41798236067638694</v>
      </c>
      <c r="CE17" s="40">
        <f t="shared" si="29"/>
        <v>0.49439084278723666</v>
      </c>
      <c r="CF17" s="40">
        <f t="shared" si="30"/>
        <v>0.56108745159465145</v>
      </c>
      <c r="CG17" s="40">
        <f t="shared" si="31"/>
        <v>0.6413665683363452</v>
      </c>
      <c r="CH17" s="40">
        <f t="shared" si="32"/>
        <v>0.6507557146202162</v>
      </c>
      <c r="CI17" s="40">
        <f t="shared" si="33"/>
        <v>0.61533270184810884</v>
      </c>
      <c r="CJ17" s="40">
        <f t="shared" si="34"/>
        <v>0.59086659000474151</v>
      </c>
      <c r="CK17" s="40">
        <f t="shared" si="35"/>
        <v>0.58267382960734515</v>
      </c>
      <c r="CL17" s="40">
        <f t="shared" si="36"/>
        <v>0.6092446718476402</v>
      </c>
      <c r="CM17" s="40">
        <f t="shared" si="37"/>
        <v>0.64100786311432767</v>
      </c>
      <c r="CN17" s="691">
        <f t="shared" si="38"/>
        <v>0.71731914774216077</v>
      </c>
      <c r="CO17" s="691">
        <f t="shared" si="39"/>
        <v>0.73741624529324024</v>
      </c>
      <c r="CP17" s="691">
        <f t="shared" si="40"/>
        <v>0.79934989767533915</v>
      </c>
      <c r="CQ17" s="691">
        <f t="shared" si="41"/>
        <v>0.83877637744498246</v>
      </c>
    </row>
    <row r="18" spans="1:95">
      <c r="A18" s="13" t="s">
        <v>9</v>
      </c>
      <c r="B18" s="319">
        <v>30064109.350000001</v>
      </c>
      <c r="C18" s="319">
        <v>32663119.27</v>
      </c>
      <c r="D18" s="319">
        <v>32694808.309999999</v>
      </c>
      <c r="E18" s="319">
        <v>34337823.719999999</v>
      </c>
      <c r="F18" s="319">
        <v>36660184.969999999</v>
      </c>
      <c r="G18" s="319">
        <v>38137949.68</v>
      </c>
      <c r="H18" s="319">
        <v>40743073.109999999</v>
      </c>
      <c r="I18" s="319">
        <v>37875021.219999999</v>
      </c>
      <c r="J18" s="319">
        <v>37886336.469999999</v>
      </c>
      <c r="K18" s="319">
        <v>40686465.259999998</v>
      </c>
      <c r="L18" s="319">
        <v>41559726.170000002</v>
      </c>
      <c r="M18" s="319">
        <v>50007946.18</v>
      </c>
      <c r="N18" s="319">
        <v>46472664.18</v>
      </c>
      <c r="O18" s="319">
        <v>46132296.68</v>
      </c>
      <c r="P18" s="319">
        <v>46016267.100000001</v>
      </c>
      <c r="Q18" s="319">
        <v>46901628.700000003</v>
      </c>
      <c r="R18" s="319">
        <v>46768806.380000003</v>
      </c>
      <c r="S18" s="319">
        <v>48695137.990000002</v>
      </c>
      <c r="T18" s="677">
        <v>50796820.850000001</v>
      </c>
      <c r="U18" s="677">
        <v>53110108.969999999</v>
      </c>
      <c r="V18" s="678">
        <v>53242761.479999997</v>
      </c>
      <c r="W18" s="809">
        <v>52942688.590000004</v>
      </c>
      <c r="X18" s="811"/>
      <c r="Y18" s="13" t="s">
        <v>9</v>
      </c>
      <c r="Z18" s="319">
        <f>B18/'Population &amp; Income'!B17</f>
        <v>2632.5840061295971</v>
      </c>
      <c r="AA18" s="319">
        <f>C18/'Population &amp; Income'!C17</f>
        <v>2837.0641249022842</v>
      </c>
      <c r="AB18" s="319">
        <f>D18/'Population &amp; Income'!D17</f>
        <v>2814.3934156839114</v>
      </c>
      <c r="AC18" s="319">
        <f>E18/'Population &amp; Income'!E17</f>
        <v>2887.7153914725423</v>
      </c>
      <c r="AD18" s="319">
        <f>F18/'Population &amp; Income'!F17</f>
        <v>3043.0966190752883</v>
      </c>
      <c r="AE18" s="319">
        <f>G18/'Population &amp; Income'!G17</f>
        <v>3102.1595640149667</v>
      </c>
      <c r="AF18" s="319">
        <f>H18/'Population &amp; Income'!H17</f>
        <v>3294.4993215816285</v>
      </c>
      <c r="AG18" s="319">
        <f>I18/'Population &amp; Income'!I17</f>
        <v>3054.4371951612902</v>
      </c>
      <c r="AH18" s="319">
        <f>J18/'Population &amp; Income'!J17</f>
        <v>3048.7113921300393</v>
      </c>
      <c r="AI18" s="319">
        <f>K18/'Population &amp; Income'!K17</f>
        <v>3263.7947424995987</v>
      </c>
      <c r="AJ18" s="319">
        <f>L18/'Population &amp; Income'!L17</f>
        <v>3325.84236315621</v>
      </c>
      <c r="AK18" s="319">
        <f>M18/'Population &amp; Income'!M17</f>
        <v>3983.4272885136211</v>
      </c>
      <c r="AL18" s="319">
        <f>N18/'Population &amp; Income'!N17</f>
        <v>3739.0509437605601</v>
      </c>
      <c r="AM18" s="319">
        <f>O18/'Population &amp; Income'!O17</f>
        <v>3716.7496519497258</v>
      </c>
      <c r="AN18" s="319">
        <f>P18/'Population &amp; Income'!P17</f>
        <v>3729.3352054461466</v>
      </c>
      <c r="AO18" s="319">
        <f>Q18/'Population &amp; Income'!Q17</f>
        <v>3787.5820641201649</v>
      </c>
      <c r="AP18" s="319">
        <f>R18/'Population &amp; Income'!R17</f>
        <v>3777.1609093845909</v>
      </c>
      <c r="AQ18" s="319">
        <f>S18/'Population &amp; Income'!S17</f>
        <v>3898.7300232185748</v>
      </c>
      <c r="AR18" s="697">
        <f>T18/'Population &amp; Income'!T17</f>
        <v>4107.1168216364813</v>
      </c>
      <c r="AS18" s="697">
        <f>U18/'Population &amp; Income'!U17</f>
        <v>4367.2484968341414</v>
      </c>
      <c r="AT18" s="697">
        <f>V18/'Population &amp; Income'!V17</f>
        <v>4417.7531928310655</v>
      </c>
      <c r="AU18" s="697">
        <f>W18/'Population &amp; Income'!W17</f>
        <v>4302.184998374777</v>
      </c>
      <c r="AV18" s="690"/>
      <c r="AW18" s="486"/>
      <c r="AX18" s="13" t="s">
        <v>9</v>
      </c>
      <c r="AY18" s="40">
        <f t="shared" si="0"/>
        <v>8.6448924521357814E-2</v>
      </c>
      <c r="AZ18" s="40">
        <f t="shared" si="1"/>
        <v>9.7017800835404123E-4</v>
      </c>
      <c r="BA18" s="40">
        <f t="shared" si="2"/>
        <v>5.0253098119479395E-2</v>
      </c>
      <c r="BB18" s="40">
        <f t="shared" si="3"/>
        <v>6.7632744257095867E-2</v>
      </c>
      <c r="BC18" s="40">
        <f t="shared" si="4"/>
        <v>4.030979961528549E-2</v>
      </c>
      <c r="BD18" s="40">
        <f t="shared" si="5"/>
        <v>6.8307904642450082E-2</v>
      </c>
      <c r="BE18" s="40">
        <f t="shared" si="6"/>
        <v>-7.0393607331894273E-2</v>
      </c>
      <c r="BF18" s="40">
        <f t="shared" si="7"/>
        <v>2.9875230786735385E-4</v>
      </c>
      <c r="BG18" s="40">
        <f t="shared" si="8"/>
        <v>7.3908671328442102E-2</v>
      </c>
      <c r="BH18" s="40">
        <f t="shared" si="9"/>
        <v>2.1463179571377784E-2</v>
      </c>
      <c r="BI18" s="40">
        <f t="shared" si="10"/>
        <v>0.20327901044012095</v>
      </c>
      <c r="BJ18" s="40">
        <f t="shared" si="11"/>
        <v>-7.0694404990659029E-2</v>
      </c>
      <c r="BK18" s="40">
        <f t="shared" si="12"/>
        <v>-7.3240367430124813E-3</v>
      </c>
      <c r="BL18" s="40">
        <f t="shared" si="13"/>
        <v>-2.5151485694468183E-3</v>
      </c>
      <c r="BM18" s="40">
        <f t="shared" si="14"/>
        <v>1.924018734670465E-2</v>
      </c>
      <c r="BN18" s="40">
        <f t="shared" si="15"/>
        <v>-2.8319340645839935E-3</v>
      </c>
      <c r="BO18" s="40">
        <f t="shared" si="16"/>
        <v>4.1188385146039709E-2</v>
      </c>
      <c r="BP18" s="691">
        <f t="shared" si="17"/>
        <v>4.3160014464515936E-2</v>
      </c>
      <c r="BQ18" s="691">
        <f t="shared" si="18"/>
        <v>4.5540017687937598E-2</v>
      </c>
      <c r="BR18" s="691">
        <f t="shared" si="19"/>
        <v>2.4976885299732407E-3</v>
      </c>
      <c r="BS18" s="691">
        <f t="shared" si="20"/>
        <v>-5.6359377624076073E-3</v>
      </c>
      <c r="BT18" s="40"/>
      <c r="BV18" s="13" t="s">
        <v>9</v>
      </c>
      <c r="BW18" s="40">
        <f t="shared" si="21"/>
        <v>8.6448924521357814E-2</v>
      </c>
      <c r="BX18" s="40">
        <f t="shared" si="22"/>
        <v>8.7502973375128343E-2</v>
      </c>
      <c r="BY18" s="40">
        <f t="shared" si="23"/>
        <v>0.14215336700137426</v>
      </c>
      <c r="BZ18" s="40">
        <f t="shared" si="24"/>
        <v>0.21940033357415914</v>
      </c>
      <c r="CA18" s="40">
        <f t="shared" si="25"/>
        <v>0.26855411667134577</v>
      </c>
      <c r="CB18" s="40">
        <f t="shared" si="26"/>
        <v>0.35520639030671958</v>
      </c>
      <c r="CC18" s="40">
        <f t="shared" si="27"/>
        <v>0.25980852381379449</v>
      </c>
      <c r="CD18" s="40">
        <f t="shared" si="28"/>
        <v>0.26018489451775484</v>
      </c>
      <c r="CE18" s="40">
        <f t="shared" si="29"/>
        <v>0.35332348569973504</v>
      </c>
      <c r="CF18" s="40">
        <f t="shared" si="30"/>
        <v>0.38237011069147137</v>
      </c>
      <c r="CG18" s="40">
        <f t="shared" si="31"/>
        <v>0.66337693885483417</v>
      </c>
      <c r="CH18" s="40">
        <f t="shared" si="32"/>
        <v>0.54578549588730785</v>
      </c>
      <c r="CI18" s="40">
        <f t="shared" si="33"/>
        <v>0.53446410611861339</v>
      </c>
      <c r="CJ18" s="40">
        <f t="shared" si="34"/>
        <v>0.53060470091724166</v>
      </c>
      <c r="CK18" s="40">
        <f t="shared" si="35"/>
        <v>0.56005382211663624</v>
      </c>
      <c r="CL18" s="40">
        <f t="shared" si="36"/>
        <v>0.55563585255519965</v>
      </c>
      <c r="CM18" s="40">
        <f t="shared" si="37"/>
        <v>0.61970998119723109</v>
      </c>
      <c r="CN18" s="691">
        <f t="shared" si="38"/>
        <v>0.68961668741402438</v>
      </c>
      <c r="CO18" s="691">
        <f t="shared" si="39"/>
        <v>0.76656186124469361</v>
      </c>
      <c r="CP18" s="691">
        <f t="shared" si="40"/>
        <v>0.77097418254301264</v>
      </c>
      <c r="CQ18" s="691">
        <f t="shared" si="41"/>
        <v>0.76099308227136953</v>
      </c>
    </row>
    <row r="19" spans="1:95">
      <c r="A19" s="13" t="s">
        <v>10</v>
      </c>
      <c r="B19" s="319">
        <v>365823722.30000001</v>
      </c>
      <c r="C19" s="319">
        <v>380171778.5</v>
      </c>
      <c r="D19" s="319">
        <v>407387938.60000002</v>
      </c>
      <c r="E19" s="319">
        <v>423728277.75</v>
      </c>
      <c r="F19" s="319">
        <v>425857837.14999998</v>
      </c>
      <c r="G19" s="319">
        <v>435245415.37</v>
      </c>
      <c r="H19" s="319">
        <v>440798191.72000003</v>
      </c>
      <c r="I19" s="319">
        <v>464061381.44</v>
      </c>
      <c r="J19" s="319">
        <v>493108421.69999999</v>
      </c>
      <c r="K19" s="319">
        <v>508327199.94</v>
      </c>
      <c r="L19" s="319">
        <v>516106580.69</v>
      </c>
      <c r="M19" s="319">
        <v>528120366.56999999</v>
      </c>
      <c r="N19" s="319">
        <v>530079088.88999999</v>
      </c>
      <c r="O19" s="319">
        <v>532421567.63999999</v>
      </c>
      <c r="P19" s="319">
        <v>536441254.62</v>
      </c>
      <c r="Q19" s="319">
        <v>548196380.10000002</v>
      </c>
      <c r="R19" s="319">
        <v>577091232.70000005</v>
      </c>
      <c r="S19" s="319">
        <v>557828998.65999997</v>
      </c>
      <c r="T19" s="677">
        <v>643617562.77999997</v>
      </c>
      <c r="U19" s="677">
        <v>609085974.64999998</v>
      </c>
      <c r="V19" s="678">
        <v>620671959.38999999</v>
      </c>
      <c r="W19" s="809">
        <v>623126472.71000004</v>
      </c>
      <c r="X19" s="811"/>
      <c r="Y19" s="13" t="s">
        <v>10</v>
      </c>
      <c r="Z19" s="319">
        <f>B19/'Population &amp; Income'!B18</f>
        <v>8995.8127747995877</v>
      </c>
      <c r="AA19" s="319">
        <f>C19/'Population &amp; Income'!C18</f>
        <v>9324.5635010178812</v>
      </c>
      <c r="AB19" s="319">
        <f>D19/'Population &amp; Income'!D18</f>
        <v>9954.7438813410226</v>
      </c>
      <c r="AC19" s="319">
        <f>E19/'Population &amp; Income'!E18</f>
        <v>10348.718469898644</v>
      </c>
      <c r="AD19" s="319">
        <f>F19/'Population &amp; Income'!F18</f>
        <v>10431.044852544946</v>
      </c>
      <c r="AE19" s="319">
        <f>G19/'Population &amp; Income'!G18</f>
        <v>10658.114341650953</v>
      </c>
      <c r="AF19" s="319">
        <f>H19/'Population &amp; Income'!H18</f>
        <v>10733.373714814456</v>
      </c>
      <c r="AG19" s="319">
        <f>I19/'Population &amp; Income'!I18</f>
        <v>11282.521247720697</v>
      </c>
      <c r="AH19" s="319">
        <f>J19/'Population &amp; Income'!J18</f>
        <v>11889.006213231749</v>
      </c>
      <c r="AI19" s="319">
        <f>K19/'Population &amp; Income'!K18</f>
        <v>12104.46957828313</v>
      </c>
      <c r="AJ19" s="319">
        <f>L19/'Population &amp; Income'!L18</f>
        <v>12216.69698172608</v>
      </c>
      <c r="AK19" s="319">
        <f>M19/'Population &amp; Income'!M18</f>
        <v>12541.745626113183</v>
      </c>
      <c r="AL19" s="319">
        <f>N19/'Population &amp; Income'!N18</f>
        <v>12516.329930580152</v>
      </c>
      <c r="AM19" s="319">
        <f>O19/'Population &amp; Income'!O18</f>
        <v>12473.855343813697</v>
      </c>
      <c r="AN19" s="319">
        <f>P19/'Population &amp; Income'!P18</f>
        <v>12527.820051844932</v>
      </c>
      <c r="AO19" s="319">
        <f>Q19/'Population &amp; Income'!Q18</f>
        <v>12732.467311578215</v>
      </c>
      <c r="AP19" s="319">
        <f>R19/'Population &amp; Income'!R18</f>
        <v>13404.20488003159</v>
      </c>
      <c r="AQ19" s="319">
        <f>S19/'Population &amp; Income'!S18</f>
        <v>12947.775193463778</v>
      </c>
      <c r="AR19" s="697">
        <f>T19/'Population &amp; Income'!T18</f>
        <v>15014.990383296396</v>
      </c>
      <c r="AS19" s="697">
        <f>U19/'Population &amp; Income'!U18</f>
        <v>14211.390248255908</v>
      </c>
      <c r="AT19" s="697">
        <f>V19/'Population &amp; Income'!V18</f>
        <v>14522.379077423429</v>
      </c>
      <c r="AU19" s="697">
        <f>W19/'Population &amp; Income'!W18</f>
        <v>14604.754903435993</v>
      </c>
      <c r="AV19" s="690"/>
      <c r="AW19" s="486"/>
      <c r="AX19" s="13" t="s">
        <v>10</v>
      </c>
      <c r="AY19" s="40">
        <f t="shared" si="0"/>
        <v>3.9221229585088578E-2</v>
      </c>
      <c r="AZ19" s="40">
        <f t="shared" si="1"/>
        <v>7.1589112183402179E-2</v>
      </c>
      <c r="BA19" s="40">
        <f t="shared" si="2"/>
        <v>4.0110021926898491E-2</v>
      </c>
      <c r="BB19" s="40">
        <f t="shared" si="3"/>
        <v>5.02576653913199E-3</v>
      </c>
      <c r="BC19" s="40">
        <f t="shared" si="4"/>
        <v>2.2043924993432586E-2</v>
      </c>
      <c r="BD19" s="40">
        <f t="shared" si="5"/>
        <v>1.2757805490678484E-2</v>
      </c>
      <c r="BE19" s="40">
        <f t="shared" si="6"/>
        <v>5.2775147804546819E-2</v>
      </c>
      <c r="BF19" s="40">
        <f t="shared" si="7"/>
        <v>6.2593099580632902E-2</v>
      </c>
      <c r="BG19" s="40">
        <f t="shared" si="8"/>
        <v>3.0862945288042339E-2</v>
      </c>
      <c r="BH19" s="40">
        <f t="shared" si="9"/>
        <v>1.53038844880192E-2</v>
      </c>
      <c r="BI19" s="40">
        <f t="shared" si="10"/>
        <v>2.3277722721416122E-2</v>
      </c>
      <c r="BJ19" s="40">
        <f t="shared" si="11"/>
        <v>3.7088558669330792E-3</v>
      </c>
      <c r="BK19" s="40">
        <f t="shared" si="12"/>
        <v>4.4191117874602713E-3</v>
      </c>
      <c r="BL19" s="40">
        <f t="shared" si="13"/>
        <v>7.5498199628117888E-3</v>
      </c>
      <c r="BM19" s="40">
        <f t="shared" si="14"/>
        <v>2.191316454273641E-2</v>
      </c>
      <c r="BN19" s="40">
        <f t="shared" si="15"/>
        <v>5.2708944547808084E-2</v>
      </c>
      <c r="BO19" s="40">
        <f t="shared" si="16"/>
        <v>-3.3378143608037661E-2</v>
      </c>
      <c r="BP19" s="691">
        <f t="shared" si="17"/>
        <v>0.15379007603777989</v>
      </c>
      <c r="BQ19" s="691">
        <f t="shared" si="18"/>
        <v>-5.3652339723059286E-2</v>
      </c>
      <c r="BR19" s="691">
        <f t="shared" si="19"/>
        <v>1.902192009372352E-2</v>
      </c>
      <c r="BS19" s="691">
        <f t="shared" si="20"/>
        <v>3.9546064275440482E-3</v>
      </c>
      <c r="BT19" s="40"/>
      <c r="BV19" s="13" t="s">
        <v>10</v>
      </c>
      <c r="BW19" s="40">
        <f t="shared" si="21"/>
        <v>3.9221229585088578E-2</v>
      </c>
      <c r="BX19" s="40">
        <f t="shared" si="22"/>
        <v>0.11361815477322863</v>
      </c>
      <c r="BY19" s="40">
        <f t="shared" si="23"/>
        <v>0.15828540337937508</v>
      </c>
      <c r="BZ19" s="40">
        <f t="shared" si="24"/>
        <v>0.16410667540244414</v>
      </c>
      <c r="CA19" s="40">
        <f t="shared" si="25"/>
        <v>0.18976815563936977</v>
      </c>
      <c r="CB19" s="40">
        <f t="shared" si="26"/>
        <v>0.20494698634802014</v>
      </c>
      <c r="CC19" s="40">
        <f t="shared" si="27"/>
        <v>0.26853824164918016</v>
      </c>
      <c r="CD19" s="40">
        <f t="shared" si="28"/>
        <v>0.34793998213056826</v>
      </c>
      <c r="CE19" s="40">
        <f t="shared" si="29"/>
        <v>0.38954138005062877</v>
      </c>
      <c r="CF19" s="40">
        <f t="shared" si="30"/>
        <v>0.41080676082224638</v>
      </c>
      <c r="CG19" s="40">
        <f t="shared" si="31"/>
        <v>0.44364712941416584</v>
      </c>
      <c r="CH19" s="40">
        <f t="shared" si="32"/>
        <v>0.44900140853987469</v>
      </c>
      <c r="CI19" s="40">
        <f t="shared" si="33"/>
        <v>0.45540470774439978</v>
      </c>
      <c r="CJ19" s="40">
        <f t="shared" si="34"/>
        <v>0.46639275126089874</v>
      </c>
      <c r="CK19" s="40">
        <f t="shared" si="35"/>
        <v>0.49852605690355473</v>
      </c>
      <c r="CL19" s="40">
        <f t="shared" si="36"/>
        <v>0.57751178374032974</v>
      </c>
      <c r="CM19" s="40">
        <f t="shared" si="37"/>
        <v>0.52485736887927337</v>
      </c>
      <c r="CN19" s="691">
        <f t="shared" si="38"/>
        <v>0.75936529958598575</v>
      </c>
      <c r="CO19" s="691">
        <f t="shared" si="39"/>
        <v>0.66497123483563647</v>
      </c>
      <c r="CP19" s="691">
        <f t="shared" si="40"/>
        <v>0.69664218462302807</v>
      </c>
      <c r="CQ19" s="691">
        <f t="shared" si="41"/>
        <v>0.70335173671158069</v>
      </c>
    </row>
    <row r="20" spans="1:95">
      <c r="A20" s="13" t="s">
        <v>11</v>
      </c>
      <c r="B20" s="319">
        <v>22014028.649999999</v>
      </c>
      <c r="C20" s="319">
        <v>23301452.440000001</v>
      </c>
      <c r="D20" s="319">
        <v>25552935.350000001</v>
      </c>
      <c r="E20" s="319">
        <v>28859690.149999999</v>
      </c>
      <c r="F20" s="319">
        <v>29502704.129999999</v>
      </c>
      <c r="G20" s="319">
        <v>31594166.899999999</v>
      </c>
      <c r="H20" s="319">
        <v>30526404.870000001</v>
      </c>
      <c r="I20" s="319">
        <v>29834144.210000001</v>
      </c>
      <c r="J20" s="319">
        <v>32281793.670000002</v>
      </c>
      <c r="K20" s="319">
        <v>32153385.120000001</v>
      </c>
      <c r="L20" s="319">
        <v>33128642.43</v>
      </c>
      <c r="M20" s="319">
        <v>36038566.530000001</v>
      </c>
      <c r="N20" s="319">
        <v>54589942.93</v>
      </c>
      <c r="O20" s="319">
        <v>60434066.469999999</v>
      </c>
      <c r="P20" s="319">
        <v>33820485.579999998</v>
      </c>
      <c r="Q20" s="319">
        <v>32324402.18</v>
      </c>
      <c r="R20" s="319">
        <v>33383902.039999999</v>
      </c>
      <c r="S20" s="319">
        <v>32871935.23</v>
      </c>
      <c r="T20" s="677">
        <v>36723285.18</v>
      </c>
      <c r="U20" s="677">
        <v>41774043.740000002</v>
      </c>
      <c r="V20" s="678">
        <v>48800554.719999999</v>
      </c>
      <c r="W20" s="809">
        <v>51620226.600000001</v>
      </c>
      <c r="X20" s="811"/>
      <c r="Y20" s="13" t="s">
        <v>11</v>
      </c>
      <c r="Z20" s="319">
        <f>B20/'Population &amp; Income'!B19</f>
        <v>2560.0684556343758</v>
      </c>
      <c r="AA20" s="319">
        <f>C20/'Population &amp; Income'!C19</f>
        <v>2670.6535747851003</v>
      </c>
      <c r="AB20" s="319">
        <f>D20/'Population &amp; Income'!D19</f>
        <v>2900.1175065259335</v>
      </c>
      <c r="AC20" s="319">
        <f>E20/'Population &amp; Income'!E19</f>
        <v>3235.3912724215247</v>
      </c>
      <c r="AD20" s="319">
        <f>F20/'Population &amp; Income'!F19</f>
        <v>3287.2093738161557</v>
      </c>
      <c r="AE20" s="319">
        <f>G20/'Population &amp; Income'!G19</f>
        <v>3508.1242393959583</v>
      </c>
      <c r="AF20" s="319">
        <f>H20/'Population &amp; Income'!H19</f>
        <v>3376.4411978763414</v>
      </c>
      <c r="AG20" s="319">
        <f>I20/'Population &amp; Income'!I19</f>
        <v>3259.8496732954545</v>
      </c>
      <c r="AH20" s="319">
        <f>J20/'Population &amp; Income'!J19</f>
        <v>3497.4857713976166</v>
      </c>
      <c r="AI20" s="319">
        <f>K20/'Population &amp; Income'!K19</f>
        <v>3467.4199417664186</v>
      </c>
      <c r="AJ20" s="319">
        <f>L20/'Population &amp; Income'!L19</f>
        <v>3545.8249416675585</v>
      </c>
      <c r="AK20" s="319">
        <f>M20/'Population &amp; Income'!M19</f>
        <v>3835.9304449175092</v>
      </c>
      <c r="AL20" s="319">
        <f>N20/'Population &amp; Income'!N19</f>
        <v>5832.8820311999143</v>
      </c>
      <c r="AM20" s="319">
        <f>O20/'Population &amp; Income'!O19</f>
        <v>6453.1838195408436</v>
      </c>
      <c r="AN20" s="319">
        <f>P20/'Population &amp; Income'!P19</f>
        <v>3584.5771679915206</v>
      </c>
      <c r="AO20" s="319">
        <f>Q20/'Population &amp; Income'!Q19</f>
        <v>3511.232042146426</v>
      </c>
      <c r="AP20" s="319">
        <f>R20/'Population &amp; Income'!R19</f>
        <v>3650.5086976489883</v>
      </c>
      <c r="AQ20" s="319">
        <f>S20/'Population &amp; Income'!S19</f>
        <v>3613.491835770034</v>
      </c>
      <c r="AR20" s="697">
        <f>T20/'Population &amp; Income'!T19</f>
        <v>4072.6721947432625</v>
      </c>
      <c r="AS20" s="697">
        <f>U20/'Population &amp; Income'!U19</f>
        <v>4631.2687073170737</v>
      </c>
      <c r="AT20" s="697">
        <f>V20/'Population &amp; Income'!V19</f>
        <v>5385.1859103950565</v>
      </c>
      <c r="AU20" s="697">
        <f>W20/'Population &amp; Income'!W19</f>
        <v>5672.552373626374</v>
      </c>
      <c r="AV20" s="690"/>
      <c r="AW20" s="486"/>
      <c r="AX20" s="13" t="s">
        <v>11</v>
      </c>
      <c r="AY20" s="40">
        <f t="shared" si="0"/>
        <v>5.8481971222473304E-2</v>
      </c>
      <c r="AZ20" s="40">
        <f t="shared" si="1"/>
        <v>9.6624144602034945E-2</v>
      </c>
      <c r="BA20" s="40">
        <f t="shared" si="2"/>
        <v>0.12940802121976161</v>
      </c>
      <c r="BB20" s="40">
        <f t="shared" si="3"/>
        <v>2.2280695899987008E-2</v>
      </c>
      <c r="BC20" s="40">
        <f t="shared" si="4"/>
        <v>7.0890544839016412E-2</v>
      </c>
      <c r="BD20" s="40">
        <f t="shared" si="5"/>
        <v>-3.3796176154276047E-2</v>
      </c>
      <c r="BE20" s="40">
        <f t="shared" si="6"/>
        <v>-2.267743820302676E-2</v>
      </c>
      <c r="BF20" s="40">
        <f t="shared" si="7"/>
        <v>8.2041886060857147E-2</v>
      </c>
      <c r="BG20" s="40">
        <f t="shared" si="8"/>
        <v>-3.9777390101880528E-3</v>
      </c>
      <c r="BH20" s="40">
        <f t="shared" si="9"/>
        <v>3.0331403874280426E-2</v>
      </c>
      <c r="BI20" s="40">
        <f t="shared" si="10"/>
        <v>8.7837106701507586E-2</v>
      </c>
      <c r="BJ20" s="40">
        <f t="shared" si="11"/>
        <v>0.5147645477118814</v>
      </c>
      <c r="BK20" s="40">
        <f t="shared" si="12"/>
        <v>0.10705494870170217</v>
      </c>
      <c r="BL20" s="40">
        <f t="shared" si="13"/>
        <v>-0.44037382298626582</v>
      </c>
      <c r="BM20" s="40">
        <f t="shared" si="14"/>
        <v>-4.4236011823695368E-2</v>
      </c>
      <c r="BN20" s="40">
        <f t="shared" si="15"/>
        <v>3.2777090635740858E-2</v>
      </c>
      <c r="BO20" s="40">
        <f t="shared" si="16"/>
        <v>-1.5335739045320979E-2</v>
      </c>
      <c r="BP20" s="691">
        <f t="shared" si="17"/>
        <v>0.11716225172180102</v>
      </c>
      <c r="BQ20" s="691">
        <f t="shared" si="18"/>
        <v>0.13753558635191804</v>
      </c>
      <c r="BR20" s="691">
        <f t="shared" si="19"/>
        <v>0.16820279654353607</v>
      </c>
      <c r="BS20" s="691">
        <f t="shared" si="20"/>
        <v>5.7779504683466487E-2</v>
      </c>
      <c r="BT20" s="40"/>
      <c r="BV20" s="13" t="s">
        <v>11</v>
      </c>
      <c r="BW20" s="40">
        <f t="shared" si="21"/>
        <v>5.8481971222473304E-2</v>
      </c>
      <c r="BX20" s="40">
        <f t="shared" si="22"/>
        <v>0.16075688626852055</v>
      </c>
      <c r="BY20" s="40">
        <f t="shared" si="23"/>
        <v>0.3109681380377417</v>
      </c>
      <c r="BZ20" s="40">
        <f t="shared" si="24"/>
        <v>0.3401774204559328</v>
      </c>
      <c r="CA20" s="40">
        <f t="shared" si="25"/>
        <v>0.43518332797300147</v>
      </c>
      <c r="CB20" s="40">
        <f t="shared" si="26"/>
        <v>0.38667961940714579</v>
      </c>
      <c r="CC20" s="40">
        <f t="shared" si="27"/>
        <v>0.35523327803064358</v>
      </c>
      <c r="CD20" s="40">
        <f t="shared" si="28"/>
        <v>0.46641917221271556</v>
      </c>
      <c r="CE20" s="40">
        <f t="shared" si="29"/>
        <v>0.46058613946611737</v>
      </c>
      <c r="CF20" s="40">
        <f t="shared" si="30"/>
        <v>0.50488776755544029</v>
      </c>
      <c r="CG20" s="40">
        <f t="shared" si="31"/>
        <v>0.63707275496800098</v>
      </c>
      <c r="CH20" s="40">
        <f t="shared" si="32"/>
        <v>1.4797797712505476</v>
      </c>
      <c r="CI20" s="40">
        <f t="shared" si="33"/>
        <v>1.7452524674532939</v>
      </c>
      <c r="CJ20" s="40">
        <f t="shared" si="34"/>
        <v>0.53631514329840757</v>
      </c>
      <c r="CK20" s="40">
        <f t="shared" si="35"/>
        <v>0.46835468845453698</v>
      </c>
      <c r="CL20" s="40">
        <f t="shared" si="36"/>
        <v>0.51648308316342639</v>
      </c>
      <c r="CM20" s="40">
        <f t="shared" si="37"/>
        <v>0.49322669433338828</v>
      </c>
      <c r="CN20" s="691">
        <f t="shared" si="38"/>
        <v>0.66817649617258956</v>
      </c>
      <c r="CO20" s="691">
        <f t="shared" si="39"/>
        <v>0.89761012871217483</v>
      </c>
      <c r="CP20" s="691">
        <f t="shared" si="40"/>
        <v>1.2167934591109022</v>
      </c>
      <c r="CQ20" s="691">
        <f t="shared" si="41"/>
        <v>1.3448786871638783</v>
      </c>
    </row>
    <row r="21" spans="1:95">
      <c r="A21" s="13" t="s">
        <v>12</v>
      </c>
      <c r="B21" s="319">
        <v>39083939.899999999</v>
      </c>
      <c r="C21" s="319">
        <v>43542367.75</v>
      </c>
      <c r="D21" s="319">
        <v>41412468.25</v>
      </c>
      <c r="E21" s="319">
        <v>44070158.350000001</v>
      </c>
      <c r="F21" s="319">
        <v>45931590.710000001</v>
      </c>
      <c r="G21" s="319">
        <v>48938466.450000003</v>
      </c>
      <c r="H21" s="319">
        <v>51813920.530000001</v>
      </c>
      <c r="I21" s="319">
        <v>54965564.189999998</v>
      </c>
      <c r="J21" s="319">
        <v>52939512.799999997</v>
      </c>
      <c r="K21" s="319">
        <v>55007330.289999999</v>
      </c>
      <c r="L21" s="319">
        <v>56302750.549999997</v>
      </c>
      <c r="M21" s="319">
        <v>68612803.109999999</v>
      </c>
      <c r="N21" s="319">
        <v>92475181.140000001</v>
      </c>
      <c r="O21" s="319">
        <v>83862055.939999998</v>
      </c>
      <c r="P21" s="319">
        <v>61896292.530000001</v>
      </c>
      <c r="Q21" s="319">
        <v>58965895.600000001</v>
      </c>
      <c r="R21" s="319">
        <v>65510634.090000004</v>
      </c>
      <c r="S21" s="319">
        <v>104538628.45</v>
      </c>
      <c r="T21" s="677">
        <v>70763914.810000002</v>
      </c>
      <c r="U21" s="677">
        <v>67850920.560000002</v>
      </c>
      <c r="V21" s="678">
        <v>67394547.900000006</v>
      </c>
      <c r="W21" s="809">
        <v>70043910.329999998</v>
      </c>
      <c r="X21" s="811"/>
      <c r="Y21" s="13" t="s">
        <v>12</v>
      </c>
      <c r="Z21" s="319">
        <f>B21/'Population &amp; Income'!B20</f>
        <v>3764.9494172045079</v>
      </c>
      <c r="AA21" s="319">
        <f>C21/'Population &amp; Income'!C20</f>
        <v>4196.045846583791</v>
      </c>
      <c r="AB21" s="319">
        <f>D21/'Population &amp; Income'!D20</f>
        <v>3992.332811144317</v>
      </c>
      <c r="AC21" s="319">
        <f>E21/'Population &amp; Income'!E20</f>
        <v>4276.1651804773919</v>
      </c>
      <c r="AD21" s="319">
        <f>F21/'Population &amp; Income'!F20</f>
        <v>4473.710987630272</v>
      </c>
      <c r="AE21" s="319">
        <f>G21/'Population &amp; Income'!G20</f>
        <v>4828.1833514206792</v>
      </c>
      <c r="AF21" s="319">
        <f>H21/'Population &amp; Income'!H20</f>
        <v>5131.61538377736</v>
      </c>
      <c r="AG21" s="319">
        <f>I21/'Population &amp; Income'!I20</f>
        <v>5496.5564189999996</v>
      </c>
      <c r="AH21" s="319">
        <f>J21/'Population &amp; Income'!J20</f>
        <v>5335.5687159846802</v>
      </c>
      <c r="AI21" s="319">
        <f>K21/'Population &amp; Income'!K20</f>
        <v>5549.5692382970137</v>
      </c>
      <c r="AJ21" s="319">
        <f>L21/'Population &amp; Income'!L20</f>
        <v>5778.7899568921275</v>
      </c>
      <c r="AK21" s="319">
        <f>M21/'Population &amp; Income'!M20</f>
        <v>7130.8255154853459</v>
      </c>
      <c r="AL21" s="319">
        <f>N21/'Population &amp; Income'!N20</f>
        <v>9784.6980361866463</v>
      </c>
      <c r="AM21" s="319">
        <f>O21/'Population &amp; Income'!O20</f>
        <v>9003.8711552501609</v>
      </c>
      <c r="AN21" s="319">
        <f>P21/'Population &amp; Income'!P20</f>
        <v>6669.8591088362073</v>
      </c>
      <c r="AO21" s="319">
        <f>Q21/'Population &amp; Income'!Q20</f>
        <v>6365.7449638346106</v>
      </c>
      <c r="AP21" s="319">
        <f>R21/'Population &amp; Income'!R20</f>
        <v>7210.063184019371</v>
      </c>
      <c r="AQ21" s="319">
        <f>S21/'Population &amp; Income'!S20</f>
        <v>11453.777632299771</v>
      </c>
      <c r="AR21" s="697">
        <f>T21/'Population &amp; Income'!T20</f>
        <v>7867.0277720956092</v>
      </c>
      <c r="AS21" s="697">
        <f>U21/'Population &amp; Income'!U20</f>
        <v>7585.3460659586362</v>
      </c>
      <c r="AT21" s="697">
        <f>V21/'Population &amp; Income'!V20</f>
        <v>7561.3764052507577</v>
      </c>
      <c r="AU21" s="697">
        <f>W21/'Population &amp; Income'!W20</f>
        <v>7963.1548806275578</v>
      </c>
      <c r="AV21" s="690"/>
      <c r="AW21" s="486"/>
      <c r="AX21" s="13" t="s">
        <v>12</v>
      </c>
      <c r="AY21" s="40">
        <f t="shared" si="0"/>
        <v>0.11407314261068142</v>
      </c>
      <c r="AZ21" s="40">
        <f t="shared" si="1"/>
        <v>-4.8915564542307187E-2</v>
      </c>
      <c r="BA21" s="40">
        <f t="shared" si="2"/>
        <v>6.4176085423259005E-2</v>
      </c>
      <c r="BB21" s="40">
        <f t="shared" si="3"/>
        <v>4.2237932190230018E-2</v>
      </c>
      <c r="BC21" s="40">
        <f t="shared" si="4"/>
        <v>6.5464219582217945E-2</v>
      </c>
      <c r="BD21" s="40">
        <f t="shared" si="5"/>
        <v>5.8756521987419125E-2</v>
      </c>
      <c r="BE21" s="40">
        <f t="shared" si="6"/>
        <v>6.0826195504260494E-2</v>
      </c>
      <c r="BF21" s="40">
        <f t="shared" si="7"/>
        <v>-3.6860376489478562E-2</v>
      </c>
      <c r="BG21" s="40">
        <f t="shared" si="8"/>
        <v>3.9060002267342402E-2</v>
      </c>
      <c r="BH21" s="40">
        <f t="shared" si="9"/>
        <v>2.3549956945201855E-2</v>
      </c>
      <c r="BI21" s="40">
        <f t="shared" si="10"/>
        <v>0.21864034065383689</v>
      </c>
      <c r="BJ21" s="40">
        <f t="shared" si="11"/>
        <v>0.34778316798606601</v>
      </c>
      <c r="BK21" s="40">
        <f t="shared" si="12"/>
        <v>-9.3139857568490969E-2</v>
      </c>
      <c r="BL21" s="40">
        <f t="shared" si="13"/>
        <v>-0.26192731818685244</v>
      </c>
      <c r="BM21" s="40">
        <f t="shared" si="14"/>
        <v>-4.7343658403767717E-2</v>
      </c>
      <c r="BN21" s="40">
        <f t="shared" si="15"/>
        <v>0.1109919288667601</v>
      </c>
      <c r="BO21" s="40">
        <f t="shared" si="16"/>
        <v>0.59575052053964939</v>
      </c>
      <c r="BP21" s="691">
        <f t="shared" si="17"/>
        <v>-0.32308357341950567</v>
      </c>
      <c r="BQ21" s="691">
        <f t="shared" si="18"/>
        <v>-4.1164967452992723E-2</v>
      </c>
      <c r="BR21" s="691">
        <f t="shared" si="19"/>
        <v>-6.7261085956295888E-3</v>
      </c>
      <c r="BS21" s="691">
        <f t="shared" si="20"/>
        <v>3.9311227874562121E-2</v>
      </c>
      <c r="BT21" s="40"/>
      <c r="BV21" s="13" t="s">
        <v>12</v>
      </c>
      <c r="BW21" s="40">
        <f t="shared" si="21"/>
        <v>0.11407314261068142</v>
      </c>
      <c r="BX21" s="40">
        <f t="shared" si="22"/>
        <v>5.957762589845763E-2</v>
      </c>
      <c r="BY21" s="40">
        <f t="shared" si="23"/>
        <v>0.12757717013069103</v>
      </c>
      <c r="BZ21" s="40">
        <f t="shared" si="24"/>
        <v>0.17520369818192261</v>
      </c>
      <c r="CA21" s="40">
        <f t="shared" si="25"/>
        <v>0.25213749113353856</v>
      </c>
      <c r="CB21" s="40">
        <f t="shared" si="26"/>
        <v>0.32570873516259818</v>
      </c>
      <c r="CC21" s="40">
        <f t="shared" si="27"/>
        <v>0.40634655386930424</v>
      </c>
      <c r="CD21" s="40">
        <f t="shared" si="28"/>
        <v>0.35450809041900094</v>
      </c>
      <c r="CE21" s="40">
        <f t="shared" si="29"/>
        <v>0.40741517950190076</v>
      </c>
      <c r="CF21" s="40">
        <f t="shared" si="30"/>
        <v>0.44055974638319406</v>
      </c>
      <c r="CG21" s="40">
        <f t="shared" si="31"/>
        <v>0.7555242200646205</v>
      </c>
      <c r="CH21" s="40">
        <f t="shared" si="32"/>
        <v>1.3660659947949618</v>
      </c>
      <c r="CI21" s="40">
        <f t="shared" si="33"/>
        <v>1.1456909450421093</v>
      </c>
      <c r="CJ21" s="40">
        <f t="shared" si="34"/>
        <v>0.58367587014941658</v>
      </c>
      <c r="CK21" s="40">
        <f t="shared" si="35"/>
        <v>0.50869886073077308</v>
      </c>
      <c r="CL21" s="40">
        <f t="shared" si="36"/>
        <v>0.67615225736236495</v>
      </c>
      <c r="CM21" s="40">
        <f t="shared" si="37"/>
        <v>1.6747208371897022</v>
      </c>
      <c r="CN21" s="691">
        <f t="shared" si="38"/>
        <v>0.81056247121084135</v>
      </c>
      <c r="CO21" s="691">
        <f t="shared" si="39"/>
        <v>0.73603072601183706</v>
      </c>
      <c r="CP21" s="691">
        <f t="shared" si="40"/>
        <v>0.72435399482333174</v>
      </c>
      <c r="CQ21" s="691">
        <f t="shared" si="41"/>
        <v>0.79214046765024326</v>
      </c>
    </row>
    <row r="22" spans="1:95">
      <c r="A22" s="13" t="s">
        <v>13</v>
      </c>
      <c r="B22" s="319">
        <v>20070902.629999999</v>
      </c>
      <c r="C22" s="319">
        <v>21042693.25</v>
      </c>
      <c r="D22" s="319">
        <v>22688274.68</v>
      </c>
      <c r="E22" s="319">
        <v>22225812.870000001</v>
      </c>
      <c r="F22" s="319">
        <v>24554291.309999999</v>
      </c>
      <c r="G22" s="319">
        <v>25676301.600000001</v>
      </c>
      <c r="H22" s="319">
        <v>25082408.530000001</v>
      </c>
      <c r="I22" s="319">
        <v>26461502.010000002</v>
      </c>
      <c r="J22" s="319">
        <v>26804835.800000001</v>
      </c>
      <c r="K22" s="319">
        <v>28660803.469999999</v>
      </c>
      <c r="L22" s="319">
        <v>30608502.510000002</v>
      </c>
      <c r="M22" s="319">
        <v>31787349.75</v>
      </c>
      <c r="N22" s="319">
        <v>33155666.48</v>
      </c>
      <c r="O22" s="319">
        <v>33766228.109999999</v>
      </c>
      <c r="P22" s="319">
        <v>35423914.840000004</v>
      </c>
      <c r="Q22" s="319">
        <v>36767709.740000002</v>
      </c>
      <c r="R22" s="319">
        <v>39544054.009999998</v>
      </c>
      <c r="S22" s="319">
        <v>39394885.969999999</v>
      </c>
      <c r="T22" s="677">
        <v>41347989.899999999</v>
      </c>
      <c r="U22" s="677">
        <v>41755058.829999998</v>
      </c>
      <c r="V22" s="678">
        <v>42655890.030000001</v>
      </c>
      <c r="W22" s="809">
        <v>42196678.100000001</v>
      </c>
      <c r="X22" s="811"/>
      <c r="Y22" s="13" t="s">
        <v>13</v>
      </c>
      <c r="Z22" s="319">
        <f>B22/'Population &amp; Income'!B21</f>
        <v>3404.7332705682779</v>
      </c>
      <c r="AA22" s="319">
        <f>C22/'Population &amp; Income'!C21</f>
        <v>3505.9468927024327</v>
      </c>
      <c r="AB22" s="319">
        <f>D22/'Population &amp; Income'!D21</f>
        <v>3773.2038383502413</v>
      </c>
      <c r="AC22" s="319">
        <f>E22/'Population &amp; Income'!E21</f>
        <v>3760.0766147859922</v>
      </c>
      <c r="AD22" s="319">
        <f>F22/'Population &amp; Income'!F21</f>
        <v>4110.1927201205217</v>
      </c>
      <c r="AE22" s="319">
        <f>G22/'Population &amp; Income'!G21</f>
        <v>4340.8793913778536</v>
      </c>
      <c r="AF22" s="319">
        <f>H22/'Population &amp; Income'!H21</f>
        <v>4219.7860918573351</v>
      </c>
      <c r="AG22" s="319">
        <f>I22/'Population &amp; Income'!I21</f>
        <v>4414.665</v>
      </c>
      <c r="AH22" s="319">
        <f>J22/'Population &amp; Income'!J21</f>
        <v>4480.9153794717486</v>
      </c>
      <c r="AI22" s="319">
        <f>K22/'Population &amp; Income'!K21</f>
        <v>4770.4399916777629</v>
      </c>
      <c r="AJ22" s="319">
        <f>L22/'Population &amp; Income'!L21</f>
        <v>5076.0369004975128</v>
      </c>
      <c r="AK22" s="319">
        <f>M22/'Population &amp; Income'!M21</f>
        <v>5196.5587297694947</v>
      </c>
      <c r="AL22" s="319">
        <f>N22/'Population &amp; Income'!N21</f>
        <v>5415.822685396929</v>
      </c>
      <c r="AM22" s="319">
        <f>O22/'Population &amp; Income'!O21</f>
        <v>5501.1776001955031</v>
      </c>
      <c r="AN22" s="319">
        <f>P22/'Population &amp; Income'!P21</f>
        <v>5621.9512521821935</v>
      </c>
      <c r="AO22" s="319">
        <f>Q22/'Population &amp; Income'!Q21</f>
        <v>5832.4412658629444</v>
      </c>
      <c r="AP22" s="319">
        <f>R22/'Population &amp; Income'!R21</f>
        <v>6314.9239875439152</v>
      </c>
      <c r="AQ22" s="319">
        <f>S22/'Population &amp; Income'!S21</f>
        <v>6262.1023636941663</v>
      </c>
      <c r="AR22" s="697">
        <f>T22/'Population &amp; Income'!T21</f>
        <v>6609.3334239130436</v>
      </c>
      <c r="AS22" s="697">
        <f>U22/'Population &amp; Income'!U21</f>
        <v>6680.8094127999993</v>
      </c>
      <c r="AT22" s="697">
        <f>V22/'Population &amp; Income'!V21</f>
        <v>6915.6760749027235</v>
      </c>
      <c r="AU22" s="697">
        <f>W22/'Population &amp; Income'!W21</f>
        <v>6840.1164046036638</v>
      </c>
      <c r="AV22" s="690"/>
      <c r="AW22" s="486"/>
      <c r="AX22" s="13" t="s">
        <v>13</v>
      </c>
      <c r="AY22" s="40">
        <f t="shared" si="0"/>
        <v>4.8417883236973339E-2</v>
      </c>
      <c r="AZ22" s="40">
        <f t="shared" si="1"/>
        <v>7.8202034808448284E-2</v>
      </c>
      <c r="BA22" s="40">
        <f t="shared" si="2"/>
        <v>-2.0383295623957891E-2</v>
      </c>
      <c r="BB22" s="40">
        <f t="shared" si="3"/>
        <v>0.10476460202465465</v>
      </c>
      <c r="BC22" s="40">
        <f t="shared" si="4"/>
        <v>4.569507935841146E-2</v>
      </c>
      <c r="BD22" s="40">
        <f t="shared" si="5"/>
        <v>-2.3130008334222102E-2</v>
      </c>
      <c r="BE22" s="40">
        <f t="shared" si="6"/>
        <v>5.4982498126147875E-2</v>
      </c>
      <c r="BF22" s="40">
        <f t="shared" si="7"/>
        <v>1.2974841332523402E-2</v>
      </c>
      <c r="BG22" s="40">
        <f t="shared" si="8"/>
        <v>6.9240031308082026E-2</v>
      </c>
      <c r="BH22" s="40">
        <f t="shared" si="9"/>
        <v>6.7956888997850656E-2</v>
      </c>
      <c r="BI22" s="40">
        <f t="shared" si="10"/>
        <v>3.8513718193657502E-2</v>
      </c>
      <c r="BJ22" s="40">
        <f t="shared" si="11"/>
        <v>4.3045951951373375E-2</v>
      </c>
      <c r="BK22" s="40">
        <f t="shared" si="12"/>
        <v>1.8415000958231346E-2</v>
      </c>
      <c r="BL22" s="40">
        <f t="shared" si="13"/>
        <v>4.9093038304419731E-2</v>
      </c>
      <c r="BM22" s="40">
        <f t="shared" si="14"/>
        <v>3.793468073953845E-2</v>
      </c>
      <c r="BN22" s="40">
        <f t="shared" si="15"/>
        <v>7.5510394572648076E-2</v>
      </c>
      <c r="BO22" s="40">
        <f t="shared" si="16"/>
        <v>-3.7721989749021972E-3</v>
      </c>
      <c r="BP22" s="691">
        <f t="shared" si="17"/>
        <v>4.9577600795375515E-2</v>
      </c>
      <c r="BQ22" s="691">
        <f t="shared" si="18"/>
        <v>9.8449508908291499E-3</v>
      </c>
      <c r="BR22" s="691">
        <f t="shared" si="19"/>
        <v>2.1574181075103109E-2</v>
      </c>
      <c r="BS22" s="691">
        <f t="shared" si="20"/>
        <v>-1.0765498731289741E-2</v>
      </c>
      <c r="BT22" s="40"/>
      <c r="BV22" s="13" t="s">
        <v>13</v>
      </c>
      <c r="BW22" s="40">
        <f t="shared" si="21"/>
        <v>4.8417883236973339E-2</v>
      </c>
      <c r="BX22" s="40">
        <f t="shared" si="22"/>
        <v>0.13040629503567081</v>
      </c>
      <c r="BY22" s="40">
        <f t="shared" si="23"/>
        <v>0.10736488934877575</v>
      </c>
      <c r="BZ22" s="40">
        <f t="shared" si="24"/>
        <v>0.22337753127747598</v>
      </c>
      <c r="CA22" s="40">
        <f t="shared" si="25"/>
        <v>0.27927986465449772</v>
      </c>
      <c r="CB22" s="40">
        <f t="shared" si="26"/>
        <v>0.24969011072323669</v>
      </c>
      <c r="CC22" s="40">
        <f t="shared" si="27"/>
        <v>0.3184011948943426</v>
      </c>
      <c r="CD22" s="40">
        <f t="shared" si="28"/>
        <v>0.33550724121070591</v>
      </c>
      <c r="CE22" s="40">
        <f t="shared" si="29"/>
        <v>0.4279778044043055</v>
      </c>
      <c r="CF22" s="40">
        <f t="shared" si="30"/>
        <v>0.52501873354960338</v>
      </c>
      <c r="CG22" s="40">
        <f t="shared" si="31"/>
        <v>0.58375287529358122</v>
      </c>
      <c r="CH22" s="40">
        <f t="shared" si="32"/>
        <v>0.6519270254663182</v>
      </c>
      <c r="CI22" s="40">
        <f t="shared" si="33"/>
        <v>0.68234726322320871</v>
      </c>
      <c r="CJ22" s="40">
        <f t="shared" si="34"/>
        <v>0.76493880185796137</v>
      </c>
      <c r="CK22" s="40">
        <f t="shared" si="35"/>
        <v>0.83189119183126659</v>
      </c>
      <c r="CL22" s="40">
        <f t="shared" si="36"/>
        <v>0.97021801854060408</v>
      </c>
      <c r="CM22" s="40">
        <f t="shared" si="37"/>
        <v>0.96278596415073137</v>
      </c>
      <c r="CN22" s="691">
        <f t="shared" si="38"/>
        <v>1.0600961831281626</v>
      </c>
      <c r="CO22" s="691">
        <f t="shared" si="39"/>
        <v>1.080377728881444</v>
      </c>
      <c r="CP22" s="691">
        <f t="shared" si="40"/>
        <v>1.1252601747089439</v>
      </c>
      <c r="CQ22" s="691">
        <f t="shared" si="41"/>
        <v>1.1023806889944543</v>
      </c>
    </row>
    <row r="23" spans="1:95">
      <c r="A23" s="13" t="s">
        <v>14</v>
      </c>
      <c r="B23" s="319">
        <v>54920781.530000001</v>
      </c>
      <c r="C23" s="319">
        <v>58005906.979999997</v>
      </c>
      <c r="D23" s="319">
        <v>61721346.130000003</v>
      </c>
      <c r="E23" s="319">
        <v>65416227.719999999</v>
      </c>
      <c r="F23" s="319">
        <v>69368620.730000004</v>
      </c>
      <c r="G23" s="319">
        <v>69503622.340000004</v>
      </c>
      <c r="H23" s="319">
        <v>73438726.930000007</v>
      </c>
      <c r="I23" s="319">
        <v>80292410.769999996</v>
      </c>
      <c r="J23" s="319">
        <v>83725066.75</v>
      </c>
      <c r="K23" s="319">
        <v>86204169.019999996</v>
      </c>
      <c r="L23" s="319">
        <v>87802646.019999996</v>
      </c>
      <c r="M23" s="319">
        <v>91004245.310000002</v>
      </c>
      <c r="N23" s="319">
        <v>90321597.75</v>
      </c>
      <c r="O23" s="319">
        <v>86942416.519999996</v>
      </c>
      <c r="P23" s="319">
        <v>93186987.060000002</v>
      </c>
      <c r="Q23" s="319">
        <v>90393450.319999993</v>
      </c>
      <c r="R23" s="319">
        <v>92051514.739999995</v>
      </c>
      <c r="S23" s="319">
        <v>89054997.290000007</v>
      </c>
      <c r="T23" s="677">
        <v>92301476.120000005</v>
      </c>
      <c r="U23" s="677">
        <v>97742221.370000005</v>
      </c>
      <c r="V23" s="678">
        <v>100878587.19</v>
      </c>
      <c r="W23" s="809">
        <v>96514502.480000004</v>
      </c>
      <c r="X23" s="811"/>
      <c r="Y23" s="13" t="s">
        <v>14</v>
      </c>
      <c r="Z23" s="319">
        <f>B23/'Population &amp; Income'!B22</f>
        <v>4175.8501771593674</v>
      </c>
      <c r="AA23" s="319">
        <f>C23/'Population &amp; Income'!C22</f>
        <v>4371.5356831713016</v>
      </c>
      <c r="AB23" s="319">
        <f>D23/'Population &amp; Income'!D22</f>
        <v>4597.835677145411</v>
      </c>
      <c r="AC23" s="319">
        <f>E23/'Population &amp; Income'!E22</f>
        <v>4781.88799122807</v>
      </c>
      <c r="AD23" s="319">
        <f>F23/'Population &amp; Income'!F22</f>
        <v>5056.0219190962098</v>
      </c>
      <c r="AE23" s="319">
        <f>G23/'Population &amp; Income'!G22</f>
        <v>4999.9008948996479</v>
      </c>
      <c r="AF23" s="319">
        <f>H23/'Population &amp; Income'!H22</f>
        <v>5279.9429815227559</v>
      </c>
      <c r="AG23" s="319">
        <f>I23/'Population &amp; Income'!I22</f>
        <v>5745.431897674418</v>
      </c>
      <c r="AH23" s="319">
        <f>J23/'Population &amp; Income'!J22</f>
        <v>5949.3403503162081</v>
      </c>
      <c r="AI23" s="319">
        <f>K23/'Population &amp; Income'!K22</f>
        <v>6029.5285038819329</v>
      </c>
      <c r="AJ23" s="319">
        <f>L23/'Population &amp; Income'!L22</f>
        <v>6170.6828322440088</v>
      </c>
      <c r="AK23" s="319">
        <f>M23/'Population &amp; Income'!M22</f>
        <v>6422.7712125061753</v>
      </c>
      <c r="AL23" s="319">
        <f>N23/'Population &amp; Income'!N22</f>
        <v>6396.7137216713882</v>
      </c>
      <c r="AM23" s="319">
        <f>O23/'Population &amp; Income'!O22</f>
        <v>6226.1827928960183</v>
      </c>
      <c r="AN23" s="319">
        <f>P23/'Population &amp; Income'!P22</f>
        <v>6661.4473557795409</v>
      </c>
      <c r="AO23" s="319">
        <f>Q23/'Population &amp; Income'!Q22</f>
        <v>6535.0961769809137</v>
      </c>
      <c r="AP23" s="319">
        <f>R23/'Population &amp; Income'!R22</f>
        <v>6670.8830161605911</v>
      </c>
      <c r="AQ23" s="319">
        <f>S23/'Population &amp; Income'!S22</f>
        <v>6400.8479328685407</v>
      </c>
      <c r="AR23" s="697">
        <f>T23/'Population &amp; Income'!T22</f>
        <v>6622.289863682021</v>
      </c>
      <c r="AS23" s="697">
        <f>U23/'Population &amp; Income'!U22</f>
        <v>7009.6257436890419</v>
      </c>
      <c r="AT23" s="697">
        <f>V23/'Population &amp; Income'!V22</f>
        <v>7197.3877846746573</v>
      </c>
      <c r="AU23" s="697">
        <f>W23/'Population &amp; Income'!W22</f>
        <v>6858.1327705535423</v>
      </c>
      <c r="AV23" s="690"/>
      <c r="AW23" s="486"/>
      <c r="AX23" s="13" t="s">
        <v>14</v>
      </c>
      <c r="AY23" s="40">
        <f t="shared" si="0"/>
        <v>5.6174099567661333E-2</v>
      </c>
      <c r="AZ23" s="40">
        <f t="shared" si="1"/>
        <v>6.4052772268194363E-2</v>
      </c>
      <c r="BA23" s="40">
        <f t="shared" si="2"/>
        <v>5.9863917780044636E-2</v>
      </c>
      <c r="BB23" s="40">
        <f t="shared" si="3"/>
        <v>6.0419152062961626E-2</v>
      </c>
      <c r="BC23" s="40">
        <f t="shared" si="4"/>
        <v>1.9461481081692455E-3</v>
      </c>
      <c r="BD23" s="40">
        <f t="shared" si="5"/>
        <v>5.6617259036516619E-2</v>
      </c>
      <c r="BE23" s="40">
        <f t="shared" si="6"/>
        <v>9.3325199475921633E-2</v>
      </c>
      <c r="BF23" s="40">
        <f t="shared" si="7"/>
        <v>4.2751935669648154E-2</v>
      </c>
      <c r="BG23" s="40">
        <f t="shared" si="8"/>
        <v>2.9610036351508742E-2</v>
      </c>
      <c r="BH23" s="40">
        <f t="shared" si="9"/>
        <v>1.8542919886266076E-2</v>
      </c>
      <c r="BI23" s="40">
        <f t="shared" si="10"/>
        <v>3.6463585496850914E-2</v>
      </c>
      <c r="BJ23" s="40">
        <f t="shared" si="11"/>
        <v>-7.5012715909527974E-3</v>
      </c>
      <c r="BK23" s="40">
        <f t="shared" si="12"/>
        <v>-3.7412770745632699E-2</v>
      </c>
      <c r="BL23" s="40">
        <f t="shared" si="13"/>
        <v>7.1824211816835376E-2</v>
      </c>
      <c r="BM23" s="40">
        <f t="shared" si="14"/>
        <v>-2.9977755780443295E-2</v>
      </c>
      <c r="BN23" s="40">
        <f t="shared" si="15"/>
        <v>1.8342749548007319E-2</v>
      </c>
      <c r="BO23" s="40">
        <f t="shared" si="16"/>
        <v>-3.255261424500909E-2</v>
      </c>
      <c r="BP23" s="691">
        <f t="shared" si="17"/>
        <v>3.6454763110352097E-2</v>
      </c>
      <c r="BQ23" s="691">
        <f t="shared" si="18"/>
        <v>5.894537637650079E-2</v>
      </c>
      <c r="BR23" s="691">
        <f t="shared" si="19"/>
        <v>3.2088137306879712E-2</v>
      </c>
      <c r="BS23" s="691">
        <f t="shared" si="20"/>
        <v>-4.3260763572951798E-2</v>
      </c>
      <c r="BT23" s="40"/>
      <c r="BV23" s="13" t="s">
        <v>14</v>
      </c>
      <c r="BW23" s="40">
        <f t="shared" si="21"/>
        <v>5.6174099567661333E-2</v>
      </c>
      <c r="BX23" s="40">
        <f t="shared" si="22"/>
        <v>0.12382497864283398</v>
      </c>
      <c r="BY23" s="40">
        <f t="shared" si="23"/>
        <v>0.19110154476346902</v>
      </c>
      <c r="BZ23" s="40">
        <f t="shared" si="24"/>
        <v>0.26306689011896156</v>
      </c>
      <c r="CA23" s="40">
        <f t="shared" si="25"/>
        <v>0.26552500535765777</v>
      </c>
      <c r="CB23" s="40">
        <f t="shared" si="26"/>
        <v>0.33717556240318136</v>
      </c>
      <c r="CC23" s="40">
        <f t="shared" si="27"/>
        <v>0.46196773849878597</v>
      </c>
      <c r="CD23" s="40">
        <f t="shared" si="28"/>
        <v>0.52446968920618708</v>
      </c>
      <c r="CE23" s="40">
        <f t="shared" si="29"/>
        <v>0.56960929212035549</v>
      </c>
      <c r="CF23" s="40">
        <f t="shared" si="30"/>
        <v>0.59871443147688208</v>
      </c>
      <c r="CG23" s="40">
        <f t="shared" si="31"/>
        <v>0.65700929183408874</v>
      </c>
      <c r="CH23" s="40">
        <f t="shared" si="32"/>
        <v>0.64457961510730888</v>
      </c>
      <c r="CI23" s="40">
        <f t="shared" si="33"/>
        <v>0.58305133499435824</v>
      </c>
      <c r="CJ23" s="40">
        <f t="shared" si="34"/>
        <v>0.69675274939591703</v>
      </c>
      <c r="CK23" s="40">
        <f t="shared" si="35"/>
        <v>0.64588790985473055</v>
      </c>
      <c r="CL23" s="40">
        <f t="shared" si="36"/>
        <v>0.67607801956928915</v>
      </c>
      <c r="CM23" s="40">
        <f t="shared" si="37"/>
        <v>0.62151729835371128</v>
      </c>
      <c r="CN23" s="691">
        <f t="shared" si="38"/>
        <v>0.68062932734453396</v>
      </c>
      <c r="CO23" s="691">
        <f t="shared" si="39"/>
        <v>0.77969465559424278</v>
      </c>
      <c r="CP23" s="691">
        <f t="shared" si="40"/>
        <v>0.83680174206727087</v>
      </c>
      <c r="CQ23" s="691">
        <f t="shared" si="41"/>
        <v>0.75734029617331267</v>
      </c>
    </row>
    <row r="24" spans="1:95">
      <c r="A24" s="13" t="s">
        <v>15</v>
      </c>
      <c r="B24" s="319">
        <v>32950850.170000002</v>
      </c>
      <c r="C24" s="319">
        <v>38147842.119999997</v>
      </c>
      <c r="D24" s="319">
        <v>37947818.799999997</v>
      </c>
      <c r="E24" s="319">
        <v>36710309.710000001</v>
      </c>
      <c r="F24" s="319">
        <v>36826696.229999997</v>
      </c>
      <c r="G24" s="319">
        <v>37713013.399999999</v>
      </c>
      <c r="H24" s="319">
        <v>40530435.130000003</v>
      </c>
      <c r="I24" s="319">
        <v>40134355.469999999</v>
      </c>
      <c r="J24" s="319">
        <v>42019110.020000003</v>
      </c>
      <c r="K24" s="319">
        <v>44435402.630000003</v>
      </c>
      <c r="L24" s="319">
        <v>46836311.57</v>
      </c>
      <c r="M24" s="319">
        <v>46471490.57</v>
      </c>
      <c r="N24" s="319">
        <v>75408465.150000006</v>
      </c>
      <c r="O24" s="319">
        <v>71842360.609999999</v>
      </c>
      <c r="P24" s="319">
        <v>47293869.909999996</v>
      </c>
      <c r="Q24" s="319">
        <v>49606671.630000003</v>
      </c>
      <c r="R24" s="319">
        <v>52104256.32</v>
      </c>
      <c r="S24" s="319">
        <v>118211964.55</v>
      </c>
      <c r="T24" s="677">
        <v>63348160.18</v>
      </c>
      <c r="U24" s="677">
        <v>60615376.520000003</v>
      </c>
      <c r="V24" s="678">
        <v>58712654.060000002</v>
      </c>
      <c r="W24" s="809">
        <v>73760543.060000002</v>
      </c>
      <c r="X24" s="811"/>
      <c r="Y24" s="13" t="s">
        <v>15</v>
      </c>
      <c r="Z24" s="319">
        <f>B24/'Population &amp; Income'!B23</f>
        <v>3774.8711387329595</v>
      </c>
      <c r="AA24" s="319">
        <f>C24/'Population &amp; Income'!C23</f>
        <v>4360.7501280292636</v>
      </c>
      <c r="AB24" s="319">
        <f>D24/'Population &amp; Income'!D23</f>
        <v>4424.8855876865664</v>
      </c>
      <c r="AC24" s="319">
        <f>E24/'Population &amp; Income'!E23</f>
        <v>4330.5780004718654</v>
      </c>
      <c r="AD24" s="319">
        <f>F24/'Population &amp; Income'!F23</f>
        <v>4378.396888598264</v>
      </c>
      <c r="AE24" s="319">
        <f>G24/'Population &amp; Income'!G23</f>
        <v>4556.9131706138232</v>
      </c>
      <c r="AF24" s="319">
        <f>H24/'Population &amp; Income'!H23</f>
        <v>4896.7542744955908</v>
      </c>
      <c r="AG24" s="319">
        <f>I24/'Population &amp; Income'!I23</f>
        <v>4898.6153387037712</v>
      </c>
      <c r="AH24" s="319">
        <f>J24/'Population &amp; Income'!J23</f>
        <v>5140.581113286029</v>
      </c>
      <c r="AI24" s="319">
        <f>K24/'Population &amp; Income'!K23</f>
        <v>5491.2756586752348</v>
      </c>
      <c r="AJ24" s="319">
        <f>L24/'Population &amp; Income'!L23</f>
        <v>5845.0407550230875</v>
      </c>
      <c r="AK24" s="319">
        <f>M24/'Population &amp; Income'!M23</f>
        <v>5882.4671607594937</v>
      </c>
      <c r="AL24" s="319">
        <f>N24/'Population &amp; Income'!N23</f>
        <v>9631.940880061311</v>
      </c>
      <c r="AM24" s="319">
        <f>O24/'Population &amp; Income'!O23</f>
        <v>9249.6923664220412</v>
      </c>
      <c r="AN24" s="319">
        <f>P24/'Population &amp; Income'!P23</f>
        <v>6037.0015202961449</v>
      </c>
      <c r="AO24" s="319">
        <f>Q24/'Population &amp; Income'!Q23</f>
        <v>6428.2326849812107</v>
      </c>
      <c r="AP24" s="319">
        <f>R24/'Population &amp; Income'!R23</f>
        <v>6811.9043430513793</v>
      </c>
      <c r="AQ24" s="319">
        <f>S24/'Population &amp; Income'!S23</f>
        <v>15497.111241478762</v>
      </c>
      <c r="AR24" s="697">
        <f>T24/'Population &amp; Income'!T23</f>
        <v>8254.907503257753</v>
      </c>
      <c r="AS24" s="697">
        <f>U24/'Population &amp; Income'!U23</f>
        <v>7984.1117650158067</v>
      </c>
      <c r="AT24" s="697">
        <f>V24/'Population &amp; Income'!V23</f>
        <v>7811.6889382650352</v>
      </c>
      <c r="AU24" s="697">
        <f>W24/'Population &amp; Income'!W23</f>
        <v>9861.035168449198</v>
      </c>
      <c r="AV24" s="690"/>
      <c r="AW24" s="486"/>
      <c r="AX24" s="13" t="s">
        <v>15</v>
      </c>
      <c r="AY24" s="40">
        <f t="shared" si="0"/>
        <v>0.15771951021559924</v>
      </c>
      <c r="AZ24" s="40">
        <f t="shared" si="1"/>
        <v>-5.2433718104105522E-3</v>
      </c>
      <c r="BA24" s="40">
        <f t="shared" si="2"/>
        <v>-3.2610809504550399E-2</v>
      </c>
      <c r="BB24" s="40">
        <f t="shared" si="3"/>
        <v>3.1704041976058782E-3</v>
      </c>
      <c r="BC24" s="40">
        <f t="shared" si="4"/>
        <v>2.4067246338485952E-2</v>
      </c>
      <c r="BD24" s="40">
        <f t="shared" si="5"/>
        <v>7.4706884335050364E-2</v>
      </c>
      <c r="BE24" s="40">
        <f t="shared" si="6"/>
        <v>-9.7724008816977102E-3</v>
      </c>
      <c r="BF24" s="40">
        <f t="shared" si="7"/>
        <v>4.6961126643950676E-2</v>
      </c>
      <c r="BG24" s="40">
        <f t="shared" si="8"/>
        <v>5.7504611802817976E-2</v>
      </c>
      <c r="BH24" s="40">
        <f t="shared" si="9"/>
        <v>5.4031443351411294E-2</v>
      </c>
      <c r="BI24" s="40">
        <f t="shared" si="10"/>
        <v>-7.7892769044110273E-3</v>
      </c>
      <c r="BJ24" s="40">
        <f t="shared" si="11"/>
        <v>0.62268229886907212</v>
      </c>
      <c r="BK24" s="40">
        <f t="shared" si="12"/>
        <v>-4.7290506880181556E-2</v>
      </c>
      <c r="BL24" s="40">
        <f t="shared" si="13"/>
        <v>-0.34169938865543081</v>
      </c>
      <c r="BM24" s="40">
        <f t="shared" si="14"/>
        <v>4.8902780093937261E-2</v>
      </c>
      <c r="BN24" s="40">
        <f t="shared" si="15"/>
        <v>5.034775783041176E-2</v>
      </c>
      <c r="BO24" s="40">
        <f t="shared" si="16"/>
        <v>1.2687583107222054</v>
      </c>
      <c r="BP24" s="691">
        <f t="shared" si="17"/>
        <v>-0.46411380251441731</v>
      </c>
      <c r="BQ24" s="691">
        <f t="shared" si="18"/>
        <v>-4.3139116467391561E-2</v>
      </c>
      <c r="BR24" s="691">
        <f t="shared" si="19"/>
        <v>-3.1390095537428511E-2</v>
      </c>
      <c r="BS24" s="691">
        <f t="shared" si="20"/>
        <v>0.25629720272263912</v>
      </c>
      <c r="BT24" s="40"/>
      <c r="BV24" s="13" t="s">
        <v>15</v>
      </c>
      <c r="BW24" s="40">
        <f t="shared" si="21"/>
        <v>0.15771951021559924</v>
      </c>
      <c r="BX24" s="40">
        <f t="shared" si="22"/>
        <v>0.15164915637137247</v>
      </c>
      <c r="BY24" s="40">
        <f t="shared" si="23"/>
        <v>0.11409294511686946</v>
      </c>
      <c r="BZ24" s="40">
        <f t="shared" si="24"/>
        <v>0.11762507006659108</v>
      </c>
      <c r="CA24" s="40">
        <f t="shared" si="25"/>
        <v>0.14452322794195135</v>
      </c>
      <c r="CB24" s="40">
        <f t="shared" si="26"/>
        <v>0.23002699235058918</v>
      </c>
      <c r="CC24" s="40">
        <f t="shared" si="27"/>
        <v>0.21800667548603031</v>
      </c>
      <c r="CD24" s="40">
        <f t="shared" si="28"/>
        <v>0.2752056412267071</v>
      </c>
      <c r="CE24" s="40">
        <f t="shared" si="29"/>
        <v>0.3485358465942125</v>
      </c>
      <c r="CF24" s="40">
        <f t="shared" si="30"/>
        <v>0.42139918479681515</v>
      </c>
      <c r="CG24" s="40">
        <f t="shared" si="31"/>
        <v>0.41032751295472863</v>
      </c>
      <c r="CH24" s="40">
        <f t="shared" si="32"/>
        <v>1.28851349087968</v>
      </c>
      <c r="CI24" s="40">
        <f t="shared" si="33"/>
        <v>1.1802885278938464</v>
      </c>
      <c r="CJ24" s="40">
        <f t="shared" si="34"/>
        <v>0.43528527082006985</v>
      </c>
      <c r="CK24" s="40">
        <f t="shared" si="35"/>
        <v>0.50547471079105089</v>
      </c>
      <c r="CL24" s="40">
        <f t="shared" si="36"/>
        <v>0.58127198694976789</v>
      </c>
      <c r="CM24" s="40">
        <f t="shared" si="37"/>
        <v>2.5875239619045005</v>
      </c>
      <c r="CN24" s="691">
        <f t="shared" si="38"/>
        <v>0.92250457433341537</v>
      </c>
      <c r="CO24" s="691">
        <f t="shared" si="39"/>
        <v>0.83956942559215308</v>
      </c>
      <c r="CP24" s="691">
        <f t="shared" si="40"/>
        <v>0.78182516557508297</v>
      </c>
      <c r="CQ24" s="691">
        <f t="shared" si="41"/>
        <v>1.2385019712527798</v>
      </c>
    </row>
    <row r="25" spans="1:95">
      <c r="A25" s="13" t="s">
        <v>16</v>
      </c>
      <c r="B25" s="319">
        <v>25861521.030000001</v>
      </c>
      <c r="C25" s="319">
        <v>28074054.850000001</v>
      </c>
      <c r="D25" s="319">
        <v>29425553.48</v>
      </c>
      <c r="E25" s="319">
        <v>30429220.09</v>
      </c>
      <c r="F25" s="319">
        <v>31277904.289999999</v>
      </c>
      <c r="G25" s="319">
        <v>31450725.239999998</v>
      </c>
      <c r="H25" s="319">
        <v>33786744.950000003</v>
      </c>
      <c r="I25" s="319">
        <v>32798621.879999999</v>
      </c>
      <c r="J25" s="319">
        <v>34519996.340000004</v>
      </c>
      <c r="K25" s="319">
        <v>33899848.859999999</v>
      </c>
      <c r="L25" s="319">
        <v>38770844.18</v>
      </c>
      <c r="M25" s="319">
        <v>45441504.810000002</v>
      </c>
      <c r="N25" s="319">
        <v>45941750.289999999</v>
      </c>
      <c r="O25" s="319">
        <v>49361823.700000003</v>
      </c>
      <c r="P25" s="319">
        <v>50192798.619999997</v>
      </c>
      <c r="Q25" s="319">
        <v>53815085.479999997</v>
      </c>
      <c r="R25" s="319">
        <v>57934886.280000001</v>
      </c>
      <c r="S25" s="319">
        <v>56131701.670000002</v>
      </c>
      <c r="T25" s="677">
        <v>61211192.219999999</v>
      </c>
      <c r="U25" s="677">
        <v>59138759.18</v>
      </c>
      <c r="V25" s="678">
        <v>62138753.090000004</v>
      </c>
      <c r="W25" s="809">
        <v>57553886.659999996</v>
      </c>
      <c r="X25" s="811"/>
      <c r="Y25" s="13" t="s">
        <v>16</v>
      </c>
      <c r="Z25" s="319">
        <f>B25/'Population &amp; Income'!B24</f>
        <v>3430.8199827540461</v>
      </c>
      <c r="AA25" s="319">
        <f>C25/'Population &amp; Income'!C24</f>
        <v>3719.4031332803393</v>
      </c>
      <c r="AB25" s="319">
        <f>D25/'Population &amp; Income'!D24</f>
        <v>3914.0134982708169</v>
      </c>
      <c r="AC25" s="319">
        <f>E25/'Population &amp; Income'!E24</f>
        <v>4083.3628676865269</v>
      </c>
      <c r="AD25" s="319">
        <f>F25/'Population &amp; Income'!F24</f>
        <v>4234.1822512521994</v>
      </c>
      <c r="AE25" s="319">
        <f>G25/'Population &amp; Income'!G24</f>
        <v>4231.2290111664197</v>
      </c>
      <c r="AF25" s="319">
        <f>H25/'Population &amp; Income'!H24</f>
        <v>4586.8510657073039</v>
      </c>
      <c r="AG25" s="319">
        <f>I25/'Population &amp; Income'!I24</f>
        <v>4504.6864276885044</v>
      </c>
      <c r="AH25" s="319">
        <f>J25/'Population &amp; Income'!J24</f>
        <v>4768.6139439149056</v>
      </c>
      <c r="AI25" s="319">
        <f>K25/'Population &amp; Income'!K24</f>
        <v>4692.6701079734221</v>
      </c>
      <c r="AJ25" s="319">
        <f>L25/'Population &amp; Income'!L24</f>
        <v>5380.3558395781292</v>
      </c>
      <c r="AK25" s="319">
        <f>M25/'Population &amp; Income'!M24</f>
        <v>6300.8187479201333</v>
      </c>
      <c r="AL25" s="319">
        <f>N25/'Population &amp; Income'!N24</f>
        <v>6409.2843596540179</v>
      </c>
      <c r="AM25" s="319">
        <f>O25/'Population &amp; Income'!O24</f>
        <v>6941.614920545634</v>
      </c>
      <c r="AN25" s="319">
        <f>P25/'Population &amp; Income'!P24</f>
        <v>7041.638414702581</v>
      </c>
      <c r="AO25" s="319">
        <f>Q25/'Population &amp; Income'!Q24</f>
        <v>7651.7965988909418</v>
      </c>
      <c r="AP25" s="319">
        <f>R25/'Population &amp; Income'!R24</f>
        <v>8313.2280499354292</v>
      </c>
      <c r="AQ25" s="319">
        <f>S25/'Population &amp; Income'!S24</f>
        <v>8123.2563921852388</v>
      </c>
      <c r="AR25" s="697">
        <f>T25/'Population &amp; Income'!T24</f>
        <v>8891.8059587449152</v>
      </c>
      <c r="AS25" s="697">
        <f>U25/'Population &amp; Income'!U24</f>
        <v>8684.1056064610857</v>
      </c>
      <c r="AT25" s="697">
        <f>V25/'Population &amp; Income'!V24</f>
        <v>9242.712046705341</v>
      </c>
      <c r="AU25" s="697">
        <f>W25/'Population &amp; Income'!W24</f>
        <v>8560.7447062323354</v>
      </c>
      <c r="AV25" s="690"/>
      <c r="AW25" s="486"/>
      <c r="AX25" s="13" t="s">
        <v>16</v>
      </c>
      <c r="AY25" s="40">
        <f t="shared" si="0"/>
        <v>8.5553120306938124E-2</v>
      </c>
      <c r="AZ25" s="40">
        <f t="shared" si="1"/>
        <v>4.8140485484589657E-2</v>
      </c>
      <c r="BA25" s="40">
        <f t="shared" si="2"/>
        <v>3.4108673968772513E-2</v>
      </c>
      <c r="BB25" s="40">
        <f t="shared" si="3"/>
        <v>2.7890435492262375E-2</v>
      </c>
      <c r="BC25" s="40">
        <f t="shared" si="4"/>
        <v>5.5253366209465837E-3</v>
      </c>
      <c r="BD25" s="40">
        <f t="shared" si="5"/>
        <v>7.4275543478691641E-2</v>
      </c>
      <c r="BE25" s="40">
        <f t="shared" si="6"/>
        <v>-2.924587945545799E-2</v>
      </c>
      <c r="BF25" s="40">
        <f t="shared" si="7"/>
        <v>5.248313378220526E-2</v>
      </c>
      <c r="BG25" s="40">
        <f t="shared" si="8"/>
        <v>-1.7964876759891456E-2</v>
      </c>
      <c r="BH25" s="40">
        <f t="shared" si="9"/>
        <v>0.14368781819990686</v>
      </c>
      <c r="BI25" s="40">
        <f t="shared" si="10"/>
        <v>0.17205353071577104</v>
      </c>
      <c r="BJ25" s="40">
        <f t="shared" si="11"/>
        <v>1.10085588514646E-2</v>
      </c>
      <c r="BK25" s="40">
        <f t="shared" si="12"/>
        <v>7.4443689855334935E-2</v>
      </c>
      <c r="BL25" s="40">
        <f t="shared" si="13"/>
        <v>1.6834364245743909E-2</v>
      </c>
      <c r="BM25" s="40">
        <f t="shared" si="14"/>
        <v>7.2167461460430501E-2</v>
      </c>
      <c r="BN25" s="40">
        <f t="shared" si="15"/>
        <v>7.6554757151340025E-2</v>
      </c>
      <c r="BO25" s="40">
        <f t="shared" si="16"/>
        <v>-3.1124331569154836E-2</v>
      </c>
      <c r="BP25" s="691">
        <f t="shared" si="17"/>
        <v>9.0492367038193106E-2</v>
      </c>
      <c r="BQ25" s="691">
        <f t="shared" si="18"/>
        <v>-3.3857093202031396E-2</v>
      </c>
      <c r="BR25" s="691">
        <f t="shared" si="19"/>
        <v>5.0728049617492901E-2</v>
      </c>
      <c r="BS25" s="691">
        <f t="shared" si="20"/>
        <v>-7.3784332674963996E-2</v>
      </c>
      <c r="BT25" s="40"/>
      <c r="BV25" s="13" t="s">
        <v>16</v>
      </c>
      <c r="BW25" s="40">
        <f t="shared" si="21"/>
        <v>8.5553120306938124E-2</v>
      </c>
      <c r="BX25" s="40">
        <f t="shared" si="22"/>
        <v>0.13781217453782529</v>
      </c>
      <c r="BY25" s="40">
        <f t="shared" si="23"/>
        <v>0.17662143903683605</v>
      </c>
      <c r="BZ25" s="40">
        <f t="shared" si="24"/>
        <v>0.20943792338110584</v>
      </c>
      <c r="CA25" s="40">
        <f t="shared" si="25"/>
        <v>0.21612047502992507</v>
      </c>
      <c r="CB25" s="40">
        <f t="shared" si="26"/>
        <v>0.30644848424833743</v>
      </c>
      <c r="CC25" s="40">
        <f t="shared" si="27"/>
        <v>0.2682402493632447</v>
      </c>
      <c r="CD25" s="40">
        <f t="shared" si="28"/>
        <v>0.33480147203855326</v>
      </c>
      <c r="CE25" s="40">
        <f t="shared" si="29"/>
        <v>0.31082192809445897</v>
      </c>
      <c r="CF25" s="40">
        <f t="shared" si="30"/>
        <v>0.49917107099094699</v>
      </c>
      <c r="CG25" s="40">
        <f t="shared" si="31"/>
        <v>0.75710874690188323</v>
      </c>
      <c r="CH25" s="40">
        <f t="shared" si="32"/>
        <v>0.77645198195057585</v>
      </c>
      <c r="CI25" s="40">
        <f t="shared" si="33"/>
        <v>0.90869762233779949</v>
      </c>
      <c r="CJ25" s="40">
        <f t="shared" si="34"/>
        <v>0.94082933334721941</v>
      </c>
      <c r="CK25" s="40">
        <f t="shared" si="35"/>
        <v>1.0808940594628278</v>
      </c>
      <c r="CL25" s="40">
        <f t="shared" si="36"/>
        <v>1.2401963988426707</v>
      </c>
      <c r="CM25" s="40">
        <f t="shared" si="37"/>
        <v>1.1704717833450649</v>
      </c>
      <c r="CN25" s="691">
        <f t="shared" si="38"/>
        <v>1.3668829126095681</v>
      </c>
      <c r="CO25" s="691">
        <f t="shared" si="39"/>
        <v>1.2867471372390504</v>
      </c>
      <c r="CP25" s="691">
        <f t="shared" si="40"/>
        <v>1.4027493594795728</v>
      </c>
      <c r="CQ25" s="691">
        <f t="shared" si="41"/>
        <v>1.2254641014051753</v>
      </c>
    </row>
    <row r="26" spans="1:95">
      <c r="A26" s="13" t="s">
        <v>17</v>
      </c>
      <c r="B26" s="319">
        <v>52032614.43</v>
      </c>
      <c r="C26" s="319">
        <v>56356600.060000002</v>
      </c>
      <c r="D26" s="319">
        <v>60442805.390000001</v>
      </c>
      <c r="E26" s="319">
        <v>69445900.469999999</v>
      </c>
      <c r="F26" s="319">
        <v>73498107.129999995</v>
      </c>
      <c r="G26" s="319">
        <v>83173084.319999993</v>
      </c>
      <c r="H26" s="319">
        <v>79517978.920000002</v>
      </c>
      <c r="I26" s="319">
        <v>78359874.090000004</v>
      </c>
      <c r="J26" s="319">
        <v>84495257.560000002</v>
      </c>
      <c r="K26" s="319">
        <v>89064789.879999995</v>
      </c>
      <c r="L26" s="319">
        <v>88014607.659999996</v>
      </c>
      <c r="M26" s="319">
        <v>101583650.98</v>
      </c>
      <c r="N26" s="319">
        <v>106750683.34999999</v>
      </c>
      <c r="O26" s="319">
        <v>108075412.98</v>
      </c>
      <c r="P26" s="319">
        <v>94928652.920000002</v>
      </c>
      <c r="Q26" s="319">
        <v>98373707.530000001</v>
      </c>
      <c r="R26" s="319">
        <v>93567942.090000004</v>
      </c>
      <c r="S26" s="319">
        <v>91662864.730000004</v>
      </c>
      <c r="T26" s="677">
        <v>96541689.439999998</v>
      </c>
      <c r="U26" s="677">
        <v>99536033.719999999</v>
      </c>
      <c r="V26" s="678">
        <v>105159384.09999999</v>
      </c>
      <c r="W26" s="809">
        <v>108009954.3</v>
      </c>
      <c r="X26" s="811"/>
      <c r="Y26" s="13" t="s">
        <v>17</v>
      </c>
      <c r="Z26" s="319">
        <f>B26/'Population &amp; Income'!B25</f>
        <v>2938.3676547323244</v>
      </c>
      <c r="AA26" s="319">
        <f>C26/'Population &amp; Income'!C25</f>
        <v>3104.533689197378</v>
      </c>
      <c r="AB26" s="319">
        <f>D26/'Population &amp; Income'!D25</f>
        <v>3274.9677822930212</v>
      </c>
      <c r="AC26" s="319">
        <f>E26/'Population &amp; Income'!E25</f>
        <v>3688.6333706910286</v>
      </c>
      <c r="AD26" s="319">
        <f>F26/'Population &amp; Income'!F25</f>
        <v>3858.978637509188</v>
      </c>
      <c r="AE26" s="319">
        <f>G26/'Population &amp; Income'!G25</f>
        <v>4293.6907913891901</v>
      </c>
      <c r="AF26" s="319">
        <f>H26/'Population &amp; Income'!H25</f>
        <v>4072.6237603072987</v>
      </c>
      <c r="AG26" s="319">
        <f>I26/'Population &amp; Income'!I25</f>
        <v>3911.3444189877209</v>
      </c>
      <c r="AH26" s="319">
        <f>J26/'Population &amp; Income'!J25</f>
        <v>4140.0978764270667</v>
      </c>
      <c r="AI26" s="319">
        <f>K26/'Population &amp; Income'!K25</f>
        <v>4367.633870145155</v>
      </c>
      <c r="AJ26" s="319">
        <f>L26/'Population &amp; Income'!L25</f>
        <v>4325.6798378139283</v>
      </c>
      <c r="AK26" s="319">
        <f>M26/'Population &amp; Income'!M25</f>
        <v>4889.9418012900742</v>
      </c>
      <c r="AL26" s="319">
        <f>N26/'Population &amp; Income'!N25</f>
        <v>5136.9367860064476</v>
      </c>
      <c r="AM26" s="319">
        <f>O26/'Population &amp; Income'!O25</f>
        <v>5204.6912102094875</v>
      </c>
      <c r="AN26" s="319">
        <f>P26/'Population &amp; Income'!P25</f>
        <v>4578.1843703882323</v>
      </c>
      <c r="AO26" s="319">
        <f>Q26/'Population &amp; Income'!Q25</f>
        <v>4764.7828891795025</v>
      </c>
      <c r="AP26" s="319">
        <f>R26/'Population &amp; Income'!R25</f>
        <v>4562.5093665886488</v>
      </c>
      <c r="AQ26" s="319">
        <f>S26/'Population &amp; Income'!S25</f>
        <v>4455.9265339555686</v>
      </c>
      <c r="AR26" s="697">
        <f>T26/'Population &amp; Income'!T25</f>
        <v>4762.5518938384885</v>
      </c>
      <c r="AS26" s="697">
        <f>U26/'Population &amp; Income'!U25</f>
        <v>4823.6507739277922</v>
      </c>
      <c r="AT26" s="697">
        <f>V26/'Population &amp; Income'!V25</f>
        <v>5102.3476031052887</v>
      </c>
      <c r="AU26" s="697">
        <f>W26/'Population &amp; Income'!W25</f>
        <v>5254.935988128831</v>
      </c>
      <c r="AV26" s="690"/>
      <c r="AW26" s="486"/>
      <c r="AX26" s="13" t="s">
        <v>17</v>
      </c>
      <c r="AY26" s="40">
        <f t="shared" si="0"/>
        <v>8.3101448531230429E-2</v>
      </c>
      <c r="AZ26" s="40">
        <f t="shared" si="1"/>
        <v>7.2506242847326194E-2</v>
      </c>
      <c r="BA26" s="40">
        <f t="shared" si="2"/>
        <v>0.14895230328752279</v>
      </c>
      <c r="BB26" s="40">
        <f t="shared" si="3"/>
        <v>5.83505524815034E-2</v>
      </c>
      <c r="BC26" s="40">
        <f t="shared" si="4"/>
        <v>0.13163573277999327</v>
      </c>
      <c r="BD26" s="40">
        <f t="shared" si="5"/>
        <v>-4.3945771999236487E-2</v>
      </c>
      <c r="BE26" s="40">
        <f t="shared" si="6"/>
        <v>-1.4564062690339793E-2</v>
      </c>
      <c r="BF26" s="40">
        <f t="shared" si="7"/>
        <v>7.8297515676878482E-2</v>
      </c>
      <c r="BG26" s="40">
        <f t="shared" si="8"/>
        <v>5.408034074285379E-2</v>
      </c>
      <c r="BH26" s="40">
        <f t="shared" si="9"/>
        <v>-1.1791216499976533E-2</v>
      </c>
      <c r="BI26" s="40">
        <f t="shared" si="10"/>
        <v>0.15416808278481631</v>
      </c>
      <c r="BJ26" s="40">
        <f t="shared" si="11"/>
        <v>5.0864802752731204E-2</v>
      </c>
      <c r="BK26" s="40">
        <f t="shared" si="12"/>
        <v>1.240956580724324E-2</v>
      </c>
      <c r="BL26" s="40">
        <f t="shared" si="13"/>
        <v>-0.12164431943862096</v>
      </c>
      <c r="BM26" s="40">
        <f t="shared" si="14"/>
        <v>3.6290988063459387E-2</v>
      </c>
      <c r="BN26" s="40">
        <f t="shared" si="15"/>
        <v>-4.8852132959758925E-2</v>
      </c>
      <c r="BO26" s="40">
        <f t="shared" si="16"/>
        <v>-2.0360364003384476E-2</v>
      </c>
      <c r="BP26" s="691">
        <f t="shared" si="17"/>
        <v>5.3225749864691072E-2</v>
      </c>
      <c r="BQ26" s="691">
        <f t="shared" si="18"/>
        <v>3.1016074996915874E-2</v>
      </c>
      <c r="BR26" s="691">
        <f t="shared" si="19"/>
        <v>5.6495624447109982E-2</v>
      </c>
      <c r="BS26" s="691">
        <f t="shared" si="20"/>
        <v>2.7107140502927337E-2</v>
      </c>
      <c r="BT26" s="40"/>
      <c r="BV26" s="13" t="s">
        <v>17</v>
      </c>
      <c r="BW26" s="40">
        <f t="shared" si="21"/>
        <v>8.3101448531230429E-2</v>
      </c>
      <c r="BX26" s="40">
        <f t="shared" si="22"/>
        <v>0.1616330651867266</v>
      </c>
      <c r="BY26" s="40">
        <f t="shared" si="23"/>
        <v>0.33466098582123466</v>
      </c>
      <c r="BZ26" s="40">
        <f t="shared" si="24"/>
        <v>0.41253919171941167</v>
      </c>
      <c r="CA26" s="40">
        <f t="shared" si="25"/>
        <v>0.59847982330185578</v>
      </c>
      <c r="CB26" s="40">
        <f t="shared" si="26"/>
        <v>0.52823339344165265</v>
      </c>
      <c r="CC26" s="40">
        <f t="shared" si="27"/>
        <v>0.50597610649409763</v>
      </c>
      <c r="CD26" s="40">
        <f t="shared" si="28"/>
        <v>0.6238902943013237</v>
      </c>
      <c r="CE26" s="40">
        <f t="shared" si="29"/>
        <v>0.71171083474615238</v>
      </c>
      <c r="CF26" s="40">
        <f t="shared" si="30"/>
        <v>0.69152768170830503</v>
      </c>
      <c r="CG26" s="40">
        <f t="shared" si="31"/>
        <v>0.95230726137471933</v>
      </c>
      <c r="CH26" s="40">
        <f t="shared" si="32"/>
        <v>1.0516109851372692</v>
      </c>
      <c r="CI26" s="40">
        <f t="shared" si="33"/>
        <v>1.0770705866681933</v>
      </c>
      <c r="CJ26" s="40">
        <f t="shared" si="34"/>
        <v>0.82440674872696385</v>
      </c>
      <c r="CK26" s="40">
        <f t="shared" si="35"/>
        <v>0.89061627226790885</v>
      </c>
      <c r="CL26" s="40">
        <f t="shared" si="36"/>
        <v>0.79825563475919314</v>
      </c>
      <c r="CM26" s="40">
        <f t="shared" si="37"/>
        <v>0.7616424954643588</v>
      </c>
      <c r="CN26" s="691">
        <f t="shared" si="38"/>
        <v>0.85540723827895493</v>
      </c>
      <c r="CO26" s="691">
        <f t="shared" si="39"/>
        <v>0.9129546883312355</v>
      </c>
      <c r="CP26" s="691">
        <f t="shared" si="40"/>
        <v>1.0210282579875354</v>
      </c>
      <c r="CQ26" s="691">
        <f t="shared" si="41"/>
        <v>1.07581255493719</v>
      </c>
    </row>
    <row r="27" spans="1:95">
      <c r="A27" s="13" t="s">
        <v>18</v>
      </c>
      <c r="B27" s="319">
        <v>93658635.530000001</v>
      </c>
      <c r="C27" s="319">
        <v>91986060.879999995</v>
      </c>
      <c r="D27" s="319">
        <v>96036053.549999997</v>
      </c>
      <c r="E27" s="319">
        <v>95632308.879999995</v>
      </c>
      <c r="F27" s="319">
        <v>101147580.98999999</v>
      </c>
      <c r="G27" s="319">
        <v>112399549.52</v>
      </c>
      <c r="H27" s="319">
        <v>114302271.8</v>
      </c>
      <c r="I27" s="319">
        <v>119876791.02</v>
      </c>
      <c r="J27" s="319">
        <v>128171108.52</v>
      </c>
      <c r="K27" s="319">
        <v>132335234.68000001</v>
      </c>
      <c r="L27" s="319">
        <v>135311162.37</v>
      </c>
      <c r="M27" s="319">
        <v>141722039.27000001</v>
      </c>
      <c r="N27" s="319">
        <v>142216903.22</v>
      </c>
      <c r="O27" s="319">
        <v>138530862.94999999</v>
      </c>
      <c r="P27" s="319">
        <v>147793272.53999999</v>
      </c>
      <c r="Q27" s="319">
        <v>150682048.46000001</v>
      </c>
      <c r="R27" s="319">
        <v>153382197.47</v>
      </c>
      <c r="S27" s="319">
        <v>160886759.28</v>
      </c>
      <c r="T27" s="677">
        <v>172972573.72</v>
      </c>
      <c r="U27" s="677">
        <v>178574061.38999999</v>
      </c>
      <c r="V27" s="678">
        <v>179375105.56</v>
      </c>
      <c r="W27" s="809">
        <v>181984451.75</v>
      </c>
      <c r="X27" s="811"/>
      <c r="Y27" s="13" t="s">
        <v>18</v>
      </c>
      <c r="Z27" s="319">
        <f>B27/'Population &amp; Income'!B26</f>
        <v>5771.4219577273852</v>
      </c>
      <c r="AA27" s="319">
        <f>C27/'Population &amp; Income'!C26</f>
        <v>5644.3554568325453</v>
      </c>
      <c r="AB27" s="319">
        <f>D27/'Population &amp; Income'!D26</f>
        <v>5878.078929489533</v>
      </c>
      <c r="AC27" s="319">
        <f>E27/'Population &amp; Income'!E26</f>
        <v>5806.4546982392221</v>
      </c>
      <c r="AD27" s="319">
        <f>F27/'Population &amp; Income'!F26</f>
        <v>6033.6185272011453</v>
      </c>
      <c r="AE27" s="319">
        <f>G27/'Population &amp; Income'!G26</f>
        <v>6724.8743281081724</v>
      </c>
      <c r="AF27" s="319">
        <f>H27/'Population &amp; Income'!H26</f>
        <v>6724.0585799164655</v>
      </c>
      <c r="AG27" s="319">
        <f>I27/'Population &amp; Income'!I26</f>
        <v>7050.7464427714385</v>
      </c>
      <c r="AH27" s="319">
        <f>J27/'Population &amp; Income'!J26</f>
        <v>7450.5091274777651</v>
      </c>
      <c r="AI27" s="319">
        <f>K27/'Population &amp; Income'!K26</f>
        <v>7614.2252405063291</v>
      </c>
      <c r="AJ27" s="319">
        <f>L27/'Population &amp; Income'!L26</f>
        <v>7711.3559223798939</v>
      </c>
      <c r="AK27" s="319">
        <f>M27/'Population &amp; Income'!M26</f>
        <v>8010.0626954162672</v>
      </c>
      <c r="AL27" s="319">
        <f>N27/'Population &amp; Income'!N26</f>
        <v>8125.7515266826649</v>
      </c>
      <c r="AM27" s="319">
        <f>O27/'Population &amp; Income'!O26</f>
        <v>7887.2046771805963</v>
      </c>
      <c r="AN27" s="319">
        <f>P27/'Population &amp; Income'!P26</f>
        <v>8410.2471143231087</v>
      </c>
      <c r="AO27" s="319">
        <f>Q27/'Population &amp; Income'!Q26</f>
        <v>8586.3609584591723</v>
      </c>
      <c r="AP27" s="319">
        <f>R27/'Population &amp; Income'!R26</f>
        <v>8754.6916364155259</v>
      </c>
      <c r="AQ27" s="319">
        <f>S27/'Population &amp; Income'!S26</f>
        <v>9116.9467490224961</v>
      </c>
      <c r="AR27" s="697">
        <f>T27/'Population &amp; Income'!T26</f>
        <v>9843.6474914636929</v>
      </c>
      <c r="AS27" s="697">
        <f>U27/'Population &amp; Income'!U26</f>
        <v>10137.037998978201</v>
      </c>
      <c r="AT27" s="697">
        <f>V27/'Population &amp; Income'!V26</f>
        <v>10127.320774616079</v>
      </c>
      <c r="AU27" s="697">
        <f>W27/'Population &amp; Income'!W26</f>
        <v>10314.240067445024</v>
      </c>
      <c r="AV27" s="690"/>
      <c r="AW27" s="486"/>
      <c r="AX27" s="13" t="s">
        <v>18</v>
      </c>
      <c r="AY27" s="40">
        <f t="shared" si="0"/>
        <v>-1.7858200053152171E-2</v>
      </c>
      <c r="AZ27" s="40">
        <f t="shared" si="1"/>
        <v>4.4028330284556938E-2</v>
      </c>
      <c r="BA27" s="40">
        <f t="shared" si="2"/>
        <v>-4.2040947651997909E-3</v>
      </c>
      <c r="BB27" s="40">
        <f t="shared" si="3"/>
        <v>5.7671640208128788E-2</v>
      </c>
      <c r="BC27" s="40">
        <f t="shared" si="4"/>
        <v>0.11124308085145836</v>
      </c>
      <c r="BD27" s="40">
        <f t="shared" si="5"/>
        <v>1.6928202009043082E-2</v>
      </c>
      <c r="BE27" s="40">
        <f t="shared" si="6"/>
        <v>4.8769977466012172E-2</v>
      </c>
      <c r="BF27" s="40">
        <f t="shared" si="7"/>
        <v>6.9190353106934541E-2</v>
      </c>
      <c r="BG27" s="40">
        <f t="shared" si="8"/>
        <v>3.2488805067565095E-2</v>
      </c>
      <c r="BH27" s="40">
        <f t="shared" si="9"/>
        <v>2.2487795462758593E-2</v>
      </c>
      <c r="BI27" s="40">
        <f t="shared" si="10"/>
        <v>4.7378773396904682E-2</v>
      </c>
      <c r="BJ27" s="40">
        <f t="shared" si="11"/>
        <v>3.4917924731325948E-3</v>
      </c>
      <c r="BK27" s="40">
        <f t="shared" si="12"/>
        <v>-2.5918439978248956E-2</v>
      </c>
      <c r="BL27" s="40">
        <f t="shared" si="13"/>
        <v>6.6861704264002814E-2</v>
      </c>
      <c r="BM27" s="40">
        <f t="shared" si="14"/>
        <v>1.954605829042844E-2</v>
      </c>
      <c r="BN27" s="40">
        <f t="shared" si="15"/>
        <v>1.7919513555835227E-2</v>
      </c>
      <c r="BO27" s="40">
        <f t="shared" si="16"/>
        <v>4.8927202333685554E-2</v>
      </c>
      <c r="BP27" s="691">
        <f t="shared" si="17"/>
        <v>7.5120006730736585E-2</v>
      </c>
      <c r="BQ27" s="691">
        <f t="shared" si="18"/>
        <v>3.238367533957965E-2</v>
      </c>
      <c r="BR27" s="691">
        <f t="shared" si="19"/>
        <v>4.4857812146107947E-3</v>
      </c>
      <c r="BS27" s="691">
        <f t="shared" si="20"/>
        <v>1.4546869153630605E-2</v>
      </c>
      <c r="BT27" s="40"/>
      <c r="BV27" s="13" t="s">
        <v>18</v>
      </c>
      <c r="BW27" s="40">
        <f t="shared" si="21"/>
        <v>-1.7858200053152171E-2</v>
      </c>
      <c r="BX27" s="40">
        <f t="shared" si="22"/>
        <v>2.5383863501176888E-2</v>
      </c>
      <c r="BY27" s="40">
        <f t="shared" si="23"/>
        <v>2.1073052568311254E-2</v>
      </c>
      <c r="BZ27" s="40">
        <f t="shared" si="24"/>
        <v>7.9960010282246669E-2</v>
      </c>
      <c r="CA27" s="40">
        <f t="shared" si="25"/>
        <v>0.20009808902241644</v>
      </c>
      <c r="CB27" s="40">
        <f t="shared" si="26"/>
        <v>0.22041359190405446</v>
      </c>
      <c r="CC27" s="40">
        <f t="shared" si="27"/>
        <v>0.27993313528043018</v>
      </c>
      <c r="CD27" s="40">
        <f t="shared" si="28"/>
        <v>0.36849216086374897</v>
      </c>
      <c r="CE27" s="40">
        <f t="shared" si="29"/>
        <v>0.41295283591454224</v>
      </c>
      <c r="CF27" s="40">
        <f t="shared" si="30"/>
        <v>0.44472703028711319</v>
      </c>
      <c r="CG27" s="40">
        <f t="shared" si="31"/>
        <v>0.51317642487546933</v>
      </c>
      <c r="CH27" s="40">
        <f t="shared" si="32"/>
        <v>0.51846012292637123</v>
      </c>
      <c r="CI27" s="40">
        <f t="shared" si="33"/>
        <v>0.4791040053709395</v>
      </c>
      <c r="CJ27" s="40">
        <f t="shared" si="34"/>
        <v>0.57799941995375326</v>
      </c>
      <c r="CK27" s="40">
        <f t="shared" si="35"/>
        <v>0.60884308859843161</v>
      </c>
      <c r="CL27" s="40">
        <f t="shared" si="36"/>
        <v>0.63767277413378298</v>
      </c>
      <c r="CM27" s="40">
        <f t="shared" si="37"/>
        <v>0.71779952131019475</v>
      </c>
      <c r="CN27" s="691">
        <f t="shared" si="38"/>
        <v>0.84684063291307266</v>
      </c>
      <c r="CO27" s="691">
        <f t="shared" si="39"/>
        <v>0.90664812037327347</v>
      </c>
      <c r="CP27" s="691">
        <f t="shared" si="40"/>
        <v>0.9152009266945168</v>
      </c>
      <c r="CQ27" s="691">
        <f t="shared" si="41"/>
        <v>0.94306110397805409</v>
      </c>
    </row>
    <row r="28" spans="1:95">
      <c r="A28" s="13" t="s">
        <v>19</v>
      </c>
      <c r="B28" s="319">
        <v>102482889.5</v>
      </c>
      <c r="C28" s="319">
        <v>106811127.2</v>
      </c>
      <c r="D28" s="319">
        <v>112444049.7</v>
      </c>
      <c r="E28" s="319">
        <v>123030428.98999999</v>
      </c>
      <c r="F28" s="319">
        <v>129403341.09999999</v>
      </c>
      <c r="G28" s="319">
        <v>134209047.09999999</v>
      </c>
      <c r="H28" s="319">
        <v>135876804.83000001</v>
      </c>
      <c r="I28" s="319">
        <v>143343028.86000001</v>
      </c>
      <c r="J28" s="319">
        <v>149380886.97</v>
      </c>
      <c r="K28" s="319">
        <v>158166009.47</v>
      </c>
      <c r="L28" s="319">
        <v>159705085.84</v>
      </c>
      <c r="M28" s="319">
        <v>160093234.86000001</v>
      </c>
      <c r="N28" s="319">
        <v>167946598.46000001</v>
      </c>
      <c r="O28" s="319">
        <v>163106693.65000001</v>
      </c>
      <c r="P28" s="319">
        <v>167116125.41999999</v>
      </c>
      <c r="Q28" s="319">
        <v>174014428.59</v>
      </c>
      <c r="R28" s="319">
        <v>176652251.47999999</v>
      </c>
      <c r="S28" s="319">
        <v>177330608.22</v>
      </c>
      <c r="T28" s="677">
        <v>184449161.28999999</v>
      </c>
      <c r="U28" s="677">
        <v>183054846.91</v>
      </c>
      <c r="V28" s="678">
        <v>191962337.44</v>
      </c>
      <c r="W28" s="809">
        <v>186132518.59</v>
      </c>
      <c r="X28" s="811"/>
      <c r="Y28" s="13" t="s">
        <v>19</v>
      </c>
      <c r="Z28" s="319">
        <f>B28/'Population &amp; Income'!B27</f>
        <v>4697.8175338070132</v>
      </c>
      <c r="AA28" s="319">
        <f>C28/'Population &amp; Income'!C27</f>
        <v>4839.8716389505644</v>
      </c>
      <c r="AB28" s="319">
        <f>D28/'Population &amp; Income'!D27</f>
        <v>5016.6882171856878</v>
      </c>
      <c r="AC28" s="319">
        <f>E28/'Population &amp; Income'!E27</f>
        <v>5463.1629214031973</v>
      </c>
      <c r="AD28" s="319">
        <f>F28/'Population &amp; Income'!F27</f>
        <v>5668.6236683020852</v>
      </c>
      <c r="AE28" s="319">
        <f>G28/'Population &amp; Income'!G27</f>
        <v>5866.8056959258611</v>
      </c>
      <c r="AF28" s="319">
        <f>H28/'Population &amp; Income'!H27</f>
        <v>5801.7423070025625</v>
      </c>
      <c r="AG28" s="319">
        <f>I28/'Population &amp; Income'!I27</f>
        <v>6039.5647113845125</v>
      </c>
      <c r="AH28" s="319">
        <f>J28/'Population &amp; Income'!J27</f>
        <v>6245.5425608328451</v>
      </c>
      <c r="AI28" s="319">
        <f>K28/'Population &amp; Income'!K27</f>
        <v>6552.8445734764055</v>
      </c>
      <c r="AJ28" s="319">
        <f>L28/'Population &amp; Income'!L27</f>
        <v>6552.5411660443933</v>
      </c>
      <c r="AK28" s="319">
        <f>M28/'Population &amp; Income'!M27</f>
        <v>6484.3952715784362</v>
      </c>
      <c r="AL28" s="319">
        <f>N28/'Population &amp; Income'!N27</f>
        <v>6800.0080354684596</v>
      </c>
      <c r="AM28" s="319">
        <f>O28/'Population &amp; Income'!O27</f>
        <v>6576.3524574631083</v>
      </c>
      <c r="AN28" s="319">
        <f>P28/'Population &amp; Income'!P27</f>
        <v>6786.4416414213192</v>
      </c>
      <c r="AO28" s="319">
        <f>Q28/'Population &amp; Income'!Q27</f>
        <v>7014.4481050467593</v>
      </c>
      <c r="AP28" s="319">
        <f>R28/'Population &amp; Income'!R27</f>
        <v>7113.8954365335048</v>
      </c>
      <c r="AQ28" s="319">
        <f>S28/'Population &amp; Income'!S27</f>
        <v>7225.3028651754066</v>
      </c>
      <c r="AR28" s="697">
        <f>T28/'Population &amp; Income'!T27</f>
        <v>7491.5381702611585</v>
      </c>
      <c r="AS28" s="697">
        <f>U28/'Population &amp; Income'!U27</f>
        <v>7475.5930456977167</v>
      </c>
      <c r="AT28" s="697">
        <f>V28/'Population &amp; Income'!V27</f>
        <v>7899.0345420130034</v>
      </c>
      <c r="AU28" s="697">
        <f>W28/'Population &amp; Income'!W27</f>
        <v>7722.7001323541617</v>
      </c>
      <c r="AV28" s="690"/>
      <c r="AW28" s="486"/>
      <c r="AX28" s="13" t="s">
        <v>19</v>
      </c>
      <c r="AY28" s="40">
        <f t="shared" si="0"/>
        <v>4.2233759421859418E-2</v>
      </c>
      <c r="AZ28" s="40">
        <f t="shared" si="1"/>
        <v>5.2737225490117286E-2</v>
      </c>
      <c r="BA28" s="40">
        <f t="shared" si="2"/>
        <v>9.4147972420456069E-2</v>
      </c>
      <c r="BB28" s="40">
        <f t="shared" si="3"/>
        <v>5.1799478895729077E-2</v>
      </c>
      <c r="BC28" s="40">
        <f t="shared" si="4"/>
        <v>3.7137418239350239E-2</v>
      </c>
      <c r="BD28" s="40">
        <f t="shared" si="5"/>
        <v>1.2426567105847658E-2</v>
      </c>
      <c r="BE28" s="40">
        <f t="shared" si="6"/>
        <v>5.4948481010730583E-2</v>
      </c>
      <c r="BF28" s="40">
        <f t="shared" si="7"/>
        <v>4.2121742215291316E-2</v>
      </c>
      <c r="BG28" s="40">
        <f t="shared" si="8"/>
        <v>5.8810217814306502E-2</v>
      </c>
      <c r="BH28" s="40">
        <f t="shared" si="9"/>
        <v>9.7307656376822722E-3</v>
      </c>
      <c r="BI28" s="40">
        <f t="shared" si="10"/>
        <v>2.4304111416268643E-3</v>
      </c>
      <c r="BJ28" s="40">
        <f t="shared" si="11"/>
        <v>4.9054937311171734E-2</v>
      </c>
      <c r="BK28" s="40">
        <f t="shared" si="12"/>
        <v>-2.8818117511041623E-2</v>
      </c>
      <c r="BL28" s="40">
        <f t="shared" si="13"/>
        <v>2.4581650699164796E-2</v>
      </c>
      <c r="BM28" s="40">
        <f t="shared" si="14"/>
        <v>4.1278501118088076E-2</v>
      </c>
      <c r="BN28" s="40">
        <f t="shared" si="15"/>
        <v>1.5158644667420252E-2</v>
      </c>
      <c r="BO28" s="40">
        <f t="shared" si="16"/>
        <v>3.8400684639833811E-3</v>
      </c>
      <c r="BP28" s="691">
        <f t="shared" si="17"/>
        <v>4.0142833442315666E-2</v>
      </c>
      <c r="BQ28" s="691">
        <f t="shared" si="18"/>
        <v>-7.5593424781573602E-3</v>
      </c>
      <c r="BR28" s="691">
        <f t="shared" si="19"/>
        <v>4.8660227687822008E-2</v>
      </c>
      <c r="BS28" s="691">
        <f t="shared" si="20"/>
        <v>-3.036959711861276E-2</v>
      </c>
      <c r="BT28" s="40"/>
      <c r="BV28" s="13" t="s">
        <v>19</v>
      </c>
      <c r="BW28" s="40">
        <f t="shared" si="21"/>
        <v>4.2233759421859418E-2</v>
      </c>
      <c r="BX28" s="40">
        <f t="shared" si="22"/>
        <v>9.719827620590267E-2</v>
      </c>
      <c r="BY28" s="40">
        <f t="shared" si="23"/>
        <v>0.20049726925390793</v>
      </c>
      <c r="BZ28" s="40">
        <f t="shared" si="24"/>
        <v>0.26268240221700612</v>
      </c>
      <c r="CA28" s="40">
        <f t="shared" si="25"/>
        <v>0.30957516669160656</v>
      </c>
      <c r="CB28" s="40">
        <f t="shared" si="26"/>
        <v>0.32584869038065145</v>
      </c>
      <c r="CC28" s="40">
        <f t="shared" si="27"/>
        <v>0.39870206196713465</v>
      </c>
      <c r="CD28" s="40">
        <f t="shared" si="28"/>
        <v>0.45761782965731074</v>
      </c>
      <c r="CE28" s="40">
        <f t="shared" si="29"/>
        <v>0.54334065170947388</v>
      </c>
      <c r="CF28" s="40">
        <f t="shared" si="30"/>
        <v>0.5583585378903666</v>
      </c>
      <c r="CG28" s="40">
        <f t="shared" si="31"/>
        <v>0.56214598984350472</v>
      </c>
      <c r="CH28" s="40">
        <f t="shared" si="32"/>
        <v>0.63877696344617618</v>
      </c>
      <c r="CI28" s="40">
        <f t="shared" si="33"/>
        <v>0.59155049633919632</v>
      </c>
      <c r="CJ28" s="40">
        <f t="shared" si="34"/>
        <v>0.6306734347102888</v>
      </c>
      <c r="CK28" s="40">
        <f t="shared" si="35"/>
        <v>0.6979851899082139</v>
      </c>
      <c r="CL28" s="40">
        <f t="shared" si="36"/>
        <v>0.72372434405257469</v>
      </c>
      <c r="CM28" s="40">
        <f t="shared" si="37"/>
        <v>0.73034356354677132</v>
      </c>
      <c r="CN28" s="691">
        <f t="shared" si="38"/>
        <v>0.79980445701621239</v>
      </c>
      <c r="CO28" s="691">
        <f t="shared" si="39"/>
        <v>0.78619911873191273</v>
      </c>
      <c r="CP28" s="691">
        <f t="shared" si="40"/>
        <v>0.87311597454519463</v>
      </c>
      <c r="CQ28" s="691">
        <f t="shared" si="41"/>
        <v>0.81623019704181943</v>
      </c>
    </row>
    <row r="29" spans="1:95">
      <c r="A29" s="13" t="s">
        <v>20</v>
      </c>
      <c r="B29" s="319">
        <v>26715822.600000001</v>
      </c>
      <c r="C29" s="319">
        <v>28449895.699999999</v>
      </c>
      <c r="D29" s="319">
        <v>30441466.73</v>
      </c>
      <c r="E29" s="319">
        <v>31977674.68</v>
      </c>
      <c r="F29" s="319">
        <v>32043668.140000001</v>
      </c>
      <c r="G29" s="319">
        <v>33498921.149999999</v>
      </c>
      <c r="H29" s="319">
        <v>34283683.469999999</v>
      </c>
      <c r="I29" s="319">
        <v>36321046.420000002</v>
      </c>
      <c r="J29" s="319">
        <v>41826754.799999997</v>
      </c>
      <c r="K29" s="319">
        <v>37588057.329999998</v>
      </c>
      <c r="L29" s="319">
        <v>36617844.289999999</v>
      </c>
      <c r="M29" s="319">
        <v>37314792.109999999</v>
      </c>
      <c r="N29" s="319">
        <v>39328109.920000002</v>
      </c>
      <c r="O29" s="319">
        <v>37211471.600000001</v>
      </c>
      <c r="P29" s="319">
        <v>37220335.909999996</v>
      </c>
      <c r="Q29" s="319">
        <v>38356761.159999996</v>
      </c>
      <c r="R29" s="319">
        <v>38838488.189999998</v>
      </c>
      <c r="S29" s="319">
        <v>39745765</v>
      </c>
      <c r="T29" s="677">
        <v>41845644.030000001</v>
      </c>
      <c r="U29" s="677">
        <v>41986312.049999997</v>
      </c>
      <c r="V29" s="678">
        <v>45129779.469999999</v>
      </c>
      <c r="W29" s="809">
        <v>45332410.140000001</v>
      </c>
      <c r="X29" s="811"/>
      <c r="Y29" s="13" t="s">
        <v>20</v>
      </c>
      <c r="Z29" s="319">
        <f>B29/'Population &amp; Income'!B28</f>
        <v>3405.4585850860421</v>
      </c>
      <c r="AA29" s="319">
        <f>C29/'Population &amp; Income'!C28</f>
        <v>3623.2674095771777</v>
      </c>
      <c r="AB29" s="319">
        <f>D29/'Population &amp; Income'!D28</f>
        <v>3906.7590772587268</v>
      </c>
      <c r="AC29" s="319">
        <f>E29/'Population &amp; Income'!E28</f>
        <v>4043.712023267577</v>
      </c>
      <c r="AD29" s="319">
        <f>F29/'Population &amp; Income'!F28</f>
        <v>4048.4735489576756</v>
      </c>
      <c r="AE29" s="319">
        <f>G29/'Population &amp; Income'!G28</f>
        <v>4229.6617613636363</v>
      </c>
      <c r="AF29" s="319">
        <f>H29/'Population &amp; Income'!H28</f>
        <v>4340.2561678693501</v>
      </c>
      <c r="AG29" s="319">
        <f>I29/'Population &amp; Income'!I28</f>
        <v>4599.9298910840935</v>
      </c>
      <c r="AH29" s="319">
        <f>J29/'Population &amp; Income'!J28</f>
        <v>5299.2214367160768</v>
      </c>
      <c r="AI29" s="319">
        <f>K29/'Population &amp; Income'!K28</f>
        <v>4751.9667926675093</v>
      </c>
      <c r="AJ29" s="319">
        <f>L29/'Population &amp; Income'!L28</f>
        <v>4592.1550401304239</v>
      </c>
      <c r="AK29" s="319">
        <f>M29/'Population &amp; Income'!M28</f>
        <v>4682.4936767473964</v>
      </c>
      <c r="AL29" s="319">
        <f>N29/'Population &amp; Income'!N28</f>
        <v>4946.3098880643947</v>
      </c>
      <c r="AM29" s="319">
        <f>O29/'Population &amp; Income'!O28</f>
        <v>4719.2735066582118</v>
      </c>
      <c r="AN29" s="319">
        <f>P29/'Population &amp; Income'!P28</f>
        <v>4732.4012600127144</v>
      </c>
      <c r="AO29" s="319">
        <f>Q29/'Population &amp; Income'!Q28</f>
        <v>4927.008498394348</v>
      </c>
      <c r="AP29" s="319">
        <f>R29/'Population &amp; Income'!R28</f>
        <v>5131.9355430761098</v>
      </c>
      <c r="AQ29" s="319">
        <f>S29/'Population &amp; Income'!S28</f>
        <v>5244.8884930060703</v>
      </c>
      <c r="AR29" s="697">
        <f>T29/'Population &amp; Income'!T28</f>
        <v>5494.4385543592434</v>
      </c>
      <c r="AS29" s="697">
        <f>U29/'Population &amp; Income'!U28</f>
        <v>5527.4239139020538</v>
      </c>
      <c r="AT29" s="697">
        <f>V29/'Population &amp; Income'!V28</f>
        <v>5914.0059585899617</v>
      </c>
      <c r="AU29" s="697">
        <f>W29/'Population &amp; Income'!W28</f>
        <v>5974.2237928307859</v>
      </c>
      <c r="AV29" s="690"/>
      <c r="AW29" s="486"/>
      <c r="AX29" s="13" t="s">
        <v>20</v>
      </c>
      <c r="AY29" s="40">
        <f t="shared" si="0"/>
        <v>6.490809307889317E-2</v>
      </c>
      <c r="AZ29" s="40">
        <f t="shared" si="1"/>
        <v>7.0002753296561332E-2</v>
      </c>
      <c r="BA29" s="40">
        <f t="shared" si="2"/>
        <v>5.0464321040289084E-2</v>
      </c>
      <c r="BB29" s="40">
        <f t="shared" si="3"/>
        <v>2.0637354235539711E-3</v>
      </c>
      <c r="BC29" s="40">
        <f t="shared" si="4"/>
        <v>4.5414682352904863E-2</v>
      </c>
      <c r="BD29" s="40">
        <f t="shared" si="5"/>
        <v>2.3426495333566895E-2</v>
      </c>
      <c r="BE29" s="40">
        <f t="shared" si="6"/>
        <v>5.9426606005822016E-2</v>
      </c>
      <c r="BF29" s="40">
        <f t="shared" si="7"/>
        <v>0.15158451979423987</v>
      </c>
      <c r="BG29" s="40">
        <f t="shared" si="8"/>
        <v>-0.10133938170120717</v>
      </c>
      <c r="BH29" s="40">
        <f t="shared" si="9"/>
        <v>-2.5811736730156763E-2</v>
      </c>
      <c r="BI29" s="40">
        <f t="shared" si="10"/>
        <v>1.9033010640397814E-2</v>
      </c>
      <c r="BJ29" s="40">
        <f t="shared" si="11"/>
        <v>5.3954951807448311E-2</v>
      </c>
      <c r="BK29" s="40">
        <f t="shared" si="12"/>
        <v>-5.3819985865214449E-2</v>
      </c>
      <c r="BL29" s="40">
        <f t="shared" si="13"/>
        <v>2.3821444352646707E-4</v>
      </c>
      <c r="BM29" s="40">
        <f t="shared" si="14"/>
        <v>3.0532374902470356E-2</v>
      </c>
      <c r="BN29" s="40">
        <f t="shared" si="15"/>
        <v>1.2559116448611045E-2</v>
      </c>
      <c r="BO29" s="40">
        <f t="shared" si="16"/>
        <v>2.3360250418645413E-2</v>
      </c>
      <c r="BP29" s="691">
        <f t="shared" si="17"/>
        <v>5.2832774259094051E-2</v>
      </c>
      <c r="BQ29" s="691">
        <f t="shared" si="18"/>
        <v>3.3615929031740564E-3</v>
      </c>
      <c r="BR29" s="691">
        <f t="shared" si="19"/>
        <v>7.4868862410600839E-2</v>
      </c>
      <c r="BS29" s="691">
        <f t="shared" si="20"/>
        <v>4.489954801013385E-3</v>
      </c>
      <c r="BT29" s="40"/>
      <c r="BV29" s="13" t="s">
        <v>20</v>
      </c>
      <c r="BW29" s="40">
        <f t="shared" si="21"/>
        <v>6.490809307889317E-2</v>
      </c>
      <c r="BX29" s="40">
        <f t="shared" si="22"/>
        <v>0.1394545916022065</v>
      </c>
      <c r="BY29" s="40">
        <f t="shared" si="23"/>
        <v>0.19695639392365175</v>
      </c>
      <c r="BZ29" s="40">
        <f t="shared" si="24"/>
        <v>0.19942659523424142</v>
      </c>
      <c r="CA29" s="40">
        <f t="shared" si="25"/>
        <v>0.25389817306243068</v>
      </c>
      <c r="CB29" s="40">
        <f t="shared" si="26"/>
        <v>0.28327261276244575</v>
      </c>
      <c r="CC29" s="40">
        <f t="shared" si="27"/>
        <v>0.35953314871914144</v>
      </c>
      <c r="CD29" s="40">
        <f t="shared" si="28"/>
        <v>0.56561732821208333</v>
      </c>
      <c r="CE29" s="40">
        <f t="shared" si="29"/>
        <v>0.40695863619037492</v>
      </c>
      <c r="CF29" s="40">
        <f t="shared" si="30"/>
        <v>0.37064259028280855</v>
      </c>
      <c r="CG29" s="40">
        <f t="shared" si="31"/>
        <v>0.39673004528784367</v>
      </c>
      <c r="CH29" s="40">
        <f t="shared" si="32"/>
        <v>0.47209054756936436</v>
      </c>
      <c r="CI29" s="40">
        <f t="shared" si="33"/>
        <v>0.39286265510686535</v>
      </c>
      <c r="CJ29" s="40">
        <f t="shared" si="34"/>
        <v>0.39319445510916046</v>
      </c>
      <c r="CK29" s="40">
        <f t="shared" si="35"/>
        <v>0.43573199052459627</v>
      </c>
      <c r="CL29" s="40">
        <f t="shared" si="36"/>
        <v>0.45376351578259078</v>
      </c>
      <c r="CM29" s="40">
        <f t="shared" si="37"/>
        <v>0.48772379556076245</v>
      </c>
      <c r="CN29" s="691">
        <f t="shared" si="38"/>
        <v>0.56632437101150679</v>
      </c>
      <c r="CO29" s="691">
        <f t="shared" si="39"/>
        <v>0.57158971590116769</v>
      </c>
      <c r="CP29" s="691">
        <f t="shared" si="40"/>
        <v>0.68925285010688742</v>
      </c>
      <c r="CQ29" s="691">
        <f t="shared" si="41"/>
        <v>0.69683751905135038</v>
      </c>
    </row>
    <row r="30" spans="1:95">
      <c r="A30" s="13" t="s">
        <v>21</v>
      </c>
      <c r="B30" s="319">
        <v>72838991.120000005</v>
      </c>
      <c r="C30" s="319">
        <v>73522308.560000002</v>
      </c>
      <c r="D30" s="319">
        <v>78961593.409999996</v>
      </c>
      <c r="E30" s="319">
        <v>81093530.659999996</v>
      </c>
      <c r="F30" s="319">
        <v>81275114.159999996</v>
      </c>
      <c r="G30" s="319">
        <v>83049941.870000005</v>
      </c>
      <c r="H30" s="319">
        <v>86186405.769999996</v>
      </c>
      <c r="I30" s="319">
        <v>91336609.189999998</v>
      </c>
      <c r="J30" s="319">
        <v>98414756.349999994</v>
      </c>
      <c r="K30" s="319">
        <v>104884856.95999999</v>
      </c>
      <c r="L30" s="319">
        <v>104982660.62</v>
      </c>
      <c r="M30" s="319">
        <v>109510489.47</v>
      </c>
      <c r="N30" s="319">
        <v>109022126.58</v>
      </c>
      <c r="O30" s="319">
        <v>102136845.28</v>
      </c>
      <c r="P30" s="319">
        <v>102054682.09999999</v>
      </c>
      <c r="Q30" s="319">
        <v>101125379.3</v>
      </c>
      <c r="R30" s="319">
        <v>102561321.72</v>
      </c>
      <c r="S30" s="319">
        <v>102834786.59</v>
      </c>
      <c r="T30" s="677">
        <v>106035298.3</v>
      </c>
      <c r="U30" s="677">
        <v>107982131.79000001</v>
      </c>
      <c r="V30" s="678">
        <v>111589503.26000001</v>
      </c>
      <c r="W30" s="809">
        <v>111978421.5</v>
      </c>
      <c r="X30" s="811"/>
      <c r="Y30" s="13" t="s">
        <v>21</v>
      </c>
      <c r="Z30" s="319">
        <f>B30/'Population &amp; Income'!B29</f>
        <v>4935.2253621519076</v>
      </c>
      <c r="AA30" s="319">
        <f>C30/'Population &amp; Income'!C29</f>
        <v>4882.283588551697</v>
      </c>
      <c r="AB30" s="319">
        <f>D30/'Population &amp; Income'!D29</f>
        <v>5161.9005955416096</v>
      </c>
      <c r="AC30" s="319">
        <f>E30/'Population &amp; Income'!E29</f>
        <v>5213.3417332047575</v>
      </c>
      <c r="AD30" s="319">
        <f>F30/'Population &amp; Income'!F29</f>
        <v>5159.9970897085896</v>
      </c>
      <c r="AE30" s="319">
        <f>G30/'Population &amp; Income'!G29</f>
        <v>5255.6601613719786</v>
      </c>
      <c r="AF30" s="319">
        <f>H30/'Population &amp; Income'!H29</f>
        <v>5417.8027263012318</v>
      </c>
      <c r="AG30" s="319">
        <f>I30/'Population &amp; Income'!I29</f>
        <v>5697.4991697336409</v>
      </c>
      <c r="AH30" s="319">
        <f>J30/'Population &amp; Income'!J29</f>
        <v>6046.9896374807986</v>
      </c>
      <c r="AI30" s="319">
        <f>K30/'Population &amp; Income'!K29</f>
        <v>6424.7998137825416</v>
      </c>
      <c r="AJ30" s="319">
        <f>L30/'Population &amp; Income'!L29</f>
        <v>6331.8854414957787</v>
      </c>
      <c r="AK30" s="319">
        <f>M30/'Population &amp; Income'!M29</f>
        <v>6459.6525376039635</v>
      </c>
      <c r="AL30" s="319">
        <f>N30/'Population &amp; Income'!N29</f>
        <v>6430.0870881745795</v>
      </c>
      <c r="AM30" s="319">
        <f>O30/'Population &amp; Income'!O29</f>
        <v>6073.7895623215982</v>
      </c>
      <c r="AN30" s="319">
        <f>P30/'Population &amp; Income'!P29</f>
        <v>6093.180613767986</v>
      </c>
      <c r="AO30" s="319">
        <f>Q30/'Population &amp; Income'!Q29</f>
        <v>6017.2188087587765</v>
      </c>
      <c r="AP30" s="319">
        <f>R30/'Population &amp; Income'!R29</f>
        <v>6105.2039835704509</v>
      </c>
      <c r="AQ30" s="319">
        <f>S30/'Population &amp; Income'!S29</f>
        <v>6219.2190257030543</v>
      </c>
      <c r="AR30" s="697">
        <f>T30/'Population &amp; Income'!T29</f>
        <v>6467.5387801158886</v>
      </c>
      <c r="AS30" s="697">
        <f>U30/'Population &amp; Income'!U29</f>
        <v>6579.0612191555474</v>
      </c>
      <c r="AT30" s="697">
        <f>V30/'Population &amp; Income'!V29</f>
        <v>6784.3812779669261</v>
      </c>
      <c r="AU30" s="697">
        <f>W30/'Population &amp; Income'!W29</f>
        <v>6716.1531518023148</v>
      </c>
      <c r="AV30" s="690"/>
      <c r="AW30" s="486"/>
      <c r="AX30" s="13" t="s">
        <v>21</v>
      </c>
      <c r="AY30" s="40">
        <f t="shared" si="0"/>
        <v>9.3812040706913839E-3</v>
      </c>
      <c r="AZ30" s="40">
        <f t="shared" si="1"/>
        <v>7.3981420830401545E-2</v>
      </c>
      <c r="BA30" s="40">
        <f t="shared" si="2"/>
        <v>2.6999673612589526E-2</v>
      </c>
      <c r="BB30" s="40">
        <f t="shared" si="3"/>
        <v>2.2391860179491168E-3</v>
      </c>
      <c r="BC30" s="40">
        <f t="shared" si="4"/>
        <v>2.1837283507298962E-2</v>
      </c>
      <c r="BD30" s="40">
        <f t="shared" si="5"/>
        <v>3.7765997535670413E-2</v>
      </c>
      <c r="BE30" s="40">
        <f t="shared" si="6"/>
        <v>5.9756563392886014E-2</v>
      </c>
      <c r="BF30" s="40">
        <f t="shared" si="7"/>
        <v>7.7495182082749664E-2</v>
      </c>
      <c r="BG30" s="40">
        <f t="shared" si="8"/>
        <v>6.5743195938928925E-2</v>
      </c>
      <c r="BH30" s="40">
        <f t="shared" si="9"/>
        <v>9.3248599306676623E-4</v>
      </c>
      <c r="BI30" s="40">
        <f t="shared" si="10"/>
        <v>4.3129301765261301E-2</v>
      </c>
      <c r="BJ30" s="40">
        <f t="shared" si="11"/>
        <v>-4.4595078732963369E-3</v>
      </c>
      <c r="BK30" s="40">
        <f t="shared" si="12"/>
        <v>-6.3154898147649005E-2</v>
      </c>
      <c r="BL30" s="40">
        <f t="shared" si="13"/>
        <v>-8.0444211660114784E-4</v>
      </c>
      <c r="BM30" s="40">
        <f t="shared" si="14"/>
        <v>-9.105930084514928E-3</v>
      </c>
      <c r="BN30" s="40">
        <f t="shared" si="15"/>
        <v>1.4199624564473715E-2</v>
      </c>
      <c r="BO30" s="40">
        <f t="shared" si="16"/>
        <v>2.6663547759903494E-3</v>
      </c>
      <c r="BP30" s="691">
        <f t="shared" si="17"/>
        <v>3.1122850701877394E-2</v>
      </c>
      <c r="BQ30" s="691">
        <f t="shared" si="18"/>
        <v>1.8360239667473164E-2</v>
      </c>
      <c r="BR30" s="691">
        <f t="shared" si="19"/>
        <v>3.3407114771687348E-2</v>
      </c>
      <c r="BS30" s="691">
        <f t="shared" si="20"/>
        <v>3.4852582782255734E-3</v>
      </c>
      <c r="BT30" s="40"/>
      <c r="BV30" s="13" t="s">
        <v>21</v>
      </c>
      <c r="BW30" s="40">
        <f t="shared" si="21"/>
        <v>9.3812040706913839E-3</v>
      </c>
      <c r="BX30" s="40">
        <f t="shared" si="22"/>
        <v>8.4056659707342621E-2</v>
      </c>
      <c r="BY30" s="40">
        <f t="shared" si="23"/>
        <v>0.11332583569699491</v>
      </c>
      <c r="BZ30" s="40">
        <f t="shared" si="24"/>
        <v>0.11581877934170913</v>
      </c>
      <c r="CA30" s="40">
        <f t="shared" si="25"/>
        <v>0.1401852303689623</v>
      </c>
      <c r="CB30" s="40">
        <f t="shared" si="26"/>
        <v>0.18324546296928432</v>
      </c>
      <c r="CC30" s="40">
        <f t="shared" si="27"/>
        <v>0.25395214548655315</v>
      </c>
      <c r="CD30" s="40">
        <f t="shared" si="28"/>
        <v>0.35112739532408815</v>
      </c>
      <c r="CE30" s="40">
        <f t="shared" si="29"/>
        <v>0.43995482841333439</v>
      </c>
      <c r="CF30" s="40">
        <f t="shared" si="30"/>
        <v>0.44129756612147869</v>
      </c>
      <c r="CG30" s="40">
        <f t="shared" si="31"/>
        <v>0.50345972378426862</v>
      </c>
      <c r="CH30" s="40">
        <f t="shared" si="32"/>
        <v>0.49675503330886872</v>
      </c>
      <c r="CI30" s="40">
        <f t="shared" si="33"/>
        <v>0.40222762162826609</v>
      </c>
      <c r="CJ30" s="40">
        <f t="shared" si="34"/>
        <v>0.40109961067236688</v>
      </c>
      <c r="CK30" s="40">
        <f t="shared" si="35"/>
        <v>0.38834129557614322</v>
      </c>
      <c r="CL30" s="40">
        <f t="shared" si="36"/>
        <v>0.40805522074067946</v>
      </c>
      <c r="CM30" s="40">
        <f t="shared" si="37"/>
        <v>0.41180959550335955</v>
      </c>
      <c r="CN30" s="691">
        <f t="shared" si="38"/>
        <v>0.4557491347636885</v>
      </c>
      <c r="CO30" s="691">
        <f t="shared" si="39"/>
        <v>0.48247703777366652</v>
      </c>
      <c r="CP30" s="691">
        <f t="shared" si="40"/>
        <v>0.53200231832096245</v>
      </c>
      <c r="CQ30" s="691">
        <f t="shared" si="41"/>
        <v>0.53734174208315133</v>
      </c>
    </row>
    <row r="31" spans="1:95">
      <c r="A31" s="13" t="s">
        <v>22</v>
      </c>
      <c r="B31" s="319">
        <v>25392854.030000001</v>
      </c>
      <c r="C31" s="319">
        <v>27751466.809999999</v>
      </c>
      <c r="D31" s="319">
        <v>29887054.579999998</v>
      </c>
      <c r="E31" s="319">
        <v>31846122.09</v>
      </c>
      <c r="F31" s="319">
        <v>31982173.02</v>
      </c>
      <c r="G31" s="319">
        <v>32503646.859999999</v>
      </c>
      <c r="H31" s="319">
        <v>33464344.100000001</v>
      </c>
      <c r="I31" s="319">
        <v>34209463.829999998</v>
      </c>
      <c r="J31" s="319">
        <v>37555249.25</v>
      </c>
      <c r="K31" s="319">
        <v>38302843.670000002</v>
      </c>
      <c r="L31" s="319">
        <v>44990037.93</v>
      </c>
      <c r="M31" s="319">
        <v>40442560.649999999</v>
      </c>
      <c r="N31" s="319">
        <v>40156034.280000001</v>
      </c>
      <c r="O31" s="319">
        <v>40693183.43</v>
      </c>
      <c r="P31" s="319">
        <v>41614579.109999999</v>
      </c>
      <c r="Q31" s="319">
        <v>46454618.460000001</v>
      </c>
      <c r="R31" s="319">
        <v>49506598.840000004</v>
      </c>
      <c r="S31" s="319">
        <v>50275451.890000001</v>
      </c>
      <c r="T31" s="677">
        <v>55754696.030000001</v>
      </c>
      <c r="U31" s="677">
        <v>59002179.189999998</v>
      </c>
      <c r="V31" s="678">
        <v>60084985.920000002</v>
      </c>
      <c r="W31" s="809">
        <v>61102841.469999999</v>
      </c>
      <c r="X31" s="811"/>
      <c r="Y31" s="13" t="s">
        <v>22</v>
      </c>
      <c r="Z31" s="319">
        <f>B31/'Population &amp; Income'!B30</f>
        <v>3252.9918050217784</v>
      </c>
      <c r="AA31" s="319">
        <f>C31/'Population &amp; Income'!C30</f>
        <v>3571.157741603397</v>
      </c>
      <c r="AB31" s="319">
        <f>D31/'Population &amp; Income'!D30</f>
        <v>3794.2179230671572</v>
      </c>
      <c r="AC31" s="319">
        <f>E31/'Population &amp; Income'!E30</f>
        <v>3960.9604589552237</v>
      </c>
      <c r="AD31" s="319">
        <f>F31/'Population &amp; Income'!F30</f>
        <v>3998.7713203300823</v>
      </c>
      <c r="AE31" s="319">
        <f>G31/'Population &amp; Income'!G30</f>
        <v>4077.2261490215756</v>
      </c>
      <c r="AF31" s="319">
        <f>H31/'Population &amp; Income'!H30</f>
        <v>4162.2318532338313</v>
      </c>
      <c r="AG31" s="319">
        <f>I31/'Population &amp; Income'!I30</f>
        <v>4210.3955483076925</v>
      </c>
      <c r="AH31" s="319">
        <f>J31/'Population &amp; Income'!J30</f>
        <v>4564.3229521147305</v>
      </c>
      <c r="AI31" s="319">
        <f>K31/'Population &amp; Income'!K30</f>
        <v>4653.4860490827359</v>
      </c>
      <c r="AJ31" s="319">
        <f>L31/'Population &amp; Income'!L30</f>
        <v>5400.3166402592724</v>
      </c>
      <c r="AK31" s="319">
        <f>M31/'Population &amp; Income'!M30</f>
        <v>4867.3198519677453</v>
      </c>
      <c r="AL31" s="319">
        <f>N31/'Population &amp; Income'!N30</f>
        <v>4820.6523745498198</v>
      </c>
      <c r="AM31" s="319">
        <f>O31/'Population &amp; Income'!O30</f>
        <v>4854.8298055356718</v>
      </c>
      <c r="AN31" s="319">
        <f>P31/'Population &amp; Income'!P30</f>
        <v>4931.2216032705292</v>
      </c>
      <c r="AO31" s="319">
        <f>Q31/'Population &amp; Income'!Q30</f>
        <v>5586.8452748045702</v>
      </c>
      <c r="AP31" s="319">
        <f>R31/'Population &amp; Income'!R30</f>
        <v>6008.81160820488</v>
      </c>
      <c r="AQ31" s="319">
        <f>S31/'Population &amp; Income'!S30</f>
        <v>6061.665286954425</v>
      </c>
      <c r="AR31" s="697">
        <f>T31/'Population &amp; Income'!T30</f>
        <v>6723.9141377231072</v>
      </c>
      <c r="AS31" s="697">
        <f>U31/'Population &amp; Income'!U30</f>
        <v>7150.0459512845364</v>
      </c>
      <c r="AT31" s="697">
        <f>V31/'Population &amp; Income'!V30</f>
        <v>7319.4038153246438</v>
      </c>
      <c r="AU31" s="697">
        <f>W31/'Population &amp; Income'!W30</f>
        <v>7308.0781569190285</v>
      </c>
      <c r="AV31" s="690"/>
      <c r="AW31" s="486"/>
      <c r="AX31" s="13" t="s">
        <v>22</v>
      </c>
      <c r="AY31" s="40">
        <f t="shared" si="0"/>
        <v>9.2884902863358737E-2</v>
      </c>
      <c r="AZ31" s="40">
        <f t="shared" si="1"/>
        <v>7.6954050199265836E-2</v>
      </c>
      <c r="BA31" s="40">
        <f t="shared" si="2"/>
        <v>6.5549032433292451E-2</v>
      </c>
      <c r="BB31" s="40">
        <f t="shared" si="3"/>
        <v>4.2721349122353909E-3</v>
      </c>
      <c r="BC31" s="40">
        <f t="shared" si="4"/>
        <v>1.6305140981943193E-2</v>
      </c>
      <c r="BD31" s="40">
        <f t="shared" si="5"/>
        <v>2.9556598499175368E-2</v>
      </c>
      <c r="BE31" s="40">
        <f t="shared" si="6"/>
        <v>2.2266079017517534E-2</v>
      </c>
      <c r="BF31" s="40">
        <f t="shared" si="7"/>
        <v>9.780291900003163E-2</v>
      </c>
      <c r="BG31" s="40">
        <f t="shared" si="8"/>
        <v>1.9906522654752498E-2</v>
      </c>
      <c r="BH31" s="40">
        <f t="shared" si="9"/>
        <v>0.17458740968722433</v>
      </c>
      <c r="BI31" s="40">
        <f t="shared" si="10"/>
        <v>-0.1010774271200976</v>
      </c>
      <c r="BJ31" s="40">
        <f t="shared" si="11"/>
        <v>-7.0847732041417442E-3</v>
      </c>
      <c r="BK31" s="40">
        <f t="shared" si="12"/>
        <v>1.3376548746187555E-2</v>
      </c>
      <c r="BL31" s="40">
        <f t="shared" si="13"/>
        <v>2.2642506737890762E-2</v>
      </c>
      <c r="BM31" s="40">
        <f t="shared" si="14"/>
        <v>0.11630633911270144</v>
      </c>
      <c r="BN31" s="40">
        <f t="shared" si="15"/>
        <v>6.5698104541057137E-2</v>
      </c>
      <c r="BO31" s="40">
        <f t="shared" si="16"/>
        <v>1.5530314503827001E-2</v>
      </c>
      <c r="BP31" s="691">
        <f t="shared" si="17"/>
        <v>0.10898448316264354</v>
      </c>
      <c r="BQ31" s="691">
        <f t="shared" si="18"/>
        <v>5.824591274343275E-2</v>
      </c>
      <c r="BR31" s="691">
        <f t="shared" si="19"/>
        <v>1.8351978602572091E-2</v>
      </c>
      <c r="BS31" s="691">
        <f t="shared" si="20"/>
        <v>1.6940264434033788E-2</v>
      </c>
      <c r="BT31" s="40"/>
      <c r="BV31" s="13" t="s">
        <v>22</v>
      </c>
      <c r="BW31" s="40">
        <f t="shared" si="21"/>
        <v>9.2884902863358737E-2</v>
      </c>
      <c r="BX31" s="40">
        <f t="shared" si="22"/>
        <v>0.17698682254032541</v>
      </c>
      <c r="BY31" s="40">
        <f t="shared" si="23"/>
        <v>0.25413716994457902</v>
      </c>
      <c r="BZ31" s="40">
        <f t="shared" si="24"/>
        <v>0.25949501313303136</v>
      </c>
      <c r="CA31" s="40">
        <f t="shared" si="25"/>
        <v>0.28003125688821984</v>
      </c>
      <c r="CB31" s="40">
        <f t="shared" si="26"/>
        <v>0.31786462681445976</v>
      </c>
      <c r="CC31" s="40">
        <f t="shared" si="27"/>
        <v>0.34720830472950176</v>
      </c>
      <c r="CD31" s="40">
        <f t="shared" si="28"/>
        <v>0.47896920943313115</v>
      </c>
      <c r="CE31" s="40">
        <f t="shared" si="29"/>
        <v>0.50841034350639314</v>
      </c>
      <c r="CF31" s="40">
        <f t="shared" si="30"/>
        <v>0.77175979812459061</v>
      </c>
      <c r="CG31" s="40">
        <f t="shared" si="31"/>
        <v>0.59267487625533355</v>
      </c>
      <c r="CH31" s="40">
        <f t="shared" si="32"/>
        <v>0.58139113596912995</v>
      </c>
      <c r="CI31" s="40">
        <f t="shared" si="33"/>
        <v>0.60254469158620994</v>
      </c>
      <c r="CJ31" s="40">
        <f t="shared" si="34"/>
        <v>0.63883032056322175</v>
      </c>
      <c r="CK31" s="40">
        <f t="shared" si="35"/>
        <v>0.82943667557482503</v>
      </c>
      <c r="CL31" s="40">
        <f t="shared" si="36"/>
        <v>0.94962719753798397</v>
      </c>
      <c r="CM31" s="40">
        <f t="shared" si="37"/>
        <v>0.97990552108096363</v>
      </c>
      <c r="CN31" s="691">
        <f t="shared" si="38"/>
        <v>1.1956845010068369</v>
      </c>
      <c r="CO31" s="691">
        <f t="shared" si="39"/>
        <v>1.3235741488645889</v>
      </c>
      <c r="CP31" s="691">
        <f t="shared" si="40"/>
        <v>1.3662163319260414</v>
      </c>
      <c r="CQ31" s="691">
        <f t="shared" si="41"/>
        <v>1.406300662296998</v>
      </c>
    </row>
    <row r="32" spans="1:95">
      <c r="A32" s="13" t="s">
        <v>23</v>
      </c>
      <c r="B32" s="319">
        <v>74278271.260000005</v>
      </c>
      <c r="C32" s="319">
        <v>81693083.939999998</v>
      </c>
      <c r="D32" s="319">
        <v>88987933.439999998</v>
      </c>
      <c r="E32" s="319">
        <v>96215184.909999996</v>
      </c>
      <c r="F32" s="319">
        <v>94699929.840000004</v>
      </c>
      <c r="G32" s="319">
        <v>98032538.890000001</v>
      </c>
      <c r="H32" s="319">
        <v>103056811.62</v>
      </c>
      <c r="I32" s="319">
        <v>107713005.08</v>
      </c>
      <c r="J32" s="319">
        <v>113893315.67</v>
      </c>
      <c r="K32" s="319">
        <v>111913243.48999999</v>
      </c>
      <c r="L32" s="319">
        <v>118806192.79000001</v>
      </c>
      <c r="M32" s="319">
        <v>120227495.05</v>
      </c>
      <c r="N32" s="319">
        <v>120137761.17</v>
      </c>
      <c r="O32" s="319">
        <v>129328937.39</v>
      </c>
      <c r="P32" s="319">
        <v>131989231.39</v>
      </c>
      <c r="Q32" s="319">
        <v>125969053.89</v>
      </c>
      <c r="R32" s="319">
        <v>128285376.48999999</v>
      </c>
      <c r="S32" s="319">
        <v>131660265.92</v>
      </c>
      <c r="T32" s="677">
        <v>128871498.79000001</v>
      </c>
      <c r="U32" s="677">
        <v>135235321.41</v>
      </c>
      <c r="V32" s="678">
        <v>150406669.18000001</v>
      </c>
      <c r="W32" s="809">
        <v>136909927.37</v>
      </c>
      <c r="X32" s="811"/>
      <c r="Y32" s="13" t="s">
        <v>23</v>
      </c>
      <c r="Z32" s="319">
        <f>B32/'Population &amp; Income'!B31</f>
        <v>6637.9152153708674</v>
      </c>
      <c r="AA32" s="319">
        <f>C32/'Population &amp; Income'!C31</f>
        <v>7282.3216206097341</v>
      </c>
      <c r="AB32" s="319">
        <f>D32/'Population &amp; Income'!D31</f>
        <v>7801.8528353498159</v>
      </c>
      <c r="AC32" s="319">
        <f>E32/'Population &amp; Income'!E31</f>
        <v>8366.5378182608692</v>
      </c>
      <c r="AD32" s="319">
        <f>F32/'Population &amp; Income'!F31</f>
        <v>7208.6419913222198</v>
      </c>
      <c r="AE32" s="319">
        <f>G32/'Population &amp; Income'!G31</f>
        <v>7477.1214163679351</v>
      </c>
      <c r="AF32" s="319">
        <f>H32/'Population &amp; Income'!H31</f>
        <v>7819.1814582701063</v>
      </c>
      <c r="AG32" s="319">
        <f>I32/'Population &amp; Income'!I31</f>
        <v>8108.4767449563387</v>
      </c>
      <c r="AH32" s="319">
        <f>J32/'Population &amp; Income'!J31</f>
        <v>8944.0329566514847</v>
      </c>
      <c r="AI32" s="319">
        <f>K32/'Population &amp; Income'!K31</f>
        <v>8793.3718464681388</v>
      </c>
      <c r="AJ32" s="319">
        <f>L32/'Population &amp; Income'!L31</f>
        <v>9222.6512024530366</v>
      </c>
      <c r="AK32" s="319">
        <f>M32/'Population &amp; Income'!M31</f>
        <v>9304.8134857983132</v>
      </c>
      <c r="AL32" s="319">
        <f>N32/'Population &amp; Income'!N31</f>
        <v>9361.6271464193869</v>
      </c>
      <c r="AM32" s="319">
        <f>O32/'Population &amp; Income'!O31</f>
        <v>10084.127671734894</v>
      </c>
      <c r="AN32" s="319">
        <f>P32/'Population &amp; Income'!P31</f>
        <v>10261.154582134805</v>
      </c>
      <c r="AO32" s="319">
        <f>Q32/'Population &amp; Income'!Q31</f>
        <v>9743.1397548147579</v>
      </c>
      <c r="AP32" s="319">
        <f>R32/'Population &amp; Income'!R31</f>
        <v>9913.8621707882539</v>
      </c>
      <c r="AQ32" s="319">
        <f>S32/'Population &amp; Income'!S31</f>
        <v>10253.914791277259</v>
      </c>
      <c r="AR32" s="697">
        <f>T32/'Population &amp; Income'!T31</f>
        <v>10180.227410537958</v>
      </c>
      <c r="AS32" s="697">
        <f>U32/'Population &amp; Income'!U31</f>
        <v>10694.766422301305</v>
      </c>
      <c r="AT32" s="697">
        <f>V32/'Population &amp; Income'!V31</f>
        <v>11924.733939586142</v>
      </c>
      <c r="AU32" s="697">
        <f>W32/'Population &amp; Income'!W31</f>
        <v>10876.225561646012</v>
      </c>
      <c r="AV32" s="690"/>
      <c r="AW32" s="486"/>
      <c r="AX32" s="13" t="s">
        <v>23</v>
      </c>
      <c r="AY32" s="40">
        <f t="shared" si="0"/>
        <v>9.9824787979320984E-2</v>
      </c>
      <c r="AZ32" s="40">
        <f t="shared" si="1"/>
        <v>8.9295802633154953E-2</v>
      </c>
      <c r="BA32" s="40">
        <f t="shared" si="2"/>
        <v>8.1216083918534465E-2</v>
      </c>
      <c r="BB32" s="40">
        <f t="shared" si="3"/>
        <v>-1.5748606328796929E-2</v>
      </c>
      <c r="BC32" s="40">
        <f t="shared" si="4"/>
        <v>3.5191251520783562E-2</v>
      </c>
      <c r="BD32" s="40">
        <f t="shared" si="5"/>
        <v>5.1251072214273899E-2</v>
      </c>
      <c r="BE32" s="40">
        <f t="shared" si="6"/>
        <v>4.5180841390365468E-2</v>
      </c>
      <c r="BF32" s="40">
        <f t="shared" si="7"/>
        <v>5.7377570938716246E-2</v>
      </c>
      <c r="BG32" s="40">
        <f t="shared" si="8"/>
        <v>-1.7385323873941504E-2</v>
      </c>
      <c r="BH32" s="40">
        <f t="shared" si="9"/>
        <v>6.1591899984704948E-2</v>
      </c>
      <c r="BI32" s="40">
        <f t="shared" si="10"/>
        <v>1.1963200121329218E-2</v>
      </c>
      <c r="BJ32" s="40">
        <f t="shared" si="11"/>
        <v>-7.4636737597067013E-4</v>
      </c>
      <c r="BK32" s="40">
        <f t="shared" si="12"/>
        <v>7.6505306329074138E-2</v>
      </c>
      <c r="BL32" s="40">
        <f t="shared" si="13"/>
        <v>2.0569982663490898E-2</v>
      </c>
      <c r="BM32" s="40">
        <f t="shared" si="14"/>
        <v>-4.5611126275988838E-2</v>
      </c>
      <c r="BN32" s="40">
        <f t="shared" si="15"/>
        <v>1.838802887273153E-2</v>
      </c>
      <c r="BO32" s="40">
        <f t="shared" si="16"/>
        <v>2.6307670619519784E-2</v>
      </c>
      <c r="BP32" s="691">
        <f t="shared" si="17"/>
        <v>-2.1181539551914003E-2</v>
      </c>
      <c r="BQ32" s="691">
        <f t="shared" si="18"/>
        <v>4.9381148506467132E-2</v>
      </c>
      <c r="BR32" s="691">
        <f t="shared" si="19"/>
        <v>0.11218480210509681</v>
      </c>
      <c r="BS32" s="691">
        <f t="shared" si="20"/>
        <v>-8.9734995685914046E-2</v>
      </c>
      <c r="BT32" s="40"/>
      <c r="BV32" s="13" t="s">
        <v>23</v>
      </c>
      <c r="BW32" s="40">
        <f t="shared" si="21"/>
        <v>9.9824787979320984E-2</v>
      </c>
      <c r="BX32" s="40">
        <f t="shared" si="22"/>
        <v>0.19803452517777392</v>
      </c>
      <c r="BY32" s="40">
        <f t="shared" si="23"/>
        <v>0.2953341977119136</v>
      </c>
      <c r="BZ32" s="40">
        <f t="shared" si="24"/>
        <v>0.27493448936792064</v>
      </c>
      <c r="CA32" s="40">
        <f t="shared" si="25"/>
        <v>0.31980102965578894</v>
      </c>
      <c r="CB32" s="40">
        <f t="shared" si="26"/>
        <v>0.38744224753515077</v>
      </c>
      <c r="CC32" s="40">
        <f t="shared" si="27"/>
        <v>0.45012805565932862</v>
      </c>
      <c r="CD32" s="40">
        <f t="shared" si="28"/>
        <v>0.53333288104314447</v>
      </c>
      <c r="CE32" s="40">
        <f t="shared" si="29"/>
        <v>0.50667539229964553</v>
      </c>
      <c r="CF32" s="40">
        <f t="shared" si="30"/>
        <v>0.5994743923715814</v>
      </c>
      <c r="CG32" s="40">
        <f t="shared" si="31"/>
        <v>0.61860922461646406</v>
      </c>
      <c r="CH32" s="40">
        <f t="shared" si="32"/>
        <v>0.61740114749676511</v>
      </c>
      <c r="CI32" s="40">
        <f t="shared" si="33"/>
        <v>0.74114091774300117</v>
      </c>
      <c r="CJ32" s="40">
        <f t="shared" si="34"/>
        <v>0.77695615623566938</v>
      </c>
      <c r="CK32" s="40">
        <f t="shared" si="35"/>
        <v>0.69590718460670853</v>
      </c>
      <c r="CL32" s="40">
        <f t="shared" si="36"/>
        <v>0.72709157488272946</v>
      </c>
      <c r="CM32" s="40">
        <f t="shared" si="37"/>
        <v>0.77252733116449201</v>
      </c>
      <c r="CN32" s="691">
        <f t="shared" si="38"/>
        <v>0.73498247339258282</v>
      </c>
      <c r="CO32" s="691">
        <f t="shared" si="39"/>
        <v>0.82065790056729959</v>
      </c>
      <c r="CP32" s="691">
        <f t="shared" si="40"/>
        <v>1.0249080468435232</v>
      </c>
      <c r="CQ32" s="691">
        <f t="shared" si="41"/>
        <v>0.84320293199564689</v>
      </c>
    </row>
    <row r="33" spans="1:95">
      <c r="A33" s="13" t="s">
        <v>24</v>
      </c>
      <c r="B33" s="319">
        <v>99531782.040000007</v>
      </c>
      <c r="C33" s="319">
        <v>99000255.310000002</v>
      </c>
      <c r="D33" s="319">
        <v>97295152.379999995</v>
      </c>
      <c r="E33" s="319">
        <v>103381075.3</v>
      </c>
      <c r="F33" s="319">
        <v>103751712.06</v>
      </c>
      <c r="G33" s="319">
        <v>104008150.65000001</v>
      </c>
      <c r="H33" s="319">
        <v>106106945.39</v>
      </c>
      <c r="I33" s="319">
        <v>109853830.95999999</v>
      </c>
      <c r="J33" s="319">
        <v>114937187.97</v>
      </c>
      <c r="K33" s="319">
        <v>119389879.05</v>
      </c>
      <c r="L33" s="319">
        <v>127513248.67</v>
      </c>
      <c r="M33" s="319">
        <v>127436416.03</v>
      </c>
      <c r="N33" s="319">
        <v>131854196.23</v>
      </c>
      <c r="O33" s="319">
        <v>132407379.7</v>
      </c>
      <c r="P33" s="319">
        <v>131703580.23</v>
      </c>
      <c r="Q33" s="319">
        <v>132319991.68000001</v>
      </c>
      <c r="R33" s="319">
        <v>138900498.24000001</v>
      </c>
      <c r="S33" s="319">
        <v>139324873.09999999</v>
      </c>
      <c r="T33" s="677">
        <v>142546858.55000001</v>
      </c>
      <c r="U33" s="677">
        <v>141992269.74000001</v>
      </c>
      <c r="V33" s="678">
        <v>145079234.61000001</v>
      </c>
      <c r="W33" s="809">
        <v>158361612.63999999</v>
      </c>
      <c r="X33" s="811"/>
      <c r="Y33" s="13" t="s">
        <v>24</v>
      </c>
      <c r="Z33" s="319">
        <f>B33/'Population &amp; Income'!B32</f>
        <v>6879.4430494885264</v>
      </c>
      <c r="AA33" s="319">
        <f>C33/'Population &amp; Income'!C32</f>
        <v>6793.4025464900842</v>
      </c>
      <c r="AB33" s="319">
        <f>D33/'Population &amp; Income'!D32</f>
        <v>6634.5143116263207</v>
      </c>
      <c r="AC33" s="319">
        <f>E33/'Population &amp; Income'!E32</f>
        <v>6969.6673161194631</v>
      </c>
      <c r="AD33" s="319">
        <f>F33/'Population &amp; Income'!F32</f>
        <v>6941.3067545326821</v>
      </c>
      <c r="AE33" s="319">
        <f>G33/'Population &amp; Income'!G32</f>
        <v>6893.4352233563104</v>
      </c>
      <c r="AF33" s="319">
        <f>H33/'Population &amp; Income'!H32</f>
        <v>7104.5828851690658</v>
      </c>
      <c r="AG33" s="319">
        <f>I33/'Population &amp; Income'!I32</f>
        <v>7299.2578710963453</v>
      </c>
      <c r="AH33" s="319">
        <f>J33/'Population &amp; Income'!J32</f>
        <v>7583.1093204459985</v>
      </c>
      <c r="AI33" s="319">
        <f>K33/'Population &amp; Income'!K32</f>
        <v>7825.2526086386579</v>
      </c>
      <c r="AJ33" s="319">
        <f>L33/'Population &amp; Income'!L32</f>
        <v>8269.877986250729</v>
      </c>
      <c r="AK33" s="319">
        <f>M33/'Population &amp; Income'!M32</f>
        <v>8305.2930155109498</v>
      </c>
      <c r="AL33" s="319">
        <f>N33/'Population &amp; Income'!N32</f>
        <v>8509.4673268796396</v>
      </c>
      <c r="AM33" s="319">
        <f>O33/'Population &amp; Income'!O32</f>
        <v>8518.2308093154916</v>
      </c>
      <c r="AN33" s="319">
        <f>P33/'Population &amp; Income'!P32</f>
        <v>8385.5583999745322</v>
      </c>
      <c r="AO33" s="319">
        <f>Q33/'Population &amp; Income'!Q32</f>
        <v>8490.2144164260517</v>
      </c>
      <c r="AP33" s="319">
        <f>R33/'Population &amp; Income'!R32</f>
        <v>8877.1328842589646</v>
      </c>
      <c r="AQ33" s="319">
        <f>S33/'Population &amp; Income'!S32</f>
        <v>8857.271017164654</v>
      </c>
      <c r="AR33" s="697">
        <f>T33/'Population &amp; Income'!T32</f>
        <v>9151.1111606856266</v>
      </c>
      <c r="AS33" s="697">
        <f>U33/'Population &amp; Income'!U32</f>
        <v>9092.7426831454923</v>
      </c>
      <c r="AT33" s="697">
        <f>V33/'Population &amp; Income'!V32</f>
        <v>9428.6888028855537</v>
      </c>
      <c r="AU33" s="697">
        <f>W33/'Population &amp; Income'!W32</f>
        <v>10230.078335917311</v>
      </c>
      <c r="AV33" s="690"/>
      <c r="AW33" s="486"/>
      <c r="AX33" s="13" t="s">
        <v>24</v>
      </c>
      <c r="AY33" s="40">
        <f t="shared" si="0"/>
        <v>-5.3402714098537219E-3</v>
      </c>
      <c r="AZ33" s="40">
        <f t="shared" si="1"/>
        <v>-1.7223217502427744E-2</v>
      </c>
      <c r="BA33" s="40">
        <f t="shared" si="2"/>
        <v>6.2551142283333583E-2</v>
      </c>
      <c r="BB33" s="40">
        <f t="shared" si="3"/>
        <v>3.5851509468677908E-3</v>
      </c>
      <c r="BC33" s="40">
        <f t="shared" si="4"/>
        <v>2.4716564662730978E-3</v>
      </c>
      <c r="BD33" s="40">
        <f t="shared" si="5"/>
        <v>2.0179137181880028E-2</v>
      </c>
      <c r="BE33" s="40">
        <f t="shared" si="6"/>
        <v>3.531234978283633E-2</v>
      </c>
      <c r="BF33" s="40">
        <f t="shared" si="7"/>
        <v>4.6273825551436241E-2</v>
      </c>
      <c r="BG33" s="40">
        <f t="shared" si="8"/>
        <v>3.8740212446838396E-2</v>
      </c>
      <c r="BH33" s="40">
        <f t="shared" si="9"/>
        <v>6.8040688914660599E-2</v>
      </c>
      <c r="BI33" s="40">
        <f t="shared" si="10"/>
        <v>-6.0254632990208636E-4</v>
      </c>
      <c r="BJ33" s="40">
        <f t="shared" si="11"/>
        <v>3.4666544600249954E-2</v>
      </c>
      <c r="BK33" s="40">
        <f t="shared" si="12"/>
        <v>4.1954180133566069E-3</v>
      </c>
      <c r="BL33" s="40">
        <f t="shared" si="13"/>
        <v>-5.3154096969113178E-3</v>
      </c>
      <c r="BM33" s="40">
        <f t="shared" si="14"/>
        <v>4.6802938000890743E-3</v>
      </c>
      <c r="BN33" s="40">
        <f t="shared" si="15"/>
        <v>4.9731763707438606E-2</v>
      </c>
      <c r="BO33" s="40">
        <f t="shared" si="16"/>
        <v>3.0552436123499429E-3</v>
      </c>
      <c r="BP33" s="691">
        <f t="shared" si="17"/>
        <v>2.3125701666259175E-2</v>
      </c>
      <c r="BQ33" s="691">
        <f t="shared" si="18"/>
        <v>-3.890571953961888E-3</v>
      </c>
      <c r="BR33" s="691">
        <f t="shared" si="19"/>
        <v>2.174037273756171E-2</v>
      </c>
      <c r="BS33" s="691">
        <f t="shared" si="20"/>
        <v>9.1552578600965717E-2</v>
      </c>
      <c r="BT33" s="40"/>
      <c r="BV33" s="13" t="s">
        <v>24</v>
      </c>
      <c r="BW33" s="40">
        <f t="shared" si="21"/>
        <v>-5.3402714098537219E-3</v>
      </c>
      <c r="BX33" s="40">
        <f t="shared" si="22"/>
        <v>-2.2471512256267558E-2</v>
      </c>
      <c r="BY33" s="40">
        <f t="shared" si="23"/>
        <v>3.8674011266602561E-2</v>
      </c>
      <c r="BZ33" s="40">
        <f t="shared" si="24"/>
        <v>4.2397814381581987E-2</v>
      </c>
      <c r="CA33" s="40">
        <f t="shared" si="25"/>
        <v>4.4974263679927164E-2</v>
      </c>
      <c r="CB33" s="40">
        <f t="shared" si="26"/>
        <v>6.606094269825849E-2</v>
      </c>
      <c r="CC33" s="40">
        <f t="shared" si="27"/>
        <v>0.10370605959663963</v>
      </c>
      <c r="CD33" s="40">
        <f t="shared" si="28"/>
        <v>0.15477876125847762</v>
      </c>
      <c r="CE33" s="40">
        <f t="shared" si="29"/>
        <v>0.19951513579872793</v>
      </c>
      <c r="CF33" s="40">
        <f t="shared" si="30"/>
        <v>0.28113097200203602</v>
      </c>
      <c r="CG33" s="40">
        <f t="shared" si="31"/>
        <v>0.28035903123673234</v>
      </c>
      <c r="CH33" s="40">
        <f t="shared" si="32"/>
        <v>0.3247446546974333</v>
      </c>
      <c r="CI33" s="40">
        <f t="shared" si="33"/>
        <v>0.3303025122848488</v>
      </c>
      <c r="CJ33" s="40">
        <f t="shared" si="34"/>
        <v>0.32323140941122441</v>
      </c>
      <c r="CK33" s="40">
        <f t="shared" si="35"/>
        <v>0.32942452117277493</v>
      </c>
      <c r="CL33" s="40">
        <f t="shared" si="36"/>
        <v>0.39553914732661405</v>
      </c>
      <c r="CM33" s="40">
        <f t="shared" si="37"/>
        <v>0.39980285939226801</v>
      </c>
      <c r="CN33" s="691">
        <f t="shared" si="38"/>
        <v>0.43217428271015013</v>
      </c>
      <c r="CO33" s="691">
        <f t="shared" si="39"/>
        <v>0.42660230561265255</v>
      </c>
      <c r="CP33" s="691">
        <f t="shared" si="40"/>
        <v>0.45761717148493652</v>
      </c>
      <c r="CQ33" s="691">
        <f t="shared" si="41"/>
        <v>0.59106578214742844</v>
      </c>
    </row>
    <row r="34" spans="1:95">
      <c r="A34" s="13" t="s">
        <v>25</v>
      </c>
      <c r="B34" s="319">
        <v>42463213.32</v>
      </c>
      <c r="C34" s="319">
        <v>44917837.079999998</v>
      </c>
      <c r="D34" s="319">
        <v>48110757.549999997</v>
      </c>
      <c r="E34" s="319">
        <v>51018073.939999998</v>
      </c>
      <c r="F34" s="319">
        <v>52143103.789999999</v>
      </c>
      <c r="G34" s="319">
        <v>54731745.479999997</v>
      </c>
      <c r="H34" s="319">
        <v>54536004.090000004</v>
      </c>
      <c r="I34" s="319">
        <v>57557603.030000001</v>
      </c>
      <c r="J34" s="319">
        <v>69337347.549999997</v>
      </c>
      <c r="K34" s="319">
        <v>74267766.969999999</v>
      </c>
      <c r="L34" s="319">
        <v>76783749.329999998</v>
      </c>
      <c r="M34" s="319">
        <v>78632844.049999997</v>
      </c>
      <c r="N34" s="319">
        <v>78498520.769999996</v>
      </c>
      <c r="O34" s="319">
        <v>77984153.640000001</v>
      </c>
      <c r="P34" s="319">
        <v>78308913.319999993</v>
      </c>
      <c r="Q34" s="319">
        <v>77236417.480000004</v>
      </c>
      <c r="R34" s="319">
        <v>77858986.400000006</v>
      </c>
      <c r="S34" s="319">
        <v>76994912.900000006</v>
      </c>
      <c r="T34" s="677">
        <v>81610376.370000005</v>
      </c>
      <c r="U34" s="677">
        <v>82890586.829999998</v>
      </c>
      <c r="V34" s="678">
        <v>84303924.819999993</v>
      </c>
      <c r="W34" s="809">
        <v>84368613.890000001</v>
      </c>
      <c r="X34" s="811"/>
      <c r="Y34" s="13" t="s">
        <v>25</v>
      </c>
      <c r="Z34" s="319">
        <f>B34/'Population &amp; Income'!B33</f>
        <v>3359.1656767660788</v>
      </c>
      <c r="AA34" s="319">
        <f>C34/'Population &amp; Income'!C33</f>
        <v>3523.7967427630028</v>
      </c>
      <c r="AB34" s="319">
        <f>D34/'Population &amp; Income'!D33</f>
        <v>3711.6770212930101</v>
      </c>
      <c r="AC34" s="319">
        <f>E34/'Population &amp; Income'!E33</f>
        <v>3934.7581320376366</v>
      </c>
      <c r="AD34" s="319">
        <f>F34/'Population &amp; Income'!F33</f>
        <v>3981.3013506909979</v>
      </c>
      <c r="AE34" s="319">
        <f>G34/'Population &amp; Income'!G33</f>
        <v>4187.5857291507264</v>
      </c>
      <c r="AF34" s="319">
        <f>H34/'Population &amp; Income'!H33</f>
        <v>4109.7214837980409</v>
      </c>
      <c r="AG34" s="319">
        <f>I34/'Population &amp; Income'!I33</f>
        <v>4347.5793511594529</v>
      </c>
      <c r="AH34" s="319">
        <f>J34/'Population &amp; Income'!J33</f>
        <v>5185.2638012264433</v>
      </c>
      <c r="AI34" s="319">
        <f>K34/'Population &amp; Income'!K33</f>
        <v>5511.9316439067834</v>
      </c>
      <c r="AJ34" s="319">
        <f>L34/'Population &amp; Income'!L33</f>
        <v>5657.0949185883737</v>
      </c>
      <c r="AK34" s="319">
        <f>M34/'Population &amp; Income'!M33</f>
        <v>5766.1394771577325</v>
      </c>
      <c r="AL34" s="319">
        <f>N34/'Population &amp; Income'!N33</f>
        <v>5688.2986065217392</v>
      </c>
      <c r="AM34" s="319">
        <f>O34/'Population &amp; Income'!O33</f>
        <v>5653.8935431015734</v>
      </c>
      <c r="AN34" s="319">
        <f>P34/'Population &amp; Income'!P33</f>
        <v>5739.8602448141901</v>
      </c>
      <c r="AO34" s="319">
        <f>Q34/'Population &amp; Income'!Q33</f>
        <v>5666.6483844460754</v>
      </c>
      <c r="AP34" s="319">
        <f>R34/'Population &amp; Income'!R33</f>
        <v>5731.2466985645933</v>
      </c>
      <c r="AQ34" s="319">
        <f>S34/'Population &amp; Income'!S33</f>
        <v>5696.9968849426568</v>
      </c>
      <c r="AR34" s="697">
        <f>T34/'Population &amp; Income'!T33</f>
        <v>6024.6845098183967</v>
      </c>
      <c r="AS34" s="697">
        <f>U34/'Population &amp; Income'!U33</f>
        <v>6198.8174416691591</v>
      </c>
      <c r="AT34" s="697">
        <f>V34/'Population &amp; Income'!V33</f>
        <v>6311.1187917352891</v>
      </c>
      <c r="AU34" s="697">
        <f>W34/'Population &amp; Income'!W33</f>
        <v>6343.5048037593988</v>
      </c>
      <c r="AV34" s="690"/>
      <c r="AW34" s="486"/>
      <c r="AX34" s="13" t="s">
        <v>25</v>
      </c>
      <c r="AY34" s="40">
        <f t="shared" si="0"/>
        <v>5.7805888157877121E-2</v>
      </c>
      <c r="AZ34" s="40">
        <f t="shared" si="1"/>
        <v>7.1083575647538699E-2</v>
      </c>
      <c r="BA34" s="40">
        <f t="shared" si="2"/>
        <v>6.042965311819333E-2</v>
      </c>
      <c r="BB34" s="40">
        <f t="shared" si="3"/>
        <v>2.2051593937534711E-2</v>
      </c>
      <c r="BC34" s="40">
        <f t="shared" si="4"/>
        <v>4.9644948264403993E-2</v>
      </c>
      <c r="BD34" s="40">
        <f t="shared" si="5"/>
        <v>-3.5763776266101491E-3</v>
      </c>
      <c r="BE34" s="40">
        <f t="shared" si="6"/>
        <v>5.5405580046046191E-2</v>
      </c>
      <c r="BF34" s="40">
        <f t="shared" si="7"/>
        <v>0.20466009527638238</v>
      </c>
      <c r="BG34" s="40">
        <f t="shared" si="8"/>
        <v>7.1107701609794308E-2</v>
      </c>
      <c r="BH34" s="40">
        <f t="shared" si="9"/>
        <v>3.3877177982425601E-2</v>
      </c>
      <c r="BI34" s="40">
        <f t="shared" si="10"/>
        <v>2.4081849820239806E-2</v>
      </c>
      <c r="BJ34" s="40">
        <f t="shared" si="11"/>
        <v>-1.7082337746119104E-3</v>
      </c>
      <c r="BK34" s="40">
        <f t="shared" si="12"/>
        <v>-6.5525709905679191E-3</v>
      </c>
      <c r="BL34" s="40">
        <f t="shared" si="13"/>
        <v>4.1644316805589457E-3</v>
      </c>
      <c r="BM34" s="40">
        <f t="shared" si="14"/>
        <v>-1.3695705821090415E-2</v>
      </c>
      <c r="BN34" s="40">
        <f t="shared" si="15"/>
        <v>8.0605618477994911E-3</v>
      </c>
      <c r="BO34" s="40">
        <f t="shared" si="16"/>
        <v>-1.109792896045202E-2</v>
      </c>
      <c r="BP34" s="691">
        <f t="shared" si="17"/>
        <v>5.9945044369288436E-2</v>
      </c>
      <c r="BQ34" s="691">
        <f t="shared" si="18"/>
        <v>1.5686858913575592E-2</v>
      </c>
      <c r="BR34" s="691">
        <f t="shared" si="19"/>
        <v>1.7050645242729482E-2</v>
      </c>
      <c r="BS34" s="691">
        <f t="shared" si="20"/>
        <v>7.6733165316000948E-4</v>
      </c>
      <c r="BT34" s="40"/>
      <c r="BV34" s="13" t="s">
        <v>25</v>
      </c>
      <c r="BW34" s="40">
        <f t="shared" si="21"/>
        <v>5.7805888157877121E-2</v>
      </c>
      <c r="BX34" s="40">
        <f t="shared" si="22"/>
        <v>0.13299851302915944</v>
      </c>
      <c r="BY34" s="40">
        <f t="shared" si="23"/>
        <v>0.20146522015494039</v>
      </c>
      <c r="BZ34" s="40">
        <f t="shared" si="24"/>
        <v>0.22795944331986787</v>
      </c>
      <c r="CA34" s="40">
        <f t="shared" si="25"/>
        <v>0.28892142635426904</v>
      </c>
      <c r="CB34" s="40">
        <f t="shared" si="26"/>
        <v>0.28431175660259722</v>
      </c>
      <c r="CC34" s="40">
        <f t="shared" si="27"/>
        <v>0.35546979443712057</v>
      </c>
      <c r="CD34" s="40">
        <f t="shared" si="28"/>
        <v>0.63288037171088019</v>
      </c>
      <c r="CE34" s="40">
        <f t="shared" si="29"/>
        <v>0.74899074194698745</v>
      </c>
      <c r="CF34" s="40">
        <f t="shared" si="30"/>
        <v>0.80824161260154015</v>
      </c>
      <c r="CG34" s="40">
        <f t="shared" si="31"/>
        <v>0.85178741555491866</v>
      </c>
      <c r="CH34" s="40">
        <f t="shared" si="32"/>
        <v>0.8486241297482664</v>
      </c>
      <c r="CI34" s="40">
        <f t="shared" si="33"/>
        <v>0.83651088890321412</v>
      </c>
      <c r="CJ34" s="40">
        <f t="shared" si="34"/>
        <v>0.84415891303065405</v>
      </c>
      <c r="CK34" s="40">
        <f t="shared" si="35"/>
        <v>0.81890185507044444</v>
      </c>
      <c r="CL34" s="40">
        <f t="shared" si="36"/>
        <v>0.83356322596831689</v>
      </c>
      <c r="CM34" s="40">
        <f t="shared" si="37"/>
        <v>0.81321447154202331</v>
      </c>
      <c r="CN34" s="691">
        <f t="shared" si="38"/>
        <v>0.92190769348964574</v>
      </c>
      <c r="CO34" s="691">
        <f t="shared" si="39"/>
        <v>0.9520563883223333</v>
      </c>
      <c r="CP34" s="691">
        <f t="shared" si="40"/>
        <v>0.98534020929342125</v>
      </c>
      <c r="CQ34" s="691">
        <f t="shared" si="41"/>
        <v>0.98686362367830338</v>
      </c>
    </row>
    <row r="35" spans="1:95">
      <c r="A35" s="13" t="s">
        <v>26</v>
      </c>
      <c r="B35" s="319">
        <v>199982557.09999999</v>
      </c>
      <c r="C35" s="319">
        <v>206361578.19999999</v>
      </c>
      <c r="D35" s="319">
        <v>213638078.30000001</v>
      </c>
      <c r="E35" s="319">
        <v>218405855.87</v>
      </c>
      <c r="F35" s="319">
        <v>224772564.53</v>
      </c>
      <c r="G35" s="319">
        <v>225361977.06</v>
      </c>
      <c r="H35" s="319">
        <v>224655178.09999999</v>
      </c>
      <c r="I35" s="319">
        <v>224641602.81</v>
      </c>
      <c r="J35" s="319">
        <v>235586761.30000001</v>
      </c>
      <c r="K35" s="319">
        <v>240479816.08000001</v>
      </c>
      <c r="L35" s="319">
        <v>245502667.96000001</v>
      </c>
      <c r="M35" s="319">
        <v>247798616.63</v>
      </c>
      <c r="N35" s="319">
        <v>255529151.80000001</v>
      </c>
      <c r="O35" s="319">
        <v>257737948.31</v>
      </c>
      <c r="P35" s="319">
        <v>256068160.21000001</v>
      </c>
      <c r="Q35" s="319">
        <v>260435735.21000001</v>
      </c>
      <c r="R35" s="319">
        <v>272267116.45999998</v>
      </c>
      <c r="S35" s="319">
        <v>278769879.12</v>
      </c>
      <c r="T35" s="677">
        <v>284427189.20999998</v>
      </c>
      <c r="U35" s="677">
        <v>283091089.91000003</v>
      </c>
      <c r="V35" s="678">
        <v>278506061.99000001</v>
      </c>
      <c r="W35" s="809">
        <v>276995097.37</v>
      </c>
      <c r="X35" s="811"/>
      <c r="Y35" s="13" t="s">
        <v>26</v>
      </c>
      <c r="Z35" s="319">
        <f>B35/'Population &amp; Income'!B34</f>
        <v>5960.9096277087247</v>
      </c>
      <c r="AA35" s="319">
        <f>C35/'Population &amp; Income'!C34</f>
        <v>6170.5462488413114</v>
      </c>
      <c r="AB35" s="319">
        <f>D35/'Population &amp; Income'!D34</f>
        <v>6403.6352227084708</v>
      </c>
      <c r="AC35" s="319">
        <f>E35/'Population &amp; Income'!E34</f>
        <v>6565.8326079244835</v>
      </c>
      <c r="AD35" s="319">
        <f>F35/'Population &amp; Income'!F34</f>
        <v>6780.8786210329436</v>
      </c>
      <c r="AE35" s="319">
        <f>G35/'Population &amp; Income'!G34</f>
        <v>6827.9093819305581</v>
      </c>
      <c r="AF35" s="319">
        <f>H35/'Population &amp; Income'!H34</f>
        <v>6834.4491527486234</v>
      </c>
      <c r="AG35" s="319">
        <f>I35/'Population &amp; Income'!I34</f>
        <v>6864.9452314885557</v>
      </c>
      <c r="AH35" s="319">
        <f>J35/'Population &amp; Income'!J34</f>
        <v>7266.7107125231341</v>
      </c>
      <c r="AI35" s="319">
        <f>K35/'Population &amp; Income'!K34</f>
        <v>7380.9832749148281</v>
      </c>
      <c r="AJ35" s="319">
        <f>L35/'Population &amp; Income'!L34</f>
        <v>7580.0502642954179</v>
      </c>
      <c r="AK35" s="319">
        <f>M35/'Population &amp; Income'!M34</f>
        <v>7682.4869517904199</v>
      </c>
      <c r="AL35" s="319">
        <f>N35/'Population &amp; Income'!N34</f>
        <v>7946.0523602214071</v>
      </c>
      <c r="AM35" s="319">
        <f>O35/'Population &amp; Income'!O34</f>
        <v>8060.1040844982335</v>
      </c>
      <c r="AN35" s="319">
        <f>P35/'Population &amp; Income'!P34</f>
        <v>8022.4367997117706</v>
      </c>
      <c r="AO35" s="319">
        <f>Q35/'Population &amp; Income'!Q34</f>
        <v>8146.2538382858929</v>
      </c>
      <c r="AP35" s="319">
        <f>R35/'Population &amp; Income'!R34</f>
        <v>8554.8644649029084</v>
      </c>
      <c r="AQ35" s="319">
        <f>S35/'Population &amp; Income'!S34</f>
        <v>8790.6747956609488</v>
      </c>
      <c r="AR35" s="697">
        <f>T35/'Population &amp; Income'!T34</f>
        <v>9070.3230183685173</v>
      </c>
      <c r="AS35" s="697">
        <f>U35/'Population &amp; Income'!U34</f>
        <v>9168.348282216537</v>
      </c>
      <c r="AT35" s="697">
        <f>V35/'Population &amp; Income'!V34</f>
        <v>9120.8797114786321</v>
      </c>
      <c r="AU35" s="697">
        <f>W35/'Population &amp; Income'!W34</f>
        <v>9196.6897098177233</v>
      </c>
      <c r="AV35" s="690"/>
      <c r="AW35" s="486"/>
      <c r="AX35" s="13" t="s">
        <v>26</v>
      </c>
      <c r="AY35" s="40">
        <f t="shared" si="0"/>
        <v>3.1897887458305706E-2</v>
      </c>
      <c r="AZ35" s="40">
        <f t="shared" si="1"/>
        <v>3.5260924845941233E-2</v>
      </c>
      <c r="BA35" s="40">
        <f t="shared" si="2"/>
        <v>2.2317077591874186E-2</v>
      </c>
      <c r="BB35" s="40">
        <f t="shared" si="3"/>
        <v>2.9150814819679571E-2</v>
      </c>
      <c r="BC35" s="40">
        <f t="shared" si="4"/>
        <v>2.622261890513481E-3</v>
      </c>
      <c r="BD35" s="40">
        <f t="shared" si="5"/>
        <v>-3.13628309984089E-3</v>
      </c>
      <c r="BE35" s="40">
        <f t="shared" si="6"/>
        <v>-6.0427229475872274E-5</v>
      </c>
      <c r="BF35" s="40">
        <f t="shared" si="7"/>
        <v>4.8722758176086081E-2</v>
      </c>
      <c r="BG35" s="40">
        <f t="shared" si="8"/>
        <v>2.0769650862380615E-2</v>
      </c>
      <c r="BH35" s="40">
        <f t="shared" si="9"/>
        <v>2.0886791922400054E-2</v>
      </c>
      <c r="BI35" s="40">
        <f t="shared" si="10"/>
        <v>9.3520314425832151E-3</v>
      </c>
      <c r="BJ35" s="40">
        <f t="shared" si="11"/>
        <v>3.1196845547942866E-2</v>
      </c>
      <c r="BK35" s="40">
        <f t="shared" si="12"/>
        <v>8.6440098690923235E-3</v>
      </c>
      <c r="BL35" s="40">
        <f t="shared" si="13"/>
        <v>-6.4786272683121527E-3</v>
      </c>
      <c r="BM35" s="40">
        <f t="shared" si="14"/>
        <v>1.705629859025885E-2</v>
      </c>
      <c r="BN35" s="40">
        <f t="shared" si="15"/>
        <v>4.5429177529957024E-2</v>
      </c>
      <c r="BO35" s="40">
        <f t="shared" si="16"/>
        <v>2.3883760714656033E-2</v>
      </c>
      <c r="BP35" s="691">
        <f t="shared" si="17"/>
        <v>2.0293835574555434E-2</v>
      </c>
      <c r="BQ35" s="691">
        <f t="shared" si="18"/>
        <v>-4.6975090662428739E-3</v>
      </c>
      <c r="BR35" s="691">
        <f t="shared" si="19"/>
        <v>-1.6196298942003733E-2</v>
      </c>
      <c r="BS35" s="691">
        <f t="shared" si="20"/>
        <v>-5.4252485895774048E-3</v>
      </c>
      <c r="BT35" s="40"/>
      <c r="BV35" s="13" t="s">
        <v>26</v>
      </c>
      <c r="BW35" s="40">
        <f t="shared" si="21"/>
        <v>3.1897887458305706E-2</v>
      </c>
      <c r="BX35" s="40">
        <f t="shared" si="22"/>
        <v>6.8283561316658539E-2</v>
      </c>
      <c r="BY35" s="40">
        <f t="shared" si="23"/>
        <v>9.2124528444686091E-2</v>
      </c>
      <c r="BZ35" s="40">
        <f t="shared" si="24"/>
        <v>0.12396084833340701</v>
      </c>
      <c r="CA35" s="40">
        <f t="shared" si="25"/>
        <v>0.12690816803242091</v>
      </c>
      <c r="CB35" s="40">
        <f t="shared" si="26"/>
        <v>0.12337386498994816</v>
      </c>
      <c r="CC35" s="40">
        <f t="shared" si="27"/>
        <v>0.12330598261962122</v>
      </c>
      <c r="CD35" s="40">
        <f t="shared" si="28"/>
        <v>0.17803654836854779</v>
      </c>
      <c r="CE35" s="40">
        <f t="shared" si="29"/>
        <v>0.20250395618128647</v>
      </c>
      <c r="CF35" s="40">
        <f t="shared" si="30"/>
        <v>0.22762040609990788</v>
      </c>
      <c r="CG35" s="40">
        <f t="shared" si="31"/>
        <v>0.239101150737311</v>
      </c>
      <c r="CH35" s="40">
        <f t="shared" si="32"/>
        <v>0.27775719795514114</v>
      </c>
      <c r="CI35" s="40">
        <f t="shared" si="33"/>
        <v>0.28880214378456914</v>
      </c>
      <c r="CJ35" s="40">
        <f t="shared" si="34"/>
        <v>0.2804524750723873</v>
      </c>
      <c r="CK35" s="40">
        <f t="shared" si="35"/>
        <v>0.30229225481785787</v>
      </c>
      <c r="CL35" s="40">
        <f t="shared" si="36"/>
        <v>0.36145432085786638</v>
      </c>
      <c r="CM35" s="40">
        <f t="shared" si="37"/>
        <v>0.39397097008117021</v>
      </c>
      <c r="CN35" s="691">
        <f t="shared" si="38"/>
        <v>0.42225998774370099</v>
      </c>
      <c r="CO35" s="691">
        <f t="shared" si="39"/>
        <v>0.41557890855672047</v>
      </c>
      <c r="CP35" s="691">
        <f t="shared" si="40"/>
        <v>0.39265176937774049</v>
      </c>
      <c r="CQ35" s="691">
        <f t="shared" si="41"/>
        <v>0.38509628733015144</v>
      </c>
    </row>
    <row r="36" spans="1:95">
      <c r="A36" s="13" t="s">
        <v>27</v>
      </c>
      <c r="B36" s="319">
        <v>98221861.640000001</v>
      </c>
      <c r="C36" s="319">
        <v>108892090</v>
      </c>
      <c r="D36" s="319">
        <v>105602722.2</v>
      </c>
      <c r="E36" s="319">
        <v>110039753.98999999</v>
      </c>
      <c r="F36" s="319">
        <v>114117272.31999999</v>
      </c>
      <c r="G36" s="319">
        <v>112613780.15000001</v>
      </c>
      <c r="H36" s="319">
        <v>117450033.70999999</v>
      </c>
      <c r="I36" s="319">
        <v>123671956.33</v>
      </c>
      <c r="J36" s="319">
        <v>123196953.56999999</v>
      </c>
      <c r="K36" s="319">
        <v>131042693.45999999</v>
      </c>
      <c r="L36" s="319">
        <v>147601354.24000001</v>
      </c>
      <c r="M36" s="319">
        <v>153626422.34</v>
      </c>
      <c r="N36" s="319">
        <v>153450251.11000001</v>
      </c>
      <c r="O36" s="319">
        <v>144975841.58000001</v>
      </c>
      <c r="P36" s="319">
        <v>148410023.59999999</v>
      </c>
      <c r="Q36" s="319">
        <v>152291400.72999999</v>
      </c>
      <c r="R36" s="319">
        <v>159752369.00999999</v>
      </c>
      <c r="S36" s="319">
        <v>157370199.36000001</v>
      </c>
      <c r="T36" s="677">
        <v>165308548.63999999</v>
      </c>
      <c r="U36" s="677">
        <v>167541471.25999999</v>
      </c>
      <c r="V36" s="678">
        <v>172857901.06999999</v>
      </c>
      <c r="W36" s="809">
        <v>176156560.19999999</v>
      </c>
      <c r="X36" s="811"/>
      <c r="Y36" s="13" t="s">
        <v>27</v>
      </c>
      <c r="Z36" s="319">
        <f>B36/'Population &amp; Income'!B35</f>
        <v>6652.7947466811165</v>
      </c>
      <c r="AA36" s="319">
        <f>C36/'Population &amp; Income'!C35</f>
        <v>7223.3558872305139</v>
      </c>
      <c r="AB36" s="319">
        <f>D36/'Population &amp; Income'!D35</f>
        <v>7034.0852727636047</v>
      </c>
      <c r="AC36" s="319">
        <f>E36/'Population &amp; Income'!E35</f>
        <v>7247.0860109325604</v>
      </c>
      <c r="AD36" s="319">
        <f>F36/'Population &amp; Income'!F35</f>
        <v>7422.7443944321576</v>
      </c>
      <c r="AE36" s="319">
        <f>G36/'Population &amp; Income'!G35</f>
        <v>7314.9581130237093</v>
      </c>
      <c r="AF36" s="319">
        <f>H36/'Population &amp; Income'!H35</f>
        <v>7623.1604926332184</v>
      </c>
      <c r="AG36" s="319">
        <f>I36/'Population &amp; Income'!I35</f>
        <v>7999.4797108667526</v>
      </c>
      <c r="AH36" s="319">
        <f>J36/'Population &amp; Income'!J35</f>
        <v>7966.6938418261761</v>
      </c>
      <c r="AI36" s="319">
        <f>K36/'Population &amp; Income'!K35</f>
        <v>8445.6492304717704</v>
      </c>
      <c r="AJ36" s="319">
        <f>L36/'Population &amp; Income'!L35</f>
        <v>9535.5871981394157</v>
      </c>
      <c r="AK36" s="319">
        <f>M36/'Population &amp; Income'!M35</f>
        <v>9943.457756634305</v>
      </c>
      <c r="AL36" s="319">
        <f>N36/'Population &amp; Income'!N35</f>
        <v>10023.531981840748</v>
      </c>
      <c r="AM36" s="319">
        <f>O36/'Population &amp; Income'!O35</f>
        <v>9535.3750052617743</v>
      </c>
      <c r="AN36" s="319">
        <f>P36/'Population &amp; Income'!P35</f>
        <v>9744.5846093237033</v>
      </c>
      <c r="AO36" s="319">
        <f>Q36/'Population &amp; Income'!Q35</f>
        <v>10096.890587416296</v>
      </c>
      <c r="AP36" s="319">
        <f>R36/'Population &amp; Income'!R35</f>
        <v>10670.07540809511</v>
      </c>
      <c r="AQ36" s="319">
        <f>S36/'Population &amp; Income'!S35</f>
        <v>10561.049551036844</v>
      </c>
      <c r="AR36" s="697">
        <f>T36/'Population &amp; Income'!T35</f>
        <v>11116.916519166105</v>
      </c>
      <c r="AS36" s="697">
        <f>U36/'Population &amp; Income'!U35</f>
        <v>11300.517419398353</v>
      </c>
      <c r="AT36" s="697">
        <f>V36/'Population &amp; Income'!V35</f>
        <v>11673.278030118854</v>
      </c>
      <c r="AU36" s="697">
        <f>W36/'Population &amp; Income'!W35</f>
        <v>11962.281692245007</v>
      </c>
      <c r="AV36" s="690"/>
      <c r="AW36" s="486"/>
      <c r="AX36" s="13" t="s">
        <v>27</v>
      </c>
      <c r="AY36" s="40">
        <f t="shared" si="0"/>
        <v>0.10863394545613704</v>
      </c>
      <c r="AZ36" s="40">
        <f t="shared" si="1"/>
        <v>-3.0207591754368907E-2</v>
      </c>
      <c r="BA36" s="40">
        <f t="shared" si="2"/>
        <v>4.2016263383786064E-2</v>
      </c>
      <c r="BB36" s="40">
        <f t="shared" si="3"/>
        <v>3.7054956796527809E-2</v>
      </c>
      <c r="BC36" s="40">
        <f t="shared" si="4"/>
        <v>-1.3174974650498087E-2</v>
      </c>
      <c r="BD36" s="40">
        <f t="shared" si="5"/>
        <v>4.2945486365506637E-2</v>
      </c>
      <c r="BE36" s="40">
        <f t="shared" si="6"/>
        <v>5.2975060316821809E-2</v>
      </c>
      <c r="BF36" s="40">
        <f t="shared" si="7"/>
        <v>-3.8408283825682519E-3</v>
      </c>
      <c r="BG36" s="40">
        <f t="shared" si="8"/>
        <v>6.3684528412807584E-2</v>
      </c>
      <c r="BH36" s="40">
        <f t="shared" si="9"/>
        <v>0.12636080915914971</v>
      </c>
      <c r="BI36" s="40">
        <f t="shared" si="10"/>
        <v>4.0819870054872427E-2</v>
      </c>
      <c r="BJ36" s="40">
        <f t="shared" si="11"/>
        <v>-1.1467508473906524E-3</v>
      </c>
      <c r="BK36" s="40">
        <f t="shared" si="12"/>
        <v>-5.5225778183478923E-2</v>
      </c>
      <c r="BL36" s="40">
        <f t="shared" si="13"/>
        <v>2.3687960577245166E-2</v>
      </c>
      <c r="BM36" s="40">
        <f t="shared" si="14"/>
        <v>2.6153065917307726E-2</v>
      </c>
      <c r="BN36" s="40">
        <f t="shared" si="15"/>
        <v>4.8991395733680845E-2</v>
      </c>
      <c r="BO36" s="40">
        <f t="shared" si="16"/>
        <v>-1.4911638961991606E-2</v>
      </c>
      <c r="BP36" s="691">
        <f t="shared" si="17"/>
        <v>5.0443789944246094E-2</v>
      </c>
      <c r="BQ36" s="691">
        <f t="shared" si="18"/>
        <v>1.350760525314842E-2</v>
      </c>
      <c r="BR36" s="691">
        <f t="shared" si="19"/>
        <v>3.1732022943439936E-2</v>
      </c>
      <c r="BS36" s="691">
        <f t="shared" si="20"/>
        <v>1.908306828661642E-2</v>
      </c>
      <c r="BT36" s="40"/>
      <c r="BV36" s="13" t="s">
        <v>27</v>
      </c>
      <c r="BW36" s="40">
        <f t="shared" si="21"/>
        <v>0.10863394545613704</v>
      </c>
      <c r="BX36" s="40">
        <f t="shared" si="22"/>
        <v>7.5144783826762762E-2</v>
      </c>
      <c r="BY36" s="40">
        <f t="shared" si="23"/>
        <v>0.12031835023973177</v>
      </c>
      <c r="BZ36" s="40">
        <f t="shared" si="24"/>
        <v>0.16183169830622232</v>
      </c>
      <c r="CA36" s="40">
        <f t="shared" si="25"/>
        <v>0.1465245951328927</v>
      </c>
      <c r="CB36" s="40">
        <f t="shared" si="26"/>
        <v>0.19576265150089037</v>
      </c>
      <c r="CC36" s="40">
        <f t="shared" si="27"/>
        <v>0.25910825008875282</v>
      </c>
      <c r="CD36" s="40">
        <f t="shared" si="28"/>
        <v>0.25427223138508609</v>
      </c>
      <c r="CE36" s="40">
        <f t="shared" si="29"/>
        <v>0.33414996694212518</v>
      </c>
      <c r="CF36" s="40">
        <f t="shared" si="30"/>
        <v>0.50273423630458491</v>
      </c>
      <c r="CG36" s="40">
        <f t="shared" si="31"/>
        <v>0.5640756525575461</v>
      </c>
      <c r="CH36" s="40">
        <f t="shared" si="32"/>
        <v>0.56228204747759258</v>
      </c>
      <c r="CI36" s="40">
        <f t="shared" si="33"/>
        <v>0.47600380566356382</v>
      </c>
      <c r="CJ36" s="40">
        <f t="shared" si="34"/>
        <v>0.51096732562398617</v>
      </c>
      <c r="CK36" s="40">
        <f t="shared" si="35"/>
        <v>0.55048375368992841</v>
      </c>
      <c r="CL36" s="40">
        <f t="shared" si="36"/>
        <v>0.62644411684559465</v>
      </c>
      <c r="CM36" s="40">
        <f t="shared" si="37"/>
        <v>0.60219116938333783</v>
      </c>
      <c r="CN36" s="691">
        <f t="shared" si="38"/>
        <v>0.68301176418223697</v>
      </c>
      <c r="CO36" s="691">
        <f t="shared" si="39"/>
        <v>0.70574522272921547</v>
      </c>
      <c r="CP36" s="691">
        <f t="shared" si="40"/>
        <v>0.7598719692725221</v>
      </c>
      <c r="CQ36" s="691">
        <f t="shared" si="41"/>
        <v>0.79345572623785166</v>
      </c>
    </row>
    <row r="37" spans="1:95">
      <c r="A37" s="13" t="s">
        <v>28</v>
      </c>
      <c r="B37" s="319">
        <v>32966817.41</v>
      </c>
      <c r="C37" s="319">
        <v>33185061.649999999</v>
      </c>
      <c r="D37" s="319">
        <v>34582622.520000003</v>
      </c>
      <c r="E37" s="319">
        <v>33781781.390000001</v>
      </c>
      <c r="F37" s="319">
        <v>34862900.409999996</v>
      </c>
      <c r="G37" s="319">
        <v>36758168.530000001</v>
      </c>
      <c r="H37" s="319">
        <v>36128450.009999998</v>
      </c>
      <c r="I37" s="319">
        <v>36670935.200000003</v>
      </c>
      <c r="J37" s="319">
        <v>41394041.590000004</v>
      </c>
      <c r="K37" s="319">
        <v>40963063.789999999</v>
      </c>
      <c r="L37" s="319">
        <v>43179942.609999999</v>
      </c>
      <c r="M37" s="319">
        <v>43619402.060000002</v>
      </c>
      <c r="N37" s="319">
        <v>47560688.420000002</v>
      </c>
      <c r="O37" s="319">
        <v>52775850.369999997</v>
      </c>
      <c r="P37" s="319">
        <v>47728201.890000001</v>
      </c>
      <c r="Q37" s="319">
        <v>47667030.409999996</v>
      </c>
      <c r="R37" s="319">
        <v>48126773.229999997</v>
      </c>
      <c r="S37" s="319">
        <v>48854912.020000003</v>
      </c>
      <c r="T37" s="677">
        <v>50252827.890000001</v>
      </c>
      <c r="U37" s="677">
        <v>48713990.899999999</v>
      </c>
      <c r="V37" s="678">
        <v>49421855.32</v>
      </c>
      <c r="W37" s="809">
        <v>50361663.759999998</v>
      </c>
      <c r="X37" s="811"/>
      <c r="Y37" s="13" t="s">
        <v>28</v>
      </c>
      <c r="Z37" s="319">
        <f>B37/'Population &amp; Income'!B36</f>
        <v>4810.5672566759085</v>
      </c>
      <c r="AA37" s="319">
        <f>C37/'Population &amp; Income'!C36</f>
        <v>4845.241882026573</v>
      </c>
      <c r="AB37" s="319">
        <f>D37/'Population &amp; Income'!D36</f>
        <v>5032.3955937136207</v>
      </c>
      <c r="AC37" s="319">
        <f>E37/'Population &amp; Income'!E36</f>
        <v>4952.6141900014663</v>
      </c>
      <c r="AD37" s="319">
        <f>F37/'Population &amp; Income'!F36</f>
        <v>5072.4429521315287</v>
      </c>
      <c r="AE37" s="319">
        <f>G37/'Population &amp; Income'!G36</f>
        <v>5346.642695272727</v>
      </c>
      <c r="AF37" s="319">
        <f>H37/'Population &amp; Income'!H36</f>
        <v>5328.6799424778756</v>
      </c>
      <c r="AG37" s="319">
        <f>I37/'Population &amp; Income'!I36</f>
        <v>5452.927167286246</v>
      </c>
      <c r="AH37" s="319">
        <f>J37/'Population &amp; Income'!J36</f>
        <v>6113.4310426820266</v>
      </c>
      <c r="AI37" s="319">
        <f>K37/'Population &amp; Income'!K36</f>
        <v>6041.7498215339228</v>
      </c>
      <c r="AJ37" s="319">
        <f>L37/'Population &amp; Income'!L36</f>
        <v>6372.4826756198345</v>
      </c>
      <c r="AK37" s="319">
        <f>M37/'Population &amp; Income'!M36</f>
        <v>6454.4838798461087</v>
      </c>
      <c r="AL37" s="319">
        <f>N37/'Population &amp; Income'!N36</f>
        <v>6988.0529562151041</v>
      </c>
      <c r="AM37" s="319">
        <f>O37/'Population &amp; Income'!O36</f>
        <v>7830.2448620178038</v>
      </c>
      <c r="AN37" s="319">
        <f>P37/'Population &amp; Income'!P36</f>
        <v>7095.020349338487</v>
      </c>
      <c r="AO37" s="319">
        <f>Q37/'Population &amp; Income'!Q36</f>
        <v>6992.3764720551553</v>
      </c>
      <c r="AP37" s="319">
        <f>R37/'Population &amp; Income'!R36</f>
        <v>7101.4863848310461</v>
      </c>
      <c r="AQ37" s="319">
        <f>S37/'Population &amp; Income'!S36</f>
        <v>7211.0571247232474</v>
      </c>
      <c r="AR37" s="697">
        <f>T37/'Population &amp; Income'!T36</f>
        <v>7392.2959532215355</v>
      </c>
      <c r="AS37" s="697">
        <f>U37/'Population &amp; Income'!U36</f>
        <v>7287.0592221391171</v>
      </c>
      <c r="AT37" s="697">
        <f>V37/'Population &amp; Income'!V36</f>
        <v>7419.5849452034226</v>
      </c>
      <c r="AU37" s="697">
        <f>W37/'Population &amp; Income'!W36</f>
        <v>7556.1385986496625</v>
      </c>
      <c r="AV37" s="690"/>
      <c r="AW37" s="486"/>
      <c r="AX37" s="13" t="s">
        <v>28</v>
      </c>
      <c r="AY37" s="40">
        <f t="shared" si="0"/>
        <v>6.6201185660644682E-3</v>
      </c>
      <c r="AZ37" s="40">
        <f t="shared" si="1"/>
        <v>4.2114156204980407E-2</v>
      </c>
      <c r="BA37" s="40">
        <f t="shared" si="2"/>
        <v>-2.3157327919155236E-2</v>
      </c>
      <c r="BB37" s="40">
        <f t="shared" si="3"/>
        <v>3.2003019838380282E-2</v>
      </c>
      <c r="BC37" s="40">
        <f t="shared" si="4"/>
        <v>5.4363466542111633E-2</v>
      </c>
      <c r="BD37" s="40">
        <f t="shared" si="5"/>
        <v>-1.7131389978966485E-2</v>
      </c>
      <c r="BE37" s="40">
        <f t="shared" si="6"/>
        <v>1.5015457066379835E-2</v>
      </c>
      <c r="BF37" s="40">
        <f t="shared" si="7"/>
        <v>0.12879699861049632</v>
      </c>
      <c r="BG37" s="40">
        <f t="shared" si="8"/>
        <v>-1.0411590254190601E-2</v>
      </c>
      <c r="BH37" s="40">
        <f t="shared" si="9"/>
        <v>5.4118969991233667E-2</v>
      </c>
      <c r="BI37" s="40">
        <f t="shared" si="10"/>
        <v>1.0177397732303355E-2</v>
      </c>
      <c r="BJ37" s="40">
        <f t="shared" si="11"/>
        <v>9.0356267483415367E-2</v>
      </c>
      <c r="BK37" s="40">
        <f t="shared" si="12"/>
        <v>0.10965278517303673</v>
      </c>
      <c r="BL37" s="40">
        <f t="shared" si="13"/>
        <v>-9.5643148231852868E-2</v>
      </c>
      <c r="BM37" s="40">
        <f t="shared" si="14"/>
        <v>-1.281663200742134E-3</v>
      </c>
      <c r="BN37" s="40">
        <f t="shared" si="15"/>
        <v>9.6448806658522516E-3</v>
      </c>
      <c r="BO37" s="40">
        <f t="shared" si="16"/>
        <v>1.512959920500381E-2</v>
      </c>
      <c r="BP37" s="691">
        <f t="shared" si="17"/>
        <v>2.8613619638240773E-2</v>
      </c>
      <c r="BQ37" s="691">
        <f t="shared" si="18"/>
        <v>-3.0621898400790715E-2</v>
      </c>
      <c r="BR37" s="691">
        <f t="shared" si="19"/>
        <v>1.4531029113445145E-2</v>
      </c>
      <c r="BS37" s="691">
        <f t="shared" si="20"/>
        <v>1.901604935538866E-2</v>
      </c>
      <c r="BT37" s="40"/>
      <c r="BV37" s="13" t="s">
        <v>28</v>
      </c>
      <c r="BW37" s="40">
        <f t="shared" si="21"/>
        <v>6.6201185660644682E-3</v>
      </c>
      <c r="BX37" s="40">
        <f t="shared" si="22"/>
        <v>4.9013075478431603E-2</v>
      </c>
      <c r="BY37" s="40">
        <f t="shared" si="23"/>
        <v>2.4720735698096023E-2</v>
      </c>
      <c r="BZ37" s="40">
        <f t="shared" si="24"/>
        <v>5.7514893731441828E-2</v>
      </c>
      <c r="CA37" s="40">
        <f t="shared" si="25"/>
        <v>0.11500506927459581</v>
      </c>
      <c r="CB37" s="40">
        <f t="shared" si="26"/>
        <v>9.5903482604328155E-2</v>
      </c>
      <c r="CC37" s="40">
        <f t="shared" si="27"/>
        <v>0.11235897429626959</v>
      </c>
      <c r="CD37" s="40">
        <f t="shared" si="28"/>
        <v>0.2556274715630793</v>
      </c>
      <c r="CE37" s="40">
        <f t="shared" si="29"/>
        <v>0.24255439281725918</v>
      </c>
      <c r="CF37" s="40">
        <f t="shared" si="30"/>
        <v>0.30980015671461197</v>
      </c>
      <c r="CG37" s="40">
        <f t="shared" si="31"/>
        <v>0.32313051385932989</v>
      </c>
      <c r="CH37" s="40">
        <f t="shared" si="32"/>
        <v>0.4426836484850723</v>
      </c>
      <c r="CI37" s="40">
        <f t="shared" si="33"/>
        <v>0.60087792866505874</v>
      </c>
      <c r="CJ37" s="40">
        <f t="shared" si="34"/>
        <v>0.44776492363264497</v>
      </c>
      <c r="CK37" s="40">
        <f t="shared" si="35"/>
        <v>0.44590937660669977</v>
      </c>
      <c r="CL37" s="40">
        <f t="shared" si="36"/>
        <v>0.45985499999770818</v>
      </c>
      <c r="CM37" s="40">
        <f t="shared" si="37"/>
        <v>0.48194202104509437</v>
      </c>
      <c r="CN37" s="691">
        <f t="shared" si="38"/>
        <v>0.52434574636120446</v>
      </c>
      <c r="CO37" s="691">
        <f t="shared" si="39"/>
        <v>0.47766738578845419</v>
      </c>
      <c r="CP37" s="691">
        <f t="shared" si="40"/>
        <v>0.49913941359133462</v>
      </c>
      <c r="CQ37" s="691">
        <f t="shared" si="41"/>
        <v>0.52764712267079583</v>
      </c>
    </row>
    <row r="38" spans="1:95">
      <c r="A38" s="13" t="s">
        <v>29</v>
      </c>
      <c r="B38" s="319">
        <v>65658048.469999999</v>
      </c>
      <c r="C38" s="319">
        <v>71556442.599999994</v>
      </c>
      <c r="D38" s="319">
        <v>72397541.319999993</v>
      </c>
      <c r="E38" s="319">
        <v>71757909.019999996</v>
      </c>
      <c r="F38" s="319">
        <v>79324452.069999993</v>
      </c>
      <c r="G38" s="319">
        <v>77262491.879999995</v>
      </c>
      <c r="H38" s="319">
        <v>71591136.040000007</v>
      </c>
      <c r="I38" s="319">
        <v>72001215.150000006</v>
      </c>
      <c r="J38" s="319">
        <v>75868367.760000005</v>
      </c>
      <c r="K38" s="319">
        <v>75579973.609999999</v>
      </c>
      <c r="L38" s="319">
        <v>77849506.810000002</v>
      </c>
      <c r="M38" s="319">
        <v>81746810.909999996</v>
      </c>
      <c r="N38" s="319">
        <v>82797422.810000002</v>
      </c>
      <c r="O38" s="319">
        <v>80167192.700000003</v>
      </c>
      <c r="P38" s="319">
        <v>83005062.590000004</v>
      </c>
      <c r="Q38" s="319">
        <v>85853066.030000001</v>
      </c>
      <c r="R38" s="319">
        <v>82879408.849999994</v>
      </c>
      <c r="S38" s="319">
        <v>85600554.760000005</v>
      </c>
      <c r="T38" s="677">
        <v>90745146.790000007</v>
      </c>
      <c r="U38" s="677">
        <v>89041510.579999998</v>
      </c>
      <c r="V38" s="678">
        <v>90087800.379999995</v>
      </c>
      <c r="W38" s="809">
        <v>84817088.170000002</v>
      </c>
      <c r="X38" s="811"/>
      <c r="Y38" s="13" t="s">
        <v>29</v>
      </c>
      <c r="Z38" s="319">
        <f>B38/'Population &amp; Income'!B37</f>
        <v>6235.3322383665718</v>
      </c>
      <c r="AA38" s="319">
        <f>C38/'Population &amp; Income'!C37</f>
        <v>6800.6503136285874</v>
      </c>
      <c r="AB38" s="319">
        <f>D38/'Population &amp; Income'!D37</f>
        <v>6870.7925709404944</v>
      </c>
      <c r="AC38" s="319">
        <f>E38/'Population &amp; Income'!E37</f>
        <v>6832.1345348947916</v>
      </c>
      <c r="AD38" s="319">
        <f>F38/'Population &amp; Income'!F37</f>
        <v>7545.3678369637582</v>
      </c>
      <c r="AE38" s="319">
        <f>G38/'Population &amp; Income'!G37</f>
        <v>7409.8486506185855</v>
      </c>
      <c r="AF38" s="319">
        <f>H38/'Population &amp; Income'!H37</f>
        <v>6982.457430995807</v>
      </c>
      <c r="AG38" s="319">
        <f>I38/'Population &amp; Income'!I37</f>
        <v>6987.6955696816776</v>
      </c>
      <c r="AH38" s="319">
        <f>J38/'Population &amp; Income'!J37</f>
        <v>7431.5180487804882</v>
      </c>
      <c r="AI38" s="319">
        <f>K38/'Population &amp; Income'!K37</f>
        <v>7352.1375107003887</v>
      </c>
      <c r="AJ38" s="319">
        <f>L38/'Population &amp; Income'!L37</f>
        <v>7642.0444497889466</v>
      </c>
      <c r="AK38" s="319">
        <f>M38/'Population &amp; Income'!M37</f>
        <v>8015.1790283361106</v>
      </c>
      <c r="AL38" s="319">
        <f>N38/'Population &amp; Income'!N37</f>
        <v>8120.5789338956456</v>
      </c>
      <c r="AM38" s="319">
        <f>O38/'Population &amp; Income'!O37</f>
        <v>7847.9875379344103</v>
      </c>
      <c r="AN38" s="319">
        <f>P38/'Population &amp; Income'!P37</f>
        <v>8084.6462053180094</v>
      </c>
      <c r="AO38" s="319">
        <f>Q38/'Population &amp; Income'!Q37</f>
        <v>8363.6693648319542</v>
      </c>
      <c r="AP38" s="319">
        <f>R38/'Population &amp; Income'!R37</f>
        <v>8016.9673873089569</v>
      </c>
      <c r="AQ38" s="319">
        <f>S38/'Population &amp; Income'!S37</f>
        <v>8266.591478512797</v>
      </c>
      <c r="AR38" s="697">
        <f>T38/'Population &amp; Income'!T37</f>
        <v>8888.7400127338624</v>
      </c>
      <c r="AS38" s="697">
        <f>U38/'Population &amp; Income'!U37</f>
        <v>8849.2854879745573</v>
      </c>
      <c r="AT38" s="697">
        <f>V38/'Population &amp; Income'!V37</f>
        <v>8862.5479960649282</v>
      </c>
      <c r="AU38" s="697">
        <f>W38/'Population &amp; Income'!W37</f>
        <v>8525.1872720876472</v>
      </c>
      <c r="AV38" s="690"/>
      <c r="AW38" s="486"/>
      <c r="AX38" s="13" t="s">
        <v>29</v>
      </c>
      <c r="AY38" s="40">
        <f t="shared" si="0"/>
        <v>8.9835050956396406E-2</v>
      </c>
      <c r="AZ38" s="40">
        <f t="shared" si="1"/>
        <v>1.1754339503736019E-2</v>
      </c>
      <c r="BA38" s="40">
        <f t="shared" si="2"/>
        <v>-8.8350003099248488E-3</v>
      </c>
      <c r="BB38" s="40">
        <f t="shared" si="3"/>
        <v>0.10544542271836668</v>
      </c>
      <c r="BC38" s="40">
        <f t="shared" si="4"/>
        <v>-2.5994004826915381E-2</v>
      </c>
      <c r="BD38" s="40">
        <f t="shared" si="5"/>
        <v>-7.3403739667217027E-2</v>
      </c>
      <c r="BE38" s="40">
        <f t="shared" si="6"/>
        <v>5.7280709970976926E-3</v>
      </c>
      <c r="BF38" s="40">
        <f t="shared" si="7"/>
        <v>5.3709546456175317E-2</v>
      </c>
      <c r="BG38" s="40">
        <f t="shared" si="8"/>
        <v>-3.8012436343998384E-3</v>
      </c>
      <c r="BH38" s="40">
        <f t="shared" si="9"/>
        <v>3.0028234882840985E-2</v>
      </c>
      <c r="BI38" s="40">
        <f t="shared" si="10"/>
        <v>5.0062026847668785E-2</v>
      </c>
      <c r="BJ38" s="40">
        <f t="shared" si="11"/>
        <v>1.2852023073495651E-2</v>
      </c>
      <c r="BK38" s="40">
        <f t="shared" si="12"/>
        <v>-3.1767052895302544E-2</v>
      </c>
      <c r="BL38" s="40">
        <f t="shared" si="13"/>
        <v>3.5399392125651928E-2</v>
      </c>
      <c r="BM38" s="40">
        <f t="shared" si="14"/>
        <v>3.431120164402008E-2</v>
      </c>
      <c r="BN38" s="40">
        <f t="shared" si="15"/>
        <v>-3.4636586874613302E-2</v>
      </c>
      <c r="BO38" s="40">
        <f t="shared" si="16"/>
        <v>3.2832593134501001E-2</v>
      </c>
      <c r="BP38" s="691">
        <f t="shared" si="17"/>
        <v>6.0099984683790859E-2</v>
      </c>
      <c r="BQ38" s="691">
        <f t="shared" si="18"/>
        <v>-1.8773854803965637E-2</v>
      </c>
      <c r="BR38" s="691">
        <f t="shared" si="19"/>
        <v>1.1750584566509013E-2</v>
      </c>
      <c r="BS38" s="691">
        <f t="shared" si="20"/>
        <v>-5.8506392516717742E-2</v>
      </c>
      <c r="BT38" s="40"/>
      <c r="BV38" s="13" t="s">
        <v>29</v>
      </c>
      <c r="BW38" s="40">
        <f t="shared" si="21"/>
        <v>8.9835050956396406E-2</v>
      </c>
      <c r="BX38" s="40">
        <f t="shared" si="22"/>
        <v>0.10264534214840934</v>
      </c>
      <c r="BY38" s="40">
        <f t="shared" si="23"/>
        <v>9.2903470208790945E-2</v>
      </c>
      <c r="BZ38" s="40">
        <f t="shared" si="24"/>
        <v>0.20814513861532677</v>
      </c>
      <c r="CA38" s="40">
        <f t="shared" si="25"/>
        <v>0.17674060805054562</v>
      </c>
      <c r="CB38" s="40">
        <f t="shared" si="26"/>
        <v>9.0363446801360714E-2</v>
      </c>
      <c r="CC38" s="40">
        <f t="shared" si="27"/>
        <v>9.6609126037279058E-2</v>
      </c>
      <c r="CD38" s="40">
        <f t="shared" si="28"/>
        <v>0.1555075048364441</v>
      </c>
      <c r="CE38" s="40">
        <f t="shared" si="29"/>
        <v>0.15111513928918333</v>
      </c>
      <c r="CF38" s="40">
        <f t="shared" si="30"/>
        <v>0.18568109506895314</v>
      </c>
      <c r="CG38" s="40">
        <f t="shared" si="31"/>
        <v>0.2450386938830684</v>
      </c>
      <c r="CH38" s="40">
        <f t="shared" si="32"/>
        <v>0.2610399599042485</v>
      </c>
      <c r="CI38" s="40">
        <f t="shared" si="33"/>
        <v>0.22098043679488003</v>
      </c>
      <c r="CJ38" s="40">
        <f t="shared" si="34"/>
        <v>0.26420240205473178</v>
      </c>
      <c r="CK38" s="40">
        <f t="shared" si="35"/>
        <v>0.30757870559048622</v>
      </c>
      <c r="CL38" s="40">
        <f t="shared" si="36"/>
        <v>0.2622886421589069</v>
      </c>
      <c r="CM38" s="40">
        <f t="shared" si="37"/>
        <v>0.30373285156521201</v>
      </c>
      <c r="CN38" s="691">
        <f t="shared" si="38"/>
        <v>0.38208717597603625</v>
      </c>
      <c r="CO38" s="691">
        <f t="shared" si="39"/>
        <v>0.35614007200783926</v>
      </c>
      <c r="CP38" s="691">
        <f t="shared" si="40"/>
        <v>0.37207551060799898</v>
      </c>
      <c r="CQ38" s="691">
        <f t="shared" si="41"/>
        <v>0.29180032222179147</v>
      </c>
    </row>
    <row r="39" spans="1:95">
      <c r="A39" s="13" t="s">
        <v>30</v>
      </c>
      <c r="B39" s="319">
        <v>61832132.759999998</v>
      </c>
      <c r="C39" s="319">
        <v>65829629.369999997</v>
      </c>
      <c r="D39" s="319">
        <v>68473807.319999993</v>
      </c>
      <c r="E39" s="319">
        <v>70562228.079999998</v>
      </c>
      <c r="F39" s="319">
        <v>73290659.129999995</v>
      </c>
      <c r="G39" s="319">
        <v>73161257.5</v>
      </c>
      <c r="H39" s="319">
        <v>76200595.519999996</v>
      </c>
      <c r="I39" s="319">
        <v>73057655.870000005</v>
      </c>
      <c r="J39" s="319">
        <v>82481848.450000003</v>
      </c>
      <c r="K39" s="319">
        <v>89876482</v>
      </c>
      <c r="L39" s="319">
        <v>92996930.040000007</v>
      </c>
      <c r="M39" s="319">
        <v>97646104.060000002</v>
      </c>
      <c r="N39" s="319">
        <v>101162784.06</v>
      </c>
      <c r="O39" s="319">
        <v>104214458.67</v>
      </c>
      <c r="P39" s="319">
        <v>100337913.79000001</v>
      </c>
      <c r="Q39" s="319">
        <v>102253528.98</v>
      </c>
      <c r="R39" s="319">
        <v>106298128.97</v>
      </c>
      <c r="S39" s="319">
        <v>107382657.31999999</v>
      </c>
      <c r="T39" s="677">
        <v>116797935.39</v>
      </c>
      <c r="U39" s="677">
        <v>117640682.56999999</v>
      </c>
      <c r="V39" s="678">
        <v>117143289.61</v>
      </c>
      <c r="W39" s="809">
        <v>117601887.8</v>
      </c>
      <c r="X39" s="811"/>
      <c r="Y39" s="13" t="s">
        <v>30</v>
      </c>
      <c r="Z39" s="319">
        <f>B39/'Population &amp; Income'!B38</f>
        <v>7240.2965761124124</v>
      </c>
      <c r="AA39" s="319">
        <f>C39/'Population &amp; Income'!C38</f>
        <v>7584.0586831797236</v>
      </c>
      <c r="AB39" s="319">
        <f>D39/'Population &amp; Income'!D38</f>
        <v>7814.8604565167761</v>
      </c>
      <c r="AC39" s="319">
        <f>E39/'Population &amp; Income'!E38</f>
        <v>8055.9684986870643</v>
      </c>
      <c r="AD39" s="319">
        <f>F39/'Population &amp; Income'!F38</f>
        <v>8259.9638374845035</v>
      </c>
      <c r="AE39" s="319">
        <f>G39/'Population &amp; Income'!G38</f>
        <v>8333.666419865589</v>
      </c>
      <c r="AF39" s="319">
        <f>H39/'Population &amp; Income'!H38</f>
        <v>8687.788794892258</v>
      </c>
      <c r="AG39" s="319">
        <f>I39/'Population &amp; Income'!I38</f>
        <v>8310.5057297235817</v>
      </c>
      <c r="AH39" s="319">
        <f>J39/'Population &amp; Income'!J38</f>
        <v>9423.2661316120193</v>
      </c>
      <c r="AI39" s="319">
        <f>K39/'Population &amp; Income'!K38</f>
        <v>10106.43000112448</v>
      </c>
      <c r="AJ39" s="319">
        <f>L39/'Population &amp; Income'!L38</f>
        <v>10484.434051860204</v>
      </c>
      <c r="AK39" s="319">
        <f>M39/'Population &amp; Income'!M38</f>
        <v>10908.960346330019</v>
      </c>
      <c r="AL39" s="319">
        <f>N39/'Population &amp; Income'!N38</f>
        <v>11295.531940598481</v>
      </c>
      <c r="AM39" s="319">
        <f>O39/'Population &amp; Income'!O38</f>
        <v>11596.134268387672</v>
      </c>
      <c r="AN39" s="319">
        <f>P39/'Population &amp; Income'!P38</f>
        <v>11223.480289709172</v>
      </c>
      <c r="AO39" s="319">
        <f>Q39/'Population &amp; Income'!Q38</f>
        <v>11494.326549010791</v>
      </c>
      <c r="AP39" s="319">
        <f>R39/'Population &amp; Income'!R38</f>
        <v>12178.979029560036</v>
      </c>
      <c r="AQ39" s="319">
        <f>S39/'Population &amp; Income'!S38</f>
        <v>12284.939631621095</v>
      </c>
      <c r="AR39" s="697">
        <f>T39/'Population &amp; Income'!T38</f>
        <v>13543.359855055658</v>
      </c>
      <c r="AS39" s="697">
        <f>U39/'Population &amp; Income'!U38</f>
        <v>13658.502562405665</v>
      </c>
      <c r="AT39" s="697">
        <f>V39/'Population &amp; Income'!V38</f>
        <v>13691.36157199626</v>
      </c>
      <c r="AU39" s="697">
        <f>W39/'Population &amp; Income'!W38</f>
        <v>13796.561215391834</v>
      </c>
      <c r="AV39" s="690"/>
      <c r="AW39" s="486"/>
      <c r="AX39" s="13" t="s">
        <v>30</v>
      </c>
      <c r="AY39" s="40">
        <f t="shared" si="0"/>
        <v>6.465079614051468E-2</v>
      </c>
      <c r="AZ39" s="40">
        <f t="shared" si="1"/>
        <v>4.0166988259013429E-2</v>
      </c>
      <c r="BA39" s="40">
        <f t="shared" si="2"/>
        <v>3.0499556571173959E-2</v>
      </c>
      <c r="BB39" s="40">
        <f t="shared" si="3"/>
        <v>3.8667019512289715E-2</v>
      </c>
      <c r="BC39" s="40">
        <f t="shared" si="4"/>
        <v>-1.765595118614882E-3</v>
      </c>
      <c r="BD39" s="40">
        <f t="shared" si="5"/>
        <v>4.1542998628748225E-2</v>
      </c>
      <c r="BE39" s="40">
        <f t="shared" si="6"/>
        <v>-4.1245604821750756E-2</v>
      </c>
      <c r="BF39" s="40">
        <f t="shared" si="7"/>
        <v>0.12899664611152542</v>
      </c>
      <c r="BG39" s="40">
        <f t="shared" si="8"/>
        <v>8.9651646864856327E-2</v>
      </c>
      <c r="BH39" s="40">
        <f t="shared" si="9"/>
        <v>3.4719294420090974E-2</v>
      </c>
      <c r="BI39" s="40">
        <f t="shared" si="10"/>
        <v>4.9992768772047474E-2</v>
      </c>
      <c r="BJ39" s="40">
        <f t="shared" si="11"/>
        <v>3.6014544910456719E-2</v>
      </c>
      <c r="BK39" s="40">
        <f t="shared" si="12"/>
        <v>3.0165980882752699E-2</v>
      </c>
      <c r="BL39" s="40">
        <f t="shared" si="13"/>
        <v>-3.7197764393473054E-2</v>
      </c>
      <c r="BM39" s="40">
        <f t="shared" si="14"/>
        <v>1.9091638620364795E-2</v>
      </c>
      <c r="BN39" s="40">
        <f t="shared" si="15"/>
        <v>3.9554624963516777E-2</v>
      </c>
      <c r="BO39" s="40">
        <f t="shared" si="16"/>
        <v>1.020270404106619E-2</v>
      </c>
      <c r="BP39" s="691">
        <f t="shared" si="17"/>
        <v>8.7679689672257852E-2</v>
      </c>
      <c r="BQ39" s="691">
        <f t="shared" si="18"/>
        <v>7.2154287418349904E-3</v>
      </c>
      <c r="BR39" s="691">
        <f t="shared" si="19"/>
        <v>-4.2280693135559513E-3</v>
      </c>
      <c r="BS39" s="691">
        <f t="shared" si="20"/>
        <v>3.9148481447532201E-3</v>
      </c>
      <c r="BT39" s="40"/>
      <c r="BV39" s="13" t="s">
        <v>30</v>
      </c>
      <c r="BW39" s="40">
        <f t="shared" si="21"/>
        <v>6.465079614051468E-2</v>
      </c>
      <c r="BX39" s="40">
        <f t="shared" si="22"/>
        <v>0.10741461216904004</v>
      </c>
      <c r="BY39" s="40">
        <f t="shared" si="23"/>
        <v>0.14119026678063434</v>
      </c>
      <c r="BZ39" s="40">
        <f t="shared" si="24"/>
        <v>0.18531669309347623</v>
      </c>
      <c r="CA39" s="40">
        <f t="shared" si="25"/>
        <v>0.18322390372613767</v>
      </c>
      <c r="CB39" s="40">
        <f t="shared" si="26"/>
        <v>0.23237857273613471</v>
      </c>
      <c r="CC39" s="40">
        <f t="shared" si="27"/>
        <v>0.18154837313426689</v>
      </c>
      <c r="CD39" s="40">
        <f t="shared" si="28"/>
        <v>0.33396415048711647</v>
      </c>
      <c r="CE39" s="40">
        <f t="shared" si="29"/>
        <v>0.45355623343696549</v>
      </c>
      <c r="CF39" s="40">
        <f t="shared" si="30"/>
        <v>0.50402268026182195</v>
      </c>
      <c r="CG39" s="40">
        <f t="shared" si="31"/>
        <v>0.5792129383440664</v>
      </c>
      <c r="CH39" s="40">
        <f t="shared" si="32"/>
        <v>0.63608757363523305</v>
      </c>
      <c r="CI39" s="40">
        <f t="shared" si="33"/>
        <v>0.68544176010402269</v>
      </c>
      <c r="CJ39" s="40">
        <f t="shared" si="34"/>
        <v>0.62274709461275279</v>
      </c>
      <c r="CK39" s="40">
        <f t="shared" si="35"/>
        <v>0.65372799571534634</v>
      </c>
      <c r="CL39" s="40">
        <f t="shared" si="36"/>
        <v>0.7191405863775352</v>
      </c>
      <c r="CM39" s="40">
        <f t="shared" si="37"/>
        <v>0.73668046898533013</v>
      </c>
      <c r="CN39" s="691">
        <f t="shared" si="38"/>
        <v>0.88895207356583517</v>
      </c>
      <c r="CO39" s="691">
        <f t="shared" si="39"/>
        <v>0.90258167264939082</v>
      </c>
      <c r="CP39" s="691">
        <f t="shared" si="40"/>
        <v>0.89453742546272808</v>
      </c>
      <c r="CQ39" s="691">
        <f t="shared" si="41"/>
        <v>0.90195425178796629</v>
      </c>
    </row>
    <row r="40" spans="1:95">
      <c r="A40" s="13" t="s">
        <v>31</v>
      </c>
      <c r="B40" s="319">
        <v>155562578.69999999</v>
      </c>
      <c r="C40" s="319">
        <v>166454163.09999999</v>
      </c>
      <c r="D40" s="319">
        <v>178850079.30000001</v>
      </c>
      <c r="E40" s="319">
        <v>193824256.72</v>
      </c>
      <c r="F40" s="319">
        <v>202775668.47999999</v>
      </c>
      <c r="G40" s="319">
        <v>211227647.34</v>
      </c>
      <c r="H40" s="319">
        <v>213890212.08000001</v>
      </c>
      <c r="I40" s="319">
        <v>212483228.99000001</v>
      </c>
      <c r="J40" s="319">
        <v>223344460.65000001</v>
      </c>
      <c r="K40" s="319">
        <v>230614642.93000001</v>
      </c>
      <c r="L40" s="319">
        <v>233713547.13999999</v>
      </c>
      <c r="M40" s="319">
        <v>237802799.18000001</v>
      </c>
      <c r="N40" s="319">
        <v>233875011.78</v>
      </c>
      <c r="O40" s="319">
        <v>231627330</v>
      </c>
      <c r="P40" s="319">
        <v>230721246.72999999</v>
      </c>
      <c r="Q40" s="319">
        <v>227930387.02000001</v>
      </c>
      <c r="R40" s="319">
        <v>235650933.30000001</v>
      </c>
      <c r="S40" s="319">
        <v>241955863.53</v>
      </c>
      <c r="T40" s="677">
        <v>246529305.06</v>
      </c>
      <c r="U40" s="677">
        <v>253161196.05000001</v>
      </c>
      <c r="V40" s="678">
        <v>260846355.93000001</v>
      </c>
      <c r="W40" s="809">
        <v>261129134.28999999</v>
      </c>
      <c r="X40" s="811"/>
      <c r="Y40" s="13" t="s">
        <v>31</v>
      </c>
      <c r="Z40" s="319">
        <f>B40/'Population &amp; Income'!B39</f>
        <v>7265.5447526972112</v>
      </c>
      <c r="AA40" s="319">
        <f>C40/'Population &amp; Income'!C39</f>
        <v>7755.0392797241893</v>
      </c>
      <c r="AB40" s="319">
        <f>D40/'Population &amp; Income'!D39</f>
        <v>8243.4586698008861</v>
      </c>
      <c r="AC40" s="319">
        <f>E40/'Population &amp; Income'!E39</f>
        <v>8912.6894155515711</v>
      </c>
      <c r="AD40" s="319">
        <f>F40/'Population &amp; Income'!F39</f>
        <v>9172.0494155961642</v>
      </c>
      <c r="AE40" s="319">
        <f>G40/'Population &amp; Income'!G39</f>
        <v>9469.1194396377814</v>
      </c>
      <c r="AF40" s="319">
        <f>H40/'Population &amp; Income'!H39</f>
        <v>9643.816767212229</v>
      </c>
      <c r="AG40" s="319">
        <f>I40/'Population &amp; Income'!I39</f>
        <v>9481.6255684962071</v>
      </c>
      <c r="AH40" s="319">
        <f>J40/'Population &amp; Income'!J39</f>
        <v>9952.0747103644953</v>
      </c>
      <c r="AI40" s="319">
        <f>K40/'Population &amp; Income'!K39</f>
        <v>10316.482192448779</v>
      </c>
      <c r="AJ40" s="319">
        <f>L40/'Population &amp; Income'!L39</f>
        <v>10361.480188863274</v>
      </c>
      <c r="AK40" s="319">
        <f>M40/'Population &amp; Income'!M39</f>
        <v>10581.240508142742</v>
      </c>
      <c r="AL40" s="319">
        <f>N40/'Population &amp; Income'!N39</f>
        <v>10491.903090036338</v>
      </c>
      <c r="AM40" s="319">
        <f>O40/'Population &amp; Income'!O39</f>
        <v>10397.599766575391</v>
      </c>
      <c r="AN40" s="319">
        <f>P40/'Population &amp; Income'!P39</f>
        <v>10366.232948285931</v>
      </c>
      <c r="AO40" s="319">
        <f>Q40/'Population &amp; Income'!Q39</f>
        <v>10269.910201856357</v>
      </c>
      <c r="AP40" s="319">
        <f>R40/'Population &amp; Income'!R39</f>
        <v>10637.427585428612</v>
      </c>
      <c r="AQ40" s="319">
        <f>S40/'Population &amp; Income'!S39</f>
        <v>10968.578064735482</v>
      </c>
      <c r="AR40" s="697">
        <f>T40/'Population &amp; Income'!T39</f>
        <v>11175.399141432457</v>
      </c>
      <c r="AS40" s="697">
        <f>U40/'Population &amp; Income'!U39</f>
        <v>11643.342503334407</v>
      </c>
      <c r="AT40" s="697">
        <f>V40/'Population &amp; Income'!V39</f>
        <v>12079.57561961656</v>
      </c>
      <c r="AU40" s="697">
        <f>W40/'Population &amp; Income'!W39</f>
        <v>12023.62714292292</v>
      </c>
      <c r="AV40" s="690"/>
      <c r="AW40" s="486"/>
      <c r="AX40" s="13" t="s">
        <v>31</v>
      </c>
      <c r="AY40" s="40">
        <f t="shared" si="0"/>
        <v>7.0014167231081045E-2</v>
      </c>
      <c r="AZ40" s="40">
        <f t="shared" si="1"/>
        <v>7.4470448615652662E-2</v>
      </c>
      <c r="BA40" s="40">
        <f t="shared" si="2"/>
        <v>8.372474576811656E-2</v>
      </c>
      <c r="BB40" s="40">
        <f t="shared" si="3"/>
        <v>4.6183134719465314E-2</v>
      </c>
      <c r="BC40" s="40">
        <f t="shared" si="4"/>
        <v>4.1681425209226436E-2</v>
      </c>
      <c r="BD40" s="40">
        <f t="shared" si="5"/>
        <v>1.2605190530358201E-2</v>
      </c>
      <c r="BE40" s="40">
        <f t="shared" si="6"/>
        <v>-6.578062064260138E-3</v>
      </c>
      <c r="BF40" s="40">
        <f t="shared" si="7"/>
        <v>5.1115712574714089E-2</v>
      </c>
      <c r="BG40" s="40">
        <f t="shared" si="8"/>
        <v>3.2551433148785378E-2</v>
      </c>
      <c r="BH40" s="40">
        <f t="shared" si="9"/>
        <v>1.3437586488992416E-2</v>
      </c>
      <c r="BI40" s="40">
        <f t="shared" si="10"/>
        <v>1.7496854974994078E-2</v>
      </c>
      <c r="BJ40" s="40">
        <f t="shared" si="11"/>
        <v>-1.6516993969557723E-2</v>
      </c>
      <c r="BK40" s="40">
        <f t="shared" si="12"/>
        <v>-9.6106110819326671E-3</v>
      </c>
      <c r="BL40" s="40">
        <f t="shared" si="13"/>
        <v>-3.9118150263183996E-3</v>
      </c>
      <c r="BM40" s="40">
        <f t="shared" si="14"/>
        <v>-1.2096240591426605E-2</v>
      </c>
      <c r="BN40" s="40">
        <f t="shared" si="15"/>
        <v>3.3872387007891816E-2</v>
      </c>
      <c r="BO40" s="40">
        <f t="shared" si="16"/>
        <v>2.6755379839609527E-2</v>
      </c>
      <c r="BP40" s="691">
        <f t="shared" si="17"/>
        <v>1.8901966099420204E-2</v>
      </c>
      <c r="BQ40" s="691">
        <f t="shared" si="18"/>
        <v>2.6901024964906092E-2</v>
      </c>
      <c r="BR40" s="691">
        <f t="shared" si="19"/>
        <v>3.0356784530604586E-2</v>
      </c>
      <c r="BS40" s="691">
        <f t="shared" si="20"/>
        <v>1.0840801627908119E-3</v>
      </c>
      <c r="BT40" s="40"/>
      <c r="BV40" s="13" t="s">
        <v>31</v>
      </c>
      <c r="BW40" s="40">
        <f t="shared" si="21"/>
        <v>7.0014167231081045E-2</v>
      </c>
      <c r="BX40" s="40">
        <f t="shared" si="22"/>
        <v>0.14969860228988366</v>
      </c>
      <c r="BY40" s="40">
        <f t="shared" si="23"/>
        <v>0.24595682547656311</v>
      </c>
      <c r="BZ40" s="40">
        <f t="shared" si="24"/>
        <v>0.30349901740218455</v>
      </c>
      <c r="CA40" s="40">
        <f t="shared" si="25"/>
        <v>0.35783071420633389</v>
      </c>
      <c r="CB40" s="40">
        <f t="shared" si="26"/>
        <v>0.37494642906687703</v>
      </c>
      <c r="CC40" s="40">
        <f t="shared" si="27"/>
        <v>0.36590194612144228</v>
      </c>
      <c r="CD40" s="40">
        <f t="shared" si="28"/>
        <v>0.43572099740462855</v>
      </c>
      <c r="CE40" s="40">
        <f t="shared" si="29"/>
        <v>0.48245577347195279</v>
      </c>
      <c r="CF40" s="40">
        <f t="shared" si="30"/>
        <v>0.50237640114408832</v>
      </c>
      <c r="CG40" s="40">
        <f t="shared" si="31"/>
        <v>0.52866326315275991</v>
      </c>
      <c r="CH40" s="40">
        <f t="shared" si="32"/>
        <v>0.50341434125378137</v>
      </c>
      <c r="CI40" s="40">
        <f t="shared" si="33"/>
        <v>0.48896561072499128</v>
      </c>
      <c r="CJ40" s="40">
        <f t="shared" si="34"/>
        <v>0.4831410526752859</v>
      </c>
      <c r="CK40" s="40">
        <f t="shared" si="35"/>
        <v>0.46520062167110393</v>
      </c>
      <c r="CL40" s="40">
        <f t="shared" si="36"/>
        <v>0.51483046417255118</v>
      </c>
      <c r="CM40" s="40">
        <f t="shared" si="37"/>
        <v>0.55536032863409979</v>
      </c>
      <c r="CN40" s="691">
        <f t="shared" si="38"/>
        <v>0.58475969683832463</v>
      </c>
      <c r="CO40" s="691">
        <f t="shared" si="39"/>
        <v>0.6273913570063494</v>
      </c>
      <c r="CP40" s="691">
        <f t="shared" si="40"/>
        <v>0.67679372577795938</v>
      </c>
      <c r="CQ40" s="691">
        <f t="shared" si="41"/>
        <v>0.67861150459316733</v>
      </c>
    </row>
    <row r="41" spans="1:95">
      <c r="A41" s="13" t="s">
        <v>32</v>
      </c>
      <c r="B41" s="319">
        <v>27804360.609999999</v>
      </c>
      <c r="C41" s="319">
        <v>27258525.98</v>
      </c>
      <c r="D41" s="319">
        <v>28623508.09</v>
      </c>
      <c r="E41" s="319">
        <v>30182796.350000001</v>
      </c>
      <c r="F41" s="319">
        <v>31304659.030000001</v>
      </c>
      <c r="G41" s="319">
        <v>33360970.449999999</v>
      </c>
      <c r="H41" s="319">
        <v>34762572.420000002</v>
      </c>
      <c r="I41" s="319">
        <v>36711178.109999999</v>
      </c>
      <c r="J41" s="319">
        <v>37884457</v>
      </c>
      <c r="K41" s="319">
        <v>39662486.310000002</v>
      </c>
      <c r="L41" s="319">
        <v>41005662.140000001</v>
      </c>
      <c r="M41" s="319">
        <v>43690403.329999998</v>
      </c>
      <c r="N41" s="319">
        <v>43983385.670000002</v>
      </c>
      <c r="O41" s="319">
        <v>43015595.340000004</v>
      </c>
      <c r="P41" s="319">
        <v>45161423.649999999</v>
      </c>
      <c r="Q41" s="319">
        <v>45471538.340000004</v>
      </c>
      <c r="R41" s="319">
        <v>46365784.170000002</v>
      </c>
      <c r="S41" s="319">
        <v>47620969.57</v>
      </c>
      <c r="T41" s="677">
        <v>50510036.710000001</v>
      </c>
      <c r="U41" s="677">
        <v>51856184.579999998</v>
      </c>
      <c r="V41" s="678">
        <v>52585171.399999999</v>
      </c>
      <c r="W41" s="809">
        <v>57304002.590000004</v>
      </c>
      <c r="X41" s="811"/>
      <c r="Y41" s="13" t="s">
        <v>32</v>
      </c>
      <c r="Z41" s="319">
        <f>B41/'Population &amp; Income'!B40</f>
        <v>3224.8156587798653</v>
      </c>
      <c r="AA41" s="319">
        <f>C41/'Population &amp; Income'!C40</f>
        <v>3122.3970194730814</v>
      </c>
      <c r="AB41" s="319">
        <f>D41/'Population &amp; Income'!D40</f>
        <v>3266.777914859621</v>
      </c>
      <c r="AC41" s="319">
        <f>E41/'Population &amp; Income'!E40</f>
        <v>3379.9324020156778</v>
      </c>
      <c r="AD41" s="319">
        <f>F41/'Population &amp; Income'!F40</f>
        <v>3501.6397125279645</v>
      </c>
      <c r="AE41" s="319">
        <f>G41/'Population &amp; Income'!G40</f>
        <v>3692.0064685701636</v>
      </c>
      <c r="AF41" s="319">
        <f>H41/'Population &amp; Income'!H40</f>
        <v>3893.2212364206521</v>
      </c>
      <c r="AG41" s="319">
        <f>I41/'Population &amp; Income'!I40</f>
        <v>4002.9634838076545</v>
      </c>
      <c r="AH41" s="319">
        <f>J41/'Population &amp; Income'!J40</f>
        <v>4066.6012237011591</v>
      </c>
      <c r="AI41" s="319">
        <f>K41/'Population &amp; Income'!K40</f>
        <v>4185.5726371886876</v>
      </c>
      <c r="AJ41" s="319">
        <f>L41/'Population &amp; Income'!L40</f>
        <v>4308.2225404496739</v>
      </c>
      <c r="AK41" s="319">
        <f>M41/'Population &amp; Income'!M40</f>
        <v>4553.9298863873255</v>
      </c>
      <c r="AL41" s="319">
        <f>N41/'Population &amp; Income'!N40</f>
        <v>4585.4238605087576</v>
      </c>
      <c r="AM41" s="319">
        <f>O41/'Population &amp; Income'!O40</f>
        <v>4499.0686476310011</v>
      </c>
      <c r="AN41" s="319">
        <f>P41/'Population &amp; Income'!P40</f>
        <v>4685.7671352977795</v>
      </c>
      <c r="AO41" s="319">
        <f>Q41/'Population &amp; Income'!Q40</f>
        <v>4743.5362340913834</v>
      </c>
      <c r="AP41" s="319">
        <f>R41/'Population &amp; Income'!R40</f>
        <v>4937.2573921840058</v>
      </c>
      <c r="AQ41" s="319">
        <f>S41/'Population &amp; Income'!S40</f>
        <v>5117.782866200967</v>
      </c>
      <c r="AR41" s="697">
        <f>T41/'Population &amp; Income'!T40</f>
        <v>5479.5006194402258</v>
      </c>
      <c r="AS41" s="697">
        <f>U41/'Population &amp; Income'!U40</f>
        <v>5640.8337408898069</v>
      </c>
      <c r="AT41" s="697">
        <f>V41/'Population &amp; Income'!V40</f>
        <v>5673.2302729528537</v>
      </c>
      <c r="AU41" s="697">
        <f>W41/'Population &amp; Income'!W40</f>
        <v>6047.9158406332454</v>
      </c>
      <c r="AV41" s="690"/>
      <c r="AW41" s="486"/>
      <c r="AX41" s="13" t="s">
        <v>32</v>
      </c>
      <c r="AY41" s="40">
        <f t="shared" si="0"/>
        <v>-1.9631259918405978E-2</v>
      </c>
      <c r="AZ41" s="40">
        <f t="shared" si="1"/>
        <v>5.0075419008405217E-2</v>
      </c>
      <c r="BA41" s="40">
        <f t="shared" si="2"/>
        <v>5.4475791545088754E-2</v>
      </c>
      <c r="BB41" s="40">
        <f t="shared" si="3"/>
        <v>3.7168944420883643E-2</v>
      </c>
      <c r="BC41" s="40">
        <f t="shared" si="4"/>
        <v>6.5687072905965399E-2</v>
      </c>
      <c r="BD41" s="40">
        <f t="shared" si="5"/>
        <v>4.2013225367669202E-2</v>
      </c>
      <c r="BE41" s="40">
        <f t="shared" si="6"/>
        <v>5.6054703502865726E-2</v>
      </c>
      <c r="BF41" s="40">
        <f t="shared" si="7"/>
        <v>3.1959717731869883E-2</v>
      </c>
      <c r="BG41" s="40">
        <f t="shared" si="8"/>
        <v>4.6932949573488737E-2</v>
      </c>
      <c r="BH41" s="40">
        <f t="shared" si="9"/>
        <v>3.386514449703943E-2</v>
      </c>
      <c r="BI41" s="40">
        <f t="shared" si="10"/>
        <v>6.5472450629716808E-2</v>
      </c>
      <c r="BJ41" s="40">
        <f t="shared" si="11"/>
        <v>6.7058740059473742E-3</v>
      </c>
      <c r="BK41" s="40">
        <f t="shared" si="12"/>
        <v>-2.2003543275662483E-2</v>
      </c>
      <c r="BL41" s="40">
        <f t="shared" si="13"/>
        <v>4.9884891584996829E-2</v>
      </c>
      <c r="BM41" s="40">
        <f t="shared" si="14"/>
        <v>6.8668050060464621E-3</v>
      </c>
      <c r="BN41" s="40">
        <f t="shared" si="15"/>
        <v>1.9666056233099902E-2</v>
      </c>
      <c r="BO41" s="40">
        <f t="shared" si="16"/>
        <v>2.707137218682348E-2</v>
      </c>
      <c r="BP41" s="691">
        <f t="shared" si="17"/>
        <v>6.0667961322233122E-2</v>
      </c>
      <c r="BQ41" s="691">
        <f t="shared" si="18"/>
        <v>2.6651096646965737E-2</v>
      </c>
      <c r="BR41" s="691">
        <f t="shared" si="19"/>
        <v>1.4057856857466475E-2</v>
      </c>
      <c r="BS41" s="691">
        <f t="shared" si="20"/>
        <v>8.9736917544781553E-2</v>
      </c>
      <c r="BT41" s="40"/>
      <c r="BV41" s="13" t="s">
        <v>32</v>
      </c>
      <c r="BW41" s="40">
        <f t="shared" si="21"/>
        <v>-1.9631259918405978E-2</v>
      </c>
      <c r="BX41" s="40">
        <f t="shared" si="22"/>
        <v>2.9461115523922148E-2</v>
      </c>
      <c r="BY41" s="40">
        <f t="shared" si="23"/>
        <v>8.5541824656977863E-2</v>
      </c>
      <c r="BZ41" s="40">
        <f t="shared" si="24"/>
        <v>0.1258902684041977</v>
      </c>
      <c r="CA41" s="40">
        <f t="shared" si="25"/>
        <v>0.19984670454898118</v>
      </c>
      <c r="CB41" s="40">
        <f t="shared" si="26"/>
        <v>0.2502561345538527</v>
      </c>
      <c r="CC41" s="40">
        <f t="shared" si="27"/>
        <v>0.32033887147890794</v>
      </c>
      <c r="CD41" s="40">
        <f t="shared" si="28"/>
        <v>0.36253652912178946</v>
      </c>
      <c r="CE41" s="40">
        <f t="shared" si="29"/>
        <v>0.42648438733509875</v>
      </c>
      <c r="CF41" s="40">
        <f t="shared" si="30"/>
        <v>0.47479248723497264</v>
      </c>
      <c r="CG41" s="40">
        <f t="shared" si="31"/>
        <v>0.57135076554454167</v>
      </c>
      <c r="CH41" s="40">
        <f t="shared" si="32"/>
        <v>0.58188804579743225</v>
      </c>
      <c r="CI41" s="40">
        <f t="shared" si="33"/>
        <v>0.54708090372447538</v>
      </c>
      <c r="CJ41" s="40">
        <f t="shared" si="34"/>
        <v>0.62425686687998971</v>
      </c>
      <c r="CK41" s="40">
        <f t="shared" si="35"/>
        <v>0.63541032206458659</v>
      </c>
      <c r="CL41" s="40">
        <f t="shared" si="36"/>
        <v>0.66757239342250074</v>
      </c>
      <c r="CM41" s="40">
        <f t="shared" si="37"/>
        <v>0.7127158663333133</v>
      </c>
      <c r="CN41" s="691">
        <f t="shared" si="38"/>
        <v>0.81662284626799775</v>
      </c>
      <c r="CO41" s="691">
        <f t="shared" si="39"/>
        <v>0.86503783731497208</v>
      </c>
      <c r="CP41" s="691">
        <f t="shared" si="40"/>
        <v>0.89125627226570481</v>
      </c>
      <c r="CQ41" s="691">
        <f t="shared" si="41"/>
        <v>1.0609717804260634</v>
      </c>
    </row>
    <row r="42" spans="1:95">
      <c r="A42" s="13" t="s">
        <v>33</v>
      </c>
      <c r="B42" s="319">
        <v>21639815.210000001</v>
      </c>
      <c r="C42" s="319">
        <v>22934800.309999999</v>
      </c>
      <c r="D42" s="319">
        <v>22217064.41</v>
      </c>
      <c r="E42" s="319">
        <v>21560046.359999999</v>
      </c>
      <c r="F42" s="319">
        <v>23143683.559999999</v>
      </c>
      <c r="G42" s="319">
        <v>27581010.370000001</v>
      </c>
      <c r="H42" s="319">
        <v>27110737.850000001</v>
      </c>
      <c r="I42" s="319">
        <v>28682974.890000001</v>
      </c>
      <c r="J42" s="319">
        <v>27371094.829999998</v>
      </c>
      <c r="K42" s="319">
        <v>28608542.789999999</v>
      </c>
      <c r="L42" s="319">
        <v>31749272.899999999</v>
      </c>
      <c r="M42" s="319">
        <v>32731401.359999999</v>
      </c>
      <c r="N42" s="319">
        <v>34219985.740000002</v>
      </c>
      <c r="O42" s="319">
        <v>32547151.190000001</v>
      </c>
      <c r="P42" s="319">
        <v>32338455.760000002</v>
      </c>
      <c r="Q42" s="319">
        <v>45766857.219999999</v>
      </c>
      <c r="R42" s="319">
        <v>36426617.649999999</v>
      </c>
      <c r="S42" s="319">
        <v>33478430.199999999</v>
      </c>
      <c r="T42" s="677">
        <v>34247800.25</v>
      </c>
      <c r="U42" s="677">
        <v>42627332.700000003</v>
      </c>
      <c r="V42" s="678">
        <v>34915760.880000003</v>
      </c>
      <c r="W42" s="809">
        <v>34994433.960000001</v>
      </c>
      <c r="X42" s="811"/>
      <c r="Y42" s="13" t="s">
        <v>33</v>
      </c>
      <c r="Z42" s="319">
        <f>B42/'Population &amp; Income'!B41</f>
        <v>3874.631192479857</v>
      </c>
      <c r="AA42" s="319">
        <f>C42/'Population &amp; Income'!C41</f>
        <v>4145.0931339237304</v>
      </c>
      <c r="AB42" s="319">
        <f>D42/'Population &amp; Income'!D41</f>
        <v>4096.0664472713861</v>
      </c>
      <c r="AC42" s="319">
        <f>E42/'Population &amp; Income'!E41</f>
        <v>3964.7014269952188</v>
      </c>
      <c r="AD42" s="319">
        <f>F42/'Population &amp; Income'!F41</f>
        <v>4345.4156139692077</v>
      </c>
      <c r="AE42" s="319">
        <f>G42/'Population &amp; Income'!G41</f>
        <v>5194.1639114877589</v>
      </c>
      <c r="AF42" s="319">
        <f>H42/'Population &amp; Income'!H41</f>
        <v>5266.2660936285938</v>
      </c>
      <c r="AG42" s="319">
        <f>I42/'Population &amp; Income'!I41</f>
        <v>5565.1872118742722</v>
      </c>
      <c r="AH42" s="319">
        <f>J42/'Population &amp; Income'!J41</f>
        <v>5350.0967220484754</v>
      </c>
      <c r="AI42" s="319">
        <f>K42/'Population &amp; Income'!K41</f>
        <v>5668.4253596195758</v>
      </c>
      <c r="AJ42" s="319">
        <f>L42/'Population &amp; Income'!L41</f>
        <v>6380.4808882636653</v>
      </c>
      <c r="AK42" s="319">
        <f>M42/'Population &amp; Income'!M41</f>
        <v>6550.2103982389435</v>
      </c>
      <c r="AL42" s="319">
        <f>N42/'Population &amp; Income'!N41</f>
        <v>6946.809935038571</v>
      </c>
      <c r="AM42" s="319">
        <f>O42/'Population &amp; Income'!O41</f>
        <v>6627.3979209936879</v>
      </c>
      <c r="AN42" s="319">
        <f>P42/'Population &amp; Income'!P41</f>
        <v>6609.1264582056001</v>
      </c>
      <c r="AO42" s="319">
        <f>Q42/'Population &amp; Income'!Q41</f>
        <v>9503.0849709302329</v>
      </c>
      <c r="AP42" s="319">
        <f>R42/'Population &amp; Income'!R41</f>
        <v>7825.2669495166483</v>
      </c>
      <c r="AQ42" s="319">
        <f>S42/'Population &amp; Income'!S41</f>
        <v>7328.9032837127843</v>
      </c>
      <c r="AR42" s="697">
        <f>T42/'Population &amp; Income'!T41</f>
        <v>7580.3010734838426</v>
      </c>
      <c r="AS42" s="697">
        <f>U42/'Population &amp; Income'!U41</f>
        <v>9534.1831133974501</v>
      </c>
      <c r="AT42" s="697">
        <f>V42/'Population &amp; Income'!V41</f>
        <v>7849.7663848920865</v>
      </c>
      <c r="AU42" s="697">
        <f>W42/'Population &amp; Income'!W41</f>
        <v>7929.851339225017</v>
      </c>
      <c r="AV42" s="690"/>
      <c r="AW42" s="486"/>
      <c r="AX42" s="13" t="s">
        <v>33</v>
      </c>
      <c r="AY42" s="40">
        <f t="shared" ref="AY42:AY73" si="42">(C42-B42)/B42</f>
        <v>5.984270602281163E-2</v>
      </c>
      <c r="AZ42" s="40">
        <f t="shared" ref="AZ42:AZ73" si="43">(D42-C42)/C42</f>
        <v>-3.1294621723261848E-2</v>
      </c>
      <c r="BA42" s="40">
        <f t="shared" ref="BA42:BA73" si="44">(E42-D42)/D42</f>
        <v>-2.9572676113963733E-2</v>
      </c>
      <c r="BB42" s="40">
        <f t="shared" ref="BB42:BB73" si="45">(F42-E42)/E42</f>
        <v>7.3452402353739621E-2</v>
      </c>
      <c r="BC42" s="40">
        <f t="shared" ref="BC42:BC73" si="46">(G42-F42)/F42</f>
        <v>0.19172949709998552</v>
      </c>
      <c r="BD42" s="40">
        <f t="shared" ref="BD42:BD73" si="47">(H42-G42)/G42</f>
        <v>-1.7050590739471867E-2</v>
      </c>
      <c r="BE42" s="40">
        <f t="shared" ref="BE42:BE73" si="48">(I42-H42)/H42</f>
        <v>5.7993148275748571E-2</v>
      </c>
      <c r="BF42" s="40">
        <f t="shared" ref="BF42:BF73" si="49">(J42-I42)/I42</f>
        <v>-4.5737238380296974E-2</v>
      </c>
      <c r="BG42" s="40">
        <f t="shared" ref="BG42:BG73" si="50">(K42-J42)/J42</f>
        <v>4.5210027866466641E-2</v>
      </c>
      <c r="BH42" s="40">
        <f t="shared" ref="BH42:BH73" si="51">(L42-K42)/K42</f>
        <v>0.1097829460610566</v>
      </c>
      <c r="BI42" s="40">
        <f t="shared" ref="BI42:BI73" si="52">(M42-L42)/L42</f>
        <v>3.0933888252918099E-2</v>
      </c>
      <c r="BJ42" s="40">
        <f t="shared" ref="BJ42:BJ73" si="53">(N42-M42)/M42</f>
        <v>4.5478785452160754E-2</v>
      </c>
      <c r="BK42" s="40">
        <f t="shared" ref="BK42:BK73" si="54">(O42-N42)/N42</f>
        <v>-4.8884723760846328E-2</v>
      </c>
      <c r="BL42" s="40">
        <f t="shared" ref="BL42:BL73" si="55">(P42-O42)/O42</f>
        <v>-6.4120951410371252E-3</v>
      </c>
      <c r="BM42" s="40">
        <f t="shared" ref="BM42:BM73" si="56">(Q42-P42)/P42</f>
        <v>0.41524559984122122</v>
      </c>
      <c r="BN42" s="40">
        <f t="shared" ref="BN42:BN73" si="57">(R42-Q42)/Q42</f>
        <v>-0.20408304474789979</v>
      </c>
      <c r="BO42" s="40">
        <f t="shared" ref="BO42:BO73" si="58">(S42-R42)/R42</f>
        <v>-8.0934976679065879E-2</v>
      </c>
      <c r="BP42" s="691">
        <f t="shared" ref="BP42:BP73" si="59">(T42-S42)/S42</f>
        <v>2.29810670752418E-2</v>
      </c>
      <c r="BQ42" s="691">
        <f t="shared" ref="BQ42:BQ73" si="60">(U42-T42)/T42</f>
        <v>0.24467359622608179</v>
      </c>
      <c r="BR42" s="691">
        <f t="shared" ref="BR42:BR73" si="61">(V42-U42)/U42</f>
        <v>-0.18090674061809173</v>
      </c>
      <c r="BS42" s="691">
        <f t="shared" ref="BS42:BS73" si="62">(W42-V42)/V42</f>
        <v>2.2532254207601335E-3</v>
      </c>
      <c r="BT42" s="40"/>
      <c r="BV42" s="13" t="s">
        <v>33</v>
      </c>
      <c r="BW42" s="40">
        <f t="shared" ref="BW42:BW73" si="63">(C42-$B42)/$B42</f>
        <v>5.984270602281163E-2</v>
      </c>
      <c r="BX42" s="40">
        <f t="shared" ref="BX42:BX73" si="64">(D42-$B42)/$B42</f>
        <v>2.6675329451669529E-2</v>
      </c>
      <c r="BY42" s="40">
        <f t="shared" ref="BY42:BY73" si="65">(E42-$B42)/$B42</f>
        <v>-3.6862075404017042E-3</v>
      </c>
      <c r="BZ42" s="40">
        <f t="shared" ref="BZ42:BZ73" si="66">(F42-$B42)/$B42</f>
        <v>6.9495434013920943E-2</v>
      </c>
      <c r="CA42" s="40">
        <f t="shared" ref="CA42:CA73" si="67">(G42-$B42)/$B42</f>
        <v>0.27454925572814076</v>
      </c>
      <c r="CB42" s="40">
        <f t="shared" ref="CB42:CB73" si="68">(H42-$B42)/$B42</f>
        <v>0.25281743799142176</v>
      </c>
      <c r="CC42" s="40">
        <f t="shared" ref="CC42:CC73" si="69">(I42-$B42)/$B42</f>
        <v>0.32547226543530172</v>
      </c>
      <c r="CD42" s="40">
        <f t="shared" ref="CD42:CD73" si="70">(J42-$B42)/$B42</f>
        <v>0.26484882446461505</v>
      </c>
      <c r="CE42" s="40">
        <f t="shared" ref="CE42:CE73" si="71">(K42-$B42)/$B42</f>
        <v>0.32203267506552785</v>
      </c>
      <c r="CF42" s="40">
        <f t="shared" ref="CF42:CF73" si="72">(L42-$B42)/$B42</f>
        <v>0.46716931692320107</v>
      </c>
      <c r="CG42" s="40">
        <f t="shared" ref="CG42:CG73" si="73">(M42-$B42)/$B42</f>
        <v>0.51255456862101356</v>
      </c>
      <c r="CH42" s="40">
        <f t="shared" ref="CH42:CH73" si="74">(N42-$B42)/$B42</f>
        <v>0.58134371333201418</v>
      </c>
      <c r="CI42" s="40">
        <f t="shared" ref="CI42:CI73" si="75">(O42-$B42)/$B42</f>
        <v>0.50404016273482777</v>
      </c>
      <c r="CJ42" s="40">
        <f t="shared" ref="CJ42:CJ73" si="76">(P42-$B42)/$B42</f>
        <v>0.49439611411543105</v>
      </c>
      <c r="CK42" s="40">
        <f t="shared" ref="CK42:CK73" si="77">(Q42-$B42)/$B42</f>
        <v>1.1149375249216833</v>
      </c>
      <c r="CL42" s="40">
        <f t="shared" ref="CL42:CL73" si="78">(R42-$B42)/$B42</f>
        <v>0.68331463538407899</v>
      </c>
      <c r="CM42" s="40">
        <f t="shared" ref="CM42:CM73" si="79">(S42-$B42)/$B42</f>
        <v>0.54707560462573834</v>
      </c>
      <c r="CN42" s="691">
        <f t="shared" ref="CN42:CN73" si="80">(T42-$B42)/$B42</f>
        <v>0.58262905286611266</v>
      </c>
      <c r="CO42" s="691">
        <f t="shared" ref="CO42:CO73" si="81">(U42-$B42)/$B42</f>
        <v>0.9698565947227421</v>
      </c>
      <c r="CP42" s="691">
        <f t="shared" ref="CP42:CP73" si="82">(V42-$B42)/$B42</f>
        <v>0.61349625868639757</v>
      </c>
      <c r="CQ42" s="691">
        <f t="shared" ref="CQ42:CQ73" si="83">(W42-$B42)/$B42</f>
        <v>0.61713182947277112</v>
      </c>
    </row>
    <row r="43" spans="1:95">
      <c r="A43" s="13" t="s">
        <v>34</v>
      </c>
      <c r="B43" s="319">
        <v>33708539.789999999</v>
      </c>
      <c r="C43" s="319">
        <v>37414014.079999998</v>
      </c>
      <c r="D43" s="319">
        <v>34807390.490000002</v>
      </c>
      <c r="E43" s="319">
        <v>35062134.960000001</v>
      </c>
      <c r="F43" s="319">
        <v>37519192.420000002</v>
      </c>
      <c r="G43" s="319">
        <v>38314992.159999996</v>
      </c>
      <c r="H43" s="319">
        <v>37981396.329999998</v>
      </c>
      <c r="I43" s="319">
        <v>39723159.82</v>
      </c>
      <c r="J43" s="319">
        <v>41100152.450000003</v>
      </c>
      <c r="K43" s="319">
        <v>46069043.57</v>
      </c>
      <c r="L43" s="319">
        <v>46021146.619999997</v>
      </c>
      <c r="M43" s="319">
        <v>48894445.43</v>
      </c>
      <c r="N43" s="319">
        <v>48547166.170000002</v>
      </c>
      <c r="O43" s="319">
        <v>46309439.170000002</v>
      </c>
      <c r="P43" s="319">
        <v>45803238.149999999</v>
      </c>
      <c r="Q43" s="319">
        <v>46851515.950000003</v>
      </c>
      <c r="R43" s="319">
        <v>46280946.609999999</v>
      </c>
      <c r="S43" s="319">
        <v>50751916.590000004</v>
      </c>
      <c r="T43" s="677">
        <v>53492457.920000002</v>
      </c>
      <c r="U43" s="677">
        <v>53097041.840000004</v>
      </c>
      <c r="V43" s="678">
        <v>53080627.909999996</v>
      </c>
      <c r="W43" s="809">
        <v>62050999.729999997</v>
      </c>
      <c r="X43" s="811"/>
      <c r="Y43" s="13" t="s">
        <v>34</v>
      </c>
      <c r="Z43" s="319">
        <f>B43/'Population &amp; Income'!B42</f>
        <v>3335.1676847729295</v>
      </c>
      <c r="AA43" s="319">
        <f>C43/'Population &amp; Income'!C42</f>
        <v>3679.222546956436</v>
      </c>
      <c r="AB43" s="319">
        <f>D43/'Population &amp; Income'!D42</f>
        <v>3409.1469627815868</v>
      </c>
      <c r="AC43" s="319">
        <f>E43/'Population &amp; Income'!E42</f>
        <v>3428.3890642417132</v>
      </c>
      <c r="AD43" s="319">
        <f>F43/'Population &amp; Income'!F42</f>
        <v>3684.8548831270873</v>
      </c>
      <c r="AE43" s="319">
        <f>G43/'Population &amp; Income'!G42</f>
        <v>3773.0174455933034</v>
      </c>
      <c r="AF43" s="319">
        <f>H43/'Population &amp; Income'!H42</f>
        <v>3770.9885156870532</v>
      </c>
      <c r="AG43" s="319">
        <f>I43/'Population &amp; Income'!I42</f>
        <v>3950.1948906125695</v>
      </c>
      <c r="AH43" s="319">
        <f>J43/'Population &amp; Income'!J42</f>
        <v>4105.0891380343592</v>
      </c>
      <c r="AI43" s="319">
        <f>K43/'Population &amp; Income'!K42</f>
        <v>4565.3595847785155</v>
      </c>
      <c r="AJ43" s="319">
        <f>L43/'Population &amp; Income'!L42</f>
        <v>4561.5171592823863</v>
      </c>
      <c r="AK43" s="319">
        <f>M43/'Population &amp; Income'!M42</f>
        <v>4851.1206895525347</v>
      </c>
      <c r="AL43" s="319">
        <f>N43/'Population &amp; Income'!N42</f>
        <v>4788.6334750443875</v>
      </c>
      <c r="AM43" s="319">
        <f>O43/'Population &amp; Income'!O42</f>
        <v>4552.6385342115609</v>
      </c>
      <c r="AN43" s="319">
        <f>P43/'Population &amp; Income'!P42</f>
        <v>4521.9901421660579</v>
      </c>
      <c r="AO43" s="319">
        <f>Q43/'Population &amp; Income'!Q42</f>
        <v>4596.4402972628277</v>
      </c>
      <c r="AP43" s="319">
        <f>R43/'Population &amp; Income'!R42</f>
        <v>4551.1797236699776</v>
      </c>
      <c r="AQ43" s="319">
        <f>S43/'Population &amp; Income'!S42</f>
        <v>4948.0273559520328</v>
      </c>
      <c r="AR43" s="697">
        <f>T43/'Population &amp; Income'!T42</f>
        <v>5277.4721704814528</v>
      </c>
      <c r="AS43" s="697">
        <f>U43/'Population &amp; Income'!U42</f>
        <v>5245.1883670848565</v>
      </c>
      <c r="AT43" s="697">
        <f>V43/'Population &amp; Income'!V42</f>
        <v>5277.4535603499698</v>
      </c>
      <c r="AU43" s="697">
        <f>W43/'Population &amp; Income'!W42</f>
        <v>6120.0315346681127</v>
      </c>
      <c r="AV43" s="690"/>
      <c r="AW43" s="486"/>
      <c r="AX43" s="13" t="s">
        <v>34</v>
      </c>
      <c r="AY43" s="40">
        <f t="shared" si="42"/>
        <v>0.10992687055222926</v>
      </c>
      <c r="AZ43" s="40">
        <f t="shared" si="43"/>
        <v>-6.9669712114461158E-2</v>
      </c>
      <c r="BA43" s="40">
        <f t="shared" si="44"/>
        <v>7.3186891178523049E-3</v>
      </c>
      <c r="BB43" s="40">
        <f t="shared" si="45"/>
        <v>7.0077234680748626E-2</v>
      </c>
      <c r="BC43" s="40">
        <f t="shared" si="46"/>
        <v>2.1210470926228818E-2</v>
      </c>
      <c r="BD43" s="40">
        <f t="shared" si="47"/>
        <v>-8.7066657512790743E-3</v>
      </c>
      <c r="BE43" s="40">
        <f t="shared" si="48"/>
        <v>4.5858332191548529E-2</v>
      </c>
      <c r="BF43" s="40">
        <f t="shared" si="49"/>
        <v>3.4664730505822146E-2</v>
      </c>
      <c r="BG43" s="40">
        <f t="shared" si="50"/>
        <v>0.12089714572336087</v>
      </c>
      <c r="BH43" s="40">
        <f t="shared" si="51"/>
        <v>-1.0396775424092656E-3</v>
      </c>
      <c r="BI43" s="40">
        <f t="shared" si="52"/>
        <v>6.2434315983585606E-2</v>
      </c>
      <c r="BJ43" s="40">
        <f t="shared" si="53"/>
        <v>-7.1026321486186436E-3</v>
      </c>
      <c r="BK43" s="40">
        <f t="shared" si="54"/>
        <v>-4.609387481370264E-2</v>
      </c>
      <c r="BL43" s="40">
        <f t="shared" si="55"/>
        <v>-1.093083891907567E-2</v>
      </c>
      <c r="BM43" s="40">
        <f t="shared" si="56"/>
        <v>2.2886543448457138E-2</v>
      </c>
      <c r="BN43" s="40">
        <f t="shared" si="57"/>
        <v>-1.2178247137380057E-2</v>
      </c>
      <c r="BO43" s="40">
        <f t="shared" si="58"/>
        <v>9.6604981260991638E-2</v>
      </c>
      <c r="BP43" s="691">
        <f t="shared" si="59"/>
        <v>5.3998775103204395E-2</v>
      </c>
      <c r="BQ43" s="691">
        <f t="shared" si="60"/>
        <v>-7.3919968417109931E-3</v>
      </c>
      <c r="BR43" s="691">
        <f t="shared" si="61"/>
        <v>-3.0913078075927615E-4</v>
      </c>
      <c r="BS43" s="691">
        <f t="shared" si="62"/>
        <v>0.1689952092354591</v>
      </c>
      <c r="BT43" s="40"/>
      <c r="BV43" s="13" t="s">
        <v>34</v>
      </c>
      <c r="BW43" s="40">
        <f t="shared" si="63"/>
        <v>0.10992687055222926</v>
      </c>
      <c r="BX43" s="40">
        <f t="shared" si="64"/>
        <v>3.2598585012750654E-2</v>
      </c>
      <c r="BY43" s="40">
        <f t="shared" si="65"/>
        <v>4.015585303999316E-2</v>
      </c>
      <c r="BZ43" s="40">
        <f t="shared" si="66"/>
        <v>0.11304709885803103</v>
      </c>
      <c r="CA43" s="40">
        <f t="shared" si="67"/>
        <v>0.13665535198788265</v>
      </c>
      <c r="CB43" s="40">
        <f t="shared" si="68"/>
        <v>0.12675887376372169</v>
      </c>
      <c r="CC43" s="40">
        <f t="shared" si="69"/>
        <v>0.17843015649655353</v>
      </c>
      <c r="CD43" s="40">
        <f t="shared" si="70"/>
        <v>0.21928012029144037</v>
      </c>
      <c r="CE43" s="40">
        <f t="shared" si="71"/>
        <v>0.36668760667191158</v>
      </c>
      <c r="CF43" s="40">
        <f t="shared" si="72"/>
        <v>0.36526669225976577</v>
      </c>
      <c r="CG43" s="40">
        <f t="shared" si="73"/>
        <v>0.45050618432617667</v>
      </c>
      <c r="CH43" s="40">
        <f t="shared" si="74"/>
        <v>0.4402037724696114</v>
      </c>
      <c r="CI43" s="40">
        <f t="shared" si="75"/>
        <v>0.37381920007517488</v>
      </c>
      <c r="CJ43" s="40">
        <f t="shared" si="76"/>
        <v>0.35880220369521976</v>
      </c>
      <c r="CK43" s="40">
        <f t="shared" si="77"/>
        <v>0.38990048936794969</v>
      </c>
      <c r="CL43" s="40">
        <f t="shared" si="78"/>
        <v>0.37297393771206133</v>
      </c>
      <c r="CM43" s="40">
        <f t="shared" si="79"/>
        <v>0.50561005923656488</v>
      </c>
      <c r="CN43" s="691">
        <f t="shared" si="80"/>
        <v>0.58691115821840245</v>
      </c>
      <c r="CO43" s="691">
        <f t="shared" si="81"/>
        <v>0.57518071594877607</v>
      </c>
      <c r="CP43" s="691">
        <f t="shared" si="82"/>
        <v>0.57469377910421782</v>
      </c>
      <c r="CQ43" s="691">
        <f t="shared" si="83"/>
        <v>0.84080948378571096</v>
      </c>
    </row>
    <row r="44" spans="1:95">
      <c r="A44" s="13" t="s">
        <v>35</v>
      </c>
      <c r="B44" s="319">
        <v>287586250.89999998</v>
      </c>
      <c r="C44" s="319">
        <v>304691240.80000001</v>
      </c>
      <c r="D44" s="319">
        <v>319643563.60000002</v>
      </c>
      <c r="E44" s="319">
        <v>334657993.51999998</v>
      </c>
      <c r="F44" s="319">
        <v>333223895.45999998</v>
      </c>
      <c r="G44" s="319">
        <v>335854775.42000002</v>
      </c>
      <c r="H44" s="319">
        <v>336560340.22000003</v>
      </c>
      <c r="I44" s="319">
        <v>345071023.92000002</v>
      </c>
      <c r="J44" s="319">
        <v>366637373.17000002</v>
      </c>
      <c r="K44" s="319">
        <v>379825632.17000002</v>
      </c>
      <c r="L44" s="319">
        <v>403922863.42000002</v>
      </c>
      <c r="M44" s="319">
        <v>417526739.69</v>
      </c>
      <c r="N44" s="319">
        <v>422115036.26999998</v>
      </c>
      <c r="O44" s="319">
        <v>409631954.14999998</v>
      </c>
      <c r="P44" s="319">
        <v>409307439.77999997</v>
      </c>
      <c r="Q44" s="319">
        <v>420503597.19</v>
      </c>
      <c r="R44" s="319">
        <v>423216546.72000003</v>
      </c>
      <c r="S44" s="319">
        <v>426948028.69999999</v>
      </c>
      <c r="T44" s="677">
        <v>451334436.00999999</v>
      </c>
      <c r="U44" s="677">
        <v>469491326.19999999</v>
      </c>
      <c r="V44" s="678">
        <v>481475515.58999997</v>
      </c>
      <c r="W44" s="809">
        <v>471608349.81</v>
      </c>
      <c r="X44" s="811"/>
      <c r="Y44" s="13" t="s">
        <v>35</v>
      </c>
      <c r="Z44" s="319">
        <f>B44/'Population &amp; Income'!B43</f>
        <v>8025.7374738369654</v>
      </c>
      <c r="AA44" s="319">
        <f>C44/'Population &amp; Income'!C43</f>
        <v>8372.2485313109664</v>
      </c>
      <c r="AB44" s="319">
        <f>D44/'Population &amp; Income'!D43</f>
        <v>8708.9219845789175</v>
      </c>
      <c r="AC44" s="319">
        <f>E44/'Population &amp; Income'!E43</f>
        <v>9013.6283538030584</v>
      </c>
      <c r="AD44" s="319">
        <f>F44/'Population &amp; Income'!F43</f>
        <v>8937.2105527692092</v>
      </c>
      <c r="AE44" s="319">
        <f>G44/'Population &amp; Income'!G43</f>
        <v>9014.0576886121471</v>
      </c>
      <c r="AF44" s="319">
        <f>H44/'Population &amp; Income'!H43</f>
        <v>8991.9671970931631</v>
      </c>
      <c r="AG44" s="319">
        <f>I44/'Population &amp; Income'!I43</f>
        <v>9148.9520354216929</v>
      </c>
      <c r="AH44" s="319">
        <f>J44/'Population &amp; Income'!J43</f>
        <v>9639.2200328636027</v>
      </c>
      <c r="AI44" s="319">
        <f>K44/'Population &amp; Income'!K43</f>
        <v>9813.6014926105836</v>
      </c>
      <c r="AJ44" s="319">
        <f>L44/'Population &amp; Income'!L43</f>
        <v>10339.234223769423</v>
      </c>
      <c r="AK44" s="319">
        <f>M44/'Population &amp; Income'!M43</f>
        <v>10599.546589068568</v>
      </c>
      <c r="AL44" s="319">
        <f>N44/'Population &amp; Income'!N43</f>
        <v>10576.673421949386</v>
      </c>
      <c r="AM44" s="319">
        <f>O44/'Population &amp; Income'!O43</f>
        <v>10262.092696094396</v>
      </c>
      <c r="AN44" s="319">
        <f>P44/'Population &amp; Income'!P43</f>
        <v>10085.438591070371</v>
      </c>
      <c r="AO44" s="319">
        <f>Q44/'Population &amp; Income'!Q43</f>
        <v>10354.681043831568</v>
      </c>
      <c r="AP44" s="319">
        <f>R44/'Population &amp; Income'!R43</f>
        <v>10416.612437421547</v>
      </c>
      <c r="AQ44" s="319">
        <f>S44/'Population &amp; Income'!S43</f>
        <v>10569.851922362785</v>
      </c>
      <c r="AR44" s="697">
        <f>T44/'Population &amp; Income'!T43</f>
        <v>11236.168990489941</v>
      </c>
      <c r="AS44" s="697">
        <f>U44/'Population &amp; Income'!U43</f>
        <v>11697.803069639966</v>
      </c>
      <c r="AT44" s="697">
        <f>V44/'Population &amp; Income'!V43</f>
        <v>11974.024262372544</v>
      </c>
      <c r="AU44" s="697">
        <f>W44/'Population &amp; Income'!W43</f>
        <v>11759.926933396504</v>
      </c>
      <c r="AV44" s="690"/>
      <c r="AW44" s="486"/>
      <c r="AX44" s="13" t="s">
        <v>35</v>
      </c>
      <c r="AY44" s="40">
        <f t="shared" si="42"/>
        <v>5.9477773525229531E-2</v>
      </c>
      <c r="AZ44" s="40">
        <f t="shared" si="43"/>
        <v>4.9073687713309583E-2</v>
      </c>
      <c r="BA44" s="40">
        <f t="shared" si="44"/>
        <v>4.6972414369616154E-2</v>
      </c>
      <c r="BB44" s="40">
        <f t="shared" si="45"/>
        <v>-4.2852646216989202E-3</v>
      </c>
      <c r="BC44" s="40">
        <f t="shared" si="46"/>
        <v>7.8952319921962132E-3</v>
      </c>
      <c r="BD44" s="40">
        <f t="shared" si="47"/>
        <v>2.1008032388929844E-3</v>
      </c>
      <c r="BE44" s="40">
        <f t="shared" si="48"/>
        <v>2.5287244761033917E-2</v>
      </c>
      <c r="BF44" s="40">
        <f t="shared" si="49"/>
        <v>6.2498290946039745E-2</v>
      </c>
      <c r="BG44" s="40">
        <f t="shared" si="50"/>
        <v>3.597085285106752E-2</v>
      </c>
      <c r="BH44" s="40">
        <f t="shared" si="51"/>
        <v>6.3442878018339505E-2</v>
      </c>
      <c r="BI44" s="40">
        <f t="shared" si="52"/>
        <v>3.3679391542277309E-2</v>
      </c>
      <c r="BJ44" s="40">
        <f t="shared" si="53"/>
        <v>1.0989228099274898E-2</v>
      </c>
      <c r="BK44" s="40">
        <f t="shared" si="54"/>
        <v>-2.957270186417945E-2</v>
      </c>
      <c r="BL44" s="40">
        <f t="shared" si="55"/>
        <v>-7.922096084359018E-4</v>
      </c>
      <c r="BM44" s="40">
        <f t="shared" si="56"/>
        <v>2.7353906432821956E-2</v>
      </c>
      <c r="BN44" s="40">
        <f t="shared" si="57"/>
        <v>6.4516678290726113E-3</v>
      </c>
      <c r="BO44" s="40">
        <f t="shared" si="58"/>
        <v>8.8169567303537089E-3</v>
      </c>
      <c r="BP44" s="691">
        <f t="shared" si="59"/>
        <v>5.7117976125228571E-2</v>
      </c>
      <c r="BQ44" s="691">
        <f t="shared" si="60"/>
        <v>4.0229348220169277E-2</v>
      </c>
      <c r="BR44" s="691">
        <f t="shared" si="61"/>
        <v>2.5525901590128217E-2</v>
      </c>
      <c r="BS44" s="691">
        <f t="shared" si="62"/>
        <v>-2.049359824228808E-2</v>
      </c>
      <c r="BT44" s="40"/>
      <c r="BV44" s="13" t="s">
        <v>35</v>
      </c>
      <c r="BW44" s="40">
        <f t="shared" si="63"/>
        <v>5.9477773525229531E-2</v>
      </c>
      <c r="BX44" s="40">
        <f t="shared" si="64"/>
        <v>0.11147025492239918</v>
      </c>
      <c r="BY44" s="40">
        <f t="shared" si="65"/>
        <v>0.163678696296117</v>
      </c>
      <c r="BZ44" s="40">
        <f t="shared" si="66"/>
        <v>0.15869202514785455</v>
      </c>
      <c r="CA44" s="40">
        <f t="shared" si="67"/>
        <v>0.16784016749390451</v>
      </c>
      <c r="CB44" s="40">
        <f t="shared" si="68"/>
        <v>0.17029356990028502</v>
      </c>
      <c r="CC44" s="40">
        <f t="shared" si="69"/>
        <v>0.19988706984461768</v>
      </c>
      <c r="CD44" s="40">
        <f t="shared" si="70"/>
        <v>0.2748779610381577</v>
      </c>
      <c r="CE44" s="40">
        <f t="shared" si="71"/>
        <v>0.32073640857773028</v>
      </c>
      <c r="CF44" s="40">
        <f t="shared" si="72"/>
        <v>0.404527727441507</v>
      </c>
      <c r="CG44" s="40">
        <f t="shared" si="73"/>
        <v>0.4518313667059945</v>
      </c>
      <c r="CH44" s="40">
        <f t="shared" si="74"/>
        <v>0.46778587275640865</v>
      </c>
      <c r="CI44" s="40">
        <f t="shared" si="75"/>
        <v>0.42437947874092896</v>
      </c>
      <c r="CJ44" s="40">
        <f t="shared" si="76"/>
        <v>0.42325107163181147</v>
      </c>
      <c r="CK44" s="40">
        <f t="shared" si="77"/>
        <v>0.46218254827564159</v>
      </c>
      <c r="CL44" s="40">
        <f t="shared" si="78"/>
        <v>0.47161606438258297</v>
      </c>
      <c r="CM44" s="40">
        <f t="shared" si="79"/>
        <v>0.48459123954593764</v>
      </c>
      <c r="CN44" s="691">
        <f t="shared" si="80"/>
        <v>0.56938808652204598</v>
      </c>
      <c r="CO44" s="691">
        <f t="shared" si="81"/>
        <v>0.63252354634732655</v>
      </c>
      <c r="CP44" s="691">
        <f t="shared" si="82"/>
        <v>0.67419518173495552</v>
      </c>
      <c r="CQ44" s="691">
        <f t="shared" si="83"/>
        <v>0.63988489830130491</v>
      </c>
    </row>
    <row r="45" spans="1:95">
      <c r="A45" s="13" t="s">
        <v>36</v>
      </c>
      <c r="B45" s="319">
        <v>82030099.540000007</v>
      </c>
      <c r="C45" s="319">
        <v>79338637.629999995</v>
      </c>
      <c r="D45" s="319">
        <v>64155533.899999999</v>
      </c>
      <c r="E45" s="319">
        <v>60206200.539999999</v>
      </c>
      <c r="F45" s="319">
        <v>63303898.240000002</v>
      </c>
      <c r="G45" s="319">
        <v>64858351.840000004</v>
      </c>
      <c r="H45" s="319">
        <v>62191415.539999999</v>
      </c>
      <c r="I45" s="319">
        <v>63384839.219999999</v>
      </c>
      <c r="J45" s="319">
        <v>65863881.82</v>
      </c>
      <c r="K45" s="319">
        <v>69000213.030000001</v>
      </c>
      <c r="L45" s="319">
        <v>67065364.770000003</v>
      </c>
      <c r="M45" s="319">
        <v>87459860.120000005</v>
      </c>
      <c r="N45" s="319">
        <v>64240059.969999999</v>
      </c>
      <c r="O45" s="319">
        <v>57306545.140000001</v>
      </c>
      <c r="P45" s="319">
        <v>56058631.490000002</v>
      </c>
      <c r="Q45" s="319">
        <v>61691106.82</v>
      </c>
      <c r="R45" s="319">
        <v>65212964.759999998</v>
      </c>
      <c r="S45" s="319">
        <v>73259504.519999996</v>
      </c>
      <c r="T45" s="677">
        <v>78334996.129999995</v>
      </c>
      <c r="U45" s="677">
        <v>78818721.5</v>
      </c>
      <c r="V45" s="678">
        <v>83724291.650000006</v>
      </c>
      <c r="W45" s="809">
        <v>81250232.409999996</v>
      </c>
      <c r="X45" s="811"/>
      <c r="Y45" s="13" t="s">
        <v>36</v>
      </c>
      <c r="Z45" s="319">
        <f>B45/'Population &amp; Income'!B44</f>
        <v>7511.9138772893775</v>
      </c>
      <c r="AA45" s="319">
        <f>C45/'Population &amp; Income'!C44</f>
        <v>7235.6258668490646</v>
      </c>
      <c r="AB45" s="319">
        <f>D45/'Population &amp; Income'!D44</f>
        <v>5901.5301168245787</v>
      </c>
      <c r="AC45" s="319">
        <f>E45/'Population &amp; Income'!E44</f>
        <v>5542.8282581476706</v>
      </c>
      <c r="AD45" s="319">
        <f>F45/'Population &amp; Income'!F44</f>
        <v>5956.3321640948443</v>
      </c>
      <c r="AE45" s="319">
        <f>G45/'Population &amp; Income'!G44</f>
        <v>6109.4905651846275</v>
      </c>
      <c r="AF45" s="319">
        <f>H45/'Population &amp; Income'!H44</f>
        <v>5862.6900018853694</v>
      </c>
      <c r="AG45" s="319">
        <f>I45/'Population &amp; Income'!I44</f>
        <v>6032.0555024743053</v>
      </c>
      <c r="AH45" s="319">
        <f>J45/'Population &amp; Income'!J44</f>
        <v>6203.6245474239431</v>
      </c>
      <c r="AI45" s="319">
        <f>K45/'Population &amp; Income'!K44</f>
        <v>6491.0830696142993</v>
      </c>
      <c r="AJ45" s="319">
        <f>L45/'Population &amp; Income'!L44</f>
        <v>6261.9388207282918</v>
      </c>
      <c r="AK45" s="319">
        <f>M45/'Population &amp; Income'!M44</f>
        <v>8188.3587791405307</v>
      </c>
      <c r="AL45" s="319">
        <f>N45/'Population &amp; Income'!N44</f>
        <v>6022.3174247679763</v>
      </c>
      <c r="AM45" s="319">
        <f>O45/'Population &amp; Income'!O44</f>
        <v>5348.2543294447041</v>
      </c>
      <c r="AN45" s="319">
        <f>P45/'Population &amp; Income'!P44</f>
        <v>5294.543963921421</v>
      </c>
      <c r="AO45" s="319">
        <f>Q45/'Population &amp; Income'!Q44</f>
        <v>5892.7411233164585</v>
      </c>
      <c r="AP45" s="319">
        <f>R45/'Population &amp; Income'!R44</f>
        <v>6286.1928629265467</v>
      </c>
      <c r="AQ45" s="319">
        <f>S45/'Population &amp; Income'!S44</f>
        <v>7082.3186890951274</v>
      </c>
      <c r="AR45" s="697">
        <f>T45/'Population &amp; Income'!T44</f>
        <v>7657.3798758553266</v>
      </c>
      <c r="AS45" s="697">
        <f>U45/'Population &amp; Income'!U44</f>
        <v>7804.606545202495</v>
      </c>
      <c r="AT45" s="697">
        <f>V45/'Population &amp; Income'!V44</f>
        <v>8354.0502544402316</v>
      </c>
      <c r="AU45" s="697">
        <f>W45/'Population &amp; Income'!W44</f>
        <v>7945.4559368276941</v>
      </c>
      <c r="AV45" s="690"/>
      <c r="AW45" s="486"/>
      <c r="AX45" s="13" t="s">
        <v>36</v>
      </c>
      <c r="AY45" s="40">
        <f t="shared" si="42"/>
        <v>-3.2810662489658256E-2</v>
      </c>
      <c r="AZ45" s="40">
        <f t="shared" si="43"/>
        <v>-0.19137086523727842</v>
      </c>
      <c r="BA45" s="40">
        <f t="shared" si="44"/>
        <v>-6.1558732659849312E-2</v>
      </c>
      <c r="BB45" s="40">
        <f t="shared" si="45"/>
        <v>5.1451472974813353E-2</v>
      </c>
      <c r="BC45" s="40">
        <f t="shared" si="46"/>
        <v>2.4555416699722051E-2</v>
      </c>
      <c r="BD45" s="40">
        <f t="shared" si="47"/>
        <v>-4.111939672132138E-2</v>
      </c>
      <c r="BE45" s="40">
        <f t="shared" si="48"/>
        <v>1.9189524303919705E-2</v>
      </c>
      <c r="BF45" s="40">
        <f t="shared" si="49"/>
        <v>3.9110970864745555E-2</v>
      </c>
      <c r="BG45" s="40">
        <f t="shared" si="50"/>
        <v>4.7618377832198064E-2</v>
      </c>
      <c r="BH45" s="40">
        <f t="shared" si="51"/>
        <v>-2.8041192556300689E-2</v>
      </c>
      <c r="BI45" s="40">
        <f t="shared" si="52"/>
        <v>0.30409877617072117</v>
      </c>
      <c r="BJ45" s="40">
        <f t="shared" si="53"/>
        <v>-0.26549093627798048</v>
      </c>
      <c r="BK45" s="40">
        <f t="shared" si="54"/>
        <v>-0.10793132561267749</v>
      </c>
      <c r="BL45" s="40">
        <f t="shared" si="55"/>
        <v>-2.1776110336984074E-2</v>
      </c>
      <c r="BM45" s="40">
        <f t="shared" si="56"/>
        <v>0.1004747204898276</v>
      </c>
      <c r="BN45" s="40">
        <f t="shared" si="57"/>
        <v>5.7088584101367197E-2</v>
      </c>
      <c r="BO45" s="40">
        <f t="shared" si="58"/>
        <v>0.12338865116182456</v>
      </c>
      <c r="BP45" s="691">
        <f t="shared" si="59"/>
        <v>6.9280998325812859E-2</v>
      </c>
      <c r="BQ45" s="691">
        <f t="shared" si="60"/>
        <v>6.1750864096200833E-3</v>
      </c>
      <c r="BR45" s="691">
        <f t="shared" si="61"/>
        <v>6.223864148824091E-2</v>
      </c>
      <c r="BS45" s="691">
        <f t="shared" si="62"/>
        <v>-2.955007670106707E-2</v>
      </c>
      <c r="BT45" s="40"/>
      <c r="BV45" s="13" t="s">
        <v>36</v>
      </c>
      <c r="BW45" s="40">
        <f t="shared" si="63"/>
        <v>-3.2810662489658256E-2</v>
      </c>
      <c r="BX45" s="40">
        <f t="shared" si="64"/>
        <v>-0.21790252285728248</v>
      </c>
      <c r="BY45" s="40">
        <f t="shared" si="65"/>
        <v>-0.26604745236665361</v>
      </c>
      <c r="BZ45" s="40">
        <f t="shared" si="66"/>
        <v>-0.2282845126973011</v>
      </c>
      <c r="CA45" s="40">
        <f t="shared" si="67"/>
        <v>-0.20933471733295425</v>
      </c>
      <c r="CB45" s="40">
        <f t="shared" si="68"/>
        <v>-0.24184639676471623</v>
      </c>
      <c r="CC45" s="40">
        <f t="shared" si="69"/>
        <v>-0.22729778976932846</v>
      </c>
      <c r="CD45" s="40">
        <f t="shared" si="70"/>
        <v>-0.19707665613787215</v>
      </c>
      <c r="CE45" s="40">
        <f t="shared" si="71"/>
        <v>-0.15884274897955347</v>
      </c>
      <c r="CF45" s="40">
        <f t="shared" si="72"/>
        <v>-0.18242980142554635</v>
      </c>
      <c r="CG45" s="40">
        <f t="shared" si="73"/>
        <v>6.6192295394598491E-2</v>
      </c>
      <c r="CH45" s="40">
        <f t="shared" si="74"/>
        <v>-0.21687209536208257</v>
      </c>
      <c r="CI45" s="40">
        <f t="shared" si="75"/>
        <v>-0.30139612823393147</v>
      </c>
      <c r="CJ45" s="40">
        <f t="shared" si="76"/>
        <v>-0.31660900322735369</v>
      </c>
      <c r="CK45" s="40">
        <f t="shared" si="77"/>
        <v>-0.24794548384135734</v>
      </c>
      <c r="CL45" s="40">
        <f t="shared" si="78"/>
        <v>-0.20501175634682164</v>
      </c>
      <c r="CM45" s="40">
        <f t="shared" si="79"/>
        <v>-0.10691922927294804</v>
      </c>
      <c r="CN45" s="691">
        <f t="shared" si="80"/>
        <v>-4.5045701891391503E-2</v>
      </c>
      <c r="CO45" s="691">
        <f t="shared" si="81"/>
        <v>-3.9148776583332746E-2</v>
      </c>
      <c r="CP45" s="691">
        <f t="shared" si="82"/>
        <v>2.0653298234434878E-2</v>
      </c>
      <c r="CQ45" s="691">
        <f t="shared" si="83"/>
        <v>-9.507085013589758E-3</v>
      </c>
    </row>
    <row r="46" spans="1:95">
      <c r="A46" s="13" t="s">
        <v>37</v>
      </c>
      <c r="B46" s="319">
        <v>16936012.789999999</v>
      </c>
      <c r="C46" s="319">
        <v>16655049.57</v>
      </c>
      <c r="D46" s="319">
        <v>17541102</v>
      </c>
      <c r="E46" s="319">
        <v>17115478.25</v>
      </c>
      <c r="F46" s="319">
        <v>18595504.199999999</v>
      </c>
      <c r="G46" s="319">
        <v>22027843.5</v>
      </c>
      <c r="H46" s="319">
        <v>19609196.370000001</v>
      </c>
      <c r="I46" s="319">
        <v>20506027.02</v>
      </c>
      <c r="J46" s="319">
        <v>19821833.789999999</v>
      </c>
      <c r="K46" s="319">
        <v>21676661.82</v>
      </c>
      <c r="L46" s="319">
        <v>20950785.41</v>
      </c>
      <c r="M46" s="319">
        <v>22291614.629999999</v>
      </c>
      <c r="N46" s="319">
        <v>24242658.359999999</v>
      </c>
      <c r="O46" s="319">
        <v>23885905.789999999</v>
      </c>
      <c r="P46" s="319">
        <v>22751216.649999999</v>
      </c>
      <c r="Q46" s="319">
        <v>24118836.760000002</v>
      </c>
      <c r="R46" s="319">
        <v>23428888.829999998</v>
      </c>
      <c r="S46" s="319">
        <v>24671451.34</v>
      </c>
      <c r="T46" s="677">
        <v>25143098.039999999</v>
      </c>
      <c r="U46" s="677">
        <v>26492392.09</v>
      </c>
      <c r="V46" s="678">
        <v>28636857.66</v>
      </c>
      <c r="W46" s="809">
        <v>29317415.190000001</v>
      </c>
      <c r="X46" s="811"/>
      <c r="Y46" s="13" t="s">
        <v>37</v>
      </c>
      <c r="Z46" s="319">
        <f>B46/'Population &amp; Income'!B45</f>
        <v>3883.5158885576702</v>
      </c>
      <c r="AA46" s="319">
        <f>C46/'Population &amp; Income'!C45</f>
        <v>3786.0990156853832</v>
      </c>
      <c r="AB46" s="319">
        <f>D46/'Population &amp; Income'!D45</f>
        <v>3970.3716613852421</v>
      </c>
      <c r="AC46" s="319">
        <f>E46/'Population &amp; Income'!E45</f>
        <v>3909.4285632708998</v>
      </c>
      <c r="AD46" s="319">
        <f>F46/'Population &amp; Income'!F45</f>
        <v>4268.9403581267215</v>
      </c>
      <c r="AE46" s="319">
        <f>G46/'Population &amp; Income'!G45</f>
        <v>5127.5240921787708</v>
      </c>
      <c r="AF46" s="319">
        <f>H46/'Population &amp; Income'!H45</f>
        <v>4579.4480079402147</v>
      </c>
      <c r="AG46" s="319">
        <f>I46/'Population &amp; Income'!I45</f>
        <v>4820.4106770098733</v>
      </c>
      <c r="AH46" s="319">
        <f>J46/'Population &amp; Income'!J45</f>
        <v>4679.3753045325775</v>
      </c>
      <c r="AI46" s="319">
        <f>K46/'Population &amp; Income'!K45</f>
        <v>5175.89823782235</v>
      </c>
      <c r="AJ46" s="319">
        <f>L46/'Population &amp; Income'!L45</f>
        <v>5038.6689297739294</v>
      </c>
      <c r="AK46" s="319">
        <f>M46/'Population &amp; Income'!M45</f>
        <v>5368.885989884393</v>
      </c>
      <c r="AL46" s="319">
        <f>N46/'Population &amp; Income'!N45</f>
        <v>5888.4280689822681</v>
      </c>
      <c r="AM46" s="319">
        <f>O46/'Population &amp; Income'!O45</f>
        <v>5810.2422257358303</v>
      </c>
      <c r="AN46" s="319">
        <f>P46/'Population &amp; Income'!P45</f>
        <v>5512.7736006784589</v>
      </c>
      <c r="AO46" s="319">
        <f>Q46/'Population &amp; Income'!Q45</f>
        <v>5858.352382803012</v>
      </c>
      <c r="AP46" s="319">
        <f>R46/'Population &amp; Income'!R45</f>
        <v>5739.5612028417436</v>
      </c>
      <c r="AQ46" s="319">
        <f>S46/'Population &amp; Income'!S45</f>
        <v>6066.2530956478977</v>
      </c>
      <c r="AR46" s="697">
        <f>T46/'Population &amp; Income'!T45</f>
        <v>6298.3712525050096</v>
      </c>
      <c r="AS46" s="697">
        <f>U46/'Population &amp; Income'!U45</f>
        <v>6794.6632700692489</v>
      </c>
      <c r="AT46" s="697">
        <f>V46/'Population &amp; Income'!V45</f>
        <v>7279.3232486019315</v>
      </c>
      <c r="AU46" s="697">
        <f>W46/'Population &amp; Income'!W45</f>
        <v>7371.7413100326885</v>
      </c>
      <c r="AV46" s="690"/>
      <c r="AW46" s="486"/>
      <c r="AX46" s="13" t="s">
        <v>37</v>
      </c>
      <c r="AY46" s="40">
        <f t="shared" si="42"/>
        <v>-1.6589691061516896E-2</v>
      </c>
      <c r="AZ46" s="40">
        <f t="shared" si="43"/>
        <v>5.3200227731294569E-2</v>
      </c>
      <c r="BA46" s="40">
        <f t="shared" si="44"/>
        <v>-2.4264367768912123E-2</v>
      </c>
      <c r="BB46" s="40">
        <f t="shared" si="45"/>
        <v>8.6472953217068257E-2</v>
      </c>
      <c r="BC46" s="40">
        <f t="shared" si="46"/>
        <v>0.18457898549478433</v>
      </c>
      <c r="BD46" s="40">
        <f t="shared" si="47"/>
        <v>-0.10979954211132828</v>
      </c>
      <c r="BE46" s="40">
        <f t="shared" si="48"/>
        <v>4.573520674065229E-2</v>
      </c>
      <c r="BF46" s="40">
        <f t="shared" si="49"/>
        <v>-3.3365470031454215E-2</v>
      </c>
      <c r="BG46" s="40">
        <f t="shared" si="50"/>
        <v>9.3574996624971762E-2</v>
      </c>
      <c r="BH46" s="40">
        <f t="shared" si="51"/>
        <v>-3.3486540318226919E-2</v>
      </c>
      <c r="BI46" s="40">
        <f t="shared" si="52"/>
        <v>6.3998995443865739E-2</v>
      </c>
      <c r="BJ46" s="40">
        <f t="shared" si="53"/>
        <v>8.7523661358037769E-2</v>
      </c>
      <c r="BK46" s="40">
        <f t="shared" si="54"/>
        <v>-1.4715901395889667E-2</v>
      </c>
      <c r="BL46" s="40">
        <f t="shared" si="55"/>
        <v>-4.7504547241203898E-2</v>
      </c>
      <c r="BM46" s="40">
        <f t="shared" si="56"/>
        <v>6.0111954935825516E-2</v>
      </c>
      <c r="BN46" s="40">
        <f t="shared" si="57"/>
        <v>-2.8606185980919727E-2</v>
      </c>
      <c r="BO46" s="40">
        <f t="shared" si="58"/>
        <v>5.3035486190405122E-2</v>
      </c>
      <c r="BP46" s="691">
        <f t="shared" si="59"/>
        <v>1.9117103955506465E-2</v>
      </c>
      <c r="BQ46" s="691">
        <f t="shared" si="60"/>
        <v>5.3664590093608085E-2</v>
      </c>
      <c r="BR46" s="691">
        <f t="shared" si="61"/>
        <v>8.0946468054482135E-2</v>
      </c>
      <c r="BS46" s="691">
        <f t="shared" si="62"/>
        <v>2.3765091061321467E-2</v>
      </c>
      <c r="BT46" s="40"/>
      <c r="BV46" s="13" t="s">
        <v>37</v>
      </c>
      <c r="BW46" s="40">
        <f t="shared" si="63"/>
        <v>-1.6589691061516896E-2</v>
      </c>
      <c r="BX46" s="40">
        <f t="shared" si="64"/>
        <v>3.5727961327313151E-2</v>
      </c>
      <c r="BY46" s="40">
        <f t="shared" si="65"/>
        <v>1.0596677165121632E-2</v>
      </c>
      <c r="BZ46" s="40">
        <f t="shared" si="66"/>
        <v>9.7985956350945827E-2</v>
      </c>
      <c r="CA46" s="40">
        <f t="shared" si="67"/>
        <v>0.30065109026172393</v>
      </c>
      <c r="CB46" s="40">
        <f t="shared" si="68"/>
        <v>0.15784019610438674</v>
      </c>
      <c r="CC46" s="40">
        <f t="shared" si="69"/>
        <v>0.21079425684585826</v>
      </c>
      <c r="CD46" s="40">
        <f t="shared" si="70"/>
        <v>0.17039553735481089</v>
      </c>
      <c r="CE46" s="40">
        <f t="shared" si="71"/>
        <v>0.27991529581266933</v>
      </c>
      <c r="CF46" s="40">
        <f t="shared" si="72"/>
        <v>0.23705536065552305</v>
      </c>
      <c r="CG46" s="40">
        <f t="shared" si="73"/>
        <v>0.31622566104592559</v>
      </c>
      <c r="CH46" s="40">
        <f t="shared" si="74"/>
        <v>0.43142655007406855</v>
      </c>
      <c r="CI46" s="40">
        <f t="shared" si="75"/>
        <v>0.41036181810772004</v>
      </c>
      <c r="CJ46" s="40">
        <f t="shared" si="76"/>
        <v>0.34336321849223167</v>
      </c>
      <c r="CK46" s="40">
        <f t="shared" si="77"/>
        <v>0.4241154077446822</v>
      </c>
      <c r="CL46" s="40">
        <f t="shared" si="78"/>
        <v>0.38337689753244447</v>
      </c>
      <c r="CM46" s="40">
        <f t="shared" si="79"/>
        <v>0.45674496387765195</v>
      </c>
      <c r="CN46" s="691">
        <f t="shared" si="80"/>
        <v>0.48459370878876151</v>
      </c>
      <c r="CO46" s="691">
        <f t="shared" si="81"/>
        <v>0.56426382162645972</v>
      </c>
      <c r="CP46" s="691">
        <f t="shared" si="82"/>
        <v>0.69088545309252813</v>
      </c>
      <c r="CQ46" s="691">
        <f t="shared" si="83"/>
        <v>0.73106949985953584</v>
      </c>
    </row>
    <row r="47" spans="1:95">
      <c r="A47" s="13" t="s">
        <v>38</v>
      </c>
      <c r="B47" s="319">
        <v>251411352.69999999</v>
      </c>
      <c r="C47" s="319">
        <v>265420243</v>
      </c>
      <c r="D47" s="319">
        <v>277897615.80000001</v>
      </c>
      <c r="E47" s="319">
        <v>294379452.38</v>
      </c>
      <c r="F47" s="319">
        <v>300239242.79000002</v>
      </c>
      <c r="G47" s="319">
        <v>301555652.19</v>
      </c>
      <c r="H47" s="319">
        <v>303421140.23000002</v>
      </c>
      <c r="I47" s="319">
        <v>316376871.80000001</v>
      </c>
      <c r="J47" s="319">
        <v>335995352.39999998</v>
      </c>
      <c r="K47" s="319">
        <v>364494431.75</v>
      </c>
      <c r="L47" s="319">
        <v>382967328.75</v>
      </c>
      <c r="M47" s="319">
        <v>376038329.88999999</v>
      </c>
      <c r="N47" s="319">
        <v>359798228.10000002</v>
      </c>
      <c r="O47" s="319">
        <v>355594186.27999997</v>
      </c>
      <c r="P47" s="319">
        <v>355024484.94999999</v>
      </c>
      <c r="Q47" s="319">
        <v>357205328.06999999</v>
      </c>
      <c r="R47" s="319">
        <v>366046318.95999998</v>
      </c>
      <c r="S47" s="319">
        <v>362144635.13999999</v>
      </c>
      <c r="T47" s="677">
        <v>382115028.5</v>
      </c>
      <c r="U47" s="677">
        <v>395951891.80000001</v>
      </c>
      <c r="V47" s="678">
        <v>407800325.19</v>
      </c>
      <c r="W47" s="809">
        <v>408866315.16000003</v>
      </c>
      <c r="X47" s="811"/>
      <c r="Y47" s="13" t="s">
        <v>38</v>
      </c>
      <c r="Z47" s="319">
        <f>B47/'Population &amp; Income'!B46</f>
        <v>8291.1107970847206</v>
      </c>
      <c r="AA47" s="319">
        <f>C47/'Population &amp; Income'!C46</f>
        <v>8545.1287144650851</v>
      </c>
      <c r="AB47" s="319">
        <f>D47/'Population &amp; Income'!D46</f>
        <v>8776.1760871624829</v>
      </c>
      <c r="AC47" s="319">
        <f>E47/'Population &amp; Income'!E46</f>
        <v>9158.7160842511348</v>
      </c>
      <c r="AD47" s="319">
        <f>F47/'Population &amp; Income'!F46</f>
        <v>9210.3577762439418</v>
      </c>
      <c r="AE47" s="319">
        <f>G47/'Population &amp; Income'!G46</f>
        <v>9168.8908811456713</v>
      </c>
      <c r="AF47" s="319">
        <f>H47/'Population &amp; Income'!H46</f>
        <v>9233.1915352078395</v>
      </c>
      <c r="AG47" s="319">
        <f>I47/'Population &amp; Income'!I46</f>
        <v>9542.357768059117</v>
      </c>
      <c r="AH47" s="319">
        <f>J47/'Population &amp; Income'!J46</f>
        <v>10025.82139468266</v>
      </c>
      <c r="AI47" s="319">
        <f>K47/'Population &amp; Income'!K46</f>
        <v>10646.525054036687</v>
      </c>
      <c r="AJ47" s="319">
        <f>L47/'Population &amp; Income'!L46</f>
        <v>10961.654656953946</v>
      </c>
      <c r="AK47" s="319">
        <f>M47/'Population &amp; Income'!M46</f>
        <v>10642.694644949481</v>
      </c>
      <c r="AL47" s="319">
        <f>N47/'Population &amp; Income'!N46</f>
        <v>10130.025004223211</v>
      </c>
      <c r="AM47" s="319">
        <f>O47/'Population &amp; Income'!O46</f>
        <v>10057.818873709517</v>
      </c>
      <c r="AN47" s="319">
        <f>P47/'Population &amp; Income'!P46</f>
        <v>9959.1697977446129</v>
      </c>
      <c r="AO47" s="319">
        <f>Q47/'Population &amp; Income'!Q46</f>
        <v>10034.985056467018</v>
      </c>
      <c r="AP47" s="319">
        <f>R47/'Population &amp; Income'!R46</f>
        <v>10335.328202840443</v>
      </c>
      <c r="AQ47" s="319">
        <f>S47/'Population &amp; Income'!S46</f>
        <v>10153.49300866347</v>
      </c>
      <c r="AR47" s="697">
        <f>T47/'Population &amp; Income'!T46</f>
        <v>10765.926478460542</v>
      </c>
      <c r="AS47" s="697">
        <f>U47/'Population &amp; Income'!U46</f>
        <v>11157.660320680812</v>
      </c>
      <c r="AT47" s="697">
        <f>V47/'Population &amp; Income'!V46</f>
        <v>11490.56988419273</v>
      </c>
      <c r="AU47" s="697">
        <f>W47/'Population &amp; Income'!W46</f>
        <v>11535.883394746495</v>
      </c>
      <c r="AV47" s="690"/>
      <c r="AW47" s="486"/>
      <c r="AX47" s="13" t="s">
        <v>38</v>
      </c>
      <c r="AY47" s="40">
        <f t="shared" si="42"/>
        <v>5.5720993302622694E-2</v>
      </c>
      <c r="AZ47" s="40">
        <f t="shared" si="43"/>
        <v>4.7009876334112209E-2</v>
      </c>
      <c r="BA47" s="40">
        <f t="shared" si="44"/>
        <v>5.9309024773576281E-2</v>
      </c>
      <c r="BB47" s="40">
        <f t="shared" si="45"/>
        <v>1.9905568689067028E-2</v>
      </c>
      <c r="BC47" s="40">
        <f t="shared" si="46"/>
        <v>4.3845347722273878E-3</v>
      </c>
      <c r="BD47" s="40">
        <f t="shared" si="47"/>
        <v>6.1862148046379203E-3</v>
      </c>
      <c r="BE47" s="40">
        <f t="shared" si="48"/>
        <v>4.2698842803699365E-2</v>
      </c>
      <c r="BF47" s="40">
        <f t="shared" si="49"/>
        <v>6.2009844425043599E-2</v>
      </c>
      <c r="BG47" s="40">
        <f t="shared" si="50"/>
        <v>8.4819861782112038E-2</v>
      </c>
      <c r="BH47" s="40">
        <f t="shared" si="51"/>
        <v>5.068087573055223E-2</v>
      </c>
      <c r="BI47" s="40">
        <f t="shared" si="52"/>
        <v>-1.8092924225719644E-2</v>
      </c>
      <c r="BJ47" s="40">
        <f t="shared" si="53"/>
        <v>-4.318735750887568E-2</v>
      </c>
      <c r="BK47" s="40">
        <f t="shared" si="54"/>
        <v>-1.1684442811740607E-2</v>
      </c>
      <c r="BL47" s="40">
        <f t="shared" si="55"/>
        <v>-1.6021109230154632E-3</v>
      </c>
      <c r="BM47" s="40">
        <f t="shared" si="56"/>
        <v>6.1427963772897089E-3</v>
      </c>
      <c r="BN47" s="40">
        <f t="shared" si="57"/>
        <v>2.4750445178878897E-2</v>
      </c>
      <c r="BO47" s="40">
        <f t="shared" si="58"/>
        <v>-1.0658989362563027E-2</v>
      </c>
      <c r="BP47" s="691">
        <f t="shared" si="59"/>
        <v>5.5144799680049775E-2</v>
      </c>
      <c r="BQ47" s="691">
        <f t="shared" si="60"/>
        <v>3.6211251241064474E-2</v>
      </c>
      <c r="BR47" s="691">
        <f t="shared" si="61"/>
        <v>2.9923921656585417E-2</v>
      </c>
      <c r="BS47" s="691">
        <f t="shared" si="62"/>
        <v>2.6139998037112123E-3</v>
      </c>
      <c r="BT47" s="40"/>
      <c r="BV47" s="13" t="s">
        <v>38</v>
      </c>
      <c r="BW47" s="40">
        <f t="shared" si="63"/>
        <v>5.5720993302622694E-2</v>
      </c>
      <c r="BX47" s="40">
        <f t="shared" si="64"/>
        <v>0.10535030664110509</v>
      </c>
      <c r="BY47" s="40">
        <f t="shared" si="65"/>
        <v>0.17090755536116253</v>
      </c>
      <c r="BZ47" s="40">
        <f t="shared" si="66"/>
        <v>0.19421513613295172</v>
      </c>
      <c r="CA47" s="40">
        <f t="shared" si="67"/>
        <v>0.1994512139228469</v>
      </c>
      <c r="CB47" s="40">
        <f t="shared" si="68"/>
        <v>0.20687127677985734</v>
      </c>
      <c r="CC47" s="40">
        <f t="shared" si="69"/>
        <v>0.25840328371138044</v>
      </c>
      <c r="CD47" s="40">
        <f t="shared" si="70"/>
        <v>0.3364366755582871</v>
      </c>
      <c r="CE47" s="40">
        <f t="shared" si="71"/>
        <v>0.44979304965968636</v>
      </c>
      <c r="CF47" s="40">
        <f t="shared" si="72"/>
        <v>0.52326983104450719</v>
      </c>
      <c r="CG47" s="40">
        <f t="shared" si="73"/>
        <v>0.4957094254160942</v>
      </c>
      <c r="CH47" s="40">
        <f t="shared" si="74"/>
        <v>0.4311136877312543</v>
      </c>
      <c r="CI47" s="40">
        <f t="shared" si="75"/>
        <v>0.41439192168985928</v>
      </c>
      <c r="CJ47" s="40">
        <f t="shared" si="76"/>
        <v>0.41212590894269513</v>
      </c>
      <c r="CK47" s="40">
        <f t="shared" si="77"/>
        <v>0.42080031086042524</v>
      </c>
      <c r="CL47" s="40">
        <f t="shared" si="78"/>
        <v>0.45596575106451026</v>
      </c>
      <c r="CM47" s="40">
        <f t="shared" si="79"/>
        <v>0.44044662761165759</v>
      </c>
      <c r="CN47" s="691">
        <f t="shared" si="80"/>
        <v>0.51987976834110572</v>
      </c>
      <c r="CO47" s="691">
        <f t="shared" si="81"/>
        <v>0.57491651648871633</v>
      </c>
      <c r="CP47" s="691">
        <f t="shared" si="82"/>
        <v>0.62204419494378715</v>
      </c>
      <c r="CQ47" s="691">
        <f t="shared" si="83"/>
        <v>0.62628421815098112</v>
      </c>
    </row>
    <row r="48" spans="1:95">
      <c r="A48" s="13" t="s">
        <v>39</v>
      </c>
      <c r="B48" s="319">
        <v>153496186.09999999</v>
      </c>
      <c r="C48" s="319">
        <v>160313658</v>
      </c>
      <c r="D48" s="319">
        <v>166665025.19999999</v>
      </c>
      <c r="E48" s="319">
        <v>174822735.93000001</v>
      </c>
      <c r="F48" s="319">
        <v>176474690.34999999</v>
      </c>
      <c r="G48" s="319">
        <v>181405844.86000001</v>
      </c>
      <c r="H48" s="319">
        <v>180936892.12</v>
      </c>
      <c r="I48" s="319">
        <v>198186472.06999999</v>
      </c>
      <c r="J48" s="319">
        <v>212165457.99000001</v>
      </c>
      <c r="K48" s="319">
        <v>225324139.22999999</v>
      </c>
      <c r="L48" s="319">
        <v>235376927.69</v>
      </c>
      <c r="M48" s="319">
        <v>248010681.25</v>
      </c>
      <c r="N48" s="319">
        <v>252562656.03999999</v>
      </c>
      <c r="O48" s="319">
        <v>235459281.11000001</v>
      </c>
      <c r="P48" s="319">
        <v>236553761.55000001</v>
      </c>
      <c r="Q48" s="319">
        <v>235721920.47</v>
      </c>
      <c r="R48" s="319">
        <v>242256510.27000001</v>
      </c>
      <c r="S48" s="319">
        <v>245673551</v>
      </c>
      <c r="T48" s="677">
        <v>262397037.63999999</v>
      </c>
      <c r="U48" s="677">
        <v>278076208.92000002</v>
      </c>
      <c r="V48" s="678">
        <v>284620644</v>
      </c>
      <c r="W48" s="809">
        <v>285072675.69999999</v>
      </c>
      <c r="X48" s="811"/>
      <c r="Y48" s="13" t="s">
        <v>39</v>
      </c>
      <c r="Z48" s="319">
        <f>B48/'Population &amp; Income'!B47</f>
        <v>4633.1477844853607</v>
      </c>
      <c r="AA48" s="319">
        <f>C48/'Population &amp; Income'!C47</f>
        <v>4756.3761459724074</v>
      </c>
      <c r="AB48" s="319">
        <f>D48/'Population &amp; Income'!D47</f>
        <v>4877.3821427526264</v>
      </c>
      <c r="AC48" s="319">
        <f>E48/'Population &amp; Income'!E47</f>
        <v>5034.7820156668495</v>
      </c>
      <c r="AD48" s="319">
        <f>F48/'Population &amp; Income'!F47</f>
        <v>4991.9294622652178</v>
      </c>
      <c r="AE48" s="319">
        <f>G48/'Population &amp; Income'!G47</f>
        <v>5086.3828644329178</v>
      </c>
      <c r="AF48" s="319">
        <f>H48/'Population &amp; Income'!H47</f>
        <v>4993.5665982226637</v>
      </c>
      <c r="AG48" s="319">
        <f>I48/'Population &amp; Income'!I47</f>
        <v>5438.5574509481075</v>
      </c>
      <c r="AH48" s="319">
        <f>J48/'Population &amp; Income'!J47</f>
        <v>5765.6790583727379</v>
      </c>
      <c r="AI48" s="319">
        <f>K48/'Population &amp; Income'!K47</f>
        <v>6024.8706978796217</v>
      </c>
      <c r="AJ48" s="319">
        <f>L48/'Population &amp; Income'!L47</f>
        <v>6230.3641623653348</v>
      </c>
      <c r="AK48" s="319">
        <f>M48/'Population &amp; Income'!M47</f>
        <v>6471.5883738225084</v>
      </c>
      <c r="AL48" s="319">
        <f>N48/'Population &amp; Income'!N47</f>
        <v>6558.7061400228522</v>
      </c>
      <c r="AM48" s="319">
        <f>O48/'Population &amp; Income'!O47</f>
        <v>6091.7748398530484</v>
      </c>
      <c r="AN48" s="319">
        <f>P48/'Population &amp; Income'!P47</f>
        <v>6128.0182775503863</v>
      </c>
      <c r="AO48" s="319">
        <f>Q48/'Population &amp; Income'!Q47</f>
        <v>6112.3277705173086</v>
      </c>
      <c r="AP48" s="319">
        <f>R48/'Population &amp; Income'!R47</f>
        <v>6297.774982972418</v>
      </c>
      <c r="AQ48" s="319">
        <f>S48/'Population &amp; Income'!S47</f>
        <v>6433.7711405001965</v>
      </c>
      <c r="AR48" s="697">
        <f>T48/'Population &amp; Income'!T47</f>
        <v>6905.7303902939702</v>
      </c>
      <c r="AS48" s="697">
        <f>U48/'Population &amp; Income'!U47</f>
        <v>7290.1690677432889</v>
      </c>
      <c r="AT48" s="697">
        <f>V48/'Population &amp; Income'!V47</f>
        <v>7415.6651468174359</v>
      </c>
      <c r="AU48" s="697">
        <f>W48/'Population &amp; Income'!W47</f>
        <v>7417.2002836030597</v>
      </c>
      <c r="AV48" s="690"/>
      <c r="AW48" s="486"/>
      <c r="AX48" s="13" t="s">
        <v>39</v>
      </c>
      <c r="AY48" s="40">
        <f t="shared" si="42"/>
        <v>4.4414601256337054E-2</v>
      </c>
      <c r="AZ48" s="40">
        <f t="shared" si="43"/>
        <v>3.9618378616249825E-2</v>
      </c>
      <c r="BA48" s="40">
        <f t="shared" si="44"/>
        <v>4.8946746446716524E-2</v>
      </c>
      <c r="BB48" s="40">
        <f t="shared" si="45"/>
        <v>9.449311104829286E-3</v>
      </c>
      <c r="BC48" s="40">
        <f t="shared" si="46"/>
        <v>2.7942559356359399E-2</v>
      </c>
      <c r="BD48" s="40">
        <f t="shared" si="47"/>
        <v>-2.585102703619742E-3</v>
      </c>
      <c r="BE48" s="40">
        <f t="shared" si="48"/>
        <v>9.5334786332904473E-2</v>
      </c>
      <c r="BF48" s="40">
        <f t="shared" si="49"/>
        <v>7.0534511129814154E-2</v>
      </c>
      <c r="BG48" s="40">
        <f t="shared" si="50"/>
        <v>6.2020846204947216E-2</v>
      </c>
      <c r="BH48" s="40">
        <f t="shared" si="51"/>
        <v>4.4614786921425259E-2</v>
      </c>
      <c r="BI48" s="40">
        <f t="shared" si="52"/>
        <v>5.3674562260576007E-2</v>
      </c>
      <c r="BJ48" s="40">
        <f t="shared" si="53"/>
        <v>1.8353946560114097E-2</v>
      </c>
      <c r="BK48" s="40">
        <f t="shared" si="54"/>
        <v>-6.7719334275971516E-2</v>
      </c>
      <c r="BL48" s="40">
        <f t="shared" si="55"/>
        <v>4.6482790350858448E-3</v>
      </c>
      <c r="BM48" s="40">
        <f t="shared" si="56"/>
        <v>-3.516499059450332E-3</v>
      </c>
      <c r="BN48" s="40">
        <f t="shared" si="57"/>
        <v>2.7721604282583724E-2</v>
      </c>
      <c r="BO48" s="40">
        <f t="shared" si="58"/>
        <v>1.4105052228283257E-2</v>
      </c>
      <c r="BP48" s="691">
        <f t="shared" si="59"/>
        <v>6.8071986471185036E-2</v>
      </c>
      <c r="BQ48" s="691">
        <f t="shared" si="60"/>
        <v>5.9753613916599668E-2</v>
      </c>
      <c r="BR48" s="691">
        <f t="shared" si="61"/>
        <v>2.3534681752953406E-2</v>
      </c>
      <c r="BS48" s="691">
        <f t="shared" si="62"/>
        <v>1.5881901384496484E-3</v>
      </c>
      <c r="BT48" s="40"/>
      <c r="BV48" s="13" t="s">
        <v>39</v>
      </c>
      <c r="BW48" s="40">
        <f t="shared" si="63"/>
        <v>4.4414601256337054E-2</v>
      </c>
      <c r="BX48" s="40">
        <f t="shared" si="64"/>
        <v>8.5792614361250213E-2</v>
      </c>
      <c r="BY48" s="40">
        <f t="shared" si="65"/>
        <v>0.13893863015010777</v>
      </c>
      <c r="BZ48" s="40">
        <f t="shared" si="66"/>
        <v>0.14970081559570425</v>
      </c>
      <c r="CA48" s="40">
        <f t="shared" si="67"/>
        <v>0.18182639887754201</v>
      </c>
      <c r="CB48" s="40">
        <f t="shared" si="68"/>
        <v>0.1787712562585945</v>
      </c>
      <c r="CC48" s="40">
        <f t="shared" si="69"/>
        <v>0.29114916210937702</v>
      </c>
      <c r="CD48" s="40">
        <f t="shared" si="70"/>
        <v>0.38221973705443107</v>
      </c>
      <c r="CE48" s="40">
        <f t="shared" si="71"/>
        <v>0.46794617478772654</v>
      </c>
      <c r="CF48" s="40">
        <f t="shared" si="72"/>
        <v>0.53343828058800224</v>
      </c>
      <c r="CG48" s="40">
        <f t="shared" si="73"/>
        <v>0.61574490905217361</v>
      </c>
      <c r="CH48" s="40">
        <f t="shared" si="74"/>
        <v>0.64540020476769355</v>
      </c>
      <c r="CI48" s="40">
        <f t="shared" si="75"/>
        <v>0.5339747982832781</v>
      </c>
      <c r="CJ48" s="40">
        <f t="shared" si="76"/>
        <v>0.5411051411784884</v>
      </c>
      <c r="CK48" s="40">
        <f t="shared" si="77"/>
        <v>0.53568584639902017</v>
      </c>
      <c r="CL48" s="40">
        <f t="shared" si="78"/>
        <v>0.57825752173525846</v>
      </c>
      <c r="CM48" s="40">
        <f t="shared" si="79"/>
        <v>0.60051892650901517</v>
      </c>
      <c r="CN48" s="691">
        <f t="shared" si="80"/>
        <v>0.70946942922121237</v>
      </c>
      <c r="CO48" s="691">
        <f t="shared" si="81"/>
        <v>0.81161640549712677</v>
      </c>
      <c r="CP48" s="691">
        <f t="shared" si="82"/>
        <v>0.85425222105893095</v>
      </c>
      <c r="CQ48" s="691">
        <f t="shared" si="83"/>
        <v>0.85719712615061516</v>
      </c>
    </row>
    <row r="49" spans="1:95">
      <c r="A49" s="13" t="s">
        <v>40</v>
      </c>
      <c r="B49" s="319">
        <v>34531474.869999997</v>
      </c>
      <c r="C49" s="319">
        <v>38758127.109999999</v>
      </c>
      <c r="D49" s="319">
        <v>38901638.030000001</v>
      </c>
      <c r="E49" s="319">
        <v>39470002.700000003</v>
      </c>
      <c r="F49" s="319">
        <v>39669376.590000004</v>
      </c>
      <c r="G49" s="319">
        <v>50559886.439999998</v>
      </c>
      <c r="H49" s="319">
        <v>44713565.390000001</v>
      </c>
      <c r="I49" s="319">
        <v>44308062.43</v>
      </c>
      <c r="J49" s="319">
        <v>46064067.259999998</v>
      </c>
      <c r="K49" s="319">
        <v>51691173.979999997</v>
      </c>
      <c r="L49" s="319">
        <v>52837338.789999999</v>
      </c>
      <c r="M49" s="319">
        <v>53885263.799999997</v>
      </c>
      <c r="N49" s="319">
        <v>54984412.140000001</v>
      </c>
      <c r="O49" s="319">
        <v>52740426.689999998</v>
      </c>
      <c r="P49" s="319">
        <v>53912407.200000003</v>
      </c>
      <c r="Q49" s="319">
        <v>57937206.490000002</v>
      </c>
      <c r="R49" s="319">
        <v>58538127.229999997</v>
      </c>
      <c r="S49" s="319">
        <v>61874691.979999997</v>
      </c>
      <c r="T49" s="677">
        <v>63187693.310000002</v>
      </c>
      <c r="U49" s="677">
        <v>66340873.649999999</v>
      </c>
      <c r="V49" s="678">
        <v>65281270.899999999</v>
      </c>
      <c r="W49" s="809">
        <v>69176050.200000003</v>
      </c>
      <c r="X49" s="811"/>
      <c r="Y49" s="13" t="s">
        <v>40</v>
      </c>
      <c r="Z49" s="319">
        <f>B49/'Population &amp; Income'!B48</f>
        <v>3368.5957340747241</v>
      </c>
      <c r="AA49" s="319">
        <f>C49/'Population &amp; Income'!C48</f>
        <v>3782.3877339709184</v>
      </c>
      <c r="AB49" s="319">
        <f>D49/'Population &amp; Income'!D48</f>
        <v>3767.3482500484215</v>
      </c>
      <c r="AC49" s="319">
        <f>E49/'Population &amp; Income'!E48</f>
        <v>3794.4628629109789</v>
      </c>
      <c r="AD49" s="319">
        <f>F49/'Population &amp; Income'!F48</f>
        <v>3778.035865714286</v>
      </c>
      <c r="AE49" s="319">
        <f>G49/'Population &amp; Income'!G48</f>
        <v>4852.1963953934737</v>
      </c>
      <c r="AF49" s="319">
        <f>H49/'Population &amp; Income'!H48</f>
        <v>4296.0766131821674</v>
      </c>
      <c r="AG49" s="319">
        <f>I49/'Population &amp; Income'!I48</f>
        <v>4279.3183726096195</v>
      </c>
      <c r="AH49" s="319">
        <f>J49/'Population &amp; Income'!J48</f>
        <v>4464.004967535614</v>
      </c>
      <c r="AI49" s="319">
        <f>K49/'Population &amp; Income'!K48</f>
        <v>5032.240457554517</v>
      </c>
      <c r="AJ49" s="319">
        <f>L49/'Population &amp; Income'!L48</f>
        <v>5136.8208040054442</v>
      </c>
      <c r="AK49" s="319">
        <f>M49/'Population &amp; Income'!M48</f>
        <v>5238.6995722341044</v>
      </c>
      <c r="AL49" s="319">
        <f>N49/'Population &amp; Income'!N48</f>
        <v>5392.743442526481</v>
      </c>
      <c r="AM49" s="319">
        <f>O49/'Population &amp; Income'!O48</f>
        <v>5168.6031644453151</v>
      </c>
      <c r="AN49" s="319">
        <f>P49/'Population &amp; Income'!P48</f>
        <v>5289.6788854003144</v>
      </c>
      <c r="AO49" s="319">
        <f>Q49/'Population &amp; Income'!Q48</f>
        <v>5653.5135138563628</v>
      </c>
      <c r="AP49" s="319">
        <f>R49/'Population &amp; Income'!R48</f>
        <v>5753.6983713387062</v>
      </c>
      <c r="AQ49" s="319">
        <f>S49/'Population &amp; Income'!S48</f>
        <v>6094.8278152088251</v>
      </c>
      <c r="AR49" s="697">
        <f>T49/'Population &amp; Income'!T48</f>
        <v>6246.3121105179916</v>
      </c>
      <c r="AS49" s="697">
        <f>U49/'Population &amp; Income'!U48</f>
        <v>6512.946559002552</v>
      </c>
      <c r="AT49" s="697">
        <f>V49/'Population &amp; Income'!V48</f>
        <v>6441.8068778369843</v>
      </c>
      <c r="AU49" s="697">
        <f>W49/'Population &amp; Income'!W48</f>
        <v>6940.5086987057293</v>
      </c>
      <c r="AV49" s="690"/>
      <c r="AW49" s="486"/>
      <c r="AX49" s="13" t="s">
        <v>40</v>
      </c>
      <c r="AY49" s="40">
        <f t="shared" si="42"/>
        <v>0.12239999177307084</v>
      </c>
      <c r="AZ49" s="40">
        <f t="shared" si="43"/>
        <v>3.7027310321961992E-3</v>
      </c>
      <c r="BA49" s="40">
        <f t="shared" si="44"/>
        <v>1.4610301745178255E-2</v>
      </c>
      <c r="BB49" s="40">
        <f t="shared" si="45"/>
        <v>5.0512763202826072E-3</v>
      </c>
      <c r="BC49" s="40">
        <f t="shared" si="46"/>
        <v>0.27453191318225334</v>
      </c>
      <c r="BD49" s="40">
        <f t="shared" si="47"/>
        <v>-0.11563160959504713</v>
      </c>
      <c r="BE49" s="40">
        <f t="shared" si="48"/>
        <v>-9.0689023893113629E-3</v>
      </c>
      <c r="BF49" s="40">
        <f t="shared" si="49"/>
        <v>3.9631722393056991E-2</v>
      </c>
      <c r="BG49" s="40">
        <f t="shared" si="50"/>
        <v>0.12215826900909225</v>
      </c>
      <c r="BH49" s="40">
        <f t="shared" si="51"/>
        <v>2.2173317449579861E-2</v>
      </c>
      <c r="BI49" s="40">
        <f t="shared" si="52"/>
        <v>1.9833039172637672E-2</v>
      </c>
      <c r="BJ49" s="40">
        <f t="shared" si="53"/>
        <v>2.0397939297088559E-2</v>
      </c>
      <c r="BK49" s="40">
        <f t="shared" si="54"/>
        <v>-4.0811302015677113E-2</v>
      </c>
      <c r="BL49" s="40">
        <f t="shared" si="55"/>
        <v>2.2221672890299578E-2</v>
      </c>
      <c r="BM49" s="40">
        <f t="shared" si="56"/>
        <v>7.4654416284346492E-2</v>
      </c>
      <c r="BN49" s="40">
        <f t="shared" si="57"/>
        <v>1.0371931551510236E-2</v>
      </c>
      <c r="BO49" s="40">
        <f t="shared" si="58"/>
        <v>5.699814647110979E-2</v>
      </c>
      <c r="BP49" s="691">
        <f t="shared" si="59"/>
        <v>2.1220329152093594E-2</v>
      </c>
      <c r="BQ49" s="691">
        <f t="shared" si="60"/>
        <v>4.9901811172793326E-2</v>
      </c>
      <c r="BR49" s="691">
        <f t="shared" si="61"/>
        <v>-1.5972095206195705E-2</v>
      </c>
      <c r="BS49" s="691">
        <f t="shared" si="62"/>
        <v>5.9661511583715271E-2</v>
      </c>
      <c r="BT49" s="40"/>
      <c r="BV49" s="13" t="s">
        <v>40</v>
      </c>
      <c r="BW49" s="40">
        <f t="shared" si="63"/>
        <v>0.12239999177307084</v>
      </c>
      <c r="BX49" s="40">
        <f t="shared" si="64"/>
        <v>0.12655593705314575</v>
      </c>
      <c r="BY49" s="40">
        <f t="shared" si="65"/>
        <v>0.14301525922631425</v>
      </c>
      <c r="BZ49" s="40">
        <f t="shared" si="66"/>
        <v>0.14878894513896582</v>
      </c>
      <c r="CA49" s="40">
        <f t="shared" si="67"/>
        <v>0.46416817209058875</v>
      </c>
      <c r="CB49" s="40">
        <f t="shared" si="68"/>
        <v>0.29486404963391605</v>
      </c>
      <c r="CC49" s="40">
        <f t="shared" si="69"/>
        <v>0.28312105396035764</v>
      </c>
      <c r="CD49" s="40">
        <f t="shared" si="70"/>
        <v>0.3339733513676012</v>
      </c>
      <c r="CE49" s="40">
        <f t="shared" si="71"/>
        <v>0.49692922687492497</v>
      </c>
      <c r="CF49" s="40">
        <f t="shared" si="72"/>
        <v>0.5301211138219768</v>
      </c>
      <c r="CG49" s="40">
        <f t="shared" si="73"/>
        <v>0.56046806581128805</v>
      </c>
      <c r="CH49" s="40">
        <f t="shared" si="74"/>
        <v>0.59229839869275192</v>
      </c>
      <c r="CI49" s="40">
        <f t="shared" si="75"/>
        <v>0.52731462784462302</v>
      </c>
      <c r="CJ49" s="40">
        <f t="shared" si="76"/>
        <v>0.56125411390515589</v>
      </c>
      <c r="CK49" s="40">
        <f t="shared" si="77"/>
        <v>0.67780862845027989</v>
      </c>
      <c r="CL49" s="40">
        <f t="shared" si="78"/>
        <v>0.69521074470109945</v>
      </c>
      <c r="CM49" s="40">
        <f t="shared" si="79"/>
        <v>0.79183461502697183</v>
      </c>
      <c r="CN49" s="691">
        <f t="shared" si="80"/>
        <v>0.82985793534395902</v>
      </c>
      <c r="CO49" s="691">
        <f t="shared" si="81"/>
        <v>0.92117116050653081</v>
      </c>
      <c r="CP49" s="691">
        <f t="shared" si="82"/>
        <v>0.89048603182352293</v>
      </c>
      <c r="CQ49" s="691">
        <f t="shared" si="83"/>
        <v>1.003275286110014</v>
      </c>
    </row>
    <row r="50" spans="1:95">
      <c r="A50" s="13" t="s">
        <v>41</v>
      </c>
      <c r="B50" s="319">
        <v>81397827.379999995</v>
      </c>
      <c r="C50" s="319">
        <v>85618034.530000001</v>
      </c>
      <c r="D50" s="319">
        <v>94868077.040000007</v>
      </c>
      <c r="E50" s="319">
        <v>97806628.109999999</v>
      </c>
      <c r="F50" s="319">
        <v>101679544</v>
      </c>
      <c r="G50" s="319">
        <v>105198608.67</v>
      </c>
      <c r="H50" s="319">
        <v>107275701.88</v>
      </c>
      <c r="I50" s="319">
        <v>104461210.2</v>
      </c>
      <c r="J50" s="319">
        <v>108019417.38</v>
      </c>
      <c r="K50" s="319">
        <v>109019102.84</v>
      </c>
      <c r="L50" s="319">
        <v>111961562.69</v>
      </c>
      <c r="M50" s="319">
        <v>115970840.81999999</v>
      </c>
      <c r="N50" s="319">
        <v>114149438.39</v>
      </c>
      <c r="O50" s="319">
        <v>112438582</v>
      </c>
      <c r="P50" s="319">
        <v>113922237.52</v>
      </c>
      <c r="Q50" s="319">
        <v>118720296.31999999</v>
      </c>
      <c r="R50" s="319">
        <v>118696623.76000001</v>
      </c>
      <c r="S50" s="319">
        <v>122032833.84999999</v>
      </c>
      <c r="T50" s="677">
        <v>126156430.43000001</v>
      </c>
      <c r="U50" s="677">
        <v>124675962.26000001</v>
      </c>
      <c r="V50" s="678">
        <v>125107369.36</v>
      </c>
      <c r="W50" s="809">
        <v>126358523.81999999</v>
      </c>
      <c r="X50" s="811"/>
      <c r="Y50" s="13" t="s">
        <v>41</v>
      </c>
      <c r="Z50" s="319">
        <f>B50/'Population &amp; Income'!B49</f>
        <v>5811.6398243609874</v>
      </c>
      <c r="AA50" s="319">
        <f>C50/'Population &amp; Income'!C49</f>
        <v>6130.9011478696739</v>
      </c>
      <c r="AB50" s="319">
        <f>D50/'Population &amp; Income'!D49</f>
        <v>6875.993117344351</v>
      </c>
      <c r="AC50" s="319">
        <f>E50/'Population &amp; Income'!E49</f>
        <v>7059.8114703334777</v>
      </c>
      <c r="AD50" s="319">
        <f>F50/'Population &amp; Income'!F49</f>
        <v>7409.9653111791285</v>
      </c>
      <c r="AE50" s="319">
        <f>G50/'Population &amp; Income'!G49</f>
        <v>7725.5348953513994</v>
      </c>
      <c r="AF50" s="319">
        <f>H50/'Population &amp; Income'!H49</f>
        <v>7949.2924698036304</v>
      </c>
      <c r="AG50" s="319">
        <f>I50/'Population &amp; Income'!I49</f>
        <v>7816.0276992143663</v>
      </c>
      <c r="AH50" s="319">
        <f>J50/'Population &amp; Income'!J49</f>
        <v>8148.7188729631862</v>
      </c>
      <c r="AI50" s="319">
        <f>K50/'Population &amp; Income'!K49</f>
        <v>8338.6188496252107</v>
      </c>
      <c r="AJ50" s="319">
        <f>L50/'Population &amp; Income'!L49</f>
        <v>8660.3931536200489</v>
      </c>
      <c r="AK50" s="319">
        <f>M50/'Population &amp; Income'!M49</f>
        <v>9007.4439471844653</v>
      </c>
      <c r="AL50" s="319">
        <f>N50/'Population &amp; Income'!N49</f>
        <v>8926.2932741632776</v>
      </c>
      <c r="AM50" s="319">
        <f>O50/'Population &amp; Income'!O49</f>
        <v>8801.4545596868884</v>
      </c>
      <c r="AN50" s="319">
        <f>P50/'Population &amp; Income'!P49</f>
        <v>8945.6016898311736</v>
      </c>
      <c r="AO50" s="319">
        <f>Q50/'Population &amp; Income'!Q49</f>
        <v>9452.2528917197451</v>
      </c>
      <c r="AP50" s="319">
        <f>R50/'Population &amp; Income'!R49</f>
        <v>9507.9000128164062</v>
      </c>
      <c r="AQ50" s="319">
        <f>S50/'Population &amp; Income'!S49</f>
        <v>9866.8203306921077</v>
      </c>
      <c r="AR50" s="697">
        <f>T50/'Population &amp; Income'!T49</f>
        <v>10237.477110281588</v>
      </c>
      <c r="AS50" s="697">
        <f>U50/'Population &amp; Income'!U49</f>
        <v>10142.028980720735</v>
      </c>
      <c r="AT50" s="697">
        <f>V50/'Population &amp; Income'!V49</f>
        <v>10285.051739559356</v>
      </c>
      <c r="AU50" s="697">
        <f>W50/'Population &amp; Income'!W49</f>
        <v>10362.352289650647</v>
      </c>
      <c r="AV50" s="690"/>
      <c r="AW50" s="486"/>
      <c r="AX50" s="13" t="s">
        <v>41</v>
      </c>
      <c r="AY50" s="40">
        <f t="shared" si="42"/>
        <v>5.184668050534405E-2</v>
      </c>
      <c r="AZ50" s="40">
        <f t="shared" si="43"/>
        <v>0.10803848232183899</v>
      </c>
      <c r="BA50" s="40">
        <f t="shared" si="44"/>
        <v>3.097513053585968E-2</v>
      </c>
      <c r="BB50" s="40">
        <f t="shared" si="45"/>
        <v>3.9597683355817724E-2</v>
      </c>
      <c r="BC50" s="40">
        <f t="shared" si="46"/>
        <v>3.4609367150584408E-2</v>
      </c>
      <c r="BD50" s="40">
        <f t="shared" si="47"/>
        <v>1.9744493166403712E-2</v>
      </c>
      <c r="BE50" s="40">
        <f t="shared" si="48"/>
        <v>-2.6236059337540567E-2</v>
      </c>
      <c r="BF50" s="40">
        <f t="shared" si="49"/>
        <v>3.4062473268187281E-2</v>
      </c>
      <c r="BG50" s="40">
        <f t="shared" si="50"/>
        <v>9.2546829472633513E-3</v>
      </c>
      <c r="BH50" s="40">
        <f t="shared" si="51"/>
        <v>2.6990314296737924E-2</v>
      </c>
      <c r="BI50" s="40">
        <f t="shared" si="52"/>
        <v>3.5809415603647067E-2</v>
      </c>
      <c r="BJ50" s="40">
        <f t="shared" si="53"/>
        <v>-1.570569306147411E-2</v>
      </c>
      <c r="BK50" s="40">
        <f t="shared" si="54"/>
        <v>-1.4987865154051247E-2</v>
      </c>
      <c r="BL50" s="40">
        <f t="shared" si="55"/>
        <v>1.3195252853686787E-2</v>
      </c>
      <c r="BM50" s="40">
        <f t="shared" si="56"/>
        <v>4.2116964206901732E-2</v>
      </c>
      <c r="BN50" s="40">
        <f t="shared" si="57"/>
        <v>-1.9939775029014588E-4</v>
      </c>
      <c r="BO50" s="40">
        <f t="shared" si="58"/>
        <v>2.8107034423705907E-2</v>
      </c>
      <c r="BP50" s="691">
        <f t="shared" si="59"/>
        <v>3.3790877831032302E-2</v>
      </c>
      <c r="BQ50" s="691">
        <f t="shared" si="60"/>
        <v>-1.1735178024250332E-2</v>
      </c>
      <c r="BR50" s="691">
        <f t="shared" si="61"/>
        <v>3.460226752453974E-3</v>
      </c>
      <c r="BS50" s="691">
        <f t="shared" si="62"/>
        <v>1.0000645576678709E-2</v>
      </c>
      <c r="BT50" s="40"/>
      <c r="BV50" s="13" t="s">
        <v>41</v>
      </c>
      <c r="BW50" s="40">
        <f t="shared" si="63"/>
        <v>5.184668050534405E-2</v>
      </c>
      <c r="BX50" s="40">
        <f t="shared" si="64"/>
        <v>0.16548659950240568</v>
      </c>
      <c r="BY50" s="40">
        <f t="shared" si="65"/>
        <v>0.20158769905978791</v>
      </c>
      <c r="BZ50" s="40">
        <f t="shared" si="66"/>
        <v>0.24916778829140299</v>
      </c>
      <c r="CA50" s="40">
        <f t="shared" si="67"/>
        <v>0.29240069490906367</v>
      </c>
      <c r="CB50" s="40">
        <f t="shared" si="68"/>
        <v>0.31791849159795105</v>
      </c>
      <c r="CC50" s="40">
        <f t="shared" si="69"/>
        <v>0.28334150385034529</v>
      </c>
      <c r="CD50" s="40">
        <f t="shared" si="70"/>
        <v>0.32705528951920293</v>
      </c>
      <c r="CE50" s="40">
        <f t="shared" si="71"/>
        <v>0.33933676547719188</v>
      </c>
      <c r="CF50" s="40">
        <f t="shared" si="72"/>
        <v>0.37548588572659769</v>
      </c>
      <c r="CG50" s="40">
        <f t="shared" si="73"/>
        <v>0.424741231465532</v>
      </c>
      <c r="CH50" s="40">
        <f t="shared" si="74"/>
        <v>0.40236468299210776</v>
      </c>
      <c r="CI50" s="40">
        <f t="shared" si="75"/>
        <v>0.38134623022661818</v>
      </c>
      <c r="CJ50" s="40">
        <f t="shared" si="76"/>
        <v>0.39957344301294545</v>
      </c>
      <c r="CK50" s="40">
        <f t="shared" si="77"/>
        <v>0.45851922761725189</v>
      </c>
      <c r="CL50" s="40">
        <f t="shared" si="78"/>
        <v>0.45822840216451011</v>
      </c>
      <c r="CM50" s="40">
        <f t="shared" si="79"/>
        <v>0.49921487806177367</v>
      </c>
      <c r="CN50" s="691">
        <f t="shared" si="80"/>
        <v>0.54987466484882508</v>
      </c>
      <c r="CO50" s="691">
        <f t="shared" si="81"/>
        <v>0.5316866097415488</v>
      </c>
      <c r="CP50" s="691">
        <f t="shared" si="82"/>
        <v>0.53698659272495197</v>
      </c>
      <c r="CQ50" s="691">
        <f t="shared" si="83"/>
        <v>0.55235745089490129</v>
      </c>
    </row>
    <row r="51" spans="1:95">
      <c r="A51" s="13" t="s">
        <v>42</v>
      </c>
      <c r="B51" s="319">
        <v>141741813.80000001</v>
      </c>
      <c r="C51" s="319">
        <v>145008407.30000001</v>
      </c>
      <c r="D51" s="319">
        <v>146030287.5</v>
      </c>
      <c r="E51" s="319">
        <v>147302507.03</v>
      </c>
      <c r="F51" s="319">
        <v>153416372.33000001</v>
      </c>
      <c r="G51" s="319">
        <v>152811092.62</v>
      </c>
      <c r="H51" s="319">
        <v>150900914.18000001</v>
      </c>
      <c r="I51" s="319">
        <v>145257275.46000001</v>
      </c>
      <c r="J51" s="319">
        <v>152885984.68000001</v>
      </c>
      <c r="K51" s="319">
        <v>166722008.21000001</v>
      </c>
      <c r="L51" s="319">
        <v>183354913.91999999</v>
      </c>
      <c r="M51" s="319">
        <v>215869174.88999999</v>
      </c>
      <c r="N51" s="319">
        <v>208531246.58000001</v>
      </c>
      <c r="O51" s="319">
        <v>199871102.38</v>
      </c>
      <c r="P51" s="319">
        <v>198185196.03</v>
      </c>
      <c r="Q51" s="319">
        <v>198237110.75999999</v>
      </c>
      <c r="R51" s="319">
        <v>201709945.09</v>
      </c>
      <c r="S51" s="319">
        <v>202674131.5</v>
      </c>
      <c r="T51" s="677">
        <v>212796148.52000001</v>
      </c>
      <c r="U51" s="677">
        <v>217636783.66999999</v>
      </c>
      <c r="V51" s="678">
        <v>219084996.68000001</v>
      </c>
      <c r="W51" s="809">
        <v>225882502.72999999</v>
      </c>
      <c r="X51" s="811"/>
      <c r="Y51" s="13" t="s">
        <v>42</v>
      </c>
      <c r="Z51" s="319">
        <f>B51/'Population &amp; Income'!B50</f>
        <v>9614.8293175959843</v>
      </c>
      <c r="AA51" s="319">
        <f>C51/'Population &amp; Income'!C50</f>
        <v>9844.4268363883239</v>
      </c>
      <c r="AB51" s="319">
        <f>D51/'Population &amp; Income'!D50</f>
        <v>9943.5031662808124</v>
      </c>
      <c r="AC51" s="319">
        <f>E51/'Population &amp; Income'!E50</f>
        <v>10037.649542078365</v>
      </c>
      <c r="AD51" s="319">
        <f>F51/'Population &amp; Income'!F50</f>
        <v>10566.593589778911</v>
      </c>
      <c r="AE51" s="319">
        <f>G51/'Population &amp; Income'!G50</f>
        <v>10469.381516853933</v>
      </c>
      <c r="AF51" s="319">
        <f>H51/'Population &amp; Income'!H50</f>
        <v>10366.921831547128</v>
      </c>
      <c r="AG51" s="319">
        <f>I51/'Population &amp; Income'!I50</f>
        <v>9956.6300267324696</v>
      </c>
      <c r="AH51" s="319">
        <f>J51/'Population &amp; Income'!J50</f>
        <v>10468.774628868803</v>
      </c>
      <c r="AI51" s="319">
        <f>K51/'Population &amp; Income'!K50</f>
        <v>11400.574959655361</v>
      </c>
      <c r="AJ51" s="319">
        <f>L51/'Population &amp; Income'!L50</f>
        <v>12458.715357749541</v>
      </c>
      <c r="AK51" s="319">
        <f>M51/'Population &amp; Income'!M50</f>
        <v>14534.687240102343</v>
      </c>
      <c r="AL51" s="319">
        <f>N51/'Population &amp; Income'!N50</f>
        <v>13968.19924844263</v>
      </c>
      <c r="AM51" s="319">
        <f>O51/'Population &amp; Income'!O50</f>
        <v>13227.736755790867</v>
      </c>
      <c r="AN51" s="319">
        <f>P51/'Population &amp; Income'!P50</f>
        <v>13085.849853416968</v>
      </c>
      <c r="AO51" s="319">
        <f>Q51/'Population &amp; Income'!Q50</f>
        <v>13112.654501918243</v>
      </c>
      <c r="AP51" s="319">
        <f>R51/'Population &amp; Income'!R50</f>
        <v>13414.241211012835</v>
      </c>
      <c r="AQ51" s="319">
        <f>S51/'Population &amp; Income'!S50</f>
        <v>13628.816589334947</v>
      </c>
      <c r="AR51" s="697">
        <f>T51/'Population &amp; Income'!T50</f>
        <v>14117.703743116832</v>
      </c>
      <c r="AS51" s="697">
        <f>U51/'Population &amp; Income'!U50</f>
        <v>14499.452609593603</v>
      </c>
      <c r="AT51" s="697">
        <f>V51/'Population &amp; Income'!V50</f>
        <v>14380.373920577618</v>
      </c>
      <c r="AU51" s="697">
        <f>W51/'Population &amp; Income'!W50</f>
        <v>14887.135222434586</v>
      </c>
      <c r="AV51" s="690"/>
      <c r="AW51" s="486"/>
      <c r="AX51" s="13" t="s">
        <v>42</v>
      </c>
      <c r="AY51" s="40">
        <f t="shared" si="42"/>
        <v>2.304608225635673E-2</v>
      </c>
      <c r="AZ51" s="40">
        <f t="shared" si="43"/>
        <v>7.0470410580117313E-3</v>
      </c>
      <c r="BA51" s="40">
        <f t="shared" si="44"/>
        <v>8.7120250995876541E-3</v>
      </c>
      <c r="BB51" s="40">
        <f t="shared" si="45"/>
        <v>4.1505507430059194E-2</v>
      </c>
      <c r="BC51" s="40">
        <f t="shared" si="46"/>
        <v>-3.9453397366093768E-3</v>
      </c>
      <c r="BD51" s="40">
        <f t="shared" si="47"/>
        <v>-1.2500260336139971E-2</v>
      </c>
      <c r="BE51" s="40">
        <f t="shared" si="48"/>
        <v>-3.7399632405593415E-2</v>
      </c>
      <c r="BF51" s="40">
        <f t="shared" si="49"/>
        <v>5.2518603256473319E-2</v>
      </c>
      <c r="BG51" s="40">
        <f t="shared" si="50"/>
        <v>9.0498966003716236E-2</v>
      </c>
      <c r="BH51" s="40">
        <f t="shared" si="51"/>
        <v>9.9764307595488377E-2</v>
      </c>
      <c r="BI51" s="40">
        <f t="shared" si="52"/>
        <v>0.17732964050358843</v>
      </c>
      <c r="BJ51" s="40">
        <f t="shared" si="53"/>
        <v>-3.3992478609968957E-2</v>
      </c>
      <c r="BK51" s="40">
        <f t="shared" si="54"/>
        <v>-4.1529240063683588E-2</v>
      </c>
      <c r="BL51" s="40">
        <f t="shared" si="55"/>
        <v>-8.4349679864911455E-3</v>
      </c>
      <c r="BM51" s="40">
        <f t="shared" si="56"/>
        <v>2.6195059489776803E-4</v>
      </c>
      <c r="BN51" s="40">
        <f t="shared" si="57"/>
        <v>1.7518588304106564E-2</v>
      </c>
      <c r="BO51" s="40">
        <f t="shared" si="58"/>
        <v>4.7800638167334319E-3</v>
      </c>
      <c r="BP51" s="691">
        <f t="shared" si="59"/>
        <v>4.9942323399076761E-2</v>
      </c>
      <c r="BQ51" s="691">
        <f t="shared" si="60"/>
        <v>2.2747757342727565E-2</v>
      </c>
      <c r="BR51" s="691">
        <f t="shared" si="61"/>
        <v>6.6542658165539151E-3</v>
      </c>
      <c r="BS51" s="691">
        <f t="shared" si="62"/>
        <v>3.1026798516598366E-2</v>
      </c>
      <c r="BT51" s="40"/>
      <c r="BV51" s="13" t="s">
        <v>42</v>
      </c>
      <c r="BW51" s="40">
        <f t="shared" si="63"/>
        <v>2.304608225635673E-2</v>
      </c>
      <c r="BX51" s="40">
        <f t="shared" si="64"/>
        <v>3.0255530002255324E-2</v>
      </c>
      <c r="BY51" s="40">
        <f t="shared" si="65"/>
        <v>3.9231142038623955E-2</v>
      </c>
      <c r="BZ51" s="40">
        <f t="shared" si="66"/>
        <v>8.236495792605697E-2</v>
      </c>
      <c r="CA51" s="40">
        <f t="shared" si="67"/>
        <v>7.8094660448037756E-2</v>
      </c>
      <c r="CB51" s="40">
        <f t="shared" si="68"/>
        <v>6.4618196525434851E-2</v>
      </c>
      <c r="CC51" s="40">
        <f t="shared" si="69"/>
        <v>2.4801867323077788E-2</v>
      </c>
      <c r="CD51" s="40">
        <f t="shared" si="70"/>
        <v>7.8623030009511527E-2</v>
      </c>
      <c r="CE51" s="40">
        <f t="shared" si="71"/>
        <v>0.1762372989331677</v>
      </c>
      <c r="CF51" s="40">
        <f t="shared" si="72"/>
        <v>0.29358379862922263</v>
      </c>
      <c r="CG51" s="40">
        <f t="shared" si="73"/>
        <v>0.52297454860140902</v>
      </c>
      <c r="CH51" s="40">
        <f t="shared" si="74"/>
        <v>0.47120486883454848</v>
      </c>
      <c r="CI51" s="40">
        <f t="shared" si="75"/>
        <v>0.41010684865385838</v>
      </c>
      <c r="CJ51" s="40">
        <f t="shared" si="76"/>
        <v>0.3982126425279312</v>
      </c>
      <c r="CK51" s="40">
        <f t="shared" si="77"/>
        <v>0.39857890516143496</v>
      </c>
      <c r="CL51" s="40">
        <f t="shared" si="78"/>
        <v>0.42308003321176624</v>
      </c>
      <c r="CM51" s="40">
        <f t="shared" si="79"/>
        <v>0.42988244658683761</v>
      </c>
      <c r="CN51" s="691">
        <f t="shared" si="80"/>
        <v>0.50129409815694059</v>
      </c>
      <c r="CO51" s="691">
        <f t="shared" si="81"/>
        <v>0.53544517200188368</v>
      </c>
      <c r="CP51" s="691">
        <f t="shared" si="82"/>
        <v>0.5456624323231285</v>
      </c>
      <c r="CQ51" s="691">
        <f t="shared" si="83"/>
        <v>0.59361938918549362</v>
      </c>
    </row>
    <row r="52" spans="1:95">
      <c r="A52" s="13" t="s">
        <v>43</v>
      </c>
      <c r="B52" s="319">
        <v>79489450.950000003</v>
      </c>
      <c r="C52" s="319">
        <v>84393752.510000005</v>
      </c>
      <c r="D52" s="319">
        <v>94156524.599999994</v>
      </c>
      <c r="E52" s="319">
        <v>90926759.840000004</v>
      </c>
      <c r="F52" s="319">
        <v>92671740.650000006</v>
      </c>
      <c r="G52" s="319">
        <v>93427177.719999999</v>
      </c>
      <c r="H52" s="319">
        <v>100513605.59999999</v>
      </c>
      <c r="I52" s="319">
        <v>108009833.22</v>
      </c>
      <c r="J52" s="319">
        <v>113542646.73999999</v>
      </c>
      <c r="K52" s="319">
        <v>125471699.92</v>
      </c>
      <c r="L52" s="319">
        <v>126966702.86</v>
      </c>
      <c r="M52" s="319">
        <v>128007440.52</v>
      </c>
      <c r="N52" s="319">
        <v>119963819.41</v>
      </c>
      <c r="O52" s="319">
        <v>114439246.26000001</v>
      </c>
      <c r="P52" s="319">
        <v>114900935.78</v>
      </c>
      <c r="Q52" s="319">
        <v>120510008.34</v>
      </c>
      <c r="R52" s="319">
        <v>121378132.06</v>
      </c>
      <c r="S52" s="319">
        <v>122712907.73</v>
      </c>
      <c r="T52" s="677">
        <v>133323692.31999999</v>
      </c>
      <c r="U52" s="677">
        <v>137707649.81</v>
      </c>
      <c r="V52" s="678">
        <v>140294677.72</v>
      </c>
      <c r="W52" s="809">
        <v>141865340.71000001</v>
      </c>
      <c r="X52" s="810"/>
      <c r="Y52" s="13" t="s">
        <v>43</v>
      </c>
      <c r="Z52" s="319">
        <f>B52/'Population &amp; Income'!B51</f>
        <v>5158.6378707249014</v>
      </c>
      <c r="AA52" s="319">
        <f>C52/'Population &amp; Income'!C51</f>
        <v>5433.1907879997425</v>
      </c>
      <c r="AB52" s="319">
        <f>D52/'Population &amp; Income'!D51</f>
        <v>6033.740762576097</v>
      </c>
      <c r="AC52" s="319">
        <f>E52/'Population &amp; Income'!E51</f>
        <v>5771.2954516026657</v>
      </c>
      <c r="AD52" s="319">
        <f>F52/'Population &amp; Income'!F51</f>
        <v>5889.9034352357958</v>
      </c>
      <c r="AE52" s="319">
        <f>G52/'Population &amp; Income'!G51</f>
        <v>5983.9350361877923</v>
      </c>
      <c r="AF52" s="319">
        <f>H52/'Population &amp; Income'!H51</f>
        <v>6509.5269477365455</v>
      </c>
      <c r="AG52" s="319">
        <f>I52/'Population &amp; Income'!I51</f>
        <v>6937.938927286742</v>
      </c>
      <c r="AH52" s="319">
        <f>J52/'Population &amp; Income'!J51</f>
        <v>7326.7501284119508</v>
      </c>
      <c r="AI52" s="319">
        <f>K52/'Population &amp; Income'!K51</f>
        <v>8045.6364168002565</v>
      </c>
      <c r="AJ52" s="319">
        <f>L52/'Population &amp; Income'!L51</f>
        <v>8158.7651240200485</v>
      </c>
      <c r="AK52" s="319">
        <f>M52/'Population &amp; Income'!M51</f>
        <v>8240.9991965492827</v>
      </c>
      <c r="AL52" s="319">
        <f>N52/'Population &amp; Income'!N51</f>
        <v>7733.6139382413612</v>
      </c>
      <c r="AM52" s="319">
        <f>O52/'Population &amp; Income'!O51</f>
        <v>7378.892659745954</v>
      </c>
      <c r="AN52" s="319">
        <f>P52/'Population &amp; Income'!P51</f>
        <v>4977.7297482996146</v>
      </c>
      <c r="AO52" s="319">
        <f>Q52/'Population &amp; Income'!Q51</f>
        <v>5269.1184618075295</v>
      </c>
      <c r="AP52" s="319">
        <f>R52/'Population &amp; Income'!R51</f>
        <v>5305.915897009967</v>
      </c>
      <c r="AQ52" s="319">
        <f>S52/'Population &amp; Income'!S51</f>
        <v>7894.5514494338659</v>
      </c>
      <c r="AR52" s="697">
        <f>T52/'Population &amp; Income'!T51</f>
        <v>8622.110348574015</v>
      </c>
      <c r="AS52" s="697">
        <f>U52/'Population &amp; Income'!U51</f>
        <v>8988.1632928660019</v>
      </c>
      <c r="AT52" s="697">
        <f>V52/'Population &amp; Income'!V51</f>
        <v>9248.1659670402114</v>
      </c>
      <c r="AU52" s="697">
        <f>W52/'Population &amp; Income'!W51</f>
        <v>9302.0353229296452</v>
      </c>
      <c r="AV52" s="690"/>
      <c r="AW52" s="486"/>
      <c r="AX52" s="13" t="s">
        <v>43</v>
      </c>
      <c r="AY52" s="40">
        <f t="shared" si="42"/>
        <v>6.1697514593287074E-2</v>
      </c>
      <c r="AZ52" s="40">
        <f t="shared" si="43"/>
        <v>0.11568121809541738</v>
      </c>
      <c r="BA52" s="40">
        <f t="shared" si="44"/>
        <v>-3.4302081281364444E-2</v>
      </c>
      <c r="BB52" s="40">
        <f t="shared" si="45"/>
        <v>1.9191058969554968E-2</v>
      </c>
      <c r="BC52" s="40">
        <f t="shared" si="46"/>
        <v>8.151752246168615E-3</v>
      </c>
      <c r="BD52" s="40">
        <f t="shared" si="47"/>
        <v>7.584974793135596E-2</v>
      </c>
      <c r="BE52" s="40">
        <f t="shared" si="48"/>
        <v>7.4579233082451526E-2</v>
      </c>
      <c r="BF52" s="40">
        <f t="shared" si="49"/>
        <v>5.1225090855667517E-2</v>
      </c>
      <c r="BG52" s="40">
        <f t="shared" si="50"/>
        <v>0.10506231378696156</v>
      </c>
      <c r="BH52" s="40">
        <f t="shared" si="51"/>
        <v>1.1915060853987015E-2</v>
      </c>
      <c r="BI52" s="40">
        <f t="shared" si="52"/>
        <v>8.1969338145889102E-3</v>
      </c>
      <c r="BJ52" s="40">
        <f t="shared" si="53"/>
        <v>-6.2837137257996001E-2</v>
      </c>
      <c r="BK52" s="40">
        <f t="shared" si="54"/>
        <v>-4.6051994486093123E-2</v>
      </c>
      <c r="BL52" s="40">
        <f t="shared" si="55"/>
        <v>4.0343635167874254E-3</v>
      </c>
      <c r="BM52" s="40">
        <f t="shared" si="56"/>
        <v>4.8816595982644158E-2</v>
      </c>
      <c r="BN52" s="40">
        <f t="shared" si="57"/>
        <v>7.2037479040805014E-3</v>
      </c>
      <c r="BO52" s="40">
        <f t="shared" si="58"/>
        <v>1.0996838123527815E-2</v>
      </c>
      <c r="BP52" s="691">
        <f t="shared" si="59"/>
        <v>8.6468365767572289E-2</v>
      </c>
      <c r="BQ52" s="691">
        <f t="shared" si="60"/>
        <v>3.2882058797754798E-2</v>
      </c>
      <c r="BR52" s="691">
        <f t="shared" si="61"/>
        <v>1.8786377616417157E-2</v>
      </c>
      <c r="BS52" s="691">
        <f t="shared" si="62"/>
        <v>1.1195456702461212E-2</v>
      </c>
      <c r="BT52" s="40"/>
      <c r="BV52" s="13" t="s">
        <v>43</v>
      </c>
      <c r="BW52" s="40">
        <f t="shared" si="63"/>
        <v>6.1697514593287074E-2</v>
      </c>
      <c r="BX52" s="40">
        <f t="shared" si="64"/>
        <v>0.18451597633031569</v>
      </c>
      <c r="BY52" s="40">
        <f t="shared" si="65"/>
        <v>0.14388461303115846</v>
      </c>
      <c r="BZ52" s="40">
        <f t="shared" si="66"/>
        <v>0.16583697009420598</v>
      </c>
      <c r="CA52" s="40">
        <f t="shared" si="67"/>
        <v>0.17534058423383783</v>
      </c>
      <c r="CB52" s="40">
        <f t="shared" si="68"/>
        <v>0.26448987128146706</v>
      </c>
      <c r="CC52" s="40">
        <f t="shared" si="69"/>
        <v>0.35879455612216671</v>
      </c>
      <c r="CD52" s="40">
        <f t="shared" si="70"/>
        <v>0.42839893071371116</v>
      </c>
      <c r="CE52" s="40">
        <f t="shared" si="71"/>
        <v>0.57846982738531538</v>
      </c>
      <c r="CF52" s="40">
        <f t="shared" si="72"/>
        <v>0.59727739143479386</v>
      </c>
      <c r="CG52" s="40">
        <f t="shared" si="73"/>
        <v>0.61037016849592407</v>
      </c>
      <c r="CH52" s="40">
        <f t="shared" si="74"/>
        <v>0.50917911718196351</v>
      </c>
      <c r="CI52" s="40">
        <f t="shared" si="75"/>
        <v>0.43967840879897285</v>
      </c>
      <c r="CJ52" s="40">
        <f t="shared" si="76"/>
        <v>0.44548659484733799</v>
      </c>
      <c r="CK52" s="40">
        <f t="shared" si="77"/>
        <v>0.5160503299463286</v>
      </c>
      <c r="CL52" s="40">
        <f t="shared" si="78"/>
        <v>0.52697157433316</v>
      </c>
      <c r="CM52" s="40">
        <f t="shared" si="79"/>
        <v>0.54376343355533019</v>
      </c>
      <c r="CN52" s="691">
        <f t="shared" si="80"/>
        <v>0.67725013478659568</v>
      </c>
      <c r="CO52" s="691">
        <f t="shared" si="81"/>
        <v>0.73240157233719072</v>
      </c>
      <c r="CP52" s="691">
        <f t="shared" si="82"/>
        <v>0.76494712245839203</v>
      </c>
      <c r="CQ52" s="691">
        <f t="shared" si="83"/>
        <v>0.78470651155000848</v>
      </c>
    </row>
    <row r="53" spans="1:95">
      <c r="A53" s="13" t="s">
        <v>44</v>
      </c>
      <c r="B53" s="319">
        <v>53053868.479999997</v>
      </c>
      <c r="C53" s="319">
        <v>54445851.090000004</v>
      </c>
      <c r="D53" s="319">
        <v>56315689.710000001</v>
      </c>
      <c r="E53" s="319">
        <v>58297225.619999997</v>
      </c>
      <c r="F53" s="319">
        <v>59723661.380000003</v>
      </c>
      <c r="G53" s="319">
        <v>60977784.479999997</v>
      </c>
      <c r="H53" s="319">
        <v>63324116.590000004</v>
      </c>
      <c r="I53" s="319">
        <v>63797980.219999999</v>
      </c>
      <c r="J53" s="319">
        <v>65609707.920000002</v>
      </c>
      <c r="K53" s="319">
        <v>72254265.189999998</v>
      </c>
      <c r="L53" s="319">
        <v>81666843.469999999</v>
      </c>
      <c r="M53" s="319">
        <v>83824564.090000004</v>
      </c>
      <c r="N53" s="319">
        <v>88274633.590000004</v>
      </c>
      <c r="O53" s="319">
        <v>89832663.040000007</v>
      </c>
      <c r="P53" s="319">
        <v>87361249.689999998</v>
      </c>
      <c r="Q53" s="319">
        <v>87974328.719999999</v>
      </c>
      <c r="R53" s="319">
        <v>87526612.849999994</v>
      </c>
      <c r="S53" s="319">
        <v>90002533.349999994</v>
      </c>
      <c r="T53" s="677">
        <v>94081607.920000002</v>
      </c>
      <c r="U53" s="677">
        <v>97041406.420000002</v>
      </c>
      <c r="V53" s="678">
        <v>99294240.769999996</v>
      </c>
      <c r="W53" s="809">
        <v>104346085.38</v>
      </c>
      <c r="X53" s="810"/>
      <c r="Y53" s="13" t="s">
        <v>44</v>
      </c>
      <c r="Z53" s="319">
        <f>B53/'Population &amp; Income'!B52</f>
        <v>4619.4051789290379</v>
      </c>
      <c r="AA53" s="319">
        <f>C53/'Population &amp; Income'!C52</f>
        <v>4715.9680459073197</v>
      </c>
      <c r="AB53" s="319">
        <f>D53/'Population &amp; Income'!D52</f>
        <v>4842.6941018144298</v>
      </c>
      <c r="AC53" s="319">
        <f>E53/'Population &amp; Income'!E52</f>
        <v>4958.5120030620055</v>
      </c>
      <c r="AD53" s="319">
        <f>F53/'Population &amp; Income'!F52</f>
        <v>5038.6958052813634</v>
      </c>
      <c r="AE53" s="319">
        <f>G53/'Population &amp; Income'!G52</f>
        <v>5143.634287642345</v>
      </c>
      <c r="AF53" s="319">
        <f>H53/'Population &amp; Income'!H52</f>
        <v>5331.6592228677282</v>
      </c>
      <c r="AG53" s="319">
        <f>I53/'Population &amp; Income'!I52</f>
        <v>5390.619367976341</v>
      </c>
      <c r="AH53" s="319">
        <f>J53/'Population &amp; Income'!J52</f>
        <v>5496.3313998492085</v>
      </c>
      <c r="AI53" s="319">
        <f>K53/'Population &amp; Income'!K52</f>
        <v>6017.6784534021817</v>
      </c>
      <c r="AJ53" s="319">
        <f>L53/'Population &amp; Income'!L52</f>
        <v>6732.6334270403959</v>
      </c>
      <c r="AK53" s="319">
        <f>M53/'Population &amp; Income'!M52</f>
        <v>6809.4690568643382</v>
      </c>
      <c r="AL53" s="319">
        <f>N53/'Population &amp; Income'!N52</f>
        <v>7121.2192312036141</v>
      </c>
      <c r="AM53" s="319">
        <f>O53/'Population &amp; Income'!O52</f>
        <v>7295.7575765451156</v>
      </c>
      <c r="AN53" s="319">
        <f>P53/'Population &amp; Income'!P52</f>
        <v>5605.8296772330596</v>
      </c>
      <c r="AO53" s="319">
        <f>Q53/'Population &amp; Income'!Q52</f>
        <v>5682.729069181577</v>
      </c>
      <c r="AP53" s="319">
        <f>R53/'Population &amp; Income'!R52</f>
        <v>5620.4079400244009</v>
      </c>
      <c r="AQ53" s="319">
        <f>S53/'Population &amp; Income'!S52</f>
        <v>7240.1683975545002</v>
      </c>
      <c r="AR53" s="697">
        <f>T53/'Population &amp; Income'!T52</f>
        <v>7620.4121108051195</v>
      </c>
      <c r="AS53" s="697">
        <f>U53/'Population &amp; Income'!U52</f>
        <v>7845.5337068477647</v>
      </c>
      <c r="AT53" s="697">
        <f>V53/'Population &amp; Income'!V52</f>
        <v>7979.927732058185</v>
      </c>
      <c r="AU53" s="697">
        <f>W53/'Population &amp; Income'!W52</f>
        <v>8522.9180249938745</v>
      </c>
      <c r="AV53" s="690"/>
      <c r="AW53" s="486"/>
      <c r="AX53" s="13" t="s">
        <v>44</v>
      </c>
      <c r="AY53" s="40">
        <f t="shared" si="42"/>
        <v>2.6237155741522411E-2</v>
      </c>
      <c r="AZ53" s="40">
        <f t="shared" si="43"/>
        <v>3.4343087353141372E-2</v>
      </c>
      <c r="BA53" s="40">
        <f t="shared" si="44"/>
        <v>3.5186214005439663E-2</v>
      </c>
      <c r="BB53" s="40">
        <f t="shared" si="45"/>
        <v>2.4468330093407376E-2</v>
      </c>
      <c r="BC53" s="40">
        <f t="shared" si="46"/>
        <v>2.0998764493363249E-2</v>
      </c>
      <c r="BD53" s="40">
        <f t="shared" si="47"/>
        <v>3.8478474251054114E-2</v>
      </c>
      <c r="BE53" s="40">
        <f t="shared" si="48"/>
        <v>7.4831463195623431E-3</v>
      </c>
      <c r="BF53" s="40">
        <f t="shared" si="49"/>
        <v>2.8397884913479523E-2</v>
      </c>
      <c r="BG53" s="40">
        <f t="shared" si="50"/>
        <v>0.10127399558159771</v>
      </c>
      <c r="BH53" s="40">
        <f t="shared" si="51"/>
        <v>0.13027020972739342</v>
      </c>
      <c r="BI53" s="40">
        <f t="shared" si="52"/>
        <v>2.6421011616454052E-2</v>
      </c>
      <c r="BJ53" s="40">
        <f t="shared" si="53"/>
        <v>5.3087893129060468E-2</v>
      </c>
      <c r="BK53" s="40">
        <f t="shared" si="54"/>
        <v>1.7649797984281873E-2</v>
      </c>
      <c r="BL53" s="40">
        <f t="shared" si="55"/>
        <v>-2.7511300081347435E-2</v>
      </c>
      <c r="BM53" s="40">
        <f t="shared" si="56"/>
        <v>7.0177456501080556E-3</v>
      </c>
      <c r="BN53" s="40">
        <f t="shared" si="57"/>
        <v>-5.0891649474811111E-3</v>
      </c>
      <c r="BO53" s="40">
        <f t="shared" si="58"/>
        <v>2.8287630691743375E-2</v>
      </c>
      <c r="BP53" s="691">
        <f t="shared" si="59"/>
        <v>4.5321775045346631E-2</v>
      </c>
      <c r="BQ53" s="691">
        <f t="shared" si="60"/>
        <v>3.1459905558978034E-2</v>
      </c>
      <c r="BR53" s="691">
        <f t="shared" si="61"/>
        <v>2.3215186517903663E-2</v>
      </c>
      <c r="BS53" s="691">
        <f t="shared" si="62"/>
        <v>5.0877518885529611E-2</v>
      </c>
      <c r="BT53" s="40"/>
      <c r="BV53" s="13" t="s">
        <v>44</v>
      </c>
      <c r="BW53" s="40">
        <f t="shared" si="63"/>
        <v>2.6237155741522411E-2</v>
      </c>
      <c r="BX53" s="40">
        <f t="shared" si="64"/>
        <v>6.1481308026192859E-2</v>
      </c>
      <c r="BY53" s="40">
        <f t="shared" si="65"/>
        <v>9.8830816493176502E-2</v>
      </c>
      <c r="BZ53" s="40">
        <f t="shared" si="66"/>
        <v>0.12571737162793989</v>
      </c>
      <c r="CA53" s="40">
        <f t="shared" si="67"/>
        <v>0.14935604560084287</v>
      </c>
      <c r="CB53" s="40">
        <f t="shared" si="68"/>
        <v>0.19358151260678827</v>
      </c>
      <c r="CC53" s="40">
        <f t="shared" si="69"/>
        <v>0.20251325770994943</v>
      </c>
      <c r="CD53" s="40">
        <f t="shared" si="70"/>
        <v>0.2366620908093299</v>
      </c>
      <c r="CE53" s="40">
        <f t="shared" si="71"/>
        <v>0.36190380192988336</v>
      </c>
      <c r="CF53" s="40">
        <f t="shared" si="72"/>
        <v>0.53931929583582372</v>
      </c>
      <c r="CG53" s="40">
        <f t="shared" si="73"/>
        <v>0.57998966883253389</v>
      </c>
      <c r="CH53" s="40">
        <f t="shared" si="74"/>
        <v>0.66386799151653508</v>
      </c>
      <c r="CI53" s="40">
        <f t="shared" si="75"/>
        <v>0.69323492543931475</v>
      </c>
      <c r="CJ53" s="40">
        <f t="shared" si="76"/>
        <v>0.64665183129733583</v>
      </c>
      <c r="CK53" s="40">
        <f t="shared" si="77"/>
        <v>0.6582076150236652</v>
      </c>
      <c r="CL53" s="40">
        <f t="shared" si="78"/>
        <v>0.64976872295364052</v>
      </c>
      <c r="CM53" s="40">
        <f t="shared" si="79"/>
        <v>0.69643677131534221</v>
      </c>
      <c r="CN53" s="691">
        <f t="shared" si="80"/>
        <v>0.77332229704355027</v>
      </c>
      <c r="CO53" s="691">
        <f t="shared" si="81"/>
        <v>0.82911084903417032</v>
      </c>
      <c r="CP53" s="691">
        <f t="shared" si="82"/>
        <v>0.8715739985564197</v>
      </c>
      <c r="CQ53" s="691">
        <f t="shared" si="83"/>
        <v>0.96679504001364014</v>
      </c>
    </row>
    <row r="54" spans="1:95">
      <c r="A54" s="13" t="s">
        <v>45</v>
      </c>
      <c r="B54" s="319">
        <v>27222654.52</v>
      </c>
      <c r="C54" s="319">
        <v>29080309.399999999</v>
      </c>
      <c r="D54" s="319">
        <v>30285199.379999999</v>
      </c>
      <c r="E54" s="319">
        <v>31995670.309999999</v>
      </c>
      <c r="F54" s="319">
        <v>33625833.409999996</v>
      </c>
      <c r="G54" s="319">
        <v>32854122.379999999</v>
      </c>
      <c r="H54" s="319">
        <v>30663866.91</v>
      </c>
      <c r="I54" s="319">
        <v>32249966.129999999</v>
      </c>
      <c r="J54" s="319">
        <v>35677094.020000003</v>
      </c>
      <c r="K54" s="319">
        <v>36605664.399999999</v>
      </c>
      <c r="L54" s="319">
        <v>36890056.82</v>
      </c>
      <c r="M54" s="319">
        <v>37109436.770000003</v>
      </c>
      <c r="N54" s="319">
        <v>38027618.75</v>
      </c>
      <c r="O54" s="319">
        <v>37352225.549999997</v>
      </c>
      <c r="P54" s="319">
        <v>38480591.799999997</v>
      </c>
      <c r="Q54" s="319">
        <v>38293369.789999999</v>
      </c>
      <c r="R54" s="319">
        <v>38006931.969999999</v>
      </c>
      <c r="S54" s="319">
        <v>40139214.670000002</v>
      </c>
      <c r="T54" s="677">
        <v>42792776.82</v>
      </c>
      <c r="U54" s="677">
        <v>43863133.890000001</v>
      </c>
      <c r="V54" s="678">
        <v>45739558.43</v>
      </c>
      <c r="W54" s="809">
        <v>46477046.149999999</v>
      </c>
      <c r="X54" s="810"/>
      <c r="Y54" s="13" t="s">
        <v>45</v>
      </c>
      <c r="Z54" s="319">
        <f>B54/'Population &amp; Income'!B53</f>
        <v>3221.2347083185423</v>
      </c>
      <c r="AA54" s="319">
        <f>C54/'Population &amp; Income'!C53</f>
        <v>3394.4565658923775</v>
      </c>
      <c r="AB54" s="319">
        <f>D54/'Population &amp; Income'!D53</f>
        <v>3483.0591581368603</v>
      </c>
      <c r="AC54" s="319">
        <f>E54/'Population &amp; Income'!E53</f>
        <v>3645.8147572926159</v>
      </c>
      <c r="AD54" s="319">
        <f>F54/'Population &amp; Income'!F53</f>
        <v>3770.5576822157432</v>
      </c>
      <c r="AE54" s="319">
        <f>G54/'Population &amp; Income'!G53</f>
        <v>3724.1127159374291</v>
      </c>
      <c r="AF54" s="319">
        <f>H54/'Population &amp; Income'!H53</f>
        <v>3475.0529136446057</v>
      </c>
      <c r="AG54" s="319">
        <f>I54/'Population &amp; Income'!I53</f>
        <v>3644.0639694915253</v>
      </c>
      <c r="AH54" s="319">
        <f>J54/'Population &amp; Income'!J53</f>
        <v>3930.4939980169665</v>
      </c>
      <c r="AI54" s="319">
        <f>K54/'Population &amp; Income'!K53</f>
        <v>3991.89360959651</v>
      </c>
      <c r="AJ54" s="319">
        <f>L54/'Population &amp; Income'!L53</f>
        <v>3994.5919675148889</v>
      </c>
      <c r="AK54" s="319">
        <f>M54/'Population &amp; Income'!M53</f>
        <v>3998.4308555112598</v>
      </c>
      <c r="AL54" s="319">
        <f>N54/'Population &amp; Income'!N53</f>
        <v>4137.4843596997061</v>
      </c>
      <c r="AM54" s="319">
        <f>O54/'Population &amp; Income'!O53</f>
        <v>4094.7407969743472</v>
      </c>
      <c r="AN54" s="319">
        <f>P54/'Population &amp; Income'!P53</f>
        <v>3156.7343560295321</v>
      </c>
      <c r="AO54" s="319">
        <f>Q54/'Population &amp; Income'!Q53</f>
        <v>3107.7235667911054</v>
      </c>
      <c r="AP54" s="319">
        <f>R54/'Population &amp; Income'!R53</f>
        <v>3053.2561029884318</v>
      </c>
      <c r="AQ54" s="319">
        <f>S54/'Population &amp; Income'!S53</f>
        <v>4451.0107196717681</v>
      </c>
      <c r="AR54" s="697">
        <f>T54/'Population &amp; Income'!T53</f>
        <v>4755.8098266281395</v>
      </c>
      <c r="AS54" s="697">
        <f>U54/'Population &amp; Income'!U53</f>
        <v>4896.5320261219022</v>
      </c>
      <c r="AT54" s="697">
        <f>V54/'Population &amp; Income'!V53</f>
        <v>5163.6439862271391</v>
      </c>
      <c r="AU54" s="697">
        <f>W54/'Population &amp; Income'!W53</f>
        <v>5241.575070486072</v>
      </c>
      <c r="AV54" s="690"/>
      <c r="AW54" s="486"/>
      <c r="AX54" s="13" t="s">
        <v>45</v>
      </c>
      <c r="AY54" s="40">
        <f t="shared" si="42"/>
        <v>6.8239299684577523E-2</v>
      </c>
      <c r="AZ54" s="40">
        <f t="shared" si="43"/>
        <v>4.1433189840820624E-2</v>
      </c>
      <c r="BA54" s="40">
        <f t="shared" si="44"/>
        <v>5.6478773956151508E-2</v>
      </c>
      <c r="BB54" s="40">
        <f t="shared" si="45"/>
        <v>5.0949490484357908E-2</v>
      </c>
      <c r="BC54" s="40">
        <f t="shared" si="46"/>
        <v>-2.2949945079145551E-2</v>
      </c>
      <c r="BD54" s="40">
        <f t="shared" si="47"/>
        <v>-6.6666077537147067E-2</v>
      </c>
      <c r="BE54" s="40">
        <f t="shared" si="48"/>
        <v>5.1725349077964639E-2</v>
      </c>
      <c r="BF54" s="40">
        <f t="shared" si="49"/>
        <v>0.10626764307860699</v>
      </c>
      <c r="BG54" s="40">
        <f t="shared" si="50"/>
        <v>2.6027074387825803E-2</v>
      </c>
      <c r="BH54" s="40">
        <f t="shared" si="51"/>
        <v>7.7690823172165075E-3</v>
      </c>
      <c r="BI54" s="40">
        <f t="shared" si="52"/>
        <v>5.946858555150444E-3</v>
      </c>
      <c r="BJ54" s="40">
        <f t="shared" si="53"/>
        <v>2.4742546907698504E-2</v>
      </c>
      <c r="BK54" s="40">
        <f t="shared" si="54"/>
        <v>-1.77605966978935E-2</v>
      </c>
      <c r="BL54" s="40">
        <f t="shared" si="55"/>
        <v>3.0208809070548143E-2</v>
      </c>
      <c r="BM54" s="40">
        <f t="shared" si="56"/>
        <v>-4.8653620238760962E-3</v>
      </c>
      <c r="BN54" s="40">
        <f t="shared" si="57"/>
        <v>-7.4800891530523179E-3</v>
      </c>
      <c r="BO54" s="40">
        <f t="shared" si="58"/>
        <v>5.6102468404528864E-2</v>
      </c>
      <c r="BP54" s="691">
        <f t="shared" si="59"/>
        <v>6.6108970287933097E-2</v>
      </c>
      <c r="BQ54" s="691">
        <f t="shared" si="60"/>
        <v>2.5012564024584377E-2</v>
      </c>
      <c r="BR54" s="691">
        <f t="shared" si="61"/>
        <v>4.2779080598885112E-2</v>
      </c>
      <c r="BS54" s="691">
        <f t="shared" si="62"/>
        <v>1.61236300767672E-2</v>
      </c>
      <c r="BT54" s="40"/>
      <c r="BV54" s="13" t="s">
        <v>45</v>
      </c>
      <c r="BW54" s="40">
        <f t="shared" si="63"/>
        <v>6.8239299684577523E-2</v>
      </c>
      <c r="BX54" s="40">
        <f t="shared" si="64"/>
        <v>0.1124998613838339</v>
      </c>
      <c r="BY54" s="40">
        <f t="shared" si="65"/>
        <v>0.17533248958118133</v>
      </c>
      <c r="BZ54" s="40">
        <f t="shared" si="66"/>
        <v>0.23521508107505443</v>
      </c>
      <c r="CA54" s="40">
        <f t="shared" si="67"/>
        <v>0.2068669628034496</v>
      </c>
      <c r="CB54" s="40">
        <f t="shared" si="68"/>
        <v>0.12640987628417366</v>
      </c>
      <c r="CC54" s="40">
        <f t="shared" si="69"/>
        <v>0.18467382033983948</v>
      </c>
      <c r="CD54" s="40">
        <f t="shared" si="70"/>
        <v>0.31056631504428334</v>
      </c>
      <c r="CE54" s="40">
        <f t="shared" si="71"/>
        <v>0.34467652201611965</v>
      </c>
      <c r="CF54" s="40">
        <f t="shared" si="72"/>
        <v>0.3551234246056913</v>
      </c>
      <c r="CG54" s="40">
        <f t="shared" si="73"/>
        <v>0.36318215193659242</v>
      </c>
      <c r="CH54" s="40">
        <f t="shared" si="74"/>
        <v>0.39691075027462092</v>
      </c>
      <c r="CI54" s="40">
        <f t="shared" si="75"/>
        <v>0.37210078181604156</v>
      </c>
      <c r="CJ54" s="40">
        <f t="shared" si="76"/>
        <v>0.41355031235947221</v>
      </c>
      <c r="CK54" s="40">
        <f t="shared" si="77"/>
        <v>0.40667287835088023</v>
      </c>
      <c r="CL54" s="40">
        <f t="shared" si="78"/>
        <v>0.3961508398116349</v>
      </c>
      <c r="CM54" s="40">
        <f t="shared" si="79"/>
        <v>0.47447834819012363</v>
      </c>
      <c r="CN54" s="691">
        <f t="shared" si="80"/>
        <v>0.57195459350082523</v>
      </c>
      <c r="CO54" s="691">
        <f t="shared" si="81"/>
        <v>0.61127320841450405</v>
      </c>
      <c r="CP54" s="691">
        <f t="shared" si="82"/>
        <v>0.68020199486409239</v>
      </c>
      <c r="CQ54" s="691">
        <f t="shared" si="83"/>
        <v>0.70729295028352723</v>
      </c>
    </row>
    <row r="55" spans="1:95">
      <c r="A55" s="13" t="s">
        <v>46</v>
      </c>
      <c r="B55" s="319">
        <v>238744499.09999999</v>
      </c>
      <c r="C55" s="319">
        <v>253884193.80000001</v>
      </c>
      <c r="D55" s="319">
        <v>262247932</v>
      </c>
      <c r="E55" s="319">
        <v>265984193.40000001</v>
      </c>
      <c r="F55" s="319">
        <v>263529884.83000001</v>
      </c>
      <c r="G55" s="319">
        <v>268705713.69</v>
      </c>
      <c r="H55" s="319">
        <v>283196990.49000001</v>
      </c>
      <c r="I55" s="319">
        <v>290672274.02999997</v>
      </c>
      <c r="J55" s="319">
        <v>297155010.06</v>
      </c>
      <c r="K55" s="319">
        <v>324808080.45999998</v>
      </c>
      <c r="L55" s="319">
        <v>344413509.82999998</v>
      </c>
      <c r="M55" s="319">
        <v>365510105.26999998</v>
      </c>
      <c r="N55" s="319">
        <v>374216595.19</v>
      </c>
      <c r="O55" s="319">
        <v>366181442.47000003</v>
      </c>
      <c r="P55" s="319">
        <v>357409923.06</v>
      </c>
      <c r="Q55" s="319">
        <v>369305650.05000001</v>
      </c>
      <c r="R55" s="319">
        <v>386489884.76999998</v>
      </c>
      <c r="S55" s="319">
        <v>395773865</v>
      </c>
      <c r="T55" s="677">
        <v>417714768.00999999</v>
      </c>
      <c r="U55" s="677">
        <v>419827801.31999999</v>
      </c>
      <c r="V55" s="678">
        <v>419233085.37</v>
      </c>
      <c r="W55" s="809">
        <v>422472828.38999999</v>
      </c>
      <c r="X55" s="810"/>
      <c r="Y55" s="13" t="s">
        <v>46</v>
      </c>
      <c r="Z55" s="319">
        <f>B55/'Population &amp; Income'!B54</f>
        <v>8448.7401479227119</v>
      </c>
      <c r="AA55" s="319">
        <f>C55/'Population &amp; Income'!C54</f>
        <v>8968.954456494861</v>
      </c>
      <c r="AB55" s="319">
        <f>D55/'Population &amp; Income'!D54</f>
        <v>9221.0946554149086</v>
      </c>
      <c r="AC55" s="319">
        <f>E55/'Population &amp; Income'!E54</f>
        <v>9395.7467024621146</v>
      </c>
      <c r="AD55" s="319">
        <f>F55/'Population &amp; Income'!F54</f>
        <v>9316.9483765246605</v>
      </c>
      <c r="AE55" s="319">
        <f>G55/'Population &amp; Income'!G54</f>
        <v>9557.3791104392676</v>
      </c>
      <c r="AF55" s="319">
        <f>H55/'Population &amp; Income'!H54</f>
        <v>10090.034221327538</v>
      </c>
      <c r="AG55" s="319">
        <f>I55/'Population &amp; Income'!I54</f>
        <v>10277.64210557952</v>
      </c>
      <c r="AH55" s="319">
        <f>J55/'Population &amp; Income'!J54</f>
        <v>10540.028023268187</v>
      </c>
      <c r="AI55" s="319">
        <f>K55/'Population &amp; Income'!K54</f>
        <v>11473.66846091349</v>
      </c>
      <c r="AJ55" s="319">
        <f>L55/'Population &amp; Income'!L54</f>
        <v>12098.268576296192</v>
      </c>
      <c r="AK55" s="319">
        <f>M55/'Population &amp; Income'!M54</f>
        <v>12885.954707209588</v>
      </c>
      <c r="AL55" s="319">
        <f>N55/'Population &amp; Income'!N54</f>
        <v>13107.411390192645</v>
      </c>
      <c r="AM55" s="319">
        <f>O55/'Population &amp; Income'!O54</f>
        <v>12750.050225278552</v>
      </c>
      <c r="AN55" s="319">
        <f>P55/'Population &amp; Income'!P54</f>
        <v>38912.348727272729</v>
      </c>
      <c r="AO55" s="319">
        <f>Q55/'Population &amp; Income'!Q54</f>
        <v>40198.721024273429</v>
      </c>
      <c r="AP55" s="319">
        <f>R55/'Population &amp; Income'!R54</f>
        <v>42876.623560017746</v>
      </c>
      <c r="AQ55" s="319">
        <f>S55/'Population &amp; Income'!S54</f>
        <v>13692.702221145862</v>
      </c>
      <c r="AR55" s="697">
        <f>T55/'Population &amp; Income'!T54</f>
        <v>14468.817735019051</v>
      </c>
      <c r="AS55" s="697">
        <f>U55/'Population &amp; Income'!U54</f>
        <v>14546.03982121821</v>
      </c>
      <c r="AT55" s="697">
        <f>V55/'Population &amp; Income'!V54</f>
        <v>14509.347455181007</v>
      </c>
      <c r="AU55" s="697">
        <f>W55/'Population &amp; Income'!W54</f>
        <v>14754.23721415101</v>
      </c>
      <c r="AV55" s="690"/>
      <c r="AW55" s="486"/>
      <c r="AX55" s="13" t="s">
        <v>46</v>
      </c>
      <c r="AY55" s="40">
        <f t="shared" si="42"/>
        <v>6.3413794902384912E-2</v>
      </c>
      <c r="AZ55" s="40">
        <f t="shared" si="43"/>
        <v>3.2943122905038397E-2</v>
      </c>
      <c r="BA55" s="40">
        <f t="shared" si="44"/>
        <v>1.424705762789392E-2</v>
      </c>
      <c r="BB55" s="40">
        <f t="shared" si="45"/>
        <v>-9.2272722624125413E-3</v>
      </c>
      <c r="BC55" s="40">
        <f t="shared" si="46"/>
        <v>1.9640386756662721E-2</v>
      </c>
      <c r="BD55" s="40">
        <f t="shared" si="47"/>
        <v>5.392991686331719E-2</v>
      </c>
      <c r="BE55" s="40">
        <f t="shared" si="48"/>
        <v>2.639605571749154E-2</v>
      </c>
      <c r="BF55" s="40">
        <f t="shared" si="49"/>
        <v>2.2302560681556283E-2</v>
      </c>
      <c r="BG55" s="40">
        <f t="shared" si="50"/>
        <v>9.3059411633061181E-2</v>
      </c>
      <c r="BH55" s="40">
        <f t="shared" si="51"/>
        <v>6.0360041973815386E-2</v>
      </c>
      <c r="BI55" s="40">
        <f t="shared" si="52"/>
        <v>6.1253681513286529E-2</v>
      </c>
      <c r="BJ55" s="40">
        <f t="shared" si="53"/>
        <v>2.3820107281489766E-2</v>
      </c>
      <c r="BK55" s="40">
        <f t="shared" si="54"/>
        <v>-2.147193048966816E-2</v>
      </c>
      <c r="BL55" s="40">
        <f t="shared" si="55"/>
        <v>-2.3954024952312122E-2</v>
      </c>
      <c r="BM55" s="40">
        <f t="shared" si="56"/>
        <v>3.3283146948337582E-2</v>
      </c>
      <c r="BN55" s="40">
        <f t="shared" si="57"/>
        <v>4.6531199069587505E-2</v>
      </c>
      <c r="BO55" s="40">
        <f t="shared" si="58"/>
        <v>2.4021276095039106E-2</v>
      </c>
      <c r="BP55" s="691">
        <f t="shared" si="59"/>
        <v>5.5437978477937119E-2</v>
      </c>
      <c r="BQ55" s="691">
        <f t="shared" si="60"/>
        <v>5.0585554350077869E-3</v>
      </c>
      <c r="BR55" s="691">
        <f t="shared" si="61"/>
        <v>-1.416571146860961E-3</v>
      </c>
      <c r="BS55" s="691">
        <f t="shared" si="62"/>
        <v>7.7277846931873249E-3</v>
      </c>
      <c r="BT55" s="40"/>
      <c r="BV55" s="13" t="s">
        <v>46</v>
      </c>
      <c r="BW55" s="40">
        <f t="shared" si="63"/>
        <v>6.3413794902384912E-2</v>
      </c>
      <c r="BX55" s="40">
        <f t="shared" si="64"/>
        <v>9.8445966246767463E-2</v>
      </c>
      <c r="BY55" s="40">
        <f t="shared" si="65"/>
        <v>0.11409558922901279</v>
      </c>
      <c r="BZ55" s="40">
        <f t="shared" si="66"/>
        <v>0.10381552590084377</v>
      </c>
      <c r="CA55" s="40">
        <f t="shared" si="67"/>
        <v>0.12549488973754538</v>
      </c>
      <c r="CB55" s="40">
        <f t="shared" si="68"/>
        <v>0.18619273557117957</v>
      </c>
      <c r="CC55" s="40">
        <f t="shared" si="69"/>
        <v>0.21750354511100012</v>
      </c>
      <c r="CD55" s="40">
        <f t="shared" si="70"/>
        <v>0.2446569918058481</v>
      </c>
      <c r="CE55" s="40">
        <f t="shared" si="71"/>
        <v>0.3604840391482762</v>
      </c>
      <c r="CF55" s="40">
        <f t="shared" si="72"/>
        <v>0.44260291285597203</v>
      </c>
      <c r="CG55" s="40">
        <f t="shared" si="73"/>
        <v>0.53096765223019116</v>
      </c>
      <c r="CH55" s="40">
        <f t="shared" si="74"/>
        <v>0.56743546595080485</v>
      </c>
      <c r="CI55" s="40">
        <f t="shared" si="75"/>
        <v>0.53377960057886853</v>
      </c>
      <c r="CJ55" s="40">
        <f t="shared" si="76"/>
        <v>0.49703940575525501</v>
      </c>
      <c r="CK55" s="40">
        <f t="shared" si="77"/>
        <v>0.54686558828445908</v>
      </c>
      <c r="CL55" s="40">
        <f t="shared" si="78"/>
        <v>0.61884309890681788</v>
      </c>
      <c r="CM55" s="40">
        <f t="shared" si="79"/>
        <v>0.65772977594020721</v>
      </c>
      <c r="CN55" s="691">
        <f t="shared" si="80"/>
        <v>0.749630963581016</v>
      </c>
      <c r="CO55" s="691">
        <f t="shared" si="81"/>
        <v>0.75848156880109663</v>
      </c>
      <c r="CP55" s="691">
        <f t="shared" si="82"/>
        <v>0.75599055454844621</v>
      </c>
      <c r="CQ55" s="691">
        <f t="shared" si="83"/>
        <v>0.76956047147726725</v>
      </c>
    </row>
    <row r="56" spans="1:95">
      <c r="A56" s="13" t="s">
        <v>47</v>
      </c>
      <c r="B56" s="319">
        <v>93138060.640000001</v>
      </c>
      <c r="C56" s="319">
        <v>98864915.219999999</v>
      </c>
      <c r="D56" s="319">
        <v>95487595.829999998</v>
      </c>
      <c r="E56" s="319">
        <v>99703382.549999997</v>
      </c>
      <c r="F56" s="319">
        <v>104865376.06999999</v>
      </c>
      <c r="G56" s="319">
        <v>105732312.84999999</v>
      </c>
      <c r="H56" s="319">
        <v>125579087.12</v>
      </c>
      <c r="I56" s="319">
        <v>168931601.63</v>
      </c>
      <c r="J56" s="319">
        <v>197204397.31999999</v>
      </c>
      <c r="K56" s="319">
        <v>292272733.38999999</v>
      </c>
      <c r="L56" s="319">
        <v>372582593.47000003</v>
      </c>
      <c r="M56" s="319">
        <v>334459353.69</v>
      </c>
      <c r="N56" s="319">
        <v>332201747.51999998</v>
      </c>
      <c r="O56" s="319">
        <v>339695648.60000002</v>
      </c>
      <c r="P56" s="319">
        <v>326529200.25999999</v>
      </c>
      <c r="Q56" s="319">
        <v>285690191.01999998</v>
      </c>
      <c r="R56" s="319">
        <v>283560071.30000001</v>
      </c>
      <c r="S56" s="319">
        <v>264447162.53</v>
      </c>
      <c r="T56" s="677">
        <v>296631001.14999998</v>
      </c>
      <c r="U56" s="677">
        <v>321552535.42000002</v>
      </c>
      <c r="V56" s="678">
        <v>310735859.75</v>
      </c>
      <c r="W56" s="809">
        <v>308382230.01999998</v>
      </c>
      <c r="X56" s="810"/>
      <c r="Y56" s="13" t="s">
        <v>47</v>
      </c>
      <c r="Z56" s="319">
        <f>B56/'Population &amp; Income'!B55</f>
        <v>4670.2131394474254</v>
      </c>
      <c r="AA56" s="319">
        <f>C56/'Population &amp; Income'!C55</f>
        <v>4775.8521433747164</v>
      </c>
      <c r="AB56" s="319">
        <f>D56/'Population &amp; Income'!D55</f>
        <v>4504.9818753538402</v>
      </c>
      <c r="AC56" s="319">
        <f>E56/'Population &amp; Income'!E55</f>
        <v>4624.2466745512729</v>
      </c>
      <c r="AD56" s="319">
        <f>F56/'Population &amp; Income'!F55</f>
        <v>4840.3127657512114</v>
      </c>
      <c r="AE56" s="319">
        <f>G56/'Population &amp; Income'!G55</f>
        <v>4875.1527503688676</v>
      </c>
      <c r="AF56" s="319">
        <f>H56/'Population &amp; Income'!H55</f>
        <v>5783.8562601326457</v>
      </c>
      <c r="AG56" s="319">
        <f>I56/'Population &amp; Income'!I55</f>
        <v>7642.2348622483596</v>
      </c>
      <c r="AH56" s="319">
        <f>J56/'Population &amp; Income'!J55</f>
        <v>8799.8392378402496</v>
      </c>
      <c r="AI56" s="319">
        <f>K56/'Population &amp; Income'!K55</f>
        <v>12865.249290870675</v>
      </c>
      <c r="AJ56" s="319">
        <f>L56/'Population &amp; Income'!L55</f>
        <v>16215.458653000827</v>
      </c>
      <c r="AK56" s="319">
        <f>M56/'Population &amp; Income'!M55</f>
        <v>14544.240463124021</v>
      </c>
      <c r="AL56" s="319">
        <f>N56/'Population &amp; Income'!N55</f>
        <v>14479.438064769211</v>
      </c>
      <c r="AM56" s="319">
        <f>O56/'Population &amp; Income'!O55</f>
        <v>14720.733602010749</v>
      </c>
      <c r="AN56" s="319">
        <f>P56/'Population &amp; Income'!P55</f>
        <v>11347.275516402557</v>
      </c>
      <c r="AO56" s="319">
        <f>Q56/'Population &amp; Income'!Q55</f>
        <v>9945.3523295968807</v>
      </c>
      <c r="AP56" s="319">
        <f>R56/'Population &amp; Income'!R55</f>
        <v>9864.6745973212728</v>
      </c>
      <c r="AQ56" s="319">
        <f>S56/'Population &amp; Income'!S55</f>
        <v>11722.987965688448</v>
      </c>
      <c r="AR56" s="697">
        <f>T56/'Population &amp; Income'!T55</f>
        <v>13012.414509124406</v>
      </c>
      <c r="AS56" s="697">
        <f>U56/'Population &amp; Income'!U55</f>
        <v>14197.833602084071</v>
      </c>
      <c r="AT56" s="697">
        <f>V56/'Population &amp; Income'!V55</f>
        <v>13737.217495579134</v>
      </c>
      <c r="AU56" s="697">
        <f>W56/'Population &amp; Income'!W55</f>
        <v>13508.946470124407</v>
      </c>
      <c r="AV56" s="690"/>
      <c r="AW56" s="486"/>
      <c r="AX56" s="13" t="s">
        <v>47</v>
      </c>
      <c r="AY56" s="40">
        <f t="shared" si="42"/>
        <v>6.1487801449244331E-2</v>
      </c>
      <c r="AZ56" s="40">
        <f t="shared" si="43"/>
        <v>-3.4160949640067884E-2</v>
      </c>
      <c r="BA56" s="40">
        <f t="shared" si="44"/>
        <v>4.4150098066198205E-2</v>
      </c>
      <c r="BB56" s="40">
        <f t="shared" si="45"/>
        <v>5.1773504448671244E-2</v>
      </c>
      <c r="BC56" s="40">
        <f t="shared" si="46"/>
        <v>8.2671403325850993E-3</v>
      </c>
      <c r="BD56" s="40">
        <f t="shared" si="47"/>
        <v>0.18770774737668108</v>
      </c>
      <c r="BE56" s="40">
        <f t="shared" si="48"/>
        <v>0.34522081267061205</v>
      </c>
      <c r="BF56" s="40">
        <f t="shared" si="49"/>
        <v>0.16736238464088016</v>
      </c>
      <c r="BG56" s="40">
        <f t="shared" si="50"/>
        <v>0.48208020389998874</v>
      </c>
      <c r="BH56" s="40">
        <f t="shared" si="51"/>
        <v>0.27477712049463393</v>
      </c>
      <c r="BI56" s="40">
        <f t="shared" si="52"/>
        <v>-0.10232158036408556</v>
      </c>
      <c r="BJ56" s="40">
        <f t="shared" si="53"/>
        <v>-6.7500165418980084E-3</v>
      </c>
      <c r="BK56" s="40">
        <f t="shared" si="54"/>
        <v>2.2558283139521646E-2</v>
      </c>
      <c r="BL56" s="40">
        <f t="shared" si="55"/>
        <v>-3.8759543709975072E-2</v>
      </c>
      <c r="BM56" s="40">
        <f t="shared" si="56"/>
        <v>-0.1250700066256917</v>
      </c>
      <c r="BN56" s="40">
        <f t="shared" si="57"/>
        <v>-7.4560477991729443E-3</v>
      </c>
      <c r="BO56" s="40">
        <f t="shared" si="58"/>
        <v>-6.7403385400404262E-2</v>
      </c>
      <c r="BP56" s="691">
        <f t="shared" si="59"/>
        <v>0.12170234050572921</v>
      </c>
      <c r="BQ56" s="691">
        <f t="shared" si="60"/>
        <v>8.4015272083438619E-2</v>
      </c>
      <c r="BR56" s="691">
        <f t="shared" si="61"/>
        <v>-3.3638906488084985E-2</v>
      </c>
      <c r="BS56" s="691">
        <f t="shared" si="62"/>
        <v>-7.5743743637879859E-3</v>
      </c>
      <c r="BT56" s="40"/>
      <c r="BV56" s="13" t="s">
        <v>47</v>
      </c>
      <c r="BW56" s="40">
        <f t="shared" si="63"/>
        <v>6.1487801449244331E-2</v>
      </c>
      <c r="BX56" s="40">
        <f t="shared" si="64"/>
        <v>2.5226370120390317E-2</v>
      </c>
      <c r="BY56" s="40">
        <f t="shared" si="65"/>
        <v>7.0490214901257967E-2</v>
      </c>
      <c r="BZ56" s="40">
        <f t="shared" si="66"/>
        <v>0.12591324480470728</v>
      </c>
      <c r="CA56" s="40">
        <f t="shared" si="67"/>
        <v>0.13522132760182404</v>
      </c>
      <c r="CB56" s="40">
        <f t="shared" si="68"/>
        <v>0.34831116577992777</v>
      </c>
      <c r="CC56" s="40">
        <f t="shared" si="69"/>
        <v>0.81377624216333477</v>
      </c>
      <c r="CD56" s="40">
        <f t="shared" si="70"/>
        <v>1.1173341592567649</v>
      </c>
      <c r="CE56" s="40">
        <f t="shared" si="71"/>
        <v>2.1380590424756778</v>
      </c>
      <c r="CF56" s="40">
        <f t="shared" si="72"/>
        <v>3.0003258701092923</v>
      </c>
      <c r="CG56" s="40">
        <f t="shared" si="73"/>
        <v>2.591006205108374</v>
      </c>
      <c r="CH56" s="40">
        <f t="shared" si="74"/>
        <v>2.566766853821834</v>
      </c>
      <c r="CI56" s="40">
        <f t="shared" si="75"/>
        <v>2.6472269904030079</v>
      </c>
      <c r="CJ56" s="40">
        <f t="shared" si="76"/>
        <v>2.5058621364482816</v>
      </c>
      <c r="CK56" s="40">
        <f t="shared" si="77"/>
        <v>2.0673839358139334</v>
      </c>
      <c r="CL56" s="40">
        <f t="shared" si="78"/>
        <v>2.0445133745700894</v>
      </c>
      <c r="CM56" s="40">
        <f t="shared" si="79"/>
        <v>1.8393028662272561</v>
      </c>
      <c r="CN56" s="691">
        <f t="shared" si="80"/>
        <v>2.1848526704517388</v>
      </c>
      <c r="CO56" s="691">
        <f t="shared" si="81"/>
        <v>2.4524289341054075</v>
      </c>
      <c r="CP56" s="691">
        <f t="shared" si="82"/>
        <v>2.336293000034277</v>
      </c>
      <c r="CQ56" s="691">
        <f t="shared" si="83"/>
        <v>2.3110226678647319</v>
      </c>
    </row>
    <row r="57" spans="1:95">
      <c r="A57" s="13" t="s">
        <v>48</v>
      </c>
      <c r="B57" s="319">
        <v>17282115.539999999</v>
      </c>
      <c r="C57" s="319">
        <v>15711287.220000001</v>
      </c>
      <c r="D57" s="319">
        <v>18666786.73</v>
      </c>
      <c r="E57" s="319">
        <v>18334101.289999999</v>
      </c>
      <c r="F57" s="319">
        <v>19798812.620000001</v>
      </c>
      <c r="G57" s="319">
        <v>22045274.73</v>
      </c>
      <c r="H57" s="319">
        <v>20792076</v>
      </c>
      <c r="I57" s="319">
        <v>24507932.34</v>
      </c>
      <c r="J57" s="319">
        <v>27174219.370000001</v>
      </c>
      <c r="K57" s="319">
        <v>25165496.579999998</v>
      </c>
      <c r="L57" s="319">
        <v>24626382.030000001</v>
      </c>
      <c r="M57" s="319">
        <v>27597897.23</v>
      </c>
      <c r="N57" s="319">
        <v>24858987.93</v>
      </c>
      <c r="O57" s="319">
        <v>24715996.079999998</v>
      </c>
      <c r="P57" s="319">
        <v>24573394.920000002</v>
      </c>
      <c r="Q57" s="319">
        <v>27204942.23</v>
      </c>
      <c r="R57" s="319">
        <v>26050816.059999999</v>
      </c>
      <c r="S57" s="319">
        <v>28183924.760000002</v>
      </c>
      <c r="T57" s="677">
        <v>31436672.309999999</v>
      </c>
      <c r="U57" s="677">
        <v>29318648.719999999</v>
      </c>
      <c r="V57" s="678">
        <v>29492785.93</v>
      </c>
      <c r="W57" s="809">
        <v>30777092.300000001</v>
      </c>
      <c r="X57" s="810"/>
      <c r="Y57" s="13" t="s">
        <v>48</v>
      </c>
      <c r="Z57" s="319">
        <f>B57/'Population &amp; Income'!B56</f>
        <v>4484.2022677737414</v>
      </c>
      <c r="AA57" s="319">
        <f>C57/'Population &amp; Income'!C56</f>
        <v>4109.6749202197225</v>
      </c>
      <c r="AB57" s="319">
        <f>D57/'Population &amp; Income'!D56</f>
        <v>4940.9176098464795</v>
      </c>
      <c r="AC57" s="319">
        <f>E57/'Population &amp; Income'!E56</f>
        <v>4899.54604222341</v>
      </c>
      <c r="AD57" s="319">
        <f>F57/'Population &amp; Income'!F56</f>
        <v>5283.9104937283164</v>
      </c>
      <c r="AE57" s="319">
        <f>G57/'Population &amp; Income'!G56</f>
        <v>5878.739928</v>
      </c>
      <c r="AF57" s="319">
        <f>H57/'Population &amp; Income'!H56</f>
        <v>5620.9991889699922</v>
      </c>
      <c r="AG57" s="319">
        <f>I57/'Population &amp; Income'!I56</f>
        <v>6593.4711702986278</v>
      </c>
      <c r="AH57" s="319">
        <f>J57/'Population &amp; Income'!J56</f>
        <v>7342.3991813023513</v>
      </c>
      <c r="AI57" s="319">
        <f>K57/'Population &amp; Income'!K56</f>
        <v>6831.0251302931592</v>
      </c>
      <c r="AJ57" s="319">
        <f>L57/'Population &amp; Income'!L56</f>
        <v>6713.8446101417667</v>
      </c>
      <c r="AK57" s="319">
        <f>M57/'Population &amp; Income'!M56</f>
        <v>7491.285893051032</v>
      </c>
      <c r="AL57" s="319">
        <f>N57/'Population &amp; Income'!N56</f>
        <v>6632.6008351120599</v>
      </c>
      <c r="AM57" s="319">
        <f>O57/'Population &amp; Income'!O56</f>
        <v>6545.5498093220331</v>
      </c>
      <c r="AN57" s="319">
        <f>P57/'Population &amp; Income'!P56</f>
        <v>6506.0616679904688</v>
      </c>
      <c r="AO57" s="319">
        <f>Q57/'Population &amp; Income'!Q56</f>
        <v>7191.3672297118692</v>
      </c>
      <c r="AP57" s="319">
        <f>R57/'Population &amp; Income'!R56</f>
        <v>6986.0059157951191</v>
      </c>
      <c r="AQ57" s="319">
        <f>S57/'Population &amp; Income'!S56</f>
        <v>7627.5845087956704</v>
      </c>
      <c r="AR57" s="697">
        <f>T57/'Population &amp; Income'!T56</f>
        <v>8475.781156645995</v>
      </c>
      <c r="AS57" s="697">
        <f>U57/'Population &amp; Income'!U56</f>
        <v>7919.6782063749324</v>
      </c>
      <c r="AT57" s="697">
        <f>V57/'Population &amp; Income'!V56</f>
        <v>7973.1781373344147</v>
      </c>
      <c r="AU57" s="697">
        <f>W57/'Population &amp; Income'!W56</f>
        <v>8367.8880641653068</v>
      </c>
      <c r="AV57" s="690"/>
      <c r="AW57" s="486"/>
      <c r="AX57" s="13" t="s">
        <v>48</v>
      </c>
      <c r="AY57" s="40">
        <f t="shared" si="42"/>
        <v>-9.0893288866416094E-2</v>
      </c>
      <c r="AZ57" s="40">
        <f t="shared" si="43"/>
        <v>0.18811313602858312</v>
      </c>
      <c r="BA57" s="40">
        <f t="shared" si="44"/>
        <v>-1.7822319653190859E-2</v>
      </c>
      <c r="BB57" s="40">
        <f t="shared" si="45"/>
        <v>7.9889998796881412E-2</v>
      </c>
      <c r="BC57" s="40">
        <f t="shared" si="46"/>
        <v>0.11346448663950229</v>
      </c>
      <c r="BD57" s="40">
        <f t="shared" si="47"/>
        <v>-5.6846591632382912E-2</v>
      </c>
      <c r="BE57" s="40">
        <f t="shared" si="48"/>
        <v>0.17871502297317496</v>
      </c>
      <c r="BF57" s="40">
        <f t="shared" si="49"/>
        <v>0.10879281830104813</v>
      </c>
      <c r="BG57" s="40">
        <f t="shared" si="50"/>
        <v>-7.3920165383577041E-2</v>
      </c>
      <c r="BH57" s="40">
        <f t="shared" si="51"/>
        <v>-2.1422766218269357E-2</v>
      </c>
      <c r="BI57" s="40">
        <f t="shared" si="52"/>
        <v>0.12066389599495704</v>
      </c>
      <c r="BJ57" s="40">
        <f t="shared" si="53"/>
        <v>-9.9243405291860376E-2</v>
      </c>
      <c r="BK57" s="40">
        <f t="shared" si="54"/>
        <v>-5.7521187267418044E-3</v>
      </c>
      <c r="BL57" s="40">
        <f t="shared" si="55"/>
        <v>-5.7695898453143154E-3</v>
      </c>
      <c r="BM57" s="40">
        <f t="shared" si="56"/>
        <v>0.1070892857322784</v>
      </c>
      <c r="BN57" s="40">
        <f t="shared" si="57"/>
        <v>-4.242340087483442E-2</v>
      </c>
      <c r="BO57" s="40">
        <f t="shared" si="58"/>
        <v>8.1882605715193207E-2</v>
      </c>
      <c r="BP57" s="691">
        <f t="shared" si="59"/>
        <v>0.11541144740126665</v>
      </c>
      <c r="BQ57" s="691">
        <f t="shared" si="60"/>
        <v>-6.7374293599334209E-2</v>
      </c>
      <c r="BR57" s="691">
        <f t="shared" si="61"/>
        <v>5.9394691639117567E-3</v>
      </c>
      <c r="BS57" s="691">
        <f t="shared" si="62"/>
        <v>4.3546458210094265E-2</v>
      </c>
      <c r="BT57" s="40"/>
      <c r="BV57" s="13" t="s">
        <v>48</v>
      </c>
      <c r="BW57" s="40">
        <f t="shared" si="63"/>
        <v>-9.0893288866416094E-2</v>
      </c>
      <c r="BX57" s="40">
        <f t="shared" si="64"/>
        <v>8.0121625549553613E-2</v>
      </c>
      <c r="BY57" s="40">
        <f t="shared" si="65"/>
        <v>6.0871352674685339E-2</v>
      </c>
      <c r="BZ57" s="40">
        <f t="shared" si="66"/>
        <v>0.1456243637635119</v>
      </c>
      <c r="CA57" s="40">
        <f t="shared" si="67"/>
        <v>0.27561204407964524</v>
      </c>
      <c r="CB57" s="40">
        <f t="shared" si="68"/>
        <v>0.2030978471285004</v>
      </c>
      <c r="CC57" s="40">
        <f t="shared" si="69"/>
        <v>0.4181095065170477</v>
      </c>
      <c r="CD57" s="40">
        <f t="shared" si="70"/>
        <v>0.57238963639054585</v>
      </c>
      <c r="CE57" s="40">
        <f t="shared" si="71"/>
        <v>0.45615833442113418</v>
      </c>
      <c r="CF57" s="40">
        <f t="shared" si="72"/>
        <v>0.42496339484604573</v>
      </c>
      <c r="CG57" s="40">
        <f t="shared" si="73"/>
        <v>0.59690502971836989</v>
      </c>
      <c r="CH57" s="40">
        <f t="shared" si="74"/>
        <v>0.43842273664141934</v>
      </c>
      <c r="CI57" s="40">
        <f t="shared" si="75"/>
        <v>0.43014875828101307</v>
      </c>
      <c r="CJ57" s="40">
        <f t="shared" si="76"/>
        <v>0.42189738652794606</v>
      </c>
      <c r="CK57" s="40">
        <f t="shared" si="77"/>
        <v>0.5741673620358172</v>
      </c>
      <c r="CL57" s="40">
        <f t="shared" si="78"/>
        <v>0.50738582899209106</v>
      </c>
      <c r="CM57" s="40">
        <f t="shared" si="79"/>
        <v>0.63081450848812015</v>
      </c>
      <c r="CN57" s="691">
        <f t="shared" si="80"/>
        <v>0.8190291713557194</v>
      </c>
      <c r="CO57" s="691">
        <f t="shared" si="81"/>
        <v>0.69647336589904552</v>
      </c>
      <c r="CP57" s="691">
        <f t="shared" si="82"/>
        <v>0.70654951714320047</v>
      </c>
      <c r="CQ57" s="691">
        <f t="shared" si="83"/>
        <v>0.78086370437493335</v>
      </c>
    </row>
    <row r="58" spans="1:95">
      <c r="A58" s="13" t="s">
        <v>49</v>
      </c>
      <c r="B58" s="319">
        <v>149912566.80000001</v>
      </c>
      <c r="C58" s="319">
        <v>157022397.59999999</v>
      </c>
      <c r="D58" s="319">
        <v>167357444.30000001</v>
      </c>
      <c r="E58" s="319">
        <v>174120909.77000001</v>
      </c>
      <c r="F58" s="319">
        <v>191597544.75999999</v>
      </c>
      <c r="G58" s="319">
        <v>204544463.72999999</v>
      </c>
      <c r="H58" s="319">
        <v>228518263.59</v>
      </c>
      <c r="I58" s="319">
        <v>222566512.75</v>
      </c>
      <c r="J58" s="319">
        <v>227011506.37</v>
      </c>
      <c r="K58" s="319">
        <v>314803346.43000001</v>
      </c>
      <c r="L58" s="319">
        <v>328369131.13999999</v>
      </c>
      <c r="M58" s="319">
        <v>336142048.69</v>
      </c>
      <c r="N58" s="319">
        <v>319243510.17000002</v>
      </c>
      <c r="O58" s="319">
        <v>297573630.27999997</v>
      </c>
      <c r="P58" s="319">
        <v>301210752.06</v>
      </c>
      <c r="Q58" s="319">
        <v>304424287.42000002</v>
      </c>
      <c r="R58" s="319">
        <v>339399918.48000002</v>
      </c>
      <c r="S58" s="319">
        <v>350883919.56999999</v>
      </c>
      <c r="T58" s="677">
        <v>396576490.92000002</v>
      </c>
      <c r="U58" s="677">
        <v>371724002.86000001</v>
      </c>
      <c r="V58" s="678">
        <v>384492983.60000002</v>
      </c>
      <c r="W58" s="809">
        <v>390424316.79000002</v>
      </c>
      <c r="X58" s="810"/>
      <c r="Y58" s="13" t="s">
        <v>49</v>
      </c>
      <c r="Z58" s="319">
        <f>B58/'Population &amp; Income'!B57</f>
        <v>6591.0119498790946</v>
      </c>
      <c r="AA58" s="319">
        <f>C58/'Population &amp; Income'!C57</f>
        <v>6804.5760790431614</v>
      </c>
      <c r="AB58" s="319">
        <f>D58/'Population &amp; Income'!D57</f>
        <v>7248.3626099008188</v>
      </c>
      <c r="AC58" s="319">
        <f>E58/'Population &amp; Income'!E57</f>
        <v>7466.2711620427945</v>
      </c>
      <c r="AD58" s="319">
        <f>F58/'Population &amp; Income'!F57</f>
        <v>8112.6961409154419</v>
      </c>
      <c r="AE58" s="319">
        <f>G58/'Population &amp; Income'!G57</f>
        <v>8554.4085872610922</v>
      </c>
      <c r="AF58" s="319">
        <f>H58/'Population &amp; Income'!H57</f>
        <v>9489.1729752512256</v>
      </c>
      <c r="AG58" s="319">
        <f>I58/'Population &amp; Income'!I57</f>
        <v>9252.016659045561</v>
      </c>
      <c r="AH58" s="319">
        <f>J58/'Population &amp; Income'!J57</f>
        <v>9270.3163333061093</v>
      </c>
      <c r="AI58" s="319">
        <f>K58/'Population &amp; Income'!K57</f>
        <v>12806.254431291189</v>
      </c>
      <c r="AJ58" s="319">
        <f>L58/'Population &amp; Income'!L57</f>
        <v>13262.616872248474</v>
      </c>
      <c r="AK58" s="319">
        <f>M58/'Population &amp; Income'!M57</f>
        <v>13530.654457593688</v>
      </c>
      <c r="AL58" s="319">
        <f>N58/'Population &amp; Income'!N57</f>
        <v>12838.038773072747</v>
      </c>
      <c r="AM58" s="319">
        <f>O58/'Population &amp; Income'!O57</f>
        <v>11979.614745571658</v>
      </c>
      <c r="AN58" s="319">
        <f>P58/'Population &amp; Income'!P57</f>
        <v>12180.958915399548</v>
      </c>
      <c r="AO58" s="319">
        <f>Q58/'Population &amp; Income'!Q57</f>
        <v>12245.546557522124</v>
      </c>
      <c r="AP58" s="319">
        <f>R58/'Population &amp; Income'!R57</f>
        <v>13676.105833904179</v>
      </c>
      <c r="AQ58" s="319">
        <f>S58/'Population &amp; Income'!S57</f>
        <v>13983.8960453531</v>
      </c>
      <c r="AR58" s="697">
        <f>T58/'Population &amp; Income'!T57</f>
        <v>15829.501094479703</v>
      </c>
      <c r="AS58" s="697">
        <f>U58/'Population &amp; Income'!U57</f>
        <v>14823.895472164621</v>
      </c>
      <c r="AT58" s="697">
        <f>V58/'Population &amp; Income'!V57</f>
        <v>15254.026168372611</v>
      </c>
      <c r="AU58" s="697">
        <f>W58/'Population &amp; Income'!W57</f>
        <v>15475.833073965436</v>
      </c>
      <c r="AV58" s="690"/>
      <c r="AW58" s="486"/>
      <c r="AX58" s="13" t="s">
        <v>49</v>
      </c>
      <c r="AY58" s="40">
        <f t="shared" si="42"/>
        <v>4.74265163472605E-2</v>
      </c>
      <c r="AZ58" s="40">
        <f t="shared" si="43"/>
        <v>6.5818933209309358E-2</v>
      </c>
      <c r="BA58" s="40">
        <f t="shared" si="44"/>
        <v>4.041329322570205E-2</v>
      </c>
      <c r="BB58" s="40">
        <f t="shared" si="45"/>
        <v>0.1003706850204564</v>
      </c>
      <c r="BC58" s="40">
        <f t="shared" si="46"/>
        <v>6.7573511895560254E-2</v>
      </c>
      <c r="BD58" s="40">
        <f t="shared" si="47"/>
        <v>0.11720581150338825</v>
      </c>
      <c r="BE58" s="40">
        <f t="shared" si="48"/>
        <v>-2.6044967901027116E-2</v>
      </c>
      <c r="BF58" s="40">
        <f t="shared" si="49"/>
        <v>1.9971529252439189E-2</v>
      </c>
      <c r="BG58" s="40">
        <f t="shared" si="50"/>
        <v>0.38672859126757397</v>
      </c>
      <c r="BH58" s="40">
        <f t="shared" si="51"/>
        <v>4.3092885967832242E-2</v>
      </c>
      <c r="BI58" s="40">
        <f t="shared" si="52"/>
        <v>2.367127970590522E-2</v>
      </c>
      <c r="BJ58" s="40">
        <f t="shared" si="53"/>
        <v>-5.0272016208196275E-2</v>
      </c>
      <c r="BK58" s="40">
        <f t="shared" si="54"/>
        <v>-6.7878842324658822E-2</v>
      </c>
      <c r="BL58" s="40">
        <f t="shared" si="55"/>
        <v>1.2222594376315217E-2</v>
      </c>
      <c r="BM58" s="40">
        <f t="shared" si="56"/>
        <v>1.0668727254994837E-2</v>
      </c>
      <c r="BN58" s="40">
        <f t="shared" si="57"/>
        <v>0.11489106653223681</v>
      </c>
      <c r="BO58" s="40">
        <f t="shared" si="58"/>
        <v>3.3836192835375409E-2</v>
      </c>
      <c r="BP58" s="691">
        <f t="shared" si="59"/>
        <v>0.13022133190371105</v>
      </c>
      <c r="BQ58" s="691">
        <f t="shared" si="60"/>
        <v>-6.2667577703221469E-2</v>
      </c>
      <c r="BR58" s="691">
        <f t="shared" si="61"/>
        <v>3.4350702784208174E-2</v>
      </c>
      <c r="BS58" s="691">
        <f t="shared" si="62"/>
        <v>1.5426375624504367E-2</v>
      </c>
      <c r="BT58" s="40"/>
      <c r="BV58" s="13" t="s">
        <v>49</v>
      </c>
      <c r="BW58" s="40">
        <f t="shared" si="63"/>
        <v>4.74265163472605E-2</v>
      </c>
      <c r="BX58" s="40">
        <f t="shared" si="64"/>
        <v>0.11636701226838042</v>
      </c>
      <c r="BY58" s="40">
        <f t="shared" si="65"/>
        <v>0.16148307968268338</v>
      </c>
      <c r="BZ58" s="40">
        <f t="shared" si="66"/>
        <v>0.27806193203010365</v>
      </c>
      <c r="CA58" s="40">
        <f t="shared" si="67"/>
        <v>0.36442506519740259</v>
      </c>
      <c r="CB58" s="40">
        <f t="shared" si="68"/>
        <v>0.5243436121994276</v>
      </c>
      <c r="CC58" s="40">
        <f t="shared" si="69"/>
        <v>0.48464213174955778</v>
      </c>
      <c r="CD58" s="40">
        <f t="shared" si="70"/>
        <v>0.51429270551319772</v>
      </c>
      <c r="CE58" s="40">
        <f t="shared" si="71"/>
        <v>1.09991299028308</v>
      </c>
      <c r="CF58" s="40">
        <f t="shared" si="72"/>
        <v>1.1904043013157184</v>
      </c>
      <c r="CG58" s="40">
        <f t="shared" si="73"/>
        <v>1.2422539742011807</v>
      </c>
      <c r="CH58" s="40">
        <f t="shared" si="74"/>
        <v>1.1295313460672465</v>
      </c>
      <c r="CI58" s="40">
        <f t="shared" si="75"/>
        <v>0.98498122360212936</v>
      </c>
      <c r="CJ58" s="40">
        <f t="shared" si="76"/>
        <v>1.00924284394282</v>
      </c>
      <c r="CK58" s="40">
        <f t="shared" si="77"/>
        <v>1.030678907833896</v>
      </c>
      <c r="CL58" s="40">
        <f t="shared" si="78"/>
        <v>1.2639857733394502</v>
      </c>
      <c r="CM58" s="40">
        <f t="shared" si="79"/>
        <v>1.3405904325427105</v>
      </c>
      <c r="CN58" s="691">
        <f t="shared" si="80"/>
        <v>1.6453852361095054</v>
      </c>
      <c r="CO58" s="691">
        <f t="shared" si="81"/>
        <v>1.479605351270658</v>
      </c>
      <c r="CP58" s="691">
        <f t="shared" si="82"/>
        <v>1.5647815377142884</v>
      </c>
      <c r="CQ58" s="691">
        <f t="shared" si="83"/>
        <v>1.604346821109863</v>
      </c>
    </row>
    <row r="59" spans="1:95">
      <c r="A59" s="13" t="s">
        <v>50</v>
      </c>
      <c r="B59" s="319">
        <v>68276033.569999993</v>
      </c>
      <c r="C59" s="319">
        <v>68132346.689999998</v>
      </c>
      <c r="D59" s="319">
        <v>73244017.969999999</v>
      </c>
      <c r="E59" s="319">
        <v>76628129.319999993</v>
      </c>
      <c r="F59" s="319">
        <v>79917898.560000002</v>
      </c>
      <c r="G59" s="319">
        <v>71287541.590000004</v>
      </c>
      <c r="H59" s="319">
        <v>65852166.030000001</v>
      </c>
      <c r="I59" s="319">
        <v>68003177.219999999</v>
      </c>
      <c r="J59" s="319">
        <v>68963468.040000007</v>
      </c>
      <c r="K59" s="319">
        <v>70433114.349999994</v>
      </c>
      <c r="L59" s="319">
        <v>73951269.939999998</v>
      </c>
      <c r="M59" s="319">
        <v>78471401.989999995</v>
      </c>
      <c r="N59" s="319">
        <v>81534991.659999996</v>
      </c>
      <c r="O59" s="319">
        <v>81429315.349999994</v>
      </c>
      <c r="P59" s="319">
        <v>83782452.560000002</v>
      </c>
      <c r="Q59" s="319">
        <v>82784770.689999998</v>
      </c>
      <c r="R59" s="319">
        <v>83256282.599999994</v>
      </c>
      <c r="S59" s="319">
        <v>84329962.799999997</v>
      </c>
      <c r="T59" s="677">
        <v>87282283.269999996</v>
      </c>
      <c r="U59" s="677">
        <v>85657647.859999999</v>
      </c>
      <c r="V59" s="678">
        <v>85617840.709999993</v>
      </c>
      <c r="W59" s="809">
        <v>82964225.459999993</v>
      </c>
      <c r="X59" s="810"/>
      <c r="Y59" s="13" t="s">
        <v>50</v>
      </c>
      <c r="Z59" s="319">
        <f>B59/'Population &amp; Income'!B58</f>
        <v>4945.7467272727272</v>
      </c>
      <c r="AA59" s="319">
        <f>C59/'Population &amp; Income'!C58</f>
        <v>4976.7966902848793</v>
      </c>
      <c r="AB59" s="319">
        <f>D59/'Population &amp; Income'!D58</f>
        <v>5344.7181822825451</v>
      </c>
      <c r="AC59" s="319">
        <f>E59/'Population &amp; Income'!E58</f>
        <v>5643.5505464722337</v>
      </c>
      <c r="AD59" s="319">
        <f>F59/'Population &amp; Income'!F58</f>
        <v>5966.2484927211644</v>
      </c>
      <c r="AE59" s="319">
        <f>G59/'Population &amp; Income'!G58</f>
        <v>5310.4545284564965</v>
      </c>
      <c r="AF59" s="319">
        <f>H59/'Population &amp; Income'!H58</f>
        <v>4868.5617351766969</v>
      </c>
      <c r="AG59" s="319">
        <f>I59/'Population &amp; Income'!I58</f>
        <v>4990.6925891677674</v>
      </c>
      <c r="AH59" s="319">
        <f>J59/'Population &amp; Income'!J58</f>
        <v>5045.2460340917405</v>
      </c>
      <c r="AI59" s="319">
        <f>K59/'Population &amp; Income'!K58</f>
        <v>5077.3583008938867</v>
      </c>
      <c r="AJ59" s="319">
        <f>L59/'Population &amp; Income'!L58</f>
        <v>5269.8118677403263</v>
      </c>
      <c r="AK59" s="319">
        <f>M59/'Population &amp; Income'!M58</f>
        <v>5581.9748178972823</v>
      </c>
      <c r="AL59" s="319">
        <f>N59/'Population &amp; Income'!N58</f>
        <v>5787.9599389508057</v>
      </c>
      <c r="AM59" s="319">
        <f>O59/'Population &amp; Income'!O58</f>
        <v>5756.3491693765018</v>
      </c>
      <c r="AN59" s="319">
        <f>P59/'Population &amp; Income'!P58</f>
        <v>5845.423327984372</v>
      </c>
      <c r="AO59" s="319">
        <f>Q59/'Population &amp; Income'!Q58</f>
        <v>5801.7219629967058</v>
      </c>
      <c r="AP59" s="319">
        <f>R59/'Population &amp; Income'!R58</f>
        <v>5813.1743192291578</v>
      </c>
      <c r="AQ59" s="319">
        <f>S59/'Population &amp; Income'!S58</f>
        <v>5904.632600476124</v>
      </c>
      <c r="AR59" s="697">
        <f>T59/'Population &amp; Income'!T58</f>
        <v>6144.476118972193</v>
      </c>
      <c r="AS59" s="697">
        <f>U59/'Population &amp; Income'!U58</f>
        <v>6108.3682421735721</v>
      </c>
      <c r="AT59" s="697">
        <f>V59/'Population &amp; Income'!V58</f>
        <v>6204.6409674614097</v>
      </c>
      <c r="AU59" s="697">
        <f>W59/'Population &amp; Income'!W58</f>
        <v>6106.5968982776385</v>
      </c>
      <c r="AV59" s="690"/>
      <c r="AW59" s="486"/>
      <c r="AX59" s="13" t="s">
        <v>50</v>
      </c>
      <c r="AY59" s="40">
        <f t="shared" si="42"/>
        <v>-2.1044995218224018E-3</v>
      </c>
      <c r="AZ59" s="40">
        <f t="shared" si="43"/>
        <v>7.5025616000839401E-2</v>
      </c>
      <c r="BA59" s="40">
        <f t="shared" si="44"/>
        <v>4.6203245586364357E-2</v>
      </c>
      <c r="BB59" s="40">
        <f t="shared" si="45"/>
        <v>4.2931613614915397E-2</v>
      </c>
      <c r="BC59" s="40">
        <f t="shared" si="46"/>
        <v>-0.10799028910301715</v>
      </c>
      <c r="BD59" s="40">
        <f t="shared" si="47"/>
        <v>-7.6245798897944597E-2</v>
      </c>
      <c r="BE59" s="40">
        <f t="shared" si="48"/>
        <v>3.2664243557608573E-2</v>
      </c>
      <c r="BF59" s="40">
        <f t="shared" si="49"/>
        <v>1.4121264024081252E-2</v>
      </c>
      <c r="BG59" s="40">
        <f t="shared" si="50"/>
        <v>2.131050470297647E-2</v>
      </c>
      <c r="BH59" s="40">
        <f t="shared" si="51"/>
        <v>4.9950305654771945E-2</v>
      </c>
      <c r="BI59" s="40">
        <f t="shared" si="52"/>
        <v>6.1123115987965916E-2</v>
      </c>
      <c r="BJ59" s="40">
        <f t="shared" si="53"/>
        <v>3.9040842807809277E-2</v>
      </c>
      <c r="BK59" s="40">
        <f t="shared" si="54"/>
        <v>-1.2960853720408953E-3</v>
      </c>
      <c r="BL59" s="40">
        <f t="shared" si="55"/>
        <v>2.8897912255380499E-2</v>
      </c>
      <c r="BM59" s="40">
        <f t="shared" si="56"/>
        <v>-1.1908005071652975E-2</v>
      </c>
      <c r="BN59" s="40">
        <f t="shared" si="57"/>
        <v>5.6956358768648829E-3</v>
      </c>
      <c r="BO59" s="40">
        <f t="shared" si="58"/>
        <v>1.2896086234818308E-2</v>
      </c>
      <c r="BP59" s="691">
        <f t="shared" si="59"/>
        <v>3.5009151812408948E-2</v>
      </c>
      <c r="BQ59" s="691">
        <f t="shared" si="60"/>
        <v>-1.8613575964486755E-2</v>
      </c>
      <c r="BR59" s="691">
        <f t="shared" si="61"/>
        <v>-4.6472382787194082E-4</v>
      </c>
      <c r="BS59" s="691">
        <f t="shared" si="62"/>
        <v>-3.0993718458611666E-2</v>
      </c>
      <c r="BT59" s="40"/>
      <c r="BV59" s="13" t="s">
        <v>50</v>
      </c>
      <c r="BW59" s="40">
        <f t="shared" si="63"/>
        <v>-2.1044995218224018E-3</v>
      </c>
      <c r="BX59" s="40">
        <f t="shared" si="64"/>
        <v>7.2763225106018806E-2</v>
      </c>
      <c r="BY59" s="40">
        <f t="shared" si="65"/>
        <v>0.12232836785161245</v>
      </c>
      <c r="BZ59" s="40">
        <f t="shared" si="66"/>
        <v>0.17051173568927652</v>
      </c>
      <c r="CA59" s="40">
        <f t="shared" si="67"/>
        <v>4.4107834953717145E-2</v>
      </c>
      <c r="CB59" s="40">
        <f t="shared" si="68"/>
        <v>-3.5501001057932309E-2</v>
      </c>
      <c r="CC59" s="40">
        <f t="shared" si="69"/>
        <v>-3.9963708454189579E-3</v>
      </c>
      <c r="CD59" s="40">
        <f t="shared" si="70"/>
        <v>1.0068459370815993E-2</v>
      </c>
      <c r="CE59" s="40">
        <f t="shared" si="71"/>
        <v>3.1593528024565963E-2</v>
      </c>
      <c r="CF59" s="40">
        <f t="shared" si="72"/>
        <v>8.3121940060877572E-2</v>
      </c>
      <c r="CG59" s="40">
        <f t="shared" si="73"/>
        <v>0.14932572803232927</v>
      </c>
      <c r="CH59" s="40">
        <f t="shared" si="74"/>
        <v>0.19419637311541038</v>
      </c>
      <c r="CI59" s="40">
        <f t="shared" si="75"/>
        <v>0.19264859266487122</v>
      </c>
      <c r="CJ59" s="40">
        <f t="shared" si="76"/>
        <v>0.22711364704720369</v>
      </c>
      <c r="CK59" s="40">
        <f t="shared" si="77"/>
        <v>0.21250117151467102</v>
      </c>
      <c r="CL59" s="40">
        <f t="shared" si="78"/>
        <v>0.21940713668789069</v>
      </c>
      <c r="CM59" s="40">
        <f t="shared" si="79"/>
        <v>0.23513271627797058</v>
      </c>
      <c r="CN59" s="691">
        <f t="shared" si="80"/>
        <v>0.27837366505061911</v>
      </c>
      <c r="CO59" s="691">
        <f t="shared" si="81"/>
        <v>0.25457855972520005</v>
      </c>
      <c r="CP59" s="691">
        <f t="shared" si="82"/>
        <v>0.25399552717455848</v>
      </c>
      <c r="CQ59" s="691">
        <f t="shared" si="83"/>
        <v>0.21512954285695191</v>
      </c>
    </row>
    <row r="60" spans="1:95">
      <c r="A60" s="13" t="s">
        <v>51</v>
      </c>
      <c r="B60" s="319">
        <v>53723969.130000003</v>
      </c>
      <c r="C60" s="319">
        <v>61329939.049999997</v>
      </c>
      <c r="D60" s="319">
        <v>57514744.420000002</v>
      </c>
      <c r="E60" s="319">
        <v>62044021.369999997</v>
      </c>
      <c r="F60" s="319">
        <v>68150014.060000002</v>
      </c>
      <c r="G60" s="319">
        <v>70207250.069999993</v>
      </c>
      <c r="H60" s="319">
        <v>70989217.510000005</v>
      </c>
      <c r="I60" s="319">
        <v>73329404.75</v>
      </c>
      <c r="J60" s="319">
        <v>74840514.439999998</v>
      </c>
      <c r="K60" s="319">
        <v>76544728.459999993</v>
      </c>
      <c r="L60" s="319">
        <v>81580799.049999997</v>
      </c>
      <c r="M60" s="319">
        <v>81219236.950000003</v>
      </c>
      <c r="N60" s="319">
        <v>83780835.569999993</v>
      </c>
      <c r="O60" s="319">
        <v>82651782.019999996</v>
      </c>
      <c r="P60" s="319">
        <v>84940465.780000001</v>
      </c>
      <c r="Q60" s="319">
        <v>88675618.939999998</v>
      </c>
      <c r="R60" s="319">
        <v>88231971.140000001</v>
      </c>
      <c r="S60" s="319">
        <v>99396937.060000002</v>
      </c>
      <c r="T60" s="677">
        <v>117856666.91</v>
      </c>
      <c r="U60" s="677">
        <v>114193924.98</v>
      </c>
      <c r="V60" s="678">
        <v>108385682.81</v>
      </c>
      <c r="W60" s="809">
        <v>106561901.45</v>
      </c>
      <c r="X60" s="810"/>
      <c r="Y60" s="13" t="s">
        <v>51</v>
      </c>
      <c r="Z60" s="319">
        <f>B60/'Population &amp; Income'!B59</f>
        <v>3872.276858151939</v>
      </c>
      <c r="AA60" s="319">
        <f>C60/'Population &amp; Income'!C59</f>
        <v>4300.5356601921321</v>
      </c>
      <c r="AB60" s="319">
        <f>D60/'Population &amp; Income'!D59</f>
        <v>3995.4667884682181</v>
      </c>
      <c r="AC60" s="319">
        <f>E60/'Population &amp; Income'!E59</f>
        <v>4236.8220001365744</v>
      </c>
      <c r="AD60" s="319">
        <f>F60/'Population &amp; Income'!F59</f>
        <v>4590.1538398329631</v>
      </c>
      <c r="AE60" s="319">
        <f>G60/'Population &amp; Income'!G59</f>
        <v>4742.1310415400194</v>
      </c>
      <c r="AF60" s="319">
        <f>H60/'Population &amp; Income'!H59</f>
        <v>4730.7222117819547</v>
      </c>
      <c r="AG60" s="319">
        <f>I60/'Population &amp; Income'!I59</f>
        <v>4854.6444720291292</v>
      </c>
      <c r="AH60" s="319">
        <f>J60/'Population &amp; Income'!J59</f>
        <v>4962.2407134332316</v>
      </c>
      <c r="AI60" s="319">
        <f>K60/'Population &amp; Income'!K59</f>
        <v>4999.0026423719955</v>
      </c>
      <c r="AJ60" s="319">
        <f>L60/'Population &amp; Income'!L59</f>
        <v>5318.1746447196865</v>
      </c>
      <c r="AK60" s="319">
        <f>M60/'Population &amp; Income'!M59</f>
        <v>5268.5026563310848</v>
      </c>
      <c r="AL60" s="319">
        <f>N60/'Population &amp; Income'!N59</f>
        <v>5431.8487791753105</v>
      </c>
      <c r="AM60" s="319">
        <f>O60/'Population &amp; Income'!O59</f>
        <v>5316.9367655194592</v>
      </c>
      <c r="AN60" s="319">
        <f>P60/'Population &amp; Income'!P59</f>
        <v>5432.018020080578</v>
      </c>
      <c r="AO60" s="319">
        <f>Q60/'Population &amp; Income'!Q59</f>
        <v>5646.3304005093914</v>
      </c>
      <c r="AP60" s="319">
        <f>R60/'Population &amp; Income'!R59</f>
        <v>5646.8461529599999</v>
      </c>
      <c r="AQ60" s="319">
        <f>S60/'Population &amp; Income'!S59</f>
        <v>6311.7181267462538</v>
      </c>
      <c r="AR60" s="697">
        <f>T60/'Population &amp; Income'!T59</f>
        <v>7442.7955105778337</v>
      </c>
      <c r="AS60" s="697">
        <f>U60/'Population &amp; Income'!U59</f>
        <v>7176.1405756299882</v>
      </c>
      <c r="AT60" s="697">
        <f>V60/'Population &amp; Income'!V59</f>
        <v>6766.492871144962</v>
      </c>
      <c r="AU60" s="697">
        <f>W60/'Population &amp; Income'!W59</f>
        <v>6633.9974755649628</v>
      </c>
      <c r="AV60" s="690"/>
      <c r="AW60" s="486"/>
      <c r="AX60" s="13" t="s">
        <v>51</v>
      </c>
      <c r="AY60" s="40">
        <f t="shared" si="42"/>
        <v>0.14157498120801995</v>
      </c>
      <c r="AZ60" s="40">
        <f t="shared" si="43"/>
        <v>-6.2207702944064733E-2</v>
      </c>
      <c r="BA60" s="40">
        <f t="shared" si="44"/>
        <v>7.8749840509158175E-2</v>
      </c>
      <c r="BB60" s="40">
        <f t="shared" si="45"/>
        <v>9.8413877037190595E-2</v>
      </c>
      <c r="BC60" s="40">
        <f t="shared" si="46"/>
        <v>3.0186875797102226E-2</v>
      </c>
      <c r="BD60" s="40">
        <f t="shared" si="47"/>
        <v>1.1137987020148966E-2</v>
      </c>
      <c r="BE60" s="40">
        <f t="shared" si="48"/>
        <v>3.2965389985744532E-2</v>
      </c>
      <c r="BF60" s="40">
        <f t="shared" si="49"/>
        <v>2.060714518482434E-2</v>
      </c>
      <c r="BG60" s="40">
        <f t="shared" si="50"/>
        <v>2.2771276129672686E-2</v>
      </c>
      <c r="BH60" s="40">
        <f t="shared" si="51"/>
        <v>6.5792520155476222E-2</v>
      </c>
      <c r="BI60" s="40">
        <f t="shared" si="52"/>
        <v>-4.4319509518213531E-3</v>
      </c>
      <c r="BJ60" s="40">
        <f t="shared" si="53"/>
        <v>3.1539309111915881E-2</v>
      </c>
      <c r="BK60" s="40">
        <f t="shared" si="54"/>
        <v>-1.3476274643461366E-2</v>
      </c>
      <c r="BL60" s="40">
        <f t="shared" si="55"/>
        <v>2.7690676523419566E-2</v>
      </c>
      <c r="BM60" s="40">
        <f t="shared" si="56"/>
        <v>4.3973777700657156E-2</v>
      </c>
      <c r="BN60" s="40">
        <f t="shared" si="57"/>
        <v>-5.0030414820129926E-3</v>
      </c>
      <c r="BO60" s="40">
        <f t="shared" si="58"/>
        <v>0.12654104601476324</v>
      </c>
      <c r="BP60" s="691">
        <f t="shared" si="59"/>
        <v>0.18571729065310086</v>
      </c>
      <c r="BQ60" s="691">
        <f t="shared" si="60"/>
        <v>-3.107793581840395E-2</v>
      </c>
      <c r="BR60" s="691">
        <f t="shared" si="61"/>
        <v>-5.0862969908576666E-2</v>
      </c>
      <c r="BS60" s="691">
        <f t="shared" si="62"/>
        <v>-1.6826773728012456E-2</v>
      </c>
      <c r="BT60" s="40"/>
      <c r="BV60" s="13" t="s">
        <v>51</v>
      </c>
      <c r="BW60" s="40">
        <f t="shared" si="63"/>
        <v>0.14157498120801995</v>
      </c>
      <c r="BX60" s="40">
        <f t="shared" si="64"/>
        <v>7.0560223888655169E-2</v>
      </c>
      <c r="BY60" s="40">
        <f t="shared" si="65"/>
        <v>0.15486667077533545</v>
      </c>
      <c r="BZ60" s="40">
        <f t="shared" si="66"/>
        <v>0.26852157730736897</v>
      </c>
      <c r="CA60" s="40">
        <f t="shared" si="67"/>
        <v>0.30681428060749072</v>
      </c>
      <c r="CB60" s="40">
        <f t="shared" si="68"/>
        <v>0.32136956110264225</v>
      </c>
      <c r="CC60" s="40">
        <f t="shared" si="69"/>
        <v>0.36492902399968297</v>
      </c>
      <c r="CD60" s="40">
        <f t="shared" si="70"/>
        <v>0.39305631456422502</v>
      </c>
      <c r="CE60" s="40">
        <f t="shared" si="71"/>
        <v>0.42477798456735116</v>
      </c>
      <c r="CF60" s="40">
        <f t="shared" si="72"/>
        <v>0.51851771883407738</v>
      </c>
      <c r="CG60" s="40">
        <f t="shared" si="73"/>
        <v>0.51178772278473306</v>
      </c>
      <c r="CH60" s="40">
        <f t="shared" si="74"/>
        <v>0.55946846308524023</v>
      </c>
      <c r="CI60" s="40">
        <f t="shared" si="75"/>
        <v>0.53845263777888686</v>
      </c>
      <c r="CJ60" s="40">
        <f t="shared" si="76"/>
        <v>0.58105343211822358</v>
      </c>
      <c r="CK60" s="40">
        <f t="shared" si="77"/>
        <v>0.65057832427505147</v>
      </c>
      <c r="CL60" s="40">
        <f t="shared" si="78"/>
        <v>0.64232041244939186</v>
      </c>
      <c r="CM60" s="40">
        <f t="shared" si="79"/>
        <v>0.85014135533213531</v>
      </c>
      <c r="CN60" s="691">
        <f t="shared" si="80"/>
        <v>1.1937445951696755</v>
      </c>
      <c r="CO60" s="691">
        <f t="shared" si="81"/>
        <v>1.1255675414390218</v>
      </c>
      <c r="CP60" s="691">
        <f t="shared" si="82"/>
        <v>1.0174548635401615</v>
      </c>
      <c r="CQ60" s="691">
        <f t="shared" si="83"/>
        <v>0.98350760704489293</v>
      </c>
    </row>
    <row r="61" spans="1:95">
      <c r="A61" s="13" t="s">
        <v>52</v>
      </c>
      <c r="B61" s="319">
        <v>39327817.700000003</v>
      </c>
      <c r="C61" s="319">
        <v>40120283.18</v>
      </c>
      <c r="D61" s="319">
        <v>39886856.740000002</v>
      </c>
      <c r="E61" s="319">
        <v>39203441.219999999</v>
      </c>
      <c r="F61" s="319">
        <v>38647018.469999999</v>
      </c>
      <c r="G61" s="319">
        <v>41695964.479999997</v>
      </c>
      <c r="H61" s="319">
        <v>40148000.509999998</v>
      </c>
      <c r="I61" s="319">
        <v>41823766.009999998</v>
      </c>
      <c r="J61" s="319">
        <v>42487841.399999999</v>
      </c>
      <c r="K61" s="319">
        <v>43603638.210000001</v>
      </c>
      <c r="L61" s="319">
        <v>45524617.079999998</v>
      </c>
      <c r="M61" s="319">
        <v>48093201.149999999</v>
      </c>
      <c r="N61" s="319">
        <v>47975193.280000001</v>
      </c>
      <c r="O61" s="319">
        <v>42398581.149999999</v>
      </c>
      <c r="P61" s="319">
        <v>43209233.009999998</v>
      </c>
      <c r="Q61" s="319">
        <v>42797363.799999997</v>
      </c>
      <c r="R61" s="319">
        <v>43319497.140000001</v>
      </c>
      <c r="S61" s="319">
        <v>49752199.75</v>
      </c>
      <c r="T61" s="677">
        <v>48607371.549999997</v>
      </c>
      <c r="U61" s="677">
        <v>47592719.710000001</v>
      </c>
      <c r="V61" s="678">
        <v>49515356.82</v>
      </c>
      <c r="W61" s="809">
        <v>49098330.479999997</v>
      </c>
      <c r="X61" s="810"/>
      <c r="Y61" s="13" t="s">
        <v>52</v>
      </c>
      <c r="Z61" s="319">
        <f>B61/'Population &amp; Income'!B60</f>
        <v>4350.9036065936498</v>
      </c>
      <c r="AA61" s="319">
        <f>C61/'Population &amp; Income'!C60</f>
        <v>4405.9173270371184</v>
      </c>
      <c r="AB61" s="319">
        <f>D61/'Population &amp; Income'!D60</f>
        <v>4353.9850169195506</v>
      </c>
      <c r="AC61" s="319">
        <f>E61/'Population &amp; Income'!E60</f>
        <v>4243.7152219095042</v>
      </c>
      <c r="AD61" s="319">
        <f>F61/'Population &amp; Income'!F60</f>
        <v>4142.6753639189619</v>
      </c>
      <c r="AE61" s="319">
        <f>G61/'Population &amp; Income'!G60</f>
        <v>4487.7800538155198</v>
      </c>
      <c r="AF61" s="319">
        <f>H61/'Population &amp; Income'!H60</f>
        <v>4336.1054660330483</v>
      </c>
      <c r="AG61" s="319">
        <f>I61/'Population &amp; Income'!I60</f>
        <v>4509.7871479404785</v>
      </c>
      <c r="AH61" s="319">
        <f>J61/'Population &amp; Income'!J60</f>
        <v>4591.2947266047113</v>
      </c>
      <c r="AI61" s="319">
        <f>K61/'Population &amp; Income'!K60</f>
        <v>4734.8939309371272</v>
      </c>
      <c r="AJ61" s="319">
        <f>L61/'Population &amp; Income'!L60</f>
        <v>4938.1296322811586</v>
      </c>
      <c r="AK61" s="319">
        <f>M61/'Population &amp; Income'!M60</f>
        <v>5218.4463053385416</v>
      </c>
      <c r="AL61" s="319">
        <f>N61/'Population &amp; Income'!N60</f>
        <v>5239.1824047177024</v>
      </c>
      <c r="AM61" s="319">
        <f>O61/'Population &amp; Income'!O60</f>
        <v>4703.6366929221213</v>
      </c>
      <c r="AN61" s="319">
        <f>P61/'Population &amp; Income'!P60</f>
        <v>4913.4902217420968</v>
      </c>
      <c r="AO61" s="319">
        <f>Q61/'Population &amp; Income'!Q60</f>
        <v>4912.4614095500456</v>
      </c>
      <c r="AP61" s="319">
        <f>R61/'Population &amp; Income'!R60</f>
        <v>4977.5361530506725</v>
      </c>
      <c r="AQ61" s="319">
        <f>S61/'Population &amp; Income'!S60</f>
        <v>5670.4125541372232</v>
      </c>
      <c r="AR61" s="697">
        <f>T61/'Population &amp; Income'!T60</f>
        <v>5597.9928077853274</v>
      </c>
      <c r="AS61" s="697">
        <f>U61/'Population &amp; Income'!U60</f>
        <v>5559.8971623831776</v>
      </c>
      <c r="AT61" s="697">
        <f>V61/'Population &amp; Income'!V60</f>
        <v>5785.8561369478848</v>
      </c>
      <c r="AU61" s="697">
        <f>W61/'Population &amp; Income'!W60</f>
        <v>5701.1530980027865</v>
      </c>
      <c r="AV61" s="690"/>
      <c r="AW61" s="486"/>
      <c r="AX61" s="13" t="s">
        <v>52</v>
      </c>
      <c r="AY61" s="40">
        <f t="shared" si="42"/>
        <v>2.0150253086633808E-2</v>
      </c>
      <c r="AZ61" s="40">
        <f t="shared" si="43"/>
        <v>-5.8181653143555305E-3</v>
      </c>
      <c r="BA61" s="40">
        <f t="shared" si="44"/>
        <v>-1.7133852498200219E-2</v>
      </c>
      <c r="BB61" s="40">
        <f t="shared" si="45"/>
        <v>-1.4193211939673699E-2</v>
      </c>
      <c r="BC61" s="40">
        <f t="shared" si="46"/>
        <v>7.8892140473055178E-2</v>
      </c>
      <c r="BD61" s="40">
        <f t="shared" si="47"/>
        <v>-3.7125030906588086E-2</v>
      </c>
      <c r="BE61" s="40">
        <f t="shared" si="48"/>
        <v>4.1739700077531958E-2</v>
      </c>
      <c r="BF61" s="40">
        <f t="shared" si="49"/>
        <v>1.5877943412394312E-2</v>
      </c>
      <c r="BG61" s="40">
        <f t="shared" si="50"/>
        <v>2.6261555617650239E-2</v>
      </c>
      <c r="BH61" s="40">
        <f t="shared" si="51"/>
        <v>4.4055472177535922E-2</v>
      </c>
      <c r="BI61" s="40">
        <f t="shared" si="52"/>
        <v>5.6421870951407473E-2</v>
      </c>
      <c r="BJ61" s="40">
        <f t="shared" si="53"/>
        <v>-2.4537329014955229E-3</v>
      </c>
      <c r="BK61" s="40">
        <f t="shared" si="54"/>
        <v>-0.11623949271976758</v>
      </c>
      <c r="BL61" s="40">
        <f t="shared" si="55"/>
        <v>1.9119787455434682E-2</v>
      </c>
      <c r="BM61" s="40">
        <f t="shared" si="56"/>
        <v>-9.5319722501133308E-3</v>
      </c>
      <c r="BN61" s="40">
        <f t="shared" si="57"/>
        <v>1.2200128550908634E-2</v>
      </c>
      <c r="BO61" s="40">
        <f t="shared" si="58"/>
        <v>0.14849439708893167</v>
      </c>
      <c r="BP61" s="691">
        <f t="shared" si="59"/>
        <v>-2.3010604671806555E-2</v>
      </c>
      <c r="BQ61" s="691">
        <f t="shared" si="60"/>
        <v>-2.0874443683017791E-2</v>
      </c>
      <c r="BR61" s="691">
        <f t="shared" si="61"/>
        <v>4.0397714644494716E-2</v>
      </c>
      <c r="BS61" s="691">
        <f t="shared" si="62"/>
        <v>-8.422161664228588E-3</v>
      </c>
      <c r="BT61" s="40"/>
      <c r="BV61" s="13" t="s">
        <v>52</v>
      </c>
      <c r="BW61" s="40">
        <f t="shared" si="63"/>
        <v>2.0150253086633808E-2</v>
      </c>
      <c r="BX61" s="40">
        <f t="shared" si="64"/>
        <v>1.4214850268694137E-2</v>
      </c>
      <c r="BY61" s="40">
        <f t="shared" si="65"/>
        <v>-3.1625573772938883E-3</v>
      </c>
      <c r="BZ61" s="40">
        <f t="shared" si="66"/>
        <v>-1.7310882469840277E-2</v>
      </c>
      <c r="CA61" s="40">
        <f t="shared" si="67"/>
        <v>6.0215565431691716E-2</v>
      </c>
      <c r="CB61" s="40">
        <f t="shared" si="68"/>
        <v>2.0855029797394398E-2</v>
      </c>
      <c r="CC61" s="40">
        <f t="shared" si="69"/>
        <v>6.3465212563777587E-2</v>
      </c>
      <c r="CD61" s="40">
        <f t="shared" si="70"/>
        <v>8.035085302991514E-2</v>
      </c>
      <c r="CE61" s="40">
        <f t="shared" si="71"/>
        <v>0.10872254704333614</v>
      </c>
      <c r="CF61" s="40">
        <f t="shared" si="72"/>
        <v>0.15756784236721061</v>
      </c>
      <c r="CG61" s="40">
        <f t="shared" si="73"/>
        <v>0.22287998578675253</v>
      </c>
      <c r="CH61" s="40">
        <f t="shared" si="74"/>
        <v>0.21987936493104721</v>
      </c>
      <c r="CI61" s="40">
        <f t="shared" si="75"/>
        <v>7.8081206372150047E-2</v>
      </c>
      <c r="CJ61" s="40">
        <f t="shared" si="76"/>
        <v>9.869388989768417E-2</v>
      </c>
      <c r="CK61" s="40">
        <f t="shared" si="77"/>
        <v>8.8221170227810369E-2</v>
      </c>
      <c r="CL61" s="40">
        <f t="shared" si="78"/>
        <v>0.10149760839640988</v>
      </c>
      <c r="CM61" s="40">
        <f t="shared" si="79"/>
        <v>0.26506383165013492</v>
      </c>
      <c r="CN61" s="691">
        <f t="shared" si="80"/>
        <v>0.23595394793543281</v>
      </c>
      <c r="CO61" s="691">
        <f t="shared" si="81"/>
        <v>0.21015409685445113</v>
      </c>
      <c r="CP61" s="691">
        <f t="shared" si="82"/>
        <v>0.25904155673504348</v>
      </c>
      <c r="CQ61" s="691">
        <f t="shared" si="83"/>
        <v>0.2484377052022389</v>
      </c>
    </row>
    <row r="62" spans="1:95">
      <c r="A62" s="13" t="s">
        <v>53</v>
      </c>
      <c r="B62" s="319">
        <v>61902249.100000001</v>
      </c>
      <c r="C62" s="319">
        <v>64847165.159999996</v>
      </c>
      <c r="D62" s="319">
        <v>65746838.270000003</v>
      </c>
      <c r="E62" s="319">
        <v>65229773.32</v>
      </c>
      <c r="F62" s="319">
        <v>64752549.509999998</v>
      </c>
      <c r="G62" s="319">
        <v>67613001.329999998</v>
      </c>
      <c r="H62" s="319">
        <v>63554216.359999999</v>
      </c>
      <c r="I62" s="319">
        <v>64747223.439999998</v>
      </c>
      <c r="J62" s="319">
        <v>70245371.980000004</v>
      </c>
      <c r="K62" s="319">
        <v>72427349.280000001</v>
      </c>
      <c r="L62" s="319">
        <v>73986963.549999997</v>
      </c>
      <c r="M62" s="319">
        <v>76012701.439999998</v>
      </c>
      <c r="N62" s="319">
        <v>78380387.200000003</v>
      </c>
      <c r="O62" s="319">
        <v>99811152.840000004</v>
      </c>
      <c r="P62" s="319">
        <v>78165002.790000007</v>
      </c>
      <c r="Q62" s="319">
        <v>80631285.640000001</v>
      </c>
      <c r="R62" s="319">
        <v>80920267.879999995</v>
      </c>
      <c r="S62" s="319">
        <v>81800260.25</v>
      </c>
      <c r="T62" s="677">
        <v>85716622.739999995</v>
      </c>
      <c r="U62" s="677">
        <v>86078396.689999998</v>
      </c>
      <c r="V62" s="678">
        <v>88945558.480000004</v>
      </c>
      <c r="W62" s="809">
        <v>88750858.510000005</v>
      </c>
      <c r="X62" s="810"/>
      <c r="Y62" s="13" t="s">
        <v>53</v>
      </c>
      <c r="Z62" s="319">
        <f>B62/'Population &amp; Income'!B61</f>
        <v>5241.0675726018117</v>
      </c>
      <c r="AA62" s="319">
        <f>C62/'Population &amp; Income'!C61</f>
        <v>5488.5455065594579</v>
      </c>
      <c r="AB62" s="319">
        <f>D62/'Population &amp; Income'!D61</f>
        <v>5439.4670530321837</v>
      </c>
      <c r="AC62" s="319">
        <f>E62/'Population &amp; Income'!E61</f>
        <v>5371.8004875236766</v>
      </c>
      <c r="AD62" s="319">
        <f>F62/'Population &amp; Income'!F61</f>
        <v>5333.3785940202615</v>
      </c>
      <c r="AE62" s="319">
        <f>G62/'Population &amp; Income'!G61</f>
        <v>5578.6304727722772</v>
      </c>
      <c r="AF62" s="319">
        <f>H62/'Population &amp; Income'!H61</f>
        <v>5259.3691128765313</v>
      </c>
      <c r="AG62" s="319">
        <f>I62/'Population &amp; Income'!I61</f>
        <v>5353.2222769739556</v>
      </c>
      <c r="AH62" s="319">
        <f>J62/'Population &amp; Income'!J61</f>
        <v>5740.8770823798632</v>
      </c>
      <c r="AI62" s="319">
        <f>K62/'Population &amp; Income'!K61</f>
        <v>5895.5921269841274</v>
      </c>
      <c r="AJ62" s="319">
        <f>L62/'Population &amp; Income'!L61</f>
        <v>6043.6990320209115</v>
      </c>
      <c r="AK62" s="319">
        <f>M62/'Population &amp; Income'!M61</f>
        <v>6180.396897308724</v>
      </c>
      <c r="AL62" s="319">
        <f>N62/'Population &amp; Income'!N61</f>
        <v>6386.4081479670822</v>
      </c>
      <c r="AM62" s="319">
        <f>O62/'Population &amp; Income'!O61</f>
        <v>8195.3487839724112</v>
      </c>
      <c r="AN62" s="319">
        <f>P62/'Population &amp; Income'!P61</f>
        <v>6385.5079478800753</v>
      </c>
      <c r="AO62" s="319">
        <f>Q62/'Population &amp; Income'!Q61</f>
        <v>6599.9251567487927</v>
      </c>
      <c r="AP62" s="319">
        <f>R62/'Population &amp; Income'!R61</f>
        <v>6745.6041913971321</v>
      </c>
      <c r="AQ62" s="319">
        <f>S62/'Population &amp; Income'!S61</f>
        <v>6836.6285206853327</v>
      </c>
      <c r="AR62" s="697">
        <f>T62/'Population &amp; Income'!T61</f>
        <v>7251.8293350253798</v>
      </c>
      <c r="AS62" s="697">
        <f>U62/'Population &amp; Income'!U61</f>
        <v>7357.7567903239587</v>
      </c>
      <c r="AT62" s="697">
        <f>V62/'Population &amp; Income'!V61</f>
        <v>7654.5231049913946</v>
      </c>
      <c r="AU62" s="697">
        <f>W62/'Population &amp; Income'!W61</f>
        <v>7759.2986981989861</v>
      </c>
      <c r="AV62" s="690"/>
      <c r="AW62" s="486"/>
      <c r="AX62" s="13" t="s">
        <v>53</v>
      </c>
      <c r="AY62" s="40">
        <f t="shared" si="42"/>
        <v>4.7573652053298249E-2</v>
      </c>
      <c r="AZ62" s="40">
        <f t="shared" si="43"/>
        <v>1.387374618119709E-2</v>
      </c>
      <c r="BA62" s="40">
        <f t="shared" si="44"/>
        <v>-7.8644838840248449E-3</v>
      </c>
      <c r="BB62" s="40">
        <f t="shared" si="45"/>
        <v>-7.3160427472109815E-3</v>
      </c>
      <c r="BC62" s="40">
        <f t="shared" si="46"/>
        <v>4.4175122703983251E-2</v>
      </c>
      <c r="BD62" s="40">
        <f t="shared" si="47"/>
        <v>-6.0029652436078287E-2</v>
      </c>
      <c r="BE62" s="40">
        <f t="shared" si="48"/>
        <v>1.8771485958417978E-2</v>
      </c>
      <c r="BF62" s="40">
        <f t="shared" si="49"/>
        <v>8.491713231680173E-2</v>
      </c>
      <c r="BG62" s="40">
        <f t="shared" si="50"/>
        <v>3.1062221446008446E-2</v>
      </c>
      <c r="BH62" s="40">
        <f t="shared" si="51"/>
        <v>2.1533499230665144E-2</v>
      </c>
      <c r="BI62" s="40">
        <f t="shared" si="52"/>
        <v>2.7379659777915035E-2</v>
      </c>
      <c r="BJ62" s="40">
        <f t="shared" si="53"/>
        <v>3.1148554322449895E-2</v>
      </c>
      <c r="BK62" s="40">
        <f t="shared" si="54"/>
        <v>0.27342000219156865</v>
      </c>
      <c r="BL62" s="40">
        <f t="shared" si="55"/>
        <v>-0.21687105532885054</v>
      </c>
      <c r="BM62" s="40">
        <f t="shared" si="56"/>
        <v>3.1552264593733455E-2</v>
      </c>
      <c r="BN62" s="40">
        <f t="shared" si="57"/>
        <v>3.583996431487318E-3</v>
      </c>
      <c r="BO62" s="40">
        <f t="shared" si="58"/>
        <v>1.0874807919629996E-2</v>
      </c>
      <c r="BP62" s="691">
        <f t="shared" si="59"/>
        <v>4.7877139730738136E-2</v>
      </c>
      <c r="BQ62" s="691">
        <f t="shared" si="60"/>
        <v>4.2205810079260133E-3</v>
      </c>
      <c r="BR62" s="691">
        <f t="shared" si="61"/>
        <v>3.3308726698589794E-2</v>
      </c>
      <c r="BS62" s="691">
        <f t="shared" si="62"/>
        <v>-2.1889791162959349E-3</v>
      </c>
      <c r="BT62" s="40"/>
      <c r="BV62" s="13" t="s">
        <v>53</v>
      </c>
      <c r="BW62" s="40">
        <f t="shared" si="63"/>
        <v>4.7573652053298249E-2</v>
      </c>
      <c r="BX62" s="40">
        <f t="shared" si="64"/>
        <v>6.2107423007995384E-2</v>
      </c>
      <c r="BY62" s="40">
        <f t="shared" si="65"/>
        <v>5.3754496296645846E-2</v>
      </c>
      <c r="BZ62" s="40">
        <f t="shared" si="66"/>
        <v>4.6045183356673812E-2</v>
      </c>
      <c r="CA62" s="40">
        <f t="shared" si="67"/>
        <v>9.2254357685365537E-2</v>
      </c>
      <c r="CB62" s="40">
        <f t="shared" si="68"/>
        <v>2.6686708221721107E-2</v>
      </c>
      <c r="CC62" s="40">
        <f t="shared" si="69"/>
        <v>4.5959143348799518E-2</v>
      </c>
      <c r="CD62" s="40">
        <f t="shared" si="70"/>
        <v>0.13477899432251811</v>
      </c>
      <c r="CE62" s="40">
        <f t="shared" si="71"/>
        <v>0.17002775073644294</v>
      </c>
      <c r="CF62" s="40">
        <f t="shared" si="72"/>
        <v>0.195222542406783</v>
      </c>
      <c r="CG62" s="40">
        <f t="shared" si="73"/>
        <v>0.22794732897677536</v>
      </c>
      <c r="CH62" s="40">
        <f t="shared" si="74"/>
        <v>0.2661961130585157</v>
      </c>
      <c r="CI62" s="40">
        <f t="shared" si="75"/>
        <v>0.6123994570659308</v>
      </c>
      <c r="CJ62" s="40">
        <f t="shared" si="76"/>
        <v>0.26271668520037672</v>
      </c>
      <c r="CK62" s="40">
        <f t="shared" si="77"/>
        <v>0.30255825615874105</v>
      </c>
      <c r="CL62" s="40">
        <f t="shared" si="78"/>
        <v>0.30722662030061831</v>
      </c>
      <c r="CM62" s="40">
        <f t="shared" si="79"/>
        <v>0.32144245870381466</v>
      </c>
      <c r="CN62" s="691">
        <f t="shared" si="80"/>
        <v>0.38470934394530737</v>
      </c>
      <c r="CO62" s="691">
        <f t="shared" si="81"/>
        <v>0.39055362190386061</v>
      </c>
      <c r="CP62" s="691">
        <f t="shared" si="82"/>
        <v>0.43687119245559047</v>
      </c>
      <c r="CQ62" s="691">
        <f t="shared" si="83"/>
        <v>0.43372591142249795</v>
      </c>
    </row>
    <row r="63" spans="1:95">
      <c r="A63" s="13" t="s">
        <v>54</v>
      </c>
      <c r="B63" s="319">
        <v>106837417.90000001</v>
      </c>
      <c r="C63" s="319">
        <v>111742522.8</v>
      </c>
      <c r="D63" s="319">
        <v>124429883.40000001</v>
      </c>
      <c r="E63" s="319">
        <v>133837882.45</v>
      </c>
      <c r="F63" s="319">
        <v>136788901.06</v>
      </c>
      <c r="G63" s="319">
        <v>142302471.62</v>
      </c>
      <c r="H63" s="319">
        <v>146121353.50999999</v>
      </c>
      <c r="I63" s="319">
        <v>148479485.69999999</v>
      </c>
      <c r="J63" s="319">
        <v>156719645.59999999</v>
      </c>
      <c r="K63" s="319">
        <v>164283840.75</v>
      </c>
      <c r="L63" s="319">
        <v>174541283.63999999</v>
      </c>
      <c r="M63" s="319">
        <v>182272951.66999999</v>
      </c>
      <c r="N63" s="319">
        <v>183608837.19</v>
      </c>
      <c r="O63" s="319">
        <v>175693567.33000001</v>
      </c>
      <c r="P63" s="319">
        <v>177156876.08000001</v>
      </c>
      <c r="Q63" s="319">
        <v>180697326.44</v>
      </c>
      <c r="R63" s="319">
        <v>192705534.33000001</v>
      </c>
      <c r="S63" s="319">
        <v>194161675.00999999</v>
      </c>
      <c r="T63" s="677">
        <v>208138433</v>
      </c>
      <c r="U63" s="677">
        <v>217216333.81999999</v>
      </c>
      <c r="V63" s="678">
        <v>231394160.80000001</v>
      </c>
      <c r="W63" s="809">
        <v>234464173.72</v>
      </c>
      <c r="X63" s="810"/>
      <c r="Y63" s="13" t="s">
        <v>54</v>
      </c>
      <c r="Z63" s="319">
        <f>B63/'Population &amp; Income'!B62</f>
        <v>6036.6944230986555</v>
      </c>
      <c r="AA63" s="319">
        <f>C63/'Population &amp; Income'!C62</f>
        <v>6154.2392906317118</v>
      </c>
      <c r="AB63" s="319">
        <f>D63/'Population &amp; Income'!D62</f>
        <v>6718.3134495977538</v>
      </c>
      <c r="AC63" s="319">
        <f>E63/'Population &amp; Income'!E62</f>
        <v>7030.0389983191517</v>
      </c>
      <c r="AD63" s="319">
        <f>F63/'Population &amp; Income'!F62</f>
        <v>7090.8144243429579</v>
      </c>
      <c r="AE63" s="319">
        <f>G63/'Population &amp; Income'!G62</f>
        <v>7281.505992938648</v>
      </c>
      <c r="AF63" s="319">
        <f>H63/'Population &amp; Income'!H62</f>
        <v>7459.7382841535627</v>
      </c>
      <c r="AG63" s="319">
        <f>I63/'Population &amp; Income'!I62</f>
        <v>7487.2414754677011</v>
      </c>
      <c r="AH63" s="319">
        <f>J63/'Population &amp; Income'!J62</f>
        <v>7794.6705262110809</v>
      </c>
      <c r="AI63" s="319">
        <f>K63/'Population &amp; Income'!K62</f>
        <v>8103.5781951363879</v>
      </c>
      <c r="AJ63" s="319">
        <f>L63/'Population &amp; Income'!L62</f>
        <v>8485.2349849295078</v>
      </c>
      <c r="AK63" s="319">
        <f>M63/'Population &amp; Income'!M62</f>
        <v>8798.6557091137274</v>
      </c>
      <c r="AL63" s="319">
        <f>N63/'Population &amp; Income'!N62</f>
        <v>8850.7513709327541</v>
      </c>
      <c r="AM63" s="319">
        <f>O63/'Population &amp; Income'!O62</f>
        <v>8542.91390304386</v>
      </c>
      <c r="AN63" s="319">
        <f>P63/'Population &amp; Income'!P62</f>
        <v>8611.5533774061842</v>
      </c>
      <c r="AO63" s="319">
        <f>Q63/'Population &amp; Income'!Q62</f>
        <v>8859.4492272994703</v>
      </c>
      <c r="AP63" s="319">
        <f>R63/'Population &amp; Income'!R62</f>
        <v>9579.2381731868572</v>
      </c>
      <c r="AQ63" s="319">
        <f>S63/'Population &amp; Income'!S62</f>
        <v>9581.1337285961017</v>
      </c>
      <c r="AR63" s="697">
        <f>T63/'Population &amp; Income'!T62</f>
        <v>10306.944290383282</v>
      </c>
      <c r="AS63" s="697">
        <f>U63/'Population &amp; Income'!U62</f>
        <v>10775.688749875979</v>
      </c>
      <c r="AT63" s="697">
        <f>V63/'Population &amp; Income'!V62</f>
        <v>11447.789086231634</v>
      </c>
      <c r="AU63" s="697">
        <f>W63/'Population &amp; Income'!W62</f>
        <v>11638.827188880616</v>
      </c>
      <c r="AV63" s="690"/>
      <c r="AW63" s="486"/>
      <c r="AX63" s="13" t="s">
        <v>54</v>
      </c>
      <c r="AY63" s="40">
        <f t="shared" si="42"/>
        <v>4.5911863057109606E-2</v>
      </c>
      <c r="AZ63" s="40">
        <f t="shared" si="43"/>
        <v>0.11354102522553759</v>
      </c>
      <c r="BA63" s="40">
        <f t="shared" si="44"/>
        <v>7.5608839234836064E-2</v>
      </c>
      <c r="BB63" s="40">
        <f t="shared" si="45"/>
        <v>2.2049202781600042E-2</v>
      </c>
      <c r="BC63" s="40">
        <f t="shared" si="46"/>
        <v>4.0307148586430808E-2</v>
      </c>
      <c r="BD63" s="40">
        <f t="shared" si="47"/>
        <v>2.6836370770831067E-2</v>
      </c>
      <c r="BE63" s="40">
        <f t="shared" si="48"/>
        <v>1.6138176476982988E-2</v>
      </c>
      <c r="BF63" s="40">
        <f t="shared" si="49"/>
        <v>5.5496958796376047E-2</v>
      </c>
      <c r="BG63" s="40">
        <f t="shared" si="50"/>
        <v>4.8265774983350308E-2</v>
      </c>
      <c r="BH63" s="40">
        <f t="shared" si="51"/>
        <v>6.2437320939004073E-2</v>
      </c>
      <c r="BI63" s="40">
        <f t="shared" si="52"/>
        <v>4.4297073269765494E-2</v>
      </c>
      <c r="BJ63" s="40">
        <f t="shared" si="53"/>
        <v>7.3290387178158696E-3</v>
      </c>
      <c r="BK63" s="40">
        <f t="shared" si="54"/>
        <v>-4.31094166334118E-2</v>
      </c>
      <c r="BL63" s="40">
        <f t="shared" si="55"/>
        <v>8.3287554134040126E-3</v>
      </c>
      <c r="BM63" s="40">
        <f t="shared" si="56"/>
        <v>1.9984831739758145E-2</v>
      </c>
      <c r="BN63" s="40">
        <f t="shared" si="57"/>
        <v>6.6454817714125425E-2</v>
      </c>
      <c r="BO63" s="40">
        <f t="shared" si="58"/>
        <v>7.5562992264996322E-3</v>
      </c>
      <c r="BP63" s="691">
        <f t="shared" si="59"/>
        <v>7.1985153554532111E-2</v>
      </c>
      <c r="BQ63" s="691">
        <f t="shared" si="60"/>
        <v>4.3614726454676407E-2</v>
      </c>
      <c r="BR63" s="691">
        <f t="shared" si="61"/>
        <v>6.5270538042266735E-2</v>
      </c>
      <c r="BS63" s="691">
        <f t="shared" si="62"/>
        <v>1.3267460636802666E-2</v>
      </c>
      <c r="BT63" s="40"/>
      <c r="BV63" s="13" t="s">
        <v>54</v>
      </c>
      <c r="BW63" s="40">
        <f t="shared" si="63"/>
        <v>4.5911863057109606E-2</v>
      </c>
      <c r="BX63" s="40">
        <f t="shared" si="64"/>
        <v>0.1646657682841659</v>
      </c>
      <c r="BY63" s="40">
        <f t="shared" si="65"/>
        <v>0.25272479512068025</v>
      </c>
      <c r="BZ63" s="40">
        <f t="shared" si="66"/>
        <v>0.28034637815783447</v>
      </c>
      <c r="CA63" s="40">
        <f t="shared" si="67"/>
        <v>0.33195348986434087</v>
      </c>
      <c r="CB63" s="40">
        <f t="shared" si="68"/>
        <v>0.36769828756784267</v>
      </c>
      <c r="CC63" s="40">
        <f t="shared" si="69"/>
        <v>0.38977044389987997</v>
      </c>
      <c r="CD63" s="40">
        <f t="shared" si="70"/>
        <v>0.46689847696141284</v>
      </c>
      <c r="CE63" s="40">
        <f t="shared" si="71"/>
        <v>0.53769946877385166</v>
      </c>
      <c r="CF63" s="40">
        <f t="shared" si="72"/>
        <v>0.63370930401342074</v>
      </c>
      <c r="CG63" s="40">
        <f t="shared" si="73"/>
        <v>0.70607784475480084</v>
      </c>
      <c r="CH63" s="40">
        <f t="shared" si="74"/>
        <v>0.71858175533461655</v>
      </c>
      <c r="CI63" s="40">
        <f t="shared" si="75"/>
        <v>0.64449469842531648</v>
      </c>
      <c r="CJ63" s="40">
        <f t="shared" si="76"/>
        <v>0.65819129254714048</v>
      </c>
      <c r="CK63" s="40">
        <f t="shared" si="77"/>
        <v>0.69132996652102718</v>
      </c>
      <c r="CL63" s="40">
        <f t="shared" si="78"/>
        <v>0.80372699114061985</v>
      </c>
      <c r="CM63" s="40">
        <f t="shared" si="79"/>
        <v>0.81735649200859228</v>
      </c>
      <c r="CN63" s="691">
        <f t="shared" si="80"/>
        <v>0.94817917814915653</v>
      </c>
      <c r="CO63" s="691">
        <f t="shared" si="81"/>
        <v>1.0331484800888284</v>
      </c>
      <c r="CP63" s="691">
        <f t="shared" si="82"/>
        <v>1.1658531753040429</v>
      </c>
      <c r="CQ63" s="691">
        <f t="shared" si="83"/>
        <v>1.1945885470524835</v>
      </c>
    </row>
    <row r="64" spans="1:95">
      <c r="A64" s="231" t="s">
        <v>513</v>
      </c>
      <c r="B64" s="8">
        <v>200215985.90000001</v>
      </c>
      <c r="C64" s="611">
        <v>183929320.90000001</v>
      </c>
      <c r="D64" s="611">
        <v>172692221.19999999</v>
      </c>
      <c r="E64" s="612">
        <v>202077589.53</v>
      </c>
      <c r="F64" s="612">
        <v>236161390.61000001</v>
      </c>
      <c r="G64" s="613">
        <v>248589024.31</v>
      </c>
      <c r="H64" s="612">
        <v>261824087.80000001</v>
      </c>
      <c r="I64" s="612">
        <v>259414938.31999999</v>
      </c>
      <c r="J64" s="612">
        <v>275340436.57999998</v>
      </c>
      <c r="K64" s="612">
        <v>281665333.94</v>
      </c>
      <c r="L64" s="612">
        <v>287337759.50999999</v>
      </c>
      <c r="M64" s="612">
        <v>281804088.56</v>
      </c>
      <c r="N64" s="612">
        <v>281540343.48000002</v>
      </c>
      <c r="O64" s="612">
        <v>277141828.88999999</v>
      </c>
      <c r="P64" s="612">
        <v>275047797.89999998</v>
      </c>
      <c r="Q64" s="612">
        <v>283090424.11000001</v>
      </c>
      <c r="R64" s="612">
        <v>287859912.87</v>
      </c>
      <c r="S64" s="598">
        <v>292390264.69999999</v>
      </c>
      <c r="T64" s="677">
        <v>293686821.39999998</v>
      </c>
      <c r="U64" s="677">
        <v>300934720.38999999</v>
      </c>
      <c r="V64" s="678">
        <v>292603493.81999999</v>
      </c>
      <c r="W64" s="809">
        <v>287794045.36000001</v>
      </c>
      <c r="X64" s="810"/>
      <c r="Y64" s="231" t="s">
        <v>513</v>
      </c>
      <c r="Z64" s="336">
        <f>B64/'Population &amp; Income'!B63</f>
        <v>9730.5591903188179</v>
      </c>
      <c r="AA64" s="336">
        <f>C64/'Population &amp; Income'!C63</f>
        <v>8964.290910420119</v>
      </c>
      <c r="AB64" s="336">
        <f>D64/'Population &amp; Income'!D63</f>
        <v>8487.7725941216941</v>
      </c>
      <c r="AC64" s="336">
        <f>E64/'Population &amp; Income'!E63</f>
        <v>10129.710237605896</v>
      </c>
      <c r="AD64" s="336">
        <f>F64/'Population &amp; Income'!F63</f>
        <v>12014.111543470521</v>
      </c>
      <c r="AE64" s="336">
        <f>G64/'Population &amp; Income'!G63</f>
        <v>12658.571357062838</v>
      </c>
      <c r="AF64" s="336">
        <f>H64/'Population &amp; Income'!H63</f>
        <v>13484.96537906881</v>
      </c>
      <c r="AG64" s="336">
        <f>I64/'Population &amp; Income'!I63</f>
        <v>13368.458558103581</v>
      </c>
      <c r="AH64" s="336">
        <f>J64/'Population &amp; Income'!J63</f>
        <v>14314.553500389913</v>
      </c>
      <c r="AI64" s="336">
        <f>K64/'Population &amp; Income'!K63</f>
        <v>14887.960988424335</v>
      </c>
      <c r="AJ64" s="336">
        <f>L64/'Population &amp; Income'!L63</f>
        <v>15266.869959619573</v>
      </c>
      <c r="AK64" s="336">
        <f>M64/'Population &amp; Income'!M63</f>
        <v>15005.542521831736</v>
      </c>
      <c r="AL64" s="336">
        <f>N64/'Population &amp; Income'!N63</f>
        <v>14971.56838500399</v>
      </c>
      <c r="AM64" s="336">
        <f>O64/'Population &amp; Income'!O63</f>
        <v>14666.692892146486</v>
      </c>
      <c r="AN64" s="336">
        <f>P64/'Population &amp; Income'!P63</f>
        <v>14528.962965506311</v>
      </c>
      <c r="AO64" s="336">
        <f>Q64/'Population &amp; Income'!Q63</f>
        <v>15066.816973229017</v>
      </c>
      <c r="AP64" s="336">
        <f>R64/'Population &amp; Income'!R63</f>
        <v>15577.678059959955</v>
      </c>
      <c r="AQ64" s="336">
        <f>S64/'Population &amp; Income'!S63</f>
        <v>15918.459532883275</v>
      </c>
      <c r="AR64" s="697">
        <f>T64/'Population &amp; Income'!T63</f>
        <v>16104.782923886816</v>
      </c>
      <c r="AS64" s="697">
        <f>U64/'Population &amp; Income'!U63</f>
        <v>16564.910023118842</v>
      </c>
      <c r="AT64" s="697">
        <f>V64/'Population &amp; Income'!V63</f>
        <v>16332.87713201228</v>
      </c>
      <c r="AU64" s="697">
        <f>W64/'Population &amp; Income'!W63</f>
        <v>16368.675085883291</v>
      </c>
      <c r="AV64" s="695"/>
      <c r="AW64" s="486"/>
      <c r="AX64" s="231" t="s">
        <v>513</v>
      </c>
      <c r="AY64" s="603">
        <f t="shared" si="42"/>
        <v>-8.134547761902762E-2</v>
      </c>
      <c r="AZ64" s="603">
        <f t="shared" si="43"/>
        <v>-6.1094662041999731E-2</v>
      </c>
      <c r="BA64" s="603">
        <f t="shared" si="44"/>
        <v>0.17016034726872814</v>
      </c>
      <c r="BB64" s="603">
        <f t="shared" si="45"/>
        <v>0.16866690244709201</v>
      </c>
      <c r="BC64" s="603">
        <f t="shared" si="46"/>
        <v>5.2623477817011773E-2</v>
      </c>
      <c r="BD64" s="603">
        <f t="shared" si="47"/>
        <v>5.3240739516702801E-2</v>
      </c>
      <c r="BE64" s="603">
        <f t="shared" si="48"/>
        <v>-9.201405035889211E-3</v>
      </c>
      <c r="BF64" s="603">
        <f t="shared" si="49"/>
        <v>6.1390058580031243E-2</v>
      </c>
      <c r="BG64" s="603">
        <f t="shared" si="50"/>
        <v>2.2971189551965133E-2</v>
      </c>
      <c r="BH64" s="603">
        <f t="shared" si="51"/>
        <v>2.0138884294537737E-2</v>
      </c>
      <c r="BI64" s="603">
        <f t="shared" si="52"/>
        <v>-1.9258418940262544E-2</v>
      </c>
      <c r="BJ64" s="603">
        <f t="shared" si="53"/>
        <v>-9.3591644233305122E-4</v>
      </c>
      <c r="BK64" s="603">
        <f t="shared" si="54"/>
        <v>-1.5623034822050267E-2</v>
      </c>
      <c r="BL64" s="603">
        <f t="shared" si="55"/>
        <v>-7.5558099561764411E-3</v>
      </c>
      <c r="BM64" s="603">
        <f t="shared" si="56"/>
        <v>2.9240831126101659E-2</v>
      </c>
      <c r="BN64" s="603">
        <f t="shared" si="57"/>
        <v>1.6847933924274024E-2</v>
      </c>
      <c r="BO64" s="603">
        <f t="shared" si="58"/>
        <v>1.5738043497727065E-2</v>
      </c>
      <c r="BP64" s="691">
        <f t="shared" si="59"/>
        <v>4.4343360793160777E-3</v>
      </c>
      <c r="BQ64" s="691">
        <f t="shared" si="60"/>
        <v>2.4679006553475574E-2</v>
      </c>
      <c r="BR64" s="691">
        <f t="shared" si="61"/>
        <v>-2.7684497685089442E-2</v>
      </c>
      <c r="BS64" s="691">
        <f t="shared" si="62"/>
        <v>-1.6436743106555633E-2</v>
      </c>
      <c r="BT64" s="603"/>
      <c r="BV64" s="231" t="s">
        <v>513</v>
      </c>
      <c r="BW64" s="603">
        <f t="shared" si="63"/>
        <v>-8.134547761902762E-2</v>
      </c>
      <c r="BX64" s="603">
        <f t="shared" si="64"/>
        <v>-0.13747036519724781</v>
      </c>
      <c r="BY64" s="603">
        <f t="shared" si="65"/>
        <v>9.2979769903577675E-3</v>
      </c>
      <c r="BZ64" s="603">
        <f t="shared" si="66"/>
        <v>0.17953314041543778</v>
      </c>
      <c r="CA64" s="603">
        <f t="shared" si="67"/>
        <v>0.24160427646451979</v>
      </c>
      <c r="CB64" s="603">
        <f t="shared" si="68"/>
        <v>0.30770820633059154</v>
      </c>
      <c r="CC64" s="603">
        <f t="shared" si="69"/>
        <v>0.29567545345538759</v>
      </c>
      <c r="CD64" s="603">
        <f t="shared" si="70"/>
        <v>0.37521704544372236</v>
      </c>
      <c r="CE64" s="603">
        <f t="shared" si="71"/>
        <v>0.40680741686970356</v>
      </c>
      <c r="CF64" s="603">
        <f t="shared" si="72"/>
        <v>0.43513894866274005</v>
      </c>
      <c r="CG64" s="603">
        <f t="shared" si="73"/>
        <v>0.40750044155190507</v>
      </c>
      <c r="CH64" s="603">
        <f t="shared" si="74"/>
        <v>0.4061831387460656</v>
      </c>
      <c r="CI64" s="603">
        <f t="shared" si="75"/>
        <v>0.38421429060325585</v>
      </c>
      <c r="CJ64" s="603">
        <f t="shared" si="76"/>
        <v>0.37375543048483406</v>
      </c>
      <c r="CK64" s="603">
        <f t="shared" si="77"/>
        <v>0.41392518103620618</v>
      </c>
      <c r="CL64" s="603">
        <f t="shared" si="78"/>
        <v>0.43774689906017139</v>
      </c>
      <c r="CM64" s="603">
        <f t="shared" si="79"/>
        <v>0.46037422229630254</v>
      </c>
      <c r="CN64" s="691">
        <f t="shared" si="80"/>
        <v>0.46685001239953422</v>
      </c>
      <c r="CO64" s="691">
        <f t="shared" si="81"/>
        <v>0.5030504134685081</v>
      </c>
      <c r="CP64" s="691">
        <f t="shared" si="82"/>
        <v>0.4614392177762664</v>
      </c>
      <c r="CQ64" s="691">
        <f t="shared" si="83"/>
        <v>0.43741791678783232</v>
      </c>
    </row>
    <row r="65" spans="1:95">
      <c r="A65" s="13" t="s">
        <v>55</v>
      </c>
      <c r="B65" s="319">
        <v>139198388</v>
      </c>
      <c r="C65" s="319">
        <v>141559989.59999999</v>
      </c>
      <c r="D65" s="319">
        <v>146818951.30000001</v>
      </c>
      <c r="E65" s="319">
        <v>148736392.34999999</v>
      </c>
      <c r="F65" s="319">
        <v>157038664.52000001</v>
      </c>
      <c r="G65" s="319">
        <v>161574995.75999999</v>
      </c>
      <c r="H65" s="319">
        <v>165942366.13999999</v>
      </c>
      <c r="I65" s="319">
        <v>166606334.00999999</v>
      </c>
      <c r="J65" s="319">
        <v>178802531.53999999</v>
      </c>
      <c r="K65" s="319">
        <v>179562057.97</v>
      </c>
      <c r="L65" s="319">
        <v>186600463.05000001</v>
      </c>
      <c r="M65" s="319">
        <v>203233915.97</v>
      </c>
      <c r="N65" s="319">
        <v>203410050.97999999</v>
      </c>
      <c r="O65" s="319">
        <v>200203789.81</v>
      </c>
      <c r="P65" s="319">
        <v>207038230.16999999</v>
      </c>
      <c r="Q65" s="319">
        <v>224375067.25</v>
      </c>
      <c r="R65" s="319">
        <v>229535185.19</v>
      </c>
      <c r="S65" s="319">
        <v>228453108.05000001</v>
      </c>
      <c r="T65" s="677">
        <v>230962680.75999999</v>
      </c>
      <c r="U65" s="677">
        <v>250444541.09</v>
      </c>
      <c r="V65" s="678">
        <v>244229675.18000001</v>
      </c>
      <c r="W65" s="809">
        <v>237872004.11000001</v>
      </c>
      <c r="X65" s="810"/>
      <c r="Y65" s="13" t="s">
        <v>55</v>
      </c>
      <c r="Z65" s="319">
        <f>B65/'Population &amp; Income'!B64</f>
        <v>6334.1093920640697</v>
      </c>
      <c r="AA65" s="319">
        <f>C65/'Population &amp; Income'!C64</f>
        <v>6413.5551649148238</v>
      </c>
      <c r="AB65" s="319">
        <f>D65/'Population &amp; Income'!D64</f>
        <v>6680.8769248270846</v>
      </c>
      <c r="AC65" s="319">
        <f>E65/'Population &amp; Income'!E64</f>
        <v>6775.8367432007653</v>
      </c>
      <c r="AD65" s="319">
        <f>F65/'Population &amp; Income'!F64</f>
        <v>7171.6976992282052</v>
      </c>
      <c r="AE65" s="319">
        <f>G65/'Population &amp; Income'!G64</f>
        <v>7321.0238223833258</v>
      </c>
      <c r="AF65" s="319">
        <f>H65/'Population &amp; Income'!H64</f>
        <v>7461.7728378074544</v>
      </c>
      <c r="AG65" s="319">
        <f>I65/'Population &amp; Income'!I64</f>
        <v>7464.7759312693215</v>
      </c>
      <c r="AH65" s="319">
        <f>J65/'Population &amp; Income'!J64</f>
        <v>7940.7794795043737</v>
      </c>
      <c r="AI65" s="319">
        <f>K65/'Population &amp; Income'!K64</f>
        <v>7949.4447480963345</v>
      </c>
      <c r="AJ65" s="319">
        <f>L65/'Population &amp; Income'!L64</f>
        <v>8221.0090338355803</v>
      </c>
      <c r="AK65" s="319">
        <f>M65/'Population &amp; Income'!M64</f>
        <v>8912.2046996141034</v>
      </c>
      <c r="AL65" s="319">
        <f>N65/'Population &amp; Income'!N64</f>
        <v>8833.9290793016589</v>
      </c>
      <c r="AM65" s="319">
        <f>O65/'Population &amp; Income'!O64</f>
        <v>8613.8796063161517</v>
      </c>
      <c r="AN65" s="319">
        <f>P65/'Population &amp; Income'!P64</f>
        <v>8855.3562946963211</v>
      </c>
      <c r="AO65" s="319">
        <f>Q65/'Population &amp; Income'!Q64</f>
        <v>9564.9700422030855</v>
      </c>
      <c r="AP65" s="319">
        <f>R65/'Population &amp; Income'!R64</f>
        <v>9801.2376783808013</v>
      </c>
      <c r="AQ65" s="319">
        <f>S65/'Population &amp; Income'!S64</f>
        <v>9821.2934977000132</v>
      </c>
      <c r="AR65" s="697">
        <f>T65/'Population &amp; Income'!T64</f>
        <v>10006.614997617087</v>
      </c>
      <c r="AS65" s="697">
        <f>U65/'Population &amp; Income'!U64</f>
        <v>10995.98441736916</v>
      </c>
      <c r="AT65" s="697">
        <f>V65/'Population &amp; Income'!V64</f>
        <v>10773.254308778121</v>
      </c>
      <c r="AU65" s="697">
        <f>W65/'Population &amp; Income'!W64</f>
        <v>10585.261841847634</v>
      </c>
      <c r="AV65" s="690"/>
      <c r="AW65" s="486"/>
      <c r="AX65" s="13" t="s">
        <v>55</v>
      </c>
      <c r="AY65" s="40">
        <f t="shared" si="42"/>
        <v>1.6965725206530367E-2</v>
      </c>
      <c r="AZ65" s="40">
        <f t="shared" si="43"/>
        <v>3.7150057123202969E-2</v>
      </c>
      <c r="BA65" s="40">
        <f t="shared" si="44"/>
        <v>1.3059901552368478E-2</v>
      </c>
      <c r="BB65" s="40">
        <f t="shared" si="45"/>
        <v>5.5818700714909582E-2</v>
      </c>
      <c r="BC65" s="40">
        <f t="shared" si="46"/>
        <v>2.8886715598770551E-2</v>
      </c>
      <c r="BD65" s="40">
        <f t="shared" si="47"/>
        <v>2.7029989135739747E-2</v>
      </c>
      <c r="BE65" s="40">
        <f t="shared" si="48"/>
        <v>4.0011956286066059E-3</v>
      </c>
      <c r="BF65" s="40">
        <f t="shared" si="49"/>
        <v>7.3203684616624271E-2</v>
      </c>
      <c r="BG65" s="40">
        <f t="shared" si="50"/>
        <v>4.2478505391300523E-3</v>
      </c>
      <c r="BH65" s="40">
        <f t="shared" si="51"/>
        <v>3.9197618692786096E-2</v>
      </c>
      <c r="BI65" s="40">
        <f t="shared" si="52"/>
        <v>8.9139397877823143E-2</v>
      </c>
      <c r="BJ65" s="40">
        <f t="shared" si="53"/>
        <v>8.6666149770981294E-4</v>
      </c>
      <c r="BK65" s="40">
        <f t="shared" si="54"/>
        <v>-1.5762550348680841E-2</v>
      </c>
      <c r="BL65" s="40">
        <f t="shared" si="55"/>
        <v>3.4137417510857783E-2</v>
      </c>
      <c r="BM65" s="40">
        <f t="shared" si="56"/>
        <v>8.3737370947214243E-2</v>
      </c>
      <c r="BN65" s="40">
        <f t="shared" si="57"/>
        <v>2.2997733229648747E-2</v>
      </c>
      <c r="BO65" s="40">
        <f t="shared" si="58"/>
        <v>-4.7142103251154536E-3</v>
      </c>
      <c r="BP65" s="691">
        <f t="shared" si="59"/>
        <v>1.098506705126868E-2</v>
      </c>
      <c r="BQ65" s="691">
        <f t="shared" si="60"/>
        <v>8.4350684993322267E-2</v>
      </c>
      <c r="BR65" s="691">
        <f t="shared" si="61"/>
        <v>-2.4815337890581594E-2</v>
      </c>
      <c r="BS65" s="691">
        <f t="shared" si="62"/>
        <v>-2.6031525715760454E-2</v>
      </c>
      <c r="BT65" s="40"/>
      <c r="BV65" s="13" t="s">
        <v>55</v>
      </c>
      <c r="BW65" s="40">
        <f t="shared" si="63"/>
        <v>1.6965725206530367E-2</v>
      </c>
      <c r="BX65" s="40">
        <f t="shared" si="64"/>
        <v>5.47460599902925E-2</v>
      </c>
      <c r="BY65" s="40">
        <f t="shared" si="65"/>
        <v>6.8520939696514252E-2</v>
      </c>
      <c r="BZ65" s="40">
        <f t="shared" si="66"/>
        <v>0.12816439023704793</v>
      </c>
      <c r="CA65" s="40">
        <f t="shared" si="67"/>
        <v>0.16075335412648595</v>
      </c>
      <c r="CB65" s="40">
        <f t="shared" si="68"/>
        <v>0.19212850467779832</v>
      </c>
      <c r="CC65" s="40">
        <f t="shared" si="69"/>
        <v>0.19689844403945245</v>
      </c>
      <c r="CD65" s="40">
        <f t="shared" si="70"/>
        <v>0.28451582025504485</v>
      </c>
      <c r="CE65" s="40">
        <f t="shared" si="71"/>
        <v>0.28997225147463634</v>
      </c>
      <c r="CF65" s="40">
        <f t="shared" si="72"/>
        <v>0.3405360919122139</v>
      </c>
      <c r="CG65" s="40">
        <f t="shared" si="73"/>
        <v>0.4600306719787588</v>
      </c>
      <c r="CH65" s="40">
        <f t="shared" si="74"/>
        <v>0.46129602434763822</v>
      </c>
      <c r="CI65" s="40">
        <f t="shared" si="75"/>
        <v>0.4382622721895314</v>
      </c>
      <c r="CJ65" s="40">
        <f t="shared" si="76"/>
        <v>0.48736083186538043</v>
      </c>
      <c r="CK65" s="40">
        <f t="shared" si="77"/>
        <v>0.6119085175756489</v>
      </c>
      <c r="CL65" s="40">
        <f t="shared" si="78"/>
        <v>0.64897875965345231</v>
      </c>
      <c r="CM65" s="40">
        <f t="shared" si="79"/>
        <v>0.64120512695879794</v>
      </c>
      <c r="CN65" s="691">
        <f t="shared" si="80"/>
        <v>0.65923387532332622</v>
      </c>
      <c r="CO65" s="691">
        <f t="shared" si="81"/>
        <v>0.79919138927097344</v>
      </c>
      <c r="CP65" s="691">
        <f t="shared" si="82"/>
        <v>0.75454384701638932</v>
      </c>
      <c r="CQ65" s="691">
        <f t="shared" si="83"/>
        <v>0.70887039374335292</v>
      </c>
    </row>
    <row r="66" spans="1:95">
      <c r="A66" s="13" t="s">
        <v>56</v>
      </c>
      <c r="B66" s="319">
        <v>49018249.649999999</v>
      </c>
      <c r="C66" s="319">
        <v>50335885.5</v>
      </c>
      <c r="D66" s="319">
        <v>52768869.600000001</v>
      </c>
      <c r="E66" s="319">
        <v>53271306.789999999</v>
      </c>
      <c r="F66" s="319">
        <v>53306824.82</v>
      </c>
      <c r="G66" s="319">
        <v>56476469.859999999</v>
      </c>
      <c r="H66" s="319">
        <v>58270993.740000002</v>
      </c>
      <c r="I66" s="319">
        <v>60382864.850000001</v>
      </c>
      <c r="J66" s="319">
        <v>64179795.009999998</v>
      </c>
      <c r="K66" s="319">
        <v>67121647.079999998</v>
      </c>
      <c r="L66" s="319">
        <v>71341636.799999997</v>
      </c>
      <c r="M66" s="319">
        <v>73887936.700000003</v>
      </c>
      <c r="N66" s="319">
        <v>74221672.620000005</v>
      </c>
      <c r="O66" s="319">
        <v>76027574.760000005</v>
      </c>
      <c r="P66" s="319">
        <v>77209156.090000004</v>
      </c>
      <c r="Q66" s="319">
        <v>79096002.819999993</v>
      </c>
      <c r="R66" s="319">
        <v>79976954.849999994</v>
      </c>
      <c r="S66" s="319">
        <v>76905282.329999998</v>
      </c>
      <c r="T66" s="677">
        <v>79029557.290000007</v>
      </c>
      <c r="U66" s="677">
        <v>79218936.120000005</v>
      </c>
      <c r="V66" s="678">
        <v>80899058.280000001</v>
      </c>
      <c r="W66" s="809">
        <v>79150670.319999993</v>
      </c>
      <c r="X66" s="810"/>
      <c r="Y66" s="13" t="s">
        <v>56</v>
      </c>
      <c r="Z66" s="319">
        <f>B66/'Population &amp; Income'!B65</f>
        <v>4852.3311868936844</v>
      </c>
      <c r="AA66" s="319">
        <f>C66/'Population &amp; Income'!C65</f>
        <v>5027.5554834198965</v>
      </c>
      <c r="AB66" s="319">
        <f>D66/'Population &amp; Income'!D65</f>
        <v>5166.8334084010576</v>
      </c>
      <c r="AC66" s="319">
        <f>E66/'Population &amp; Income'!E65</f>
        <v>5148.9761057413489</v>
      </c>
      <c r="AD66" s="319">
        <f>F66/'Population &amp; Income'!F65</f>
        <v>5161.8887208288952</v>
      </c>
      <c r="AE66" s="319">
        <f>G66/'Population &amp; Income'!G65</f>
        <v>5526.6141364125651</v>
      </c>
      <c r="AF66" s="319">
        <f>H66/'Population &amp; Income'!H65</f>
        <v>5642.0404473276531</v>
      </c>
      <c r="AG66" s="319">
        <f>I66/'Population &amp; Income'!I65</f>
        <v>5793.7886058338136</v>
      </c>
      <c r="AH66" s="319">
        <f>J66/'Population &amp; Income'!J65</f>
        <v>6110.6155393697036</v>
      </c>
      <c r="AI66" s="319">
        <f>K66/'Population &amp; Income'!K65</f>
        <v>6384.6330333872347</v>
      </c>
      <c r="AJ66" s="319">
        <f>L66/'Population &amp; Income'!L65</f>
        <v>6686.8157090636423</v>
      </c>
      <c r="AK66" s="319">
        <f>M66/'Population &amp; Income'!M65</f>
        <v>6915.1087225081892</v>
      </c>
      <c r="AL66" s="319">
        <f>N66/'Population &amp; Income'!N65</f>
        <v>6938.5503056931857</v>
      </c>
      <c r="AM66" s="319">
        <f>O66/'Population &amp; Income'!O65</f>
        <v>7089.4791831406201</v>
      </c>
      <c r="AN66" s="319">
        <f>P66/'Population &amp; Income'!P65</f>
        <v>7064.6130560893043</v>
      </c>
      <c r="AO66" s="319">
        <f>Q66/'Population &amp; Income'!Q65</f>
        <v>7141.2064662332969</v>
      </c>
      <c r="AP66" s="319">
        <f>R66/'Population &amp; Income'!R65</f>
        <v>7272.6156997362914</v>
      </c>
      <c r="AQ66" s="319">
        <f>S66/'Population &amp; Income'!S65</f>
        <v>6993.9325509276096</v>
      </c>
      <c r="AR66" s="697">
        <f>T66/'Population &amp; Income'!T65</f>
        <v>7261.076561006983</v>
      </c>
      <c r="AS66" s="697">
        <f>U66/'Population &amp; Income'!U65</f>
        <v>7243.8676042428679</v>
      </c>
      <c r="AT66" s="697">
        <f>V66/'Population &amp; Income'!V65</f>
        <v>7498.2906923718601</v>
      </c>
      <c r="AU66" s="697">
        <f>W66/'Population &amp; Income'!W65</f>
        <v>7496.7484675127862</v>
      </c>
      <c r="AV66" s="690"/>
      <c r="AW66" s="486"/>
      <c r="AX66" s="13" t="s">
        <v>56</v>
      </c>
      <c r="AY66" s="40">
        <f t="shared" si="42"/>
        <v>2.6880516122223502E-2</v>
      </c>
      <c r="AZ66" s="40">
        <f t="shared" si="43"/>
        <v>4.833498161068412E-2</v>
      </c>
      <c r="BA66" s="40">
        <f t="shared" si="44"/>
        <v>9.5214696431548656E-3</v>
      </c>
      <c r="BB66" s="40">
        <f t="shared" si="45"/>
        <v>6.6673847780788023E-4</v>
      </c>
      <c r="BC66" s="40">
        <f t="shared" si="46"/>
        <v>5.9460398376809553E-2</v>
      </c>
      <c r="BD66" s="40">
        <f t="shared" si="47"/>
        <v>3.1774717585013074E-2</v>
      </c>
      <c r="BE66" s="40">
        <f t="shared" si="48"/>
        <v>3.6242236050117504E-2</v>
      </c>
      <c r="BF66" s="40">
        <f t="shared" si="49"/>
        <v>6.2880921092964615E-2</v>
      </c>
      <c r="BG66" s="40">
        <f t="shared" si="50"/>
        <v>4.5837666972006121E-2</v>
      </c>
      <c r="BH66" s="40">
        <f t="shared" si="51"/>
        <v>6.2870771257599462E-2</v>
      </c>
      <c r="BI66" s="40">
        <f t="shared" si="52"/>
        <v>3.5691638350523601E-2</v>
      </c>
      <c r="BJ66" s="40">
        <f t="shared" si="53"/>
        <v>4.5167849435969127E-3</v>
      </c>
      <c r="BK66" s="40">
        <f t="shared" si="54"/>
        <v>2.4331197024430522E-2</v>
      </c>
      <c r="BL66" s="40">
        <f t="shared" si="55"/>
        <v>1.5541483911987911E-2</v>
      </c>
      <c r="BM66" s="40">
        <f t="shared" si="56"/>
        <v>2.4438121403639722E-2</v>
      </c>
      <c r="BN66" s="40">
        <f t="shared" si="57"/>
        <v>1.1137756632339532E-2</v>
      </c>
      <c r="BO66" s="40">
        <f t="shared" si="58"/>
        <v>-3.8406970179860458E-2</v>
      </c>
      <c r="BP66" s="691">
        <f t="shared" si="59"/>
        <v>2.7621964260982231E-2</v>
      </c>
      <c r="BQ66" s="691">
        <f t="shared" si="60"/>
        <v>2.3963038196591446E-3</v>
      </c>
      <c r="BR66" s="691">
        <f t="shared" si="61"/>
        <v>2.120859282249089E-2</v>
      </c>
      <c r="BS66" s="691">
        <f t="shared" si="62"/>
        <v>-2.1611969251219922E-2</v>
      </c>
      <c r="BT66" s="40"/>
      <c r="BV66" s="13" t="s">
        <v>56</v>
      </c>
      <c r="BW66" s="40">
        <f t="shared" si="63"/>
        <v>2.6880516122223502E-2</v>
      </c>
      <c r="BX66" s="40">
        <f t="shared" si="64"/>
        <v>7.6514766985360999E-2</v>
      </c>
      <c r="BY66" s="40">
        <f t="shared" si="65"/>
        <v>8.6764769659620045E-2</v>
      </c>
      <c r="BZ66" s="40">
        <f t="shared" si="66"/>
        <v>8.7489357547878122E-2</v>
      </c>
      <c r="CA66" s="40">
        <f t="shared" si="67"/>
        <v>0.15215190797821565</v>
      </c>
      <c r="CB66" s="40">
        <f t="shared" si="68"/>
        <v>0.18876120946925742</v>
      </c>
      <c r="CC66" s="40">
        <f t="shared" si="69"/>
        <v>0.23184457383006543</v>
      </c>
      <c r="CD66" s="40">
        <f t="shared" si="70"/>
        <v>0.30930409527587038</v>
      </c>
      <c r="CE66" s="40">
        <f t="shared" si="71"/>
        <v>0.36931954036020948</v>
      </c>
      <c r="CF66" s="40">
        <f t="shared" si="72"/>
        <v>0.45540971596075747</v>
      </c>
      <c r="CG66" s="40">
        <f t="shared" si="73"/>
        <v>0.50735567319466712</v>
      </c>
      <c r="CH66" s="40">
        <f t="shared" si="74"/>
        <v>0.51416407460399816</v>
      </c>
      <c r="CI66" s="40">
        <f t="shared" si="75"/>
        <v>0.55100549903050255</v>
      </c>
      <c r="CJ66" s="40">
        <f t="shared" si="76"/>
        <v>0.57511042604108986</v>
      </c>
      <c r="CK66" s="40">
        <f t="shared" si="77"/>
        <v>0.61360316585682073</v>
      </c>
      <c r="CL66" s="40">
        <f t="shared" si="78"/>
        <v>0.63157508521930661</v>
      </c>
      <c r="CM66" s="40">
        <f t="shared" si="79"/>
        <v>0.56891122957508544</v>
      </c>
      <c r="CN66" s="691">
        <f t="shared" si="80"/>
        <v>0.61224763948706207</v>
      </c>
      <c r="CO66" s="691">
        <f t="shared" si="81"/>
        <v>0.61611107466380144</v>
      </c>
      <c r="CP66" s="691">
        <f t="shared" si="82"/>
        <v>0.65038651640226419</v>
      </c>
      <c r="CQ66" s="691">
        <f t="shared" si="83"/>
        <v>0.61471841375715042</v>
      </c>
    </row>
    <row r="67" spans="1:95">
      <c r="A67" s="13" t="s">
        <v>57</v>
      </c>
      <c r="B67" s="319">
        <v>47974958.380000003</v>
      </c>
      <c r="C67" s="319">
        <v>52873862.560000002</v>
      </c>
      <c r="D67" s="319">
        <v>53688191.359999999</v>
      </c>
      <c r="E67" s="319">
        <v>58399431.759999998</v>
      </c>
      <c r="F67" s="319">
        <v>60962468.289999999</v>
      </c>
      <c r="G67" s="319">
        <v>67387555.640000001</v>
      </c>
      <c r="H67" s="319">
        <v>70258732.189999998</v>
      </c>
      <c r="I67" s="319">
        <v>73171982.420000002</v>
      </c>
      <c r="J67" s="319">
        <v>80491171.980000004</v>
      </c>
      <c r="K67" s="319">
        <v>83268054.329999998</v>
      </c>
      <c r="L67" s="319">
        <v>84256723.989999995</v>
      </c>
      <c r="M67" s="319">
        <v>90152567.530000001</v>
      </c>
      <c r="N67" s="319">
        <v>88346652.370000005</v>
      </c>
      <c r="O67" s="319">
        <v>81275518.370000005</v>
      </c>
      <c r="P67" s="319">
        <v>83771711.459999993</v>
      </c>
      <c r="Q67" s="319">
        <v>87108731.489999995</v>
      </c>
      <c r="R67" s="319">
        <v>90670014.299999997</v>
      </c>
      <c r="S67" s="319">
        <v>99438423</v>
      </c>
      <c r="T67" s="677">
        <v>102923310</v>
      </c>
      <c r="U67" s="677">
        <v>101528131.31999999</v>
      </c>
      <c r="V67" s="678">
        <v>102166245.45</v>
      </c>
      <c r="W67" s="809">
        <v>109344454.20999999</v>
      </c>
      <c r="X67" s="810"/>
      <c r="Y67" s="13" t="s">
        <v>57</v>
      </c>
      <c r="Z67" s="319">
        <f>B67/'Population &amp; Income'!B66</f>
        <v>3786.7991459467994</v>
      </c>
      <c r="AA67" s="319">
        <f>C67/'Population &amp; Income'!C66</f>
        <v>4145.9940845291303</v>
      </c>
      <c r="AB67" s="319">
        <f>D67/'Population &amp; Income'!D66</f>
        <v>4206.2199435913508</v>
      </c>
      <c r="AC67" s="319">
        <f>E67/'Population &amp; Income'!E66</f>
        <v>4525.68442033478</v>
      </c>
      <c r="AD67" s="319">
        <f>F67/'Population &amp; Income'!F66</f>
        <v>4680.0605166589894</v>
      </c>
      <c r="AE67" s="319">
        <f>G67/'Population &amp; Income'!G66</f>
        <v>5165.3806254790743</v>
      </c>
      <c r="AF67" s="319">
        <f>H67/'Population &amp; Income'!H66</f>
        <v>5374.3388808995642</v>
      </c>
      <c r="AG67" s="319">
        <f>I67/'Population &amp; Income'!I66</f>
        <v>5495.4549320315436</v>
      </c>
      <c r="AH67" s="319">
        <f>J67/'Population &amp; Income'!J66</f>
        <v>6024.3373983983238</v>
      </c>
      <c r="AI67" s="319">
        <f>K67/'Population &amp; Income'!K66</f>
        <v>6164.80745761457</v>
      </c>
      <c r="AJ67" s="319">
        <f>L67/'Population &amp; Income'!L66</f>
        <v>6155.9672674800904</v>
      </c>
      <c r="AK67" s="319">
        <f>M67/'Population &amp; Income'!M66</f>
        <v>6605.5515482121928</v>
      </c>
      <c r="AL67" s="319">
        <f>N67/'Population &amp; Income'!N66</f>
        <v>6423.8095230131612</v>
      </c>
      <c r="AM67" s="319">
        <f>O67/'Population &amp; Income'!O66</f>
        <v>5853.0547580296707</v>
      </c>
      <c r="AN67" s="319">
        <f>P67/'Population &amp; Income'!P66</f>
        <v>6039.777322278298</v>
      </c>
      <c r="AO67" s="319">
        <f>Q67/'Population &amp; Income'!Q66</f>
        <v>6259.1601271825821</v>
      </c>
      <c r="AP67" s="319">
        <f>R67/'Population &amp; Income'!R66</f>
        <v>6542.79219945158</v>
      </c>
      <c r="AQ67" s="319">
        <f>S67/'Population &amp; Income'!S66</f>
        <v>7264.6422413793107</v>
      </c>
      <c r="AR67" s="697">
        <f>T67/'Population &amp; Income'!T66</f>
        <v>7526.384643510055</v>
      </c>
      <c r="AS67" s="697">
        <f>U67/'Population &amp; Income'!U66</f>
        <v>7451.0591017173047</v>
      </c>
      <c r="AT67" s="697">
        <f>V67/'Population &amp; Income'!V66</f>
        <v>7477.0378695843092</v>
      </c>
      <c r="AU67" s="697">
        <f>W67/'Population &amp; Income'!W66</f>
        <v>8003.5466410481622</v>
      </c>
      <c r="AV67" s="690"/>
      <c r="AW67" s="486"/>
      <c r="AX67" s="13" t="s">
        <v>57</v>
      </c>
      <c r="AY67" s="40">
        <f t="shared" si="42"/>
        <v>0.10211377654977341</v>
      </c>
      <c r="AZ67" s="40">
        <f t="shared" si="43"/>
        <v>1.5401348805866339E-2</v>
      </c>
      <c r="BA67" s="40">
        <f t="shared" si="44"/>
        <v>8.775189256068093E-2</v>
      </c>
      <c r="BB67" s="40">
        <f t="shared" si="45"/>
        <v>4.3888038851698605E-2</v>
      </c>
      <c r="BC67" s="40">
        <f t="shared" si="46"/>
        <v>0.10539414709121847</v>
      </c>
      <c r="BD67" s="40">
        <f t="shared" si="47"/>
        <v>4.260692531034202E-2</v>
      </c>
      <c r="BE67" s="40">
        <f t="shared" si="48"/>
        <v>4.1464600046037414E-2</v>
      </c>
      <c r="BF67" s="40">
        <f t="shared" si="49"/>
        <v>0.1000272142141588</v>
      </c>
      <c r="BG67" s="40">
        <f t="shared" si="50"/>
        <v>3.4499216270449863E-2</v>
      </c>
      <c r="BH67" s="40">
        <f t="shared" si="51"/>
        <v>1.1873336875169381E-2</v>
      </c>
      <c r="BI67" s="40">
        <f t="shared" si="52"/>
        <v>6.9974754070663309E-2</v>
      </c>
      <c r="BJ67" s="40">
        <f t="shared" si="53"/>
        <v>-2.0031766254455741E-2</v>
      </c>
      <c r="BK67" s="40">
        <f t="shared" si="54"/>
        <v>-8.0038505255250109E-2</v>
      </c>
      <c r="BL67" s="40">
        <f t="shared" si="55"/>
        <v>3.0712730476061417E-2</v>
      </c>
      <c r="BM67" s="40">
        <f t="shared" si="56"/>
        <v>3.9834688486618648E-2</v>
      </c>
      <c r="BN67" s="40">
        <f t="shared" si="57"/>
        <v>4.0883189883310772E-2</v>
      </c>
      <c r="BO67" s="40">
        <f t="shared" si="58"/>
        <v>9.6706819423100096E-2</v>
      </c>
      <c r="BP67" s="691">
        <f t="shared" si="59"/>
        <v>3.5045678469780239E-2</v>
      </c>
      <c r="BQ67" s="691">
        <f t="shared" si="60"/>
        <v>-1.3555517015533286E-2</v>
      </c>
      <c r="BR67" s="691">
        <f t="shared" si="61"/>
        <v>6.2850967677990565E-3</v>
      </c>
      <c r="BS67" s="691">
        <f t="shared" si="62"/>
        <v>7.0260081775374572E-2</v>
      </c>
      <c r="BT67" s="40"/>
      <c r="BV67" s="13" t="s">
        <v>57</v>
      </c>
      <c r="BW67" s="40">
        <f t="shared" si="63"/>
        <v>0.10211377654977341</v>
      </c>
      <c r="BX67" s="40">
        <f t="shared" si="64"/>
        <v>0.1190878152461671</v>
      </c>
      <c r="BY67" s="40">
        <f t="shared" si="65"/>
        <v>0.21728988897561591</v>
      </c>
      <c r="BZ67" s="40">
        <f t="shared" si="66"/>
        <v>0.2707143549167576</v>
      </c>
      <c r="CA67" s="40">
        <f t="shared" si="67"/>
        <v>0.40464021054977717</v>
      </c>
      <c r="CB67" s="40">
        <f t="shared" si="68"/>
        <v>0.46448761108857461</v>
      </c>
      <c r="CC67" s="40">
        <f t="shared" si="69"/>
        <v>0.52521200415473912</v>
      </c>
      <c r="CD67" s="40">
        <f t="shared" si="70"/>
        <v>0.67777471201633166</v>
      </c>
      <c r="CE67" s="40">
        <f t="shared" si="71"/>
        <v>0.73565662465927484</v>
      </c>
      <c r="CF67" s="40">
        <f t="shared" si="72"/>
        <v>0.75626466046347385</v>
      </c>
      <c r="CG67" s="40">
        <f t="shared" si="73"/>
        <v>0.87915884816240242</v>
      </c>
      <c r="CH67" s="40">
        <f t="shared" si="74"/>
        <v>0.84151597736102091</v>
      </c>
      <c r="CI67" s="40">
        <f t="shared" si="75"/>
        <v>0.69412379112938383</v>
      </c>
      <c r="CJ67" s="40">
        <f t="shared" si="76"/>
        <v>0.74615495851942393</v>
      </c>
      <c r="CK67" s="40">
        <f t="shared" si="77"/>
        <v>0.81571249734140971</v>
      </c>
      <c r="CL67" s="40">
        <f t="shared" si="78"/>
        <v>0.88994461614371889</v>
      </c>
      <c r="CM67" s="40">
        <f t="shared" si="79"/>
        <v>1.0727151488567899</v>
      </c>
      <c r="CN67" s="691">
        <f t="shared" si="80"/>
        <v>1.1453548575230674</v>
      </c>
      <c r="CO67" s="691">
        <f t="shared" si="81"/>
        <v>1.1162734632475566</v>
      </c>
      <c r="CP67" s="691">
        <f t="shared" si="82"/>
        <v>1.1295744467511928</v>
      </c>
      <c r="CQ67" s="691">
        <f t="shared" si="83"/>
        <v>1.2791985215266797</v>
      </c>
    </row>
    <row r="68" spans="1:95">
      <c r="A68" s="13" t="s">
        <v>58</v>
      </c>
      <c r="B68" s="319">
        <v>34683967.850000001</v>
      </c>
      <c r="C68" s="319">
        <v>34918475.579999998</v>
      </c>
      <c r="D68" s="319">
        <v>36951017.229999997</v>
      </c>
      <c r="E68" s="319">
        <v>38082728.390000001</v>
      </c>
      <c r="F68" s="319">
        <v>38047325.189999998</v>
      </c>
      <c r="G68" s="319">
        <v>39207265.049999997</v>
      </c>
      <c r="H68" s="319">
        <v>38797688.82</v>
      </c>
      <c r="I68" s="319">
        <v>40927563.270000003</v>
      </c>
      <c r="J68" s="319">
        <v>42078887.43</v>
      </c>
      <c r="K68" s="319">
        <v>43933884.049999997</v>
      </c>
      <c r="L68" s="319">
        <v>45783539.409999996</v>
      </c>
      <c r="M68" s="319">
        <v>47268569.079999998</v>
      </c>
      <c r="N68" s="319">
        <v>47419829.579999998</v>
      </c>
      <c r="O68" s="319">
        <v>49215097.170000002</v>
      </c>
      <c r="P68" s="319">
        <v>50615606.619999997</v>
      </c>
      <c r="Q68" s="319">
        <v>51215524.280000001</v>
      </c>
      <c r="R68" s="319">
        <v>52291886.039999999</v>
      </c>
      <c r="S68" s="319">
        <v>51837846.43</v>
      </c>
      <c r="T68" s="677">
        <v>53225103.729999997</v>
      </c>
      <c r="U68" s="677">
        <v>53265668.979999997</v>
      </c>
      <c r="V68" s="678">
        <v>54625633.490000002</v>
      </c>
      <c r="W68" s="809">
        <v>50523538.799999997</v>
      </c>
      <c r="X68" s="810"/>
      <c r="Y68" s="13" t="s">
        <v>58</v>
      </c>
      <c r="Z68" s="319">
        <f>B68/'Population &amp; Income'!B67</f>
        <v>3716.2721365048751</v>
      </c>
      <c r="AA68" s="319">
        <f>C68/'Population &amp; Income'!C67</f>
        <v>3755.8863697967085</v>
      </c>
      <c r="AB68" s="319">
        <f>D68/'Population &amp; Income'!D67</f>
        <v>3892.4488812809436</v>
      </c>
      <c r="AC68" s="319">
        <f>E68/'Population &amp; Income'!E67</f>
        <v>4004.9141224103482</v>
      </c>
      <c r="AD68" s="319">
        <f>F68/'Population &amp; Income'!F67</f>
        <v>3991.5364236256814</v>
      </c>
      <c r="AE68" s="319">
        <f>G68/'Population &amp; Income'!G67</f>
        <v>4150.2344712607173</v>
      </c>
      <c r="AF68" s="319">
        <f>H68/'Population &amp; Income'!H67</f>
        <v>4085.6875336983994</v>
      </c>
      <c r="AG68" s="319">
        <f>I68/'Population &amp; Income'!I67</f>
        <v>4271.2965216030061</v>
      </c>
      <c r="AH68" s="319">
        <f>J68/'Population &amp; Income'!J67</f>
        <v>4403.8605368916797</v>
      </c>
      <c r="AI68" s="319">
        <f>K68/'Population &amp; Income'!K67</f>
        <v>4597.0371507795326</v>
      </c>
      <c r="AJ68" s="319">
        <f>L68/'Population &amp; Income'!L67</f>
        <v>4736.0649022447496</v>
      </c>
      <c r="AK68" s="319">
        <f>M68/'Population &amp; Income'!M67</f>
        <v>4895.7606504401865</v>
      </c>
      <c r="AL68" s="319">
        <f>N68/'Population &amp; Income'!N67</f>
        <v>4879.5873204363033</v>
      </c>
      <c r="AM68" s="319">
        <f>O68/'Population &amp; Income'!O67</f>
        <v>5087.8835077018502</v>
      </c>
      <c r="AN68" s="319">
        <f>P68/'Population &amp; Income'!P67</f>
        <v>5202.0150688591984</v>
      </c>
      <c r="AO68" s="319">
        <f>Q68/'Population &amp; Income'!Q67</f>
        <v>5313.3649009233322</v>
      </c>
      <c r="AP68" s="319">
        <f>R68/'Population &amp; Income'!R67</f>
        <v>5446.5041183210078</v>
      </c>
      <c r="AQ68" s="319">
        <f>S68/'Population &amp; Income'!S67</f>
        <v>5422.3688734309626</v>
      </c>
      <c r="AR68" s="697">
        <f>T68/'Population &amp; Income'!T67</f>
        <v>5623.360140517696</v>
      </c>
      <c r="AS68" s="697">
        <f>U68/'Population &amp; Income'!U67</f>
        <v>5662.3438907196769</v>
      </c>
      <c r="AT68" s="697">
        <f>V68/'Population &amp; Income'!V67</f>
        <v>5913.7851564360726</v>
      </c>
      <c r="AU68" s="697">
        <f>W68/'Population &amp; Income'!W67</f>
        <v>5500.0586544741991</v>
      </c>
      <c r="AV68" s="690"/>
      <c r="AW68" s="486"/>
      <c r="AX68" s="13" t="s">
        <v>58</v>
      </c>
      <c r="AY68" s="40">
        <f t="shared" si="42"/>
        <v>6.7612716922754472E-3</v>
      </c>
      <c r="AZ68" s="40">
        <f t="shared" si="43"/>
        <v>5.8208201138200966E-2</v>
      </c>
      <c r="BA68" s="40">
        <f t="shared" si="44"/>
        <v>3.0627334369598462E-2</v>
      </c>
      <c r="BB68" s="40">
        <f t="shared" si="45"/>
        <v>-9.2963927472432283E-4</v>
      </c>
      <c r="BC68" s="40">
        <f t="shared" si="46"/>
        <v>3.0486764948850258E-2</v>
      </c>
      <c r="BD68" s="40">
        <f t="shared" si="47"/>
        <v>-1.0446437145709472E-2</v>
      </c>
      <c r="BE68" s="40">
        <f t="shared" si="48"/>
        <v>5.4896941410130184E-2</v>
      </c>
      <c r="BF68" s="40">
        <f t="shared" si="49"/>
        <v>2.8130777109907242E-2</v>
      </c>
      <c r="BG68" s="40">
        <f t="shared" si="50"/>
        <v>4.4083784845449211E-2</v>
      </c>
      <c r="BH68" s="40">
        <f t="shared" si="51"/>
        <v>4.2100884089714338E-2</v>
      </c>
      <c r="BI68" s="40">
        <f t="shared" si="52"/>
        <v>3.2435886109662443E-2</v>
      </c>
      <c r="BJ68" s="40">
        <f t="shared" si="53"/>
        <v>3.2000228258231844E-3</v>
      </c>
      <c r="BK68" s="40">
        <f t="shared" si="54"/>
        <v>3.78590055236551E-2</v>
      </c>
      <c r="BL68" s="40">
        <f t="shared" si="55"/>
        <v>2.8456907138927741E-2</v>
      </c>
      <c r="BM68" s="40">
        <f t="shared" si="56"/>
        <v>1.1852424579318495E-2</v>
      </c>
      <c r="BN68" s="40">
        <f t="shared" si="57"/>
        <v>2.101631829668342E-2</v>
      </c>
      <c r="BO68" s="40">
        <f t="shared" si="58"/>
        <v>-8.6827927692775843E-3</v>
      </c>
      <c r="BP68" s="691">
        <f t="shared" si="59"/>
        <v>2.6761476325473908E-2</v>
      </c>
      <c r="BQ68" s="691">
        <f t="shared" si="60"/>
        <v>7.6214506233335244E-4</v>
      </c>
      <c r="BR68" s="691">
        <f t="shared" si="61"/>
        <v>2.5531726833481431E-2</v>
      </c>
      <c r="BS68" s="691">
        <f t="shared" si="62"/>
        <v>-7.5094684087296706E-2</v>
      </c>
      <c r="BT68" s="40"/>
      <c r="BV68" s="13" t="s">
        <v>58</v>
      </c>
      <c r="BW68" s="40">
        <f t="shared" si="63"/>
        <v>6.7612716922754472E-3</v>
      </c>
      <c r="BX68" s="40">
        <f t="shared" si="64"/>
        <v>6.53630342930904E-2</v>
      </c>
      <c r="BY68" s="40">
        <f t="shared" si="65"/>
        <v>9.7992264169394883E-2</v>
      </c>
      <c r="BZ68" s="40">
        <f t="shared" si="66"/>
        <v>9.697152743727952E-2</v>
      </c>
      <c r="CA68" s="40">
        <f t="shared" si="67"/>
        <v>0.13041464054984112</v>
      </c>
      <c r="CB68" s="40">
        <f t="shared" si="68"/>
        <v>0.11860583505874743</v>
      </c>
      <c r="CC68" s="40">
        <f t="shared" si="69"/>
        <v>0.18001387404699723</v>
      </c>
      <c r="CD68" s="40">
        <f t="shared" si="70"/>
        <v>0.21320858132441148</v>
      </c>
      <c r="CE68" s="40">
        <f t="shared" si="71"/>
        <v>0.26669140739616948</v>
      </c>
      <c r="CF68" s="40">
        <f t="shared" si="72"/>
        <v>0.32002023551639275</v>
      </c>
      <c r="CG68" s="40">
        <f t="shared" si="73"/>
        <v>0.36283626153805226</v>
      </c>
      <c r="CH68" s="40">
        <f t="shared" si="74"/>
        <v>0.36719736868283359</v>
      </c>
      <c r="CI68" s="40">
        <f t="shared" si="75"/>
        <v>0.4189581014157237</v>
      </c>
      <c r="CJ68" s="40">
        <f t="shared" si="76"/>
        <v>0.45933726034174016</v>
      </c>
      <c r="CK68" s="40">
        <f t="shared" si="77"/>
        <v>0.47663394515572988</v>
      </c>
      <c r="CL68" s="40">
        <f t="shared" si="78"/>
        <v>0.50766735415481012</v>
      </c>
      <c r="CM68" s="40">
        <f t="shared" si="79"/>
        <v>0.49457659095367884</v>
      </c>
      <c r="CN68" s="691">
        <f t="shared" si="80"/>
        <v>0.53457366700909326</v>
      </c>
      <c r="CO68" s="691">
        <f t="shared" si="81"/>
        <v>0.53574323475219099</v>
      </c>
      <c r="CP68" s="691">
        <f t="shared" si="82"/>
        <v>0.57495341150825108</v>
      </c>
      <c r="CQ68" s="691">
        <f t="shared" si="83"/>
        <v>0.45668278261882872</v>
      </c>
    </row>
    <row r="69" spans="1:95">
      <c r="A69" s="13" t="s">
        <v>59</v>
      </c>
      <c r="B69" s="319">
        <v>96016790.659999996</v>
      </c>
      <c r="C69" s="319">
        <v>97626654.310000002</v>
      </c>
      <c r="D69" s="319">
        <v>98387154.109999999</v>
      </c>
      <c r="E69" s="319">
        <v>102356032.56</v>
      </c>
      <c r="F69" s="319">
        <v>101615588.01000001</v>
      </c>
      <c r="G69" s="319">
        <v>99873858.019999996</v>
      </c>
      <c r="H69" s="319">
        <v>101385985.15000001</v>
      </c>
      <c r="I69" s="319">
        <v>98843107.909999996</v>
      </c>
      <c r="J69" s="319">
        <v>102534229.76000001</v>
      </c>
      <c r="K69" s="319">
        <v>107095914.43000001</v>
      </c>
      <c r="L69" s="319">
        <v>118608355.39</v>
      </c>
      <c r="M69" s="319">
        <v>122331994.84999999</v>
      </c>
      <c r="N69" s="319">
        <v>118825750.7</v>
      </c>
      <c r="O69" s="319">
        <v>120585170.73999999</v>
      </c>
      <c r="P69" s="319">
        <v>123434425</v>
      </c>
      <c r="Q69" s="319">
        <v>126064158.75</v>
      </c>
      <c r="R69" s="319">
        <v>128792744.45999999</v>
      </c>
      <c r="S69" s="319">
        <v>128726182.95999999</v>
      </c>
      <c r="T69" s="677">
        <v>131741895.51000001</v>
      </c>
      <c r="U69" s="677">
        <v>132881820.13</v>
      </c>
      <c r="V69" s="678">
        <v>129518882.56</v>
      </c>
      <c r="W69" s="809">
        <v>117356569.37</v>
      </c>
      <c r="X69" s="810"/>
      <c r="Y69" s="13" t="s">
        <v>59</v>
      </c>
      <c r="Z69" s="319">
        <f>B69/'Population &amp; Income'!B68</f>
        <v>4562.6682503326365</v>
      </c>
      <c r="AA69" s="319">
        <f>C69/'Population &amp; Income'!C68</f>
        <v>4682.7827278396007</v>
      </c>
      <c r="AB69" s="319">
        <f>D69/'Population &amp; Income'!D68</f>
        <v>4769.8237315169436</v>
      </c>
      <c r="AC69" s="319">
        <f>E69/'Population &amp; Income'!E68</f>
        <v>5063.1199327265531</v>
      </c>
      <c r="AD69" s="319">
        <f>F69/'Population &amp; Income'!F68</f>
        <v>5065.5826525423736</v>
      </c>
      <c r="AE69" s="319">
        <f>G69/'Population &amp; Income'!G68</f>
        <v>5022.0675828430631</v>
      </c>
      <c r="AF69" s="319">
        <f>H69/'Population &amp; Income'!H68</f>
        <v>5110.4382856998845</v>
      </c>
      <c r="AG69" s="319">
        <f>I69/'Population &amp; Income'!I68</f>
        <v>5045.0749239485503</v>
      </c>
      <c r="AH69" s="319">
        <f>J69/'Population &amp; Income'!J68</f>
        <v>5302.2147978074263</v>
      </c>
      <c r="AI69" s="319">
        <f>K69/'Population &amp; Income'!K68</f>
        <v>5574.7183608349387</v>
      </c>
      <c r="AJ69" s="319">
        <f>L69/'Population &amp; Income'!L68</f>
        <v>6258.0253991452537</v>
      </c>
      <c r="AK69" s="319">
        <f>M69/'Population &amp; Income'!M68</f>
        <v>6511.1770731317856</v>
      </c>
      <c r="AL69" s="319">
        <f>N69/'Population &amp; Income'!N68</f>
        <v>6405.0102792151793</v>
      </c>
      <c r="AM69" s="319">
        <f>O69/'Population &amp; Income'!O68</f>
        <v>6561.3870247034492</v>
      </c>
      <c r="AN69" s="319">
        <f>P69/'Population &amp; Income'!P68</f>
        <v>6774.2947697711434</v>
      </c>
      <c r="AO69" s="319">
        <f>Q69/'Population &amp; Income'!Q68</f>
        <v>6934.2221534653463</v>
      </c>
      <c r="AP69" s="319">
        <f>R69/'Population &amp; Income'!R68</f>
        <v>7111.2994566837833</v>
      </c>
      <c r="AQ69" s="319">
        <f>S69/'Population &amp; Income'!S68</f>
        <v>7222.4756191438028</v>
      </c>
      <c r="AR69" s="697">
        <f>T69/'Population &amp; Income'!T68</f>
        <v>7490.8679996588389</v>
      </c>
      <c r="AS69" s="697">
        <f>U69/'Population &amp; Income'!U68</f>
        <v>7618.4967394794176</v>
      </c>
      <c r="AT69" s="697">
        <f>V69/'Population &amp; Income'!V68</f>
        <v>7586.1818403326888</v>
      </c>
      <c r="AU69" s="697">
        <f>W69/'Population &amp; Income'!W68</f>
        <v>6974.7158784024723</v>
      </c>
      <c r="AV69" s="690"/>
      <c r="AW69" s="486"/>
      <c r="AX69" s="13" t="s">
        <v>59</v>
      </c>
      <c r="AY69" s="40">
        <f t="shared" si="42"/>
        <v>1.6766480517981582E-2</v>
      </c>
      <c r="AZ69" s="40">
        <f t="shared" si="43"/>
        <v>7.7898787516074717E-3</v>
      </c>
      <c r="BA69" s="40">
        <f t="shared" si="44"/>
        <v>4.0339396803394365E-2</v>
      </c>
      <c r="BB69" s="40">
        <f t="shared" si="45"/>
        <v>-7.2340098720215283E-3</v>
      </c>
      <c r="BC69" s="40">
        <f t="shared" si="46"/>
        <v>-1.7140381944437556E-2</v>
      </c>
      <c r="BD69" s="40">
        <f t="shared" si="47"/>
        <v>1.5140369662071157E-2</v>
      </c>
      <c r="BE69" s="40">
        <f t="shared" si="48"/>
        <v>-2.508115136660986E-2</v>
      </c>
      <c r="BF69" s="40">
        <f t="shared" si="49"/>
        <v>3.7343239483737203E-2</v>
      </c>
      <c r="BG69" s="40">
        <f t="shared" si="50"/>
        <v>4.4489383503220861E-2</v>
      </c>
      <c r="BH69" s="40">
        <f t="shared" si="51"/>
        <v>0.10749654663553716</v>
      </c>
      <c r="BI69" s="40">
        <f t="shared" si="52"/>
        <v>3.1394411024047782E-2</v>
      </c>
      <c r="BJ69" s="40">
        <f t="shared" si="53"/>
        <v>-2.8661709917338043E-2</v>
      </c>
      <c r="BK69" s="40">
        <f t="shared" si="54"/>
        <v>1.4806723539597142E-2</v>
      </c>
      <c r="BL69" s="40">
        <f t="shared" si="55"/>
        <v>2.3628562637635034E-2</v>
      </c>
      <c r="BM69" s="40">
        <f t="shared" si="56"/>
        <v>2.1304702881712295E-2</v>
      </c>
      <c r="BN69" s="40">
        <f t="shared" si="57"/>
        <v>2.1644420881045966E-2</v>
      </c>
      <c r="BO69" s="40">
        <f t="shared" si="58"/>
        <v>-5.1681094520563179E-4</v>
      </c>
      <c r="BP69" s="691">
        <f t="shared" si="59"/>
        <v>2.3427343844547196E-2</v>
      </c>
      <c r="BQ69" s="691">
        <f t="shared" si="60"/>
        <v>8.6527115431815141E-3</v>
      </c>
      <c r="BR69" s="691">
        <f t="shared" si="61"/>
        <v>-2.530773259058303E-2</v>
      </c>
      <c r="BS69" s="691">
        <f t="shared" si="62"/>
        <v>-9.3903784140245111E-2</v>
      </c>
      <c r="BT69" s="40"/>
      <c r="BV69" s="13" t="s">
        <v>59</v>
      </c>
      <c r="BW69" s="40">
        <f t="shared" si="63"/>
        <v>1.6766480517981582E-2</v>
      </c>
      <c r="BX69" s="40">
        <f t="shared" si="64"/>
        <v>2.4686968119915321E-2</v>
      </c>
      <c r="BY69" s="40">
        <f t="shared" si="65"/>
        <v>6.6022222326171692E-2</v>
      </c>
      <c r="BZ69" s="40">
        <f t="shared" si="66"/>
        <v>5.8310607046069843E-2</v>
      </c>
      <c r="CA69" s="40">
        <f t="shared" si="67"/>
        <v>4.0170759025450635E-2</v>
      </c>
      <c r="CB69" s="40">
        <f t="shared" si="68"/>
        <v>5.5919328828773103E-2</v>
      </c>
      <c r="CC69" s="40">
        <f t="shared" si="69"/>
        <v>2.9435656311489554E-2</v>
      </c>
      <c r="CD69" s="40">
        <f t="shared" si="70"/>
        <v>6.7878118558227687E-2</v>
      </c>
      <c r="CE69" s="40">
        <f t="shared" si="71"/>
        <v>0.11538735770946264</v>
      </c>
      <c r="CF69" s="40">
        <f t="shared" si="72"/>
        <v>0.23528764682416647</v>
      </c>
      <c r="CG69" s="40">
        <f t="shared" si="73"/>
        <v>0.27406877494149312</v>
      </c>
      <c r="CH69" s="40">
        <f t="shared" si="74"/>
        <v>0.23755178529938178</v>
      </c>
      <c r="CI69" s="40">
        <f t="shared" si="75"/>
        <v>0.25587587245024462</v>
      </c>
      <c r="CJ69" s="40">
        <f t="shared" si="76"/>
        <v>0.2855504141675298</v>
      </c>
      <c r="CK69" s="40">
        <f t="shared" si="77"/>
        <v>0.31293868378083117</v>
      </c>
      <c r="CL69" s="40">
        <f t="shared" si="78"/>
        <v>0.34135648124359003</v>
      </c>
      <c r="CM69" s="40">
        <f t="shared" si="79"/>
        <v>0.3406632535326608</v>
      </c>
      <c r="CN69" s="691">
        <f t="shared" si="80"/>
        <v>0.3720714325529198</v>
      </c>
      <c r="CO69" s="691">
        <f t="shared" si="81"/>
        <v>0.38394357087544007</v>
      </c>
      <c r="CP69" s="691">
        <f t="shared" si="82"/>
        <v>0.34891909706326785</v>
      </c>
      <c r="CQ69" s="691">
        <f t="shared" si="83"/>
        <v>0.22225048934998437</v>
      </c>
    </row>
    <row r="70" spans="1:95">
      <c r="A70" s="13" t="s">
        <v>60</v>
      </c>
      <c r="B70" s="319">
        <v>140912128.90000001</v>
      </c>
      <c r="C70" s="319">
        <v>147311330.19999999</v>
      </c>
      <c r="D70" s="319">
        <v>158510252</v>
      </c>
      <c r="E70" s="319">
        <v>171362944.03</v>
      </c>
      <c r="F70" s="319">
        <v>174987350.94</v>
      </c>
      <c r="G70" s="319">
        <v>175043367.65000001</v>
      </c>
      <c r="H70" s="319">
        <v>177436634.46000001</v>
      </c>
      <c r="I70" s="319">
        <v>185061683.25</v>
      </c>
      <c r="J70" s="319">
        <v>193410659.75999999</v>
      </c>
      <c r="K70" s="319">
        <v>199751299.47</v>
      </c>
      <c r="L70" s="319">
        <v>209363791.53999999</v>
      </c>
      <c r="M70" s="319">
        <v>213855471.13999999</v>
      </c>
      <c r="N70" s="319">
        <v>214329798.65000001</v>
      </c>
      <c r="O70" s="319">
        <v>211444517.47999999</v>
      </c>
      <c r="P70" s="319">
        <v>212822634.52000001</v>
      </c>
      <c r="Q70" s="319">
        <v>212799694.34</v>
      </c>
      <c r="R70" s="319">
        <v>219245122.19999999</v>
      </c>
      <c r="S70" s="319">
        <v>237720769.5</v>
      </c>
      <c r="T70" s="677">
        <v>254158007.25</v>
      </c>
      <c r="U70" s="677">
        <v>257910845.78999999</v>
      </c>
      <c r="V70" s="678">
        <v>261992201.22999999</v>
      </c>
      <c r="W70" s="809">
        <v>265107608.66999999</v>
      </c>
      <c r="X70" s="810"/>
      <c r="Y70" s="13" t="s">
        <v>60</v>
      </c>
      <c r="Z70" s="319">
        <f>B70/'Population &amp; Income'!B69</f>
        <v>7867.7905583472921</v>
      </c>
      <c r="AA70" s="319">
        <f>C70/'Population &amp; Income'!C69</f>
        <v>8176.2407837042783</v>
      </c>
      <c r="AB70" s="319">
        <f>D70/'Population &amp; Income'!D69</f>
        <v>8781.7314127423815</v>
      </c>
      <c r="AC70" s="319">
        <f>E70/'Population &amp; Income'!E69</f>
        <v>9486.4340140611166</v>
      </c>
      <c r="AD70" s="319">
        <f>F70/'Population &amp; Income'!F69</f>
        <v>9649.6829679055918</v>
      </c>
      <c r="AE70" s="319">
        <f>G70/'Population &amp; Income'!G69</f>
        <v>9633.1169253205662</v>
      </c>
      <c r="AF70" s="319">
        <f>H70/'Population &amp; Income'!H69</f>
        <v>9686.4632852931554</v>
      </c>
      <c r="AG70" s="319">
        <f>I70/'Population &amp; Income'!I69</f>
        <v>10105.481529514553</v>
      </c>
      <c r="AH70" s="319">
        <f>J70/'Population &amp; Income'!J69</f>
        <v>10480.690352227159</v>
      </c>
      <c r="AI70" s="319">
        <f>K70/'Population &amp; Income'!K69</f>
        <v>10738.162534673691</v>
      </c>
      <c r="AJ70" s="319">
        <f>L70/'Population &amp; Income'!L69</f>
        <v>11212.71377142245</v>
      </c>
      <c r="AK70" s="319">
        <f>M70/'Population &amp; Income'!M69</f>
        <v>11278.702132798902</v>
      </c>
      <c r="AL70" s="319">
        <f>N70/'Population &amp; Income'!N69</f>
        <v>11294.7828125</v>
      </c>
      <c r="AM70" s="319">
        <f>O70/'Population &amp; Income'!O69</f>
        <v>11099.449736482939</v>
      </c>
      <c r="AN70" s="319">
        <f>P70/'Population &amp; Income'!P69</f>
        <v>11214.176126040678</v>
      </c>
      <c r="AO70" s="319">
        <f>Q70/'Population &amp; Income'!Q69</f>
        <v>11255.669858246059</v>
      </c>
      <c r="AP70" s="319">
        <f>R70/'Population &amp; Income'!R69</f>
        <v>11528.295414870123</v>
      </c>
      <c r="AQ70" s="319">
        <f>S70/'Population &amp; Income'!S69</f>
        <v>12464.385984689598</v>
      </c>
      <c r="AR70" s="697">
        <f>T70/'Population &amp; Income'!T69</f>
        <v>13244.294280875456</v>
      </c>
      <c r="AS70" s="697">
        <f>U70/'Population &amp; Income'!U69</f>
        <v>13482.009711970726</v>
      </c>
      <c r="AT70" s="697">
        <f>V70/'Population &amp; Income'!V69</f>
        <v>13585.283963183821</v>
      </c>
      <c r="AU70" s="697">
        <f>W70/'Population &amp; Income'!W69</f>
        <v>13789.732570611182</v>
      </c>
      <c r="AV70" s="690"/>
      <c r="AW70" s="486"/>
      <c r="AX70" s="13" t="s">
        <v>60</v>
      </c>
      <c r="AY70" s="40">
        <f t="shared" si="42"/>
        <v>4.5412707550116234E-2</v>
      </c>
      <c r="AZ70" s="40">
        <f t="shared" si="43"/>
        <v>7.6022134786208131E-2</v>
      </c>
      <c r="BA70" s="40">
        <f t="shared" si="44"/>
        <v>8.1084294976705995E-2</v>
      </c>
      <c r="BB70" s="40">
        <f t="shared" si="45"/>
        <v>2.1150470602124355E-2</v>
      </c>
      <c r="BC70" s="40">
        <f t="shared" si="46"/>
        <v>3.2011862399823095E-4</v>
      </c>
      <c r="BD70" s="40">
        <f t="shared" si="47"/>
        <v>1.3672422109618857E-2</v>
      </c>
      <c r="BE70" s="40">
        <f t="shared" si="48"/>
        <v>4.2973362367955223E-2</v>
      </c>
      <c r="BF70" s="40">
        <f t="shared" si="49"/>
        <v>4.5114560525861803E-2</v>
      </c>
      <c r="BG70" s="40">
        <f t="shared" si="50"/>
        <v>3.2783300144200951E-2</v>
      </c>
      <c r="BH70" s="40">
        <f t="shared" si="51"/>
        <v>4.8122300558268265E-2</v>
      </c>
      <c r="BI70" s="40">
        <f t="shared" si="52"/>
        <v>2.145394658245782E-2</v>
      </c>
      <c r="BJ70" s="40">
        <f t="shared" si="53"/>
        <v>2.2179816465368934E-3</v>
      </c>
      <c r="BK70" s="40">
        <f t="shared" si="54"/>
        <v>-1.3461875988189926E-2</v>
      </c>
      <c r="BL70" s="40">
        <f t="shared" si="55"/>
        <v>6.517629572166013E-3</v>
      </c>
      <c r="BM70" s="40">
        <f t="shared" si="56"/>
        <v>-1.0779013262262454E-4</v>
      </c>
      <c r="BN70" s="40">
        <f t="shared" si="57"/>
        <v>3.0288708261496954E-2</v>
      </c>
      <c r="BO70" s="40">
        <f t="shared" si="58"/>
        <v>8.4269365332315757E-2</v>
      </c>
      <c r="BP70" s="691">
        <f t="shared" si="59"/>
        <v>6.9145147832781181E-2</v>
      </c>
      <c r="BQ70" s="691">
        <f t="shared" si="60"/>
        <v>1.47657694542299E-2</v>
      </c>
      <c r="BR70" s="691">
        <f t="shared" si="61"/>
        <v>1.5824675490084584E-2</v>
      </c>
      <c r="BS70" s="691">
        <f t="shared" si="62"/>
        <v>1.1891222049258698E-2</v>
      </c>
      <c r="BT70" s="40"/>
      <c r="BV70" s="13" t="s">
        <v>60</v>
      </c>
      <c r="BW70" s="40">
        <f t="shared" si="63"/>
        <v>4.5412707550116234E-2</v>
      </c>
      <c r="BX70" s="40">
        <f t="shared" si="64"/>
        <v>0.12488721331070596</v>
      </c>
      <c r="BY70" s="40">
        <f t="shared" si="65"/>
        <v>0.21609789993031603</v>
      </c>
      <c r="BZ70" s="40">
        <f t="shared" si="66"/>
        <v>0.24181894281209734</v>
      </c>
      <c r="CA70" s="40">
        <f t="shared" si="67"/>
        <v>0.24221647218332529</v>
      </c>
      <c r="CB70" s="40">
        <f t="shared" si="68"/>
        <v>0.25920058014253733</v>
      </c>
      <c r="CC70" s="40">
        <f t="shared" si="69"/>
        <v>0.31331266296694205</v>
      </c>
      <c r="CD70" s="40">
        <f t="shared" si="70"/>
        <v>0.37256218658974488</v>
      </c>
      <c r="CE70" s="40">
        <f t="shared" si="71"/>
        <v>0.41755930471929725</v>
      </c>
      <c r="CF70" s="40">
        <f t="shared" si="72"/>
        <v>0.48577551964016907</v>
      </c>
      <c r="CG70" s="40">
        <f t="shared" si="73"/>
        <v>0.51765126827205277</v>
      </c>
      <c r="CH70" s="40">
        <f t="shared" si="74"/>
        <v>0.52101739093092359</v>
      </c>
      <c r="CI70" s="40">
        <f t="shared" si="75"/>
        <v>0.5005416434383313</v>
      </c>
      <c r="CJ70" s="40">
        <f t="shared" si="76"/>
        <v>0.51032161802787157</v>
      </c>
      <c r="CK70" s="40">
        <f t="shared" si="77"/>
        <v>0.51015882026036152</v>
      </c>
      <c r="CL70" s="40">
        <f t="shared" si="78"/>
        <v>0.55589958019575403</v>
      </c>
      <c r="CM70" s="40">
        <f t="shared" si="79"/>
        <v>0.68701425033966679</v>
      </c>
      <c r="CN70" s="691">
        <f t="shared" si="80"/>
        <v>0.80366310007541153</v>
      </c>
      <c r="CO70" s="691">
        <f t="shared" si="81"/>
        <v>0.83029557358422668</v>
      </c>
      <c r="CP70" s="691">
        <f t="shared" si="82"/>
        <v>0.85925940708713522</v>
      </c>
      <c r="CQ70" s="691">
        <f t="shared" si="83"/>
        <v>0.88136827354398151</v>
      </c>
    </row>
    <row r="71" spans="1:95">
      <c r="A71" s="13" t="s">
        <v>61</v>
      </c>
      <c r="B71" s="319">
        <v>304535737.19999999</v>
      </c>
      <c r="C71" s="319">
        <v>326208837.10000002</v>
      </c>
      <c r="D71" s="319">
        <v>343713052.5</v>
      </c>
      <c r="E71" s="319">
        <v>354556435.37</v>
      </c>
      <c r="F71" s="319">
        <v>364338795.02999997</v>
      </c>
      <c r="G71" s="319">
        <v>390242702.04000002</v>
      </c>
      <c r="H71" s="319">
        <v>397025568.62</v>
      </c>
      <c r="I71" s="319">
        <v>411312615.93000001</v>
      </c>
      <c r="J71" s="319">
        <v>438981873.11000001</v>
      </c>
      <c r="K71" s="319">
        <v>449972730.97000003</v>
      </c>
      <c r="L71" s="319">
        <v>467126916.48000002</v>
      </c>
      <c r="M71" s="319">
        <v>464770326.95999998</v>
      </c>
      <c r="N71" s="319">
        <v>453173901.22000003</v>
      </c>
      <c r="O71" s="319">
        <v>449174136.55000001</v>
      </c>
      <c r="P71" s="319">
        <v>451834377.44</v>
      </c>
      <c r="Q71" s="319">
        <v>457558333.30000001</v>
      </c>
      <c r="R71" s="319">
        <v>463658603.39999998</v>
      </c>
      <c r="S71" s="319">
        <v>464865529.13</v>
      </c>
      <c r="T71" s="677">
        <v>487872558.22000003</v>
      </c>
      <c r="U71" s="677">
        <v>514595052.93000001</v>
      </c>
      <c r="V71" s="678">
        <v>524883454.60000002</v>
      </c>
      <c r="W71" s="809">
        <v>514196345.31999999</v>
      </c>
      <c r="X71" s="810"/>
      <c r="Y71" s="13" t="s">
        <v>61</v>
      </c>
      <c r="Z71" s="319">
        <f>B71/'Population &amp; Income'!B70</f>
        <v>7946.5526498447407</v>
      </c>
      <c r="AA71" s="319">
        <f>C71/'Population &amp; Income'!C70</f>
        <v>8408.0943655437277</v>
      </c>
      <c r="AB71" s="319">
        <f>D71/'Population &amp; Income'!D70</f>
        <v>8771.7704292568396</v>
      </c>
      <c r="AC71" s="319">
        <f>E71/'Population &amp; Income'!E70</f>
        <v>8960.6862962494943</v>
      </c>
      <c r="AD71" s="319">
        <f>F71/'Population &amp; Income'!F70</f>
        <v>9121.0112662410811</v>
      </c>
      <c r="AE71" s="319">
        <f>G71/'Population &amp; Income'!G70</f>
        <v>9702.9439329670058</v>
      </c>
      <c r="AF71" s="319">
        <f>H71/'Population &amp; Income'!H70</f>
        <v>9638.1804826062689</v>
      </c>
      <c r="AG71" s="319">
        <f>I71/'Population &amp; Income'!I70</f>
        <v>9820.5146701525682</v>
      </c>
      <c r="AH71" s="319">
        <f>J71/'Population &amp; Income'!J70</f>
        <v>10300.869934062324</v>
      </c>
      <c r="AI71" s="319">
        <f>K71/'Population &amp; Income'!K70</f>
        <v>10385.503980658712</v>
      </c>
      <c r="AJ71" s="319">
        <f>L71/'Population &amp; Income'!L70</f>
        <v>10610.492140374787</v>
      </c>
      <c r="AK71" s="319">
        <f>M71/'Population &amp; Income'!M70</f>
        <v>10491.42950248307</v>
      </c>
      <c r="AL71" s="319">
        <f>N71/'Population &amp; Income'!N70</f>
        <v>10252.803195022625</v>
      </c>
      <c r="AM71" s="319">
        <f>O71/'Population &amp; Income'!O70</f>
        <v>10084.735890211046</v>
      </c>
      <c r="AN71" s="319">
        <f>P71/'Population &amp; Income'!P70</f>
        <v>9976.2508542536052</v>
      </c>
      <c r="AO71" s="319">
        <f>Q71/'Population &amp; Income'!Q70</f>
        <v>10143.843157381338</v>
      </c>
      <c r="AP71" s="319">
        <f>R71/'Population &amp; Income'!R70</f>
        <v>10306.501953897792</v>
      </c>
      <c r="AQ71" s="319">
        <f>S71/'Population &amp; Income'!S70</f>
        <v>10374.841634789207</v>
      </c>
      <c r="AR71" s="697">
        <f>T71/'Population &amp; Income'!T70</f>
        <v>10881.996703767314</v>
      </c>
      <c r="AS71" s="697">
        <f>U71/'Population &amp; Income'!U70</f>
        <v>11535.419254203094</v>
      </c>
      <c r="AT71" s="697">
        <f>V71/'Population &amp; Income'!V70</f>
        <v>11766.576726147776</v>
      </c>
      <c r="AU71" s="697">
        <f>W71/'Population &amp; Income'!W70</f>
        <v>11491.961946182728</v>
      </c>
      <c r="AV71" s="690"/>
      <c r="AW71" s="486"/>
      <c r="AX71" s="13" t="s">
        <v>61</v>
      </c>
      <c r="AY71" s="40">
        <f t="shared" si="42"/>
        <v>7.1167673453597008E-2</v>
      </c>
      <c r="AZ71" s="40">
        <f t="shared" si="43"/>
        <v>5.3659537723173396E-2</v>
      </c>
      <c r="BA71" s="40">
        <f t="shared" si="44"/>
        <v>3.1547777400743326E-2</v>
      </c>
      <c r="BB71" s="40">
        <f t="shared" si="45"/>
        <v>2.7590416317761973E-2</v>
      </c>
      <c r="BC71" s="40">
        <f t="shared" si="46"/>
        <v>7.1098404461339623E-2</v>
      </c>
      <c r="BD71" s="40">
        <f t="shared" si="47"/>
        <v>1.7381149076055591E-2</v>
      </c>
      <c r="BE71" s="40">
        <f t="shared" si="48"/>
        <v>3.5985207098020382E-2</v>
      </c>
      <c r="BF71" s="40">
        <f t="shared" si="49"/>
        <v>6.7270626060030578E-2</v>
      </c>
      <c r="BG71" s="40">
        <f t="shared" si="50"/>
        <v>2.503715650519794E-2</v>
      </c>
      <c r="BH71" s="40">
        <f t="shared" si="51"/>
        <v>3.8122722399246169E-2</v>
      </c>
      <c r="BI71" s="40">
        <f t="shared" si="52"/>
        <v>-5.0448591953509009E-3</v>
      </c>
      <c r="BJ71" s="40">
        <f t="shared" si="53"/>
        <v>-2.4950873726923589E-2</v>
      </c>
      <c r="BK71" s="40">
        <f t="shared" si="54"/>
        <v>-8.8261143442553876E-3</v>
      </c>
      <c r="BL71" s="40">
        <f t="shared" si="55"/>
        <v>5.9225157317219215E-3</v>
      </c>
      <c r="BM71" s="40">
        <f t="shared" si="56"/>
        <v>1.2668261083697887E-2</v>
      </c>
      <c r="BN71" s="40">
        <f t="shared" si="57"/>
        <v>1.3332223797572706E-2</v>
      </c>
      <c r="BO71" s="40">
        <f t="shared" si="58"/>
        <v>2.6030482798111692E-3</v>
      </c>
      <c r="BP71" s="691">
        <f t="shared" si="59"/>
        <v>4.9491794181981817E-2</v>
      </c>
      <c r="BQ71" s="691">
        <f t="shared" si="60"/>
        <v>5.4773514639759269E-2</v>
      </c>
      <c r="BR71" s="691">
        <f t="shared" si="61"/>
        <v>1.9993199723588366E-2</v>
      </c>
      <c r="BS71" s="691">
        <f t="shared" si="62"/>
        <v>-2.0360918574094507E-2</v>
      </c>
      <c r="BT71" s="40"/>
      <c r="BV71" s="13" t="s">
        <v>61</v>
      </c>
      <c r="BW71" s="40">
        <f t="shared" si="63"/>
        <v>7.1167673453597008E-2</v>
      </c>
      <c r="BX71" s="40">
        <f t="shared" si="64"/>
        <v>0.1286460356351242</v>
      </c>
      <c r="BY71" s="40">
        <f t="shared" si="65"/>
        <v>0.16425230953157249</v>
      </c>
      <c r="BZ71" s="40">
        <f t="shared" si="66"/>
        <v>0.19637451545046447</v>
      </c>
      <c r="CA71" s="40">
        <f t="shared" si="67"/>
        <v>0.28143483463720081</v>
      </c>
      <c r="CB71" s="40">
        <f t="shared" si="68"/>
        <v>0.30370764452928062</v>
      </c>
      <c r="CC71" s="40">
        <f t="shared" si="69"/>
        <v>0.35062183411293912</v>
      </c>
      <c r="CD71" s="40">
        <f t="shared" si="70"/>
        <v>0.44147901046406329</v>
      </c>
      <c r="CE71" s="40">
        <f t="shared" si="71"/>
        <v>0.47756954604800994</v>
      </c>
      <c r="CF71" s="40">
        <f t="shared" si="72"/>
        <v>0.5338985196775784</v>
      </c>
      <c r="CG71" s="40">
        <f t="shared" si="73"/>
        <v>0.52616021762584786</v>
      </c>
      <c r="CH71" s="40">
        <f t="shared" si="74"/>
        <v>0.48808118674881107</v>
      </c>
      <c r="CI71" s="40">
        <f t="shared" si="75"/>
        <v>0.4749472120410308</v>
      </c>
      <c r="CJ71" s="40">
        <f t="shared" si="76"/>
        <v>0.48368261010780317</v>
      </c>
      <c r="CK71" s="40">
        <f t="shared" si="77"/>
        <v>0.50247828877799117</v>
      </c>
      <c r="CL71" s="40">
        <f t="shared" si="78"/>
        <v>0.52250966557497347</v>
      </c>
      <c r="CM71" s="40">
        <f t="shared" si="79"/>
        <v>0.52647283174094428</v>
      </c>
      <c r="CN71" s="691">
        <f t="shared" si="80"/>
        <v>0.60202071095385401</v>
      </c>
      <c r="CO71" s="691">
        <f t="shared" si="81"/>
        <v>0.68976901581848249</v>
      </c>
      <c r="CP71" s="691">
        <f t="shared" si="82"/>
        <v>0.72355290523847271</v>
      </c>
      <c r="CQ71" s="691">
        <f t="shared" si="83"/>
        <v>0.68845978487676818</v>
      </c>
    </row>
    <row r="72" spans="1:95">
      <c r="A72" s="13" t="s">
        <v>62</v>
      </c>
      <c r="B72" s="319">
        <v>97944739.230000004</v>
      </c>
      <c r="C72" s="319">
        <v>107794568.59999999</v>
      </c>
      <c r="D72" s="319">
        <v>107184303.09999999</v>
      </c>
      <c r="E72" s="319">
        <v>103938754.59</v>
      </c>
      <c r="F72" s="319">
        <v>112753117.08</v>
      </c>
      <c r="G72" s="319">
        <v>117695394.40000001</v>
      </c>
      <c r="H72" s="319">
        <v>118962754.67</v>
      </c>
      <c r="I72" s="319">
        <v>122376438.67</v>
      </c>
      <c r="J72" s="319">
        <v>125108721.15000001</v>
      </c>
      <c r="K72" s="319">
        <v>130586430.70999999</v>
      </c>
      <c r="L72" s="319">
        <v>134097553.23999999</v>
      </c>
      <c r="M72" s="319">
        <v>138964984.63</v>
      </c>
      <c r="N72" s="319">
        <v>148879589.25999999</v>
      </c>
      <c r="O72" s="319">
        <v>160982707.09</v>
      </c>
      <c r="P72" s="319">
        <v>145783222.03</v>
      </c>
      <c r="Q72" s="319">
        <v>148545059.72</v>
      </c>
      <c r="R72" s="319">
        <v>152734518.90000001</v>
      </c>
      <c r="S72" s="319">
        <v>155679127.38</v>
      </c>
      <c r="T72" s="677">
        <v>162862956.91999999</v>
      </c>
      <c r="U72" s="677">
        <v>166278272.28999999</v>
      </c>
      <c r="V72" s="678">
        <v>168670758.16</v>
      </c>
      <c r="W72" s="809">
        <v>168365024.75</v>
      </c>
      <c r="X72" s="810"/>
      <c r="Y72" s="13" t="s">
        <v>62</v>
      </c>
      <c r="Z72" s="319">
        <f>B72/'Population &amp; Income'!B71</f>
        <v>5653.7023337566388</v>
      </c>
      <c r="AA72" s="319">
        <f>C72/'Population &amp; Income'!C71</f>
        <v>6170.6204476501225</v>
      </c>
      <c r="AB72" s="319">
        <f>D72/'Population &amp; Income'!D71</f>
        <v>5945.4350510317281</v>
      </c>
      <c r="AC72" s="319">
        <f>E72/'Population &amp; Income'!E71</f>
        <v>5685.3054693140793</v>
      </c>
      <c r="AD72" s="319">
        <f>F72/'Population &amp; Income'!F71</f>
        <v>6161.0358494071361</v>
      </c>
      <c r="AE72" s="319">
        <f>G72/'Population &amp; Income'!G71</f>
        <v>6446.2369591411989</v>
      </c>
      <c r="AF72" s="319">
        <f>H72/'Population &amp; Income'!H71</f>
        <v>6496.7918011031625</v>
      </c>
      <c r="AG72" s="319">
        <f>I72/'Population &amp; Income'!I71</f>
        <v>6641.508665472702</v>
      </c>
      <c r="AH72" s="319">
        <f>J72/'Population &amp; Income'!J71</f>
        <v>6786.846107735706</v>
      </c>
      <c r="AI72" s="319">
        <f>K72/'Population &amp; Income'!K71</f>
        <v>6973.9081821094787</v>
      </c>
      <c r="AJ72" s="319">
        <f>L72/'Population &amp; Income'!L71</f>
        <v>7168.3088277115512</v>
      </c>
      <c r="AK72" s="319">
        <f>M72/'Population &amp; Income'!M71</f>
        <v>7476.0589966645148</v>
      </c>
      <c r="AL72" s="319">
        <f>N72/'Population &amp; Income'!N71</f>
        <v>8003.4184098484029</v>
      </c>
      <c r="AM72" s="319">
        <f>O72/'Population &amp; Income'!O71</f>
        <v>8681.1209604184642</v>
      </c>
      <c r="AN72" s="319">
        <f>P72/'Population &amp; Income'!P71</f>
        <v>7886.1420550687008</v>
      </c>
      <c r="AO72" s="319">
        <f>Q72/'Population &amp; Income'!Q71</f>
        <v>7955.9241454662306</v>
      </c>
      <c r="AP72" s="319">
        <f>R72/'Population &amp; Income'!R71</f>
        <v>8227.0142149205494</v>
      </c>
      <c r="AQ72" s="319">
        <f>S72/'Population &amp; Income'!S71</f>
        <v>8338.9108886389204</v>
      </c>
      <c r="AR72" s="697">
        <f>T72/'Population &amp; Income'!T71</f>
        <v>8815.3156654939103</v>
      </c>
      <c r="AS72" s="697">
        <f>U72/'Population &amp; Income'!U71</f>
        <v>9059.5114029639317</v>
      </c>
      <c r="AT72" s="697">
        <f>V72/'Population &amp; Income'!V71</f>
        <v>9147.9964291137858</v>
      </c>
      <c r="AU72" s="697">
        <f>W72/'Population &amp; Income'!W71</f>
        <v>9067.9713874077661</v>
      </c>
      <c r="AV72" s="690"/>
      <c r="AW72" s="486"/>
      <c r="AX72" s="13" t="s">
        <v>62</v>
      </c>
      <c r="AY72" s="40">
        <f t="shared" si="42"/>
        <v>0.10056517019122385</v>
      </c>
      <c r="AZ72" s="40">
        <f t="shared" si="43"/>
        <v>-5.6613752244285154E-3</v>
      </c>
      <c r="BA72" s="40">
        <f t="shared" si="44"/>
        <v>-3.0280072885037871E-2</v>
      </c>
      <c r="BB72" s="40">
        <f t="shared" si="45"/>
        <v>8.4803426063448609E-2</v>
      </c>
      <c r="BC72" s="40">
        <f t="shared" si="46"/>
        <v>4.3832733391249747E-2</v>
      </c>
      <c r="BD72" s="40">
        <f t="shared" si="47"/>
        <v>1.076813817958535E-2</v>
      </c>
      <c r="BE72" s="40">
        <f t="shared" si="48"/>
        <v>2.8695401426013397E-2</v>
      </c>
      <c r="BF72" s="40">
        <f t="shared" si="49"/>
        <v>2.2326867080744769E-2</v>
      </c>
      <c r="BG72" s="40">
        <f t="shared" si="50"/>
        <v>4.378359485772737E-2</v>
      </c>
      <c r="BH72" s="40">
        <f t="shared" si="51"/>
        <v>2.6887345882033727E-2</v>
      </c>
      <c r="BI72" s="40">
        <f t="shared" si="52"/>
        <v>3.6297689796685219E-2</v>
      </c>
      <c r="BJ72" s="40">
        <f t="shared" si="53"/>
        <v>7.1346063588594202E-2</v>
      </c>
      <c r="BK72" s="40">
        <f t="shared" si="54"/>
        <v>8.1294675046848758E-2</v>
      </c>
      <c r="BL72" s="40">
        <f t="shared" si="55"/>
        <v>-9.4416880761624189E-2</v>
      </c>
      <c r="BM72" s="40">
        <f t="shared" si="56"/>
        <v>1.8944825416409392E-2</v>
      </c>
      <c r="BN72" s="40">
        <f t="shared" si="57"/>
        <v>2.8203288536804441E-2</v>
      </c>
      <c r="BO72" s="40">
        <f t="shared" si="58"/>
        <v>1.9279259863501551E-2</v>
      </c>
      <c r="BP72" s="691">
        <f t="shared" si="59"/>
        <v>4.6145104105477494E-2</v>
      </c>
      <c r="BQ72" s="691">
        <f t="shared" si="60"/>
        <v>2.0970486073623507E-2</v>
      </c>
      <c r="BR72" s="691">
        <f t="shared" si="61"/>
        <v>1.4388445568085743E-2</v>
      </c>
      <c r="BS72" s="691">
        <f t="shared" si="62"/>
        <v>-1.8126047059679406E-3</v>
      </c>
      <c r="BT72" s="40"/>
      <c r="BV72" s="13" t="s">
        <v>62</v>
      </c>
      <c r="BW72" s="40">
        <f t="shared" si="63"/>
        <v>0.10056517019122385</v>
      </c>
      <c r="BX72" s="40">
        <f t="shared" si="64"/>
        <v>9.4334457803834301E-2</v>
      </c>
      <c r="BY72" s="40">
        <f t="shared" si="65"/>
        <v>6.1197930660925798E-2</v>
      </c>
      <c r="BZ72" s="40">
        <f t="shared" si="66"/>
        <v>0.15119115091241428</v>
      </c>
      <c r="CA72" s="40">
        <f t="shared" si="67"/>
        <v>0.2016510057127241</v>
      </c>
      <c r="CB72" s="40">
        <f t="shared" si="68"/>
        <v>0.21459054978587641</v>
      </c>
      <c r="CC72" s="40">
        <f t="shared" si="69"/>
        <v>0.24944371318022443</v>
      </c>
      <c r="CD72" s="40">
        <f t="shared" si="70"/>
        <v>0.27733987688927147</v>
      </c>
      <c r="CE72" s="40">
        <f t="shared" si="71"/>
        <v>0.3332664085546107</v>
      </c>
      <c r="CF72" s="40">
        <f t="shared" si="72"/>
        <v>0.36911440363431541</v>
      </c>
      <c r="CG72" s="40">
        <f t="shared" si="73"/>
        <v>0.41881009355360749</v>
      </c>
      <c r="CH72" s="40">
        <f t="shared" si="74"/>
        <v>0.5200366087084225</v>
      </c>
      <c r="CI72" s="40">
        <f t="shared" si="75"/>
        <v>0.64360749087268765</v>
      </c>
      <c r="CJ72" s="40">
        <f t="shared" si="76"/>
        <v>0.48842319838804876</v>
      </c>
      <c r="CK72" s="40">
        <f t="shared" si="77"/>
        <v>0.51662111602724403</v>
      </c>
      <c r="CL72" s="40">
        <f t="shared" si="78"/>
        <v>0.55939481896357079</v>
      </c>
      <c r="CM72" s="40">
        <f t="shared" si="79"/>
        <v>0.58945879690816738</v>
      </c>
      <c r="CN72" s="691">
        <f t="shared" si="80"/>
        <v>0.66280453856286181</v>
      </c>
      <c r="CO72" s="691">
        <f t="shared" si="81"/>
        <v>0.69767435798195232</v>
      </c>
      <c r="CP72" s="691">
        <f t="shared" si="82"/>
        <v>0.72210125307411055</v>
      </c>
      <c r="CQ72" s="691">
        <f t="shared" si="83"/>
        <v>0.71897976423863508</v>
      </c>
    </row>
    <row r="73" spans="1:95">
      <c r="A73" s="13" t="s">
        <v>63</v>
      </c>
      <c r="B73" s="319">
        <v>139761606.09999999</v>
      </c>
      <c r="C73" s="319">
        <v>145548531.90000001</v>
      </c>
      <c r="D73" s="319">
        <v>156095228.30000001</v>
      </c>
      <c r="E73" s="319">
        <v>171322053.55000001</v>
      </c>
      <c r="F73" s="319">
        <v>181276585.77000001</v>
      </c>
      <c r="G73" s="319">
        <v>189603847.58000001</v>
      </c>
      <c r="H73" s="319">
        <v>197496051</v>
      </c>
      <c r="I73" s="319">
        <v>213441643.27000001</v>
      </c>
      <c r="J73" s="319">
        <v>223889437.72999999</v>
      </c>
      <c r="K73" s="319">
        <v>231209370.69</v>
      </c>
      <c r="L73" s="319">
        <v>240845430.97</v>
      </c>
      <c r="M73" s="319">
        <v>242378029.87</v>
      </c>
      <c r="N73" s="319">
        <v>242326780.16</v>
      </c>
      <c r="O73" s="319">
        <v>237237352.27000001</v>
      </c>
      <c r="P73" s="319">
        <v>233991873.30000001</v>
      </c>
      <c r="Q73" s="319">
        <v>234120864.11000001</v>
      </c>
      <c r="R73" s="319">
        <v>236336136.46000001</v>
      </c>
      <c r="S73" s="319">
        <v>245394137.94</v>
      </c>
      <c r="T73" s="677">
        <v>256711062.11000001</v>
      </c>
      <c r="U73" s="677">
        <v>267006208.50999999</v>
      </c>
      <c r="V73" s="678">
        <v>278828512.35000002</v>
      </c>
      <c r="W73" s="809">
        <v>288025093.19</v>
      </c>
      <c r="X73" s="810"/>
      <c r="Y73" s="13" t="s">
        <v>63</v>
      </c>
      <c r="Z73" s="319">
        <f>B73/'Population &amp; Income'!B72</f>
        <v>5421.3190884406513</v>
      </c>
      <c r="AA73" s="319">
        <f>C73/'Population &amp; Income'!C72</f>
        <v>5576.7857734012796</v>
      </c>
      <c r="AB73" s="319">
        <f>D73/'Population &amp; Income'!D72</f>
        <v>5910.6830360861832</v>
      </c>
      <c r="AC73" s="319">
        <f>E73/'Population &amp; Income'!E72</f>
        <v>6414.8745104279778</v>
      </c>
      <c r="AD73" s="319">
        <f>F73/'Population &amp; Income'!F72</f>
        <v>6714.1962950479656</v>
      </c>
      <c r="AE73" s="319">
        <f>G73/'Population &amp; Income'!G72</f>
        <v>6914.5489799788484</v>
      </c>
      <c r="AF73" s="319">
        <f>H73/'Population &amp; Income'!H72</f>
        <v>7097.5365126141023</v>
      </c>
      <c r="AG73" s="319">
        <f>I73/'Population &amp; Income'!I72</f>
        <v>7530.1338250132303</v>
      </c>
      <c r="AH73" s="319">
        <f>J73/'Population &amp; Income'!J72</f>
        <v>7803.7447797141858</v>
      </c>
      <c r="AI73" s="319">
        <f>K73/'Population &amp; Income'!K72</f>
        <v>7888.9508219598747</v>
      </c>
      <c r="AJ73" s="319">
        <f>L73/'Population &amp; Income'!L72</f>
        <v>8014.022925165541</v>
      </c>
      <c r="AK73" s="319">
        <f>M73/'Population &amp; Income'!M72</f>
        <v>7927.0679575484037</v>
      </c>
      <c r="AL73" s="319">
        <f>N73/'Population &amp; Income'!N72</f>
        <v>7870.3078973692755</v>
      </c>
      <c r="AM73" s="319">
        <f>O73/'Population &amp; Income'!O72</f>
        <v>7631.8916606080111</v>
      </c>
      <c r="AN73" s="319">
        <f>P73/'Population &amp; Income'!P72</f>
        <v>7514.9138741689958</v>
      </c>
      <c r="AO73" s="319">
        <f>Q73/'Population &amp; Income'!Q72</f>
        <v>7516.6425052171962</v>
      </c>
      <c r="AP73" s="319">
        <f>R73/'Population &amp; Income'!R72</f>
        <v>7619.5678647193481</v>
      </c>
      <c r="AQ73" s="319">
        <f>S73/'Population &amp; Income'!S72</f>
        <v>7922.5846819913477</v>
      </c>
      <c r="AR73" s="697">
        <f>T73/'Population &amp; Income'!T72</f>
        <v>8274.329157453667</v>
      </c>
      <c r="AS73" s="697">
        <f>U73/'Population &amp; Income'!U72</f>
        <v>8562.5567940865203</v>
      </c>
      <c r="AT73" s="697">
        <f>V73/'Population &amp; Income'!V72</f>
        <v>8912.5303611954623</v>
      </c>
      <c r="AU73" s="697">
        <f>W73/'Population &amp; Income'!W72</f>
        <v>9059.1021321633016</v>
      </c>
      <c r="AV73" s="690"/>
      <c r="AW73" s="486"/>
      <c r="AX73" s="13" t="s">
        <v>63</v>
      </c>
      <c r="AY73" s="40">
        <f t="shared" si="42"/>
        <v>4.1405690457359534E-2</v>
      </c>
      <c r="AZ73" s="40">
        <f t="shared" si="43"/>
        <v>7.2461716118484634E-2</v>
      </c>
      <c r="BA73" s="40">
        <f t="shared" si="44"/>
        <v>9.7548306990752509E-2</v>
      </c>
      <c r="BB73" s="40">
        <f t="shared" si="45"/>
        <v>5.8104207915618919E-2</v>
      </c>
      <c r="BC73" s="40">
        <f t="shared" si="46"/>
        <v>4.5936775423194812E-2</v>
      </c>
      <c r="BD73" s="40">
        <f t="shared" si="47"/>
        <v>4.1624700768110784E-2</v>
      </c>
      <c r="BE73" s="40">
        <f t="shared" si="48"/>
        <v>8.0738790417637318E-2</v>
      </c>
      <c r="BF73" s="40">
        <f t="shared" si="49"/>
        <v>4.8949184891645993E-2</v>
      </c>
      <c r="BG73" s="40">
        <f t="shared" si="50"/>
        <v>3.2694409500583492E-2</v>
      </c>
      <c r="BH73" s="40">
        <f t="shared" si="51"/>
        <v>4.167677223134611E-2</v>
      </c>
      <c r="BI73" s="40">
        <f t="shared" si="52"/>
        <v>6.3634128072411235E-3</v>
      </c>
      <c r="BJ73" s="40">
        <f t="shared" si="53"/>
        <v>-2.1144536089965019E-4</v>
      </c>
      <c r="BK73" s="40">
        <f t="shared" si="54"/>
        <v>-2.100233365309279E-2</v>
      </c>
      <c r="BL73" s="40">
        <f t="shared" si="55"/>
        <v>-1.3680303455361096E-2</v>
      </c>
      <c r="BM73" s="40">
        <f t="shared" si="56"/>
        <v>5.5126192282166906E-4</v>
      </c>
      <c r="BN73" s="40">
        <f t="shared" si="57"/>
        <v>9.4620885602026659E-3</v>
      </c>
      <c r="BO73" s="40">
        <f t="shared" si="58"/>
        <v>3.8326773110861356E-2</v>
      </c>
      <c r="BP73" s="691">
        <f t="shared" si="59"/>
        <v>4.6117337052146927E-2</v>
      </c>
      <c r="BQ73" s="691">
        <f t="shared" si="60"/>
        <v>4.0104023236788029E-2</v>
      </c>
      <c r="BR73" s="691">
        <f t="shared" si="61"/>
        <v>4.4277261963207352E-2</v>
      </c>
      <c r="BS73" s="691">
        <f t="shared" si="62"/>
        <v>3.2982928332867006E-2</v>
      </c>
      <c r="BT73" s="40"/>
      <c r="BV73" s="13" t="s">
        <v>63</v>
      </c>
      <c r="BW73" s="40">
        <f t="shared" si="63"/>
        <v>4.1405690457359534E-2</v>
      </c>
      <c r="BX73" s="40">
        <f t="shared" si="64"/>
        <v>0.11686773396345521</v>
      </c>
      <c r="BY73" s="40">
        <f t="shared" si="65"/>
        <v>0.22581629054418845</v>
      </c>
      <c r="BZ73" s="40">
        <f t="shared" si="66"/>
        <v>0.29704137515632068</v>
      </c>
      <c r="CA73" s="40">
        <f t="shared" si="67"/>
        <v>0.35662327352146839</v>
      </c>
      <c r="CB73" s="40">
        <f t="shared" si="68"/>
        <v>0.41309231133685442</v>
      </c>
      <c r="CC73" s="40">
        <f t="shared" si="69"/>
        <v>0.52718367530265542</v>
      </c>
      <c r="CD73" s="40">
        <f t="shared" si="70"/>
        <v>0.60193807138854849</v>
      </c>
      <c r="CE73" s="40">
        <f t="shared" si="71"/>
        <v>0.65431249068910069</v>
      </c>
      <c r="CF73" s="40">
        <f t="shared" si="72"/>
        <v>0.72325889556302125</v>
      </c>
      <c r="CG73" s="40">
        <f t="shared" si="73"/>
        <v>0.73422470328923917</v>
      </c>
      <c r="CH73" s="40">
        <f t="shared" si="74"/>
        <v>0.73385800952097102</v>
      </c>
      <c r="CI73" s="40">
        <f t="shared" si="75"/>
        <v>0.69744294509792426</v>
      </c>
      <c r="CJ73" s="40">
        <f t="shared" si="76"/>
        <v>0.67422141051082285</v>
      </c>
      <c r="CK73" s="40">
        <f t="shared" si="77"/>
        <v>0.67514434502481024</v>
      </c>
      <c r="CL73" s="40">
        <f t="shared" si="78"/>
        <v>0.69099470916855765</v>
      </c>
      <c r="CM73" s="40">
        <f t="shared" si="79"/>
        <v>0.75580507971852795</v>
      </c>
      <c r="CN73" s="691">
        <f t="shared" si="80"/>
        <v>0.83677813437777904</v>
      </c>
      <c r="CO73" s="691">
        <f t="shared" si="81"/>
        <v>0.91044032735968972</v>
      </c>
      <c r="CP73" s="691">
        <f t="shared" si="82"/>
        <v>0.99502939419927028</v>
      </c>
      <c r="CQ73" s="691">
        <f t="shared" si="83"/>
        <v>1.060831305730108</v>
      </c>
    </row>
    <row r="74" spans="1:95">
      <c r="A74" s="13" t="s">
        <v>64</v>
      </c>
      <c r="B74" s="319">
        <v>142589006.80000001</v>
      </c>
      <c r="C74" s="319">
        <v>152152888.90000001</v>
      </c>
      <c r="D74" s="319">
        <v>164632986.30000001</v>
      </c>
      <c r="E74" s="319">
        <v>179240288.62</v>
      </c>
      <c r="F74" s="319">
        <v>189013447.97999999</v>
      </c>
      <c r="G74" s="319">
        <v>203267360.84</v>
      </c>
      <c r="H74" s="319">
        <v>226819060.81999999</v>
      </c>
      <c r="I74" s="319">
        <v>252037557.31</v>
      </c>
      <c r="J74" s="319">
        <v>270454647.99000001</v>
      </c>
      <c r="K74" s="319">
        <v>287057775.92000002</v>
      </c>
      <c r="L74" s="319">
        <v>309403094.30000001</v>
      </c>
      <c r="M74" s="319">
        <v>321011937.13999999</v>
      </c>
      <c r="N74" s="319">
        <v>337200620.94</v>
      </c>
      <c r="O74" s="319">
        <v>366733389.26999998</v>
      </c>
      <c r="P74" s="319">
        <v>366189482.25</v>
      </c>
      <c r="Q74" s="319">
        <v>366156821.68000001</v>
      </c>
      <c r="R74" s="319">
        <v>375862284.47000003</v>
      </c>
      <c r="S74" s="319">
        <v>369921553</v>
      </c>
      <c r="T74" s="677">
        <v>374565125.64999998</v>
      </c>
      <c r="U74" s="677">
        <v>378879897.62</v>
      </c>
      <c r="V74" s="678">
        <v>387847585.75999999</v>
      </c>
      <c r="W74" s="809">
        <v>390730188.41000003</v>
      </c>
      <c r="X74" s="810"/>
      <c r="Y74" s="13" t="s">
        <v>64</v>
      </c>
      <c r="Z74" s="319">
        <f>B74/'Population &amp; Income'!B73</f>
        <v>3790.4462438194482</v>
      </c>
      <c r="AA74" s="319">
        <f>C74/'Population &amp; Income'!C73</f>
        <v>3965.9295946826537</v>
      </c>
      <c r="AB74" s="319">
        <f>D74/'Population &amp; Income'!D73</f>
        <v>4119.8415029653916</v>
      </c>
      <c r="AC74" s="319">
        <f>E74/'Population &amp; Income'!E73</f>
        <v>4599.7969723099031</v>
      </c>
      <c r="AD74" s="319">
        <f>F74/'Population &amp; Income'!F73</f>
        <v>4504.9323826775026</v>
      </c>
      <c r="AE74" s="319">
        <f>G74/'Population &amp; Income'!G73</f>
        <v>4666.5907718444378</v>
      </c>
      <c r="AF74" s="319">
        <f>H74/'Population &amp; Income'!H73</f>
        <v>5093.0517754575048</v>
      </c>
      <c r="AG74" s="319">
        <f>I74/'Population &amp; Income'!I73</f>
        <v>5662.8745435549463</v>
      </c>
      <c r="AH74" s="319">
        <f>J74/'Population &amp; Income'!J73</f>
        <v>5970.1694883115169</v>
      </c>
      <c r="AI74" s="319">
        <f>K74/'Population &amp; Income'!K73</f>
        <v>6299.2709220978713</v>
      </c>
      <c r="AJ74" s="319">
        <f>L74/'Population &amp; Income'!L73</f>
        <v>6656.406658491459</v>
      </c>
      <c r="AK74" s="319">
        <f>M74/'Population &amp; Income'!M73</f>
        <v>6778.5530574149543</v>
      </c>
      <c r="AL74" s="319">
        <f>N74/'Population &amp; Income'!N73</f>
        <v>6981.37931552795</v>
      </c>
      <c r="AM74" s="319">
        <f>O74/'Population &amp; Income'!O73</f>
        <v>7243.4009336361833</v>
      </c>
      <c r="AN74" s="319">
        <f>P74/'Population &amp; Income'!P73</f>
        <v>6931.8621585552846</v>
      </c>
      <c r="AO74" s="319">
        <f>Q74/'Population &amp; Income'!Q73</f>
        <v>6897.9469816510309</v>
      </c>
      <c r="AP74" s="319">
        <f>R74/'Population &amp; Income'!R73</f>
        <v>7057.2538814097152</v>
      </c>
      <c r="AQ74" s="319">
        <f>S74/'Population &amp; Income'!S73</f>
        <v>6882.5175448388782</v>
      </c>
      <c r="AR74" s="697">
        <f>T74/'Population &amp; Income'!T73</f>
        <v>7000.563043640781</v>
      </c>
      <c r="AS74" s="697">
        <f>U74/'Population &amp; Income'!U73</f>
        <v>7127.6976751448565</v>
      </c>
      <c r="AT74" s="697">
        <f>V74/'Population &amp; Income'!V73</f>
        <v>7365.9662278269452</v>
      </c>
      <c r="AU74" s="697">
        <f>W74/'Population &amp; Income'!W73</f>
        <v>7505.5261993123195</v>
      </c>
      <c r="AV74" s="690"/>
      <c r="AW74" s="486"/>
      <c r="AX74" s="13" t="s">
        <v>64</v>
      </c>
      <c r="AY74" s="40">
        <f t="shared" ref="AY74:AY98" si="84">(C74-B74)/B74</f>
        <v>6.7073067655310945E-2</v>
      </c>
      <c r="AZ74" s="40">
        <f t="shared" ref="AZ74:AZ98" si="85">(D74-C74)/C74</f>
        <v>8.2023400871490154E-2</v>
      </c>
      <c r="BA74" s="40">
        <f t="shared" ref="BA74:BA98" si="86">(E74-D74)/D74</f>
        <v>8.8726461496495324E-2</v>
      </c>
      <c r="BB74" s="40">
        <f t="shared" ref="BB74:BB98" si="87">(F74-E74)/E74</f>
        <v>5.4525460962181665E-2</v>
      </c>
      <c r="BC74" s="40">
        <f t="shared" ref="BC74:BC98" si="88">(G74-F74)/F74</f>
        <v>7.5412162533050345E-2</v>
      </c>
      <c r="BD74" s="40">
        <f t="shared" ref="BD74:BD98" si="89">(H74-G74)/G74</f>
        <v>0.11586562585686587</v>
      </c>
      <c r="BE74" s="40">
        <f t="shared" ref="BE74:BE98" si="90">(I74-H74)/H74</f>
        <v>0.1111833211848673</v>
      </c>
      <c r="BF74" s="40">
        <f t="shared" ref="BF74:BF98" si="91">(J74-I74)/I74</f>
        <v>7.3072802627377628E-2</v>
      </c>
      <c r="BG74" s="40">
        <f t="shared" ref="BG74:BG98" si="92">(K74-J74)/J74</f>
        <v>6.138969344174075E-2</v>
      </c>
      <c r="BH74" s="40">
        <f t="shared" ref="BH74:BH98" si="93">(L74-K74)/K74</f>
        <v>7.7842581718557596E-2</v>
      </c>
      <c r="BI74" s="40">
        <f t="shared" ref="BI74:BI98" si="94">(M74-L74)/L74</f>
        <v>3.7520125214856238E-2</v>
      </c>
      <c r="BJ74" s="40">
        <f t="shared" ref="BJ74:BJ98" si="95">(N74-M74)/M74</f>
        <v>5.0430161395960148E-2</v>
      </c>
      <c r="BK74" s="40">
        <f t="shared" ref="BK74:BK98" si="96">(O74-N74)/N74</f>
        <v>8.758218845408032E-2</v>
      </c>
      <c r="BL74" s="40">
        <f t="shared" ref="BL74:BL98" si="97">(P74-O74)/O74</f>
        <v>-1.4831128986718481E-3</v>
      </c>
      <c r="BM74" s="40">
        <f t="shared" ref="BM74:BM98" si="98">(Q74-P74)/P74</f>
        <v>-8.9190355220785015E-5</v>
      </c>
      <c r="BN74" s="40">
        <f t="shared" ref="BN74:BN98" si="99">(R74-Q74)/Q74</f>
        <v>2.6506300621327868E-2</v>
      </c>
      <c r="BO74" s="40">
        <f t="shared" ref="BO74:BO98" si="100">(S74-R74)/R74</f>
        <v>-1.5805606775303353E-2</v>
      </c>
      <c r="BP74" s="691">
        <f t="shared" ref="BP74:BP98" si="101">(T74-S74)/S74</f>
        <v>1.255285779469026E-2</v>
      </c>
      <c r="BQ74" s="691">
        <f t="shared" ref="BQ74:BQ98" si="102">(U74-T74)/T74</f>
        <v>1.1519417250905052E-2</v>
      </c>
      <c r="BR74" s="691">
        <f t="shared" ref="BR74:BR98" si="103">(V74-U74)/U74</f>
        <v>2.3668946799057112E-2</v>
      </c>
      <c r="BS74" s="691">
        <f t="shared" ref="BS74:BS98" si="104">(W74-V74)/V74</f>
        <v>7.4323078338917126E-3</v>
      </c>
      <c r="BT74" s="40"/>
      <c r="BV74" s="13" t="s">
        <v>64</v>
      </c>
      <c r="BW74" s="40">
        <f t="shared" ref="BW74:BW98" si="105">(C74-$B74)/$B74</f>
        <v>6.7073067655310945E-2</v>
      </c>
      <c r="BX74" s="40">
        <f t="shared" ref="BX74:BX98" si="106">(D74-$B74)/$B74</f>
        <v>0.15459802964277325</v>
      </c>
      <c r="BY74" s="40">
        <f t="shared" ref="BY74:BY98" si="107">(E74-$B74)/$B74</f>
        <v>0.25704142726380214</v>
      </c>
      <c r="BZ74" s="40">
        <f t="shared" ref="BZ74:BZ98" si="108">(F74-$B74)/$B74</f>
        <v>0.32558219053391974</v>
      </c>
      <c r="CA74" s="40">
        <f t="shared" ref="CA74:CA98" si="109">(G74-$B74)/$B74</f>
        <v>0.42554721013738056</v>
      </c>
      <c r="CB74" s="40">
        <f t="shared" ref="CB74:CB98" si="110">(H74-$B74)/$B74</f>
        <v>0.5907191298284572</v>
      </c>
      <c r="CC74" s="40">
        <f t="shared" ref="CC74:CC98" si="111">(I74-$B74)/$B74</f>
        <v>0.76758056575508726</v>
      </c>
      <c r="CD74" s="40">
        <f t="shared" ref="CD74:CD98" si="112">(J74-$B74)/$B74</f>
        <v>0.89674263156449718</v>
      </c>
      <c r="CE74" s="40">
        <f t="shared" ref="CE74:CE98" si="113">(K74-$B74)/$B74</f>
        <v>1.0131830802541224</v>
      </c>
      <c r="CF74" s="40">
        <f t="shared" ref="CF74:CF98" si="114">(L74-$B74)/$B74</f>
        <v>1.1698944486932212</v>
      </c>
      <c r="CG74" s="40">
        <f t="shared" ref="CG74:CG98" si="115">(M74-$B74)/$B74</f>
        <v>1.2513091601112125</v>
      </c>
      <c r="CH74" s="40">
        <f t="shared" ref="CH74:CH98" si="116">(N74-$B74)/$B74</f>
        <v>1.3648430444078243</v>
      </c>
      <c r="CI74" s="40">
        <f t="shared" ref="CI74:CI98" si="117">(O74-$B74)/$B74</f>
        <v>1.5719611735874714</v>
      </c>
      <c r="CJ74" s="40">
        <f t="shared" ref="CJ74:CJ98" si="118">(P74-$B74)/$B74</f>
        <v>1.5681466647960407</v>
      </c>
      <c r="CK74" s="40">
        <f t="shared" ref="CK74:CK98" si="119">(Q74-$B74)/$B74</f>
        <v>1.5679176108827484</v>
      </c>
      <c r="CL74" s="40">
        <f t="shared" ref="CL74:CL98" si="120">(R74-$B74)/$B74</f>
        <v>1.6359836070476086</v>
      </c>
      <c r="CM74" s="40">
        <f t="shared" ref="CM74:CM98" si="121">(S74-$B74)/$B74</f>
        <v>1.5943202866884685</v>
      </c>
      <c r="CN74" s="691">
        <f t="shared" ref="CN74:CN98" si="122">(T74-$B74)/$B74</f>
        <v>1.6268864203211488</v>
      </c>
      <c r="CO74" s="691">
        <f t="shared" ref="CO74:CO98" si="123">(U74-$B74)/$B74</f>
        <v>1.6571466210675645</v>
      </c>
      <c r="CP74" s="691">
        <f t="shared" ref="CP74:CP98" si="124">(V74-$B74)/$B74</f>
        <v>1.7200384830789071</v>
      </c>
      <c r="CQ74" s="691">
        <f t="shared" ref="CQ74:CQ98" si="125">(W74-$B74)/$B74</f>
        <v>1.7402546464051813</v>
      </c>
    </row>
    <row r="75" spans="1:95">
      <c r="A75" s="13" t="s">
        <v>65</v>
      </c>
      <c r="B75" s="319">
        <v>18793179.43</v>
      </c>
      <c r="C75" s="319">
        <v>19183174.219999999</v>
      </c>
      <c r="D75" s="319">
        <v>19808580.940000001</v>
      </c>
      <c r="E75" s="319">
        <v>20617976.98</v>
      </c>
      <c r="F75" s="319">
        <v>21617056.379999999</v>
      </c>
      <c r="G75" s="319">
        <v>22908277.879999999</v>
      </c>
      <c r="H75" s="319">
        <v>23755876.309999999</v>
      </c>
      <c r="I75" s="319">
        <v>23835035.190000001</v>
      </c>
      <c r="J75" s="319">
        <v>26687922.32</v>
      </c>
      <c r="K75" s="319">
        <v>26415778.73</v>
      </c>
      <c r="L75" s="319">
        <v>29338223.640000001</v>
      </c>
      <c r="M75" s="319">
        <v>29844505.989999998</v>
      </c>
      <c r="N75" s="319">
        <v>31178648.140000001</v>
      </c>
      <c r="O75" s="319">
        <v>29707703.41</v>
      </c>
      <c r="P75" s="319">
        <v>30468091.890000001</v>
      </c>
      <c r="Q75" s="319">
        <v>32602937.48</v>
      </c>
      <c r="R75" s="319">
        <v>31682140.850000001</v>
      </c>
      <c r="S75" s="319">
        <v>33786705.479999997</v>
      </c>
      <c r="T75" s="677">
        <v>38174971.810000002</v>
      </c>
      <c r="U75" s="677">
        <v>37623242.409999996</v>
      </c>
      <c r="V75" s="678">
        <v>38378191.950000003</v>
      </c>
      <c r="W75" s="809">
        <v>38633174.939999998</v>
      </c>
      <c r="X75" s="810"/>
      <c r="Y75" s="13" t="s">
        <v>65</v>
      </c>
      <c r="Z75" s="319">
        <f>B75/'Population &amp; Income'!B74</f>
        <v>3601.6058700651588</v>
      </c>
      <c r="AA75" s="319">
        <f>C75/'Population &amp; Income'!C74</f>
        <v>3725.6116177898621</v>
      </c>
      <c r="AB75" s="319">
        <f>D75/'Population &amp; Income'!D74</f>
        <v>3868.8634648437501</v>
      </c>
      <c r="AC75" s="319">
        <f>E75/'Population &amp; Income'!E74</f>
        <v>4001.1599029691442</v>
      </c>
      <c r="AD75" s="319">
        <f>F75/'Population &amp; Income'!F74</f>
        <v>4132.4902274899632</v>
      </c>
      <c r="AE75" s="319">
        <f>G75/'Population &amp; Income'!G74</f>
        <v>4402.8979204305206</v>
      </c>
      <c r="AF75" s="319">
        <f>H75/'Population &amp; Income'!H74</f>
        <v>4586.0765077220076</v>
      </c>
      <c r="AG75" s="319">
        <f>I75/'Population &amp; Income'!I74</f>
        <v>4618.2978473164121</v>
      </c>
      <c r="AH75" s="319">
        <f>J75/'Population &amp; Income'!J74</f>
        <v>5201.3101383745861</v>
      </c>
      <c r="AI75" s="319">
        <f>K75/'Population &amp; Income'!K74</f>
        <v>5126.2912342324862</v>
      </c>
      <c r="AJ75" s="319">
        <f>L75/'Population &amp; Income'!L74</f>
        <v>5677.9995432552741</v>
      </c>
      <c r="AK75" s="319">
        <f>M75/'Population &amp; Income'!M74</f>
        <v>5913.3160273429758</v>
      </c>
      <c r="AL75" s="319">
        <f>N75/'Population &amp; Income'!N74</f>
        <v>6201.004005568815</v>
      </c>
      <c r="AM75" s="319">
        <f>O75/'Population &amp; Income'!O74</f>
        <v>5955.8346852445875</v>
      </c>
      <c r="AN75" s="319">
        <f>P75/'Population &amp; Income'!P74</f>
        <v>6129.1675497887754</v>
      </c>
      <c r="AO75" s="319">
        <f>Q75/'Population &amp; Income'!Q74</f>
        <v>6570.5234744054815</v>
      </c>
      <c r="AP75" s="319">
        <f>R75/'Population &amp; Income'!R74</f>
        <v>6425.0944737375785</v>
      </c>
      <c r="AQ75" s="319">
        <f>S75/'Population &amp; Income'!S74</f>
        <v>6930.6062523076916</v>
      </c>
      <c r="AR75" s="697">
        <f>T75/'Population &amp; Income'!T74</f>
        <v>7880.8777477291496</v>
      </c>
      <c r="AS75" s="697">
        <f>U75/'Population &amp; Income'!U74</f>
        <v>7736.6322044005747</v>
      </c>
      <c r="AT75" s="697">
        <f>V75/'Population &amp; Income'!V74</f>
        <v>7908.1376365134975</v>
      </c>
      <c r="AU75" s="697">
        <f>W75/'Population &amp; Income'!W74</f>
        <v>8030.1756266888378</v>
      </c>
      <c r="AV75" s="690"/>
      <c r="AW75" s="486"/>
      <c r="AX75" s="13" t="s">
        <v>65</v>
      </c>
      <c r="AY75" s="40">
        <f t="shared" si="84"/>
        <v>2.0751932447228227E-2</v>
      </c>
      <c r="AZ75" s="40">
        <f t="shared" si="85"/>
        <v>3.2601837048842827E-2</v>
      </c>
      <c r="BA75" s="40">
        <f t="shared" si="86"/>
        <v>4.0860879557786188E-2</v>
      </c>
      <c r="BB75" s="40">
        <f t="shared" si="87"/>
        <v>4.8456713331726617E-2</v>
      </c>
      <c r="BC75" s="40">
        <f t="shared" si="88"/>
        <v>5.9731606251193024E-2</v>
      </c>
      <c r="BD75" s="40">
        <f t="shared" si="89"/>
        <v>3.6999657261011003E-2</v>
      </c>
      <c r="BE75" s="40">
        <f t="shared" si="90"/>
        <v>3.3321810135322552E-3</v>
      </c>
      <c r="BF75" s="40">
        <f t="shared" si="91"/>
        <v>0.11969301103431679</v>
      </c>
      <c r="BG75" s="40">
        <f t="shared" si="92"/>
        <v>-1.0197256524388739E-2</v>
      </c>
      <c r="BH75" s="40">
        <f t="shared" si="93"/>
        <v>0.11063254806420011</v>
      </c>
      <c r="BI75" s="40">
        <f t="shared" si="94"/>
        <v>1.7256748609337336E-2</v>
      </c>
      <c r="BJ75" s="40">
        <f t="shared" si="95"/>
        <v>4.4703107179828457E-2</v>
      </c>
      <c r="BK75" s="40">
        <f t="shared" si="96"/>
        <v>-4.717795086544764E-2</v>
      </c>
      <c r="BL75" s="40">
        <f t="shared" si="97"/>
        <v>2.5595666871510631E-2</v>
      </c>
      <c r="BM75" s="40">
        <f t="shared" si="98"/>
        <v>7.0068240495909831E-2</v>
      </c>
      <c r="BN75" s="40">
        <f t="shared" si="99"/>
        <v>-2.8242750536354399E-2</v>
      </c>
      <c r="BO75" s="40">
        <f t="shared" si="100"/>
        <v>6.6427475338996705E-2</v>
      </c>
      <c r="BP75" s="691">
        <f t="shared" si="101"/>
        <v>0.12988145093334522</v>
      </c>
      <c r="BQ75" s="691">
        <f t="shared" si="102"/>
        <v>-1.4452647214672716E-2</v>
      </c>
      <c r="BR75" s="691">
        <f t="shared" si="103"/>
        <v>2.00660414052816E-2</v>
      </c>
      <c r="BS75" s="691">
        <f t="shared" si="104"/>
        <v>6.6439552528215077E-3</v>
      </c>
      <c r="BT75" s="40"/>
      <c r="BV75" s="13" t="s">
        <v>65</v>
      </c>
      <c r="BW75" s="40">
        <f t="shared" si="105"/>
        <v>2.0751932447228227E-2</v>
      </c>
      <c r="BX75" s="40">
        <f t="shared" si="106"/>
        <v>5.4030320616164182E-2</v>
      </c>
      <c r="BY75" s="40">
        <f t="shared" si="107"/>
        <v>9.7098926597116025E-2</v>
      </c>
      <c r="BZ75" s="40">
        <f t="shared" si="108"/>
        <v>0.15026073477977744</v>
      </c>
      <c r="CA75" s="40">
        <f t="shared" si="109"/>
        <v>0.21896765607585109</v>
      </c>
      <c r="CB75" s="40">
        <f t="shared" si="110"/>
        <v>0.2640690415629155</v>
      </c>
      <c r="CC75" s="40">
        <f t="shared" si="111"/>
        <v>0.26828114842300538</v>
      </c>
      <c r="CD75" s="40">
        <f t="shared" si="112"/>
        <v>0.42008553791581615</v>
      </c>
      <c r="CE75" s="40">
        <f t="shared" si="113"/>
        <v>0.40560456139911399</v>
      </c>
      <c r="CF75" s="40">
        <f t="shared" si="114"/>
        <v>0.56111017559736043</v>
      </c>
      <c r="CG75" s="40">
        <f t="shared" si="115"/>
        <v>0.58804986144912252</v>
      </c>
      <c r="CH75" s="40">
        <f t="shared" si="116"/>
        <v>0.65904062461239432</v>
      </c>
      <c r="CI75" s="40">
        <f t="shared" si="117"/>
        <v>0.58077048754064919</v>
      </c>
      <c r="CJ75" s="40">
        <f t="shared" si="118"/>
        <v>0.62123136234005516</v>
      </c>
      <c r="CK75" s="40">
        <f t="shared" si="119"/>
        <v>0.73482819133600963</v>
      </c>
      <c r="CL75" s="40">
        <f t="shared" si="120"/>
        <v>0.68583187150467184</v>
      </c>
      <c r="CM75" s="40">
        <f t="shared" si="121"/>
        <v>0.79781742657474308</v>
      </c>
      <c r="CN75" s="691">
        <f t="shared" si="122"/>
        <v>1.0313205624515236</v>
      </c>
      <c r="CO75" s="691">
        <f t="shared" si="123"/>
        <v>1.0019626029825011</v>
      </c>
      <c r="CP75" s="691">
        <f t="shared" si="124"/>
        <v>1.0421340674657733</v>
      </c>
      <c r="CQ75" s="691">
        <f t="shared" si="125"/>
        <v>1.0557019148302782</v>
      </c>
    </row>
    <row r="76" spans="1:95">
      <c r="A76" s="13" t="s">
        <v>66</v>
      </c>
      <c r="B76" s="319">
        <v>58246269.719999999</v>
      </c>
      <c r="C76" s="319">
        <v>56317636.030000001</v>
      </c>
      <c r="D76" s="319">
        <v>57171053.789999999</v>
      </c>
      <c r="E76" s="319">
        <v>59729153.890000001</v>
      </c>
      <c r="F76" s="319">
        <v>59506120.390000001</v>
      </c>
      <c r="G76" s="319">
        <v>57561531.369999997</v>
      </c>
      <c r="H76" s="319">
        <v>60251377.93</v>
      </c>
      <c r="I76" s="319">
        <v>65740807.969999999</v>
      </c>
      <c r="J76" s="319">
        <v>64501749.770000003</v>
      </c>
      <c r="K76" s="319">
        <v>68874449.900000006</v>
      </c>
      <c r="L76" s="319">
        <v>72729993.870000005</v>
      </c>
      <c r="M76" s="319">
        <v>77332279.079999998</v>
      </c>
      <c r="N76" s="319">
        <v>89428902.430000007</v>
      </c>
      <c r="O76" s="319">
        <v>83429841.189999998</v>
      </c>
      <c r="P76" s="319">
        <v>80669115.170000002</v>
      </c>
      <c r="Q76" s="319">
        <v>88726569.329999998</v>
      </c>
      <c r="R76" s="319">
        <v>82757840.519999996</v>
      </c>
      <c r="S76" s="319">
        <v>85898673.370000005</v>
      </c>
      <c r="T76" s="677">
        <v>88865659.689999998</v>
      </c>
      <c r="U76" s="677">
        <v>84814043.159999996</v>
      </c>
      <c r="V76" s="678">
        <v>90934483.909999996</v>
      </c>
      <c r="W76" s="809">
        <v>95377513.400000006</v>
      </c>
      <c r="X76" s="810"/>
      <c r="Y76" s="13" t="s">
        <v>66</v>
      </c>
      <c r="Z76" s="319">
        <f>B76/'Population &amp; Income'!B75</f>
        <v>6450.3067242524912</v>
      </c>
      <c r="AA76" s="319">
        <f>C76/'Population &amp; Income'!C75</f>
        <v>6223.6309017571002</v>
      </c>
      <c r="AB76" s="319">
        <f>D76/'Population &amp; Income'!D75</f>
        <v>6213.5695891750893</v>
      </c>
      <c r="AC76" s="319">
        <f>E76/'Population &amp; Income'!E75</f>
        <v>6291.2527796503055</v>
      </c>
      <c r="AD76" s="319">
        <f>F76/'Population &amp; Income'!F75</f>
        <v>6154.3200320612268</v>
      </c>
      <c r="AE76" s="319">
        <f>G76/'Population &amp; Income'!G75</f>
        <v>5931.7324165292657</v>
      </c>
      <c r="AF76" s="319">
        <f>H76/'Population &amp; Income'!H75</f>
        <v>6176.461089697591</v>
      </c>
      <c r="AG76" s="319">
        <f>I76/'Population &amp; Income'!I75</f>
        <v>6739.1909759097898</v>
      </c>
      <c r="AH76" s="319">
        <f>J76/'Population &amp; Income'!J75</f>
        <v>6587.1884977532682</v>
      </c>
      <c r="AI76" s="319">
        <f>K76/'Population &amp; Income'!K75</f>
        <v>6888.8227545509108</v>
      </c>
      <c r="AJ76" s="319">
        <f>L76/'Population &amp; Income'!L75</f>
        <v>7206.6977675386452</v>
      </c>
      <c r="AK76" s="319">
        <f>M76/'Population &amp; Income'!M75</f>
        <v>7620.4453173039019</v>
      </c>
      <c r="AL76" s="319">
        <f>N76/'Population &amp; Income'!N75</f>
        <v>8839.4684619946638</v>
      </c>
      <c r="AM76" s="319">
        <f>O76/'Population &amp; Income'!O75</f>
        <v>8253.0261341378973</v>
      </c>
      <c r="AN76" s="319">
        <f>P76/'Population &amp; Income'!P75</f>
        <v>7921.9400147304332</v>
      </c>
      <c r="AO76" s="319">
        <f>Q76/'Population &amp; Income'!Q75</f>
        <v>8609.2149553658055</v>
      </c>
      <c r="AP76" s="319">
        <f>R76/'Population &amp; Income'!R75</f>
        <v>8052.7236080568255</v>
      </c>
      <c r="AQ76" s="319">
        <f>S76/'Population &amp; Income'!S75</f>
        <v>8428.048800039247</v>
      </c>
      <c r="AR76" s="697">
        <f>T76/'Population &amp; Income'!T75</f>
        <v>8646.2015654796651</v>
      </c>
      <c r="AS76" s="697">
        <f>U76/'Population &amp; Income'!U75</f>
        <v>8333.8943853787951</v>
      </c>
      <c r="AT76" s="697">
        <f>V76/'Population &amp; Income'!V75</f>
        <v>8894.2179098200304</v>
      </c>
      <c r="AU76" s="697">
        <f>W76/'Population &amp; Income'!W75</f>
        <v>9328.7865219092346</v>
      </c>
      <c r="AV76" s="690"/>
      <c r="AW76" s="486"/>
      <c r="AX76" s="13" t="s">
        <v>66</v>
      </c>
      <c r="AY76" s="40">
        <f t="shared" si="84"/>
        <v>-3.3111711690229723E-2</v>
      </c>
      <c r="AZ76" s="40">
        <f t="shared" si="85"/>
        <v>1.5153650262333248E-2</v>
      </c>
      <c r="BA76" s="40">
        <f t="shared" si="86"/>
        <v>4.4744672879327763E-2</v>
      </c>
      <c r="BB76" s="40">
        <f t="shared" si="87"/>
        <v>-3.7340810219871675E-3</v>
      </c>
      <c r="BC76" s="40">
        <f t="shared" si="88"/>
        <v>-3.2678806940450306E-2</v>
      </c>
      <c r="BD76" s="40">
        <f t="shared" si="89"/>
        <v>4.6729933967703655E-2</v>
      </c>
      <c r="BE76" s="40">
        <f t="shared" si="90"/>
        <v>9.1108788356303053E-2</v>
      </c>
      <c r="BF76" s="40">
        <f t="shared" si="91"/>
        <v>-1.8847626584775536E-2</v>
      </c>
      <c r="BG76" s="40">
        <f t="shared" si="92"/>
        <v>6.7791961390073194E-2</v>
      </c>
      <c r="BH76" s="40">
        <f t="shared" si="93"/>
        <v>5.5979306921477109E-2</v>
      </c>
      <c r="BI76" s="40">
        <f t="shared" si="94"/>
        <v>6.3279054006607924E-2</v>
      </c>
      <c r="BJ76" s="40">
        <f t="shared" si="95"/>
        <v>0.15642398612726893</v>
      </c>
      <c r="BK76" s="40">
        <f t="shared" si="96"/>
        <v>-6.7081906151042633E-2</v>
      </c>
      <c r="BL76" s="40">
        <f t="shared" si="97"/>
        <v>-3.3090390448099041E-2</v>
      </c>
      <c r="BM76" s="40">
        <f t="shared" si="98"/>
        <v>9.9882763595707302E-2</v>
      </c>
      <c r="BN76" s="40">
        <f t="shared" si="99"/>
        <v>-6.727104242924753E-2</v>
      </c>
      <c r="BO76" s="40">
        <f t="shared" si="100"/>
        <v>3.7952088047065069E-2</v>
      </c>
      <c r="BP76" s="691">
        <f t="shared" si="101"/>
        <v>3.4540537165457658E-2</v>
      </c>
      <c r="BQ76" s="691">
        <f t="shared" si="102"/>
        <v>-4.559260060785806E-2</v>
      </c>
      <c r="BR76" s="691">
        <f t="shared" si="103"/>
        <v>7.2163058403593744E-2</v>
      </c>
      <c r="BS76" s="691">
        <f t="shared" si="104"/>
        <v>4.8859676758020429E-2</v>
      </c>
      <c r="BT76" s="40"/>
      <c r="BV76" s="13" t="s">
        <v>66</v>
      </c>
      <c r="BW76" s="40">
        <f t="shared" si="105"/>
        <v>-3.3111711690229723E-2</v>
      </c>
      <c r="BX76" s="40">
        <f t="shared" si="106"/>
        <v>-1.8459824726437431E-2</v>
      </c>
      <c r="BY76" s="40">
        <f t="shared" si="107"/>
        <v>2.5458869334096162E-2</v>
      </c>
      <c r="BZ76" s="40">
        <f t="shared" si="108"/>
        <v>2.1629722831287293E-2</v>
      </c>
      <c r="CA76" s="40">
        <f t="shared" si="109"/>
        <v>-1.1755917645742096E-2</v>
      </c>
      <c r="CB76" s="40">
        <f t="shared" si="110"/>
        <v>3.4424663066646266E-2</v>
      </c>
      <c r="CC76" s="40">
        <f t="shared" si="111"/>
        <v>0.12866984076452545</v>
      </c>
      <c r="CD76" s="40">
        <f t="shared" si="112"/>
        <v>0.1073970930682976</v>
      </c>
      <c r="CE76" s="40">
        <f t="shared" si="113"/>
        <v>0.18246971404506293</v>
      </c>
      <c r="CF76" s="40">
        <f t="shared" si="114"/>
        <v>0.24866354909294278</v>
      </c>
      <c r="CG76" s="40">
        <f t="shared" si="115"/>
        <v>0.32767779725207785</v>
      </c>
      <c r="CH76" s="40">
        <f t="shared" si="116"/>
        <v>0.5353584505909198</v>
      </c>
      <c r="CI76" s="40">
        <f t="shared" si="117"/>
        <v>0.43236367910016948</v>
      </c>
      <c r="CJ76" s="40">
        <f t="shared" si="118"/>
        <v>0.38496620569506923</v>
      </c>
      <c r="CK76" s="40">
        <f t="shared" si="119"/>
        <v>0.52330045780655354</v>
      </c>
      <c r="CL76" s="40">
        <f t="shared" si="120"/>
        <v>0.42082644807695674</v>
      </c>
      <c r="CM76" s="40">
        <f t="shared" si="121"/>
        <v>0.4747497785339721</v>
      </c>
      <c r="CN76" s="691">
        <f t="shared" si="122"/>
        <v>0.52568842806917526</v>
      </c>
      <c r="CO76" s="691">
        <f t="shared" si="123"/>
        <v>0.45612832491618654</v>
      </c>
      <c r="CP76" s="691">
        <f t="shared" si="124"/>
        <v>0.56120699827024045</v>
      </c>
      <c r="CQ76" s="691">
        <f t="shared" si="125"/>
        <v>0.63748706755808371</v>
      </c>
    </row>
    <row r="77" spans="1:95">
      <c r="A77" s="13" t="s">
        <v>67</v>
      </c>
      <c r="B77" s="319">
        <v>175509533.19999999</v>
      </c>
      <c r="C77" s="319">
        <v>184546032.59999999</v>
      </c>
      <c r="D77" s="319">
        <v>196059775.19999999</v>
      </c>
      <c r="E77" s="319">
        <v>204968949.52000001</v>
      </c>
      <c r="F77" s="319">
        <v>207587155.71000001</v>
      </c>
      <c r="G77" s="319">
        <v>215780318.83000001</v>
      </c>
      <c r="H77" s="319">
        <v>220255365.94</v>
      </c>
      <c r="I77" s="319">
        <v>220052273.52000001</v>
      </c>
      <c r="J77" s="319">
        <v>225122672.33000001</v>
      </c>
      <c r="K77" s="319">
        <v>234110221.88999999</v>
      </c>
      <c r="L77" s="319">
        <v>240720639.86000001</v>
      </c>
      <c r="M77" s="319">
        <v>247501309.53</v>
      </c>
      <c r="N77" s="319">
        <v>269017035.30000001</v>
      </c>
      <c r="O77" s="319">
        <v>260091456.66</v>
      </c>
      <c r="P77" s="319">
        <v>244231015.65000001</v>
      </c>
      <c r="Q77" s="319">
        <v>241086842.44999999</v>
      </c>
      <c r="R77" s="319">
        <v>249987012.72999999</v>
      </c>
      <c r="S77" s="319">
        <v>289445314.44</v>
      </c>
      <c r="T77" s="677">
        <v>295093485.30000001</v>
      </c>
      <c r="U77" s="677">
        <v>291696607.07999998</v>
      </c>
      <c r="V77" s="678">
        <v>287761761.67000002</v>
      </c>
      <c r="W77" s="809">
        <v>289792884.08999997</v>
      </c>
      <c r="X77" s="810"/>
      <c r="Y77" s="13" t="s">
        <v>67</v>
      </c>
      <c r="Z77" s="319">
        <f>B77/'Population &amp; Income'!B76</f>
        <v>7125.8438164839617</v>
      </c>
      <c r="AA77" s="319">
        <f>C77/'Population &amp; Income'!C76</f>
        <v>7522.6656041089191</v>
      </c>
      <c r="AB77" s="319">
        <f>D77/'Population &amp; Income'!D76</f>
        <v>7966.6710767980494</v>
      </c>
      <c r="AC77" s="319">
        <f>E77/'Population &amp; Income'!E76</f>
        <v>8318.5450292207788</v>
      </c>
      <c r="AD77" s="319">
        <f>F77/'Population &amp; Income'!F76</f>
        <v>8417.9706289537717</v>
      </c>
      <c r="AE77" s="319">
        <f>G77/'Population &amp; Income'!G76</f>
        <v>8743.4790238664464</v>
      </c>
      <c r="AF77" s="319">
        <f>H77/'Population &amp; Income'!H76</f>
        <v>8916.8602866280708</v>
      </c>
      <c r="AG77" s="319">
        <f>I77/'Population &amp; Income'!I76</f>
        <v>8798.5715121951216</v>
      </c>
      <c r="AH77" s="319">
        <f>J77/'Population &amp; Income'!J76</f>
        <v>8929.5415624132329</v>
      </c>
      <c r="AI77" s="319">
        <f>K77/'Population &amp; Income'!K76</f>
        <v>9198.4685037915988</v>
      </c>
      <c r="AJ77" s="319">
        <f>L77/'Population &amp; Income'!L76</f>
        <v>9447.4348453689181</v>
      </c>
      <c r="AK77" s="319">
        <f>M77/'Population &amp; Income'!M76</f>
        <v>9669.1530073836784</v>
      </c>
      <c r="AL77" s="319">
        <f>N77/'Population &amp; Income'!N76</f>
        <v>10509.709547993905</v>
      </c>
      <c r="AM77" s="319">
        <f>O77/'Population &amp; Income'!O76</f>
        <v>10254.354859643588</v>
      </c>
      <c r="AN77" s="319">
        <f>P77/'Population &amp; Income'!P76</f>
        <v>9603.6732983366765</v>
      </c>
      <c r="AO77" s="319">
        <f>Q77/'Population &amp; Income'!Q76</f>
        <v>9560.1095427868986</v>
      </c>
      <c r="AP77" s="319">
        <f>R77/'Population &amp; Income'!R76</f>
        <v>9869.2069771022507</v>
      </c>
      <c r="AQ77" s="319">
        <f>S77/'Population &amp; Income'!S76</f>
        <v>11605.666176423416</v>
      </c>
      <c r="AR77" s="697">
        <f>T77/'Population &amp; Income'!T76</f>
        <v>11770.311726696184</v>
      </c>
      <c r="AS77" s="697">
        <f>U77/'Population &amp; Income'!U76</f>
        <v>11626.010644878437</v>
      </c>
      <c r="AT77" s="697">
        <f>V77/'Population &amp; Income'!V76</f>
        <v>11515.537303213414</v>
      </c>
      <c r="AU77" s="697">
        <f>W77/'Population &amp; Income'!W76</f>
        <v>11617.273365003006</v>
      </c>
      <c r="AV77" s="690"/>
      <c r="AW77" s="486"/>
      <c r="AX77" s="13" t="s">
        <v>67</v>
      </c>
      <c r="AY77" s="40">
        <f t="shared" si="84"/>
        <v>5.1487228273250328E-2</v>
      </c>
      <c r="AZ77" s="40">
        <f t="shared" si="85"/>
        <v>6.2389542802883287E-2</v>
      </c>
      <c r="BA77" s="40">
        <f t="shared" si="86"/>
        <v>4.5441112593910711E-2</v>
      </c>
      <c r="BB77" s="40">
        <f t="shared" si="87"/>
        <v>1.2773672286126071E-2</v>
      </c>
      <c r="BC77" s="40">
        <f t="shared" si="88"/>
        <v>3.9468545594631504E-2</v>
      </c>
      <c r="BD77" s="40">
        <f t="shared" si="89"/>
        <v>2.0738903039278563E-2</v>
      </c>
      <c r="BE77" s="40">
        <f t="shared" si="90"/>
        <v>-9.2207705875057546E-4</v>
      </c>
      <c r="BF77" s="40">
        <f t="shared" si="91"/>
        <v>2.3041792429102835E-2</v>
      </c>
      <c r="BG77" s="40">
        <f t="shared" si="92"/>
        <v>3.9922898333515762E-2</v>
      </c>
      <c r="BH77" s="40">
        <f t="shared" si="93"/>
        <v>2.8236349171912825E-2</v>
      </c>
      <c r="BI77" s="40">
        <f t="shared" si="94"/>
        <v>2.8168210561186343E-2</v>
      </c>
      <c r="BJ77" s="40">
        <f t="shared" si="95"/>
        <v>8.6931765374728479E-2</v>
      </c>
      <c r="BK77" s="40">
        <f t="shared" si="96"/>
        <v>-3.3178488604063562E-2</v>
      </c>
      <c r="BL77" s="40">
        <f t="shared" si="97"/>
        <v>-6.0980246001441231E-2</v>
      </c>
      <c r="BM77" s="40">
        <f t="shared" si="98"/>
        <v>-1.2873767042372031E-2</v>
      </c>
      <c r="BN77" s="40">
        <f t="shared" si="99"/>
        <v>3.6916864435875822E-2</v>
      </c>
      <c r="BO77" s="40">
        <f t="shared" si="100"/>
        <v>0.15784140655585652</v>
      </c>
      <c r="BP77" s="691">
        <f t="shared" si="101"/>
        <v>1.9513775411869178E-2</v>
      </c>
      <c r="BQ77" s="691">
        <f t="shared" si="102"/>
        <v>-1.1511193534302088E-2</v>
      </c>
      <c r="BR77" s="691">
        <f t="shared" si="103"/>
        <v>-1.3489513811591252E-2</v>
      </c>
      <c r="BS77" s="691">
        <f t="shared" si="104"/>
        <v>7.0583471834913614E-3</v>
      </c>
      <c r="BT77" s="40"/>
      <c r="BV77" s="13" t="s">
        <v>67</v>
      </c>
      <c r="BW77" s="40">
        <f t="shared" si="105"/>
        <v>5.1487228273250328E-2</v>
      </c>
      <c r="BX77" s="40">
        <f t="shared" si="106"/>
        <v>0.11708903570828938</v>
      </c>
      <c r="BY77" s="40">
        <f t="shared" si="107"/>
        <v>0.16785080435733291</v>
      </c>
      <c r="BZ77" s="40">
        <f t="shared" si="108"/>
        <v>0.18276854781128221</v>
      </c>
      <c r="CA77" s="40">
        <f t="shared" si="109"/>
        <v>0.22945070216846788</v>
      </c>
      <c r="CB77" s="40">
        <f t="shared" si="110"/>
        <v>0.25494816107231272</v>
      </c>
      <c r="CC77" s="40">
        <f t="shared" si="111"/>
        <v>0.25379100216306671</v>
      </c>
      <c r="CD77" s="40">
        <f t="shared" si="112"/>
        <v>0.2826805941843849</v>
      </c>
      <c r="CE77" s="40">
        <f t="shared" si="113"/>
        <v>0.33388892114038171</v>
      </c>
      <c r="CF77" s="40">
        <f t="shared" si="114"/>
        <v>0.37155307447424757</v>
      </c>
      <c r="CG77" s="40">
        <f t="shared" si="115"/>
        <v>0.41018727027188068</v>
      </c>
      <c r="CH77" s="40">
        <f t="shared" si="116"/>
        <v>0.53277733918558468</v>
      </c>
      <c r="CI77" s="40">
        <f t="shared" si="117"/>
        <v>0.48192210370484884</v>
      </c>
      <c r="CJ77" s="40">
        <f t="shared" si="118"/>
        <v>0.3915541292659539</v>
      </c>
      <c r="CK77" s="40">
        <f t="shared" si="119"/>
        <v>0.37363958557893312</v>
      </c>
      <c r="CL77" s="40">
        <f t="shared" si="120"/>
        <v>0.42435005194350323</v>
      </c>
      <c r="CM77" s="40">
        <f t="shared" si="121"/>
        <v>0.64917146757017308</v>
      </c>
      <c r="CN77" s="691">
        <f t="shared" si="122"/>
        <v>0.68135302920400009</v>
      </c>
      <c r="CO77" s="691">
        <f t="shared" si="123"/>
        <v>0.66199864908534778</v>
      </c>
      <c r="CP77" s="691">
        <f t="shared" si="124"/>
        <v>0.63957909535366497</v>
      </c>
      <c r="CQ77" s="691">
        <f t="shared" si="125"/>
        <v>0.65115181384346588</v>
      </c>
    </row>
    <row r="78" spans="1:95">
      <c r="A78" s="13" t="s">
        <v>68</v>
      </c>
      <c r="B78" s="319">
        <v>81223365.640000001</v>
      </c>
      <c r="C78" s="319">
        <v>86348227.730000004</v>
      </c>
      <c r="D78" s="319">
        <v>93519982.140000001</v>
      </c>
      <c r="E78" s="319">
        <v>101165423.3</v>
      </c>
      <c r="F78" s="319">
        <v>101781500.69</v>
      </c>
      <c r="G78" s="319">
        <v>118122540.84999999</v>
      </c>
      <c r="H78" s="319">
        <v>124266019.40000001</v>
      </c>
      <c r="I78" s="319">
        <v>130067292.90000001</v>
      </c>
      <c r="J78" s="319">
        <v>138411956.90000001</v>
      </c>
      <c r="K78" s="319">
        <v>145209168.74000001</v>
      </c>
      <c r="L78" s="319">
        <v>145269347.90000001</v>
      </c>
      <c r="M78" s="319">
        <v>145330245.31</v>
      </c>
      <c r="N78" s="319">
        <v>151553356.46000001</v>
      </c>
      <c r="O78" s="319">
        <v>139692667.87</v>
      </c>
      <c r="P78" s="319">
        <v>141647528.59999999</v>
      </c>
      <c r="Q78" s="319">
        <v>142862934</v>
      </c>
      <c r="R78" s="319">
        <v>151853650.38</v>
      </c>
      <c r="S78" s="319">
        <v>148524475.78</v>
      </c>
      <c r="T78" s="677">
        <v>159328395.53</v>
      </c>
      <c r="U78" s="677">
        <v>173529861.27000001</v>
      </c>
      <c r="V78" s="678">
        <v>153131117.96000001</v>
      </c>
      <c r="W78" s="809">
        <v>159948642.81999999</v>
      </c>
      <c r="X78" s="810"/>
      <c r="Y78" s="13" t="s">
        <v>68</v>
      </c>
      <c r="Z78" s="319">
        <f>B78/'Population &amp; Income'!B77</f>
        <v>3617.3227772334549</v>
      </c>
      <c r="AA78" s="319">
        <f>C78/'Population &amp; Income'!C77</f>
        <v>3756.2305433269535</v>
      </c>
      <c r="AB78" s="319">
        <f>D78/'Population &amp; Income'!D77</f>
        <v>4018.3896420745068</v>
      </c>
      <c r="AC78" s="319">
        <f>E78/'Population &amp; Income'!E77</f>
        <v>4343.5414237259029</v>
      </c>
      <c r="AD78" s="319">
        <f>F78/'Population &amp; Income'!F77</f>
        <v>4350.9383443765228</v>
      </c>
      <c r="AE78" s="319">
        <f>G78/'Population &amp; Income'!G77</f>
        <v>5042.1539612413026</v>
      </c>
      <c r="AF78" s="319">
        <f>H78/'Population &amp; Income'!H77</f>
        <v>5279.378851219305</v>
      </c>
      <c r="AG78" s="319">
        <f>I78/'Population &amp; Income'!I77</f>
        <v>5487.3768257182637</v>
      </c>
      <c r="AH78" s="319">
        <f>J78/'Population &amp; Income'!J77</f>
        <v>5830.5723450861451</v>
      </c>
      <c r="AI78" s="319">
        <f>K78/'Population &amp; Income'!K77</f>
        <v>6151.6275678881593</v>
      </c>
      <c r="AJ78" s="319">
        <f>L78/'Population &amp; Income'!L77</f>
        <v>6093.0017574029025</v>
      </c>
      <c r="AK78" s="319">
        <f>M78/'Population &amp; Income'!M77</f>
        <v>6128.9745829116064</v>
      </c>
      <c r="AL78" s="319">
        <f>N78/'Population &amp; Income'!N77</f>
        <v>6377.4346263255347</v>
      </c>
      <c r="AM78" s="319">
        <f>O78/'Population &amp; Income'!O77</f>
        <v>5934.0158816532858</v>
      </c>
      <c r="AN78" s="319">
        <f>P78/'Population &amp; Income'!P77</f>
        <v>6039.1186783201874</v>
      </c>
      <c r="AO78" s="319">
        <f>Q78/'Population &amp; Income'!Q77</f>
        <v>6135.4062271848834</v>
      </c>
      <c r="AP78" s="319">
        <f>R78/'Population &amp; Income'!R77</f>
        <v>6584.0118964620187</v>
      </c>
      <c r="AQ78" s="319">
        <f>S78/'Population &amp; Income'!S77</f>
        <v>6446.6546195581404</v>
      </c>
      <c r="AR78" s="697">
        <f>T78/'Population &amp; Income'!T77</f>
        <v>6944.5319064638452</v>
      </c>
      <c r="AS78" s="697">
        <f>U78/'Population &amp; Income'!U77</f>
        <v>7605.9549099276792</v>
      </c>
      <c r="AT78" s="697">
        <f>V78/'Population &amp; Income'!V77</f>
        <v>6729.8548809000622</v>
      </c>
      <c r="AU78" s="697">
        <f>W78/'Population &amp; Income'!W77</f>
        <v>6998.4092242397719</v>
      </c>
      <c r="AV78" s="690"/>
      <c r="AW78" s="486"/>
      <c r="AX78" s="13" t="s">
        <v>68</v>
      </c>
      <c r="AY78" s="40">
        <f t="shared" si="84"/>
        <v>6.3095909035763564E-2</v>
      </c>
      <c r="AZ78" s="40">
        <f t="shared" si="85"/>
        <v>8.3056185384894829E-2</v>
      </c>
      <c r="BA78" s="40">
        <f t="shared" si="86"/>
        <v>8.1751952738343375E-2</v>
      </c>
      <c r="BB78" s="40">
        <f t="shared" si="87"/>
        <v>6.0898019293910335E-3</v>
      </c>
      <c r="BC78" s="40">
        <f t="shared" si="88"/>
        <v>0.16055019870232173</v>
      </c>
      <c r="BD78" s="40">
        <f t="shared" si="89"/>
        <v>5.2009366762618296E-2</v>
      </c>
      <c r="BE78" s="40">
        <f t="shared" si="90"/>
        <v>4.6684311028956961E-2</v>
      </c>
      <c r="BF78" s="40">
        <f t="shared" si="91"/>
        <v>6.4156513247459149E-2</v>
      </c>
      <c r="BG78" s="40">
        <f t="shared" si="92"/>
        <v>4.9108559637740398E-2</v>
      </c>
      <c r="BH78" s="40">
        <f t="shared" si="93"/>
        <v>4.144308553115433E-4</v>
      </c>
      <c r="BI78" s="40">
        <f t="shared" si="94"/>
        <v>4.1920343747888758E-4</v>
      </c>
      <c r="BJ78" s="40">
        <f t="shared" si="95"/>
        <v>4.2820481976932306E-2</v>
      </c>
      <c r="BK78" s="40">
        <f t="shared" si="96"/>
        <v>-7.8260811024204763E-2</v>
      </c>
      <c r="BL78" s="40">
        <f t="shared" si="97"/>
        <v>1.3994010994329427E-2</v>
      </c>
      <c r="BM78" s="40">
        <f t="shared" si="98"/>
        <v>8.5804913930563696E-3</v>
      </c>
      <c r="BN78" s="40">
        <f t="shared" si="99"/>
        <v>6.2932463503794445E-2</v>
      </c>
      <c r="BO78" s="40">
        <f t="shared" si="100"/>
        <v>-2.1923573069656452E-2</v>
      </c>
      <c r="BP78" s="691">
        <f t="shared" si="101"/>
        <v>7.274167906172696E-2</v>
      </c>
      <c r="BQ78" s="691">
        <f t="shared" si="102"/>
        <v>8.9133300393563625E-2</v>
      </c>
      <c r="BR78" s="691">
        <f t="shared" si="103"/>
        <v>-0.11755177558899227</v>
      </c>
      <c r="BS78" s="691">
        <f t="shared" si="104"/>
        <v>4.4520832544178365E-2</v>
      </c>
      <c r="BT78" s="40"/>
      <c r="BV78" s="13" t="s">
        <v>68</v>
      </c>
      <c r="BW78" s="40">
        <f t="shared" si="105"/>
        <v>6.3095909035763564E-2</v>
      </c>
      <c r="BX78" s="40">
        <f t="shared" si="106"/>
        <v>0.15139259993856122</v>
      </c>
      <c r="BY78" s="40">
        <f t="shared" si="107"/>
        <v>0.24552119335201678</v>
      </c>
      <c r="BZ78" s="40">
        <f t="shared" si="108"/>
        <v>0.25310617071838931</v>
      </c>
      <c r="CA78" s="40">
        <f t="shared" si="109"/>
        <v>0.45429261542233224</v>
      </c>
      <c r="CB78" s="40">
        <f t="shared" si="110"/>
        <v>0.52992945343799969</v>
      </c>
      <c r="CC78" s="40">
        <f t="shared" si="111"/>
        <v>0.60135315589466143</v>
      </c>
      <c r="CD78" s="40">
        <f t="shared" si="112"/>
        <v>0.70409039085467773</v>
      </c>
      <c r="CE78" s="40">
        <f t="shared" si="113"/>
        <v>0.7877758154420651</v>
      </c>
      <c r="CF78" s="40">
        <f t="shared" si="114"/>
        <v>0.78851672490236402</v>
      </c>
      <c r="CG78" s="40">
        <f t="shared" si="115"/>
        <v>0.78926647726143151</v>
      </c>
      <c r="CH78" s="40">
        <f t="shared" si="116"/>
        <v>0.86588373020293385</v>
      </c>
      <c r="CI78" s="40">
        <f t="shared" si="117"/>
        <v>0.71985815620038374</v>
      </c>
      <c r="CJ78" s="40">
        <f t="shared" si="118"/>
        <v>0.74392587014693912</v>
      </c>
      <c r="CK78" s="40">
        <f t="shared" si="119"/>
        <v>0.75888961106586328</v>
      </c>
      <c r="CL78" s="40">
        <f t="shared" si="120"/>
        <v>0.86958086732146889</v>
      </c>
      <c r="CM78" s="40">
        <f t="shared" si="121"/>
        <v>0.828592974567115</v>
      </c>
      <c r="CN78" s="691">
        <f t="shared" si="122"/>
        <v>0.9616078978576047</v>
      </c>
      <c r="CO78" s="691">
        <f t="shared" si="123"/>
        <v>1.1364524838717334</v>
      </c>
      <c r="CP78" s="691">
        <f t="shared" si="124"/>
        <v>0.88530870093109837</v>
      </c>
      <c r="CQ78" s="691">
        <f t="shared" si="125"/>
        <v>0.96924421389933424</v>
      </c>
    </row>
    <row r="79" spans="1:95" ht="12" customHeight="1">
      <c r="A79" s="13" t="s">
        <v>69</v>
      </c>
      <c r="B79" s="319">
        <v>22502877.969999999</v>
      </c>
      <c r="C79" s="319">
        <v>24823718.93</v>
      </c>
      <c r="D79" s="319">
        <v>24630748.809999999</v>
      </c>
      <c r="E79" s="319">
        <v>22620571.93</v>
      </c>
      <c r="F79" s="319">
        <v>28297727.59</v>
      </c>
      <c r="G79" s="319">
        <v>27609156.66</v>
      </c>
      <c r="H79" s="319">
        <v>22712740.829999998</v>
      </c>
      <c r="I79" s="319">
        <v>23685307.670000002</v>
      </c>
      <c r="J79" s="319">
        <v>25056312.390000001</v>
      </c>
      <c r="K79" s="319">
        <v>27277895.489999998</v>
      </c>
      <c r="L79" s="319">
        <v>32867575.82</v>
      </c>
      <c r="M79" s="319">
        <v>40799233.850000001</v>
      </c>
      <c r="N79" s="319">
        <v>39901706.030000001</v>
      </c>
      <c r="O79" s="319">
        <v>32456026.510000002</v>
      </c>
      <c r="P79" s="319">
        <v>33394907.5</v>
      </c>
      <c r="Q79" s="319">
        <v>35229498.530000001</v>
      </c>
      <c r="R79" s="319">
        <v>34735763.380000003</v>
      </c>
      <c r="S79" s="319">
        <v>44988054.43</v>
      </c>
      <c r="T79" s="677">
        <v>51288987.469999999</v>
      </c>
      <c r="U79" s="677">
        <v>54253454.399999999</v>
      </c>
      <c r="V79" s="678">
        <v>55149986.649999999</v>
      </c>
      <c r="W79" s="809">
        <v>50685128.640000001</v>
      </c>
      <c r="X79" s="810"/>
      <c r="Y79" s="13" t="s">
        <v>69</v>
      </c>
      <c r="Z79" s="319">
        <f>B79/'Population &amp; Income'!B78</f>
        <v>3401.7956114890399</v>
      </c>
      <c r="AA79" s="319">
        <f>C79/'Population &amp; Income'!C78</f>
        <v>3754.3434558378704</v>
      </c>
      <c r="AB79" s="319">
        <f>D79/'Population &amp; Income'!D78</f>
        <v>3745.5518263381991</v>
      </c>
      <c r="AC79" s="319">
        <f>E79/'Population &amp; Income'!E78</f>
        <v>3456.6888646088019</v>
      </c>
      <c r="AD79" s="319">
        <f>F79/'Population &amp; Income'!F78</f>
        <v>4218.5044111508651</v>
      </c>
      <c r="AE79" s="319">
        <f>G79/'Population &amp; Income'!G78</f>
        <v>4210.6385023638859</v>
      </c>
      <c r="AF79" s="319">
        <f>H79/'Population &amp; Income'!H78</f>
        <v>3408.2744342737092</v>
      </c>
      <c r="AG79" s="319">
        <f>I79/'Population &amp; Income'!I78</f>
        <v>3552.0857333533295</v>
      </c>
      <c r="AH79" s="319">
        <f>J79/'Population &amp; Income'!J78</f>
        <v>3730.283220187584</v>
      </c>
      <c r="AI79" s="319">
        <f>K79/'Population &amp; Income'!K78</f>
        <v>4067.0784985835689</v>
      </c>
      <c r="AJ79" s="319">
        <f>L79/'Population &amp; Income'!L78</f>
        <v>4900.4884180706722</v>
      </c>
      <c r="AK79" s="319">
        <f>M79/'Population &amp; Income'!M78</f>
        <v>6056.8933862826607</v>
      </c>
      <c r="AL79" s="319">
        <f>N79/'Population &amp; Income'!N78</f>
        <v>5966.1641791267948</v>
      </c>
      <c r="AM79" s="319">
        <f>O79/'Population &amp; Income'!O78</f>
        <v>4868.1605684715769</v>
      </c>
      <c r="AN79" s="319">
        <f>P79/'Population &amp; Income'!P78</f>
        <v>4991.7649476831093</v>
      </c>
      <c r="AO79" s="319">
        <f>Q79/'Population &amp; Income'!Q78</f>
        <v>5258.1341089552243</v>
      </c>
      <c r="AP79" s="319">
        <f>R79/'Population &amp; Income'!R78</f>
        <v>5210.1040017999103</v>
      </c>
      <c r="AQ79" s="319">
        <f>S79/'Population &amp; Income'!S78</f>
        <v>6817.4048234580996</v>
      </c>
      <c r="AR79" s="697">
        <f>T79/'Population &amp; Income'!T78</f>
        <v>7854.3625528330776</v>
      </c>
      <c r="AS79" s="697">
        <f>U79/'Population &amp; Income'!U78</f>
        <v>8453.3272670613896</v>
      </c>
      <c r="AT79" s="697">
        <f>V79/'Population &amp; Income'!V78</f>
        <v>8543.7624554608828</v>
      </c>
      <c r="AU79" s="697">
        <f>W79/'Population &amp; Income'!W78</f>
        <v>8077.3113370517931</v>
      </c>
      <c r="AV79" s="690"/>
      <c r="AW79" s="486"/>
      <c r="AX79" s="13" t="s">
        <v>69</v>
      </c>
      <c r="AY79" s="40">
        <f t="shared" si="84"/>
        <v>0.10313529509843407</v>
      </c>
      <c r="AZ79" s="40">
        <f t="shared" si="85"/>
        <v>-7.773618471275571E-3</v>
      </c>
      <c r="BA79" s="40">
        <f t="shared" si="86"/>
        <v>-8.1612495645437877E-2</v>
      </c>
      <c r="BB79" s="40">
        <f t="shared" si="87"/>
        <v>0.25097312647832776</v>
      </c>
      <c r="BC79" s="40">
        <f t="shared" si="88"/>
        <v>-2.4333082146261474E-2</v>
      </c>
      <c r="BD79" s="40">
        <f t="shared" si="89"/>
        <v>-0.17734753329477473</v>
      </c>
      <c r="BE79" s="40">
        <f t="shared" si="90"/>
        <v>4.2820320421892634E-2</v>
      </c>
      <c r="BF79" s="40">
        <f t="shared" si="91"/>
        <v>5.7884184537595189E-2</v>
      </c>
      <c r="BG79" s="40">
        <f t="shared" si="92"/>
        <v>8.8663609609474447E-2</v>
      </c>
      <c r="BH79" s="40">
        <f t="shared" si="93"/>
        <v>0.20491611356342221</v>
      </c>
      <c r="BI79" s="40">
        <f t="shared" si="94"/>
        <v>0.24132166221926132</v>
      </c>
      <c r="BJ79" s="40">
        <f t="shared" si="95"/>
        <v>-2.1998643976987333E-2</v>
      </c>
      <c r="BK79" s="40">
        <f t="shared" si="96"/>
        <v>-0.18660053067410159</v>
      </c>
      <c r="BL79" s="40">
        <f t="shared" si="97"/>
        <v>2.8927786021826191E-2</v>
      </c>
      <c r="BM79" s="40">
        <f t="shared" si="98"/>
        <v>5.4936251283223381E-2</v>
      </c>
      <c r="BN79" s="40">
        <f t="shared" si="99"/>
        <v>-1.4014821970274536E-2</v>
      </c>
      <c r="BO79" s="40">
        <f t="shared" si="100"/>
        <v>0.29515087772341903</v>
      </c>
      <c r="BP79" s="691">
        <f t="shared" si="101"/>
        <v>0.14005791359135242</v>
      </c>
      <c r="BQ79" s="691">
        <f t="shared" si="102"/>
        <v>5.7799287453938884E-2</v>
      </c>
      <c r="BR79" s="691">
        <f t="shared" si="103"/>
        <v>1.6524887860412441E-2</v>
      </c>
      <c r="BS79" s="691">
        <f t="shared" si="104"/>
        <v>-8.0958460395202977E-2</v>
      </c>
      <c r="BT79" s="40"/>
      <c r="BV79" s="13" t="s">
        <v>69</v>
      </c>
      <c r="BW79" s="40">
        <f t="shared" si="105"/>
        <v>0.10313529509843407</v>
      </c>
      <c r="BX79" s="40">
        <f t="shared" si="106"/>
        <v>9.4559942192140853E-2</v>
      </c>
      <c r="BY79" s="40">
        <f t="shared" si="107"/>
        <v>5.2301736763140302E-3</v>
      </c>
      <c r="BZ79" s="40">
        <f t="shared" si="108"/>
        <v>0.25751593319421096</v>
      </c>
      <c r="CA79" s="40">
        <f t="shared" si="109"/>
        <v>0.22691669469156356</v>
      </c>
      <c r="CB79" s="40">
        <f t="shared" si="110"/>
        <v>9.3260453298365121E-3</v>
      </c>
      <c r="CC79" s="40">
        <f t="shared" si="111"/>
        <v>5.2545710001021838E-2</v>
      </c>
      <c r="CD79" s="40">
        <f t="shared" si="112"/>
        <v>0.11347146011297514</v>
      </c>
      <c r="CE79" s="40">
        <f t="shared" si="113"/>
        <v>0.21219585896372348</v>
      </c>
      <c r="CF79" s="40">
        <f t="shared" si="114"/>
        <v>0.46059432326024397</v>
      </c>
      <c r="CG79" s="40">
        <f t="shared" si="115"/>
        <v>0.81306737317742317</v>
      </c>
      <c r="CH79" s="40">
        <f t="shared" si="116"/>
        <v>0.77318234952860132</v>
      </c>
      <c r="CI79" s="40">
        <f t="shared" si="117"/>
        <v>0.44230558212461407</v>
      </c>
      <c r="CJ79" s="40">
        <f t="shared" si="118"/>
        <v>0.48402828938240033</v>
      </c>
      <c r="CK79" s="40">
        <f t="shared" si="119"/>
        <v>0.56555524039932403</v>
      </c>
      <c r="CL79" s="40">
        <f t="shared" si="120"/>
        <v>0.54361426242049715</v>
      </c>
      <c r="CM79" s="40">
        <f t="shared" si="121"/>
        <v>0.99921336684029494</v>
      </c>
      <c r="CN79" s="691">
        <f t="shared" si="122"/>
        <v>1.2792190198238897</v>
      </c>
      <c r="CO79" s="691">
        <f t="shared" si="123"/>
        <v>1.4109562551211756</v>
      </c>
      <c r="CP79" s="691">
        <f t="shared" si="124"/>
        <v>1.4507970368734129</v>
      </c>
      <c r="CQ79" s="691">
        <f t="shared" si="125"/>
        <v>1.2523842820270159</v>
      </c>
    </row>
    <row r="80" spans="1:95">
      <c r="A80" s="13" t="s">
        <v>70</v>
      </c>
      <c r="B80" s="319">
        <v>49831097.969999999</v>
      </c>
      <c r="C80" s="319">
        <v>52605630.759999998</v>
      </c>
      <c r="D80" s="319">
        <v>54964346.539999999</v>
      </c>
      <c r="E80" s="319">
        <v>56129911.649999999</v>
      </c>
      <c r="F80" s="319">
        <v>61292289.57</v>
      </c>
      <c r="G80" s="319">
        <v>58754210.5</v>
      </c>
      <c r="H80" s="319">
        <v>58223459.810000002</v>
      </c>
      <c r="I80" s="319">
        <v>61127892.659999996</v>
      </c>
      <c r="J80" s="319">
        <v>62803083.840000004</v>
      </c>
      <c r="K80" s="319">
        <v>65552060.409999996</v>
      </c>
      <c r="L80" s="319">
        <v>67364096.480000004</v>
      </c>
      <c r="M80" s="319">
        <v>69236768.239999995</v>
      </c>
      <c r="N80" s="319">
        <v>72202381.930000007</v>
      </c>
      <c r="O80" s="319">
        <v>72613797.310000002</v>
      </c>
      <c r="P80" s="319">
        <v>75420691.870000005</v>
      </c>
      <c r="Q80" s="319">
        <v>77369033.849999994</v>
      </c>
      <c r="R80" s="319">
        <v>78591280.209999993</v>
      </c>
      <c r="S80" s="319">
        <v>77275975.370000005</v>
      </c>
      <c r="T80" s="677">
        <v>81459497.120000005</v>
      </c>
      <c r="U80" s="677">
        <v>78517803.599999994</v>
      </c>
      <c r="V80" s="678">
        <v>77501756.200000003</v>
      </c>
      <c r="W80" s="809">
        <v>76634808.760000005</v>
      </c>
      <c r="X80" s="810"/>
      <c r="Y80" s="13" t="s">
        <v>70</v>
      </c>
      <c r="Z80" s="319">
        <f>B80/'Population &amp; Income'!B79</f>
        <v>3756.5848450810404</v>
      </c>
      <c r="AA80" s="319">
        <f>C80/'Population &amp; Income'!C79</f>
        <v>3926.0863318158072</v>
      </c>
      <c r="AB80" s="319">
        <f>D80/'Population &amp; Income'!D79</f>
        <v>4072.3380410461582</v>
      </c>
      <c r="AC80" s="319">
        <f>E80/'Population &amp; Income'!E79</f>
        <v>4152.8493378218409</v>
      </c>
      <c r="AD80" s="319">
        <f>F80/'Population &amp; Income'!F79</f>
        <v>4546.2312394303517</v>
      </c>
      <c r="AE80" s="319">
        <f>G80/'Population &amp; Income'!G79</f>
        <v>4365.0973625557208</v>
      </c>
      <c r="AF80" s="319">
        <f>H80/'Population &amp; Income'!H79</f>
        <v>4278.6199154908882</v>
      </c>
      <c r="AG80" s="319">
        <f>I80/'Population &amp; Income'!I79</f>
        <v>4445.0183726003488</v>
      </c>
      <c r="AH80" s="319">
        <f>J80/'Population &amp; Income'!J79</f>
        <v>4536.8116622119487</v>
      </c>
      <c r="AI80" s="319">
        <f>K80/'Population &amp; Income'!K79</f>
        <v>4709.1997420977013</v>
      </c>
      <c r="AJ80" s="319">
        <f>L80/'Population &amp; Income'!L79</f>
        <v>4794.9388910242724</v>
      </c>
      <c r="AK80" s="319">
        <f>M80/'Population &amp; Income'!M79</f>
        <v>4924.7292296749411</v>
      </c>
      <c r="AL80" s="319">
        <f>N80/'Population &amp; Income'!N79</f>
        <v>5142.9861051356938</v>
      </c>
      <c r="AM80" s="319">
        <f>O80/'Population &amp; Income'!O79</f>
        <v>5174.5027656238872</v>
      </c>
      <c r="AN80" s="319">
        <f>P80/'Population &amp; Income'!P79</f>
        <v>5344.4367821712021</v>
      </c>
      <c r="AO80" s="319">
        <f>Q80/'Population &amp; Income'!Q79</f>
        <v>5475.1280058028442</v>
      </c>
      <c r="AP80" s="319">
        <f>R80/'Population &amp; Income'!R79</f>
        <v>5599.2647627529204</v>
      </c>
      <c r="AQ80" s="319">
        <f>S80/'Population &amp; Income'!S79</f>
        <v>5507.1248125712664</v>
      </c>
      <c r="AR80" s="697">
        <f>T80/'Population &amp; Income'!T79</f>
        <v>5827.2764232062382</v>
      </c>
      <c r="AS80" s="697">
        <f>U80/'Population &amp; Income'!U79</f>
        <v>5685.1642603721666</v>
      </c>
      <c r="AT80" s="697">
        <f>V80/'Population &amp; Income'!V79</f>
        <v>5609.1594557429253</v>
      </c>
      <c r="AU80" s="697">
        <f>W80/'Population &amp; Income'!W79</f>
        <v>5649.867941610145</v>
      </c>
      <c r="AV80" s="690"/>
      <c r="AW80" s="486"/>
      <c r="AX80" s="13" t="s">
        <v>70</v>
      </c>
      <c r="AY80" s="40">
        <f t="shared" si="84"/>
        <v>5.5678740847138496E-2</v>
      </c>
      <c r="AZ80" s="40">
        <f t="shared" si="85"/>
        <v>4.4837705506489418E-2</v>
      </c>
      <c r="BA80" s="40">
        <f t="shared" si="86"/>
        <v>2.1205839482722966E-2</v>
      </c>
      <c r="BB80" s="40">
        <f t="shared" si="87"/>
        <v>9.1971958769331175E-2</v>
      </c>
      <c r="BC80" s="40">
        <f t="shared" si="88"/>
        <v>-4.1409434821346326E-2</v>
      </c>
      <c r="BD80" s="40">
        <f t="shared" si="89"/>
        <v>-9.0334068908984426E-3</v>
      </c>
      <c r="BE80" s="40">
        <f t="shared" si="90"/>
        <v>4.9884236688750527E-2</v>
      </c>
      <c r="BF80" s="40">
        <f t="shared" si="91"/>
        <v>2.740469378386072E-2</v>
      </c>
      <c r="BG80" s="40">
        <f t="shared" si="92"/>
        <v>4.3771362836312479E-2</v>
      </c>
      <c r="BH80" s="40">
        <f t="shared" si="93"/>
        <v>2.7642701978648727E-2</v>
      </c>
      <c r="BI80" s="40">
        <f t="shared" si="94"/>
        <v>2.7799255951662254E-2</v>
      </c>
      <c r="BJ80" s="40">
        <f t="shared" si="95"/>
        <v>4.2832930614555974E-2</v>
      </c>
      <c r="BK80" s="40">
        <f t="shared" si="96"/>
        <v>5.6980859772584958E-3</v>
      </c>
      <c r="BL80" s="40">
        <f t="shared" si="97"/>
        <v>3.8655113270235922E-2</v>
      </c>
      <c r="BM80" s="40">
        <f t="shared" si="98"/>
        <v>2.5832990014971989E-2</v>
      </c>
      <c r="BN80" s="40">
        <f t="shared" si="99"/>
        <v>1.5797616942841007E-2</v>
      </c>
      <c r="BO80" s="40">
        <f t="shared" si="100"/>
        <v>-1.6736014943202676E-2</v>
      </c>
      <c r="BP80" s="691">
        <f t="shared" si="101"/>
        <v>5.4137417612254719E-2</v>
      </c>
      <c r="BQ80" s="691">
        <f t="shared" si="102"/>
        <v>-3.6112345693302392E-2</v>
      </c>
      <c r="BR80" s="691">
        <f t="shared" si="103"/>
        <v>-1.294034414380882E-2</v>
      </c>
      <c r="BS80" s="691">
        <f t="shared" si="104"/>
        <v>-1.1186165094927198E-2</v>
      </c>
      <c r="BT80" s="40"/>
      <c r="BV80" s="13" t="s">
        <v>70</v>
      </c>
      <c r="BW80" s="40">
        <f t="shared" si="105"/>
        <v>5.5678740847138496E-2</v>
      </c>
      <c r="BX80" s="40">
        <f t="shared" si="106"/>
        <v>0.10301295333870406</v>
      </c>
      <c r="BY80" s="40">
        <f t="shared" si="107"/>
        <v>0.1264032689745688</v>
      </c>
      <c r="BZ80" s="40">
        <f t="shared" si="108"/>
        <v>0.23000078398633772</v>
      </c>
      <c r="CA80" s="40">
        <f t="shared" si="109"/>
        <v>0.17906714669165058</v>
      </c>
      <c r="CB80" s="40">
        <f t="shared" si="110"/>
        <v>0.16841615340389426</v>
      </c>
      <c r="CC80" s="40">
        <f t="shared" si="111"/>
        <v>0.22670170135125356</v>
      </c>
      <c r="CD80" s="40">
        <f t="shared" si="112"/>
        <v>0.26031908584092561</v>
      </c>
      <c r="CE80" s="40">
        <f t="shared" si="113"/>
        <v>0.31548496983679847</v>
      </c>
      <c r="CF80" s="40">
        <f t="shared" si="114"/>
        <v>0.35184852881538875</v>
      </c>
      <c r="CG80" s="40">
        <f t="shared" si="115"/>
        <v>0.38942891207580582</v>
      </c>
      <c r="CH80" s="40">
        <f t="shared" si="116"/>
        <v>0.44894222426060681</v>
      </c>
      <c r="CI80" s="40">
        <f t="shared" si="117"/>
        <v>0.45719842163052393</v>
      </c>
      <c r="CJ80" s="40">
        <f t="shared" si="118"/>
        <v>0.51352659167586079</v>
      </c>
      <c r="CK80" s="40">
        <f t="shared" si="119"/>
        <v>0.55262550900601792</v>
      </c>
      <c r="CL80" s="40">
        <f t="shared" si="120"/>
        <v>0.57715329205297849</v>
      </c>
      <c r="CM80" s="40">
        <f t="shared" si="121"/>
        <v>0.55075803098945864</v>
      </c>
      <c r="CN80" s="691">
        <f t="shared" si="122"/>
        <v>0.6347120661286928</v>
      </c>
      <c r="CO80" s="691">
        <f t="shared" si="123"/>
        <v>0.57567877888764074</v>
      </c>
      <c r="CP80" s="691">
        <f t="shared" si="124"/>
        <v>0.55528895322873828</v>
      </c>
      <c r="CQ80" s="691">
        <f t="shared" si="125"/>
        <v>0.5378912342276051</v>
      </c>
    </row>
    <row r="81" spans="1:95">
      <c r="A81" s="41" t="s">
        <v>300</v>
      </c>
      <c r="B81" s="320">
        <v>28718763.620000001</v>
      </c>
      <c r="C81" s="320">
        <v>30951149.859999999</v>
      </c>
      <c r="D81" s="320">
        <v>30893575.370000001</v>
      </c>
      <c r="E81" s="320">
        <v>33270458.940000001</v>
      </c>
      <c r="F81" s="320">
        <v>32994070.120000001</v>
      </c>
      <c r="G81" s="320">
        <v>36501851.549999997</v>
      </c>
      <c r="H81" s="320">
        <v>33302642.16</v>
      </c>
      <c r="I81" s="320">
        <v>34142494.189999998</v>
      </c>
      <c r="J81" s="320">
        <v>37694251.25</v>
      </c>
      <c r="K81" s="320">
        <v>38810327.770000003</v>
      </c>
      <c r="L81" s="320">
        <v>39787381.609999999</v>
      </c>
      <c r="M81" s="320">
        <v>40950324.780000001</v>
      </c>
      <c r="N81" s="320">
        <v>41464867.240000002</v>
      </c>
      <c r="O81" s="320">
        <v>41950735.18</v>
      </c>
      <c r="P81" s="320">
        <v>41010700.210000001</v>
      </c>
      <c r="Q81" s="320">
        <v>42337601.299999997</v>
      </c>
      <c r="R81" s="320">
        <v>43836501.950000003</v>
      </c>
      <c r="S81" s="320">
        <v>46094402.450000003</v>
      </c>
      <c r="T81" s="677">
        <v>50558664.210000001</v>
      </c>
      <c r="U81" s="677">
        <v>53061542.100000001</v>
      </c>
      <c r="V81" s="678">
        <v>54941084.619999997</v>
      </c>
      <c r="W81" s="809">
        <v>53551732.079999998</v>
      </c>
      <c r="X81" s="810"/>
      <c r="Y81" s="41" t="s">
        <v>300</v>
      </c>
      <c r="Z81" s="320">
        <f>B81/'Population &amp; Income'!B80</f>
        <v>3102.048349535537</v>
      </c>
      <c r="AA81" s="320">
        <f>C81/'Population &amp; Income'!C80</f>
        <v>3325.2202256123765</v>
      </c>
      <c r="AB81" s="320">
        <f>D81/'Population &amp; Income'!D80</f>
        <v>3327.6147533390781</v>
      </c>
      <c r="AC81" s="320">
        <f>E81/'Population &amp; Income'!E80</f>
        <v>3491.8617695214107</v>
      </c>
      <c r="AD81" s="320">
        <f>F81/'Population &amp; Income'!F80</f>
        <v>3402.1520024747369</v>
      </c>
      <c r="AE81" s="320">
        <f>G81/'Population &amp; Income'!G80</f>
        <v>3780.2248912593204</v>
      </c>
      <c r="AF81" s="320">
        <f>H81/'Population &amp; Income'!H80</f>
        <v>3436.0959719356169</v>
      </c>
      <c r="AG81" s="320">
        <f>I81/'Population &amp; Income'!I80</f>
        <v>3535.8838224937858</v>
      </c>
      <c r="AH81" s="320">
        <f>J81/'Population &amp; Income'!J80</f>
        <v>3881.6034651426216</v>
      </c>
      <c r="AI81" s="320">
        <f>K81/'Population &amp; Income'!K80</f>
        <v>3987.4990003082303</v>
      </c>
      <c r="AJ81" s="320">
        <f>L81/'Population &amp; Income'!L80</f>
        <v>4104.3306798019394</v>
      </c>
      <c r="AK81" s="320">
        <f>M81/'Population &amp; Income'!M80</f>
        <v>4177.7519669455214</v>
      </c>
      <c r="AL81" s="320">
        <f>N81/'Population &amp; Income'!N80</f>
        <v>4249.7557896894541</v>
      </c>
      <c r="AM81" s="320">
        <f>O81/'Population &amp; Income'!O80</f>
        <v>4321.2541388545533</v>
      </c>
      <c r="AN81" s="320">
        <f>P81/'Population &amp; Income'!P80</f>
        <v>4171.9939175991858</v>
      </c>
      <c r="AO81" s="320">
        <f>Q81/'Population &amp; Income'!Q80</f>
        <v>4366.5017842409234</v>
      </c>
      <c r="AP81" s="320">
        <f>R81/'Population &amp; Income'!R80</f>
        <v>4627.0320825416929</v>
      </c>
      <c r="AQ81" s="320">
        <f>S81/'Population &amp; Income'!S80</f>
        <v>4858.6910983451044</v>
      </c>
      <c r="AR81" s="698">
        <f>T81/'Population &amp; Income'!T80</f>
        <v>5340.5159195098768</v>
      </c>
      <c r="AS81" s="698">
        <f>U81/'Population &amp; Income'!U80</f>
        <v>5614.9780000000001</v>
      </c>
      <c r="AT81" s="698">
        <f>V81/'Population &amp; Income'!V80</f>
        <v>5925.4836734253668</v>
      </c>
      <c r="AU81" s="698">
        <f>W81/'Population &amp; Income'!W80</f>
        <v>5720.1166502883998</v>
      </c>
      <c r="AV81" s="696"/>
      <c r="AW81" s="486"/>
      <c r="AX81" s="13" t="s">
        <v>71</v>
      </c>
      <c r="AY81" s="40">
        <f t="shared" si="84"/>
        <v>7.7732672253527826E-2</v>
      </c>
      <c r="AZ81" s="40">
        <f t="shared" si="85"/>
        <v>-1.8601728937510421E-3</v>
      </c>
      <c r="BA81" s="40">
        <f t="shared" si="86"/>
        <v>7.6937795044212789E-2</v>
      </c>
      <c r="BB81" s="40">
        <f t="shared" si="87"/>
        <v>-8.3073341578617944E-3</v>
      </c>
      <c r="BC81" s="40">
        <f t="shared" si="88"/>
        <v>0.10631551115828192</v>
      </c>
      <c r="BD81" s="40">
        <f t="shared" si="89"/>
        <v>-8.7645126319626301E-2</v>
      </c>
      <c r="BE81" s="40">
        <f t="shared" si="90"/>
        <v>2.5218780719109088E-2</v>
      </c>
      <c r="BF81" s="40">
        <f t="shared" si="91"/>
        <v>0.10402746326131843</v>
      </c>
      <c r="BG81" s="40">
        <f t="shared" si="92"/>
        <v>2.9608666653114731E-2</v>
      </c>
      <c r="BH81" s="40">
        <f t="shared" si="93"/>
        <v>2.5175098901258158E-2</v>
      </c>
      <c r="BI81" s="40">
        <f t="shared" si="94"/>
        <v>2.9228944528174539E-2</v>
      </c>
      <c r="BJ81" s="40">
        <f t="shared" si="95"/>
        <v>1.2565039783305984E-2</v>
      </c>
      <c r="BK81" s="40">
        <f t="shared" si="96"/>
        <v>1.1717580987002277E-2</v>
      </c>
      <c r="BL81" s="40">
        <f t="shared" si="97"/>
        <v>-2.2408069035418483E-2</v>
      </c>
      <c r="BM81" s="40">
        <f t="shared" si="98"/>
        <v>3.2354997188671415E-2</v>
      </c>
      <c r="BN81" s="40">
        <f t="shared" si="99"/>
        <v>3.5403532651246496E-2</v>
      </c>
      <c r="BO81" s="40">
        <f t="shared" si="100"/>
        <v>5.1507314670667964E-2</v>
      </c>
      <c r="BP81" s="691">
        <f t="shared" si="101"/>
        <v>9.6850409653157304E-2</v>
      </c>
      <c r="BQ81" s="691">
        <f t="shared" si="102"/>
        <v>4.9504430726335452E-2</v>
      </c>
      <c r="BR81" s="691">
        <f t="shared" si="103"/>
        <v>3.5421935466138588E-2</v>
      </c>
      <c r="BS81" s="691">
        <f t="shared" si="104"/>
        <v>-2.5288043539901984E-2</v>
      </c>
      <c r="BT81" s="40"/>
      <c r="BV81" s="13" t="s">
        <v>71</v>
      </c>
      <c r="BW81" s="40">
        <f t="shared" si="105"/>
        <v>7.7732672253527826E-2</v>
      </c>
      <c r="BX81" s="40">
        <f t="shared" si="106"/>
        <v>7.5727903149891931E-2</v>
      </c>
      <c r="BY81" s="40">
        <f t="shared" si="107"/>
        <v>0.15849203608577911</v>
      </c>
      <c r="BZ81" s="40">
        <f t="shared" si="108"/>
        <v>0.14886805562279284</v>
      </c>
      <c r="CA81" s="40">
        <f t="shared" si="109"/>
        <v>0.27101055020975151</v>
      </c>
      <c r="CB81" s="40">
        <f t="shared" si="110"/>
        <v>0.15961266998304013</v>
      </c>
      <c r="CC81" s="40">
        <f t="shared" si="111"/>
        <v>0.18885668762644303</v>
      </c>
      <c r="CD81" s="40">
        <f t="shared" si="112"/>
        <v>0.31253043302147554</v>
      </c>
      <c r="CE81" s="40">
        <f t="shared" si="113"/>
        <v>0.35139270908487674</v>
      </c>
      <c r="CF81" s="40">
        <f t="shared" si="114"/>
        <v>0.38541415419052771</v>
      </c>
      <c r="CG81" s="40">
        <f t="shared" si="115"/>
        <v>0.42590834765191049</v>
      </c>
      <c r="CH81" s="40">
        <f t="shared" si="116"/>
        <v>0.44382494276750484</v>
      </c>
      <c r="CI81" s="40">
        <f t="shared" si="117"/>
        <v>0.46074307846543699</v>
      </c>
      <c r="CJ81" s="40">
        <f t="shared" si="118"/>
        <v>0.4280106467201738</v>
      </c>
      <c r="CK81" s="40">
        <f t="shared" si="119"/>
        <v>0.47421392718019784</v>
      </c>
      <c r="CL81" s="40">
        <f t="shared" si="120"/>
        <v>0.52640630808604427</v>
      </c>
      <c r="CM81" s="40">
        <f t="shared" si="121"/>
        <v>0.60502739811192474</v>
      </c>
      <c r="CN81" s="691">
        <f t="shared" si="122"/>
        <v>0.76047495912360585</v>
      </c>
      <c r="CO81" s="691">
        <f t="shared" si="123"/>
        <v>0.84762626978298861</v>
      </c>
      <c r="CP81" s="691">
        <f t="shared" si="124"/>
        <v>0.91307276827678407</v>
      </c>
      <c r="CQ81" s="691">
        <f t="shared" si="125"/>
        <v>0.86469490081759992</v>
      </c>
    </row>
    <row r="82" spans="1:95">
      <c r="A82" s="13" t="s">
        <v>301</v>
      </c>
      <c r="B82" s="320">
        <v>109479482.40000001</v>
      </c>
      <c r="C82" s="320">
        <v>112850584.7</v>
      </c>
      <c r="D82" s="320">
        <v>117655782.90000001</v>
      </c>
      <c r="E82" s="320">
        <v>109159810.23</v>
      </c>
      <c r="F82" s="320">
        <v>103853374.2</v>
      </c>
      <c r="G82" s="320">
        <v>106693669.41</v>
      </c>
      <c r="H82" s="320">
        <v>110667735.02</v>
      </c>
      <c r="I82" s="320">
        <v>113095594.27</v>
      </c>
      <c r="J82" s="320">
        <v>115819739.41</v>
      </c>
      <c r="K82" s="320">
        <v>129358580.23</v>
      </c>
      <c r="L82" s="320">
        <v>136275188.74000001</v>
      </c>
      <c r="M82" s="320">
        <v>147391607.41</v>
      </c>
      <c r="N82" s="320">
        <v>147169646.81</v>
      </c>
      <c r="O82" s="320">
        <v>152279257.44999999</v>
      </c>
      <c r="P82" s="320">
        <v>158891031.78</v>
      </c>
      <c r="Q82" s="320">
        <v>158285808.75</v>
      </c>
      <c r="R82" s="320">
        <v>163571655.68000001</v>
      </c>
      <c r="S82" s="320">
        <v>163796084.08000001</v>
      </c>
      <c r="T82" s="612">
        <v>172386470.87</v>
      </c>
      <c r="U82" s="612">
        <v>173572466.94999999</v>
      </c>
      <c r="V82" s="612">
        <v>169895117.28999999</v>
      </c>
      <c r="W82" s="909">
        <v>170353838.31</v>
      </c>
      <c r="X82" s="810"/>
      <c r="Y82" s="13" t="s">
        <v>301</v>
      </c>
      <c r="Z82" s="320">
        <f>B82/'Population &amp; Income'!B81</f>
        <v>6449.8340049487451</v>
      </c>
      <c r="AA82" s="320">
        <f>C82/'Population &amp; Income'!C81</f>
        <v>6531.8391329513224</v>
      </c>
      <c r="AB82" s="320">
        <f>D82/'Population &amp; Income'!D81</f>
        <v>6723.5717983884797</v>
      </c>
      <c r="AC82" s="320">
        <f>E82/'Population &amp; Income'!E81</f>
        <v>6191.3567143100227</v>
      </c>
      <c r="AD82" s="320">
        <f>F82/'Population &amp; Income'!F81</f>
        <v>5778.2993490235358</v>
      </c>
      <c r="AE82" s="320">
        <f>G82/'Population &amp; Income'!G81</f>
        <v>5923.1482490423577</v>
      </c>
      <c r="AF82" s="320">
        <f>H82/'Population &amp; Income'!H81</f>
        <v>6134.9151848772099</v>
      </c>
      <c r="AG82" s="320">
        <f>I82/'Population &amp; Income'!I81</f>
        <v>6227.3880441605634</v>
      </c>
      <c r="AH82" s="320">
        <f>J82/'Population &amp; Income'!J81</f>
        <v>6357.4343731474364</v>
      </c>
      <c r="AI82" s="320">
        <f>K82/'Population &amp; Income'!K81</f>
        <v>7094.7501908627219</v>
      </c>
      <c r="AJ82" s="320">
        <f>L82/'Population &amp; Income'!L81</f>
        <v>7461.8183617149434</v>
      </c>
      <c r="AK82" s="320">
        <f>M82/'Population &amp; Income'!M81</f>
        <v>8057.268212430984</v>
      </c>
      <c r="AL82" s="320">
        <f>N82/'Population &amp; Income'!N81</f>
        <v>8092.4693066094796</v>
      </c>
      <c r="AM82" s="320">
        <f>O82/'Population &amp; Income'!O81</f>
        <v>8387.2690818462215</v>
      </c>
      <c r="AN82" s="320">
        <f>P82/'Population &amp; Income'!P81</f>
        <v>8765.4345330170472</v>
      </c>
      <c r="AO82" s="320">
        <f>Q82/'Population &amp; Income'!Q81</f>
        <v>8733.9738867737124</v>
      </c>
      <c r="AP82" s="320">
        <f>R82/'Population &amp; Income'!R81</f>
        <v>9220.4991927846677</v>
      </c>
      <c r="AQ82" s="320">
        <f>S82/'Population &amp; Income'!S81</f>
        <v>9213.4145618179773</v>
      </c>
      <c r="AR82" s="698">
        <f>T82/'Population &amp; Income'!T81</f>
        <v>9598.3558390868602</v>
      </c>
      <c r="AS82" s="698">
        <f>U82/'Population &amp; Income'!U81</f>
        <v>9699.4952193350091</v>
      </c>
      <c r="AT82" s="698">
        <f>V82/'Population &amp; Income'!V81</f>
        <v>9422.9127726012193</v>
      </c>
      <c r="AU82" s="698">
        <f>W82/'Population &amp; Income'!W81</f>
        <v>9547.3764675222774</v>
      </c>
      <c r="AV82" s="696"/>
      <c r="AW82" s="486"/>
      <c r="AX82" s="13" t="s">
        <v>72</v>
      </c>
      <c r="AY82" s="40">
        <f t="shared" si="84"/>
        <v>3.0792092053222905E-2</v>
      </c>
      <c r="AZ82" s="40">
        <f t="shared" si="85"/>
        <v>4.258017991465491E-2</v>
      </c>
      <c r="BA82" s="40">
        <f t="shared" si="86"/>
        <v>-7.2210412957100817E-2</v>
      </c>
      <c r="BB82" s="40">
        <f t="shared" si="87"/>
        <v>-4.8611627473695004E-2</v>
      </c>
      <c r="BC82" s="40">
        <f t="shared" si="88"/>
        <v>2.7349089347161466E-2</v>
      </c>
      <c r="BD82" s="40">
        <f t="shared" si="89"/>
        <v>3.7247435878585734E-2</v>
      </c>
      <c r="BE82" s="40">
        <f t="shared" si="90"/>
        <v>2.1938275411177745E-2</v>
      </c>
      <c r="BF82" s="40">
        <f t="shared" si="91"/>
        <v>2.4087102221652269E-2</v>
      </c>
      <c r="BG82" s="40">
        <f t="shared" si="92"/>
        <v>0.11689579763318868</v>
      </c>
      <c r="BH82" s="40">
        <f t="shared" si="93"/>
        <v>5.346849430244404E-2</v>
      </c>
      <c r="BI82" s="40">
        <f t="shared" si="94"/>
        <v>8.1573313328584321E-2</v>
      </c>
      <c r="BJ82" s="40">
        <f t="shared" si="95"/>
        <v>-1.5059242781888191E-3</v>
      </c>
      <c r="BK82" s="40">
        <f t="shared" si="96"/>
        <v>3.4719188030644874E-2</v>
      </c>
      <c r="BL82" s="40">
        <f t="shared" si="97"/>
        <v>4.3418745538412878E-2</v>
      </c>
      <c r="BM82" s="40">
        <f t="shared" si="98"/>
        <v>-3.8090446214610212E-3</v>
      </c>
      <c r="BN82" s="40">
        <f t="shared" si="99"/>
        <v>3.3394319880871867E-2</v>
      </c>
      <c r="BO82" s="40">
        <f t="shared" si="100"/>
        <v>1.3720494487080438E-3</v>
      </c>
      <c r="BP82" s="691">
        <f t="shared" si="101"/>
        <v>5.2445617599773273E-2</v>
      </c>
      <c r="BQ82" s="691">
        <f t="shared" si="102"/>
        <v>6.8798675094077777E-3</v>
      </c>
      <c r="BR82" s="691">
        <f t="shared" si="103"/>
        <v>-2.1186249896761041E-2</v>
      </c>
      <c r="BS82" s="691">
        <f t="shared" si="104"/>
        <v>2.7000247406581061E-3</v>
      </c>
      <c r="BT82" s="40"/>
      <c r="BV82" s="13" t="s">
        <v>72</v>
      </c>
      <c r="BW82" s="40">
        <f t="shared" si="105"/>
        <v>3.0792092053222905E-2</v>
      </c>
      <c r="BX82" s="40">
        <f t="shared" si="106"/>
        <v>7.4683404787452667E-2</v>
      </c>
      <c r="BY82" s="40">
        <f t="shared" si="107"/>
        <v>-2.9199276703924366E-3</v>
      </c>
      <c r="BZ82" s="40">
        <f t="shared" si="108"/>
        <v>-5.1389612707924193E-2</v>
      </c>
      <c r="CA82" s="40">
        <f t="shared" si="109"/>
        <v>-2.5445982470227769E-2</v>
      </c>
      <c r="CB82" s="40">
        <f t="shared" si="110"/>
        <v>1.0853655807930544E-2</v>
      </c>
      <c r="CC82" s="40">
        <f t="shared" si="111"/>
        <v>3.3030041709440794E-2</v>
      </c>
      <c r="CD82" s="40">
        <f t="shared" si="112"/>
        <v>5.7912741922133804E-2</v>
      </c>
      <c r="CE82" s="40">
        <f t="shared" si="113"/>
        <v>0.18157829571543532</v>
      </c>
      <c r="CF82" s="40">
        <f t="shared" si="114"/>
        <v>0.24475550808778762</v>
      </c>
      <c r="CG82" s="40">
        <f t="shared" si="115"/>
        <v>0.34629433916651392</v>
      </c>
      <c r="CH82" s="40">
        <f t="shared" si="116"/>
        <v>0.34426692183557489</v>
      </c>
      <c r="CI82" s="40">
        <f t="shared" si="117"/>
        <v>0.39093877785816039</v>
      </c>
      <c r="CJ82" s="40">
        <f t="shared" si="118"/>
        <v>0.45133159471349488</v>
      </c>
      <c r="CK82" s="40">
        <f t="shared" si="119"/>
        <v>0.44580340790869499</v>
      </c>
      <c r="CL82" s="40">
        <f t="shared" si="120"/>
        <v>0.49408502939725257</v>
      </c>
      <c r="CM82" s="40">
        <f t="shared" si="121"/>
        <v>0.49613498793816002</v>
      </c>
      <c r="CN82" s="691">
        <f t="shared" si="122"/>
        <v>0.57460071139320623</v>
      </c>
      <c r="CO82" s="691">
        <f t="shared" si="123"/>
        <v>0.58543375566781064</v>
      </c>
      <c r="CP82" s="691">
        <f t="shared" si="124"/>
        <v>0.55184435992547209</v>
      </c>
      <c r="CQ82" s="691">
        <f t="shared" si="125"/>
        <v>0.5560343780909216</v>
      </c>
    </row>
    <row r="83" spans="1:95">
      <c r="A83" s="13" t="s">
        <v>73</v>
      </c>
      <c r="B83" s="319">
        <v>18326133.600000001</v>
      </c>
      <c r="C83" s="319">
        <v>19701308.890000001</v>
      </c>
      <c r="D83" s="319">
        <v>19890382.289999999</v>
      </c>
      <c r="E83" s="319">
        <v>20591569.559999999</v>
      </c>
      <c r="F83" s="319">
        <v>19848861.420000002</v>
      </c>
      <c r="G83" s="319">
        <v>19488925.640000001</v>
      </c>
      <c r="H83" s="319">
        <v>19522231.829999998</v>
      </c>
      <c r="I83" s="319">
        <v>20941185.059999999</v>
      </c>
      <c r="J83" s="319">
        <v>19810582.219999999</v>
      </c>
      <c r="K83" s="319">
        <v>19523343.399999999</v>
      </c>
      <c r="L83" s="319">
        <v>19814046.760000002</v>
      </c>
      <c r="M83" s="319">
        <v>22149921.559999999</v>
      </c>
      <c r="N83" s="319">
        <v>22301411.48</v>
      </c>
      <c r="O83" s="319">
        <v>22875985</v>
      </c>
      <c r="P83" s="319">
        <v>23677748.27</v>
      </c>
      <c r="Q83" s="319">
        <v>25824178.219999999</v>
      </c>
      <c r="R83" s="319">
        <v>25840540.32</v>
      </c>
      <c r="S83" s="319">
        <v>26222265.800000001</v>
      </c>
      <c r="T83" s="677">
        <v>27451390.84</v>
      </c>
      <c r="U83" s="677">
        <v>27503582.390000001</v>
      </c>
      <c r="V83" s="678">
        <v>27573547.739999998</v>
      </c>
      <c r="W83" s="809">
        <v>27711238.449999999</v>
      </c>
      <c r="X83" s="810"/>
      <c r="Y83" s="13" t="s">
        <v>73</v>
      </c>
      <c r="Z83" s="319">
        <f>B83/'Population &amp; Income'!B82</f>
        <v>4335.4941092973741</v>
      </c>
      <c r="AA83" s="319">
        <f>C83/'Population &amp; Income'!C82</f>
        <v>4661.9282749645054</v>
      </c>
      <c r="AB83" s="319">
        <f>D83/'Population &amp; Income'!D82</f>
        <v>4677.888591251176</v>
      </c>
      <c r="AC83" s="319">
        <f>E83/'Population &amp; Income'!E82</f>
        <v>4928.5709813307803</v>
      </c>
      <c r="AD83" s="319">
        <f>F83/'Population &amp; Income'!F82</f>
        <v>4750.8045524174249</v>
      </c>
      <c r="AE83" s="319">
        <f>G83/'Population &amp; Income'!G82</f>
        <v>4657.9650191204591</v>
      </c>
      <c r="AF83" s="319">
        <f>H83/'Population &amp; Income'!H82</f>
        <v>4598.8767561837449</v>
      </c>
      <c r="AG83" s="319">
        <f>I83/'Population &amp; Income'!I82</f>
        <v>4911.1597232645399</v>
      </c>
      <c r="AH83" s="319">
        <f>J83/'Population &amp; Income'!J82</f>
        <v>4593.2256480408068</v>
      </c>
      <c r="AI83" s="319">
        <f>K83/'Population &amp; Income'!K82</f>
        <v>4561.5288317757004</v>
      </c>
      <c r="AJ83" s="319">
        <f>L83/'Population &amp; Income'!L82</f>
        <v>4643.5544316850246</v>
      </c>
      <c r="AK83" s="319">
        <f>M83/'Population &amp; Income'!M82</f>
        <v>5135.6182610711794</v>
      </c>
      <c r="AL83" s="319">
        <f>N83/'Population &amp; Income'!N82</f>
        <v>5088.1614145562398</v>
      </c>
      <c r="AM83" s="319">
        <f>O83/'Population &amp; Income'!O82</f>
        <v>5182.5974173085633</v>
      </c>
      <c r="AN83" s="319">
        <f>P83/'Population &amp; Income'!P82</f>
        <v>5336.4318841559607</v>
      </c>
      <c r="AO83" s="319">
        <f>Q83/'Population &amp; Income'!Q82</f>
        <v>5894.5853047249484</v>
      </c>
      <c r="AP83" s="319">
        <f>R83/'Population &amp; Income'!R82</f>
        <v>5913.1671212814645</v>
      </c>
      <c r="AQ83" s="319">
        <f>S83/'Population &amp; Income'!S82</f>
        <v>6017.0412574575494</v>
      </c>
      <c r="AR83" s="697">
        <f>T83/'Population &amp; Income'!T82</f>
        <v>6241.7896407457938</v>
      </c>
      <c r="AS83" s="697">
        <f>U83/'Population &amp; Income'!U82</f>
        <v>6202.8828123590438</v>
      </c>
      <c r="AT83" s="697">
        <f>V83/'Population &amp; Income'!V82</f>
        <v>6275.2725853436505</v>
      </c>
      <c r="AU83" s="697">
        <f>W83/'Population &amp; Income'!W82</f>
        <v>6147.1247670807452</v>
      </c>
      <c r="AV83" s="690"/>
      <c r="AW83" s="486"/>
      <c r="AX83" s="13" t="s">
        <v>73</v>
      </c>
      <c r="AY83" s="40">
        <f t="shared" si="84"/>
        <v>7.5039030054871961E-2</v>
      </c>
      <c r="AZ83" s="40">
        <f t="shared" si="85"/>
        <v>9.5969968825760851E-3</v>
      </c>
      <c r="BA83" s="40">
        <f t="shared" si="86"/>
        <v>3.5252578848246945E-2</v>
      </c>
      <c r="BB83" s="40">
        <f t="shared" si="87"/>
        <v>-3.6068554067036206E-2</v>
      </c>
      <c r="BC83" s="40">
        <f t="shared" si="88"/>
        <v>-1.8133825028236867E-2</v>
      </c>
      <c r="BD83" s="40">
        <f t="shared" si="89"/>
        <v>1.708980300670777E-3</v>
      </c>
      <c r="BE83" s="40">
        <f t="shared" si="90"/>
        <v>7.2683965765608913E-2</v>
      </c>
      <c r="BF83" s="40">
        <f t="shared" si="91"/>
        <v>-5.3989439315904691E-2</v>
      </c>
      <c r="BG83" s="40">
        <f t="shared" si="92"/>
        <v>-1.4499261900037197E-2</v>
      </c>
      <c r="BH83" s="40">
        <f t="shared" si="93"/>
        <v>1.4890039786935426E-2</v>
      </c>
      <c r="BI83" s="40">
        <f t="shared" si="94"/>
        <v>0.11788983988447986</v>
      </c>
      <c r="BJ83" s="40">
        <f t="shared" si="95"/>
        <v>6.8392982607023639E-3</v>
      </c>
      <c r="BK83" s="40">
        <f t="shared" si="96"/>
        <v>2.5763997965567314E-2</v>
      </c>
      <c r="BL83" s="40">
        <f t="shared" si="97"/>
        <v>3.5048251255628972E-2</v>
      </c>
      <c r="BM83" s="40">
        <f t="shared" si="98"/>
        <v>9.0651776745154122E-2</v>
      </c>
      <c r="BN83" s="40">
        <f t="shared" si="99"/>
        <v>6.33596153984469E-4</v>
      </c>
      <c r="BO83" s="40">
        <f t="shared" si="100"/>
        <v>1.4772349001717795E-2</v>
      </c>
      <c r="BP83" s="691">
        <f t="shared" si="101"/>
        <v>4.6873334645246373E-2</v>
      </c>
      <c r="BQ83" s="691">
        <f t="shared" si="102"/>
        <v>1.9012351798201547E-3</v>
      </c>
      <c r="BR83" s="691">
        <f t="shared" si="103"/>
        <v>2.5438631596383021E-3</v>
      </c>
      <c r="BS83" s="691">
        <f t="shared" si="104"/>
        <v>4.993579763414256E-3</v>
      </c>
      <c r="BT83" s="40"/>
      <c r="BV83" s="13" t="s">
        <v>73</v>
      </c>
      <c r="BW83" s="40">
        <f t="shared" si="105"/>
        <v>7.5039030054871961E-2</v>
      </c>
      <c r="BX83" s="40">
        <f t="shared" si="106"/>
        <v>8.5356176274956189E-2</v>
      </c>
      <c r="BY83" s="40">
        <f t="shared" si="107"/>
        <v>0.12361778045752089</v>
      </c>
      <c r="BZ83" s="40">
        <f t="shared" si="108"/>
        <v>8.3090511792405577E-2</v>
      </c>
      <c r="CA83" s="40">
        <f t="shared" si="109"/>
        <v>6.3449937961818581E-2</v>
      </c>
      <c r="CB83" s="40">
        <f t="shared" si="110"/>
        <v>6.5267352956544886E-2</v>
      </c>
      <c r="CC83" s="40">
        <f t="shared" si="111"/>
        <v>0.14269520877005923</v>
      </c>
      <c r="CD83" s="40">
        <f t="shared" si="112"/>
        <v>8.1001735139593065E-2</v>
      </c>
      <c r="CE83" s="40">
        <f t="shared" si="113"/>
        <v>6.5328007867409457E-2</v>
      </c>
      <c r="CF83" s="40">
        <f t="shared" si="114"/>
        <v>8.1190784290691848E-2</v>
      </c>
      <c r="CG83" s="40">
        <f t="shared" si="115"/>
        <v>0.2086521927352967</v>
      </c>
      <c r="CH83" s="40">
        <f t="shared" si="116"/>
        <v>0.21691852557486532</v>
      </c>
      <c r="CI83" s="40">
        <f t="shared" si="117"/>
        <v>0.24827121199203733</v>
      </c>
      <c r="CJ83" s="40">
        <f t="shared" si="118"/>
        <v>0.29202093506510274</v>
      </c>
      <c r="CK83" s="40">
        <f t="shared" si="119"/>
        <v>0.40914492842068972</v>
      </c>
      <c r="CL83" s="40">
        <f t="shared" si="120"/>
        <v>0.41003775722774377</v>
      </c>
      <c r="CM83" s="40">
        <f t="shared" si="121"/>
        <v>0.43086732708311143</v>
      </c>
      <c r="CN83" s="691">
        <f t="shared" si="122"/>
        <v>0.49793685013842731</v>
      </c>
      <c r="CO83" s="691">
        <f t="shared" si="123"/>
        <v>0.50078478037505947</v>
      </c>
      <c r="CP83" s="691">
        <f t="shared" si="124"/>
        <v>0.50460257148840149</v>
      </c>
      <c r="CQ83" s="691">
        <f t="shared" si="125"/>
        <v>0.512115924441367</v>
      </c>
    </row>
    <row r="84" spans="1:95">
      <c r="A84" s="13" t="s">
        <v>74</v>
      </c>
      <c r="B84" s="319">
        <v>24860775.98</v>
      </c>
      <c r="C84" s="319">
        <v>25677286.800000001</v>
      </c>
      <c r="D84" s="319">
        <v>25710019.989999998</v>
      </c>
      <c r="E84" s="319">
        <v>29716072.07</v>
      </c>
      <c r="F84" s="319">
        <v>28884859.620000001</v>
      </c>
      <c r="G84" s="319">
        <v>30053519.050000001</v>
      </c>
      <c r="H84" s="319">
        <v>29523364.25</v>
      </c>
      <c r="I84" s="319">
        <v>29908419.350000001</v>
      </c>
      <c r="J84" s="319">
        <v>31000508.260000002</v>
      </c>
      <c r="K84" s="319">
        <v>32803469.640000001</v>
      </c>
      <c r="L84" s="319">
        <v>34075635.789999999</v>
      </c>
      <c r="M84" s="319">
        <v>37039487.159999996</v>
      </c>
      <c r="N84" s="319">
        <v>39356647.68</v>
      </c>
      <c r="O84" s="319">
        <v>37778038.5</v>
      </c>
      <c r="P84" s="319">
        <v>38117228.469999999</v>
      </c>
      <c r="Q84" s="319">
        <v>40296787.210000001</v>
      </c>
      <c r="R84" s="319">
        <v>40296786.530000001</v>
      </c>
      <c r="S84" s="319">
        <v>43186010.079999998</v>
      </c>
      <c r="T84" s="677">
        <v>46425378.719999999</v>
      </c>
      <c r="U84" s="677">
        <v>47973416.93</v>
      </c>
      <c r="V84" s="678">
        <v>50803965.100000001</v>
      </c>
      <c r="W84" s="809">
        <v>50927679.5</v>
      </c>
      <c r="X84" s="810"/>
      <c r="Y84" s="13" t="s">
        <v>74</v>
      </c>
      <c r="Z84" s="319">
        <f>B84/'Population &amp; Income'!B83</f>
        <v>5100.6926508001643</v>
      </c>
      <c r="AA84" s="319">
        <f>C84/'Population &amp; Income'!C83</f>
        <v>5226.3966619173625</v>
      </c>
      <c r="AB84" s="319">
        <f>D84/'Population &amp; Income'!D83</f>
        <v>5270.6068040180398</v>
      </c>
      <c r="AC84" s="319">
        <f>E84/'Population &amp; Income'!E83</f>
        <v>5974.2806735022114</v>
      </c>
      <c r="AD84" s="319">
        <f>F84/'Population &amp; Income'!F83</f>
        <v>5804.8351326366565</v>
      </c>
      <c r="AE84" s="319">
        <f>G84/'Population &amp; Income'!G83</f>
        <v>6064.0676049233252</v>
      </c>
      <c r="AF84" s="319">
        <f>H84/'Population &amp; Income'!H83</f>
        <v>6053.5911933565712</v>
      </c>
      <c r="AG84" s="319">
        <f>I84/'Population &amp; Income'!I83</f>
        <v>6130.0306107808983</v>
      </c>
      <c r="AH84" s="319">
        <f>J84/'Population &amp; Income'!J83</f>
        <v>6407.711504754031</v>
      </c>
      <c r="AI84" s="319">
        <f>K84/'Population &amp; Income'!K83</f>
        <v>6844.0370623826411</v>
      </c>
      <c r="AJ84" s="319">
        <f>L84/'Population &amp; Income'!L83</f>
        <v>7065.2365312046441</v>
      </c>
      <c r="AK84" s="319">
        <f>M84/'Population &amp; Income'!M83</f>
        <v>7668.6308819875767</v>
      </c>
      <c r="AL84" s="319">
        <f>N84/'Population &amp; Income'!N83</f>
        <v>8168.6690909090912</v>
      </c>
      <c r="AM84" s="319">
        <f>O84/'Population &amp; Income'!O83</f>
        <v>7802.1558240396535</v>
      </c>
      <c r="AN84" s="319">
        <f>P84/'Population &amp; Income'!P83</f>
        <v>7886.8670535899028</v>
      </c>
      <c r="AO84" s="319">
        <f>Q84/'Population &amp; Income'!Q83</f>
        <v>8320.6250691720015</v>
      </c>
      <c r="AP84" s="319">
        <f>R84/'Population &amp; Income'!R83</f>
        <v>8262.6177014558125</v>
      </c>
      <c r="AQ84" s="319">
        <f>S84/'Population &amp; Income'!S83</f>
        <v>8775.8606136964027</v>
      </c>
      <c r="AR84" s="697">
        <f>T84/'Population &amp; Income'!T83</f>
        <v>9542.7294388489208</v>
      </c>
      <c r="AS84" s="697">
        <f>U84/'Population &amp; Income'!U83</f>
        <v>9873.1049454620297</v>
      </c>
      <c r="AT84" s="697">
        <f>V84/'Population &amp; Income'!V83</f>
        <v>10300.8850567721</v>
      </c>
      <c r="AU84" s="697">
        <f>W84/'Population &amp; Income'!W83</f>
        <v>10261.470783800121</v>
      </c>
      <c r="AV84" s="690"/>
      <c r="AW84" s="486"/>
      <c r="AX84" s="13" t="s">
        <v>74</v>
      </c>
      <c r="AY84" s="40">
        <f t="shared" si="84"/>
        <v>3.2843336051009309E-2</v>
      </c>
      <c r="AZ84" s="40">
        <f t="shared" si="85"/>
        <v>1.2747916185598556E-3</v>
      </c>
      <c r="BA84" s="40">
        <f t="shared" si="86"/>
        <v>0.1558167625524278</v>
      </c>
      <c r="BB84" s="40">
        <f t="shared" si="87"/>
        <v>-2.7971814311190665E-2</v>
      </c>
      <c r="BC84" s="40">
        <f t="shared" si="88"/>
        <v>4.0459238693713949E-2</v>
      </c>
      <c r="BD84" s="40">
        <f t="shared" si="89"/>
        <v>-1.7640356828695598E-2</v>
      </c>
      <c r="BE84" s="40">
        <f t="shared" si="90"/>
        <v>1.3042385574333775E-2</v>
      </c>
      <c r="BF84" s="40">
        <f t="shared" si="91"/>
        <v>3.6514430843701547E-2</v>
      </c>
      <c r="BG84" s="40">
        <f t="shared" si="92"/>
        <v>5.8159090969691053E-2</v>
      </c>
      <c r="BH84" s="40">
        <f t="shared" si="93"/>
        <v>3.8781450985561003E-2</v>
      </c>
      <c r="BI84" s="40">
        <f t="shared" si="94"/>
        <v>8.6978608066640484E-2</v>
      </c>
      <c r="BJ84" s="40">
        <f t="shared" si="95"/>
        <v>6.2559195541518495E-2</v>
      </c>
      <c r="BK84" s="40">
        <f t="shared" si="96"/>
        <v>-4.0110356777216236E-2</v>
      </c>
      <c r="BL84" s="40">
        <f t="shared" si="97"/>
        <v>8.9784960645852164E-3</v>
      </c>
      <c r="BM84" s="40">
        <f t="shared" si="98"/>
        <v>5.7180409685751797E-2</v>
      </c>
      <c r="BN84" s="40">
        <f t="shared" si="99"/>
        <v>-1.6874794413715165E-8</v>
      </c>
      <c r="BO84" s="40">
        <f t="shared" si="100"/>
        <v>7.1698609214137676E-2</v>
      </c>
      <c r="BP84" s="691">
        <f t="shared" si="101"/>
        <v>7.5009676374344997E-2</v>
      </c>
      <c r="BQ84" s="691">
        <f t="shared" si="102"/>
        <v>3.3344654425686092E-2</v>
      </c>
      <c r="BR84" s="691">
        <f t="shared" si="103"/>
        <v>5.9002429910926961E-2</v>
      </c>
      <c r="BS84" s="691">
        <f t="shared" si="104"/>
        <v>2.4351327648636329E-3</v>
      </c>
      <c r="BT84" s="40"/>
      <c r="BV84" s="13" t="s">
        <v>74</v>
      </c>
      <c r="BW84" s="40">
        <f t="shared" si="105"/>
        <v>3.2843336051009309E-2</v>
      </c>
      <c r="BX84" s="40">
        <f t="shared" si="106"/>
        <v>3.4159996079092536E-2</v>
      </c>
      <c r="BY84" s="40">
        <f t="shared" si="107"/>
        <v>0.19529945862936815</v>
      </c>
      <c r="BZ84" s="40">
        <f t="shared" si="108"/>
        <v>0.16186476412632075</v>
      </c>
      <c r="CA84" s="40">
        <f t="shared" si="109"/>
        <v>0.20887292794792323</v>
      </c>
      <c r="CB84" s="40">
        <f t="shared" si="110"/>
        <v>0.18754797813837182</v>
      </c>
      <c r="CC84" s="40">
        <f t="shared" si="111"/>
        <v>0.20303643675727298</v>
      </c>
      <c r="CD84" s="40">
        <f t="shared" si="112"/>
        <v>0.24696462752969955</v>
      </c>
      <c r="CE84" s="40">
        <f t="shared" si="113"/>
        <v>0.31948695673818628</v>
      </c>
      <c r="CF84" s="40">
        <f t="shared" si="114"/>
        <v>0.37065857547701531</v>
      </c>
      <c r="CG84" s="40">
        <f t="shared" si="115"/>
        <v>0.48987655050661039</v>
      </c>
      <c r="CH84" s="40">
        <f t="shared" si="116"/>
        <v>0.58308202896247641</v>
      </c>
      <c r="CI84" s="40">
        <f t="shared" si="117"/>
        <v>0.51958404397319213</v>
      </c>
      <c r="CJ84" s="40">
        <f t="shared" si="118"/>
        <v>0.53322762333181195</v>
      </c>
      <c r="CK84" s="40">
        <f t="shared" si="119"/>
        <v>0.62089820697543652</v>
      </c>
      <c r="CL84" s="40">
        <f t="shared" si="120"/>
        <v>0.62089817962311245</v>
      </c>
      <c r="CM84" s="40">
        <f t="shared" si="121"/>
        <v>0.7371143247798172</v>
      </c>
      <c r="CN84" s="691">
        <f t="shared" si="122"/>
        <v>0.86741470810679011</v>
      </c>
      <c r="CO84" s="691">
        <f t="shared" si="123"/>
        <v>0.92968300621805444</v>
      </c>
      <c r="CP84" s="691">
        <f t="shared" si="124"/>
        <v>1.0435389925427421</v>
      </c>
      <c r="CQ84" s="691">
        <f t="shared" si="125"/>
        <v>1.0485152812997593</v>
      </c>
    </row>
    <row r="85" spans="1:95">
      <c r="A85" s="13" t="s">
        <v>75</v>
      </c>
      <c r="B85" s="319">
        <v>248346008.59999999</v>
      </c>
      <c r="C85" s="319">
        <v>274658656.5</v>
      </c>
      <c r="D85" s="319">
        <v>289741583.39999998</v>
      </c>
      <c r="E85" s="319">
        <v>282654772.16000003</v>
      </c>
      <c r="F85" s="319">
        <v>254264873.53999999</v>
      </c>
      <c r="G85" s="319">
        <v>242729635.25</v>
      </c>
      <c r="H85" s="319">
        <v>239398531.61000001</v>
      </c>
      <c r="I85" s="319">
        <v>251312583.27000001</v>
      </c>
      <c r="J85" s="319">
        <v>263795758.87</v>
      </c>
      <c r="K85" s="319">
        <v>266169464.03</v>
      </c>
      <c r="L85" s="319">
        <v>277956032.66000003</v>
      </c>
      <c r="M85" s="319">
        <v>282496928.82999998</v>
      </c>
      <c r="N85" s="319">
        <v>288523075.77999997</v>
      </c>
      <c r="O85" s="319">
        <v>288568560.86000001</v>
      </c>
      <c r="P85" s="319">
        <v>293122749.11000001</v>
      </c>
      <c r="Q85" s="319">
        <v>310864582.01999998</v>
      </c>
      <c r="R85" s="319">
        <v>314887601</v>
      </c>
      <c r="S85" s="319">
        <v>324858143.62</v>
      </c>
      <c r="T85" s="677">
        <v>350507047.68000001</v>
      </c>
      <c r="U85" s="677">
        <v>356621850.06999999</v>
      </c>
      <c r="V85" s="678">
        <v>356546945.98000002</v>
      </c>
      <c r="W85" s="809">
        <v>346390418</v>
      </c>
      <c r="X85" s="810"/>
      <c r="Y85" s="13" t="s">
        <v>75</v>
      </c>
      <c r="Z85" s="319">
        <f>B85/'Population &amp; Income'!B84</f>
        <v>6191.7776209828216</v>
      </c>
      <c r="AA85" s="319">
        <f>C85/'Population &amp; Income'!C84</f>
        <v>6819.4124664812789</v>
      </c>
      <c r="AB85" s="319">
        <f>D85/'Population &amp; Income'!D84</f>
        <v>7206.7849815938707</v>
      </c>
      <c r="AC85" s="319">
        <f>E85/'Population &amp; Income'!E84</f>
        <v>6985.33936733887</v>
      </c>
      <c r="AD85" s="319">
        <f>F85/'Population &amp; Income'!F84</f>
        <v>6298.2059780535528</v>
      </c>
      <c r="AE85" s="319">
        <f>G85/'Population &amp; Income'!G84</f>
        <v>6037.1495610107941</v>
      </c>
      <c r="AF85" s="319">
        <f>H85/'Population &amp; Income'!H84</f>
        <v>6002.2196718064442</v>
      </c>
      <c r="AG85" s="319">
        <f>I85/'Population &amp; Income'!I84</f>
        <v>6306.4638210790463</v>
      </c>
      <c r="AH85" s="319">
        <f>J85/'Population &amp; Income'!J84</f>
        <v>6644.0600158674188</v>
      </c>
      <c r="AI85" s="319">
        <f>K85/'Population &amp; Income'!K84</f>
        <v>6701.3133268712709</v>
      </c>
      <c r="AJ85" s="319">
        <f>L85/'Population &amp; Income'!L84</f>
        <v>7014.4862630596081</v>
      </c>
      <c r="AK85" s="319">
        <f>M85/'Population &amp; Income'!M84</f>
        <v>7150.1918254068687</v>
      </c>
      <c r="AL85" s="319">
        <f>N85/'Population &amp; Income'!N84</f>
        <v>7342.8619799964363</v>
      </c>
      <c r="AM85" s="319">
        <f>O85/'Population &amp; Income'!O84</f>
        <v>7364.2608360341974</v>
      </c>
      <c r="AN85" s="319">
        <f>P85/'Population &amp; Income'!P84</f>
        <v>7472.2838051901708</v>
      </c>
      <c r="AO85" s="319">
        <f>Q85/'Population &amp; Income'!Q84</f>
        <v>7947.4519243257055</v>
      </c>
      <c r="AP85" s="319">
        <f>R85/'Population &amp; Income'!R84</f>
        <v>8045.3665397685172</v>
      </c>
      <c r="AQ85" s="319">
        <f>S85/'Population &amp; Income'!S84</f>
        <v>8268.2143960295234</v>
      </c>
      <c r="AR85" s="697">
        <f>T85/'Population &amp; Income'!T84</f>
        <v>9015.5627264776995</v>
      </c>
      <c r="AS85" s="697">
        <f>U85/'Population &amp; Income'!U84</f>
        <v>9143.2122364372881</v>
      </c>
      <c r="AT85" s="697">
        <f>V85/'Population &amp; Income'!V84</f>
        <v>9202.3989154729643</v>
      </c>
      <c r="AU85" s="697">
        <f>W85/'Population &amp; Income'!W84</f>
        <v>8987.5825225084973</v>
      </c>
      <c r="AV85" s="690"/>
      <c r="AW85" s="486"/>
      <c r="AX85" s="13" t="s">
        <v>75</v>
      </c>
      <c r="AY85" s="40">
        <f t="shared" si="84"/>
        <v>0.10595156349937812</v>
      </c>
      <c r="AZ85" s="40">
        <f t="shared" si="85"/>
        <v>5.491517031432059E-2</v>
      </c>
      <c r="BA85" s="40">
        <f t="shared" si="86"/>
        <v>-2.4459075417615567E-2</v>
      </c>
      <c r="BB85" s="40">
        <f t="shared" si="87"/>
        <v>-0.10044018858429038</v>
      </c>
      <c r="BC85" s="40">
        <f t="shared" si="88"/>
        <v>-4.5367014835359522E-2</v>
      </c>
      <c r="BD85" s="40">
        <f t="shared" si="89"/>
        <v>-1.3723514380801121E-2</v>
      </c>
      <c r="BE85" s="40">
        <f t="shared" si="90"/>
        <v>4.9766602910534849E-2</v>
      </c>
      <c r="BF85" s="40">
        <f t="shared" si="91"/>
        <v>4.9671908336514047E-2</v>
      </c>
      <c r="BG85" s="40">
        <f t="shared" si="92"/>
        <v>8.9982688507504443E-3</v>
      </c>
      <c r="BH85" s="40">
        <f t="shared" si="93"/>
        <v>4.4282196956565836E-2</v>
      </c>
      <c r="BI85" s="40">
        <f t="shared" si="94"/>
        <v>1.6336742637115018E-2</v>
      </c>
      <c r="BJ85" s="40">
        <f t="shared" si="95"/>
        <v>2.1331725534001759E-2</v>
      </c>
      <c r="BK85" s="40">
        <f t="shared" si="96"/>
        <v>1.5764797972251437E-4</v>
      </c>
      <c r="BL85" s="40">
        <f t="shared" si="97"/>
        <v>1.5781997305692214E-2</v>
      </c>
      <c r="BM85" s="40">
        <f t="shared" si="98"/>
        <v>6.0526973644553256E-2</v>
      </c>
      <c r="BN85" s="40">
        <f t="shared" si="99"/>
        <v>1.2941387384366584E-2</v>
      </c>
      <c r="BO85" s="40">
        <f t="shared" si="100"/>
        <v>3.1663814606660248E-2</v>
      </c>
      <c r="BP85" s="691">
        <f t="shared" si="101"/>
        <v>7.8954166807043591E-2</v>
      </c>
      <c r="BQ85" s="691">
        <f t="shared" si="102"/>
        <v>1.7445590411016711E-2</v>
      </c>
      <c r="BR85" s="691">
        <f t="shared" si="103"/>
        <v>-2.1003785938879271E-4</v>
      </c>
      <c r="BS85" s="691">
        <f t="shared" si="104"/>
        <v>-2.8485808375342904E-2</v>
      </c>
      <c r="BT85" s="40"/>
      <c r="BV85" s="13" t="s">
        <v>75</v>
      </c>
      <c r="BW85" s="40">
        <f t="shared" si="105"/>
        <v>0.10595156349937812</v>
      </c>
      <c r="BX85" s="40">
        <f t="shared" si="106"/>
        <v>0.16668508196833562</v>
      </c>
      <c r="BY85" s="40">
        <f t="shared" si="107"/>
        <v>0.1381490435598651</v>
      </c>
      <c r="BZ85" s="40">
        <f t="shared" si="108"/>
        <v>2.3833138987682516E-2</v>
      </c>
      <c r="CA85" s="40">
        <f t="shared" si="109"/>
        <v>-2.2615114217704381E-2</v>
      </c>
      <c r="CB85" s="40">
        <f t="shared" si="110"/>
        <v>-3.6028269753315377E-2</v>
      </c>
      <c r="CC85" s="40">
        <f t="shared" si="111"/>
        <v>1.1945328562852598E-2</v>
      </c>
      <c r="CD85" s="40">
        <f t="shared" si="112"/>
        <v>6.2210584164790202E-2</v>
      </c>
      <c r="CE85" s="40">
        <f t="shared" si="113"/>
        <v>7.1768640577217671E-2</v>
      </c>
      <c r="CF85" s="40">
        <f t="shared" si="114"/>
        <v>0.11922891061112884</v>
      </c>
      <c r="CG85" s="40">
        <f t="shared" si="115"/>
        <v>0.13751346527580147</v>
      </c>
      <c r="CH85" s="40">
        <f t="shared" si="116"/>
        <v>0.16177859030829608</v>
      </c>
      <c r="CI85" s="40">
        <f t="shared" si="117"/>
        <v>0.16196174235594307</v>
      </c>
      <c r="CJ85" s="40">
        <f t="shared" si="118"/>
        <v>0.18029981944312198</v>
      </c>
      <c r="CK85" s="40">
        <f t="shared" si="119"/>
        <v>0.2517397955072268</v>
      </c>
      <c r="CL85" s="40">
        <f t="shared" si="120"/>
        <v>0.26793904510531363</v>
      </c>
      <c r="CM85" s="40">
        <f t="shared" si="121"/>
        <v>0.30808683196207409</v>
      </c>
      <c r="CN85" s="691">
        <f t="shared" si="122"/>
        <v>0.41136573789090491</v>
      </c>
      <c r="CO85" s="691">
        <f t="shared" si="123"/>
        <v>0.43598784647429201</v>
      </c>
      <c r="CP85" s="691">
        <f t="shared" si="124"/>
        <v>0.43568623466091022</v>
      </c>
      <c r="CQ85" s="691">
        <f t="shared" si="125"/>
        <v>0.39478955169324192</v>
      </c>
    </row>
    <row r="86" spans="1:95">
      <c r="A86" s="13" t="s">
        <v>76</v>
      </c>
      <c r="B86" s="319">
        <v>22499587.379999999</v>
      </c>
      <c r="C86" s="319">
        <v>23479352.620000001</v>
      </c>
      <c r="D86" s="319">
        <v>25099442.870000001</v>
      </c>
      <c r="E86" s="319">
        <v>25426900.399999999</v>
      </c>
      <c r="F86" s="319">
        <v>26918024.440000001</v>
      </c>
      <c r="G86" s="319">
        <v>27246380.75</v>
      </c>
      <c r="H86" s="319">
        <v>27895733.309999999</v>
      </c>
      <c r="I86" s="319">
        <v>28818556.09</v>
      </c>
      <c r="J86" s="319">
        <v>30363346.039999999</v>
      </c>
      <c r="K86" s="319">
        <v>32118444.859999999</v>
      </c>
      <c r="L86" s="319">
        <v>34056212.700000003</v>
      </c>
      <c r="M86" s="319">
        <v>40344128.770000003</v>
      </c>
      <c r="N86" s="319">
        <v>36244962.770000003</v>
      </c>
      <c r="O86" s="319">
        <v>36033159.109999999</v>
      </c>
      <c r="P86" s="319">
        <v>36750208.68</v>
      </c>
      <c r="Q86" s="319">
        <v>35400094.609999999</v>
      </c>
      <c r="R86" s="319">
        <v>35201021.350000001</v>
      </c>
      <c r="S86" s="319">
        <v>35363198.189999998</v>
      </c>
      <c r="T86" s="677">
        <v>38060564.799999997</v>
      </c>
      <c r="U86" s="677">
        <v>40555500.5</v>
      </c>
      <c r="V86" s="678">
        <v>43011227.770000003</v>
      </c>
      <c r="W86" s="809">
        <v>42662393.609999999</v>
      </c>
      <c r="X86" s="810"/>
      <c r="Y86" s="13" t="s">
        <v>76</v>
      </c>
      <c r="Z86" s="319">
        <f>B86/'Population &amp; Income'!B85</f>
        <v>2797.7601815468788</v>
      </c>
      <c r="AA86" s="319">
        <f>C86/'Population &amp; Income'!C85</f>
        <v>2860.1964453648434</v>
      </c>
      <c r="AB86" s="319">
        <f>D86/'Population &amp; Income'!D85</f>
        <v>3002.3257021531103</v>
      </c>
      <c r="AC86" s="319">
        <f>E86/'Population &amp; Income'!E85</f>
        <v>3050.6179244151167</v>
      </c>
      <c r="AD86" s="319">
        <f>F86/'Population &amp; Income'!F85</f>
        <v>3231.0676317368866</v>
      </c>
      <c r="AE86" s="319">
        <f>G86/'Population &amp; Income'!G85</f>
        <v>3281.5103878116342</v>
      </c>
      <c r="AF86" s="319">
        <f>H86/'Population &amp; Income'!H85</f>
        <v>3371.9005572343767</v>
      </c>
      <c r="AG86" s="319">
        <f>I86/'Population &amp; Income'!I85</f>
        <v>3508.8951771581637</v>
      </c>
      <c r="AH86" s="319">
        <f>J86/'Population &amp; Income'!J85</f>
        <v>3678.6220062999755</v>
      </c>
      <c r="AI86" s="319">
        <f>K86/'Population &amp; Income'!K85</f>
        <v>3869.692151807229</v>
      </c>
      <c r="AJ86" s="319">
        <f>L86/'Population &amp; Income'!L85</f>
        <v>4096.7415734391916</v>
      </c>
      <c r="AK86" s="319">
        <f>M86/'Population &amp; Income'!M85</f>
        <v>4801.7292037610096</v>
      </c>
      <c r="AL86" s="319">
        <f>N86/'Population &amp; Income'!N85</f>
        <v>4304.6274073634204</v>
      </c>
      <c r="AM86" s="319">
        <f>O86/'Population &amp; Income'!O85</f>
        <v>4266.2987343121004</v>
      </c>
      <c r="AN86" s="319">
        <f>P86/'Population &amp; Income'!P85</f>
        <v>4355.8384117577334</v>
      </c>
      <c r="AO86" s="319">
        <f>Q86/'Population &amp; Income'!Q85</f>
        <v>4206.7848615567436</v>
      </c>
      <c r="AP86" s="319">
        <f>R86/'Population &amp; Income'!R85</f>
        <v>4231.9092750661221</v>
      </c>
      <c r="AQ86" s="319">
        <f>S86/'Population &amp; Income'!S85</f>
        <v>4262.1668301795826</v>
      </c>
      <c r="AR86" s="697">
        <f>T86/'Population &amp; Income'!T85</f>
        <v>4593.3580497224229</v>
      </c>
      <c r="AS86" s="697">
        <f>U86/'Population &amp; Income'!U85</f>
        <v>4925.9687234300982</v>
      </c>
      <c r="AT86" s="697">
        <f>V86/'Population &amp; Income'!V85</f>
        <v>5265.8212255142025</v>
      </c>
      <c r="AU86" s="697">
        <f>W86/'Population &amp; Income'!W85</f>
        <v>5171.8261134682989</v>
      </c>
      <c r="AV86" s="690"/>
      <c r="AW86" s="486"/>
      <c r="AX86" s="13" t="s">
        <v>76</v>
      </c>
      <c r="AY86" s="40">
        <f t="shared" si="84"/>
        <v>4.3545920351895896E-2</v>
      </c>
      <c r="AZ86" s="40">
        <f t="shared" si="85"/>
        <v>6.9000635418711986E-2</v>
      </c>
      <c r="BA86" s="40">
        <f t="shared" si="86"/>
        <v>1.3046406316507912E-2</v>
      </c>
      <c r="BB86" s="40">
        <f t="shared" si="87"/>
        <v>5.8643563176894453E-2</v>
      </c>
      <c r="BC86" s="40">
        <f t="shared" si="88"/>
        <v>1.2198380707020364E-2</v>
      </c>
      <c r="BD86" s="40">
        <f t="shared" si="89"/>
        <v>2.3832617108237347E-2</v>
      </c>
      <c r="BE86" s="40">
        <f t="shared" si="90"/>
        <v>3.308114433647779E-2</v>
      </c>
      <c r="BF86" s="40">
        <f t="shared" si="91"/>
        <v>5.3604002406492504E-2</v>
      </c>
      <c r="BG86" s="40">
        <f t="shared" si="92"/>
        <v>5.7803208437168685E-2</v>
      </c>
      <c r="BH86" s="40">
        <f t="shared" si="93"/>
        <v>6.0331932272763331E-2</v>
      </c>
      <c r="BI86" s="40">
        <f t="shared" si="94"/>
        <v>0.18463345074186713</v>
      </c>
      <c r="BJ86" s="40">
        <f t="shared" si="95"/>
        <v>-0.10160501973829089</v>
      </c>
      <c r="BK86" s="40">
        <f t="shared" si="96"/>
        <v>-5.8436716115298094E-3</v>
      </c>
      <c r="BL86" s="40">
        <f t="shared" si="97"/>
        <v>1.9899714255167907E-2</v>
      </c>
      <c r="BM86" s="40">
        <f t="shared" si="98"/>
        <v>-3.6737589213602262E-2</v>
      </c>
      <c r="BN86" s="40">
        <f t="shared" si="99"/>
        <v>-5.623523388656783E-3</v>
      </c>
      <c r="BO86" s="40">
        <f t="shared" si="100"/>
        <v>4.6071629111976353E-3</v>
      </c>
      <c r="BP86" s="691">
        <f t="shared" si="101"/>
        <v>7.6276093454770183E-2</v>
      </c>
      <c r="BQ86" s="691">
        <f t="shared" si="102"/>
        <v>6.5551725601297517E-2</v>
      </c>
      <c r="BR86" s="691">
        <f t="shared" si="103"/>
        <v>6.0552261462042699E-2</v>
      </c>
      <c r="BS86" s="691">
        <f t="shared" si="104"/>
        <v>-8.1103046363934072E-3</v>
      </c>
      <c r="BT86" s="40"/>
      <c r="BV86" s="13" t="s">
        <v>76</v>
      </c>
      <c r="BW86" s="40">
        <f t="shared" si="105"/>
        <v>4.3545920351895896E-2</v>
      </c>
      <c r="BX86" s="40">
        <f t="shared" si="106"/>
        <v>0.11555125194478132</v>
      </c>
      <c r="BY86" s="40">
        <f t="shared" si="107"/>
        <v>0.13010518684454203</v>
      </c>
      <c r="BZ86" s="40">
        <f t="shared" si="108"/>
        <v>0.19637858176579603</v>
      </c>
      <c r="CA86" s="40">
        <f t="shared" si="109"/>
        <v>0.21097246317590029</v>
      </c>
      <c r="CB86" s="40">
        <f t="shared" si="110"/>
        <v>0.23983310621939058</v>
      </c>
      <c r="CC86" s="40">
        <f t="shared" si="111"/>
        <v>0.28084820415937783</v>
      </c>
      <c r="CD86" s="40">
        <f t="shared" si="112"/>
        <v>0.34950679437748872</v>
      </c>
      <c r="CE86" s="40">
        <f t="shared" si="113"/>
        <v>0.42751261690026604</v>
      </c>
      <c r="CF86" s="40">
        <f t="shared" si="114"/>
        <v>0.51363721142160801</v>
      </c>
      <c r="CG86" s="40">
        <f t="shared" si="115"/>
        <v>0.79310527293767663</v>
      </c>
      <c r="CH86" s="40">
        <f t="shared" si="116"/>
        <v>0.61091677628801055</v>
      </c>
      <c r="CI86" s="40">
        <f t="shared" si="117"/>
        <v>0.60150310765387915</v>
      </c>
      <c r="CJ86" s="40">
        <f t="shared" si="118"/>
        <v>0.63337256187495472</v>
      </c>
      <c r="CK86" s="40">
        <f t="shared" si="119"/>
        <v>0.57336639166402348</v>
      </c>
      <c r="CL86" s="40">
        <f t="shared" si="120"/>
        <v>0.5645185289615744</v>
      </c>
      <c r="CM86" s="40">
        <f t="shared" si="121"/>
        <v>0.57172652070208763</v>
      </c>
      <c r="CN86" s="691">
        <f t="shared" si="122"/>
        <v>0.69161167968050086</v>
      </c>
      <c r="CO86" s="691">
        <f t="shared" si="123"/>
        <v>0.80249974433086702</v>
      </c>
      <c r="CP86" s="691">
        <f t="shared" si="124"/>
        <v>0.91164518013485474</v>
      </c>
      <c r="CQ86" s="691">
        <f t="shared" si="125"/>
        <v>0.89614115536726791</v>
      </c>
    </row>
    <row r="87" spans="1:95">
      <c r="A87" s="13" t="s">
        <v>77</v>
      </c>
      <c r="B87" s="319">
        <v>34275744.659999996</v>
      </c>
      <c r="C87" s="319">
        <v>35646246</v>
      </c>
      <c r="D87" s="319">
        <v>33761843.549999997</v>
      </c>
      <c r="E87" s="319">
        <v>35570769.939999998</v>
      </c>
      <c r="F87" s="319">
        <v>38715279.119999997</v>
      </c>
      <c r="G87" s="319">
        <v>40315423.219999999</v>
      </c>
      <c r="H87" s="319">
        <v>36419618.009999998</v>
      </c>
      <c r="I87" s="319">
        <v>37050451.890000001</v>
      </c>
      <c r="J87" s="319">
        <v>38423898.270000003</v>
      </c>
      <c r="K87" s="319">
        <v>40322617.509999998</v>
      </c>
      <c r="L87" s="319">
        <v>41817186.399999999</v>
      </c>
      <c r="M87" s="319">
        <v>43164560.770000003</v>
      </c>
      <c r="N87" s="319">
        <v>45311024.960000001</v>
      </c>
      <c r="O87" s="319">
        <v>44531030.170000002</v>
      </c>
      <c r="P87" s="319">
        <v>44963508.520000003</v>
      </c>
      <c r="Q87" s="319">
        <v>44997082.630000003</v>
      </c>
      <c r="R87" s="319">
        <v>44518166.899999999</v>
      </c>
      <c r="S87" s="319">
        <v>78055986.900000006</v>
      </c>
      <c r="T87" s="677">
        <v>69936352.359999999</v>
      </c>
      <c r="U87" s="677">
        <v>46799693.409999996</v>
      </c>
      <c r="V87" s="678">
        <v>47466042.490000002</v>
      </c>
      <c r="W87" s="809">
        <v>47394824.289999999</v>
      </c>
      <c r="X87" s="810"/>
      <c r="Y87" s="13" t="s">
        <v>77</v>
      </c>
      <c r="Z87" s="319">
        <f>B87/'Population &amp; Income'!B86</f>
        <v>4934.60188021883</v>
      </c>
      <c r="AA87" s="319">
        <f>C87/'Population &amp; Income'!C86</f>
        <v>5178.1298663567695</v>
      </c>
      <c r="AB87" s="319">
        <f>D87/'Population &amp; Income'!D86</f>
        <v>4917.9670138383099</v>
      </c>
      <c r="AC87" s="319">
        <f>E87/'Population &amp; Income'!E86</f>
        <v>5221.7806723429239</v>
      </c>
      <c r="AD87" s="319">
        <f>F87/'Population &amp; Income'!F86</f>
        <v>5701.8084123711333</v>
      </c>
      <c r="AE87" s="319">
        <f>G87/'Population &amp; Income'!G86</f>
        <v>5940.0947723589215</v>
      </c>
      <c r="AF87" s="319">
        <f>H87/'Population &amp; Income'!H86</f>
        <v>5416.3619883997617</v>
      </c>
      <c r="AG87" s="319">
        <f>I87/'Population &amp; Income'!I86</f>
        <v>5555.6233153396315</v>
      </c>
      <c r="AH87" s="319">
        <f>J87/'Population &amp; Income'!J86</f>
        <v>5768.4879552619732</v>
      </c>
      <c r="AI87" s="319">
        <f>K87/'Population &amp; Income'!K86</f>
        <v>6033.6102813107882</v>
      </c>
      <c r="AJ87" s="319">
        <f>L87/'Population &amp; Income'!L86</f>
        <v>6400.9163324659421</v>
      </c>
      <c r="AK87" s="319">
        <f>M87/'Population &amp; Income'!M86</f>
        <v>6640.7016569230773</v>
      </c>
      <c r="AL87" s="319">
        <f>N87/'Population &amp; Income'!N86</f>
        <v>7056.692876498988</v>
      </c>
      <c r="AM87" s="319">
        <f>O87/'Population &amp; Income'!O86</f>
        <v>6991.8401899827295</v>
      </c>
      <c r="AN87" s="319">
        <f>P87/'Population &amp; Income'!P86</f>
        <v>7057.5276283158064</v>
      </c>
      <c r="AO87" s="319">
        <f>Q87/'Population &amp; Income'!Q86</f>
        <v>7202.9906563150316</v>
      </c>
      <c r="AP87" s="319">
        <f>R87/'Population &amp; Income'!R86</f>
        <v>7141.1881456528708</v>
      </c>
      <c r="AQ87" s="319">
        <f>S87/'Population &amp; Income'!S86</f>
        <v>12636.552841185043</v>
      </c>
      <c r="AR87" s="697">
        <f>T87/'Population &amp; Income'!T86</f>
        <v>11416.316088801828</v>
      </c>
      <c r="AS87" s="697">
        <f>U87/'Population &amp; Income'!U86</f>
        <v>7632.0439350945853</v>
      </c>
      <c r="AT87" s="697">
        <f>V87/'Population &amp; Income'!V86</f>
        <v>7804.3476635975012</v>
      </c>
      <c r="AU87" s="697">
        <f>W87/'Population &amp; Income'!W86</f>
        <v>7871.5868277694735</v>
      </c>
      <c r="AV87" s="690"/>
      <c r="AW87" s="486"/>
      <c r="AX87" s="13" t="s">
        <v>77</v>
      </c>
      <c r="AY87" s="40">
        <f t="shared" si="84"/>
        <v>3.9984582496886988E-2</v>
      </c>
      <c r="AZ87" s="40">
        <f t="shared" si="85"/>
        <v>-5.286398040343443E-2</v>
      </c>
      <c r="BA87" s="40">
        <f t="shared" si="86"/>
        <v>5.3579017014312322E-2</v>
      </c>
      <c r="BB87" s="40">
        <f t="shared" si="87"/>
        <v>8.8401493285191451E-2</v>
      </c>
      <c r="BC87" s="40">
        <f t="shared" si="88"/>
        <v>4.1331074872023331E-2</v>
      </c>
      <c r="BD87" s="40">
        <f t="shared" si="89"/>
        <v>-9.6633121987600476E-2</v>
      </c>
      <c r="BE87" s="40">
        <f t="shared" si="90"/>
        <v>1.7321265693308208E-2</v>
      </c>
      <c r="BF87" s="40">
        <f t="shared" si="91"/>
        <v>3.7069625603424798E-2</v>
      </c>
      <c r="BG87" s="40">
        <f t="shared" si="92"/>
        <v>4.9415060040444839E-2</v>
      </c>
      <c r="BH87" s="40">
        <f t="shared" si="93"/>
        <v>3.7065274585146857E-2</v>
      </c>
      <c r="BI87" s="40">
        <f t="shared" si="94"/>
        <v>3.222058885339079E-2</v>
      </c>
      <c r="BJ87" s="40">
        <f t="shared" si="95"/>
        <v>4.9727465117444712E-2</v>
      </c>
      <c r="BK87" s="40">
        <f t="shared" si="96"/>
        <v>-1.721423849247658E-2</v>
      </c>
      <c r="BL87" s="40">
        <f t="shared" si="97"/>
        <v>9.7118424691498995E-3</v>
      </c>
      <c r="BM87" s="40">
        <f t="shared" si="98"/>
        <v>7.4669684606719388E-4</v>
      </c>
      <c r="BN87" s="40">
        <f t="shared" si="99"/>
        <v>-1.0643261785169741E-2</v>
      </c>
      <c r="BO87" s="40">
        <f t="shared" si="100"/>
        <v>0.75335132453533271</v>
      </c>
      <c r="BP87" s="691">
        <f t="shared" si="101"/>
        <v>-0.10402321285620701</v>
      </c>
      <c r="BQ87" s="691">
        <f t="shared" si="102"/>
        <v>-0.33082450212592135</v>
      </c>
      <c r="BR87" s="691">
        <f t="shared" si="103"/>
        <v>1.4238321481345913E-2</v>
      </c>
      <c r="BS87" s="691">
        <f t="shared" si="104"/>
        <v>-1.5004031569517725E-3</v>
      </c>
      <c r="BT87" s="40"/>
      <c r="BV87" s="13" t="s">
        <v>77</v>
      </c>
      <c r="BW87" s="40">
        <f t="shared" si="105"/>
        <v>3.9984582496886988E-2</v>
      </c>
      <c r="BX87" s="40">
        <f t="shared" si="106"/>
        <v>-1.4993142092102382E-2</v>
      </c>
      <c r="BY87" s="40">
        <f t="shared" si="107"/>
        <v>3.7782557106959186E-2</v>
      </c>
      <c r="BZ87" s="40">
        <f t="shared" si="108"/>
        <v>0.12952408486053885</v>
      </c>
      <c r="CA87" s="40">
        <f t="shared" si="109"/>
        <v>0.17620852938166343</v>
      </c>
      <c r="CB87" s="40">
        <f t="shared" si="110"/>
        <v>6.2547827079068974E-2</v>
      </c>
      <c r="CC87" s="40">
        <f t="shared" si="111"/>
        <v>8.0952500303752825E-2</v>
      </c>
      <c r="CD87" s="40">
        <f t="shared" si="112"/>
        <v>0.12102300478509888</v>
      </c>
      <c r="CE87" s="40">
        <f t="shared" si="113"/>
        <v>0.17641842387327442</v>
      </c>
      <c r="CF87" s="40">
        <f t="shared" si="114"/>
        <v>0.22002269578116301</v>
      </c>
      <c r="CG87" s="40">
        <f t="shared" si="115"/>
        <v>0.25933254545373335</v>
      </c>
      <c r="CH87" s="40">
        <f t="shared" si="116"/>
        <v>0.32195596067904675</v>
      </c>
      <c r="CI87" s="40">
        <f t="shared" si="117"/>
        <v>0.29919949549536662</v>
      </c>
      <c r="CJ87" s="40">
        <f t="shared" si="118"/>
        <v>0.31181711633161663</v>
      </c>
      <c r="CK87" s="40">
        <f t="shared" si="119"/>
        <v>0.3127966460349984</v>
      </c>
      <c r="CL87" s="40">
        <f t="shared" si="120"/>
        <v>0.29882420766055512</v>
      </c>
      <c r="CM87" s="40">
        <f t="shared" si="121"/>
        <v>1.2772951448401884</v>
      </c>
      <c r="CN87" s="691">
        <f t="shared" si="122"/>
        <v>1.0404035872520707</v>
      </c>
      <c r="CO87" s="691">
        <f t="shared" si="123"/>
        <v>0.36538808636346054</v>
      </c>
      <c r="CP87" s="691">
        <f t="shared" si="124"/>
        <v>0.38482892088390319</v>
      </c>
      <c r="CQ87" s="691">
        <f t="shared" si="125"/>
        <v>0.38275111919917087</v>
      </c>
    </row>
    <row r="88" spans="1:95">
      <c r="A88" s="13" t="s">
        <v>78</v>
      </c>
      <c r="B88" s="319">
        <v>159804648.90000001</v>
      </c>
      <c r="C88" s="319">
        <v>161952659.30000001</v>
      </c>
      <c r="D88" s="319">
        <v>168315725.59999999</v>
      </c>
      <c r="E88" s="319">
        <v>173253360.99000001</v>
      </c>
      <c r="F88" s="319">
        <v>174505706.80000001</v>
      </c>
      <c r="G88" s="319">
        <v>178243750.68000001</v>
      </c>
      <c r="H88" s="319">
        <v>190850901.97999999</v>
      </c>
      <c r="I88" s="319">
        <v>191026014.81</v>
      </c>
      <c r="J88" s="319">
        <v>205918120.59</v>
      </c>
      <c r="K88" s="319">
        <v>226992418.72999999</v>
      </c>
      <c r="L88" s="319">
        <v>235400819.80000001</v>
      </c>
      <c r="M88" s="319">
        <v>240280576.44</v>
      </c>
      <c r="N88" s="319">
        <v>241441318.88</v>
      </c>
      <c r="O88" s="319">
        <v>233541903.80000001</v>
      </c>
      <c r="P88" s="319">
        <v>244341445.90000001</v>
      </c>
      <c r="Q88" s="319">
        <v>255270247.55000001</v>
      </c>
      <c r="R88" s="319">
        <v>261750420.78999999</v>
      </c>
      <c r="S88" s="319">
        <v>257494725.77000001</v>
      </c>
      <c r="T88" s="677">
        <v>271363755.69999999</v>
      </c>
      <c r="U88" s="677">
        <v>265103018.68000001</v>
      </c>
      <c r="V88" s="678">
        <v>265355779.63</v>
      </c>
      <c r="W88" s="809">
        <v>264519869.13</v>
      </c>
      <c r="X88" s="810"/>
      <c r="Y88" s="13" t="s">
        <v>78</v>
      </c>
      <c r="Z88" s="319">
        <f>B88/'Population &amp; Income'!B87</f>
        <v>5381.1714617638145</v>
      </c>
      <c r="AA88" s="319">
        <f>C88/'Population &amp; Income'!C87</f>
        <v>5457.913230883295</v>
      </c>
      <c r="AB88" s="319">
        <f>D88/'Population &amp; Income'!D87</f>
        <v>5641.7418247636924</v>
      </c>
      <c r="AC88" s="319">
        <f>E88/'Population &amp; Income'!E87</f>
        <v>5829.3247532048053</v>
      </c>
      <c r="AD88" s="319">
        <f>F88/'Population &amp; Income'!F87</f>
        <v>5864.5552762468078</v>
      </c>
      <c r="AE88" s="319">
        <f>G88/'Population &amp; Income'!G87</f>
        <v>5986.9592462716646</v>
      </c>
      <c r="AF88" s="319">
        <f>H88/'Population &amp; Income'!H87</f>
        <v>6366.7901647985054</v>
      </c>
      <c r="AG88" s="319">
        <f>I88/'Population &amp; Income'!I87</f>
        <v>6387.12099806072</v>
      </c>
      <c r="AH88" s="319">
        <f>J88/'Population &amp; Income'!J87</f>
        <v>6849.3254586881321</v>
      </c>
      <c r="AI88" s="319">
        <f>K88/'Population &amp; Income'!K87</f>
        <v>7506.3630532407406</v>
      </c>
      <c r="AJ88" s="319">
        <f>L88/'Population &amp; Income'!L87</f>
        <v>7765.4159728178402</v>
      </c>
      <c r="AK88" s="319">
        <f>M88/'Population &amp; Income'!M87</f>
        <v>7942.371878491389</v>
      </c>
      <c r="AL88" s="319">
        <f>N88/'Population &amp; Income'!N87</f>
        <v>8031.445641673874</v>
      </c>
      <c r="AM88" s="319">
        <f>O88/'Population &amp; Income'!O87</f>
        <v>7831.457825022635</v>
      </c>
      <c r="AN88" s="319">
        <f>P88/'Population &amp; Income'!P87</f>
        <v>8143.0862460841163</v>
      </c>
      <c r="AO88" s="319">
        <f>Q88/'Population &amp; Income'!Q87</f>
        <v>8558.3614694739663</v>
      </c>
      <c r="AP88" s="319">
        <f>R88/'Population &amp; Income'!R87</f>
        <v>8785.0451683168321</v>
      </c>
      <c r="AQ88" s="319">
        <f>S88/'Population &amp; Income'!S87</f>
        <v>8646.5656739422429</v>
      </c>
      <c r="AR88" s="697">
        <f>T88/'Population &amp; Income'!T87</f>
        <v>9085.7386312652761</v>
      </c>
      <c r="AS88" s="697">
        <f>U88/'Population &amp; Income'!U87</f>
        <v>8900.2557805680517</v>
      </c>
      <c r="AT88" s="697">
        <f>V88/'Population &amp; Income'!V87</f>
        <v>8968.3581056509393</v>
      </c>
      <c r="AU88" s="697">
        <f>W88/'Population &amp; Income'!W87</f>
        <v>9006.7713960298279</v>
      </c>
      <c r="AV88" s="690"/>
      <c r="AW88" s="486"/>
      <c r="AX88" s="13" t="s">
        <v>78</v>
      </c>
      <c r="AY88" s="40">
        <f t="shared" si="84"/>
        <v>1.3441476294873959E-2</v>
      </c>
      <c r="AZ88" s="40">
        <f t="shared" si="85"/>
        <v>3.9289668521052694E-2</v>
      </c>
      <c r="BA88" s="40">
        <f t="shared" si="86"/>
        <v>2.9335555976119771E-2</v>
      </c>
      <c r="BB88" s="40">
        <f t="shared" si="87"/>
        <v>7.2284070152745057E-3</v>
      </c>
      <c r="BC88" s="40">
        <f t="shared" si="88"/>
        <v>2.142075436125505E-2</v>
      </c>
      <c r="BD88" s="40">
        <f t="shared" si="89"/>
        <v>7.0729836260198145E-2</v>
      </c>
      <c r="BE88" s="40">
        <f t="shared" si="90"/>
        <v>9.1753734555765352E-4</v>
      </c>
      <c r="BF88" s="40">
        <f t="shared" si="91"/>
        <v>7.7958522009748885E-2</v>
      </c>
      <c r="BG88" s="40">
        <f t="shared" si="92"/>
        <v>0.10234309675912716</v>
      </c>
      <c r="BH88" s="40">
        <f t="shared" si="93"/>
        <v>3.7042651543360748E-2</v>
      </c>
      <c r="BI88" s="40">
        <f t="shared" si="94"/>
        <v>2.0729565190749543E-2</v>
      </c>
      <c r="BJ88" s="40">
        <f t="shared" si="95"/>
        <v>4.8307793213982252E-3</v>
      </c>
      <c r="BK88" s="40">
        <f t="shared" si="96"/>
        <v>-3.2717743245621156E-2</v>
      </c>
      <c r="BL88" s="40">
        <f t="shared" si="97"/>
        <v>4.6242416989323153E-2</v>
      </c>
      <c r="BM88" s="40">
        <f t="shared" si="98"/>
        <v>4.4727580332289449E-2</v>
      </c>
      <c r="BN88" s="40">
        <f t="shared" si="99"/>
        <v>2.5385540626824136E-2</v>
      </c>
      <c r="BO88" s="40">
        <f t="shared" si="100"/>
        <v>-1.6258598580875968E-2</v>
      </c>
      <c r="BP88" s="691">
        <f t="shared" si="101"/>
        <v>5.3861413621295304E-2</v>
      </c>
      <c r="BQ88" s="691">
        <f t="shared" si="102"/>
        <v>-2.3071382557519567E-2</v>
      </c>
      <c r="BR88" s="691">
        <f t="shared" si="103"/>
        <v>9.5344425445826491E-4</v>
      </c>
      <c r="BS88" s="691">
        <f t="shared" si="104"/>
        <v>-3.1501499653241224E-3</v>
      </c>
      <c r="BT88" s="40"/>
      <c r="BV88" s="13" t="s">
        <v>78</v>
      </c>
      <c r="BW88" s="40">
        <f t="shared" si="105"/>
        <v>1.3441476294873959E-2</v>
      </c>
      <c r="BX88" s="40">
        <f t="shared" si="106"/>
        <v>5.3259255963985834E-2</v>
      </c>
      <c r="BY88" s="40">
        <f t="shared" si="107"/>
        <v>8.41572018246836E-2</v>
      </c>
      <c r="BZ88" s="40">
        <f t="shared" si="108"/>
        <v>9.1993931348013522E-2</v>
      </c>
      <c r="CA88" s="40">
        <f t="shared" si="109"/>
        <v>0.11538526511540054</v>
      </c>
      <c r="CB88" s="40">
        <f t="shared" si="110"/>
        <v>0.1942762822840505</v>
      </c>
      <c r="CC88" s="40">
        <f t="shared" si="111"/>
        <v>0.19537207537395987</v>
      </c>
      <c r="CD88" s="40">
        <f t="shared" si="112"/>
        <v>0.28856151562183996</v>
      </c>
      <c r="CE88" s="40">
        <f t="shared" si="113"/>
        <v>0.42043689149521346</v>
      </c>
      <c r="CF88" s="40">
        <f t="shared" si="114"/>
        <v>0.47305364030620517</v>
      </c>
      <c r="CG88" s="40">
        <f t="shared" si="115"/>
        <v>0.50358940177240352</v>
      </c>
      <c r="CH88" s="40">
        <f t="shared" si="116"/>
        <v>0.51085291036235925</v>
      </c>
      <c r="CI88" s="40">
        <f t="shared" si="117"/>
        <v>0.4614212127592241</v>
      </c>
      <c r="CJ88" s="40">
        <f t="shared" si="118"/>
        <v>0.5290008618766785</v>
      </c>
      <c r="CK88" s="40">
        <f t="shared" si="119"/>
        <v>0.59738937075440735</v>
      </c>
      <c r="CL88" s="40">
        <f t="shared" si="120"/>
        <v>0.63793996352255045</v>
      </c>
      <c r="CM88" s="40">
        <f t="shared" si="121"/>
        <v>0.61130935515606266</v>
      </c>
      <c r="CN88" s="691">
        <f t="shared" si="122"/>
        <v>0.69809675480598599</v>
      </c>
      <c r="CO88" s="691">
        <f t="shared" si="123"/>
        <v>0.65891931495617462</v>
      </c>
      <c r="CP88" s="691">
        <f t="shared" si="124"/>
        <v>0.66050100204562934</v>
      </c>
      <c r="CQ88" s="691">
        <f t="shared" si="125"/>
        <v>0.65527017487161465</v>
      </c>
    </row>
    <row r="89" spans="1:95">
      <c r="A89" s="13" t="s">
        <v>79</v>
      </c>
      <c r="B89" s="319">
        <v>259851229.59999999</v>
      </c>
      <c r="C89" s="319">
        <v>259382670.5</v>
      </c>
      <c r="D89" s="319">
        <v>266492414.30000001</v>
      </c>
      <c r="E89" s="319">
        <v>290398803.12</v>
      </c>
      <c r="F89" s="319">
        <v>293388109.11000001</v>
      </c>
      <c r="G89" s="319">
        <v>303997563.91000003</v>
      </c>
      <c r="H89" s="319">
        <v>317921518.24000001</v>
      </c>
      <c r="I89" s="319">
        <v>328557582.89999998</v>
      </c>
      <c r="J89" s="319">
        <v>330096070.24000001</v>
      </c>
      <c r="K89" s="319">
        <v>362511430.81999999</v>
      </c>
      <c r="L89" s="319">
        <v>395632308.24000001</v>
      </c>
      <c r="M89" s="319">
        <v>407855369.88</v>
      </c>
      <c r="N89" s="319">
        <v>388275154.01999998</v>
      </c>
      <c r="O89" s="319">
        <v>349474978.25999999</v>
      </c>
      <c r="P89" s="319">
        <v>366450370.49000001</v>
      </c>
      <c r="Q89" s="319">
        <v>362040369.11000001</v>
      </c>
      <c r="R89" s="319">
        <v>368538301.02999997</v>
      </c>
      <c r="S89" s="319">
        <v>375848128.77999997</v>
      </c>
      <c r="T89" s="677">
        <v>392468491.98000002</v>
      </c>
      <c r="U89" s="677">
        <v>416307741.41000003</v>
      </c>
      <c r="V89" s="678">
        <v>437927195.98000002</v>
      </c>
      <c r="W89" s="809">
        <v>455387427.70999998</v>
      </c>
      <c r="X89" s="810"/>
      <c r="Y89" s="13" t="s">
        <v>79</v>
      </c>
      <c r="Z89" s="319">
        <f>B89/'Population &amp; Income'!B88</f>
        <v>9823.1289305560804</v>
      </c>
      <c r="AA89" s="319">
        <f>C89/'Population &amp; Income'!C88</f>
        <v>9639.2534282210418</v>
      </c>
      <c r="AB89" s="319">
        <f>D89/'Population &amp; Income'!D88</f>
        <v>9735.9496675434748</v>
      </c>
      <c r="AC89" s="319">
        <f>E89/'Population &amp; Income'!E88</f>
        <v>10308.796702875399</v>
      </c>
      <c r="AD89" s="319">
        <f>F89/'Population &amp; Income'!F88</f>
        <v>10258.325493356644</v>
      </c>
      <c r="AE89" s="319">
        <f>G89/'Population &amp; Income'!G88</f>
        <v>10540.465445372907</v>
      </c>
      <c r="AF89" s="319">
        <f>H89/'Population &amp; Income'!H88</f>
        <v>10833.18629638464</v>
      </c>
      <c r="AG89" s="319">
        <f>I89/'Population &amp; Income'!I88</f>
        <v>10935.880139129276</v>
      </c>
      <c r="AH89" s="319">
        <f>J89/'Population &amp; Income'!J88</f>
        <v>10807.938911662628</v>
      </c>
      <c r="AI89" s="319">
        <f>K89/'Population &amp; Income'!K88</f>
        <v>11769.851650000001</v>
      </c>
      <c r="AJ89" s="319">
        <f>L89/'Population &amp; Income'!L88</f>
        <v>12541.441331389084</v>
      </c>
      <c r="AK89" s="319">
        <f>M89/'Population &amp; Income'!M88</f>
        <v>12759.036785334418</v>
      </c>
      <c r="AL89" s="319">
        <f>N89/'Population &amp; Income'!N88</f>
        <v>12088.643918552882</v>
      </c>
      <c r="AM89" s="319">
        <f>O89/'Population &amp; Income'!O88</f>
        <v>10848.543436394115</v>
      </c>
      <c r="AN89" s="319">
        <f>P89/'Population &amp; Income'!P88</f>
        <v>11434.422444146281</v>
      </c>
      <c r="AO89" s="319">
        <f>Q89/'Population &amp; Income'!Q88</f>
        <v>11352.074787093943</v>
      </c>
      <c r="AP89" s="319">
        <f>R89/'Population &amp; Income'!R88</f>
        <v>11674.426667194626</v>
      </c>
      <c r="AQ89" s="319">
        <f>S89/'Population &amp; Income'!S88</f>
        <v>12009.078466945713</v>
      </c>
      <c r="AR89" s="697">
        <f>T89/'Population &amp; Income'!T88</f>
        <v>12626.061381418094</v>
      </c>
      <c r="AS89" s="697">
        <f>U89/'Population &amp; Income'!U88</f>
        <v>13471.870474726556</v>
      </c>
      <c r="AT89" s="697">
        <f>V89/'Population &amp; Income'!V88</f>
        <v>14105.298289045641</v>
      </c>
      <c r="AU89" s="697">
        <f>W89/'Population &amp; Income'!W88</f>
        <v>14365.98718287643</v>
      </c>
      <c r="AV89" s="690"/>
      <c r="AW89" s="486"/>
      <c r="AX89" s="13" t="s">
        <v>79</v>
      </c>
      <c r="AY89" s="40">
        <f t="shared" si="84"/>
        <v>-1.8031821543475737E-3</v>
      </c>
      <c r="AZ89" s="40">
        <f t="shared" si="85"/>
        <v>2.7410249830086518E-2</v>
      </c>
      <c r="BA89" s="40">
        <f t="shared" si="86"/>
        <v>8.9707577166109193E-2</v>
      </c>
      <c r="BB89" s="40">
        <f t="shared" si="87"/>
        <v>1.0293795834842866E-2</v>
      </c>
      <c r="BC89" s="40">
        <f t="shared" si="88"/>
        <v>3.6161843205520676E-2</v>
      </c>
      <c r="BD89" s="40">
        <f t="shared" si="89"/>
        <v>4.5802848387700365E-2</v>
      </c>
      <c r="BE89" s="40">
        <f t="shared" si="90"/>
        <v>3.3455000840713039E-2</v>
      </c>
      <c r="BF89" s="40">
        <f t="shared" si="91"/>
        <v>4.6825500918914673E-3</v>
      </c>
      <c r="BG89" s="40">
        <f t="shared" si="92"/>
        <v>9.8199777284328271E-2</v>
      </c>
      <c r="BH89" s="40">
        <f t="shared" si="93"/>
        <v>9.1365056668918476E-2</v>
      </c>
      <c r="BI89" s="40">
        <f t="shared" si="94"/>
        <v>3.0895003733075268E-2</v>
      </c>
      <c r="BJ89" s="40">
        <f t="shared" si="95"/>
        <v>-4.8007743200147016E-2</v>
      </c>
      <c r="BK89" s="40">
        <f t="shared" si="96"/>
        <v>-9.9929586939269885E-2</v>
      </c>
      <c r="BL89" s="40">
        <f t="shared" si="97"/>
        <v>4.8573984651258159E-2</v>
      </c>
      <c r="BM89" s="40">
        <f t="shared" si="98"/>
        <v>-1.203437555296547E-2</v>
      </c>
      <c r="BN89" s="40">
        <f t="shared" si="99"/>
        <v>1.7948086662196688E-2</v>
      </c>
      <c r="BO89" s="40">
        <f t="shared" si="100"/>
        <v>1.9834648744975251E-2</v>
      </c>
      <c r="BP89" s="691">
        <f t="shared" si="101"/>
        <v>4.4220955027632076E-2</v>
      </c>
      <c r="BQ89" s="691">
        <f t="shared" si="102"/>
        <v>6.0741817285079901E-2</v>
      </c>
      <c r="BR89" s="691">
        <f t="shared" si="103"/>
        <v>5.1931425768775477E-2</v>
      </c>
      <c r="BS89" s="691">
        <f t="shared" si="104"/>
        <v>3.9870169951256834E-2</v>
      </c>
      <c r="BT89" s="40"/>
      <c r="BV89" s="13" t="s">
        <v>79</v>
      </c>
      <c r="BW89" s="40">
        <f t="shared" si="105"/>
        <v>-1.8031821543475737E-3</v>
      </c>
      <c r="BX89" s="40">
        <f t="shared" si="106"/>
        <v>2.5557642002399121E-2</v>
      </c>
      <c r="BY89" s="40">
        <f t="shared" si="107"/>
        <v>0.11755793331062234</v>
      </c>
      <c r="BZ89" s="40">
        <f t="shared" si="108"/>
        <v>0.12906184650973082</v>
      </c>
      <c r="CA89" s="40">
        <f t="shared" si="109"/>
        <v>0.16989080397255135</v>
      </c>
      <c r="CB89" s="40">
        <f t="shared" si="110"/>
        <v>0.22347513509707101</v>
      </c>
      <c r="CC89" s="40">
        <f t="shared" si="111"/>
        <v>0.26440649677033501</v>
      </c>
      <c r="CD89" s="40">
        <f t="shared" si="112"/>
        <v>0.2703271435279751</v>
      </c>
      <c r="CE89" s="40">
        <f t="shared" si="113"/>
        <v>0.39507298610065922</v>
      </c>
      <c r="CF89" s="40">
        <f t="shared" si="114"/>
        <v>0.52253390853302328</v>
      </c>
      <c r="CG89" s="40">
        <f t="shared" si="115"/>
        <v>0.56957259932088466</v>
      </c>
      <c r="CH89" s="40">
        <f t="shared" si="116"/>
        <v>0.49422096103870039</v>
      </c>
      <c r="CI89" s="40">
        <f t="shared" si="117"/>
        <v>0.3449040776061042</v>
      </c>
      <c r="CJ89" s="40">
        <f t="shared" si="118"/>
        <v>0.4102314276291576</v>
      </c>
      <c r="CK89" s="40">
        <f t="shared" si="119"/>
        <v>0.39326017301247368</v>
      </c>
      <c r="CL89" s="40">
        <f t="shared" si="120"/>
        <v>0.4182665273406887</v>
      </c>
      <c r="CM89" s="40">
        <f t="shared" si="121"/>
        <v>0.4463973457372471</v>
      </c>
      <c r="CN89" s="691">
        <f t="shared" si="122"/>
        <v>0.51035841771518031</v>
      </c>
      <c r="CO89" s="691">
        <f t="shared" si="123"/>
        <v>0.6021003327590182</v>
      </c>
      <c r="CP89" s="691">
        <f t="shared" si="124"/>
        <v>0.68529968726382362</v>
      </c>
      <c r="CQ89" s="691">
        <f t="shared" si="125"/>
        <v>0.75249287221383232</v>
      </c>
    </row>
    <row r="90" spans="1:95">
      <c r="A90" s="13" t="s">
        <v>80</v>
      </c>
      <c r="B90" s="319">
        <v>30799443.280000001</v>
      </c>
      <c r="C90" s="319">
        <v>33767665.490000002</v>
      </c>
      <c r="D90" s="319">
        <v>34982371.75</v>
      </c>
      <c r="E90" s="319">
        <v>36030475.469999999</v>
      </c>
      <c r="F90" s="319">
        <v>36778039.079999998</v>
      </c>
      <c r="G90" s="319">
        <v>38391242.200000003</v>
      </c>
      <c r="H90" s="319">
        <v>36682613.409999996</v>
      </c>
      <c r="I90" s="319">
        <v>34123709.359999999</v>
      </c>
      <c r="J90" s="319">
        <v>36440155.810000002</v>
      </c>
      <c r="K90" s="319">
        <v>40521153.950000003</v>
      </c>
      <c r="L90" s="319">
        <v>37518377.649999999</v>
      </c>
      <c r="M90" s="319">
        <v>43326395.960000001</v>
      </c>
      <c r="N90" s="319">
        <v>41665110.130000003</v>
      </c>
      <c r="O90" s="319">
        <v>42059386.789999999</v>
      </c>
      <c r="P90" s="319">
        <v>41559362.549999997</v>
      </c>
      <c r="Q90" s="319">
        <v>40807784.32</v>
      </c>
      <c r="R90" s="319">
        <v>39037604.840000004</v>
      </c>
      <c r="S90" s="319">
        <v>40414417.170000002</v>
      </c>
      <c r="T90" s="677">
        <v>44419036.5</v>
      </c>
      <c r="U90" s="677">
        <v>42950675.5</v>
      </c>
      <c r="V90" s="678">
        <v>43674942.93</v>
      </c>
      <c r="W90" s="809">
        <v>43055200.640000001</v>
      </c>
      <c r="X90" s="810"/>
      <c r="Y90" s="13" t="s">
        <v>80</v>
      </c>
      <c r="Z90" s="319">
        <f>B90/'Population &amp; Income'!B89</f>
        <v>4495.6127981316595</v>
      </c>
      <c r="AA90" s="319">
        <f>C90/'Population &amp; Income'!C89</f>
        <v>4844.0202969444845</v>
      </c>
      <c r="AB90" s="319">
        <f>D90/'Population &amp; Income'!D89</f>
        <v>4799.9961237650932</v>
      </c>
      <c r="AC90" s="319">
        <f>E90/'Population &amp; Income'!E89</f>
        <v>5009.7991476640709</v>
      </c>
      <c r="AD90" s="319">
        <f>F90/'Population &amp; Income'!F89</f>
        <v>5088.9773183893731</v>
      </c>
      <c r="AE90" s="319">
        <f>G90/'Population &amp; Income'!G89</f>
        <v>5304.8559071438449</v>
      </c>
      <c r="AF90" s="319">
        <f>H90/'Population &amp; Income'!H89</f>
        <v>5061.7653387608661</v>
      </c>
      <c r="AG90" s="319">
        <f>I90/'Population &amp; Income'!I89</f>
        <v>4845.7411758023291</v>
      </c>
      <c r="AH90" s="319">
        <f>J90/'Population &amp; Income'!J89</f>
        <v>5262.1163624548744</v>
      </c>
      <c r="AI90" s="319">
        <f>K90/'Population &amp; Income'!K89</f>
        <v>5924.1453143274857</v>
      </c>
      <c r="AJ90" s="319">
        <f>L90/'Population &amp; Income'!L89</f>
        <v>5531.2365693645879</v>
      </c>
      <c r="AK90" s="319">
        <f>M90/'Population &amp; Income'!M89</f>
        <v>6460.8404354309578</v>
      </c>
      <c r="AL90" s="319">
        <f>N90/'Population &amp; Income'!N89</f>
        <v>6185.4379646674588</v>
      </c>
      <c r="AM90" s="319">
        <f>O90/'Population &amp; Income'!O89</f>
        <v>6287.8437419644188</v>
      </c>
      <c r="AN90" s="319">
        <f>P90/'Population &amp; Income'!P89</f>
        <v>6196.4160653049048</v>
      </c>
      <c r="AO90" s="319">
        <f>Q90/'Population &amp; Income'!Q89</f>
        <v>6128.2150953596638</v>
      </c>
      <c r="AP90" s="319">
        <f>R90/'Population &amp; Income'!R89</f>
        <v>5963.5815520928818</v>
      </c>
      <c r="AQ90" s="319">
        <f>S90/'Population &amp; Income'!S89</f>
        <v>6267.7445983250627</v>
      </c>
      <c r="AR90" s="697">
        <f>T90/'Population &amp; Income'!T89</f>
        <v>6883.4707112970709</v>
      </c>
      <c r="AS90" s="697">
        <f>U90/'Population &amp; Income'!U89</f>
        <v>6792.7685434129371</v>
      </c>
      <c r="AT90" s="697">
        <f>V90/'Population &amp; Income'!V89</f>
        <v>6974.5996374960077</v>
      </c>
      <c r="AU90" s="697">
        <f>W90/'Population &amp; Income'!W89</f>
        <v>6912.0566126183976</v>
      </c>
      <c r="AV90" s="690"/>
      <c r="AW90" s="486"/>
      <c r="AX90" s="13" t="s">
        <v>80</v>
      </c>
      <c r="AY90" s="40">
        <f t="shared" si="84"/>
        <v>9.6372592939933194E-2</v>
      </c>
      <c r="AZ90" s="40">
        <f t="shared" si="85"/>
        <v>3.597246781420891E-2</v>
      </c>
      <c r="BA90" s="40">
        <f t="shared" si="86"/>
        <v>2.9960910812172101E-2</v>
      </c>
      <c r="BB90" s="40">
        <f t="shared" si="87"/>
        <v>2.0748091726473114E-2</v>
      </c>
      <c r="BC90" s="40">
        <f t="shared" si="88"/>
        <v>4.3863217299077516E-2</v>
      </c>
      <c r="BD90" s="40">
        <f t="shared" si="89"/>
        <v>-4.4505691717367936E-2</v>
      </c>
      <c r="BE90" s="40">
        <f t="shared" si="90"/>
        <v>-6.975795375861682E-2</v>
      </c>
      <c r="BF90" s="40">
        <f t="shared" si="91"/>
        <v>6.7883782081304272E-2</v>
      </c>
      <c r="BG90" s="40">
        <f t="shared" si="92"/>
        <v>0.11199178623929161</v>
      </c>
      <c r="BH90" s="40">
        <f t="shared" si="93"/>
        <v>-7.4103918750813472E-2</v>
      </c>
      <c r="BI90" s="40">
        <f t="shared" si="94"/>
        <v>0.15480462306183973</v>
      </c>
      <c r="BJ90" s="40">
        <f t="shared" si="95"/>
        <v>-3.834350384310152E-2</v>
      </c>
      <c r="BK90" s="40">
        <f t="shared" si="96"/>
        <v>9.462993347906852E-3</v>
      </c>
      <c r="BL90" s="40">
        <f t="shared" si="97"/>
        <v>-1.1888529010101673E-2</v>
      </c>
      <c r="BM90" s="40">
        <f t="shared" si="98"/>
        <v>-1.8084450383370879E-2</v>
      </c>
      <c r="BN90" s="40">
        <f t="shared" si="99"/>
        <v>-4.3378475687846328E-2</v>
      </c>
      <c r="BO90" s="40">
        <f t="shared" si="100"/>
        <v>3.5268873068494286E-2</v>
      </c>
      <c r="BP90" s="691">
        <f t="shared" si="101"/>
        <v>9.9088879920125744E-2</v>
      </c>
      <c r="BQ90" s="691">
        <f t="shared" si="102"/>
        <v>-3.305702049615597E-2</v>
      </c>
      <c r="BR90" s="691">
        <f t="shared" si="103"/>
        <v>1.6862771576200232E-2</v>
      </c>
      <c r="BS90" s="691">
        <f t="shared" si="104"/>
        <v>-1.4189882079371937E-2</v>
      </c>
      <c r="BT90" s="40"/>
      <c r="BV90" s="13" t="s">
        <v>80</v>
      </c>
      <c r="BW90" s="40">
        <f t="shared" si="105"/>
        <v>9.6372592939933194E-2</v>
      </c>
      <c r="BX90" s="40">
        <f t="shared" si="106"/>
        <v>0.1358118207518457</v>
      </c>
      <c r="BY90" s="40">
        <f t="shared" si="107"/>
        <v>0.16984177741280254</v>
      </c>
      <c r="BZ90" s="40">
        <f t="shared" si="108"/>
        <v>0.19411376191602372</v>
      </c>
      <c r="CA90" s="40">
        <f t="shared" si="109"/>
        <v>0.24649143333476517</v>
      </c>
      <c r="CB90" s="40">
        <f t="shared" si="110"/>
        <v>0.19101546987442802</v>
      </c>
      <c r="CC90" s="40">
        <f t="shared" si="111"/>
        <v>0.10793266780113039</v>
      </c>
      <c r="CD90" s="40">
        <f t="shared" si="112"/>
        <v>0.18314332758290042</v>
      </c>
      <c r="CE90" s="40">
        <f t="shared" si="113"/>
        <v>0.31564566221600876</v>
      </c>
      <c r="CF90" s="40">
        <f t="shared" si="114"/>
        <v>0.21815116295829348</v>
      </c>
      <c r="CG90" s="40">
        <f t="shared" si="115"/>
        <v>0.4067265945723938</v>
      </c>
      <c r="CH90" s="40">
        <f t="shared" si="116"/>
        <v>0.35278776798721412</v>
      </c>
      <c r="CI90" s="40">
        <f t="shared" si="117"/>
        <v>0.36558918963680687</v>
      </c>
      <c r="CJ90" s="40">
        <f t="shared" si="118"/>
        <v>0.34935434293992845</v>
      </c>
      <c r="CK90" s="40">
        <f t="shared" si="119"/>
        <v>0.32495201127544532</v>
      </c>
      <c r="CL90" s="40">
        <f t="shared" si="120"/>
        <v>0.26747761266677034</v>
      </c>
      <c r="CM90" s="40">
        <f t="shared" si="121"/>
        <v>0.31218011970507281</v>
      </c>
      <c r="CN90" s="691">
        <f t="shared" si="122"/>
        <v>0.44220257802010499</v>
      </c>
      <c r="CO90" s="691">
        <f t="shared" si="123"/>
        <v>0.39452765783888538</v>
      </c>
      <c r="CP90" s="691">
        <f t="shared" si="124"/>
        <v>0.41804325918971602</v>
      </c>
      <c r="CQ90" s="691">
        <f t="shared" si="125"/>
        <v>0.39792139255836573</v>
      </c>
    </row>
    <row r="91" spans="1:95">
      <c r="A91" s="13" t="s">
        <v>81</v>
      </c>
      <c r="B91" s="319">
        <v>96776338.650000006</v>
      </c>
      <c r="C91" s="319">
        <v>98770135.969999999</v>
      </c>
      <c r="D91" s="319">
        <v>103279839.3</v>
      </c>
      <c r="E91" s="319">
        <v>110177536.97</v>
      </c>
      <c r="F91" s="319">
        <v>110022585.42</v>
      </c>
      <c r="G91" s="319">
        <v>114192289.29000001</v>
      </c>
      <c r="H91" s="319">
        <v>120663469.27</v>
      </c>
      <c r="I91" s="319">
        <v>130149477.12</v>
      </c>
      <c r="J91" s="319">
        <v>141626388.47</v>
      </c>
      <c r="K91" s="319">
        <v>149895799.37</v>
      </c>
      <c r="L91" s="319">
        <v>153607219.44999999</v>
      </c>
      <c r="M91" s="319">
        <v>158032313.90000001</v>
      </c>
      <c r="N91" s="319">
        <v>162479927.75</v>
      </c>
      <c r="O91" s="319">
        <v>161377207.38999999</v>
      </c>
      <c r="P91" s="319">
        <v>163948396.21000001</v>
      </c>
      <c r="Q91" s="319">
        <v>162588320.90000001</v>
      </c>
      <c r="R91" s="319">
        <v>161743451.33000001</v>
      </c>
      <c r="S91" s="319">
        <v>161884370.96000001</v>
      </c>
      <c r="T91" s="677">
        <v>171034280.81</v>
      </c>
      <c r="U91" s="677">
        <v>175721580.84</v>
      </c>
      <c r="V91" s="678">
        <v>182141452.68000001</v>
      </c>
      <c r="W91" s="809">
        <v>179570687.66</v>
      </c>
      <c r="X91" s="810"/>
      <c r="Y91" s="13" t="s">
        <v>81</v>
      </c>
      <c r="Z91" s="319">
        <f>B91/'Population &amp; Income'!B90</f>
        <v>4269.2932173107465</v>
      </c>
      <c r="AA91" s="319">
        <f>C91/'Population &amp; Income'!C90</f>
        <v>4349.9575429401921</v>
      </c>
      <c r="AB91" s="319">
        <f>D91/'Population &amp; Income'!D90</f>
        <v>4532.6006890195731</v>
      </c>
      <c r="AC91" s="319">
        <f>E91/'Population &amp; Income'!E90</f>
        <v>4802.8568862249349</v>
      </c>
      <c r="AD91" s="319">
        <f>F91/'Population &amp; Income'!F90</f>
        <v>4773.4212078615128</v>
      </c>
      <c r="AE91" s="319">
        <f>G91/'Population &amp; Income'!G90</f>
        <v>4723.7647592454705</v>
      </c>
      <c r="AF91" s="319">
        <f>H91/'Population &amp; Income'!H90</f>
        <v>4932.2870041693914</v>
      </c>
      <c r="AG91" s="319">
        <f>I91/'Population &amp; Income'!I90</f>
        <v>5336.6195309168443</v>
      </c>
      <c r="AH91" s="319">
        <f>J91/'Population &amp; Income'!J90</f>
        <v>5700.3980064399275</v>
      </c>
      <c r="AI91" s="319">
        <f>K91/'Population &amp; Income'!K90</f>
        <v>6005.2000869356198</v>
      </c>
      <c r="AJ91" s="319">
        <f>L91/'Population &amp; Income'!L90</f>
        <v>6051.1018101240888</v>
      </c>
      <c r="AK91" s="319">
        <f>M91/'Population &amp; Income'!M90</f>
        <v>6199.7769282071404</v>
      </c>
      <c r="AL91" s="319">
        <f>N91/'Population &amp; Income'!N90</f>
        <v>6347.6160389889437</v>
      </c>
      <c r="AM91" s="319">
        <f>O91/'Population &amp; Income'!O90</f>
        <v>6257.355850717332</v>
      </c>
      <c r="AN91" s="319">
        <f>P91/'Population &amp; Income'!P90</f>
        <v>6293.8460674114176</v>
      </c>
      <c r="AO91" s="319">
        <f>Q91/'Population &amp; Income'!Q90</f>
        <v>6264.7216468231036</v>
      </c>
      <c r="AP91" s="319">
        <f>R91/'Population &amp; Income'!R90</f>
        <v>6266.6970681906241</v>
      </c>
      <c r="AQ91" s="319">
        <f>S91/'Population &amp; Income'!S90</f>
        <v>6314.7281541582151</v>
      </c>
      <c r="AR91" s="697">
        <f>T91/'Population &amp; Income'!T90</f>
        <v>6673.7272050101456</v>
      </c>
      <c r="AS91" s="697">
        <f>U91/'Population &amp; Income'!U90</f>
        <v>6850.4768172780787</v>
      </c>
      <c r="AT91" s="697">
        <f>V91/'Population &amp; Income'!V90</f>
        <v>7066.5937024248306</v>
      </c>
      <c r="AU91" s="697">
        <f>W91/'Population &amp; Income'!W90</f>
        <v>6977.6836083155231</v>
      </c>
      <c r="AV91" s="690"/>
      <c r="AW91" s="486"/>
      <c r="AX91" s="13" t="s">
        <v>81</v>
      </c>
      <c r="AY91" s="40">
        <f t="shared" si="84"/>
        <v>2.060211563914123E-2</v>
      </c>
      <c r="AZ91" s="40">
        <f t="shared" si="85"/>
        <v>4.565857164932683E-2</v>
      </c>
      <c r="BA91" s="40">
        <f t="shared" si="86"/>
        <v>6.6786487244272871E-2</v>
      </c>
      <c r="BB91" s="40">
        <f t="shared" si="87"/>
        <v>-1.406380595004483E-3</v>
      </c>
      <c r="BC91" s="40">
        <f t="shared" si="88"/>
        <v>3.7898617398260413E-2</v>
      </c>
      <c r="BD91" s="40">
        <f t="shared" si="89"/>
        <v>5.6669150082156033E-2</v>
      </c>
      <c r="BE91" s="40">
        <f t="shared" si="90"/>
        <v>7.8615407856157768E-2</v>
      </c>
      <c r="BF91" s="40">
        <f t="shared" si="91"/>
        <v>8.8182539061744281E-2</v>
      </c>
      <c r="BG91" s="40">
        <f t="shared" si="92"/>
        <v>5.8388913177374949E-2</v>
      </c>
      <c r="BH91" s="40">
        <f t="shared" si="93"/>
        <v>2.4760000584397854E-2</v>
      </c>
      <c r="BI91" s="40">
        <f t="shared" si="94"/>
        <v>2.8807854642798291E-2</v>
      </c>
      <c r="BJ91" s="40">
        <f t="shared" si="95"/>
        <v>2.8143698843860275E-2</v>
      </c>
      <c r="BK91" s="40">
        <f t="shared" si="96"/>
        <v>-6.7868097633371474E-3</v>
      </c>
      <c r="BL91" s="40">
        <f t="shared" si="97"/>
        <v>1.5932787917107994E-2</v>
      </c>
      <c r="BM91" s="40">
        <f t="shared" si="98"/>
        <v>-8.2957524528504342E-3</v>
      </c>
      <c r="BN91" s="40">
        <f t="shared" si="99"/>
        <v>-5.1963730563379775E-3</v>
      </c>
      <c r="BO91" s="40">
        <f t="shared" si="100"/>
        <v>8.7125400652222635E-4</v>
      </c>
      <c r="BP91" s="691">
        <f t="shared" si="101"/>
        <v>5.6521267592044719E-2</v>
      </c>
      <c r="BQ91" s="691">
        <f t="shared" si="102"/>
        <v>2.7405617211949857E-2</v>
      </c>
      <c r="BR91" s="691">
        <f t="shared" si="103"/>
        <v>3.6534339204730336E-2</v>
      </c>
      <c r="BS91" s="691">
        <f t="shared" si="104"/>
        <v>-1.4114112862141969E-2</v>
      </c>
      <c r="BT91" s="40"/>
      <c r="BV91" s="13" t="s">
        <v>81</v>
      </c>
      <c r="BW91" s="40">
        <f t="shared" si="105"/>
        <v>2.060211563914123E-2</v>
      </c>
      <c r="BX91" s="40">
        <f t="shared" si="106"/>
        <v>6.7201350461505507E-2</v>
      </c>
      <c r="BY91" s="40">
        <f t="shared" si="107"/>
        <v>0.13847597984117363</v>
      </c>
      <c r="BZ91" s="40">
        <f t="shared" si="108"/>
        <v>0.13687484931524629</v>
      </c>
      <c r="CA91" s="40">
        <f t="shared" si="109"/>
        <v>0.17996083425914977</v>
      </c>
      <c r="CB91" s="40">
        <f t="shared" si="110"/>
        <v>0.24682821186684756</v>
      </c>
      <c r="CC91" s="40">
        <f t="shared" si="111"/>
        <v>0.34484812026932365</v>
      </c>
      <c r="CD91" s="40">
        <f t="shared" si="112"/>
        <v>0.46344024216708668</v>
      </c>
      <c r="CE91" s="40">
        <f t="shared" si="113"/>
        <v>0.54888892740725725</v>
      </c>
      <c r="CF91" s="40">
        <f t="shared" si="114"/>
        <v>0.58723941815502834</v>
      </c>
      <c r="CG91" s="40">
        <f t="shared" si="115"/>
        <v>0.63296438059655813</v>
      </c>
      <c r="CH91" s="40">
        <f t="shared" si="116"/>
        <v>0.67892203834681841</v>
      </c>
      <c r="CI91" s="40">
        <f t="shared" si="117"/>
        <v>0.66752751386508435</v>
      </c>
      <c r="CJ91" s="40">
        <f t="shared" si="118"/>
        <v>0.69409587608943912</v>
      </c>
      <c r="CK91" s="40">
        <f t="shared" si="119"/>
        <v>0.68004207607000633</v>
      </c>
      <c r="CL91" s="40">
        <f t="shared" si="120"/>
        <v>0.67131195069240202</v>
      </c>
      <c r="CM91" s="40">
        <f t="shared" si="121"/>
        <v>0.67276808792559128</v>
      </c>
      <c r="CN91" s="691">
        <f t="shared" si="122"/>
        <v>0.76731506064266664</v>
      </c>
      <c r="CO91" s="691">
        <f t="shared" si="123"/>
        <v>0.81574942068755352</v>
      </c>
      <c r="CP91" s="691">
        <f t="shared" si="124"/>
        <v>0.88208662593374521</v>
      </c>
      <c r="CQ91" s="691">
        <f t="shared" si="125"/>
        <v>0.85552264287898838</v>
      </c>
    </row>
    <row r="92" spans="1:95">
      <c r="A92" s="13" t="s">
        <v>82</v>
      </c>
      <c r="B92" s="319">
        <v>139731311.09999999</v>
      </c>
      <c r="C92" s="319">
        <v>132875287.7</v>
      </c>
      <c r="D92" s="319">
        <v>133717692</v>
      </c>
      <c r="E92" s="319">
        <v>135892563.06999999</v>
      </c>
      <c r="F92" s="319">
        <v>133373535.22</v>
      </c>
      <c r="G92" s="319">
        <v>144186180.03</v>
      </c>
      <c r="H92" s="319">
        <v>137617766.25999999</v>
      </c>
      <c r="I92" s="319">
        <v>145003102.40000001</v>
      </c>
      <c r="J92" s="319">
        <v>155593507.12</v>
      </c>
      <c r="K92" s="319">
        <v>160755328.22</v>
      </c>
      <c r="L92" s="319">
        <v>173943510.61000001</v>
      </c>
      <c r="M92" s="319">
        <v>167940273.31999999</v>
      </c>
      <c r="N92" s="319">
        <v>169948464.83000001</v>
      </c>
      <c r="O92" s="319">
        <v>160360550.91999999</v>
      </c>
      <c r="P92" s="319">
        <v>166222609.19</v>
      </c>
      <c r="Q92" s="319">
        <v>172607755.41999999</v>
      </c>
      <c r="R92" s="319">
        <v>174207017.69</v>
      </c>
      <c r="S92" s="319">
        <v>176405898.5</v>
      </c>
      <c r="T92" s="677">
        <v>183688539.52000001</v>
      </c>
      <c r="U92" s="677">
        <v>187611066.93000001</v>
      </c>
      <c r="V92" s="678">
        <v>189120053.41999999</v>
      </c>
      <c r="W92" s="809">
        <v>189454262.05000001</v>
      </c>
      <c r="X92" s="810"/>
      <c r="Y92" s="13" t="s">
        <v>82</v>
      </c>
      <c r="Z92" s="319">
        <f>B92/'Population &amp; Income'!B91</f>
        <v>7037.2336371877518</v>
      </c>
      <c r="AA92" s="319">
        <f>C92/'Population &amp; Income'!C91</f>
        <v>6635.8014232920495</v>
      </c>
      <c r="AB92" s="319">
        <f>D92/'Population &amp; Income'!D91</f>
        <v>6579.9474461175078</v>
      </c>
      <c r="AC92" s="319">
        <f>E92/'Population &amp; Income'!E91</f>
        <v>6652.595245018847</v>
      </c>
      <c r="AD92" s="319">
        <f>F92/'Population &amp; Income'!F91</f>
        <v>6528.9570794987276</v>
      </c>
      <c r="AE92" s="319">
        <f>G92/'Population &amp; Income'!G91</f>
        <v>7028.6721278151508</v>
      </c>
      <c r="AF92" s="319">
        <f>H92/'Population &amp; Income'!H91</f>
        <v>6728.1591013982588</v>
      </c>
      <c r="AG92" s="319">
        <f>I92/'Population &amp; Income'!I91</f>
        <v>7079.883911918364</v>
      </c>
      <c r="AH92" s="319">
        <f>J92/'Population &amp; Income'!J91</f>
        <v>7545.7568923375366</v>
      </c>
      <c r="AI92" s="319">
        <f>K92/'Population &amp; Income'!K91</f>
        <v>7757.7129726860339</v>
      </c>
      <c r="AJ92" s="319">
        <f>L92/'Population &amp; Income'!L91</f>
        <v>8396.9833748491437</v>
      </c>
      <c r="AK92" s="319">
        <f>M92/'Population &amp; Income'!M91</f>
        <v>8095.0676429191162</v>
      </c>
      <c r="AL92" s="319">
        <f>N92/'Population &amp; Income'!N91</f>
        <v>8135.0086080130204</v>
      </c>
      <c r="AM92" s="319">
        <f>O92/'Population &amp; Income'!O91</f>
        <v>7610.4860196478567</v>
      </c>
      <c r="AN92" s="319">
        <f>P92/'Population &amp; Income'!P91</f>
        <v>7873.7439813367437</v>
      </c>
      <c r="AO92" s="319">
        <f>Q92/'Population &amp; Income'!Q91</f>
        <v>8231.5682874719823</v>
      </c>
      <c r="AP92" s="319">
        <f>R92/'Population &amp; Income'!R91</f>
        <v>8396.3282094659717</v>
      </c>
      <c r="AQ92" s="319">
        <f>S92/'Population &amp; Income'!S91</f>
        <v>8420.7312282209168</v>
      </c>
      <c r="AR92" s="697">
        <f>T92/'Population &amp; Income'!T91</f>
        <v>8762.5120221342368</v>
      </c>
      <c r="AS92" s="697">
        <f>U92/'Population &amp; Income'!U91</f>
        <v>9018.4620934480608</v>
      </c>
      <c r="AT92" s="697">
        <f>V92/'Population &amp; Income'!V91</f>
        <v>9126.0943598899776</v>
      </c>
      <c r="AU92" s="697">
        <f>W92/'Population &amp; Income'!W91</f>
        <v>9270.1601042227339</v>
      </c>
      <c r="AV92" s="690"/>
      <c r="AW92" s="486"/>
      <c r="AX92" s="13" t="s">
        <v>82</v>
      </c>
      <c r="AY92" s="40">
        <f t="shared" si="84"/>
        <v>-4.9065763042138888E-2</v>
      </c>
      <c r="AZ92" s="40">
        <f t="shared" si="85"/>
        <v>6.3398116728969238E-3</v>
      </c>
      <c r="BA92" s="40">
        <f t="shared" si="86"/>
        <v>1.6264647089481568E-2</v>
      </c>
      <c r="BB92" s="40">
        <f t="shared" si="87"/>
        <v>-1.8536907341297336E-2</v>
      </c>
      <c r="BC92" s="40">
        <f t="shared" si="88"/>
        <v>8.1070392204604283E-2</v>
      </c>
      <c r="BD92" s="40">
        <f t="shared" si="89"/>
        <v>-4.5555085575006968E-2</v>
      </c>
      <c r="BE92" s="40">
        <f t="shared" si="90"/>
        <v>5.3665571973076261E-2</v>
      </c>
      <c r="BF92" s="40">
        <f t="shared" si="91"/>
        <v>7.3035711269030051E-2</v>
      </c>
      <c r="BG92" s="40">
        <f t="shared" si="92"/>
        <v>3.3175041783838635E-2</v>
      </c>
      <c r="BH92" s="40">
        <f t="shared" si="93"/>
        <v>8.203885081775622E-2</v>
      </c>
      <c r="BI92" s="40">
        <f t="shared" si="94"/>
        <v>-3.451256829845134E-2</v>
      </c>
      <c r="BJ92" s="40">
        <f t="shared" si="95"/>
        <v>1.1957772071583647E-2</v>
      </c>
      <c r="BK92" s="40">
        <f t="shared" si="96"/>
        <v>-5.6416596169849766E-2</v>
      </c>
      <c r="BL92" s="40">
        <f t="shared" si="97"/>
        <v>3.6555488468759688E-2</v>
      </c>
      <c r="BM92" s="40">
        <f t="shared" si="98"/>
        <v>3.8413223454466877E-2</v>
      </c>
      <c r="BN92" s="40">
        <f t="shared" si="99"/>
        <v>9.2652978778884291E-3</v>
      </c>
      <c r="BO92" s="40">
        <f t="shared" si="100"/>
        <v>1.262222865162007E-2</v>
      </c>
      <c r="BP92" s="691">
        <f t="shared" si="101"/>
        <v>4.1283432594517298E-2</v>
      </c>
      <c r="BQ92" s="691">
        <f t="shared" si="102"/>
        <v>2.1354230483023203E-2</v>
      </c>
      <c r="BR92" s="691">
        <f t="shared" si="103"/>
        <v>8.043163522773426E-3</v>
      </c>
      <c r="BS92" s="691">
        <f t="shared" si="104"/>
        <v>1.7671771129305397E-3</v>
      </c>
      <c r="BT92" s="40"/>
      <c r="BV92" s="13" t="s">
        <v>82</v>
      </c>
      <c r="BW92" s="40">
        <f t="shared" si="105"/>
        <v>-4.9065763042138888E-2</v>
      </c>
      <c r="BX92" s="40">
        <f t="shared" si="106"/>
        <v>-4.3037019066516108E-2</v>
      </c>
      <c r="BY92" s="40">
        <f t="shared" si="107"/>
        <v>-2.7472353903934717E-2</v>
      </c>
      <c r="BZ92" s="40">
        <f t="shared" si="108"/>
        <v>-4.5500008766467488E-2</v>
      </c>
      <c r="CA92" s="40">
        <f t="shared" si="109"/>
        <v>3.188167988212634E-2</v>
      </c>
      <c r="CB92" s="40">
        <f t="shared" si="110"/>
        <v>-1.5125778348185868E-2</v>
      </c>
      <c r="CC92" s="40">
        <f t="shared" si="111"/>
        <v>3.7728060078297029E-2</v>
      </c>
      <c r="CD92" s="40">
        <f t="shared" si="112"/>
        <v>0.11351926704994619</v>
      </c>
      <c r="CE92" s="40">
        <f t="shared" si="113"/>
        <v>0.15046031526143752</v>
      </c>
      <c r="CF92" s="40">
        <f t="shared" si="114"/>
        <v>0.24484275743691938</v>
      </c>
      <c r="CG92" s="40">
        <f t="shared" si="115"/>
        <v>0.20188003675004521</v>
      </c>
      <c r="CH92" s="40">
        <f t="shared" si="116"/>
        <v>0.21625184428688882</v>
      </c>
      <c r="CI92" s="40">
        <f t="shared" si="117"/>
        <v>0.14763505514692044</v>
      </c>
      <c r="CJ92" s="40">
        <f t="shared" si="118"/>
        <v>0.18958741517168806</v>
      </c>
      <c r="CK92" s="40">
        <f t="shared" si="119"/>
        <v>0.23528330236929978</v>
      </c>
      <c r="CL92" s="40">
        <f t="shared" si="120"/>
        <v>0.24672857012933305</v>
      </c>
      <c r="CM92" s="40">
        <f t="shared" si="121"/>
        <v>0.26246506320801283</v>
      </c>
      <c r="CN92" s="691">
        <f t="shared" si="122"/>
        <v>0.3145839545478939</v>
      </c>
      <c r="CO92" s="691">
        <f t="shared" si="123"/>
        <v>0.34265588330259372</v>
      </c>
      <c r="CP92" s="691">
        <f t="shared" si="124"/>
        <v>0.35345508412681026</v>
      </c>
      <c r="CQ92" s="691">
        <f t="shared" si="125"/>
        <v>0.35584687897485862</v>
      </c>
    </row>
    <row r="93" spans="1:95">
      <c r="A93" s="13" t="s">
        <v>83</v>
      </c>
      <c r="B93" s="319">
        <v>132890493.7</v>
      </c>
      <c r="C93" s="319">
        <v>143261257.69999999</v>
      </c>
      <c r="D93" s="319">
        <v>158965816.09999999</v>
      </c>
      <c r="E93" s="319">
        <v>168363299.97999999</v>
      </c>
      <c r="F93" s="319">
        <v>169926920.94999999</v>
      </c>
      <c r="G93" s="319">
        <v>176065747.53999999</v>
      </c>
      <c r="H93" s="319">
        <v>178293624.77000001</v>
      </c>
      <c r="I93" s="319">
        <v>179048853.63999999</v>
      </c>
      <c r="J93" s="319">
        <v>196657993.75999999</v>
      </c>
      <c r="K93" s="319">
        <v>220839600.71000001</v>
      </c>
      <c r="L93" s="319">
        <v>227820541.61000001</v>
      </c>
      <c r="M93" s="319">
        <v>230950499.44999999</v>
      </c>
      <c r="N93" s="319">
        <v>225993921.58000001</v>
      </c>
      <c r="O93" s="319">
        <v>210481381.65000001</v>
      </c>
      <c r="P93" s="319">
        <v>211694369.88999999</v>
      </c>
      <c r="Q93" s="319">
        <v>216558403.38</v>
      </c>
      <c r="R93" s="319">
        <v>222320619.03999999</v>
      </c>
      <c r="S93" s="319">
        <v>225772436.72</v>
      </c>
      <c r="T93" s="677">
        <v>236891130.94999999</v>
      </c>
      <c r="U93" s="677">
        <v>245475277.62</v>
      </c>
      <c r="V93" s="678">
        <v>259910187.53999999</v>
      </c>
      <c r="W93" s="809">
        <v>270342061.52999997</v>
      </c>
      <c r="X93" s="810"/>
      <c r="Y93" s="13" t="s">
        <v>83</v>
      </c>
      <c r="Z93" s="319">
        <f>B93/'Population &amp; Income'!B92</f>
        <v>5998.4875733501849</v>
      </c>
      <c r="AA93" s="319">
        <f>C93/'Population &amp; Income'!C92</f>
        <v>6293.0488776630791</v>
      </c>
      <c r="AB93" s="319">
        <f>D93/'Population &amp; Income'!D92</f>
        <v>6787.6095687446623</v>
      </c>
      <c r="AC93" s="319">
        <f>E93/'Population &amp; Income'!E92</f>
        <v>6994.4455976070785</v>
      </c>
      <c r="AD93" s="319">
        <f>F93/'Population &amp; Income'!F92</f>
        <v>6867.1214770660736</v>
      </c>
      <c r="AE93" s="319">
        <f>G93/'Population &amp; Income'!G92</f>
        <v>6924.6341359238568</v>
      </c>
      <c r="AF93" s="319">
        <f>H93/'Population &amp; Income'!H92</f>
        <v>6788.0006384679818</v>
      </c>
      <c r="AG93" s="319">
        <f>I93/'Population &amp; Income'!I92</f>
        <v>6590.1893201810881</v>
      </c>
      <c r="AH93" s="319">
        <f>J93/'Population &amp; Income'!J92</f>
        <v>7030.7816581459365</v>
      </c>
      <c r="AI93" s="319">
        <f>K93/'Population &amp; Income'!K92</f>
        <v>7590.2938893280634</v>
      </c>
      <c r="AJ93" s="319">
        <f>L93/'Population &amp; Income'!L92</f>
        <v>7549.9765239436629</v>
      </c>
      <c r="AK93" s="319">
        <f>M93/'Population &amp; Income'!M92</f>
        <v>7413.6652365819209</v>
      </c>
      <c r="AL93" s="319">
        <f>N93/'Population &amp; Income'!N92</f>
        <v>7067.8317929632531</v>
      </c>
      <c r="AM93" s="319">
        <f>O93/'Population &amp; Income'!O92</f>
        <v>6512.4189866955448</v>
      </c>
      <c r="AN93" s="319">
        <f>P93/'Population &amp; Income'!P92</f>
        <v>6500.8712040904065</v>
      </c>
      <c r="AO93" s="319">
        <f>Q93/'Population &amp; Income'!Q92</f>
        <v>6645.3419473425802</v>
      </c>
      <c r="AP93" s="319">
        <f>R93/'Population &amp; Income'!R92</f>
        <v>6787.7940658870939</v>
      </c>
      <c r="AQ93" s="319">
        <f>S93/'Population &amp; Income'!S92</f>
        <v>6841.7963186763236</v>
      </c>
      <c r="AR93" s="697">
        <f>T93/'Population &amp; Income'!T92</f>
        <v>7119.6204414991134</v>
      </c>
      <c r="AS93" s="697">
        <f>U93/'Population &amp; Income'!U92</f>
        <v>7317.7903598151734</v>
      </c>
      <c r="AT93" s="697">
        <f>V93/'Population &amp; Income'!V92</f>
        <v>7689.1955369504758</v>
      </c>
      <c r="AU93" s="697">
        <f>W93/'Population &amp; Income'!W92</f>
        <v>7864.9539327379043</v>
      </c>
      <c r="AV93" s="690"/>
      <c r="AW93" s="486"/>
      <c r="AX93" s="13" t="s">
        <v>83</v>
      </c>
      <c r="AY93" s="40">
        <f t="shared" si="84"/>
        <v>7.8039923784254742E-2</v>
      </c>
      <c r="AZ93" s="40">
        <f t="shared" si="85"/>
        <v>0.10962181019579313</v>
      </c>
      <c r="BA93" s="40">
        <f t="shared" si="86"/>
        <v>5.9116381814366667E-2</v>
      </c>
      <c r="BB93" s="40">
        <f t="shared" si="87"/>
        <v>9.287184143965713E-3</v>
      </c>
      <c r="BC93" s="40">
        <f t="shared" si="88"/>
        <v>3.6126274493058802E-2</v>
      </c>
      <c r="BD93" s="40">
        <f t="shared" si="89"/>
        <v>1.265366637820268E-2</v>
      </c>
      <c r="BE93" s="40">
        <f t="shared" si="90"/>
        <v>4.2358714226278437E-3</v>
      </c>
      <c r="BF93" s="40">
        <f t="shared" si="91"/>
        <v>9.8348242739411076E-2</v>
      </c>
      <c r="BG93" s="40">
        <f t="shared" si="92"/>
        <v>0.122962746073323</v>
      </c>
      <c r="BH93" s="40">
        <f t="shared" si="93"/>
        <v>3.1610910713279046E-2</v>
      </c>
      <c r="BI93" s="40">
        <f t="shared" si="94"/>
        <v>1.3738698968410259E-2</v>
      </c>
      <c r="BJ93" s="40">
        <f t="shared" si="95"/>
        <v>-2.146164603152572E-2</v>
      </c>
      <c r="BK93" s="40">
        <f t="shared" si="96"/>
        <v>-6.8641403368491463E-2</v>
      </c>
      <c r="BL93" s="40">
        <f t="shared" si="97"/>
        <v>5.7629241621807818E-3</v>
      </c>
      <c r="BM93" s="40">
        <f t="shared" si="98"/>
        <v>2.2976678560357768E-2</v>
      </c>
      <c r="BN93" s="40">
        <f t="shared" si="99"/>
        <v>2.6608136973973271E-2</v>
      </c>
      <c r="BO93" s="40">
        <f t="shared" si="100"/>
        <v>1.5526304734600236E-2</v>
      </c>
      <c r="BP93" s="691">
        <f t="shared" si="101"/>
        <v>4.9247350081928945E-2</v>
      </c>
      <c r="BQ93" s="691">
        <f t="shared" si="102"/>
        <v>3.6236673933613205E-2</v>
      </c>
      <c r="BR93" s="691">
        <f t="shared" si="103"/>
        <v>5.8803925429694301E-2</v>
      </c>
      <c r="BS93" s="691">
        <f t="shared" si="104"/>
        <v>4.0136456707355966E-2</v>
      </c>
      <c r="BT93" s="40"/>
      <c r="BV93" s="13" t="s">
        <v>83</v>
      </c>
      <c r="BW93" s="40">
        <f t="shared" si="105"/>
        <v>7.8039923784254742E-2</v>
      </c>
      <c r="BX93" s="40">
        <f t="shared" si="106"/>
        <v>0.19621661169281962</v>
      </c>
      <c r="BY93" s="40">
        <f t="shared" si="107"/>
        <v>0.26693260964234033</v>
      </c>
      <c r="BZ93" s="40">
        <f t="shared" si="108"/>
        <v>0.27869884608608375</v>
      </c>
      <c r="CA93" s="40">
        <f t="shared" si="109"/>
        <v>0.32489347159374715</v>
      </c>
      <c r="CB93" s="40">
        <f t="shared" si="110"/>
        <v>0.34165823156995317</v>
      </c>
      <c r="CC93" s="40">
        <f t="shared" si="111"/>
        <v>0.3473413233319938</v>
      </c>
      <c r="CD93" s="40">
        <f t="shared" si="112"/>
        <v>0.47984997485188802</v>
      </c>
      <c r="CE93" s="40">
        <f t="shared" si="113"/>
        <v>0.66181639153621419</v>
      </c>
      <c r="CF93" s="40">
        <f t="shared" si="114"/>
        <v>0.71434792111092904</v>
      </c>
      <c r="CG93" s="40">
        <f t="shared" si="115"/>
        <v>0.73790083112619198</v>
      </c>
      <c r="CH93" s="40">
        <f t="shared" si="116"/>
        <v>0.70060261865066731</v>
      </c>
      <c r="CI93" s="40">
        <f t="shared" si="117"/>
        <v>0.58387086833435398</v>
      </c>
      <c r="CJ93" s="40">
        <f t="shared" si="118"/>
        <v>0.59299859603125227</v>
      </c>
      <c r="CK93" s="40">
        <f t="shared" si="119"/>
        <v>0.62960041271936362</v>
      </c>
      <c r="CL93" s="40">
        <f t="shared" si="120"/>
        <v>0.6729610437138438</v>
      </c>
      <c r="CM93" s="40">
        <f t="shared" si="121"/>
        <v>0.69893594668765979</v>
      </c>
      <c r="CN93" s="691">
        <f t="shared" si="122"/>
        <v>0.7826040400209604</v>
      </c>
      <c r="CO93" s="691">
        <f t="shared" si="123"/>
        <v>0.84719968137194146</v>
      </c>
      <c r="CP93" s="691">
        <f t="shared" si="124"/>
        <v>0.95582227368909223</v>
      </c>
      <c r="CQ93" s="691">
        <f t="shared" si="125"/>
        <v>1.0343220497042971</v>
      </c>
    </row>
    <row r="94" spans="1:95">
      <c r="A94" s="13" t="s">
        <v>84</v>
      </c>
      <c r="B94" s="319">
        <v>76967664.079999998</v>
      </c>
      <c r="C94" s="319">
        <v>80997036.950000003</v>
      </c>
      <c r="D94" s="319">
        <v>83224507.439999998</v>
      </c>
      <c r="E94" s="319">
        <v>85487405.980000004</v>
      </c>
      <c r="F94" s="319">
        <v>90097494.900000006</v>
      </c>
      <c r="G94" s="319">
        <v>97656098.719999999</v>
      </c>
      <c r="H94" s="319">
        <v>101905692.65000001</v>
      </c>
      <c r="I94" s="319">
        <v>108872549.84999999</v>
      </c>
      <c r="J94" s="319">
        <v>115073066.17</v>
      </c>
      <c r="K94" s="319">
        <v>118577115.36</v>
      </c>
      <c r="L94" s="319">
        <v>125157506.98</v>
      </c>
      <c r="M94" s="319">
        <v>127512247.3</v>
      </c>
      <c r="N94" s="319">
        <v>129165956.53</v>
      </c>
      <c r="O94" s="319">
        <v>126934112.8</v>
      </c>
      <c r="P94" s="319">
        <v>127834916.29000001</v>
      </c>
      <c r="Q94" s="319">
        <v>128944969.20999999</v>
      </c>
      <c r="R94" s="319">
        <v>129976772.18000001</v>
      </c>
      <c r="S94" s="319">
        <v>134977935.16999999</v>
      </c>
      <c r="T94" s="677">
        <v>139390726.44999999</v>
      </c>
      <c r="U94" s="677">
        <v>147435045.81</v>
      </c>
      <c r="V94" s="678">
        <v>150538991.75999999</v>
      </c>
      <c r="W94" s="809">
        <v>156835072.80000001</v>
      </c>
      <c r="X94" s="810"/>
      <c r="Y94" s="13" t="s">
        <v>84</v>
      </c>
      <c r="Z94" s="319">
        <f>B94/'Population &amp; Income'!B93</f>
        <v>3479.550817359855</v>
      </c>
      <c r="AA94" s="319">
        <f>C94/'Population &amp; Income'!C93</f>
        <v>3596.3518759435219</v>
      </c>
      <c r="AB94" s="319">
        <f>D94/'Population &amp; Income'!D93</f>
        <v>3644.762522554086</v>
      </c>
      <c r="AC94" s="319">
        <f>E94/'Population &amp; Income'!E93</f>
        <v>3706.04785971301</v>
      </c>
      <c r="AD94" s="319">
        <f>F94/'Population &amp; Income'!F93</f>
        <v>3851.1431887155377</v>
      </c>
      <c r="AE94" s="319">
        <f>G94/'Population &amp; Income'!G93</f>
        <v>4153.1044790337673</v>
      </c>
      <c r="AF94" s="319">
        <f>H94/'Population &amp; Income'!H93</f>
        <v>4282.4715351319555</v>
      </c>
      <c r="AG94" s="319">
        <f>I94/'Population &amp; Income'!I93</f>
        <v>4544.6881720654528</v>
      </c>
      <c r="AH94" s="319">
        <f>J94/'Population &amp; Income'!J93</f>
        <v>4760.1996430048812</v>
      </c>
      <c r="AI94" s="319">
        <f>K94/'Population &amp; Income'!K93</f>
        <v>4897.6545933666512</v>
      </c>
      <c r="AJ94" s="319">
        <f>L94/'Population &amp; Income'!L93</f>
        <v>5083.7770413095577</v>
      </c>
      <c r="AK94" s="319">
        <f>M94/'Population &amp; Income'!M93</f>
        <v>5130.0389161570647</v>
      </c>
      <c r="AL94" s="319">
        <f>N94/'Population &amp; Income'!N93</f>
        <v>5143.3901377772472</v>
      </c>
      <c r="AM94" s="319">
        <f>O94/'Population &amp; Income'!O93</f>
        <v>5054.920664250727</v>
      </c>
      <c r="AN94" s="319">
        <f>P94/'Population &amp; Income'!P93</f>
        <v>5078.0533999364425</v>
      </c>
      <c r="AO94" s="319">
        <f>Q94/'Population &amp; Income'!Q93</f>
        <v>5135.8174696299839</v>
      </c>
      <c r="AP94" s="319">
        <f>R94/'Population &amp; Income'!R93</f>
        <v>5179.3892082088068</v>
      </c>
      <c r="AQ94" s="319">
        <f>S94/'Population &amp; Income'!S93</f>
        <v>5362.2252967583026</v>
      </c>
      <c r="AR94" s="697">
        <f>T94/'Population &amp; Income'!T93</f>
        <v>5552.3093586934865</v>
      </c>
      <c r="AS94" s="697">
        <f>U94/'Population &amp; Income'!U93</f>
        <v>5946.1603472474289</v>
      </c>
      <c r="AT94" s="697">
        <f>V94/'Population &amp; Income'!V93</f>
        <v>6060.589869157373</v>
      </c>
      <c r="AU94" s="697">
        <f>W94/'Population &amp; Income'!W93</f>
        <v>6267.887171289266</v>
      </c>
      <c r="AV94" s="690"/>
      <c r="AW94" s="486"/>
      <c r="AX94" s="13" t="s">
        <v>84</v>
      </c>
      <c r="AY94" s="40">
        <f t="shared" si="84"/>
        <v>5.2351502649370843E-2</v>
      </c>
      <c r="AZ94" s="40">
        <f t="shared" si="85"/>
        <v>2.7500641676250784E-2</v>
      </c>
      <c r="BA94" s="40">
        <f t="shared" si="86"/>
        <v>2.7190290571937888E-2</v>
      </c>
      <c r="BB94" s="40">
        <f t="shared" si="87"/>
        <v>5.3927112036579329E-2</v>
      </c>
      <c r="BC94" s="40">
        <f t="shared" si="88"/>
        <v>8.3893606902049306E-2</v>
      </c>
      <c r="BD94" s="40">
        <f t="shared" si="89"/>
        <v>4.3515909254008417E-2</v>
      </c>
      <c r="BE94" s="40">
        <f t="shared" si="90"/>
        <v>6.8365731283805645E-2</v>
      </c>
      <c r="BF94" s="40">
        <f t="shared" si="91"/>
        <v>5.6952063018114459E-2</v>
      </c>
      <c r="BG94" s="40">
        <f t="shared" si="92"/>
        <v>3.0450645895047132E-2</v>
      </c>
      <c r="BH94" s="40">
        <f t="shared" si="93"/>
        <v>5.5494617152913046E-2</v>
      </c>
      <c r="BI94" s="40">
        <f t="shared" si="94"/>
        <v>1.8814215597760964E-2</v>
      </c>
      <c r="BJ94" s="40">
        <f t="shared" si="95"/>
        <v>1.2969022701868766E-2</v>
      </c>
      <c r="BK94" s="40">
        <f t="shared" si="96"/>
        <v>-1.7278885164154205E-2</v>
      </c>
      <c r="BL94" s="40">
        <f t="shared" si="97"/>
        <v>7.0966225715803763E-3</v>
      </c>
      <c r="BM94" s="40">
        <f t="shared" si="98"/>
        <v>8.6834876746958202E-3</v>
      </c>
      <c r="BN94" s="40">
        <f t="shared" si="99"/>
        <v>8.0018862024746201E-3</v>
      </c>
      <c r="BO94" s="40">
        <f t="shared" si="100"/>
        <v>3.8477359501388871E-2</v>
      </c>
      <c r="BP94" s="691">
        <f t="shared" si="101"/>
        <v>3.2692686211581508E-2</v>
      </c>
      <c r="BQ94" s="691">
        <f t="shared" si="102"/>
        <v>5.7710577775671068E-2</v>
      </c>
      <c r="BR94" s="691">
        <f t="shared" si="103"/>
        <v>2.1052972398435395E-2</v>
      </c>
      <c r="BS94" s="691">
        <f t="shared" si="104"/>
        <v>4.1823589798167929E-2</v>
      </c>
      <c r="BT94" s="40"/>
      <c r="BV94" s="13" t="s">
        <v>84</v>
      </c>
      <c r="BW94" s="40">
        <f t="shared" si="105"/>
        <v>5.2351502649370843E-2</v>
      </c>
      <c r="BX94" s="40">
        <f t="shared" si="106"/>
        <v>8.129184424119526E-2</v>
      </c>
      <c r="BY94" s="40">
        <f t="shared" si="107"/>
        <v>0.11069248367917997</v>
      </c>
      <c r="BZ94" s="40">
        <f t="shared" si="108"/>
        <v>0.17058892168473366</v>
      </c>
      <c r="CA94" s="40">
        <f t="shared" si="109"/>
        <v>0.26879384852444649</v>
      </c>
      <c r="CB94" s="40">
        <f t="shared" si="110"/>
        <v>0.32400656649888038</v>
      </c>
      <c r="CC94" s="40">
        <f t="shared" si="111"/>
        <v>0.414523243642137</v>
      </c>
      <c r="CD94" s="40">
        <f t="shared" si="112"/>
        <v>0.49508326055463164</v>
      </c>
      <c r="CE94" s="40">
        <f t="shared" si="113"/>
        <v>0.54060951150539327</v>
      </c>
      <c r="CF94" s="40">
        <f t="shared" si="114"/>
        <v>0.62610504652852139</v>
      </c>
      <c r="CG94" s="40">
        <f t="shared" si="115"/>
        <v>0.65669893745851615</v>
      </c>
      <c r="CH94" s="40">
        <f t="shared" si="116"/>
        <v>0.67818470358857752</v>
      </c>
      <c r="CI94" s="40">
        <f t="shared" si="117"/>
        <v>0.6491875428110303</v>
      </c>
      <c r="CJ94" s="40">
        <f t="shared" si="118"/>
        <v>0.66089120435211224</v>
      </c>
      <c r="CK94" s="40">
        <f t="shared" si="119"/>
        <v>0.67531353265411453</v>
      </c>
      <c r="CL94" s="40">
        <f t="shared" si="120"/>
        <v>0.68871920089587846</v>
      </c>
      <c r="CM94" s="40">
        <f t="shared" si="121"/>
        <v>0.75369665668564734</v>
      </c>
      <c r="CN94" s="691">
        <f t="shared" si="122"/>
        <v>0.81102971119297074</v>
      </c>
      <c r="CO94" s="691">
        <f t="shared" si="123"/>
        <v>0.91554528219482378</v>
      </c>
      <c r="CP94" s="691">
        <f t="shared" si="124"/>
        <v>0.9558732041488246</v>
      </c>
      <c r="CQ94" s="691">
        <f t="shared" si="125"/>
        <v>1.0376748427363733</v>
      </c>
    </row>
    <row r="95" spans="1:95">
      <c r="A95" s="13" t="s">
        <v>85</v>
      </c>
      <c r="B95" s="319">
        <v>54982178.369999997</v>
      </c>
      <c r="C95" s="319">
        <v>56565027.479999997</v>
      </c>
      <c r="D95" s="319">
        <v>58269445.140000001</v>
      </c>
      <c r="E95" s="319">
        <v>60650321.450000003</v>
      </c>
      <c r="F95" s="319">
        <v>62961560.170000002</v>
      </c>
      <c r="G95" s="319">
        <v>62272470.310000002</v>
      </c>
      <c r="H95" s="319">
        <v>61912108.060000002</v>
      </c>
      <c r="I95" s="319">
        <v>64748668.189999998</v>
      </c>
      <c r="J95" s="319">
        <v>67281841.079999998</v>
      </c>
      <c r="K95" s="319">
        <v>69458630.049999997</v>
      </c>
      <c r="L95" s="319">
        <v>68467598.650000006</v>
      </c>
      <c r="M95" s="319">
        <v>69898215.069999993</v>
      </c>
      <c r="N95" s="319">
        <v>73917707.129999995</v>
      </c>
      <c r="O95" s="319">
        <v>75852439.769999996</v>
      </c>
      <c r="P95" s="319">
        <v>75847991.239999995</v>
      </c>
      <c r="Q95" s="319">
        <v>78177315.450000003</v>
      </c>
      <c r="R95" s="319">
        <v>74853941</v>
      </c>
      <c r="S95" s="319">
        <v>76217115.109999999</v>
      </c>
      <c r="T95" s="677">
        <v>77919582.780000001</v>
      </c>
      <c r="U95" s="677">
        <v>78853497.040000007</v>
      </c>
      <c r="V95" s="678">
        <v>86860012.689999998</v>
      </c>
      <c r="W95" s="809">
        <v>75292130.939999998</v>
      </c>
      <c r="X95" s="810"/>
      <c r="Y95" s="13" t="s">
        <v>85</v>
      </c>
      <c r="Z95" s="319">
        <f>B95/'Population &amp; Income'!B94</f>
        <v>4255.2572068725331</v>
      </c>
      <c r="AA95" s="319">
        <f>C95/'Population &amp; Income'!C94</f>
        <v>4352.4951892890122</v>
      </c>
      <c r="AB95" s="319">
        <f>D95/'Population &amp; Income'!D94</f>
        <v>4409.6749765400336</v>
      </c>
      <c r="AC95" s="319">
        <f>E95/'Population &amp; Income'!E94</f>
        <v>4596.8107814157956</v>
      </c>
      <c r="AD95" s="319">
        <f>F95/'Population &amp; Income'!F94</f>
        <v>4748.590404253715</v>
      </c>
      <c r="AE95" s="319">
        <f>G95/'Population &amp; Income'!G94</f>
        <v>4658.3236318073014</v>
      </c>
      <c r="AF95" s="319">
        <f>H95/'Population &amp; Income'!H94</f>
        <v>4648.7541717975673</v>
      </c>
      <c r="AG95" s="319">
        <f>I95/'Population &amp; Income'!I94</f>
        <v>4819.4021726832898</v>
      </c>
      <c r="AH95" s="319">
        <f>J95/'Population &amp; Income'!J94</f>
        <v>5023.282147230103</v>
      </c>
      <c r="AI95" s="319">
        <f>K95/'Population &amp; Income'!K94</f>
        <v>5139.753592570667</v>
      </c>
      <c r="AJ95" s="319">
        <f>L95/'Population &amp; Income'!L94</f>
        <v>5098.4882455879069</v>
      </c>
      <c r="AK95" s="319">
        <f>M95/'Population &amp; Income'!M94</f>
        <v>5233.4692325546566</v>
      </c>
      <c r="AL95" s="319">
        <f>N95/'Population &amp; Income'!N94</f>
        <v>5517.4820579234156</v>
      </c>
      <c r="AM95" s="319">
        <f>O95/'Population &amp; Income'!O94</f>
        <v>5624.5320903158827</v>
      </c>
      <c r="AN95" s="319">
        <f>P95/'Population &amp; Income'!P94</f>
        <v>5608.8139643570212</v>
      </c>
      <c r="AO95" s="319">
        <f>Q95/'Population &amp; Income'!Q94</f>
        <v>5829.7774384787472</v>
      </c>
      <c r="AP95" s="319">
        <f>R95/'Population &amp; Income'!R94</f>
        <v>5585.2813759140427</v>
      </c>
      <c r="AQ95" s="319">
        <f>S95/'Population &amp; Income'!S94</f>
        <v>5686.1470538645181</v>
      </c>
      <c r="AR95" s="697">
        <f>T95/'Population &amp; Income'!T94</f>
        <v>5817.9334562831327</v>
      </c>
      <c r="AS95" s="697">
        <f>U95/'Population &amp; Income'!U94</f>
        <v>5896.4702789202129</v>
      </c>
      <c r="AT95" s="697">
        <f>V95/'Population &amp; Income'!V94</f>
        <v>6610.8541510008372</v>
      </c>
      <c r="AU95" s="697">
        <f>W95/'Population &amp; Income'!W94</f>
        <v>5662.7655640794219</v>
      </c>
      <c r="AV95" s="690"/>
      <c r="AW95" s="486"/>
      <c r="AX95" s="13" t="s">
        <v>85</v>
      </c>
      <c r="AY95" s="40">
        <f t="shared" si="84"/>
        <v>2.8788403023035761E-2</v>
      </c>
      <c r="AZ95" s="40">
        <f t="shared" si="85"/>
        <v>3.0132004454565924E-2</v>
      </c>
      <c r="BA95" s="40">
        <f t="shared" si="86"/>
        <v>4.085977315005547E-2</v>
      </c>
      <c r="BB95" s="40">
        <f t="shared" si="87"/>
        <v>3.8107608743762046E-2</v>
      </c>
      <c r="BC95" s="40">
        <f t="shared" si="88"/>
        <v>-1.0944612206867417E-2</v>
      </c>
      <c r="BD95" s="40">
        <f t="shared" si="89"/>
        <v>-5.7868629300567723E-3</v>
      </c>
      <c r="BE95" s="40">
        <f t="shared" si="90"/>
        <v>4.5815919032365045E-2</v>
      </c>
      <c r="BF95" s="40">
        <f t="shared" si="91"/>
        <v>3.9123165940133306E-2</v>
      </c>
      <c r="BG95" s="40">
        <f t="shared" si="92"/>
        <v>3.2353290799693422E-2</v>
      </c>
      <c r="BH95" s="40">
        <f t="shared" si="93"/>
        <v>-1.4267937609575574E-2</v>
      </c>
      <c r="BI95" s="40">
        <f t="shared" si="94"/>
        <v>2.0894794738065298E-2</v>
      </c>
      <c r="BJ95" s="40">
        <f t="shared" si="95"/>
        <v>5.7504931363049225E-2</v>
      </c>
      <c r="BK95" s="40">
        <f t="shared" si="96"/>
        <v>2.6174143045283618E-2</v>
      </c>
      <c r="BL95" s="40">
        <f t="shared" si="97"/>
        <v>-5.8647157737971762E-5</v>
      </c>
      <c r="BM95" s="40">
        <f t="shared" si="98"/>
        <v>3.0710427157253327E-2</v>
      </c>
      <c r="BN95" s="40">
        <f t="shared" si="99"/>
        <v>-4.2510726172549876E-2</v>
      </c>
      <c r="BO95" s="40">
        <f t="shared" si="100"/>
        <v>1.8211120106555238E-2</v>
      </c>
      <c r="BP95" s="691">
        <f t="shared" si="101"/>
        <v>2.2337078326081002E-2</v>
      </c>
      <c r="BQ95" s="691">
        <f t="shared" si="102"/>
        <v>1.1985616794648928E-2</v>
      </c>
      <c r="BR95" s="691">
        <f t="shared" si="103"/>
        <v>0.1015365957192555</v>
      </c>
      <c r="BS95" s="691">
        <f t="shared" si="104"/>
        <v>-0.13317844876773527</v>
      </c>
      <c r="BT95" s="40"/>
      <c r="BV95" s="13" t="s">
        <v>85</v>
      </c>
      <c r="BW95" s="40">
        <f t="shared" si="105"/>
        <v>2.8788403023035761E-2</v>
      </c>
      <c r="BX95" s="40">
        <f t="shared" si="106"/>
        <v>5.9787859765731637E-2</v>
      </c>
      <c r="BY95" s="40">
        <f t="shared" si="107"/>
        <v>0.10309055130294223</v>
      </c>
      <c r="BZ95" s="40">
        <f t="shared" si="108"/>
        <v>0.14512669444093554</v>
      </c>
      <c r="CA95" s="40">
        <f t="shared" si="109"/>
        <v>0.13259372684254753</v>
      </c>
      <c r="CB95" s="40">
        <f t="shared" si="110"/>
        <v>0.12603956218986756</v>
      </c>
      <c r="CC95" s="40">
        <f t="shared" si="111"/>
        <v>0.17763009959839829</v>
      </c>
      <c r="CD95" s="40">
        <f t="shared" si="112"/>
        <v>0.22370271740108214</v>
      </c>
      <c r="CE95" s="40">
        <f t="shared" si="113"/>
        <v>0.26329352726953442</v>
      </c>
      <c r="CF95" s="40">
        <f t="shared" si="114"/>
        <v>0.24526893403987204</v>
      </c>
      <c r="CG95" s="40">
        <f t="shared" si="115"/>
        <v>0.27128857281032454</v>
      </c>
      <c r="CH95" s="40">
        <f t="shared" si="116"/>
        <v>0.34439393493241105</v>
      </c>
      <c r="CI95" s="40">
        <f t="shared" si="117"/>
        <v>0.37958229409454369</v>
      </c>
      <c r="CJ95" s="40">
        <f t="shared" si="118"/>
        <v>0.37950138551412943</v>
      </c>
      <c r="CK95" s="40">
        <f t="shared" si="119"/>
        <v>0.42186646232729114</v>
      </c>
      <c r="CL95" s="40">
        <f t="shared" si="120"/>
        <v>0.36142188649336349</v>
      </c>
      <c r="CM95" s="40">
        <f t="shared" si="121"/>
        <v>0.38621490398398711</v>
      </c>
      <c r="CN95" s="691">
        <f t="shared" si="122"/>
        <v>0.4171788948710583</v>
      </c>
      <c r="CO95" s="691">
        <f t="shared" si="123"/>
        <v>0.43416465803444687</v>
      </c>
      <c r="CP95" s="691">
        <f t="shared" si="124"/>
        <v>0.57978485511213484</v>
      </c>
      <c r="CQ95" s="691">
        <f t="shared" si="125"/>
        <v>0.36939155872153928</v>
      </c>
    </row>
    <row r="96" spans="1:95">
      <c r="A96" s="13" t="s">
        <v>86</v>
      </c>
      <c r="B96" s="319">
        <v>123456952</v>
      </c>
      <c r="C96" s="319">
        <v>130007569.8</v>
      </c>
      <c r="D96" s="319">
        <v>137089820.80000001</v>
      </c>
      <c r="E96" s="319">
        <v>146468594.87</v>
      </c>
      <c r="F96" s="319">
        <v>154547320.09</v>
      </c>
      <c r="G96" s="319">
        <v>161338246.58000001</v>
      </c>
      <c r="H96" s="319">
        <v>168975116.22999999</v>
      </c>
      <c r="I96" s="319">
        <v>175415899.21000001</v>
      </c>
      <c r="J96" s="319">
        <v>184053691.72999999</v>
      </c>
      <c r="K96" s="319">
        <v>197788319.46000001</v>
      </c>
      <c r="L96" s="319">
        <v>220976425.53999999</v>
      </c>
      <c r="M96" s="319">
        <v>226473555.31</v>
      </c>
      <c r="N96" s="319">
        <v>230040536.78999999</v>
      </c>
      <c r="O96" s="319">
        <v>219892498.81999999</v>
      </c>
      <c r="P96" s="319">
        <v>220227427.93000001</v>
      </c>
      <c r="Q96" s="319">
        <v>228766177.38</v>
      </c>
      <c r="R96" s="319">
        <v>233212411.53</v>
      </c>
      <c r="S96" s="319">
        <v>232122694.53</v>
      </c>
      <c r="T96" s="677">
        <v>251012324.33000001</v>
      </c>
      <c r="U96" s="677">
        <v>259132337.87</v>
      </c>
      <c r="V96" s="678">
        <v>267090564.78999999</v>
      </c>
      <c r="W96" s="809">
        <v>273072233.44</v>
      </c>
      <c r="X96" s="810"/>
      <c r="Y96" s="13" t="s">
        <v>86</v>
      </c>
      <c r="Z96" s="319">
        <f>B96/'Population &amp; Income'!B95</f>
        <v>4396.928271244391</v>
      </c>
      <c r="AA96" s="319">
        <f>C96/'Population &amp; Income'!C95</f>
        <v>4499.6217007579689</v>
      </c>
      <c r="AB96" s="319">
        <f>D96/'Population &amp; Income'!D95</f>
        <v>4626.099102382399</v>
      </c>
      <c r="AC96" s="319">
        <f>E96/'Population &amp; Income'!E95</f>
        <v>4808.0817670616816</v>
      </c>
      <c r="AD96" s="319">
        <f>F96/'Population &amp; Income'!F95</f>
        <v>4950.4250645440279</v>
      </c>
      <c r="AE96" s="319">
        <f>G96/'Population &amp; Income'!G95</f>
        <v>5063.4983077550769</v>
      </c>
      <c r="AF96" s="319">
        <f>H96/'Population &amp; Income'!H95</f>
        <v>5231.5897157806739</v>
      </c>
      <c r="AG96" s="319">
        <f>I96/'Population &amp; Income'!I95</f>
        <v>5367.6835743574056</v>
      </c>
      <c r="AH96" s="319">
        <f>J96/'Population &amp; Income'!J95</f>
        <v>5511.5796768880637</v>
      </c>
      <c r="AI96" s="319">
        <f>K96/'Population &amp; Income'!K95</f>
        <v>5816.4481535068371</v>
      </c>
      <c r="AJ96" s="319">
        <f>L96/'Population &amp; Income'!L95</f>
        <v>6369.6652121526577</v>
      </c>
      <c r="AK96" s="319">
        <f>M96/'Population &amp; Income'!M95</f>
        <v>6383.6726698988077</v>
      </c>
      <c r="AL96" s="319">
        <f>N96/'Population &amp; Income'!N95</f>
        <v>6401.0389223106458</v>
      </c>
      <c r="AM96" s="319">
        <f>O96/'Population &amp; Income'!O95</f>
        <v>6108.6340200572267</v>
      </c>
      <c r="AN96" s="319">
        <f>P96/'Population &amp; Income'!P95</f>
        <v>6067.0384288823388</v>
      </c>
      <c r="AO96" s="319">
        <f>Q96/'Population &amp; Income'!Q95</f>
        <v>6296.8945053674652</v>
      </c>
      <c r="AP96" s="319">
        <f>R96/'Population &amp; Income'!R95</f>
        <v>6415.5707279029466</v>
      </c>
      <c r="AQ96" s="319">
        <f>S96/'Population &amp; Income'!S95</f>
        <v>6365.4553427850597</v>
      </c>
      <c r="AR96" s="697">
        <f>T96/'Population &amp; Income'!T95</f>
        <v>6801.3960962987048</v>
      </c>
      <c r="AS96" s="697">
        <f>U96/'Population &amp; Income'!U95</f>
        <v>6905.407927037254</v>
      </c>
      <c r="AT96" s="697">
        <f>V96/'Population &amp; Income'!V95</f>
        <v>7009.1472416417364</v>
      </c>
      <c r="AU96" s="697">
        <f>W96/'Population &amp; Income'!W95</f>
        <v>7062.5173526445105</v>
      </c>
      <c r="AV96" s="690"/>
      <c r="AW96" s="486"/>
      <c r="AX96" s="13" t="s">
        <v>86</v>
      </c>
      <c r="AY96" s="40">
        <f t="shared" si="84"/>
        <v>5.3059934607813719E-2</v>
      </c>
      <c r="AZ96" s="40">
        <f t="shared" si="85"/>
        <v>5.447568176910892E-2</v>
      </c>
      <c r="BA96" s="40">
        <f t="shared" si="86"/>
        <v>6.8413351299675726E-2</v>
      </c>
      <c r="BB96" s="40">
        <f t="shared" si="87"/>
        <v>5.515670596260154E-2</v>
      </c>
      <c r="BC96" s="40">
        <f t="shared" si="88"/>
        <v>4.3940758636547957E-2</v>
      </c>
      <c r="BD96" s="40">
        <f t="shared" si="89"/>
        <v>4.7334527378870533E-2</v>
      </c>
      <c r="BE96" s="40">
        <f t="shared" si="90"/>
        <v>3.8116754251751282E-2</v>
      </c>
      <c r="BF96" s="40">
        <f t="shared" si="91"/>
        <v>4.9241787995848683E-2</v>
      </c>
      <c r="BG96" s="40">
        <f t="shared" si="92"/>
        <v>7.4622940734860199E-2</v>
      </c>
      <c r="BH96" s="40">
        <f t="shared" si="93"/>
        <v>0.11723698418242268</v>
      </c>
      <c r="BI96" s="40">
        <f t="shared" si="94"/>
        <v>2.4876543986837859E-2</v>
      </c>
      <c r="BJ96" s="40">
        <f t="shared" si="95"/>
        <v>1.575010148587749E-2</v>
      </c>
      <c r="BK96" s="40">
        <f t="shared" si="96"/>
        <v>-4.4114129238291451E-2</v>
      </c>
      <c r="BL96" s="40">
        <f t="shared" si="97"/>
        <v>1.5231493197691167E-3</v>
      </c>
      <c r="BM96" s="40">
        <f t="shared" si="98"/>
        <v>3.8772415998583325E-2</v>
      </c>
      <c r="BN96" s="40">
        <f t="shared" si="99"/>
        <v>1.9435714671292664E-2</v>
      </c>
      <c r="BO96" s="40">
        <f t="shared" si="100"/>
        <v>-4.6726372445225579E-3</v>
      </c>
      <c r="BP96" s="691">
        <f t="shared" si="101"/>
        <v>8.1377780997448648E-2</v>
      </c>
      <c r="BQ96" s="691">
        <f t="shared" si="102"/>
        <v>3.2349063185139866E-2</v>
      </c>
      <c r="BR96" s="691">
        <f t="shared" si="103"/>
        <v>3.0711052836610551E-2</v>
      </c>
      <c r="BS96" s="691">
        <f t="shared" si="104"/>
        <v>2.2395656899011369E-2</v>
      </c>
      <c r="BT96" s="40"/>
      <c r="BV96" s="13" t="s">
        <v>86</v>
      </c>
      <c r="BW96" s="40">
        <f t="shared" si="105"/>
        <v>5.3059934607813719E-2</v>
      </c>
      <c r="BX96" s="40">
        <f t="shared" si="106"/>
        <v>0.11042609248930763</v>
      </c>
      <c r="BY96" s="40">
        <f t="shared" si="107"/>
        <v>0.18639406284710483</v>
      </c>
      <c r="BZ96" s="40">
        <f t="shared" si="108"/>
        <v>0.25183165132733881</v>
      </c>
      <c r="CA96" s="40">
        <f t="shared" si="109"/>
        <v>0.30683808377190469</v>
      </c>
      <c r="CB96" s="40">
        <f t="shared" si="110"/>
        <v>0.36869664682795661</v>
      </c>
      <c r="CC96" s="40">
        <f t="shared" si="111"/>
        <v>0.42086692056029384</v>
      </c>
      <c r="CD96" s="40">
        <f t="shared" si="112"/>
        <v>0.49083294823283818</v>
      </c>
      <c r="CE96" s="40">
        <f t="shared" si="113"/>
        <v>0.60208328697439417</v>
      </c>
      <c r="CF96" s="40">
        <f t="shared" si="114"/>
        <v>0.78990669994833496</v>
      </c>
      <c r="CG96" s="40">
        <f t="shared" si="115"/>
        <v>0.83443339270193551</v>
      </c>
      <c r="CH96" s="40">
        <f t="shared" si="116"/>
        <v>0.86332590480607352</v>
      </c>
      <c r="CI96" s="40">
        <f t="shared" si="117"/>
        <v>0.7811269050284021</v>
      </c>
      <c r="CJ96" s="40">
        <f t="shared" si="118"/>
        <v>0.78383982726221857</v>
      </c>
      <c r="CK96" s="40">
        <f t="shared" si="119"/>
        <v>0.85300360711967027</v>
      </c>
      <c r="CL96" s="40">
        <f t="shared" si="120"/>
        <v>0.8890180565125243</v>
      </c>
      <c r="CM96" s="40">
        <f t="shared" si="121"/>
        <v>0.88019136038608825</v>
      </c>
      <c r="CN96" s="691">
        <f t="shared" si="122"/>
        <v>1.0331971611448825</v>
      </c>
      <c r="CO96" s="691">
        <f t="shared" si="123"/>
        <v>1.0989691845786052</v>
      </c>
      <c r="CP96" s="691">
        <f t="shared" si="124"/>
        <v>1.1634307381086162</v>
      </c>
      <c r="CQ96" s="691">
        <f t="shared" si="125"/>
        <v>1.2118821906440715</v>
      </c>
    </row>
    <row r="97" spans="1:95">
      <c r="A97" s="13" t="s">
        <v>87</v>
      </c>
      <c r="B97" s="319">
        <v>8000770.9199999999</v>
      </c>
      <c r="C97" s="319">
        <v>8101725.3099999996</v>
      </c>
      <c r="D97" s="319">
        <v>8520898.4100000001</v>
      </c>
      <c r="E97" s="319">
        <v>8736583.4499999993</v>
      </c>
      <c r="F97" s="319">
        <v>8447078.1600000001</v>
      </c>
      <c r="G97" s="319">
        <v>8728699.3599999994</v>
      </c>
      <c r="H97" s="319">
        <v>8942248.9700000007</v>
      </c>
      <c r="I97" s="319">
        <v>9611078.9299999997</v>
      </c>
      <c r="J97" s="319">
        <v>10347645.439999999</v>
      </c>
      <c r="K97" s="319">
        <v>10512732.25</v>
      </c>
      <c r="L97" s="319">
        <v>11963948.18</v>
      </c>
      <c r="M97" s="319">
        <v>11195731.220000001</v>
      </c>
      <c r="N97" s="319">
        <v>11538664.449999999</v>
      </c>
      <c r="O97" s="319">
        <v>11587362.390000001</v>
      </c>
      <c r="P97" s="319">
        <v>11522166.699999999</v>
      </c>
      <c r="Q97" s="319">
        <v>12583424.880000001</v>
      </c>
      <c r="R97" s="319">
        <v>12517230.699999999</v>
      </c>
      <c r="S97" s="319">
        <v>12255932.130000001</v>
      </c>
      <c r="T97" s="677">
        <v>12579496.189999999</v>
      </c>
      <c r="U97" s="677">
        <v>12406482.220000001</v>
      </c>
      <c r="V97" s="678">
        <v>12182085.460000001</v>
      </c>
      <c r="W97" s="809">
        <v>13657165.42</v>
      </c>
      <c r="X97" s="810"/>
      <c r="Y97" s="13" t="s">
        <v>87</v>
      </c>
      <c r="Z97" s="319">
        <f>B97/'Population &amp; Income'!B96</f>
        <v>3354.6209308176099</v>
      </c>
      <c r="AA97" s="319">
        <f>C97/'Population &amp; Income'!C96</f>
        <v>3346.437550598926</v>
      </c>
      <c r="AB97" s="319">
        <f>D97/'Population &amp; Income'!D96</f>
        <v>3586.2367045454548</v>
      </c>
      <c r="AC97" s="319">
        <f>E97/'Population &amp; Income'!E96</f>
        <v>3663.1377148846959</v>
      </c>
      <c r="AD97" s="319">
        <f>F97/'Population &amp; Income'!F96</f>
        <v>3546.2124937027706</v>
      </c>
      <c r="AE97" s="319">
        <f>G97/'Population &amp; Income'!G96</f>
        <v>3755.8947332185885</v>
      </c>
      <c r="AF97" s="319">
        <f>H97/'Population &amp; Income'!H96</f>
        <v>3854.4176594827591</v>
      </c>
      <c r="AG97" s="319">
        <f>I97/'Population &amp; Income'!I96</f>
        <v>4195.1457573112175</v>
      </c>
      <c r="AH97" s="319">
        <f>J97/'Population &amp; Income'!J96</f>
        <v>4560.4431203173199</v>
      </c>
      <c r="AI97" s="319">
        <f>K97/'Population &amp; Income'!K96</f>
        <v>4712.1166517256834</v>
      </c>
      <c r="AJ97" s="319">
        <f>L97/'Population &amp; Income'!L96</f>
        <v>5433.2189736603086</v>
      </c>
      <c r="AK97" s="319">
        <f>M97/'Population &amp; Income'!M96</f>
        <v>5049.9464230942722</v>
      </c>
      <c r="AL97" s="319">
        <f>N97/'Population &amp; Income'!N96</f>
        <v>5327.176569713758</v>
      </c>
      <c r="AM97" s="319">
        <f>O97/'Population &amp; Income'!O96</f>
        <v>5269.3780763983632</v>
      </c>
      <c r="AN97" s="319">
        <f>P97/'Population &amp; Income'!P96</f>
        <v>5349.1953110492104</v>
      </c>
      <c r="AO97" s="319">
        <f>Q97/'Population &amp; Income'!Q96</f>
        <v>5896.6377132146208</v>
      </c>
      <c r="AP97" s="319">
        <f>R97/'Population &amp; Income'!R96</f>
        <v>6020.7939874939875</v>
      </c>
      <c r="AQ97" s="319">
        <f>S97/'Population &amp; Income'!S96</f>
        <v>5864.0823588516751</v>
      </c>
      <c r="AR97" s="697">
        <f>T97/'Population &amp; Income'!T96</f>
        <v>6103.5886414361958</v>
      </c>
      <c r="AS97" s="697">
        <f>U97/'Population &amp; Income'!U96</f>
        <v>6048.9918186250616</v>
      </c>
      <c r="AT97" s="697">
        <f>V97/'Population &amp; Income'!V96</f>
        <v>6018.8169268774709</v>
      </c>
      <c r="AU97" s="697">
        <f>W97/'Population &amp; Income'!W96</f>
        <v>6639.3609236752554</v>
      </c>
      <c r="AV97" s="690"/>
      <c r="AW97" s="486"/>
      <c r="AX97" s="13" t="s">
        <v>87</v>
      </c>
      <c r="AY97" s="40">
        <f t="shared" si="84"/>
        <v>1.2618082808450122E-2</v>
      </c>
      <c r="AZ97" s="40">
        <f t="shared" si="85"/>
        <v>5.1738745015535534E-2</v>
      </c>
      <c r="BA97" s="40">
        <f t="shared" si="86"/>
        <v>2.5312476410571254E-2</v>
      </c>
      <c r="BB97" s="40">
        <f t="shared" si="87"/>
        <v>-3.3137128679289286E-2</v>
      </c>
      <c r="BC97" s="40">
        <f t="shared" si="88"/>
        <v>3.3339480784441947E-2</v>
      </c>
      <c r="BD97" s="40">
        <f t="shared" si="89"/>
        <v>2.4465226855974711E-2</v>
      </c>
      <c r="BE97" s="40">
        <f t="shared" si="90"/>
        <v>7.4794379159407259E-2</v>
      </c>
      <c r="BF97" s="40">
        <f t="shared" si="91"/>
        <v>7.6637234525343739E-2</v>
      </c>
      <c r="BG97" s="40">
        <f t="shared" si="92"/>
        <v>1.5954045870361842E-2</v>
      </c>
      <c r="BH97" s="40">
        <f t="shared" si="93"/>
        <v>0.13804364987988729</v>
      </c>
      <c r="BI97" s="40">
        <f t="shared" si="94"/>
        <v>-6.4210990255225184E-2</v>
      </c>
      <c r="BJ97" s="40">
        <f t="shared" si="95"/>
        <v>3.0630713015634414E-2</v>
      </c>
      <c r="BK97" s="40">
        <f t="shared" si="96"/>
        <v>4.220413914541153E-3</v>
      </c>
      <c r="BL97" s="40">
        <f t="shared" si="97"/>
        <v>-5.6264478321887829E-3</v>
      </c>
      <c r="BM97" s="40">
        <f t="shared" si="98"/>
        <v>9.2105782500091896E-2</v>
      </c>
      <c r="BN97" s="40">
        <f t="shared" si="99"/>
        <v>-5.2604263649406041E-3</v>
      </c>
      <c r="BO97" s="40">
        <f t="shared" si="100"/>
        <v>-2.0875110179122802E-2</v>
      </c>
      <c r="BP97" s="691">
        <f t="shared" si="101"/>
        <v>2.6400608013158005E-2</v>
      </c>
      <c r="BQ97" s="691">
        <f t="shared" si="102"/>
        <v>-1.3753648587098051E-2</v>
      </c>
      <c r="BR97" s="691">
        <f t="shared" si="103"/>
        <v>-1.8087057718767261E-2</v>
      </c>
      <c r="BS97" s="691">
        <f t="shared" si="104"/>
        <v>0.12108599671570511</v>
      </c>
      <c r="BT97" s="40"/>
      <c r="BV97" s="13" t="s">
        <v>87</v>
      </c>
      <c r="BW97" s="40">
        <f t="shared" si="105"/>
        <v>1.2618082808450122E-2</v>
      </c>
      <c r="BX97" s="40">
        <f t="shared" si="106"/>
        <v>6.5009671592996976E-2</v>
      </c>
      <c r="BY97" s="40">
        <f t="shared" si="107"/>
        <v>9.1967703782224949E-2</v>
      </c>
      <c r="BZ97" s="40">
        <f t="shared" si="108"/>
        <v>5.578302946836531E-2</v>
      </c>
      <c r="CA97" s="40">
        <f t="shared" si="109"/>
        <v>9.0982287491865779E-2</v>
      </c>
      <c r="CB97" s="40">
        <f t="shared" si="110"/>
        <v>0.1176734166512045</v>
      </c>
      <c r="CC97" s="40">
        <f t="shared" si="111"/>
        <v>0.20126910595260486</v>
      </c>
      <c r="CD97" s="40">
        <f t="shared" si="112"/>
        <v>0.2933310481535446</v>
      </c>
      <c r="CE97" s="40">
        <f t="shared" si="113"/>
        <v>0.31396491102134944</v>
      </c>
      <c r="CF97" s="40">
        <f t="shared" si="114"/>
        <v>0.49534942315283786</v>
      </c>
      <c r="CG97" s="40">
        <f t="shared" si="115"/>
        <v>0.39933155591461439</v>
      </c>
      <c r="CH97" s="40">
        <f t="shared" si="116"/>
        <v>0.4421940792175561</v>
      </c>
      <c r="CI97" s="40">
        <f t="shared" si="117"/>
        <v>0.44828073517695477</v>
      </c>
      <c r="CJ97" s="40">
        <f t="shared" si="118"/>
        <v>0.44013205917411763</v>
      </c>
      <c r="CK97" s="40">
        <f t="shared" si="119"/>
        <v>0.57277654938781841</v>
      </c>
      <c r="CL97" s="40">
        <f t="shared" si="120"/>
        <v>0.56450307416125833</v>
      </c>
      <c r="CM97" s="40">
        <f t="shared" si="121"/>
        <v>0.53184390011256577</v>
      </c>
      <c r="CN97" s="691">
        <f t="shared" si="122"/>
        <v>0.57228551045678477</v>
      </c>
      <c r="CO97" s="691">
        <f t="shared" si="123"/>
        <v>0.55066084806737614</v>
      </c>
      <c r="CP97" s="691">
        <f t="shared" si="124"/>
        <v>0.52261395580614889</v>
      </c>
      <c r="CQ97" s="691">
        <f t="shared" si="125"/>
        <v>0.70698118425817902</v>
      </c>
    </row>
    <row r="98" spans="1:95">
      <c r="A98" s="13" t="s">
        <v>88</v>
      </c>
      <c r="B98" s="321">
        <v>102569541</v>
      </c>
      <c r="C98" s="321">
        <v>102654082.90000001</v>
      </c>
      <c r="D98" s="321">
        <v>107486483.2</v>
      </c>
      <c r="E98" s="321">
        <v>113093416.92</v>
      </c>
      <c r="F98" s="321">
        <v>110015570.16</v>
      </c>
      <c r="G98" s="321">
        <v>110864376.45999999</v>
      </c>
      <c r="H98" s="321">
        <v>113856799.93000001</v>
      </c>
      <c r="I98" s="321">
        <v>121099330.8</v>
      </c>
      <c r="J98" s="321">
        <v>127133610.12</v>
      </c>
      <c r="K98" s="321">
        <v>132236184.68000001</v>
      </c>
      <c r="L98" s="321">
        <v>139445988.83000001</v>
      </c>
      <c r="M98" s="321">
        <v>142413371.47999999</v>
      </c>
      <c r="N98" s="321">
        <v>142302184.68000001</v>
      </c>
      <c r="O98" s="321">
        <v>137638055.44999999</v>
      </c>
      <c r="P98" s="321">
        <v>135163350.50999999</v>
      </c>
      <c r="Q98" s="321">
        <v>145771018.09999999</v>
      </c>
      <c r="R98" s="321">
        <v>140659825.81</v>
      </c>
      <c r="S98" s="321">
        <v>134957204.19</v>
      </c>
      <c r="T98" s="681">
        <v>141133876.66</v>
      </c>
      <c r="U98" s="681">
        <v>147162332.41</v>
      </c>
      <c r="V98" s="682">
        <v>155013281.88999999</v>
      </c>
      <c r="W98" s="809">
        <v>157577898.66999999</v>
      </c>
      <c r="X98" s="810"/>
      <c r="Y98" s="13" t="s">
        <v>88</v>
      </c>
      <c r="Z98" s="321">
        <f>B98/'Population &amp; Income'!B97</f>
        <v>5694.1953589074556</v>
      </c>
      <c r="AA98" s="321">
        <f>C98/'Population &amp; Income'!C97</f>
        <v>5713.4793176378917</v>
      </c>
      <c r="AB98" s="321">
        <f>D98/'Population &amp; Income'!D97</f>
        <v>6001.4786823003906</v>
      </c>
      <c r="AC98" s="321">
        <f>E98/'Population &amp; Income'!E97</f>
        <v>6274.2533658807215</v>
      </c>
      <c r="AD98" s="321">
        <f>F98/'Population &amp; Income'!F97</f>
        <v>6137.2068593104987</v>
      </c>
      <c r="AE98" s="321">
        <f>G98/'Population &amp; Income'!G97</f>
        <v>6171.818541446306</v>
      </c>
      <c r="AF98" s="321">
        <f>H98/'Population &amp; Income'!H97</f>
        <v>6274.1389722819204</v>
      </c>
      <c r="AG98" s="321">
        <f>I98/'Population &amp; Income'!I97</f>
        <v>6647.6000878300483</v>
      </c>
      <c r="AH98" s="321">
        <f>J98/'Population &amp; Income'!J97</f>
        <v>6975.3983386371119</v>
      </c>
      <c r="AI98" s="321">
        <f>K98/'Population &amp; Income'!K97</f>
        <v>7152.1545070041648</v>
      </c>
      <c r="AJ98" s="321">
        <f>L98/'Population &amp; Income'!L97</f>
        <v>7515.683347526141</v>
      </c>
      <c r="AK98" s="321">
        <f>M98/'Population &amp; Income'!M97</f>
        <v>7610.3976636562811</v>
      </c>
      <c r="AL98" s="321">
        <f>N98/'Population &amp; Income'!N97</f>
        <v>7527.6229729157858</v>
      </c>
      <c r="AM98" s="321">
        <f>O98/'Population &amp; Income'!O97</f>
        <v>7386.7898593892551</v>
      </c>
      <c r="AN98" s="321">
        <f>P98/'Population &amp; Income'!P97</f>
        <v>7170.0891469948538</v>
      </c>
      <c r="AO98" s="321">
        <f>Q98/'Population &amp; Income'!Q97</f>
        <v>7818.2364226334139</v>
      </c>
      <c r="AP98" s="321">
        <f>R98/'Population &amp; Income'!R97</f>
        <v>7550.5838107252139</v>
      </c>
      <c r="AQ98" s="321">
        <f>S98/'Population &amp; Income'!S97</f>
        <v>7305.6463048773885</v>
      </c>
      <c r="AR98" s="350">
        <f>T98/'Population &amp; Income'!T97</f>
        <v>7713.0766564651876</v>
      </c>
      <c r="AS98" s="350">
        <f>U98/'Population &amp; Income'!U97</f>
        <v>8060.5977110149533</v>
      </c>
      <c r="AT98" s="350">
        <f>V98/'Population &amp; Income'!V97</f>
        <v>8477.156397790659</v>
      </c>
      <c r="AU98" s="350">
        <f>W98/'Population &amp; Income'!W97</f>
        <v>8596.2521777317106</v>
      </c>
      <c r="AV98" s="690"/>
      <c r="AW98" s="486"/>
      <c r="AX98" s="13" t="s">
        <v>88</v>
      </c>
      <c r="AY98" s="40">
        <f t="shared" si="84"/>
        <v>8.2423981988966847E-4</v>
      </c>
      <c r="AZ98" s="40">
        <f t="shared" si="85"/>
        <v>4.7074603985381248E-2</v>
      </c>
      <c r="BA98" s="40">
        <f t="shared" si="86"/>
        <v>5.2164081967098895E-2</v>
      </c>
      <c r="BB98" s="40">
        <f t="shared" si="87"/>
        <v>-2.7215083280905838E-2</v>
      </c>
      <c r="BC98" s="40">
        <f t="shared" si="88"/>
        <v>7.7153288281426383E-3</v>
      </c>
      <c r="BD98" s="40">
        <f t="shared" si="89"/>
        <v>2.6991749428904099E-2</v>
      </c>
      <c r="BE98" s="40">
        <f t="shared" si="90"/>
        <v>6.3610876771986832E-2</v>
      </c>
      <c r="BF98" s="40">
        <f t="shared" si="91"/>
        <v>4.9829171475487689E-2</v>
      </c>
      <c r="BG98" s="40">
        <f t="shared" si="92"/>
        <v>4.0135527931470981E-2</v>
      </c>
      <c r="BH98" s="40">
        <f t="shared" si="93"/>
        <v>5.4522173090876001E-2</v>
      </c>
      <c r="BI98" s="40">
        <f t="shared" si="94"/>
        <v>2.1279799260612235E-2</v>
      </c>
      <c r="BJ98" s="40">
        <f t="shared" si="95"/>
        <v>-7.8073286830090093E-4</v>
      </c>
      <c r="BK98" s="40">
        <f t="shared" si="96"/>
        <v>-3.2776230670586069E-2</v>
      </c>
      <c r="BL98" s="40">
        <f t="shared" si="97"/>
        <v>-1.7979801675554678E-2</v>
      </c>
      <c r="BM98" s="40">
        <f t="shared" si="98"/>
        <v>7.8480353956712559E-2</v>
      </c>
      <c r="BN98" s="40">
        <f t="shared" si="99"/>
        <v>-3.5063158346700138E-2</v>
      </c>
      <c r="BO98" s="40">
        <f t="shared" si="100"/>
        <v>-4.0541935745768462E-2</v>
      </c>
      <c r="BP98" s="691">
        <f t="shared" si="101"/>
        <v>4.5767638023266603E-2</v>
      </c>
      <c r="BQ98" s="691">
        <f t="shared" si="102"/>
        <v>4.2714448810351274E-2</v>
      </c>
      <c r="BR98" s="691">
        <f t="shared" si="103"/>
        <v>5.3348906282124818E-2</v>
      </c>
      <c r="BS98" s="691">
        <f t="shared" si="104"/>
        <v>1.6544497018132265E-2</v>
      </c>
      <c r="BT98" s="40"/>
      <c r="BV98" s="13" t="s">
        <v>88</v>
      </c>
      <c r="BW98" s="40">
        <f t="shared" si="105"/>
        <v>8.2423981988966847E-4</v>
      </c>
      <c r="BX98" s="40">
        <f t="shared" si="106"/>
        <v>4.7937644568381205E-2</v>
      </c>
      <c r="BY98" s="40">
        <f t="shared" si="107"/>
        <v>0.10260234975605478</v>
      </c>
      <c r="BZ98" s="40">
        <f t="shared" si="108"/>
        <v>7.2594934981721287E-2</v>
      </c>
      <c r="CA98" s="40">
        <f t="shared" si="109"/>
        <v>8.0870357604505547E-2</v>
      </c>
      <c r="CB98" s="40">
        <f t="shared" si="110"/>
        <v>0.11004493946209633</v>
      </c>
      <c r="CC98" s="40">
        <f t="shared" si="111"/>
        <v>0.18065587131758731</v>
      </c>
      <c r="CD98" s="40">
        <f t="shared" si="112"/>
        <v>0.23948697518301271</v>
      </c>
      <c r="CE98" s="40">
        <f t="shared" si="113"/>
        <v>0.28923443929616499</v>
      </c>
      <c r="CF98" s="40">
        <f t="shared" si="114"/>
        <v>0.35952630255018897</v>
      </c>
      <c r="CG98" s="40">
        <f t="shared" si="115"/>
        <v>0.38845674935797936</v>
      </c>
      <c r="CH98" s="40">
        <f t="shared" si="116"/>
        <v>0.38737273553754137</v>
      </c>
      <c r="CI98" s="40">
        <f t="shared" si="117"/>
        <v>0.34189988673148092</v>
      </c>
      <c r="CJ98" s="40">
        <f t="shared" si="118"/>
        <v>0.31777279289959959</v>
      </c>
      <c r="CK98" s="40">
        <f t="shared" si="119"/>
        <v>0.42119206812088583</v>
      </c>
      <c r="CL98" s="40">
        <f t="shared" si="120"/>
        <v>0.37136058559528901</v>
      </c>
      <c r="CM98" s="40">
        <f t="shared" si="121"/>
        <v>0.31576297284980537</v>
      </c>
      <c r="CN98" s="691">
        <f t="shared" si="122"/>
        <v>0.3759823363156124</v>
      </c>
      <c r="CO98" s="691">
        <f t="shared" si="123"/>
        <v>0.43475666338411317</v>
      </c>
      <c r="CP98" s="691">
        <f t="shared" si="124"/>
        <v>0.5112993621566464</v>
      </c>
      <c r="CQ98" s="691">
        <f t="shared" si="125"/>
        <v>0.53630304994735223</v>
      </c>
    </row>
    <row r="99" spans="1:95">
      <c r="A99" s="13" t="s">
        <v>91</v>
      </c>
      <c r="B99" s="39">
        <f t="shared" ref="B99:S99" si="126">AVERAGE(B10:B98)</f>
        <v>93753796.838314593</v>
      </c>
      <c r="C99" s="39">
        <f t="shared" si="126"/>
        <v>97458417.052809015</v>
      </c>
      <c r="D99" s="39">
        <f t="shared" si="126"/>
        <v>101286947.20348315</v>
      </c>
      <c r="E99" s="39">
        <f t="shared" si="126"/>
        <v>105290129.65157303</v>
      </c>
      <c r="F99" s="39">
        <f t="shared" si="126"/>
        <v>108018739.30101122</v>
      </c>
      <c r="G99" s="39">
        <f t="shared" si="126"/>
        <v>111373811.49887642</v>
      </c>
      <c r="H99" s="39">
        <f t="shared" si="126"/>
        <v>113750899.74707863</v>
      </c>
      <c r="I99" s="39">
        <f t="shared" si="126"/>
        <v>117269970.39685395</v>
      </c>
      <c r="J99" s="39">
        <f t="shared" si="126"/>
        <v>123688496.99629213</v>
      </c>
      <c r="K99" s="39">
        <f t="shared" si="126"/>
        <v>131726605.95415726</v>
      </c>
      <c r="L99" s="39">
        <f t="shared" si="126"/>
        <v>138660898.2794382</v>
      </c>
      <c r="M99" s="39">
        <f t="shared" si="126"/>
        <v>142545499.8923595</v>
      </c>
      <c r="N99" s="39">
        <f t="shared" si="126"/>
        <v>144270646.17022473</v>
      </c>
      <c r="O99" s="39">
        <f t="shared" si="126"/>
        <v>141741008.4750562</v>
      </c>
      <c r="P99" s="39">
        <f t="shared" si="126"/>
        <v>140639577.80292135</v>
      </c>
      <c r="Q99" s="39">
        <f t="shared" si="126"/>
        <v>143014927.45123589</v>
      </c>
      <c r="R99" s="39">
        <f t="shared" si="126"/>
        <v>146233632.79516858</v>
      </c>
      <c r="S99" s="39">
        <f t="shared" si="126"/>
        <v>150315526.84191015</v>
      </c>
      <c r="T99" s="39"/>
      <c r="U99" s="39"/>
      <c r="V99" s="39"/>
      <c r="W99" s="39"/>
      <c r="X99" s="109"/>
      <c r="Y99" s="13" t="s">
        <v>91</v>
      </c>
      <c r="Z99" s="39">
        <f t="shared" ref="Z99:AQ99" si="127">AVERAGE(Z10:Z98)</f>
        <v>5239.4872466615916</v>
      </c>
      <c r="AA99" s="39">
        <f t="shared" si="127"/>
        <v>5416.9676675481924</v>
      </c>
      <c r="AB99" s="39">
        <f t="shared" si="127"/>
        <v>5554.6599695706982</v>
      </c>
      <c r="AC99" s="39">
        <f t="shared" si="127"/>
        <v>5719.0452980428599</v>
      </c>
      <c r="AD99" s="39">
        <f t="shared" si="127"/>
        <v>5850.4789729530439</v>
      </c>
      <c r="AE99" s="39">
        <f t="shared" si="127"/>
        <v>6033.3117177282784</v>
      </c>
      <c r="AF99" s="39">
        <f t="shared" si="127"/>
        <v>6095.9097117173151</v>
      </c>
      <c r="AG99" s="39">
        <f t="shared" si="127"/>
        <v>6252.1552655429496</v>
      </c>
      <c r="AH99" s="39">
        <f t="shared" si="127"/>
        <v>6566.5384933463956</v>
      </c>
      <c r="AI99" s="39">
        <f t="shared" si="127"/>
        <v>6918.2737100443346</v>
      </c>
      <c r="AJ99" s="39">
        <f t="shared" si="127"/>
        <v>7235.0715136731542</v>
      </c>
      <c r="AK99" s="39">
        <f t="shared" si="127"/>
        <v>7483.3086159213699</v>
      </c>
      <c r="AL99" s="39">
        <f t="shared" si="127"/>
        <v>7636.4678467723179</v>
      </c>
      <c r="AM99" s="39">
        <f t="shared" si="127"/>
        <v>7510.1515803367638</v>
      </c>
      <c r="AN99" s="39">
        <f t="shared" si="127"/>
        <v>7607.0189600134363</v>
      </c>
      <c r="AO99" s="39">
        <f t="shared" si="127"/>
        <v>7804.7268749053019</v>
      </c>
      <c r="AP99" s="39">
        <f t="shared" si="127"/>
        <v>7998.2764383323147</v>
      </c>
      <c r="AQ99" s="39">
        <f t="shared" si="127"/>
        <v>8137.8625793182509</v>
      </c>
      <c r="AR99" s="39"/>
      <c r="AS99" s="39"/>
      <c r="AT99" s="39"/>
      <c r="AU99" s="39"/>
      <c r="AV99" s="39"/>
      <c r="AX99" s="13" t="s">
        <v>91</v>
      </c>
      <c r="AY99" s="40">
        <f t="shared" ref="AY99:BK99" si="128">AVERAGE(AY10:AY98)</f>
        <v>4.8200238245226991E-2</v>
      </c>
      <c r="AZ99" s="40">
        <f t="shared" si="128"/>
        <v>3.3788407310175204E-2</v>
      </c>
      <c r="BA99" s="40">
        <f t="shared" si="128"/>
        <v>3.5314672670301014E-2</v>
      </c>
      <c r="BB99" s="40">
        <f t="shared" si="128"/>
        <v>3.2027886904049667E-2</v>
      </c>
      <c r="BC99" s="40">
        <f t="shared" si="128"/>
        <v>3.7470324887930138E-2</v>
      </c>
      <c r="BD99" s="40">
        <f t="shared" si="128"/>
        <v>9.9702392186220203E-3</v>
      </c>
      <c r="BE99" s="40">
        <f t="shared" si="128"/>
        <v>3.3621955229941124E-2</v>
      </c>
      <c r="BF99" s="40">
        <f t="shared" si="128"/>
        <v>5.4932051770472355E-2</v>
      </c>
      <c r="BG99" s="40">
        <f t="shared" si="128"/>
        <v>5.5248346023222171E-2</v>
      </c>
      <c r="BH99" s="40">
        <f t="shared" si="128"/>
        <v>4.8327094459346819E-2</v>
      </c>
      <c r="BI99" s="40">
        <f t="shared" si="128"/>
        <v>4.4292457639925426E-2</v>
      </c>
      <c r="BJ99" s="40">
        <f t="shared" si="128"/>
        <v>2.8009498513001257E-2</v>
      </c>
      <c r="BK99" s="40">
        <f t="shared" si="128"/>
        <v>-1.4789831217375812E-2</v>
      </c>
      <c r="BL99" s="40">
        <f>(P99-O99)/O99</f>
        <v>-7.7707269334737232E-3</v>
      </c>
      <c r="BM99" s="40">
        <f>(Q99-P99)/P99</f>
        <v>1.6889624424520955E-2</v>
      </c>
      <c r="BN99" s="40">
        <f>(R99-Q99)/Q99</f>
        <v>2.2506079619067577E-2</v>
      </c>
      <c r="BO99" s="40">
        <f>(S99-R99)/R99</f>
        <v>2.7913510515458088E-2</v>
      </c>
      <c r="BP99" s="40"/>
      <c r="BQ99" s="40"/>
      <c r="BR99" s="40"/>
      <c r="BS99" s="40"/>
      <c r="BT99" s="40"/>
      <c r="BV99" s="13" t="s">
        <v>91</v>
      </c>
      <c r="BW99" s="40">
        <f t="shared" ref="BW99:CI99" si="129">AVERAGE(BW10:BW98)</f>
        <v>4.8200238245226991E-2</v>
      </c>
      <c r="BX99" s="40">
        <f t="shared" si="129"/>
        <v>8.3072482875400283E-2</v>
      </c>
      <c r="BY99" s="40">
        <f t="shared" si="129"/>
        <v>0.12171026843246645</v>
      </c>
      <c r="BZ99" s="40">
        <f t="shared" si="129"/>
        <v>0.15719090939115746</v>
      </c>
      <c r="CA99" s="40">
        <f t="shared" si="129"/>
        <v>0.20111426471445715</v>
      </c>
      <c r="CB99" s="40">
        <f t="shared" si="129"/>
        <v>0.21325643807040554</v>
      </c>
      <c r="CC99" s="40">
        <f t="shared" si="129"/>
        <v>0.25434762807168065</v>
      </c>
      <c r="CD99" s="40">
        <f t="shared" si="129"/>
        <v>0.32479532227434382</v>
      </c>
      <c r="CE99" s="40">
        <f t="shared" si="129"/>
        <v>0.40131490468824255</v>
      </c>
      <c r="CF99" s="40">
        <f t="shared" si="129"/>
        <v>0.4729089244639037</v>
      </c>
      <c r="CG99" s="40">
        <f t="shared" si="129"/>
        <v>0.53062181404699782</v>
      </c>
      <c r="CH99" s="40">
        <f t="shared" si="129"/>
        <v>0.57197950164570588</v>
      </c>
      <c r="CI99" s="40">
        <f t="shared" si="129"/>
        <v>0.54925066587726046</v>
      </c>
      <c r="CJ99" s="40">
        <f>(P99-$B99)/$B99</f>
        <v>0.50009474331439385</v>
      </c>
      <c r="CK99" s="40">
        <f>(Q99-$B99)/$B99</f>
        <v>0.52543078013017208</v>
      </c>
      <c r="CL99" s="40">
        <f>(R99-$B99)/$B99</f>
        <v>0.55976224672115815</v>
      </c>
      <c r="CM99" s="40">
        <f>(S99-$B99)/$B99</f>
        <v>0.60330068659662373</v>
      </c>
    </row>
    <row r="105" spans="1:95">
      <c r="A105" s="26"/>
      <c r="B105" s="26"/>
      <c r="C105" s="26"/>
      <c r="D105" s="26"/>
      <c r="E105" s="41"/>
      <c r="F105" s="41"/>
      <c r="G105" s="41"/>
      <c r="H105" s="41"/>
      <c r="I105" s="41"/>
      <c r="J105" s="41"/>
      <c r="K105" s="41"/>
      <c r="L105" s="41"/>
      <c r="Y105" s="23"/>
      <c r="AH105" s="41"/>
      <c r="AI105" s="41"/>
      <c r="AJ105" s="41"/>
      <c r="BG105" s="41"/>
      <c r="BH105" s="41"/>
      <c r="CE105" s="41"/>
      <c r="CF105" s="41"/>
    </row>
    <row r="106" spans="1:95">
      <c r="A106" s="26"/>
      <c r="B106" s="26"/>
      <c r="C106" s="26"/>
      <c r="D106" s="26"/>
      <c r="E106" s="41"/>
      <c r="F106" s="41"/>
      <c r="G106" s="41"/>
      <c r="H106" s="41"/>
      <c r="I106" s="41"/>
      <c r="J106" s="41"/>
      <c r="K106" s="41"/>
      <c r="L106" s="41"/>
      <c r="AH106" s="41"/>
      <c r="AI106" s="41"/>
      <c r="AJ106" s="41"/>
      <c r="BG106" s="41"/>
      <c r="BH106" s="41"/>
      <c r="CE106" s="41"/>
      <c r="CF106" s="41"/>
    </row>
    <row r="107" spans="1:95">
      <c r="A107" s="26"/>
      <c r="B107" s="26"/>
      <c r="C107" s="26"/>
      <c r="D107" s="26"/>
      <c r="E107" s="41"/>
      <c r="F107" s="41"/>
      <c r="G107" s="41"/>
      <c r="H107" s="41"/>
      <c r="I107" s="41"/>
      <c r="J107" s="41"/>
      <c r="K107" s="41"/>
      <c r="L107" s="41"/>
      <c r="AH107" s="41"/>
      <c r="AI107" s="41"/>
      <c r="AJ107" s="41"/>
      <c r="BG107" s="41"/>
      <c r="BH107" s="41"/>
      <c r="CE107" s="41"/>
      <c r="CF107" s="41"/>
    </row>
    <row r="108" spans="1:95">
      <c r="A108" s="26"/>
      <c r="B108" s="5"/>
      <c r="C108" s="5"/>
      <c r="D108" s="5"/>
      <c r="E108" s="42"/>
      <c r="F108" s="42"/>
      <c r="G108" s="42"/>
      <c r="H108" s="42"/>
      <c r="I108" s="42"/>
      <c r="J108" s="41"/>
      <c r="K108" s="41"/>
      <c r="L108" s="41"/>
      <c r="Z108" s="43"/>
      <c r="AA108" s="43"/>
      <c r="AB108" s="43"/>
      <c r="AC108" s="43"/>
      <c r="AD108" s="43"/>
      <c r="AE108" s="43"/>
      <c r="AF108" s="43"/>
      <c r="AG108" s="43"/>
      <c r="AH108" s="41"/>
      <c r="AI108" s="41"/>
      <c r="AJ108" s="41"/>
      <c r="BG108" s="41"/>
      <c r="BH108" s="41"/>
      <c r="CE108" s="41"/>
      <c r="CF108" s="41"/>
    </row>
    <row r="109" spans="1:95">
      <c r="A109" s="5"/>
      <c r="B109" s="5"/>
      <c r="C109" s="5"/>
      <c r="D109" s="5"/>
      <c r="E109" s="5"/>
      <c r="F109" s="5"/>
      <c r="G109" s="5"/>
      <c r="H109" s="5"/>
      <c r="I109" s="5"/>
      <c r="J109" s="41"/>
      <c r="K109" s="41"/>
      <c r="L109" s="41"/>
      <c r="Y109" s="42"/>
      <c r="Z109" s="42"/>
      <c r="AA109" s="42"/>
      <c r="AB109" s="42"/>
      <c r="AC109" s="42"/>
      <c r="AD109" s="42"/>
      <c r="AE109" s="42"/>
      <c r="AF109" s="42"/>
      <c r="AG109" s="42"/>
      <c r="AH109" s="41"/>
      <c r="AI109" s="41"/>
      <c r="AJ109" s="41"/>
      <c r="BG109" s="41"/>
      <c r="BH109" s="41"/>
      <c r="CE109" s="41"/>
      <c r="CF109" s="41"/>
    </row>
    <row r="110" spans="1:95">
      <c r="A110" s="44"/>
      <c r="B110" s="44"/>
      <c r="C110" s="44"/>
      <c r="D110" s="44"/>
      <c r="E110" s="44"/>
      <c r="F110" s="44"/>
      <c r="G110" s="44"/>
      <c r="H110" s="44"/>
      <c r="I110" s="44"/>
      <c r="J110" s="41"/>
      <c r="K110" s="41"/>
      <c r="L110" s="41"/>
      <c r="Y110" s="44"/>
      <c r="Z110" s="44"/>
      <c r="AA110" s="44"/>
      <c r="AB110" s="44"/>
      <c r="AC110" s="44"/>
      <c r="AD110" s="44"/>
      <c r="AE110" s="44"/>
      <c r="AF110" s="44"/>
      <c r="AG110" s="44"/>
      <c r="AH110" s="41"/>
      <c r="AI110" s="41"/>
      <c r="AJ110" s="41"/>
      <c r="BG110" s="41"/>
      <c r="BH110" s="41"/>
      <c r="CE110" s="41"/>
      <c r="CF110" s="41"/>
    </row>
    <row r="111" spans="1:9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AH111" s="41"/>
      <c r="AI111" s="41"/>
      <c r="AJ111" s="41"/>
      <c r="BG111" s="41"/>
      <c r="BH111" s="41"/>
      <c r="CE111" s="41"/>
      <c r="CF111" s="41"/>
    </row>
    <row r="112" spans="1:9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AH112" s="41"/>
      <c r="AI112" s="41"/>
      <c r="AJ112" s="41"/>
      <c r="BG112" s="41"/>
      <c r="BH112" s="41"/>
      <c r="CE112" s="41"/>
      <c r="CF112" s="41"/>
    </row>
    <row r="113" spans="1:84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AH113" s="41"/>
      <c r="AI113" s="41"/>
      <c r="AJ113" s="41"/>
      <c r="BG113" s="41"/>
      <c r="BH113" s="41"/>
      <c r="CE113" s="41"/>
      <c r="CF113" s="41"/>
    </row>
    <row r="114" spans="1:84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AH114" s="41"/>
      <c r="AI114" s="41"/>
      <c r="AJ114" s="41"/>
      <c r="BG114" s="41"/>
      <c r="BH114" s="41"/>
      <c r="CE114" s="41"/>
      <c r="CF114" s="41"/>
    </row>
    <row r="115" spans="1:84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AH115" s="41"/>
      <c r="AI115" s="41"/>
      <c r="AJ115" s="41"/>
      <c r="BG115" s="41"/>
      <c r="BH115" s="41"/>
      <c r="CE115" s="41"/>
      <c r="CF115" s="41"/>
    </row>
    <row r="116" spans="1:84" s="4" customFormat="1">
      <c r="A116" s="26"/>
      <c r="B116" s="32"/>
      <c r="C116" s="26"/>
      <c r="D116" s="46"/>
      <c r="E116" s="26"/>
      <c r="F116" s="26"/>
      <c r="G116" s="26"/>
      <c r="H116" s="26"/>
      <c r="I116" s="26"/>
      <c r="J116" s="26"/>
      <c r="K116" s="26"/>
      <c r="L116" s="26"/>
      <c r="T116" s="664"/>
      <c r="U116" s="664"/>
      <c r="V116" s="664"/>
      <c r="W116" s="688"/>
      <c r="Z116" s="25"/>
      <c r="AB116" s="47"/>
      <c r="AH116" s="26"/>
      <c r="AI116" s="26"/>
      <c r="AJ116" s="26"/>
      <c r="AR116" s="688"/>
      <c r="AS116" s="688"/>
      <c r="AT116" s="688"/>
      <c r="AU116" s="688"/>
      <c r="AV116" s="688"/>
      <c r="BG116" s="26"/>
      <c r="BH116" s="26"/>
      <c r="BP116" s="688"/>
      <c r="BQ116" s="688"/>
      <c r="BR116" s="688"/>
      <c r="BS116" s="688"/>
      <c r="BT116" s="688"/>
      <c r="CE116" s="26"/>
      <c r="CF116" s="26"/>
    </row>
    <row r="117" spans="1:84" s="4" customForma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T117" s="664"/>
      <c r="U117" s="664"/>
      <c r="V117" s="664"/>
      <c r="W117" s="688"/>
      <c r="AH117" s="26"/>
      <c r="AI117" s="26"/>
      <c r="AJ117" s="26"/>
      <c r="AR117" s="688"/>
      <c r="AS117" s="688"/>
      <c r="AT117" s="688"/>
      <c r="AU117" s="688"/>
      <c r="AV117" s="688"/>
      <c r="BG117" s="26"/>
      <c r="BH117" s="26"/>
      <c r="BP117" s="688"/>
      <c r="BQ117" s="688"/>
      <c r="BR117" s="688"/>
      <c r="BS117" s="688"/>
      <c r="BT117" s="688"/>
      <c r="CE117" s="26"/>
      <c r="CF117" s="26"/>
    </row>
    <row r="118" spans="1:84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AH118" s="41"/>
      <c r="AI118" s="41"/>
      <c r="AJ118" s="41"/>
      <c r="BG118" s="41"/>
      <c r="BH118" s="41"/>
      <c r="CE118" s="41"/>
      <c r="CF118" s="41"/>
    </row>
    <row r="119" spans="1:84" s="27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AH119" s="29"/>
      <c r="AI119" s="29"/>
      <c r="AJ119" s="29"/>
      <c r="BG119" s="29"/>
      <c r="BH119" s="29"/>
      <c r="CE119" s="29"/>
      <c r="CF119" s="29"/>
    </row>
    <row r="120" spans="1:84">
      <c r="A120" s="13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Y120" s="13"/>
      <c r="Z120" s="39"/>
      <c r="AA120" s="39"/>
      <c r="AB120" s="39"/>
      <c r="AC120" s="39"/>
      <c r="AD120" s="39"/>
      <c r="AE120" s="39"/>
      <c r="AF120" s="39"/>
      <c r="AG120" s="39"/>
      <c r="AH120" s="45"/>
      <c r="AI120" s="45"/>
      <c r="AJ120" s="45"/>
      <c r="BG120" s="45"/>
      <c r="BH120" s="45"/>
      <c r="CE120" s="45"/>
      <c r="CF120" s="45"/>
    </row>
    <row r="121" spans="1:84">
      <c r="A121" s="13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Y121" s="13"/>
      <c r="Z121" s="39"/>
      <c r="AA121" s="39"/>
      <c r="AB121" s="39"/>
      <c r="AC121" s="39"/>
      <c r="AD121" s="39"/>
      <c r="AE121" s="39"/>
      <c r="AF121" s="39"/>
      <c r="AG121" s="39"/>
      <c r="AH121" s="45"/>
      <c r="AI121" s="45"/>
      <c r="AJ121" s="45"/>
      <c r="BG121" s="45"/>
      <c r="BH121" s="45"/>
      <c r="CE121" s="45"/>
      <c r="CF121" s="45"/>
    </row>
    <row r="122" spans="1:84">
      <c r="A122" s="13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Y122" s="13"/>
      <c r="Z122" s="39"/>
      <c r="AA122" s="39"/>
      <c r="AB122" s="39"/>
      <c r="AC122" s="39"/>
      <c r="AD122" s="39"/>
      <c r="AE122" s="39"/>
      <c r="AF122" s="39"/>
      <c r="AG122" s="39"/>
      <c r="AH122" s="45"/>
      <c r="AI122" s="45"/>
      <c r="AJ122" s="45"/>
      <c r="BG122" s="45"/>
      <c r="BH122" s="45"/>
      <c r="CE122" s="45"/>
      <c r="CF122" s="45"/>
    </row>
    <row r="123" spans="1:84">
      <c r="A123" s="13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Y123" s="13"/>
      <c r="Z123" s="39"/>
      <c r="AA123" s="39"/>
      <c r="AB123" s="39"/>
      <c r="AC123" s="39"/>
      <c r="AD123" s="39"/>
      <c r="AE123" s="39"/>
      <c r="AF123" s="39"/>
      <c r="AG123" s="39"/>
      <c r="AH123" s="45"/>
      <c r="AI123" s="45"/>
      <c r="AJ123" s="45"/>
      <c r="BG123" s="45"/>
      <c r="BH123" s="45"/>
      <c r="CE123" s="45"/>
      <c r="CF123" s="45"/>
    </row>
    <row r="124" spans="1:84">
      <c r="A124" s="13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Y124" s="13"/>
      <c r="Z124" s="39"/>
      <c r="AA124" s="39"/>
      <c r="AB124" s="39"/>
      <c r="AC124" s="39"/>
      <c r="AD124" s="39"/>
      <c r="AE124" s="39"/>
      <c r="AF124" s="39"/>
      <c r="AG124" s="39"/>
      <c r="AH124" s="45"/>
      <c r="AI124" s="45"/>
      <c r="AJ124" s="45"/>
      <c r="BG124" s="45"/>
      <c r="BH124" s="45"/>
      <c r="CE124" s="45"/>
      <c r="CF124" s="45"/>
    </row>
    <row r="125" spans="1:84">
      <c r="A125" s="13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Y125" s="13"/>
      <c r="Z125" s="39"/>
      <c r="AA125" s="39"/>
      <c r="AB125" s="39"/>
      <c r="AC125" s="39"/>
      <c r="AD125" s="39"/>
      <c r="AE125" s="39"/>
      <c r="AF125" s="39"/>
      <c r="AG125" s="39"/>
      <c r="AH125" s="45"/>
      <c r="AI125" s="45"/>
      <c r="AJ125" s="45"/>
      <c r="BG125" s="45"/>
      <c r="BH125" s="45"/>
      <c r="CE125" s="45"/>
      <c r="CF125" s="45"/>
    </row>
    <row r="126" spans="1:84">
      <c r="A126" s="13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Y126" s="13"/>
      <c r="Z126" s="39"/>
      <c r="AA126" s="39"/>
      <c r="AB126" s="39"/>
      <c r="AC126" s="39"/>
      <c r="AD126" s="39"/>
      <c r="AE126" s="39"/>
      <c r="AF126" s="39"/>
      <c r="AG126" s="39"/>
      <c r="AH126" s="45"/>
      <c r="AI126" s="45"/>
      <c r="AJ126" s="45"/>
      <c r="BG126" s="45"/>
      <c r="BH126" s="45"/>
      <c r="CE126" s="45"/>
      <c r="CF126" s="45"/>
    </row>
    <row r="127" spans="1:84">
      <c r="A127" s="13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Y127" s="13"/>
      <c r="Z127" s="39"/>
      <c r="AA127" s="39"/>
      <c r="AB127" s="39"/>
      <c r="AC127" s="39"/>
      <c r="AD127" s="39"/>
      <c r="AE127" s="39"/>
      <c r="AF127" s="39"/>
      <c r="AG127" s="39"/>
      <c r="AH127" s="45"/>
      <c r="AI127" s="45"/>
      <c r="AJ127" s="45"/>
      <c r="BG127" s="45"/>
      <c r="BH127" s="45"/>
      <c r="CE127" s="45"/>
      <c r="CF127" s="45"/>
    </row>
    <row r="128" spans="1:84">
      <c r="A128" s="13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Y128" s="13"/>
      <c r="Z128" s="39"/>
      <c r="AA128" s="39"/>
      <c r="AB128" s="39"/>
      <c r="AC128" s="39"/>
      <c r="AD128" s="39"/>
      <c r="AE128" s="39"/>
      <c r="AF128" s="39"/>
      <c r="AG128" s="39"/>
      <c r="AH128" s="45"/>
      <c r="AI128" s="45"/>
      <c r="AJ128" s="45"/>
      <c r="BG128" s="45"/>
      <c r="BH128" s="45"/>
      <c r="CE128" s="45"/>
      <c r="CF128" s="45"/>
    </row>
    <row r="129" spans="1:84">
      <c r="A129" s="13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Y129" s="13"/>
      <c r="Z129" s="39"/>
      <c r="AA129" s="39"/>
      <c r="AB129" s="39"/>
      <c r="AC129" s="39"/>
      <c r="AD129" s="39"/>
      <c r="AE129" s="39"/>
      <c r="AF129" s="39"/>
      <c r="AG129" s="39"/>
      <c r="AH129" s="45"/>
      <c r="AI129" s="45"/>
      <c r="AJ129" s="45"/>
      <c r="BG129" s="45"/>
      <c r="BH129" s="45"/>
      <c r="CE129" s="45"/>
      <c r="CF129" s="45"/>
    </row>
    <row r="130" spans="1:84">
      <c r="A130" s="13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Y130" s="13"/>
      <c r="Z130" s="39"/>
      <c r="AA130" s="39"/>
      <c r="AB130" s="39"/>
      <c r="AC130" s="39"/>
      <c r="AD130" s="39"/>
      <c r="AE130" s="39"/>
      <c r="AF130" s="39"/>
      <c r="AG130" s="39"/>
      <c r="AH130" s="45"/>
      <c r="AI130" s="45"/>
      <c r="AJ130" s="45"/>
      <c r="BG130" s="45"/>
      <c r="BH130" s="45"/>
      <c r="CE130" s="45"/>
      <c r="CF130" s="45"/>
    </row>
    <row r="131" spans="1:84">
      <c r="A131" s="13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Y131" s="13"/>
      <c r="Z131" s="39"/>
      <c r="AA131" s="39"/>
      <c r="AB131" s="39"/>
      <c r="AC131" s="39"/>
      <c r="AD131" s="39"/>
      <c r="AE131" s="39"/>
      <c r="AF131" s="39"/>
      <c r="AG131" s="39"/>
      <c r="AH131" s="45"/>
      <c r="AI131" s="45"/>
      <c r="AJ131" s="45"/>
      <c r="BG131" s="45"/>
      <c r="BH131" s="45"/>
      <c r="CE131" s="45"/>
      <c r="CF131" s="45"/>
    </row>
    <row r="132" spans="1:84">
      <c r="A132" s="13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Y132" s="13"/>
      <c r="Z132" s="39"/>
      <c r="AA132" s="39"/>
      <c r="AB132" s="39"/>
      <c r="AC132" s="39"/>
      <c r="AD132" s="39"/>
      <c r="AE132" s="39"/>
      <c r="AF132" s="39"/>
      <c r="AG132" s="39"/>
      <c r="AH132" s="45"/>
      <c r="AI132" s="45"/>
      <c r="AJ132" s="45"/>
      <c r="BG132" s="45"/>
      <c r="BH132" s="45"/>
      <c r="CE132" s="45"/>
      <c r="CF132" s="45"/>
    </row>
    <row r="133" spans="1:84">
      <c r="A133" s="13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Y133" s="13"/>
      <c r="Z133" s="39"/>
      <c r="AA133" s="39"/>
      <c r="AB133" s="39"/>
      <c r="AC133" s="39"/>
      <c r="AD133" s="39"/>
      <c r="AE133" s="39"/>
      <c r="AF133" s="39"/>
      <c r="AG133" s="39"/>
      <c r="AH133" s="45"/>
      <c r="AI133" s="45"/>
      <c r="AJ133" s="45"/>
      <c r="BG133" s="45"/>
      <c r="BH133" s="45"/>
      <c r="CE133" s="45"/>
      <c r="CF133" s="45"/>
    </row>
    <row r="134" spans="1:84">
      <c r="A134" s="13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Y134" s="13"/>
      <c r="Z134" s="39"/>
      <c r="AA134" s="39"/>
      <c r="AB134" s="39"/>
      <c r="AC134" s="39"/>
      <c r="AD134" s="39"/>
      <c r="AE134" s="39"/>
      <c r="AF134" s="39"/>
      <c r="AG134" s="39"/>
      <c r="AH134" s="45"/>
      <c r="AI134" s="45"/>
      <c r="AJ134" s="45"/>
      <c r="BG134" s="45"/>
      <c r="BH134" s="45"/>
      <c r="CE134" s="45"/>
      <c r="CF134" s="45"/>
    </row>
    <row r="135" spans="1:84">
      <c r="A135" s="13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Y135" s="13"/>
      <c r="Z135" s="39"/>
      <c r="AA135" s="39"/>
      <c r="AB135" s="39"/>
      <c r="AC135" s="39"/>
      <c r="AD135" s="39"/>
      <c r="AE135" s="39"/>
      <c r="AF135" s="39"/>
      <c r="AG135" s="39"/>
      <c r="AH135" s="45"/>
      <c r="AI135" s="45"/>
      <c r="AJ135" s="45"/>
      <c r="BG135" s="45"/>
      <c r="BH135" s="45"/>
      <c r="CE135" s="45"/>
      <c r="CF135" s="45"/>
    </row>
    <row r="136" spans="1:84">
      <c r="A136" s="13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Y136" s="13"/>
      <c r="Z136" s="39"/>
      <c r="AA136" s="39"/>
      <c r="AB136" s="39"/>
      <c r="AC136" s="39"/>
      <c r="AD136" s="39"/>
      <c r="AE136" s="39"/>
      <c r="AF136" s="39"/>
      <c r="AG136" s="39"/>
      <c r="AH136" s="45"/>
      <c r="AI136" s="45"/>
      <c r="AJ136" s="45"/>
      <c r="BG136" s="45"/>
      <c r="BH136" s="45"/>
      <c r="CE136" s="45"/>
      <c r="CF136" s="45"/>
    </row>
    <row r="137" spans="1:84">
      <c r="A137" s="13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Y137" s="13"/>
      <c r="Z137" s="39"/>
      <c r="AA137" s="39"/>
      <c r="AB137" s="39"/>
      <c r="AC137" s="39"/>
      <c r="AD137" s="39"/>
      <c r="AE137" s="39"/>
      <c r="AF137" s="39"/>
      <c r="AG137" s="39"/>
      <c r="AH137" s="45"/>
      <c r="AI137" s="45"/>
      <c r="AJ137" s="45"/>
      <c r="BG137" s="45"/>
      <c r="BH137" s="45"/>
      <c r="CE137" s="45"/>
      <c r="CF137" s="45"/>
    </row>
    <row r="138" spans="1:84">
      <c r="A138" s="13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Y138" s="13"/>
      <c r="Z138" s="39"/>
      <c r="AA138" s="39"/>
      <c r="AB138" s="39"/>
      <c r="AC138" s="39"/>
      <c r="AD138" s="39"/>
      <c r="AE138" s="39"/>
      <c r="AF138" s="39"/>
      <c r="AG138" s="39"/>
      <c r="AH138" s="45"/>
      <c r="AI138" s="45"/>
      <c r="AJ138" s="45"/>
      <c r="BG138" s="45"/>
      <c r="BH138" s="45"/>
      <c r="CE138" s="45"/>
      <c r="CF138" s="45"/>
    </row>
    <row r="139" spans="1:84">
      <c r="A139" s="13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Y139" s="13"/>
      <c r="Z139" s="39"/>
      <c r="AA139" s="39"/>
      <c r="AB139" s="39"/>
      <c r="AC139" s="39"/>
      <c r="AD139" s="39"/>
      <c r="AE139" s="39"/>
      <c r="AF139" s="39"/>
      <c r="AG139" s="39"/>
      <c r="AH139" s="45"/>
      <c r="AI139" s="45"/>
      <c r="AJ139" s="45"/>
      <c r="BG139" s="45"/>
      <c r="BH139" s="45"/>
      <c r="CE139" s="45"/>
      <c r="CF139" s="45"/>
    </row>
    <row r="140" spans="1:84">
      <c r="A140" s="13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Y140" s="13"/>
      <c r="Z140" s="39"/>
      <c r="AA140" s="39"/>
      <c r="AB140" s="39"/>
      <c r="AC140" s="39"/>
      <c r="AD140" s="39"/>
      <c r="AE140" s="39"/>
      <c r="AF140" s="39"/>
      <c r="AG140" s="39"/>
      <c r="AH140" s="45"/>
      <c r="AI140" s="45"/>
      <c r="AJ140" s="45"/>
      <c r="BG140" s="45"/>
      <c r="BH140" s="45"/>
      <c r="CE140" s="45"/>
      <c r="CF140" s="45"/>
    </row>
    <row r="141" spans="1:84">
      <c r="A141" s="13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Y141" s="13"/>
      <c r="Z141" s="39"/>
      <c r="AA141" s="39"/>
      <c r="AB141" s="39"/>
      <c r="AC141" s="39"/>
      <c r="AD141" s="39"/>
      <c r="AE141" s="39"/>
      <c r="AF141" s="39"/>
      <c r="AG141" s="39"/>
      <c r="AH141" s="45"/>
      <c r="AI141" s="45"/>
      <c r="AJ141" s="45"/>
      <c r="BG141" s="45"/>
      <c r="BH141" s="45"/>
      <c r="CE141" s="45"/>
      <c r="CF141" s="45"/>
    </row>
    <row r="142" spans="1:84">
      <c r="A142" s="13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Y142" s="13"/>
      <c r="Z142" s="39"/>
      <c r="AA142" s="39"/>
      <c r="AB142" s="39"/>
      <c r="AC142" s="39"/>
      <c r="AD142" s="39"/>
      <c r="AE142" s="39"/>
      <c r="AF142" s="39"/>
      <c r="AG142" s="39"/>
      <c r="AH142" s="45"/>
      <c r="AI142" s="45"/>
      <c r="AJ142" s="45"/>
      <c r="BG142" s="45"/>
      <c r="BH142" s="45"/>
      <c r="CE142" s="45"/>
      <c r="CF142" s="45"/>
    </row>
    <row r="143" spans="1:84">
      <c r="A143" s="13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Y143" s="13"/>
      <c r="Z143" s="39"/>
      <c r="AA143" s="39"/>
      <c r="AB143" s="39"/>
      <c r="AC143" s="39"/>
      <c r="AD143" s="39"/>
      <c r="AE143" s="39"/>
      <c r="AF143" s="39"/>
      <c r="AG143" s="39"/>
      <c r="AH143" s="45"/>
      <c r="AI143" s="45"/>
      <c r="AJ143" s="45"/>
      <c r="BG143" s="45"/>
      <c r="BH143" s="45"/>
      <c r="CE143" s="45"/>
      <c r="CF143" s="45"/>
    </row>
    <row r="144" spans="1:84">
      <c r="A144" s="13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Y144" s="13"/>
      <c r="Z144" s="39"/>
      <c r="AA144" s="39"/>
      <c r="AB144" s="39"/>
      <c r="AC144" s="39"/>
      <c r="AD144" s="39"/>
      <c r="AE144" s="39"/>
      <c r="AF144" s="39"/>
      <c r="AG144" s="39"/>
      <c r="AH144" s="45"/>
      <c r="AI144" s="45"/>
      <c r="AJ144" s="45"/>
      <c r="BG144" s="45"/>
      <c r="BH144" s="45"/>
      <c r="CE144" s="45"/>
      <c r="CF144" s="45"/>
    </row>
    <row r="145" spans="1:84">
      <c r="A145" s="13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Y145" s="13"/>
      <c r="Z145" s="39"/>
      <c r="AA145" s="39"/>
      <c r="AB145" s="39"/>
      <c r="AC145" s="39"/>
      <c r="AD145" s="39"/>
      <c r="AE145" s="39"/>
      <c r="AF145" s="39"/>
      <c r="AG145" s="39"/>
      <c r="AH145" s="45"/>
      <c r="AI145" s="45"/>
      <c r="AJ145" s="45"/>
      <c r="BG145" s="45"/>
      <c r="BH145" s="45"/>
      <c r="CE145" s="45"/>
      <c r="CF145" s="45"/>
    </row>
    <row r="146" spans="1:84">
      <c r="A146" s="13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Y146" s="13"/>
      <c r="Z146" s="39"/>
      <c r="AA146" s="39"/>
      <c r="AB146" s="39"/>
      <c r="AC146" s="39"/>
      <c r="AD146" s="39"/>
      <c r="AE146" s="39"/>
      <c r="AF146" s="39"/>
      <c r="AG146" s="39"/>
      <c r="AH146" s="45"/>
      <c r="AI146" s="45"/>
      <c r="AJ146" s="45"/>
      <c r="BG146" s="45"/>
      <c r="BH146" s="45"/>
      <c r="CE146" s="45"/>
      <c r="CF146" s="45"/>
    </row>
    <row r="147" spans="1:84">
      <c r="A147" s="13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Y147" s="13"/>
      <c r="Z147" s="39"/>
      <c r="AA147" s="39"/>
      <c r="AB147" s="39"/>
      <c r="AC147" s="39"/>
      <c r="AD147" s="39"/>
      <c r="AE147" s="39"/>
      <c r="AF147" s="39"/>
      <c r="AG147" s="39"/>
      <c r="AH147" s="45"/>
      <c r="AI147" s="45"/>
      <c r="AJ147" s="45"/>
      <c r="BG147" s="45"/>
      <c r="BH147" s="45"/>
      <c r="CE147" s="45"/>
      <c r="CF147" s="45"/>
    </row>
    <row r="148" spans="1:84">
      <c r="A148" s="13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Y148" s="13"/>
      <c r="Z148" s="39"/>
      <c r="AA148" s="39"/>
      <c r="AB148" s="39"/>
      <c r="AC148" s="39"/>
      <c r="AD148" s="39"/>
      <c r="AE148" s="39"/>
      <c r="AF148" s="39"/>
      <c r="AG148" s="39"/>
      <c r="AH148" s="45"/>
      <c r="AI148" s="45"/>
      <c r="AJ148" s="45"/>
      <c r="BG148" s="45"/>
      <c r="BH148" s="45"/>
      <c r="CE148" s="45"/>
      <c r="CF148" s="45"/>
    </row>
    <row r="149" spans="1:84">
      <c r="A149" s="13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Y149" s="13"/>
      <c r="Z149" s="39"/>
      <c r="AA149" s="39"/>
      <c r="AB149" s="39"/>
      <c r="AC149" s="39"/>
      <c r="AD149" s="39"/>
      <c r="AE149" s="39"/>
      <c r="AF149" s="39"/>
      <c r="AG149" s="39"/>
      <c r="AH149" s="45"/>
      <c r="AI149" s="45"/>
      <c r="AJ149" s="45"/>
      <c r="BG149" s="45"/>
      <c r="BH149" s="45"/>
      <c r="CE149" s="45"/>
      <c r="CF149" s="45"/>
    </row>
    <row r="150" spans="1:84">
      <c r="A150" s="13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Y150" s="13"/>
      <c r="Z150" s="39"/>
      <c r="AA150" s="39"/>
      <c r="AB150" s="39"/>
      <c r="AC150" s="39"/>
      <c r="AD150" s="39"/>
      <c r="AE150" s="39"/>
      <c r="AF150" s="39"/>
      <c r="AG150" s="39"/>
      <c r="AH150" s="45"/>
      <c r="AI150" s="45"/>
      <c r="AJ150" s="45"/>
      <c r="BG150" s="45"/>
      <c r="BH150" s="45"/>
      <c r="CE150" s="45"/>
      <c r="CF150" s="45"/>
    </row>
    <row r="151" spans="1:84">
      <c r="A151" s="13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Y151" s="13"/>
      <c r="Z151" s="39"/>
      <c r="AA151" s="39"/>
      <c r="AB151" s="39"/>
      <c r="AC151" s="39"/>
      <c r="AD151" s="39"/>
      <c r="AE151" s="39"/>
      <c r="AF151" s="39"/>
      <c r="AG151" s="39"/>
      <c r="AH151" s="45"/>
      <c r="AI151" s="45"/>
      <c r="AJ151" s="45"/>
      <c r="BG151" s="45"/>
      <c r="BH151" s="45"/>
      <c r="CE151" s="45"/>
      <c r="CF151" s="45"/>
    </row>
    <row r="152" spans="1:84">
      <c r="A152" s="13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Y152" s="13"/>
      <c r="Z152" s="39"/>
      <c r="AA152" s="39"/>
      <c r="AB152" s="39"/>
      <c r="AC152" s="39"/>
      <c r="AD152" s="39"/>
      <c r="AE152" s="39"/>
      <c r="AF152" s="39"/>
      <c r="AG152" s="39"/>
      <c r="AH152" s="45"/>
      <c r="AI152" s="45"/>
      <c r="AJ152" s="45"/>
      <c r="BG152" s="45"/>
      <c r="BH152" s="45"/>
      <c r="CE152" s="45"/>
      <c r="CF152" s="45"/>
    </row>
    <row r="153" spans="1:84">
      <c r="A153" s="13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Y153" s="13"/>
      <c r="Z153" s="39"/>
      <c r="AA153" s="39"/>
      <c r="AB153" s="39"/>
      <c r="AC153" s="39"/>
      <c r="AD153" s="39"/>
      <c r="AE153" s="39"/>
      <c r="AF153" s="39"/>
      <c r="AG153" s="39"/>
      <c r="AH153" s="45"/>
      <c r="AI153" s="45"/>
      <c r="AJ153" s="45"/>
      <c r="BG153" s="45"/>
      <c r="BH153" s="45"/>
      <c r="CE153" s="45"/>
      <c r="CF153" s="45"/>
    </row>
    <row r="154" spans="1:84">
      <c r="A154" s="13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Y154" s="13"/>
      <c r="Z154" s="39"/>
      <c r="AA154" s="39"/>
      <c r="AB154" s="39"/>
      <c r="AC154" s="39"/>
      <c r="AD154" s="39"/>
      <c r="AE154" s="39"/>
      <c r="AF154" s="39"/>
      <c r="AG154" s="39"/>
      <c r="AH154" s="45"/>
      <c r="AI154" s="45"/>
      <c r="AJ154" s="45"/>
      <c r="BG154" s="45"/>
      <c r="BH154" s="45"/>
      <c r="CE154" s="45"/>
      <c r="CF154" s="45"/>
    </row>
    <row r="155" spans="1:84">
      <c r="A155" s="13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Y155" s="13"/>
      <c r="Z155" s="39"/>
      <c r="AA155" s="39"/>
      <c r="AB155" s="39"/>
      <c r="AC155" s="39"/>
      <c r="AD155" s="39"/>
      <c r="AE155" s="39"/>
      <c r="AF155" s="39"/>
      <c r="AG155" s="39"/>
      <c r="AH155" s="45"/>
      <c r="AI155" s="45"/>
      <c r="AJ155" s="45"/>
      <c r="BG155" s="45"/>
      <c r="BH155" s="45"/>
      <c r="CE155" s="45"/>
      <c r="CF155" s="45"/>
    </row>
    <row r="156" spans="1:84">
      <c r="A156" s="13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Y156" s="13"/>
      <c r="Z156" s="39"/>
      <c r="AA156" s="39"/>
      <c r="AB156" s="39"/>
      <c r="AC156" s="39"/>
      <c r="AD156" s="39"/>
      <c r="AE156" s="39"/>
      <c r="AF156" s="39"/>
      <c r="AG156" s="39"/>
      <c r="AH156" s="45"/>
      <c r="AI156" s="45"/>
      <c r="AJ156" s="45"/>
      <c r="BG156" s="45"/>
      <c r="BH156" s="45"/>
      <c r="CE156" s="45"/>
      <c r="CF156" s="45"/>
    </row>
    <row r="157" spans="1:84">
      <c r="A157" s="13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Y157" s="13"/>
      <c r="Z157" s="39"/>
      <c r="AA157" s="39"/>
      <c r="AB157" s="39"/>
      <c r="AC157" s="39"/>
      <c r="AD157" s="39"/>
      <c r="AE157" s="39"/>
      <c r="AF157" s="39"/>
      <c r="AG157" s="39"/>
      <c r="AH157" s="45"/>
      <c r="AI157" s="45"/>
      <c r="AJ157" s="45"/>
      <c r="BG157" s="45"/>
      <c r="BH157" s="45"/>
      <c r="CE157" s="45"/>
      <c r="CF157" s="45"/>
    </row>
    <row r="158" spans="1:84">
      <c r="A158" s="13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Y158" s="13"/>
      <c r="Z158" s="39"/>
      <c r="AA158" s="39"/>
      <c r="AB158" s="39"/>
      <c r="AC158" s="39"/>
      <c r="AD158" s="39"/>
      <c r="AE158" s="39"/>
      <c r="AF158" s="39"/>
      <c r="AG158" s="39"/>
      <c r="AH158" s="45"/>
      <c r="AI158" s="45"/>
      <c r="AJ158" s="45"/>
      <c r="BG158" s="45"/>
      <c r="BH158" s="45"/>
      <c r="CE158" s="45"/>
      <c r="CF158" s="45"/>
    </row>
    <row r="159" spans="1:84">
      <c r="A159" s="13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Y159" s="13"/>
      <c r="Z159" s="39"/>
      <c r="AA159" s="39"/>
      <c r="AB159" s="39"/>
      <c r="AC159" s="39"/>
      <c r="AD159" s="39"/>
      <c r="AE159" s="39"/>
      <c r="AF159" s="39"/>
      <c r="AG159" s="39"/>
      <c r="AH159" s="45"/>
      <c r="AI159" s="45"/>
      <c r="AJ159" s="45"/>
      <c r="BG159" s="45"/>
      <c r="BH159" s="45"/>
      <c r="CE159" s="45"/>
      <c r="CF159" s="45"/>
    </row>
    <row r="160" spans="1:84">
      <c r="A160" s="13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Y160" s="13"/>
      <c r="Z160" s="39"/>
      <c r="AA160" s="39"/>
      <c r="AB160" s="39"/>
      <c r="AC160" s="39"/>
      <c r="AD160" s="39"/>
      <c r="AE160" s="39"/>
      <c r="AF160" s="39"/>
      <c r="AG160" s="39"/>
      <c r="AH160" s="45"/>
      <c r="AI160" s="45"/>
      <c r="AJ160" s="45"/>
      <c r="BG160" s="45"/>
      <c r="BH160" s="45"/>
      <c r="CE160" s="45"/>
      <c r="CF160" s="45"/>
    </row>
    <row r="161" spans="1:84">
      <c r="A161" s="13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Y161" s="13"/>
      <c r="Z161" s="39"/>
      <c r="AA161" s="39"/>
      <c r="AB161" s="39"/>
      <c r="AC161" s="39"/>
      <c r="AD161" s="39"/>
      <c r="AE161" s="39"/>
      <c r="AF161" s="39"/>
      <c r="AG161" s="39"/>
      <c r="AH161" s="45"/>
      <c r="AI161" s="45"/>
      <c r="AJ161" s="45"/>
      <c r="BG161" s="45"/>
      <c r="BH161" s="45"/>
      <c r="CE161" s="45"/>
      <c r="CF161" s="45"/>
    </row>
    <row r="162" spans="1:84">
      <c r="A162" s="13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Y162" s="13"/>
      <c r="Z162" s="39"/>
      <c r="AA162" s="39"/>
      <c r="AB162" s="39"/>
      <c r="AC162" s="39"/>
      <c r="AD162" s="39"/>
      <c r="AE162" s="39"/>
      <c r="AF162" s="39"/>
      <c r="AG162" s="39"/>
      <c r="AH162" s="45"/>
      <c r="AI162" s="45"/>
      <c r="AJ162" s="45"/>
      <c r="BG162" s="45"/>
      <c r="BH162" s="45"/>
      <c r="CE162" s="45"/>
      <c r="CF162" s="45"/>
    </row>
    <row r="163" spans="1:84">
      <c r="A163" s="13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Y163" s="13"/>
      <c r="Z163" s="39"/>
      <c r="AA163" s="39"/>
      <c r="AB163" s="39"/>
      <c r="AC163" s="39"/>
      <c r="AD163" s="39"/>
      <c r="AE163" s="39"/>
      <c r="AF163" s="39"/>
      <c r="AG163" s="39"/>
      <c r="AH163" s="45"/>
      <c r="AI163" s="45"/>
      <c r="AJ163" s="45"/>
      <c r="BG163" s="45"/>
      <c r="BH163" s="45"/>
      <c r="CE163" s="45"/>
      <c r="CF163" s="45"/>
    </row>
    <row r="164" spans="1:84">
      <c r="A164" s="13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Y164" s="13"/>
      <c r="Z164" s="39"/>
      <c r="AA164" s="39"/>
      <c r="AB164" s="39"/>
      <c r="AC164" s="39"/>
      <c r="AD164" s="39"/>
      <c r="AE164" s="39"/>
      <c r="AF164" s="39"/>
      <c r="AG164" s="39"/>
      <c r="AH164" s="45"/>
      <c r="AI164" s="45"/>
      <c r="AJ164" s="45"/>
      <c r="BG164" s="45"/>
      <c r="BH164" s="45"/>
      <c r="CE164" s="45"/>
      <c r="CF164" s="45"/>
    </row>
    <row r="165" spans="1:84">
      <c r="A165" s="13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Y165" s="13"/>
      <c r="Z165" s="39"/>
      <c r="AA165" s="39"/>
      <c r="AB165" s="39"/>
      <c r="AC165" s="39"/>
      <c r="AD165" s="39"/>
      <c r="AE165" s="39"/>
      <c r="AF165" s="39"/>
      <c r="AG165" s="39"/>
      <c r="AH165" s="45"/>
      <c r="AI165" s="45"/>
      <c r="AJ165" s="45"/>
      <c r="BG165" s="45"/>
      <c r="BH165" s="45"/>
      <c r="CE165" s="45"/>
      <c r="CF165" s="45"/>
    </row>
    <row r="166" spans="1:84">
      <c r="A166" s="13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Y166" s="13"/>
      <c r="Z166" s="39"/>
      <c r="AA166" s="39"/>
      <c r="AB166" s="39"/>
      <c r="AC166" s="39"/>
      <c r="AD166" s="39"/>
      <c r="AE166" s="39"/>
      <c r="AF166" s="39"/>
      <c r="AG166" s="39"/>
      <c r="AH166" s="45"/>
      <c r="AI166" s="45"/>
      <c r="AJ166" s="45"/>
      <c r="BG166" s="45"/>
      <c r="BH166" s="45"/>
      <c r="CE166" s="45"/>
      <c r="CF166" s="45"/>
    </row>
    <row r="167" spans="1:84">
      <c r="A167" s="13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Y167" s="13"/>
      <c r="Z167" s="39"/>
      <c r="AA167" s="39"/>
      <c r="AB167" s="39"/>
      <c r="AC167" s="39"/>
      <c r="AD167" s="39"/>
      <c r="AE167" s="39"/>
      <c r="AF167" s="39"/>
      <c r="AG167" s="39"/>
      <c r="AH167" s="45"/>
      <c r="AI167" s="45"/>
      <c r="AJ167" s="45"/>
      <c r="BG167" s="45"/>
      <c r="BH167" s="45"/>
      <c r="CE167" s="45"/>
      <c r="CF167" s="45"/>
    </row>
    <row r="168" spans="1:84">
      <c r="A168" s="13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Y168" s="13"/>
      <c r="Z168" s="39"/>
      <c r="AA168" s="39"/>
      <c r="AB168" s="39"/>
      <c r="AC168" s="39"/>
      <c r="AD168" s="39"/>
      <c r="AE168" s="39"/>
      <c r="AF168" s="39"/>
      <c r="AG168" s="39"/>
      <c r="AH168" s="45"/>
      <c r="AI168" s="45"/>
      <c r="AJ168" s="45"/>
      <c r="BG168" s="45"/>
      <c r="BH168" s="45"/>
      <c r="CE168" s="45"/>
      <c r="CF168" s="45"/>
    </row>
    <row r="169" spans="1:84">
      <c r="A169" s="13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Y169" s="13"/>
      <c r="Z169" s="39"/>
      <c r="AA169" s="39"/>
      <c r="AB169" s="39"/>
      <c r="AC169" s="39"/>
      <c r="AD169" s="39"/>
      <c r="AE169" s="39"/>
      <c r="AF169" s="39"/>
      <c r="AG169" s="39"/>
      <c r="AH169" s="45"/>
      <c r="AI169" s="45"/>
      <c r="AJ169" s="45"/>
      <c r="BG169" s="45"/>
      <c r="BH169" s="45"/>
      <c r="CE169" s="45"/>
      <c r="CF169" s="45"/>
    </row>
    <row r="170" spans="1:84">
      <c r="A170" s="13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Y170" s="13"/>
      <c r="Z170" s="39"/>
      <c r="AA170" s="39"/>
      <c r="AB170" s="39"/>
      <c r="AC170" s="39"/>
      <c r="AD170" s="39"/>
      <c r="AE170" s="39"/>
      <c r="AF170" s="39"/>
      <c r="AG170" s="39"/>
      <c r="AH170" s="45"/>
      <c r="AI170" s="45"/>
      <c r="AJ170" s="45"/>
      <c r="BG170" s="45"/>
      <c r="BH170" s="45"/>
      <c r="CE170" s="45"/>
      <c r="CF170" s="45"/>
    </row>
    <row r="171" spans="1:84">
      <c r="A171" s="13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Y171" s="13"/>
      <c r="Z171" s="39"/>
      <c r="AA171" s="39"/>
      <c r="AB171" s="39"/>
      <c r="AC171" s="39"/>
      <c r="AD171" s="39"/>
      <c r="AE171" s="39"/>
      <c r="AF171" s="39"/>
      <c r="AG171" s="39"/>
      <c r="AH171" s="45"/>
      <c r="AI171" s="45"/>
      <c r="AJ171" s="45"/>
      <c r="BG171" s="45"/>
      <c r="BH171" s="45"/>
      <c r="CE171" s="45"/>
      <c r="CF171" s="45"/>
    </row>
    <row r="172" spans="1:84">
      <c r="A172" s="13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Y172" s="13"/>
      <c r="Z172" s="39"/>
      <c r="AA172" s="39"/>
      <c r="AB172" s="39"/>
      <c r="AC172" s="39"/>
      <c r="AD172" s="39"/>
      <c r="AE172" s="39"/>
      <c r="AF172" s="39"/>
      <c r="AG172" s="39"/>
      <c r="AH172" s="45"/>
      <c r="AI172" s="45"/>
      <c r="AJ172" s="45"/>
      <c r="BG172" s="45"/>
      <c r="BH172" s="45"/>
      <c r="CE172" s="45"/>
      <c r="CF172" s="45"/>
    </row>
    <row r="173" spans="1:84">
      <c r="A173" s="13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Y173" s="13"/>
      <c r="Z173" s="39"/>
      <c r="AA173" s="39"/>
      <c r="AB173" s="39"/>
      <c r="AC173" s="39"/>
      <c r="AD173" s="39"/>
      <c r="AE173" s="39"/>
      <c r="AF173" s="39"/>
      <c r="AG173" s="39"/>
      <c r="AH173" s="45"/>
      <c r="AI173" s="45"/>
      <c r="AJ173" s="45"/>
      <c r="BG173" s="45"/>
      <c r="BH173" s="45"/>
      <c r="CE173" s="45"/>
      <c r="CF173" s="45"/>
    </row>
    <row r="174" spans="1:84">
      <c r="A174" s="13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Y174" s="13"/>
      <c r="Z174" s="39"/>
      <c r="AA174" s="39"/>
      <c r="AB174" s="39"/>
      <c r="AC174" s="39"/>
      <c r="AD174" s="39"/>
      <c r="AE174" s="39"/>
      <c r="AF174" s="39"/>
      <c r="AG174" s="39"/>
      <c r="AH174" s="45"/>
      <c r="AI174" s="45"/>
      <c r="AJ174" s="45"/>
      <c r="BG174" s="45"/>
      <c r="BH174" s="45"/>
      <c r="CE174" s="45"/>
      <c r="CF174" s="45"/>
    </row>
    <row r="175" spans="1:84">
      <c r="A175" s="13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Y175" s="13"/>
      <c r="Z175" s="39"/>
      <c r="AA175" s="39"/>
      <c r="AB175" s="39"/>
      <c r="AC175" s="39"/>
      <c r="AD175" s="39"/>
      <c r="AE175" s="39"/>
      <c r="AF175" s="39"/>
      <c r="AG175" s="39"/>
      <c r="AH175" s="45"/>
      <c r="AI175" s="45"/>
      <c r="AJ175" s="45"/>
      <c r="BG175" s="45"/>
      <c r="BH175" s="45"/>
      <c r="CE175" s="45"/>
      <c r="CF175" s="45"/>
    </row>
    <row r="176" spans="1:84">
      <c r="A176" s="13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Y176" s="13"/>
      <c r="Z176" s="39"/>
      <c r="AA176" s="39"/>
      <c r="AB176" s="39"/>
      <c r="AC176" s="39"/>
      <c r="AD176" s="39"/>
      <c r="AE176" s="39"/>
      <c r="AF176" s="39"/>
      <c r="AG176" s="39"/>
      <c r="AH176" s="45"/>
      <c r="AI176" s="45"/>
      <c r="AJ176" s="45"/>
      <c r="BG176" s="45"/>
      <c r="BH176" s="45"/>
      <c r="CE176" s="45"/>
      <c r="CF176" s="45"/>
    </row>
    <row r="177" spans="1:84">
      <c r="A177" s="13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Y177" s="13"/>
      <c r="Z177" s="39"/>
      <c r="AA177" s="39"/>
      <c r="AB177" s="39"/>
      <c r="AC177" s="39"/>
      <c r="AD177" s="39"/>
      <c r="AE177" s="39"/>
      <c r="AF177" s="39"/>
      <c r="AG177" s="39"/>
      <c r="AH177" s="45"/>
      <c r="AI177" s="45"/>
      <c r="AJ177" s="45"/>
      <c r="BG177" s="45"/>
      <c r="BH177" s="45"/>
      <c r="CE177" s="45"/>
      <c r="CF177" s="45"/>
    </row>
    <row r="178" spans="1:84">
      <c r="A178" s="13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Y178" s="13"/>
      <c r="Z178" s="39"/>
      <c r="AA178" s="39"/>
      <c r="AB178" s="39"/>
      <c r="AC178" s="39"/>
      <c r="AD178" s="39"/>
      <c r="AE178" s="39"/>
      <c r="AF178" s="39"/>
      <c r="AG178" s="39"/>
      <c r="AH178" s="45"/>
      <c r="AI178" s="45"/>
      <c r="AJ178" s="45"/>
      <c r="BG178" s="45"/>
      <c r="BH178" s="45"/>
      <c r="CE178" s="45"/>
      <c r="CF178" s="45"/>
    </row>
    <row r="179" spans="1:84">
      <c r="A179" s="13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Y179" s="13"/>
      <c r="Z179" s="39"/>
      <c r="AA179" s="39"/>
      <c r="AB179" s="39"/>
      <c r="AC179" s="39"/>
      <c r="AD179" s="39"/>
      <c r="AE179" s="39"/>
      <c r="AF179" s="39"/>
      <c r="AG179" s="39"/>
      <c r="AH179" s="45"/>
      <c r="AI179" s="45"/>
      <c r="AJ179" s="45"/>
      <c r="BG179" s="45"/>
      <c r="BH179" s="45"/>
      <c r="CE179" s="45"/>
      <c r="CF179" s="45"/>
    </row>
    <row r="180" spans="1:84">
      <c r="A180" s="13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Y180" s="13"/>
      <c r="Z180" s="39"/>
      <c r="AA180" s="39"/>
      <c r="AB180" s="39"/>
      <c r="AC180" s="39"/>
      <c r="AD180" s="39"/>
      <c r="AE180" s="39"/>
      <c r="AF180" s="39"/>
      <c r="AG180" s="39"/>
      <c r="AH180" s="45"/>
      <c r="AI180" s="45"/>
      <c r="AJ180" s="45"/>
      <c r="BG180" s="45"/>
      <c r="BH180" s="45"/>
      <c r="CE180" s="45"/>
      <c r="CF180" s="45"/>
    </row>
    <row r="181" spans="1:84">
      <c r="A181" s="13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Y181" s="13"/>
      <c r="Z181" s="39"/>
      <c r="AA181" s="39"/>
      <c r="AB181" s="39"/>
      <c r="AC181" s="39"/>
      <c r="AD181" s="39"/>
      <c r="AE181" s="39"/>
      <c r="AF181" s="39"/>
      <c r="AG181" s="39"/>
      <c r="AH181" s="45"/>
      <c r="AI181" s="45"/>
      <c r="AJ181" s="45"/>
      <c r="BG181" s="45"/>
      <c r="BH181" s="45"/>
      <c r="CE181" s="45"/>
      <c r="CF181" s="45"/>
    </row>
    <row r="182" spans="1:84">
      <c r="A182" s="13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Y182" s="13"/>
      <c r="Z182" s="39"/>
      <c r="AA182" s="39"/>
      <c r="AB182" s="39"/>
      <c r="AC182" s="39"/>
      <c r="AD182" s="39"/>
      <c r="AE182" s="39"/>
      <c r="AF182" s="39"/>
      <c r="AG182" s="39"/>
      <c r="AH182" s="45"/>
      <c r="AI182" s="45"/>
      <c r="AJ182" s="45"/>
      <c r="BG182" s="45"/>
      <c r="BH182" s="45"/>
      <c r="CE182" s="45"/>
      <c r="CF182" s="45"/>
    </row>
    <row r="183" spans="1:84">
      <c r="A183" s="13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Y183" s="13"/>
      <c r="Z183" s="39"/>
      <c r="AA183" s="39"/>
      <c r="AB183" s="39"/>
      <c r="AC183" s="39"/>
      <c r="AD183" s="39"/>
      <c r="AE183" s="39"/>
      <c r="AF183" s="39"/>
      <c r="AG183" s="39"/>
      <c r="AH183" s="45"/>
      <c r="AI183" s="45"/>
      <c r="AJ183" s="45"/>
      <c r="BG183" s="45"/>
      <c r="BH183" s="45"/>
      <c r="CE183" s="45"/>
      <c r="CF183" s="45"/>
    </row>
    <row r="184" spans="1:84">
      <c r="A184" s="13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Y184" s="13"/>
      <c r="Z184" s="39"/>
      <c r="AA184" s="39"/>
      <c r="AB184" s="39"/>
      <c r="AC184" s="39"/>
      <c r="AD184" s="39"/>
      <c r="AE184" s="39"/>
      <c r="AF184" s="39"/>
      <c r="AG184" s="39"/>
      <c r="AH184" s="45"/>
      <c r="AI184" s="45"/>
      <c r="AJ184" s="45"/>
      <c r="BG184" s="45"/>
      <c r="BH184" s="45"/>
      <c r="CE184" s="45"/>
      <c r="CF184" s="45"/>
    </row>
    <row r="185" spans="1:84">
      <c r="A185" s="13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Y185" s="13"/>
      <c r="Z185" s="39"/>
      <c r="AA185" s="39"/>
      <c r="AB185" s="39"/>
      <c r="AC185" s="39"/>
      <c r="AD185" s="39"/>
      <c r="AE185" s="39"/>
      <c r="AF185" s="39"/>
      <c r="AG185" s="39"/>
      <c r="AH185" s="45"/>
      <c r="AI185" s="45"/>
      <c r="AJ185" s="45"/>
      <c r="BG185" s="45"/>
      <c r="BH185" s="45"/>
      <c r="CE185" s="45"/>
      <c r="CF185" s="45"/>
    </row>
    <row r="186" spans="1:84">
      <c r="A186" s="13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Y186" s="13"/>
      <c r="Z186" s="39"/>
      <c r="AA186" s="39"/>
      <c r="AB186" s="39"/>
      <c r="AC186" s="39"/>
      <c r="AD186" s="39"/>
      <c r="AE186" s="39"/>
      <c r="AF186" s="39"/>
      <c r="AG186" s="39"/>
      <c r="AH186" s="45"/>
      <c r="AI186" s="45"/>
      <c r="AJ186" s="45"/>
      <c r="BG186" s="45"/>
      <c r="BH186" s="45"/>
      <c r="CE186" s="45"/>
      <c r="CF186" s="45"/>
    </row>
    <row r="187" spans="1:84">
      <c r="A187" s="13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Y187" s="13"/>
      <c r="Z187" s="39"/>
      <c r="AA187" s="39"/>
      <c r="AB187" s="39"/>
      <c r="AC187" s="39"/>
      <c r="AD187" s="39"/>
      <c r="AE187" s="39"/>
      <c r="AF187" s="39"/>
      <c r="AG187" s="39"/>
      <c r="AH187" s="45"/>
      <c r="AI187" s="45"/>
      <c r="AJ187" s="45"/>
      <c r="BG187" s="45"/>
      <c r="BH187" s="45"/>
      <c r="CE187" s="45"/>
      <c r="CF187" s="45"/>
    </row>
    <row r="188" spans="1:84">
      <c r="A188" s="13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Y188" s="13"/>
      <c r="Z188" s="39"/>
      <c r="AA188" s="39"/>
      <c r="AB188" s="39"/>
      <c r="AC188" s="39"/>
      <c r="AD188" s="39"/>
      <c r="AE188" s="39"/>
      <c r="AF188" s="39"/>
      <c r="AG188" s="39"/>
      <c r="AH188" s="45"/>
      <c r="AI188" s="45"/>
      <c r="AJ188" s="45"/>
      <c r="BG188" s="45"/>
      <c r="BH188" s="45"/>
      <c r="CE188" s="45"/>
      <c r="CF188" s="45"/>
    </row>
    <row r="189" spans="1:84">
      <c r="A189" s="13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Y189" s="13"/>
      <c r="Z189" s="39"/>
      <c r="AA189" s="39"/>
      <c r="AB189" s="39"/>
      <c r="AC189" s="39"/>
      <c r="AD189" s="39"/>
      <c r="AE189" s="39"/>
      <c r="AF189" s="39"/>
      <c r="AG189" s="39"/>
      <c r="AH189" s="45"/>
      <c r="AI189" s="45"/>
      <c r="AJ189" s="45"/>
      <c r="BG189" s="45"/>
      <c r="BH189" s="45"/>
      <c r="CE189" s="45"/>
      <c r="CF189" s="45"/>
    </row>
    <row r="190" spans="1:84">
      <c r="A190" s="13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Y190" s="13"/>
      <c r="Z190" s="39"/>
      <c r="AA190" s="39"/>
      <c r="AB190" s="39"/>
      <c r="AC190" s="39"/>
      <c r="AD190" s="39"/>
      <c r="AE190" s="39"/>
      <c r="AF190" s="39"/>
      <c r="AG190" s="39"/>
      <c r="AH190" s="45"/>
      <c r="AI190" s="45"/>
      <c r="AJ190" s="45"/>
      <c r="BG190" s="45"/>
      <c r="BH190" s="45"/>
      <c r="CE190" s="45"/>
      <c r="CF190" s="45"/>
    </row>
    <row r="191" spans="1:84">
      <c r="A191" s="41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Y191" s="41"/>
      <c r="Z191" s="39"/>
      <c r="AA191" s="39"/>
      <c r="AB191" s="39"/>
      <c r="AC191" s="39"/>
      <c r="AD191" s="39"/>
      <c r="AE191" s="39"/>
      <c r="AF191" s="39"/>
      <c r="AG191" s="39"/>
      <c r="AH191" s="45"/>
      <c r="AI191" s="45"/>
      <c r="AJ191" s="45"/>
      <c r="BG191" s="45"/>
      <c r="BH191" s="45"/>
      <c r="CE191" s="45"/>
      <c r="CF191" s="45"/>
    </row>
    <row r="192" spans="1:84">
      <c r="A192" s="13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Y192" s="13"/>
      <c r="Z192" s="39"/>
      <c r="AA192" s="39"/>
      <c r="AB192" s="39"/>
      <c r="AC192" s="39"/>
      <c r="AD192" s="39"/>
      <c r="AE192" s="39"/>
      <c r="AF192" s="39"/>
      <c r="AG192" s="39"/>
      <c r="AH192" s="45"/>
      <c r="AI192" s="45"/>
      <c r="AJ192" s="45"/>
      <c r="BG192" s="45"/>
      <c r="BH192" s="45"/>
      <c r="CE192" s="45"/>
      <c r="CF192" s="45"/>
    </row>
    <row r="193" spans="1:84">
      <c r="A193" s="13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Y193" s="13"/>
      <c r="Z193" s="39"/>
      <c r="AA193" s="39"/>
      <c r="AB193" s="39"/>
      <c r="AC193" s="39"/>
      <c r="AD193" s="39"/>
      <c r="AE193" s="39"/>
      <c r="AF193" s="39"/>
      <c r="AG193" s="39"/>
      <c r="AH193" s="45"/>
      <c r="AI193" s="45"/>
      <c r="AJ193" s="45"/>
      <c r="BG193" s="45"/>
      <c r="BH193" s="45"/>
      <c r="CE193" s="45"/>
      <c r="CF193" s="45"/>
    </row>
    <row r="194" spans="1:84">
      <c r="A194" s="13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Y194" s="13"/>
      <c r="Z194" s="39"/>
      <c r="AA194" s="39"/>
      <c r="AB194" s="39"/>
      <c r="AC194" s="39"/>
      <c r="AD194" s="39"/>
      <c r="AE194" s="39"/>
      <c r="AF194" s="39"/>
      <c r="AG194" s="39"/>
      <c r="AH194" s="45"/>
      <c r="AI194" s="45"/>
      <c r="AJ194" s="45"/>
      <c r="BG194" s="45"/>
      <c r="BH194" s="45"/>
      <c r="CE194" s="45"/>
      <c r="CF194" s="45"/>
    </row>
    <row r="195" spans="1:84">
      <c r="A195" s="13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Y195" s="13"/>
      <c r="Z195" s="39"/>
      <c r="AA195" s="39"/>
      <c r="AB195" s="39"/>
      <c r="AC195" s="39"/>
      <c r="AD195" s="39"/>
      <c r="AE195" s="39"/>
      <c r="AF195" s="39"/>
      <c r="AG195" s="39"/>
      <c r="AH195" s="45"/>
      <c r="AI195" s="45"/>
      <c r="AJ195" s="45"/>
      <c r="BG195" s="45"/>
      <c r="BH195" s="45"/>
      <c r="CE195" s="45"/>
      <c r="CF195" s="45"/>
    </row>
    <row r="196" spans="1:84">
      <c r="A196" s="13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Y196" s="13"/>
      <c r="Z196" s="39"/>
      <c r="AA196" s="39"/>
      <c r="AB196" s="39"/>
      <c r="AC196" s="39"/>
      <c r="AD196" s="39"/>
      <c r="AE196" s="39"/>
      <c r="AF196" s="39"/>
      <c r="AG196" s="39"/>
      <c r="AH196" s="45"/>
      <c r="AI196" s="45"/>
      <c r="AJ196" s="45"/>
      <c r="BG196" s="45"/>
      <c r="BH196" s="45"/>
      <c r="CE196" s="45"/>
      <c r="CF196" s="45"/>
    </row>
    <row r="197" spans="1:84">
      <c r="A197" s="13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Y197" s="13"/>
      <c r="Z197" s="39"/>
      <c r="AA197" s="39"/>
      <c r="AB197" s="39"/>
      <c r="AC197" s="39"/>
      <c r="AD197" s="39"/>
      <c r="AE197" s="39"/>
      <c r="AF197" s="39"/>
      <c r="AG197" s="39"/>
      <c r="AH197" s="45"/>
      <c r="AI197" s="45"/>
      <c r="AJ197" s="45"/>
      <c r="BG197" s="45"/>
      <c r="BH197" s="45"/>
      <c r="CE197" s="45"/>
      <c r="CF197" s="45"/>
    </row>
    <row r="198" spans="1:84">
      <c r="A198" s="13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Y198" s="13"/>
      <c r="Z198" s="39"/>
      <c r="AA198" s="39"/>
      <c r="AB198" s="39"/>
      <c r="AC198" s="39"/>
      <c r="AD198" s="39"/>
      <c r="AE198" s="39"/>
      <c r="AF198" s="39"/>
      <c r="AG198" s="39"/>
      <c r="AH198" s="45"/>
      <c r="AI198" s="45"/>
      <c r="AJ198" s="45"/>
      <c r="BG198" s="45"/>
      <c r="BH198" s="45"/>
      <c r="CE198" s="45"/>
      <c r="CF198" s="45"/>
    </row>
    <row r="199" spans="1:84">
      <c r="A199" s="13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Y199" s="13"/>
      <c r="Z199" s="39"/>
      <c r="AA199" s="39"/>
      <c r="AB199" s="39"/>
      <c r="AC199" s="39"/>
      <c r="AD199" s="39"/>
      <c r="AE199" s="39"/>
      <c r="AF199" s="39"/>
      <c r="AG199" s="39"/>
      <c r="AH199" s="45"/>
      <c r="AI199" s="45"/>
      <c r="AJ199" s="45"/>
      <c r="BG199" s="45"/>
      <c r="BH199" s="45"/>
      <c r="CE199" s="45"/>
      <c r="CF199" s="45"/>
    </row>
    <row r="200" spans="1:84">
      <c r="A200" s="13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Y200" s="13"/>
      <c r="Z200" s="39"/>
      <c r="AA200" s="39"/>
      <c r="AB200" s="39"/>
      <c r="AC200" s="39"/>
      <c r="AD200" s="39"/>
      <c r="AE200" s="39"/>
      <c r="AF200" s="39"/>
      <c r="AG200" s="39"/>
      <c r="AH200" s="45"/>
      <c r="AI200" s="45"/>
      <c r="AJ200" s="45"/>
      <c r="BG200" s="45"/>
      <c r="BH200" s="45"/>
      <c r="CE200" s="45"/>
      <c r="CF200" s="45"/>
    </row>
    <row r="201" spans="1:84">
      <c r="A201" s="13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Y201" s="13"/>
      <c r="Z201" s="39"/>
      <c r="AA201" s="39"/>
      <c r="AB201" s="39"/>
      <c r="AC201" s="39"/>
      <c r="AD201" s="39"/>
      <c r="AE201" s="39"/>
      <c r="AF201" s="39"/>
      <c r="AG201" s="39"/>
      <c r="AH201" s="45"/>
      <c r="AI201" s="45"/>
      <c r="AJ201" s="45"/>
      <c r="BG201" s="45"/>
      <c r="BH201" s="45"/>
      <c r="CE201" s="45"/>
      <c r="CF201" s="45"/>
    </row>
    <row r="202" spans="1:84">
      <c r="A202" s="13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Y202" s="13"/>
      <c r="Z202" s="39"/>
      <c r="AA202" s="39"/>
      <c r="AB202" s="39"/>
      <c r="AC202" s="39"/>
      <c r="AD202" s="39"/>
      <c r="AE202" s="39"/>
      <c r="AF202" s="39"/>
      <c r="AG202" s="39"/>
      <c r="AH202" s="45"/>
      <c r="AI202" s="45"/>
      <c r="AJ202" s="45"/>
      <c r="BG202" s="45"/>
      <c r="BH202" s="45"/>
      <c r="CE202" s="45"/>
      <c r="CF202" s="45"/>
    </row>
    <row r="203" spans="1:84">
      <c r="A203" s="13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Y203" s="13"/>
      <c r="Z203" s="39"/>
      <c r="AA203" s="39"/>
      <c r="AB203" s="39"/>
      <c r="AC203" s="39"/>
      <c r="AD203" s="39"/>
      <c r="AE203" s="39"/>
      <c r="AF203" s="39"/>
      <c r="AG203" s="39"/>
      <c r="AH203" s="45"/>
      <c r="AI203" s="45"/>
      <c r="AJ203" s="45"/>
      <c r="BG203" s="45"/>
      <c r="BH203" s="45"/>
      <c r="CE203" s="45"/>
      <c r="CF203" s="45"/>
    </row>
    <row r="204" spans="1:84">
      <c r="A204" s="13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Y204" s="13"/>
      <c r="Z204" s="39"/>
      <c r="AA204" s="39"/>
      <c r="AB204" s="39"/>
      <c r="AC204" s="39"/>
      <c r="AD204" s="39"/>
      <c r="AE204" s="39"/>
      <c r="AF204" s="39"/>
      <c r="AG204" s="39"/>
      <c r="AH204" s="45"/>
      <c r="AI204" s="45"/>
      <c r="AJ204" s="45"/>
      <c r="BG204" s="45"/>
      <c r="BH204" s="45"/>
      <c r="CE204" s="45"/>
      <c r="CF204" s="45"/>
    </row>
    <row r="205" spans="1:84">
      <c r="A205" s="13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Y205" s="13"/>
      <c r="Z205" s="39"/>
      <c r="AA205" s="39"/>
      <c r="AB205" s="39"/>
      <c r="AC205" s="39"/>
      <c r="AD205" s="39"/>
      <c r="AE205" s="39"/>
      <c r="AF205" s="39"/>
      <c r="AG205" s="39"/>
      <c r="AH205" s="45"/>
      <c r="AI205" s="45"/>
      <c r="AJ205" s="45"/>
      <c r="BG205" s="45"/>
      <c r="BH205" s="45"/>
      <c r="CE205" s="45"/>
      <c r="CF205" s="45"/>
    </row>
    <row r="206" spans="1:84">
      <c r="A206" s="13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Y206" s="13"/>
      <c r="Z206" s="39"/>
      <c r="AA206" s="39"/>
      <c r="AB206" s="39"/>
      <c r="AC206" s="39"/>
      <c r="AD206" s="39"/>
      <c r="AE206" s="39"/>
      <c r="AF206" s="39"/>
      <c r="AG206" s="39"/>
      <c r="AH206" s="45"/>
      <c r="AI206" s="45"/>
      <c r="AJ206" s="45"/>
      <c r="BG206" s="45"/>
      <c r="BH206" s="45"/>
      <c r="CE206" s="45"/>
      <c r="CF206" s="45"/>
    </row>
    <row r="207" spans="1:84">
      <c r="A207" s="13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Y207" s="13"/>
      <c r="Z207" s="39"/>
      <c r="AA207" s="39"/>
      <c r="AB207" s="39"/>
      <c r="AC207" s="39"/>
      <c r="AD207" s="39"/>
      <c r="AE207" s="39"/>
      <c r="AF207" s="39"/>
      <c r="AG207" s="39"/>
      <c r="AH207" s="45"/>
      <c r="AI207" s="45"/>
      <c r="AJ207" s="45"/>
      <c r="BG207" s="45"/>
      <c r="BH207" s="45"/>
      <c r="CE207" s="45"/>
      <c r="CF207" s="45"/>
    </row>
    <row r="208" spans="1:84">
      <c r="A208" s="13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Y208" s="13"/>
      <c r="Z208" s="39"/>
      <c r="AA208" s="39"/>
      <c r="AB208" s="39"/>
      <c r="AC208" s="39"/>
      <c r="AD208" s="39"/>
      <c r="AE208" s="39"/>
      <c r="AF208" s="39"/>
      <c r="AG208" s="39"/>
      <c r="AH208" s="45"/>
      <c r="AI208" s="45"/>
      <c r="AJ208" s="45"/>
      <c r="BG208" s="45"/>
      <c r="BH208" s="45"/>
      <c r="CE208" s="45"/>
      <c r="CF208" s="45"/>
    </row>
    <row r="209" spans="1:84">
      <c r="A209" s="13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Y209" s="13"/>
      <c r="Z209" s="39"/>
      <c r="AA209" s="39"/>
      <c r="AB209" s="39"/>
      <c r="AC209" s="39"/>
      <c r="AD209" s="39"/>
      <c r="AE209" s="39"/>
      <c r="AF209" s="39"/>
      <c r="AG209" s="39"/>
      <c r="AH209" s="45"/>
      <c r="AI209" s="45"/>
      <c r="AJ209" s="45"/>
      <c r="BG209" s="45"/>
      <c r="BH209" s="45"/>
      <c r="CE209" s="45"/>
      <c r="CF209" s="45"/>
    </row>
  </sheetData>
  <mergeCells count="7">
    <mergeCell ref="BV6:BZ6"/>
    <mergeCell ref="AX6:BA6"/>
    <mergeCell ref="A1:C1"/>
    <mergeCell ref="D5:F5"/>
    <mergeCell ref="A6:B6"/>
    <mergeCell ref="Z6:AB6"/>
    <mergeCell ref="D4:H4"/>
  </mergeCells>
  <phoneticPr fontId="3" type="noConversion"/>
  <hyperlinks>
    <hyperlink ref="D5" r:id="rId1" xr:uid="{00000000-0004-0000-0C00-000000000000}"/>
  </hyperlinks>
  <pageMargins left="0.75" right="0.75" top="1" bottom="1" header="0.5" footer="0.5"/>
  <pageSetup orientation="portrait" horizontalDpi="300" verticalDpi="300" r:id="rId2"/>
  <headerFooter alignWithMargins="0"/>
  <tableParts count="4">
    <tablePart r:id="rId3"/>
    <tablePart r:id="rId4"/>
    <tablePart r:id="rId5"/>
    <tablePart r:id="rId6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indexed="10"/>
  </sheetPr>
  <dimension ref="A1:QP401"/>
  <sheetViews>
    <sheetView zoomScaleNormal="100" workbookViewId="0">
      <selection activeCell="D3" sqref="D3"/>
    </sheetView>
  </sheetViews>
  <sheetFormatPr baseColWidth="10" defaultColWidth="9.1640625" defaultRowHeight="13"/>
  <cols>
    <col min="1" max="1" width="17" style="3" customWidth="1"/>
    <col min="2" max="2" width="12.6640625" style="3" bestFit="1" customWidth="1"/>
    <col min="3" max="3" width="14.5" style="3" bestFit="1" customWidth="1"/>
    <col min="4" max="7" width="12.6640625" style="3" bestFit="1" customWidth="1"/>
    <col min="8" max="13" width="12.6640625" style="41" bestFit="1" customWidth="1"/>
    <col min="14" max="14" width="14.83203125" style="41" bestFit="1" customWidth="1"/>
    <col min="15" max="17" width="12.6640625" style="41" bestFit="1" customWidth="1"/>
    <col min="18" max="19" width="12.6640625" style="42" bestFit="1" customWidth="1"/>
    <col min="20" max="20" width="13" style="3" customWidth="1"/>
    <col min="21" max="21" width="12.6640625" style="3" bestFit="1" customWidth="1"/>
    <col min="22" max="22" width="14.5" style="3" bestFit="1" customWidth="1"/>
    <col min="23" max="23" width="12.6640625" style="3" bestFit="1" customWidth="1"/>
    <col min="24" max="32" width="11.1640625" style="3" bestFit="1" customWidth="1"/>
    <col min="33" max="33" width="14.83203125" style="3" bestFit="1" customWidth="1"/>
    <col min="34" max="34" width="12.6640625" style="41" bestFit="1" customWidth="1"/>
    <col min="35" max="35" width="11.1640625" style="41" bestFit="1" customWidth="1"/>
    <col min="36" max="36" width="13" style="41" customWidth="1"/>
    <col min="37" max="37" width="12.5" style="43" customWidth="1"/>
    <col min="38" max="38" width="11.1640625" style="258" bestFit="1" customWidth="1"/>
    <col min="39" max="39" width="12.6640625" style="42" bestFit="1" customWidth="1"/>
    <col min="40" max="41" width="11.1640625" style="42" customWidth="1"/>
    <col min="42" max="42" width="12.6640625" style="42" bestFit="1" customWidth="1"/>
    <col min="43" max="43" width="12.6640625" style="3" bestFit="1" customWidth="1"/>
    <col min="44" max="44" width="12.1640625" style="3" customWidth="1"/>
    <col min="45" max="46" width="12.6640625" style="3" bestFit="1" customWidth="1"/>
    <col min="47" max="47" width="13.33203125" style="3" bestFit="1" customWidth="1"/>
    <col min="48" max="56" width="12.6640625" style="3" bestFit="1" customWidth="1"/>
    <col min="57" max="59" width="12.6640625" style="41" bestFit="1" customWidth="1"/>
    <col min="60" max="60" width="12.5" style="41" customWidth="1"/>
    <col min="61" max="61" width="12.6640625" style="43" bestFit="1" customWidth="1"/>
    <col min="62" max="62" width="12.6640625" style="258" bestFit="1" customWidth="1"/>
    <col min="63" max="66" width="12.6640625" style="42" customWidth="1"/>
    <col min="67" max="67" width="12.6640625" style="3" bestFit="1" customWidth="1"/>
    <col min="68" max="68" width="15.33203125" style="3" bestFit="1" customWidth="1"/>
    <col min="69" max="71" width="12.6640625" style="3" bestFit="1" customWidth="1"/>
    <col min="72" max="72" width="13.33203125" style="3" bestFit="1" customWidth="1"/>
    <col min="73" max="80" width="12.6640625" style="3" bestFit="1" customWidth="1"/>
    <col min="81" max="82" width="12.6640625" style="41" bestFit="1" customWidth="1"/>
    <col min="83" max="83" width="12.5" style="41" customWidth="1"/>
    <col min="84" max="84" width="13.33203125" style="3" bestFit="1" customWidth="1"/>
    <col min="85" max="85" width="13.33203125" style="258" bestFit="1" customWidth="1"/>
    <col min="86" max="86" width="13.33203125" style="43" bestFit="1" customWidth="1"/>
    <col min="87" max="90" width="12.6640625" style="43" customWidth="1"/>
    <col min="91" max="91" width="13.5" style="3" bestFit="1" customWidth="1"/>
    <col min="92" max="96" width="13.33203125" style="3" bestFit="1" customWidth="1"/>
    <col min="97" max="97" width="11.1640625" style="3" bestFit="1" customWidth="1"/>
    <col min="98" max="101" width="12.83203125" style="3" bestFit="1" customWidth="1"/>
    <col min="102" max="103" width="12.6640625" style="3" bestFit="1" customWidth="1"/>
    <col min="104" max="106" width="12.6640625" style="41" bestFit="1" customWidth="1"/>
    <col min="107" max="107" width="12.6640625" style="3" bestFit="1" customWidth="1"/>
    <col min="108" max="108" width="12.6640625" style="118" bestFit="1" customWidth="1"/>
    <col min="109" max="110" width="12.6640625" style="43" bestFit="1" customWidth="1"/>
    <col min="111" max="114" width="12.6640625" style="43" customWidth="1"/>
    <col min="115" max="115" width="17.5" style="3" customWidth="1"/>
    <col min="116" max="116" width="15.33203125" style="3" bestFit="1" customWidth="1"/>
    <col min="117" max="117" width="12.6640625" style="3" bestFit="1" customWidth="1"/>
    <col min="118" max="118" width="12.5" style="3" customWidth="1"/>
    <col min="119" max="119" width="13.33203125" style="3" bestFit="1" customWidth="1"/>
    <col min="120" max="122" width="11.1640625" style="3" bestFit="1" customWidth="1"/>
    <col min="123" max="125" width="11.1640625" style="41" bestFit="1" customWidth="1"/>
    <col min="126" max="126" width="11.1640625" style="3" bestFit="1" customWidth="1"/>
    <col min="127" max="127" width="11.1640625" style="118" bestFit="1" customWidth="1"/>
    <col min="128" max="128" width="13.33203125" style="3" bestFit="1" customWidth="1"/>
    <col min="129" max="129" width="11.1640625" style="43" bestFit="1" customWidth="1"/>
    <col min="130" max="130" width="12.6640625" style="43" bestFit="1" customWidth="1"/>
    <col min="131" max="134" width="12.6640625" style="43" customWidth="1"/>
    <col min="135" max="138" width="12.6640625" style="3" bestFit="1" customWidth="1"/>
    <col min="139" max="139" width="13.33203125" style="3" bestFit="1" customWidth="1"/>
    <col min="140" max="140" width="12.6640625" style="3" bestFit="1" customWidth="1"/>
    <col min="141" max="141" width="11.1640625" style="3" bestFit="1" customWidth="1"/>
    <col min="142" max="144" width="12.6640625" style="41" bestFit="1" customWidth="1"/>
    <col min="145" max="146" width="12.6640625" style="3" bestFit="1" customWidth="1"/>
    <col min="147" max="147" width="13.33203125" style="3" bestFit="1" customWidth="1"/>
    <col min="148" max="150" width="12.6640625" style="3" bestFit="1" customWidth="1"/>
    <col min="151" max="154" width="12.6640625" style="486" customWidth="1"/>
    <col min="155" max="155" width="12.6640625" style="3" bestFit="1" customWidth="1"/>
    <col min="156" max="156" width="15.33203125" style="3" bestFit="1" customWidth="1"/>
    <col min="157" max="158" width="12.6640625" style="3" bestFit="1" customWidth="1"/>
    <col min="159" max="159" width="13.33203125" style="39" bestFit="1" customWidth="1"/>
    <col min="160" max="160" width="12.6640625" style="39" bestFit="1" customWidth="1"/>
    <col min="161" max="163" width="12.6640625" style="41" bestFit="1" customWidth="1"/>
    <col min="164" max="168" width="12.6640625" style="3" bestFit="1" customWidth="1"/>
    <col min="169" max="170" width="12.6640625" style="43" bestFit="1" customWidth="1"/>
    <col min="171" max="174" width="12.6640625" style="43" customWidth="1"/>
    <col min="175" max="175" width="12.6640625" style="3" bestFit="1" customWidth="1"/>
    <col min="176" max="176" width="15.33203125" style="3" bestFit="1" customWidth="1"/>
    <col min="177" max="179" width="12.6640625" style="3" bestFit="1" customWidth="1"/>
    <col min="180" max="182" width="12.6640625" style="41" bestFit="1" customWidth="1"/>
    <col min="183" max="185" width="12.6640625" style="3" bestFit="1" customWidth="1"/>
    <col min="186" max="186" width="12.83203125" style="3" customWidth="1"/>
    <col min="187" max="188" width="12.6640625" style="3" bestFit="1" customWidth="1"/>
    <col min="189" max="191" width="12.6640625" style="43" bestFit="1" customWidth="1"/>
    <col min="192" max="194" width="9.5" style="43" customWidth="1"/>
    <col min="195" max="195" width="9.5" style="393" customWidth="1"/>
    <col min="196" max="196" width="10.5" style="3" customWidth="1"/>
    <col min="197" max="197" width="12.5" style="3" customWidth="1"/>
    <col min="198" max="198" width="11.5" style="3" bestFit="1" customWidth="1"/>
    <col min="199" max="200" width="9.5" style="3" bestFit="1" customWidth="1"/>
    <col min="201" max="203" width="9.5" style="41" bestFit="1" customWidth="1"/>
    <col min="204" max="208" width="9.5" style="3" bestFit="1" customWidth="1"/>
    <col min="209" max="210" width="9.5" style="43" bestFit="1" customWidth="1"/>
    <col min="211" max="211" width="9.5" style="3" bestFit="1" customWidth="1"/>
    <col min="212" max="215" width="9.5" style="486" customWidth="1"/>
    <col min="216" max="16384" width="9.1640625" style="3"/>
  </cols>
  <sheetData>
    <row r="1" spans="1:242">
      <c r="A1" s="28"/>
      <c r="D1" s="990"/>
      <c r="E1" s="990"/>
      <c r="F1" s="990"/>
      <c r="G1" s="990"/>
      <c r="H1" s="990"/>
      <c r="I1" s="990"/>
      <c r="J1" s="990"/>
      <c r="K1" s="42"/>
      <c r="T1" s="42"/>
      <c r="U1" s="42"/>
      <c r="V1" s="42"/>
      <c r="W1" s="42"/>
      <c r="X1" s="41"/>
      <c r="AA1" s="117"/>
      <c r="AB1" s="118"/>
      <c r="AC1" s="118"/>
      <c r="AD1" s="118"/>
      <c r="AE1" s="118"/>
      <c r="AH1" s="3"/>
      <c r="AI1" s="3"/>
      <c r="AJ1" s="3"/>
      <c r="AK1" s="3"/>
      <c r="AL1" s="3"/>
      <c r="AM1" s="41"/>
      <c r="AN1" s="41"/>
      <c r="AO1" s="41"/>
      <c r="AQ1" s="42"/>
      <c r="AR1" s="42"/>
      <c r="AS1" s="42"/>
      <c r="AT1" s="42"/>
      <c r="AU1" s="42"/>
      <c r="AV1" s="42"/>
      <c r="BE1" s="3"/>
      <c r="BF1" s="3"/>
      <c r="BG1" s="3"/>
      <c r="BH1" s="3"/>
      <c r="BI1" s="3"/>
      <c r="BJ1" s="3"/>
      <c r="BK1" s="41"/>
      <c r="BL1" s="41"/>
      <c r="BM1" s="41"/>
      <c r="BO1" s="42"/>
      <c r="BP1" s="42"/>
      <c r="BQ1" s="42"/>
      <c r="BR1" s="42"/>
      <c r="BS1" s="42"/>
      <c r="BT1" s="42"/>
      <c r="CC1" s="3"/>
      <c r="CD1" s="3"/>
      <c r="CE1" s="3"/>
      <c r="CG1" s="3"/>
      <c r="CH1" s="3"/>
      <c r="CI1" s="41"/>
      <c r="CJ1" s="41"/>
      <c r="CK1" s="41"/>
      <c r="CL1" s="42"/>
      <c r="CM1" s="42"/>
      <c r="CN1" s="42"/>
      <c r="CO1" s="42"/>
      <c r="CP1" s="42"/>
      <c r="CQ1" s="42"/>
      <c r="CR1" s="42"/>
      <c r="CZ1" s="3"/>
      <c r="DA1" s="3"/>
      <c r="DB1" s="3"/>
      <c r="DD1" s="3"/>
      <c r="DE1" s="3"/>
      <c r="DF1" s="3"/>
      <c r="DG1" s="41"/>
      <c r="DH1" s="41"/>
      <c r="DI1" s="41"/>
      <c r="DJ1" s="42"/>
      <c r="DK1" s="42"/>
      <c r="DL1" s="42"/>
      <c r="DM1" s="42"/>
      <c r="DN1" s="42"/>
      <c r="DO1" s="42"/>
      <c r="DP1" s="42"/>
      <c r="DS1" s="3"/>
      <c r="DT1" s="3"/>
      <c r="DU1" s="3"/>
      <c r="DW1" s="3"/>
      <c r="DY1" s="3"/>
      <c r="DZ1" s="3"/>
      <c r="EA1" s="3"/>
      <c r="EB1" s="3"/>
      <c r="EC1" s="3"/>
      <c r="ED1" s="3"/>
      <c r="EE1" s="41"/>
      <c r="EF1" s="41"/>
      <c r="EG1" s="41"/>
      <c r="EH1" s="42"/>
      <c r="EI1" s="42"/>
      <c r="EJ1" s="42"/>
      <c r="EK1" s="42"/>
      <c r="EL1" s="42"/>
      <c r="EM1" s="42"/>
      <c r="EN1" s="3"/>
      <c r="EP1" s="118"/>
      <c r="EU1" s="3"/>
      <c r="EV1" s="3"/>
      <c r="EW1" s="3"/>
      <c r="EX1" s="3"/>
      <c r="FC1" s="3"/>
      <c r="FD1" s="3"/>
      <c r="FH1" s="41"/>
      <c r="FI1" s="41"/>
      <c r="FJ1" s="41"/>
      <c r="FK1" s="41"/>
      <c r="FL1" s="41"/>
      <c r="FM1" s="3"/>
      <c r="FN1" s="3"/>
      <c r="FO1" s="1"/>
      <c r="FP1" s="3"/>
      <c r="FQ1" s="3"/>
      <c r="FV1" s="41"/>
      <c r="FW1" s="41"/>
      <c r="FX1" s="45"/>
      <c r="FY1" s="45"/>
      <c r="FZ1" s="45"/>
      <c r="GA1" s="45"/>
      <c r="GB1" s="45"/>
      <c r="GC1" s="39"/>
      <c r="GD1" s="443"/>
      <c r="GE1" s="443"/>
      <c r="GF1" s="443"/>
      <c r="GG1" s="443"/>
      <c r="GH1" s="443"/>
      <c r="GI1" s="443"/>
      <c r="GJ1" s="41"/>
      <c r="GK1" s="41"/>
      <c r="GL1" s="41"/>
      <c r="GM1" s="3"/>
      <c r="GS1" s="3"/>
      <c r="GT1" s="3"/>
      <c r="GU1" s="3"/>
      <c r="HA1" s="3"/>
      <c r="HC1" s="42"/>
      <c r="HD1" s="42"/>
      <c r="HE1" s="42"/>
      <c r="HF1" s="42"/>
      <c r="HG1" s="42"/>
      <c r="HH1" s="41"/>
      <c r="HY1" s="42"/>
      <c r="HZ1" s="42"/>
    </row>
    <row r="2" spans="1:242">
      <c r="E2" s="931"/>
      <c r="F2" s="931"/>
      <c r="G2" s="931"/>
      <c r="H2" s="558" t="s">
        <v>514</v>
      </c>
      <c r="I2" s="559"/>
      <c r="J2" s="560"/>
      <c r="K2" s="560"/>
      <c r="L2" s="617"/>
      <c r="M2" s="560"/>
      <c r="N2" s="42"/>
      <c r="O2" s="42"/>
      <c r="P2" s="42"/>
      <c r="T2" s="42"/>
      <c r="U2" s="42"/>
      <c r="V2" s="42"/>
      <c r="W2" s="42"/>
      <c r="X2" s="41"/>
      <c r="AH2" s="3"/>
      <c r="AI2" s="3"/>
      <c r="AJ2" s="3"/>
      <c r="AK2" s="3"/>
      <c r="AL2" s="3"/>
      <c r="AM2" s="41"/>
      <c r="AN2" s="41"/>
      <c r="AO2" s="41"/>
      <c r="AQ2" s="42"/>
      <c r="AR2" s="42"/>
      <c r="AS2" s="42"/>
      <c r="AT2" s="42"/>
      <c r="AU2" s="42"/>
      <c r="AV2" s="42"/>
      <c r="BE2" s="3"/>
      <c r="BF2" s="3"/>
      <c r="BG2" s="3"/>
      <c r="BH2" s="3"/>
      <c r="BI2" s="3"/>
      <c r="BJ2" s="3"/>
      <c r="BK2" s="41"/>
      <c r="BL2" s="41"/>
      <c r="BM2" s="41"/>
      <c r="BO2" s="42"/>
      <c r="BP2" s="42"/>
      <c r="BQ2" s="42"/>
      <c r="BR2" s="42"/>
      <c r="BS2" s="42"/>
      <c r="BT2" s="42"/>
      <c r="CC2" s="3"/>
      <c r="CD2" s="3"/>
      <c r="CE2" s="3"/>
      <c r="CG2" s="3"/>
      <c r="CH2" s="3"/>
      <c r="CI2" s="41"/>
      <c r="CJ2" s="41"/>
      <c r="CK2" s="41"/>
      <c r="CL2" s="42"/>
      <c r="CM2" s="42"/>
      <c r="CN2" s="42"/>
      <c r="CO2" s="42"/>
      <c r="CP2" s="42"/>
      <c r="CQ2" s="42"/>
      <c r="CR2" s="42"/>
      <c r="CZ2" s="3"/>
      <c r="DA2" s="3"/>
      <c r="DB2" s="3"/>
      <c r="DD2" s="3"/>
      <c r="DE2" s="3"/>
      <c r="DF2" s="3"/>
      <c r="DG2" s="41"/>
      <c r="DH2" s="41"/>
      <c r="DI2" s="41"/>
      <c r="DJ2" s="42"/>
      <c r="DK2" s="42"/>
      <c r="DL2" s="42"/>
      <c r="DM2" s="42"/>
      <c r="DN2" s="42"/>
      <c r="DO2" s="42"/>
      <c r="DP2" s="42"/>
      <c r="DS2" s="3"/>
      <c r="DT2" s="3"/>
      <c r="DU2" s="3"/>
      <c r="DW2" s="3"/>
      <c r="DY2" s="3"/>
      <c r="DZ2" s="3"/>
      <c r="EA2" s="3"/>
      <c r="EB2" s="3"/>
      <c r="EC2" s="3"/>
      <c r="ED2" s="3"/>
      <c r="EE2" s="41"/>
      <c r="EF2" s="41"/>
      <c r="EG2" s="41"/>
      <c r="EH2" s="42"/>
      <c r="EI2" s="42"/>
      <c r="EJ2" s="42"/>
      <c r="EK2" s="42"/>
      <c r="EL2" s="42"/>
      <c r="EM2" s="42"/>
      <c r="EN2" s="3"/>
      <c r="EU2" s="3"/>
      <c r="EV2" s="3"/>
      <c r="EW2" s="3"/>
      <c r="EX2" s="3"/>
      <c r="FC2" s="41"/>
      <c r="FD2" s="41"/>
      <c r="FH2" s="41"/>
      <c r="FI2" s="41"/>
      <c r="FJ2" s="41"/>
      <c r="FK2" s="41"/>
      <c r="FM2" s="3"/>
      <c r="FN2" s="3"/>
      <c r="FO2" s="3"/>
      <c r="FQ2" s="3"/>
      <c r="FR2" s="3"/>
      <c r="FT2" s="41"/>
      <c r="FU2" s="41"/>
      <c r="FV2" s="45"/>
      <c r="FW2" s="45"/>
      <c r="FX2" s="45"/>
      <c r="FY2" s="45"/>
      <c r="FZ2" s="45"/>
      <c r="GA2" s="39"/>
      <c r="GB2" s="41"/>
      <c r="GC2" s="41"/>
      <c r="GD2" s="42"/>
      <c r="GE2" s="42"/>
      <c r="GF2" s="42"/>
      <c r="GG2" s="42"/>
      <c r="GH2" s="42"/>
      <c r="GI2" s="42"/>
      <c r="GJ2" s="41"/>
      <c r="GK2" s="110"/>
      <c r="GM2" s="3"/>
      <c r="GS2" s="3"/>
      <c r="GT2" s="3"/>
      <c r="GU2" s="3"/>
      <c r="GZ2" s="41"/>
      <c r="HA2" s="41"/>
      <c r="HB2" s="42"/>
      <c r="HC2" s="43"/>
      <c r="HD2" s="43"/>
      <c r="HE2" s="43"/>
      <c r="HF2" s="43"/>
      <c r="HG2" s="43"/>
      <c r="HH2" s="96"/>
      <c r="HW2" s="41"/>
      <c r="HX2" s="41"/>
      <c r="HY2" s="42"/>
      <c r="HZ2" s="43"/>
    </row>
    <row r="3" spans="1:242" ht="18">
      <c r="A3" s="979" t="s">
        <v>109</v>
      </c>
      <c r="B3" s="979"/>
      <c r="C3" s="979"/>
      <c r="D3" s="455"/>
      <c r="E3" s="455"/>
      <c r="F3" s="455"/>
      <c r="G3" s="455"/>
      <c r="H3" s="489" t="s">
        <v>634</v>
      </c>
      <c r="I3" s="560"/>
      <c r="J3" s="560"/>
      <c r="K3" s="560"/>
      <c r="L3" s="617"/>
      <c r="M3" s="149"/>
      <c r="N3" s="149"/>
      <c r="O3" s="42"/>
      <c r="P3" s="42"/>
      <c r="T3" s="42"/>
      <c r="U3" s="42"/>
      <c r="V3" s="42"/>
      <c r="W3" s="42"/>
      <c r="X3" s="41"/>
      <c r="Y3" s="979" t="s">
        <v>109</v>
      </c>
      <c r="Z3" s="979"/>
      <c r="AA3" s="979"/>
      <c r="AB3" s="90"/>
      <c r="AH3" s="3"/>
      <c r="AI3" s="3"/>
      <c r="AJ3" s="3"/>
      <c r="AK3" s="3"/>
      <c r="AL3" s="3"/>
      <c r="AM3" s="41"/>
      <c r="AN3" s="41"/>
      <c r="AO3" s="41"/>
      <c r="AQ3" s="42"/>
      <c r="AR3" s="42"/>
      <c r="AS3" s="42"/>
      <c r="AT3" s="42"/>
      <c r="AU3" s="42"/>
      <c r="AV3" s="42"/>
      <c r="AW3" s="979" t="s">
        <v>109</v>
      </c>
      <c r="AX3" s="979"/>
      <c r="AY3" s="979"/>
      <c r="BE3" s="3"/>
      <c r="BF3" s="3"/>
      <c r="BG3" s="3"/>
      <c r="BH3" s="3"/>
      <c r="BI3" s="3"/>
      <c r="BJ3" s="3"/>
      <c r="BK3" s="41"/>
      <c r="BL3" s="41"/>
      <c r="BM3" s="41"/>
      <c r="BO3" s="42"/>
      <c r="BP3" s="42"/>
      <c r="BQ3" s="42"/>
      <c r="BR3" s="42"/>
      <c r="BS3" s="42"/>
      <c r="BT3" s="42"/>
      <c r="BU3" s="979" t="s">
        <v>109</v>
      </c>
      <c r="BV3" s="979"/>
      <c r="BW3" s="979"/>
      <c r="CC3" s="3"/>
      <c r="CD3" s="3"/>
      <c r="CE3" s="3"/>
      <c r="CG3" s="3"/>
      <c r="CH3" s="3"/>
      <c r="CI3" s="41"/>
      <c r="CJ3" s="41"/>
      <c r="CK3" s="41"/>
      <c r="CL3" s="42"/>
      <c r="CM3" s="42"/>
      <c r="CN3" s="42"/>
      <c r="CO3" s="42"/>
      <c r="CP3" s="42"/>
      <c r="CQ3" s="42"/>
      <c r="CR3" s="42"/>
      <c r="CS3" s="979" t="s">
        <v>109</v>
      </c>
      <c r="CT3" s="979"/>
      <c r="CU3" s="979"/>
      <c r="CZ3" s="3"/>
      <c r="DA3" s="3"/>
      <c r="DB3" s="3"/>
      <c r="DD3" s="3"/>
      <c r="DE3" s="3"/>
      <c r="DF3" s="3"/>
      <c r="DG3" s="41"/>
      <c r="DH3" s="41"/>
      <c r="DI3" s="41"/>
      <c r="DJ3" s="42"/>
      <c r="DK3" s="42"/>
      <c r="DL3" s="42"/>
      <c r="DM3" s="42"/>
      <c r="DN3" s="42"/>
      <c r="DO3" s="42"/>
      <c r="DP3" s="42"/>
      <c r="DQ3" s="979" t="s">
        <v>109</v>
      </c>
      <c r="DR3" s="979"/>
      <c r="DS3" s="979"/>
      <c r="DT3" s="979"/>
      <c r="DU3" s="3"/>
      <c r="DW3" s="3"/>
      <c r="DY3" s="3"/>
      <c r="DZ3" s="3"/>
      <c r="EA3" s="3"/>
      <c r="EB3" s="3"/>
      <c r="EC3" s="3"/>
      <c r="ED3" s="3"/>
      <c r="EE3" s="41"/>
      <c r="EF3" s="41"/>
      <c r="EG3" s="41"/>
      <c r="EH3" s="42"/>
      <c r="EI3" s="42"/>
      <c r="EJ3" s="42"/>
      <c r="EK3" s="42"/>
      <c r="EL3" s="42"/>
      <c r="EM3" s="42"/>
      <c r="EN3" s="3"/>
      <c r="EO3" s="979" t="s">
        <v>109</v>
      </c>
      <c r="EP3" s="979"/>
      <c r="EQ3" s="979"/>
      <c r="EU3" s="3"/>
      <c r="EV3" s="3"/>
      <c r="EW3" s="3"/>
      <c r="EX3" s="3"/>
      <c r="FC3" s="41"/>
      <c r="FD3" s="41"/>
      <c r="FH3" s="41"/>
      <c r="FI3" s="41"/>
      <c r="FJ3" s="41"/>
      <c r="FK3" s="41"/>
      <c r="FM3" s="986" t="s">
        <v>89</v>
      </c>
      <c r="FN3" s="986"/>
      <c r="FO3" s="3"/>
      <c r="FQ3" s="3"/>
      <c r="FR3" s="3"/>
      <c r="FT3" s="41"/>
      <c r="FU3" s="41"/>
      <c r="FV3" s="45"/>
      <c r="FW3" s="45"/>
      <c r="FX3" s="45"/>
      <c r="FY3" s="45"/>
      <c r="FZ3" s="45"/>
      <c r="GA3" s="39"/>
      <c r="GB3" s="41"/>
      <c r="GC3" s="41"/>
      <c r="GD3" s="42"/>
      <c r="GE3" s="42"/>
      <c r="GF3" s="42"/>
      <c r="GG3" s="42"/>
      <c r="GH3" s="42"/>
      <c r="GI3" s="42"/>
      <c r="GJ3" s="41"/>
      <c r="GK3" s="361" t="s">
        <v>437</v>
      </c>
      <c r="GL3" s="3"/>
      <c r="GM3" s="3"/>
      <c r="GS3" s="3"/>
      <c r="GT3" s="3"/>
      <c r="GU3" s="3"/>
      <c r="GZ3" s="41"/>
      <c r="HA3" s="41"/>
      <c r="HB3" s="42"/>
      <c r="HC3" s="43"/>
      <c r="HD3" s="43"/>
      <c r="HE3" s="43"/>
      <c r="HF3" s="43"/>
      <c r="HG3" s="43"/>
      <c r="HL3" s="361" t="s">
        <v>437</v>
      </c>
      <c r="HW3" s="41"/>
      <c r="HX3" s="41"/>
      <c r="HY3" s="42"/>
      <c r="HZ3" s="43"/>
    </row>
    <row r="4" spans="1:242" ht="14.25" customHeight="1">
      <c r="A4" s="238" t="s">
        <v>292</v>
      </c>
      <c r="D4" s="911"/>
      <c r="E4" s="43"/>
      <c r="F4" s="43"/>
      <c r="G4" s="43"/>
      <c r="O4" s="14"/>
      <c r="P4" s="42"/>
      <c r="T4" s="42"/>
      <c r="U4" s="42"/>
      <c r="V4" s="42"/>
      <c r="W4" s="42"/>
      <c r="X4" s="41"/>
      <c r="Y4" s="241" t="s">
        <v>98</v>
      </c>
      <c r="AH4" s="3"/>
      <c r="AI4" s="3"/>
      <c r="AJ4" s="3"/>
      <c r="AK4" s="3"/>
      <c r="AL4" s="3"/>
      <c r="AM4" s="41"/>
      <c r="AN4" s="41"/>
      <c r="AO4" s="41"/>
      <c r="AQ4" s="42"/>
      <c r="AR4" s="42"/>
      <c r="AS4" s="42"/>
      <c r="AT4" s="42"/>
      <c r="AU4" s="42"/>
      <c r="AV4" s="42"/>
      <c r="AW4" s="4" t="s">
        <v>103</v>
      </c>
      <c r="BE4" s="3"/>
      <c r="BF4" s="3"/>
      <c r="BG4" s="3"/>
      <c r="BH4" s="3"/>
      <c r="BI4" s="3"/>
      <c r="BJ4" s="3"/>
      <c r="BK4" s="41"/>
      <c r="BL4" s="41"/>
      <c r="BM4" s="41"/>
      <c r="BO4" s="42"/>
      <c r="BP4" s="42"/>
      <c r="BQ4" s="42"/>
      <c r="BR4" s="42"/>
      <c r="BS4" s="42"/>
      <c r="BT4" s="42"/>
      <c r="BU4" s="979" t="s">
        <v>100</v>
      </c>
      <c r="BV4" s="979"/>
      <c r="CD4" s="3"/>
      <c r="CE4" s="3"/>
      <c r="CG4" s="3"/>
      <c r="CH4" s="3"/>
      <c r="CI4" s="41"/>
      <c r="CJ4" s="41"/>
      <c r="CK4" s="41"/>
      <c r="CL4" s="42"/>
      <c r="CM4" s="42"/>
      <c r="CN4" s="42"/>
      <c r="CO4" s="42"/>
      <c r="CP4" s="42"/>
      <c r="CQ4" s="42"/>
      <c r="CR4" s="42"/>
      <c r="CS4" s="979" t="s">
        <v>104</v>
      </c>
      <c r="CT4" s="979"/>
      <c r="DB4" s="3"/>
      <c r="DD4" s="3"/>
      <c r="DE4" s="3"/>
      <c r="DF4" s="3"/>
      <c r="DG4" s="41"/>
      <c r="DH4" s="41"/>
      <c r="DI4" s="41"/>
      <c r="DJ4" s="42"/>
      <c r="DK4" s="42"/>
      <c r="DL4" s="42"/>
      <c r="DM4" s="42"/>
      <c r="DN4" s="42"/>
      <c r="DO4" s="42"/>
      <c r="DP4" s="42"/>
      <c r="DQ4" s="4" t="s">
        <v>101</v>
      </c>
      <c r="DY4" s="3"/>
      <c r="DZ4" s="3"/>
      <c r="EA4" s="3"/>
      <c r="EB4" s="3"/>
      <c r="EC4" s="3"/>
      <c r="ED4" s="3"/>
      <c r="EE4" s="41"/>
      <c r="EF4" s="41"/>
      <c r="EG4" s="41"/>
      <c r="EH4" s="42"/>
      <c r="EI4" s="42"/>
      <c r="EJ4" s="42"/>
      <c r="EK4" s="42"/>
      <c r="EL4" s="42"/>
      <c r="EM4" s="42"/>
      <c r="EN4" s="3"/>
      <c r="EO4" s="4" t="s">
        <v>102</v>
      </c>
      <c r="EW4" s="3"/>
      <c r="EX4" s="3"/>
      <c r="FC4" s="41"/>
      <c r="FD4" s="41"/>
      <c r="FH4" s="41"/>
      <c r="FI4" s="41"/>
      <c r="FJ4" s="41"/>
      <c r="FK4" s="41"/>
      <c r="FM4" s="361" t="s">
        <v>436</v>
      </c>
      <c r="FN4" s="3"/>
      <c r="FU4" s="41"/>
      <c r="FV4" s="45"/>
      <c r="FW4" s="45"/>
      <c r="FX4" s="45"/>
      <c r="FY4" s="45"/>
      <c r="FZ4" s="45"/>
      <c r="GA4" s="39"/>
      <c r="GB4" s="41"/>
      <c r="GC4" s="41"/>
      <c r="GD4" s="42"/>
      <c r="GE4" s="42"/>
      <c r="GF4" s="42"/>
      <c r="GG4" s="42"/>
      <c r="GH4" s="42"/>
      <c r="GI4" s="42"/>
      <c r="GJ4" s="41"/>
      <c r="GK4" s="985" t="s">
        <v>228</v>
      </c>
      <c r="GL4" s="985"/>
      <c r="GM4" s="985"/>
      <c r="GN4" s="985"/>
      <c r="GO4" s="985"/>
      <c r="GP4" s="985"/>
      <c r="GS4" s="3"/>
      <c r="GT4" s="3"/>
      <c r="GU4" s="3"/>
      <c r="GZ4" s="41"/>
      <c r="HA4" s="41"/>
      <c r="HB4" s="42"/>
      <c r="HC4" s="43"/>
      <c r="HD4" s="43"/>
      <c r="HE4" s="43"/>
      <c r="HF4" s="43"/>
      <c r="HG4" s="43"/>
      <c r="HL4" s="979" t="s">
        <v>229</v>
      </c>
      <c r="HM4" s="979"/>
      <c r="HN4" s="979"/>
      <c r="HO4" s="979"/>
      <c r="HP4" s="979"/>
      <c r="HQ4" s="979"/>
      <c r="HR4" s="979"/>
      <c r="HW4" s="41"/>
      <c r="HX4" s="41"/>
      <c r="HY4" s="42"/>
      <c r="HZ4" s="43"/>
    </row>
    <row r="5" spans="1:242">
      <c r="B5" s="4"/>
      <c r="D5" s="43"/>
      <c r="E5" s="43"/>
      <c r="F5" s="43"/>
      <c r="G5" s="43"/>
      <c r="H5" s="942"/>
      <c r="I5" s="942"/>
      <c r="J5" s="267"/>
      <c r="K5" s="267"/>
      <c r="L5" s="267"/>
      <c r="M5" s="18"/>
      <c r="N5" s="18"/>
      <c r="O5" s="18"/>
      <c r="P5" s="42"/>
      <c r="T5" s="42"/>
      <c r="U5" s="42"/>
      <c r="V5" s="42"/>
      <c r="W5" s="42"/>
      <c r="X5" s="41"/>
      <c r="AH5" s="3"/>
      <c r="AI5" s="3"/>
      <c r="AJ5" s="3"/>
      <c r="AK5" s="3"/>
      <c r="AL5" s="3"/>
      <c r="AM5" s="41"/>
      <c r="AN5" s="41"/>
      <c r="AO5" s="41"/>
      <c r="AQ5" s="42"/>
      <c r="AR5" s="42"/>
      <c r="AS5" s="42"/>
      <c r="AT5" s="42"/>
      <c r="AU5" s="42"/>
      <c r="AV5" s="42"/>
      <c r="BE5" s="3"/>
      <c r="BF5" s="3"/>
      <c r="BG5" s="3"/>
      <c r="BH5" s="3"/>
      <c r="BI5" s="3"/>
      <c r="BJ5" s="3"/>
      <c r="BK5" s="41"/>
      <c r="BL5" s="41"/>
      <c r="BM5" s="41"/>
      <c r="BO5" s="42"/>
      <c r="BP5" s="42"/>
      <c r="BQ5" s="42"/>
      <c r="BR5" s="42"/>
      <c r="BS5" s="42"/>
      <c r="BT5" s="42"/>
      <c r="CD5" s="3"/>
      <c r="CE5" s="3"/>
      <c r="CG5" s="3"/>
      <c r="CH5" s="3"/>
      <c r="CI5" s="41"/>
      <c r="CJ5" s="41"/>
      <c r="CK5" s="41"/>
      <c r="CL5" s="42"/>
      <c r="CM5" s="42"/>
      <c r="CN5" s="42"/>
      <c r="CO5" s="42"/>
      <c r="CP5" s="42"/>
      <c r="CQ5" s="42"/>
      <c r="CR5" s="42"/>
      <c r="DB5" s="3"/>
      <c r="DD5" s="3"/>
      <c r="DE5" s="3"/>
      <c r="DF5" s="3"/>
      <c r="DG5" s="41"/>
      <c r="DH5" s="41"/>
      <c r="DI5" s="41"/>
      <c r="DJ5" s="42"/>
      <c r="DK5" s="42"/>
      <c r="DL5" s="42"/>
      <c r="DM5" s="42"/>
      <c r="DN5" s="42"/>
      <c r="DO5" s="42"/>
      <c r="DP5" s="42"/>
      <c r="DY5" s="3"/>
      <c r="DZ5" s="3"/>
      <c r="EA5" s="3"/>
      <c r="EB5" s="3"/>
      <c r="EC5" s="3"/>
      <c r="ED5" s="3"/>
      <c r="EE5" s="41"/>
      <c r="EF5" s="41"/>
      <c r="EG5" s="41"/>
      <c r="EH5" s="42"/>
      <c r="EI5" s="42"/>
      <c r="EJ5" s="42"/>
      <c r="EK5" s="42"/>
      <c r="EL5" s="42"/>
      <c r="EM5" s="42"/>
      <c r="EN5" s="3"/>
      <c r="EW5" s="3"/>
      <c r="EX5" s="3"/>
      <c r="FC5" s="41"/>
      <c r="FD5" s="41"/>
      <c r="FH5" s="41"/>
      <c r="FI5" s="41"/>
      <c r="FJ5" s="41"/>
      <c r="FK5" s="41"/>
      <c r="FM5" s="3"/>
      <c r="FN5" s="3"/>
      <c r="FU5" s="41"/>
      <c r="FV5" s="45"/>
      <c r="FW5" s="45"/>
      <c r="FX5" s="45"/>
      <c r="FY5" s="45"/>
      <c r="FZ5" s="45"/>
      <c r="GA5" s="89"/>
      <c r="GB5" s="41"/>
      <c r="GC5" s="41"/>
      <c r="GD5" s="42"/>
      <c r="GE5" s="42"/>
      <c r="GF5" s="42"/>
      <c r="GG5" s="42"/>
      <c r="GH5" s="42"/>
      <c r="GI5" s="42"/>
      <c r="GJ5" s="41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1"/>
      <c r="HA5" s="41"/>
      <c r="HB5" s="42"/>
      <c r="HC5" s="43"/>
      <c r="HD5" s="43"/>
      <c r="HE5" s="43"/>
      <c r="HF5" s="43"/>
      <c r="HG5" s="43"/>
      <c r="HH5" s="4"/>
      <c r="HI5" s="4"/>
      <c r="HJ5" s="4"/>
      <c r="HK5" s="4"/>
      <c r="HS5" s="4"/>
      <c r="HT5" s="4"/>
      <c r="HU5" s="4"/>
      <c r="HV5" s="4"/>
      <c r="HW5" s="41"/>
      <c r="HX5" s="41"/>
      <c r="HY5" s="42"/>
      <c r="HZ5" s="43"/>
    </row>
    <row r="6" spans="1:242">
      <c r="B6" s="4"/>
      <c r="C6" s="401" t="s">
        <v>461</v>
      </c>
      <c r="D6" s="991" t="s">
        <v>270</v>
      </c>
      <c r="E6" s="991"/>
      <c r="F6" s="991"/>
      <c r="G6" s="991"/>
      <c r="I6" s="110"/>
      <c r="J6" s="267"/>
      <c r="K6" s="267"/>
      <c r="L6" s="267"/>
      <c r="M6" s="18"/>
      <c r="N6" s="18"/>
      <c r="O6" s="18"/>
      <c r="P6" s="42"/>
      <c r="T6" s="42"/>
      <c r="U6" s="42"/>
      <c r="V6" s="42"/>
      <c r="W6" s="42"/>
      <c r="X6" s="41"/>
      <c r="Z6" s="96" t="s">
        <v>461</v>
      </c>
      <c r="AA6" s="983" t="s">
        <v>270</v>
      </c>
      <c r="AB6" s="983"/>
      <c r="AC6" s="983"/>
      <c r="AD6" s="983"/>
      <c r="AE6" s="983"/>
      <c r="AH6" s="3"/>
      <c r="AI6" s="3"/>
      <c r="AJ6" s="3"/>
      <c r="AK6" s="3"/>
      <c r="AL6" s="3"/>
      <c r="AM6" s="41"/>
      <c r="AN6" s="41"/>
      <c r="AO6" s="41"/>
      <c r="AQ6" s="42"/>
      <c r="AR6" s="42"/>
      <c r="AS6" s="42"/>
      <c r="AT6" s="42"/>
      <c r="AU6" s="42"/>
      <c r="AV6" s="42"/>
      <c r="AY6" s="96" t="s">
        <v>461</v>
      </c>
      <c r="AZ6" s="983" t="s">
        <v>270</v>
      </c>
      <c r="BA6" s="983"/>
      <c r="BB6" s="983"/>
      <c r="BC6" s="983"/>
      <c r="BD6" s="983"/>
      <c r="BE6" s="43"/>
      <c r="BF6" s="43"/>
      <c r="BG6" s="3"/>
      <c r="BH6" s="3"/>
      <c r="BI6" s="3"/>
      <c r="BJ6" s="3"/>
      <c r="BK6" s="41"/>
      <c r="BL6" s="41"/>
      <c r="BM6" s="41"/>
      <c r="BO6" s="42"/>
      <c r="BP6" s="42"/>
      <c r="BQ6" s="42"/>
      <c r="BR6" s="42"/>
      <c r="BS6" s="42"/>
      <c r="BT6" s="42"/>
      <c r="BX6" s="96" t="s">
        <v>461</v>
      </c>
      <c r="BY6" s="983" t="s">
        <v>270</v>
      </c>
      <c r="BZ6" s="983"/>
      <c r="CA6" s="983"/>
      <c r="CB6" s="983"/>
      <c r="CC6" s="983"/>
      <c r="CD6" s="3"/>
      <c r="CE6" s="3"/>
      <c r="CG6" s="3"/>
      <c r="CH6" s="3"/>
      <c r="CI6" s="41"/>
      <c r="CJ6" s="41"/>
      <c r="CK6" s="41"/>
      <c r="CL6" s="42"/>
      <c r="CM6" s="42"/>
      <c r="CN6" s="42"/>
      <c r="CO6" s="42"/>
      <c r="CP6" s="42"/>
      <c r="CQ6" s="42"/>
      <c r="CR6" s="42"/>
      <c r="CV6" s="96" t="s">
        <v>461</v>
      </c>
      <c r="CW6" s="983" t="s">
        <v>270</v>
      </c>
      <c r="CX6" s="983"/>
      <c r="CY6" s="983"/>
      <c r="CZ6" s="983"/>
      <c r="DA6" s="983"/>
      <c r="DB6" s="3"/>
      <c r="DD6" s="3"/>
      <c r="DE6" s="3"/>
      <c r="DF6" s="3"/>
      <c r="DG6" s="41"/>
      <c r="DH6" s="41"/>
      <c r="DI6" s="41"/>
      <c r="DJ6" s="42"/>
      <c r="DK6" s="42"/>
      <c r="DL6" s="42"/>
      <c r="DM6" s="42"/>
      <c r="DN6" s="42"/>
      <c r="DO6" s="42"/>
      <c r="DP6" s="42"/>
      <c r="DS6" s="96" t="s">
        <v>461</v>
      </c>
      <c r="DT6" s="983" t="s">
        <v>270</v>
      </c>
      <c r="DU6" s="983"/>
      <c r="DV6" s="983"/>
      <c r="DW6" s="983"/>
      <c r="DX6" s="983"/>
      <c r="DY6" s="3"/>
      <c r="DZ6" s="3"/>
      <c r="EA6" s="3"/>
      <c r="EB6" s="3"/>
      <c r="EC6" s="3"/>
      <c r="ED6" s="3"/>
      <c r="EE6" s="41"/>
      <c r="EF6" s="41"/>
      <c r="EG6" s="41"/>
      <c r="EH6" s="42"/>
      <c r="EI6" s="42"/>
      <c r="EJ6" s="42"/>
      <c r="EK6" s="42"/>
      <c r="EL6" s="42"/>
      <c r="EM6" s="42"/>
      <c r="EN6" s="3"/>
      <c r="EQ6" s="96" t="s">
        <v>461</v>
      </c>
      <c r="ER6" s="983" t="s">
        <v>270</v>
      </c>
      <c r="ES6" s="983"/>
      <c r="ET6" s="983"/>
      <c r="EU6" s="983"/>
      <c r="EV6" s="983"/>
      <c r="EW6" s="3"/>
      <c r="EX6" s="3"/>
      <c r="FC6" s="41"/>
      <c r="FD6" s="41"/>
      <c r="FH6" s="41"/>
      <c r="FI6" s="41"/>
      <c r="FJ6" s="41"/>
      <c r="FK6" s="41"/>
      <c r="FM6" s="4"/>
      <c r="FN6" s="4"/>
      <c r="FO6" s="96" t="s">
        <v>461</v>
      </c>
      <c r="FP6" s="983" t="s">
        <v>270</v>
      </c>
      <c r="FQ6" s="983"/>
      <c r="FR6" s="983"/>
      <c r="FS6" s="983"/>
      <c r="FT6" s="983"/>
      <c r="FU6" s="41"/>
      <c r="FV6" s="45"/>
      <c r="FW6" s="45"/>
      <c r="FX6" s="45"/>
      <c r="FY6" s="45"/>
      <c r="FZ6" s="45"/>
      <c r="GA6" s="89"/>
      <c r="GB6" s="41"/>
      <c r="GC6" s="41"/>
      <c r="GD6" s="42"/>
      <c r="GE6" s="42"/>
      <c r="GF6" s="42"/>
      <c r="GG6" s="42"/>
      <c r="GH6" s="42"/>
      <c r="GI6" s="42"/>
      <c r="GJ6" s="41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1"/>
      <c r="HA6" s="41"/>
      <c r="HB6" s="42"/>
      <c r="HC6" s="43"/>
      <c r="HD6" s="43"/>
      <c r="HE6" s="43"/>
      <c r="HF6" s="43"/>
      <c r="HG6" s="43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1"/>
      <c r="HX6" s="41"/>
      <c r="HY6" s="42"/>
      <c r="HZ6" s="43"/>
    </row>
    <row r="7" spans="1:242">
      <c r="B7" s="4"/>
      <c r="C7" s="402"/>
      <c r="D7" s="992" t="s">
        <v>272</v>
      </c>
      <c r="E7" s="992"/>
      <c r="F7" s="992"/>
      <c r="G7" s="992"/>
      <c r="H7" s="1"/>
      <c r="I7" s="110"/>
      <c r="K7" s="42"/>
      <c r="L7" s="42"/>
      <c r="T7" s="42"/>
      <c r="U7" s="42"/>
      <c r="V7" s="42"/>
      <c r="W7" s="42"/>
      <c r="X7" s="41"/>
      <c r="Z7" s="820"/>
      <c r="AA7" s="820" t="s">
        <v>272</v>
      </c>
      <c r="AB7" s="820"/>
      <c r="AC7" s="820"/>
      <c r="AD7" s="820"/>
      <c r="AE7" s="820"/>
      <c r="AH7" s="3"/>
      <c r="AI7" s="3"/>
      <c r="AJ7" s="3"/>
      <c r="AK7" s="3"/>
      <c r="AL7" s="3"/>
      <c r="AM7" s="41"/>
      <c r="AN7" s="41"/>
      <c r="AO7" s="41"/>
      <c r="AQ7" s="42"/>
      <c r="AR7" s="42"/>
      <c r="AS7" s="42"/>
      <c r="AT7" s="42"/>
      <c r="AU7" s="42"/>
      <c r="AV7" s="42"/>
      <c r="AY7" s="71"/>
      <c r="AZ7" s="984" t="s">
        <v>272</v>
      </c>
      <c r="BA7" s="984"/>
      <c r="BB7" s="984"/>
      <c r="BC7" s="984"/>
      <c r="BD7" s="984"/>
      <c r="BE7" s="43"/>
      <c r="BF7" s="43"/>
      <c r="BG7" s="3"/>
      <c r="BH7" s="3"/>
      <c r="BI7" s="3"/>
      <c r="BJ7" s="3"/>
      <c r="BK7" s="41"/>
      <c r="BL7" s="41"/>
      <c r="BM7" s="41"/>
      <c r="BO7" s="42"/>
      <c r="BP7" s="42"/>
      <c r="BQ7" s="42"/>
      <c r="BR7" s="42"/>
      <c r="BS7" s="42"/>
      <c r="BT7" s="42"/>
      <c r="BX7" s="269"/>
      <c r="BY7" s="989" t="s">
        <v>272</v>
      </c>
      <c r="BZ7" s="989"/>
      <c r="CA7" s="989"/>
      <c r="CB7" s="989"/>
      <c r="CC7" s="989"/>
      <c r="CD7" s="3"/>
      <c r="CE7" s="3"/>
      <c r="CG7" s="3"/>
      <c r="CH7" s="3"/>
      <c r="CI7" s="41"/>
      <c r="CJ7" s="41"/>
      <c r="CK7" s="41"/>
      <c r="CL7" s="42"/>
      <c r="CM7" s="42"/>
      <c r="CN7" s="42"/>
      <c r="CO7" s="42"/>
      <c r="CP7" s="42"/>
      <c r="CQ7" s="42"/>
      <c r="CR7" s="42"/>
      <c r="CV7" s="71"/>
      <c r="CW7" s="984" t="s">
        <v>272</v>
      </c>
      <c r="CX7" s="984"/>
      <c r="CY7" s="984"/>
      <c r="CZ7" s="984"/>
      <c r="DA7" s="984"/>
      <c r="DB7" s="3"/>
      <c r="DD7" s="3"/>
      <c r="DE7" s="3"/>
      <c r="DF7" s="3"/>
      <c r="DG7" s="41"/>
      <c r="DH7" s="41"/>
      <c r="DI7" s="41"/>
      <c r="DJ7" s="42"/>
      <c r="DK7" s="42"/>
      <c r="DL7" s="42"/>
      <c r="DM7" s="42"/>
      <c r="DN7" s="42"/>
      <c r="DO7" s="42"/>
      <c r="DP7" s="42"/>
      <c r="DS7" s="71"/>
      <c r="DT7" s="984" t="s">
        <v>272</v>
      </c>
      <c r="DU7" s="984"/>
      <c r="DV7" s="984"/>
      <c r="DW7" s="984"/>
      <c r="DX7" s="984"/>
      <c r="DY7" s="3"/>
      <c r="DZ7" s="3"/>
      <c r="EA7" s="3"/>
      <c r="EB7" s="3"/>
      <c r="EC7" s="3"/>
      <c r="ED7" s="3"/>
      <c r="EE7" s="41"/>
      <c r="EF7" s="41"/>
      <c r="EG7" s="41"/>
      <c r="EH7" s="42"/>
      <c r="EI7" s="42"/>
      <c r="EJ7" s="42"/>
      <c r="EK7" s="42"/>
      <c r="EL7" s="42"/>
      <c r="EM7" s="42"/>
      <c r="EN7" s="3"/>
      <c r="EQ7" s="71"/>
      <c r="ER7" s="984" t="s">
        <v>272</v>
      </c>
      <c r="ES7" s="984"/>
      <c r="ET7" s="984"/>
      <c r="EU7" s="984"/>
      <c r="EV7" s="984"/>
      <c r="EW7" s="3"/>
      <c r="EX7" s="3"/>
      <c r="FC7" s="41"/>
      <c r="FD7" s="41"/>
      <c r="FH7" s="41"/>
      <c r="FI7" s="41"/>
      <c r="FJ7" s="41"/>
      <c r="FK7" s="41"/>
      <c r="FM7" s="986"/>
      <c r="FN7" s="986"/>
      <c r="FO7" s="71"/>
      <c r="FP7" s="984" t="s">
        <v>272</v>
      </c>
      <c r="FQ7" s="984"/>
      <c r="FR7" s="984"/>
      <c r="FS7" s="984"/>
      <c r="FT7" s="984"/>
      <c r="FU7" s="42"/>
      <c r="FV7" s="88"/>
      <c r="FW7" s="45"/>
      <c r="FX7" s="45"/>
      <c r="FY7" s="45"/>
      <c r="FZ7" s="45"/>
      <c r="GA7" s="89"/>
      <c r="GB7" s="41"/>
      <c r="GC7" s="41"/>
      <c r="GD7" s="42"/>
      <c r="GE7" s="42"/>
      <c r="GF7" s="42"/>
      <c r="GG7" s="42"/>
      <c r="GH7" s="42"/>
      <c r="GI7" s="42"/>
      <c r="GJ7" s="41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1"/>
      <c r="HA7" s="41"/>
      <c r="HB7" s="42"/>
      <c r="HC7" s="43"/>
      <c r="HD7" s="43"/>
      <c r="HE7" s="43"/>
      <c r="HF7" s="43"/>
      <c r="HG7" s="43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1"/>
      <c r="HX7" s="41"/>
      <c r="HY7" s="42"/>
      <c r="HZ7" s="43"/>
    </row>
    <row r="8" spans="1:242" s="4" customFormat="1">
      <c r="C8" s="826" t="s">
        <v>578</v>
      </c>
      <c r="D8" s="889" t="s">
        <v>322</v>
      </c>
      <c r="E8" s="403"/>
      <c r="F8" s="403"/>
      <c r="G8" s="403"/>
      <c r="H8" s="924"/>
      <c r="I8" s="500"/>
      <c r="Q8" s="41"/>
      <c r="R8" s="42"/>
      <c r="S8" s="42"/>
      <c r="T8" s="42"/>
      <c r="U8" s="42"/>
      <c r="V8" s="42"/>
      <c r="W8" s="42"/>
      <c r="X8" s="41"/>
      <c r="Z8" s="841" t="s">
        <v>521</v>
      </c>
      <c r="AA8" s="713" t="s">
        <v>323</v>
      </c>
      <c r="AB8" s="821"/>
      <c r="AC8" s="821"/>
      <c r="AD8" s="821"/>
      <c r="AE8" s="821"/>
      <c r="AM8" s="41"/>
      <c r="AN8" s="41"/>
      <c r="AO8" s="41"/>
      <c r="AP8" s="42"/>
      <c r="AQ8" s="42"/>
      <c r="AR8" s="42"/>
      <c r="AS8" s="42"/>
      <c r="AT8" s="42"/>
      <c r="AU8" s="42"/>
      <c r="AV8" s="42"/>
      <c r="AY8" s="826" t="s">
        <v>521</v>
      </c>
      <c r="AZ8" s="446" t="s">
        <v>344</v>
      </c>
      <c r="BA8" s="501"/>
      <c r="BB8" s="501"/>
      <c r="BC8" s="821"/>
      <c r="BD8" s="821"/>
      <c r="BE8" s="1"/>
      <c r="BF8" s="1"/>
      <c r="BK8" s="41"/>
      <c r="BL8" s="41"/>
      <c r="BM8" s="41"/>
      <c r="BN8" s="42"/>
      <c r="BO8" s="42"/>
      <c r="BP8" s="42"/>
      <c r="BQ8" s="42"/>
      <c r="BR8" s="42"/>
      <c r="BS8" s="42"/>
      <c r="BT8" s="42"/>
      <c r="BX8" s="824" t="s">
        <v>521</v>
      </c>
      <c r="BY8" s="446" t="s">
        <v>324</v>
      </c>
      <c r="BZ8" s="501"/>
      <c r="CA8" s="501"/>
      <c r="CB8" s="501"/>
      <c r="CC8" s="501"/>
      <c r="CI8" s="41"/>
      <c r="CJ8" s="41"/>
      <c r="CK8" s="41"/>
      <c r="CL8" s="42"/>
      <c r="CM8" s="42"/>
      <c r="CN8" s="42"/>
      <c r="CO8" s="42"/>
      <c r="CP8" s="42"/>
      <c r="CQ8" s="42"/>
      <c r="CR8" s="42"/>
      <c r="CV8" s="824" t="s">
        <v>521</v>
      </c>
      <c r="CW8" s="446" t="s">
        <v>325</v>
      </c>
      <c r="CX8" s="450"/>
      <c r="CY8" s="450"/>
      <c r="CZ8" s="450"/>
      <c r="DA8" s="450"/>
      <c r="DG8" s="41"/>
      <c r="DH8" s="41"/>
      <c r="DI8" s="41"/>
      <c r="DJ8" s="42"/>
      <c r="DK8" s="42"/>
      <c r="DL8" s="42"/>
      <c r="DM8" s="42"/>
      <c r="DN8" s="42"/>
      <c r="DO8" s="42"/>
      <c r="DP8" s="42"/>
      <c r="DS8" s="824" t="s">
        <v>521</v>
      </c>
      <c r="DT8" s="446" t="s">
        <v>326</v>
      </c>
      <c r="DU8" s="450"/>
      <c r="DV8" s="450"/>
      <c r="DW8" s="450"/>
      <c r="DX8" s="450"/>
      <c r="EE8" s="41"/>
      <c r="EF8" s="41"/>
      <c r="EG8" s="41"/>
      <c r="EH8" s="42"/>
      <c r="EI8" s="42"/>
      <c r="EJ8" s="42"/>
      <c r="EK8" s="42"/>
      <c r="EL8" s="42"/>
      <c r="EM8" s="42"/>
      <c r="EQ8" s="826" t="s">
        <v>578</v>
      </c>
      <c r="ER8" s="446" t="s">
        <v>327</v>
      </c>
      <c r="ES8" s="501"/>
      <c r="ET8" s="501"/>
      <c r="EU8" s="501"/>
      <c r="EV8" s="501"/>
      <c r="FC8" s="41"/>
      <c r="FD8" s="41"/>
      <c r="FE8" s="41"/>
      <c r="FF8" s="41"/>
      <c r="FG8" s="41"/>
      <c r="FH8" s="41"/>
      <c r="FI8" s="41"/>
      <c r="FJ8" s="41"/>
      <c r="FK8" s="41"/>
      <c r="FM8" s="28"/>
      <c r="FN8" s="28"/>
      <c r="FO8" s="824" t="s">
        <v>521</v>
      </c>
      <c r="FP8" s="446" t="s">
        <v>425</v>
      </c>
      <c r="FQ8" s="455"/>
      <c r="FR8" s="455"/>
      <c r="FS8" s="455"/>
      <c r="FT8" s="455"/>
      <c r="FU8" s="266"/>
      <c r="FV8" s="88"/>
      <c r="FW8" s="45"/>
      <c r="FX8" s="45"/>
      <c r="FY8" s="45"/>
      <c r="FZ8" s="45"/>
      <c r="GA8" s="89"/>
      <c r="GB8" s="41"/>
      <c r="GC8" s="41"/>
      <c r="GD8" s="42"/>
      <c r="GE8" s="42"/>
      <c r="GF8" s="42"/>
      <c r="GG8" s="42"/>
      <c r="GH8" s="42"/>
      <c r="GI8" s="42"/>
      <c r="GJ8" s="41"/>
      <c r="GZ8" s="41"/>
      <c r="HA8" s="41"/>
      <c r="HB8" s="42"/>
      <c r="HC8" s="1"/>
      <c r="HD8" s="1"/>
      <c r="HE8" s="1"/>
      <c r="HF8" s="1"/>
      <c r="HG8" s="1"/>
      <c r="HW8" s="41"/>
      <c r="HX8" s="41"/>
      <c r="HY8" s="42"/>
      <c r="HZ8" s="1"/>
    </row>
    <row r="9" spans="1:242" s="4" customFormat="1">
      <c r="C9" s="826" t="s">
        <v>579</v>
      </c>
      <c r="D9" s="889" t="s">
        <v>515</v>
      </c>
      <c r="E9" s="882"/>
      <c r="F9" s="882"/>
      <c r="G9" s="403"/>
      <c r="H9" s="925"/>
      <c r="I9" s="926"/>
      <c r="J9" s="207"/>
      <c r="K9" s="207"/>
      <c r="L9" s="207"/>
      <c r="M9" s="207"/>
      <c r="N9" s="207"/>
      <c r="O9" s="207"/>
      <c r="P9" s="42"/>
      <c r="Q9" s="42"/>
      <c r="R9" s="42"/>
      <c r="S9" s="42"/>
      <c r="T9" s="42"/>
      <c r="U9" s="42"/>
      <c r="V9" s="42"/>
      <c r="W9" s="42"/>
      <c r="X9" s="41"/>
      <c r="Z9" s="841">
        <v>2016</v>
      </c>
      <c r="AA9" s="713" t="s">
        <v>349</v>
      </c>
      <c r="AB9" s="819"/>
      <c r="AC9" s="819"/>
      <c r="AD9" s="821"/>
      <c r="AE9" s="821"/>
      <c r="AM9" s="41"/>
      <c r="AN9" s="41"/>
      <c r="AO9" s="41"/>
      <c r="AP9" s="42"/>
      <c r="AQ9" s="42"/>
      <c r="AR9" s="42"/>
      <c r="AS9" s="42"/>
      <c r="AT9" s="42"/>
      <c r="AU9" s="42"/>
      <c r="AV9" s="42"/>
      <c r="AY9" s="826">
        <v>2016</v>
      </c>
      <c r="AZ9" s="446" t="s">
        <v>350</v>
      </c>
      <c r="BA9" s="501"/>
      <c r="BB9" s="501"/>
      <c r="BC9" s="821"/>
      <c r="BD9" s="821"/>
      <c r="BE9" s="1"/>
      <c r="BF9" s="1"/>
      <c r="BK9" s="41"/>
      <c r="BL9" s="41"/>
      <c r="BM9" s="41"/>
      <c r="BN9" s="42"/>
      <c r="BO9" s="42"/>
      <c r="BP9" s="42"/>
      <c r="BQ9" s="42"/>
      <c r="BR9" s="42"/>
      <c r="BS9" s="42"/>
      <c r="BT9" s="42"/>
      <c r="BX9" s="824">
        <v>2016</v>
      </c>
      <c r="BY9" s="446" t="s">
        <v>351</v>
      </c>
      <c r="BZ9" s="501"/>
      <c r="CA9" s="501"/>
      <c r="CB9" s="501"/>
      <c r="CC9" s="501"/>
      <c r="CI9" s="41"/>
      <c r="CJ9" s="41"/>
      <c r="CK9" s="41"/>
      <c r="CL9" s="42"/>
      <c r="CM9" s="42"/>
      <c r="CN9" s="42"/>
      <c r="CO9" s="42"/>
      <c r="CP9" s="42"/>
      <c r="CQ9" s="42"/>
      <c r="CR9" s="42"/>
      <c r="CV9" s="824">
        <v>2016</v>
      </c>
      <c r="CW9" s="446" t="s">
        <v>352</v>
      </c>
      <c r="CX9" s="450"/>
      <c r="CY9" s="450"/>
      <c r="CZ9" s="450"/>
      <c r="DA9" s="450"/>
      <c r="DG9" s="41"/>
      <c r="DH9" s="41"/>
      <c r="DI9" s="41"/>
      <c r="DJ9" s="42"/>
      <c r="DK9" s="42"/>
      <c r="DL9" s="42"/>
      <c r="DM9" s="42"/>
      <c r="DN9" s="42"/>
      <c r="DO9" s="42"/>
      <c r="DP9" s="42"/>
      <c r="DS9" s="824">
        <v>2016</v>
      </c>
      <c r="DT9" s="446" t="s">
        <v>353</v>
      </c>
      <c r="DU9" s="450"/>
      <c r="DV9" s="450"/>
      <c r="DW9" s="450"/>
      <c r="DX9" s="450"/>
      <c r="EE9" s="41"/>
      <c r="EF9" s="41"/>
      <c r="EG9" s="41"/>
      <c r="EH9" s="42"/>
      <c r="EI9" s="42"/>
      <c r="EJ9" s="42"/>
      <c r="EK9" s="42"/>
      <c r="EL9" s="42"/>
      <c r="EM9" s="42"/>
      <c r="EQ9" s="826" t="s">
        <v>579</v>
      </c>
      <c r="ER9" s="446" t="s">
        <v>518</v>
      </c>
      <c r="ES9" s="501"/>
      <c r="ET9" s="501"/>
      <c r="EU9" s="501"/>
      <c r="EV9" s="501"/>
      <c r="EW9" s="1"/>
      <c r="FC9" s="41"/>
      <c r="FD9" s="41"/>
      <c r="FE9" s="41"/>
      <c r="FF9" s="41"/>
      <c r="FG9" s="41"/>
      <c r="FH9" s="41"/>
      <c r="FI9" s="41"/>
      <c r="FJ9" s="41"/>
      <c r="FK9" s="41"/>
      <c r="FM9" s="28"/>
      <c r="FN9" s="28"/>
      <c r="FO9" s="824">
        <v>2016</v>
      </c>
      <c r="FP9" s="446" t="s">
        <v>467</v>
      </c>
      <c r="FQ9" s="455"/>
      <c r="FR9" s="455"/>
      <c r="FS9" s="455"/>
      <c r="FT9" s="455"/>
      <c r="FU9" s="266"/>
      <c r="FV9" s="88"/>
      <c r="FW9" s="45"/>
      <c r="FX9" s="45"/>
      <c r="FY9" s="45"/>
      <c r="FZ9" s="45"/>
      <c r="GA9" s="89"/>
      <c r="GB9" s="41"/>
      <c r="GC9" s="41"/>
      <c r="GD9" s="42"/>
      <c r="GE9" s="42"/>
      <c r="GF9" s="42"/>
      <c r="GG9" s="42"/>
      <c r="GH9" s="42"/>
      <c r="GI9" s="42"/>
      <c r="GJ9" s="41"/>
      <c r="GK9" s="5"/>
      <c r="GZ9" s="41"/>
      <c r="HA9" s="41"/>
      <c r="HB9" s="42"/>
      <c r="HC9" s="1"/>
      <c r="HD9" s="1"/>
      <c r="HE9" s="1"/>
      <c r="HF9" s="1"/>
      <c r="HG9" s="1"/>
      <c r="HH9" s="56"/>
      <c r="HW9" s="41"/>
      <c r="HX9" s="41"/>
      <c r="HY9" s="42"/>
      <c r="HZ9" s="1"/>
    </row>
    <row r="10" spans="1:242" s="239" customFormat="1">
      <c r="B10" s="238"/>
      <c r="C10" s="826">
        <v>2016</v>
      </c>
      <c r="D10" s="889" t="s">
        <v>516</v>
      </c>
      <c r="E10" s="381"/>
      <c r="F10" s="381"/>
      <c r="G10" s="381"/>
      <c r="H10" s="834" t="s">
        <v>623</v>
      </c>
      <c r="I10" s="923"/>
      <c r="J10" s="838"/>
      <c r="K10" s="838"/>
      <c r="L10" s="838"/>
      <c r="M10" s="838"/>
      <c r="N10" s="207"/>
      <c r="O10" s="207"/>
      <c r="P10" s="242"/>
      <c r="Q10" s="242"/>
      <c r="R10" s="242"/>
      <c r="S10" s="242"/>
      <c r="T10" s="242"/>
      <c r="U10" s="242"/>
      <c r="V10" s="242"/>
      <c r="W10" s="242"/>
      <c r="X10" s="240"/>
      <c r="Z10" s="841">
        <v>2017</v>
      </c>
      <c r="AA10" s="713" t="s">
        <v>302</v>
      </c>
      <c r="AD10" s="819"/>
      <c r="AE10" s="819"/>
      <c r="AM10" s="240"/>
      <c r="AN10" s="240"/>
      <c r="AO10" s="240"/>
      <c r="AP10" s="242"/>
      <c r="AQ10" s="242"/>
      <c r="AR10" s="242"/>
      <c r="AS10" s="242"/>
      <c r="AT10" s="242"/>
      <c r="AU10" s="242"/>
      <c r="AV10" s="242"/>
      <c r="AY10" s="826">
        <v>2017</v>
      </c>
      <c r="AZ10" s="446" t="s">
        <v>303</v>
      </c>
      <c r="BA10" s="883"/>
      <c r="BB10" s="883"/>
      <c r="BC10" s="819"/>
      <c r="BD10" s="819"/>
      <c r="BE10" s="268"/>
      <c r="BF10" s="268"/>
      <c r="BK10" s="240"/>
      <c r="BL10" s="240"/>
      <c r="BM10" s="240"/>
      <c r="BN10" s="242"/>
      <c r="BO10" s="242"/>
      <c r="BP10" s="242"/>
      <c r="BQ10" s="242"/>
      <c r="BR10" s="242"/>
      <c r="BS10" s="242"/>
      <c r="BT10" s="242"/>
      <c r="BX10" s="824">
        <v>2017</v>
      </c>
      <c r="BY10" s="446" t="s">
        <v>304</v>
      </c>
      <c r="BZ10" s="819"/>
      <c r="CA10" s="819"/>
      <c r="CB10" s="819"/>
      <c r="CC10" s="819"/>
      <c r="CI10" s="240"/>
      <c r="CJ10" s="240"/>
      <c r="CK10" s="240"/>
      <c r="CL10" s="242"/>
      <c r="CM10" s="242"/>
      <c r="CN10" s="242"/>
      <c r="CO10" s="242"/>
      <c r="CP10" s="242"/>
      <c r="CQ10" s="242"/>
      <c r="CR10" s="242"/>
      <c r="CV10" s="824">
        <v>2017</v>
      </c>
      <c r="CW10" s="446" t="s">
        <v>305</v>
      </c>
      <c r="CX10" s="452"/>
      <c r="CY10" s="452"/>
      <c r="CZ10" s="452"/>
      <c r="DA10" s="452"/>
      <c r="DG10" s="240"/>
      <c r="DH10" s="240"/>
      <c r="DI10" s="240"/>
      <c r="DJ10" s="242"/>
      <c r="DK10" s="242"/>
      <c r="DL10" s="242"/>
      <c r="DM10" s="242"/>
      <c r="DN10" s="242"/>
      <c r="DO10" s="242"/>
      <c r="DP10" s="242"/>
      <c r="DS10" s="824">
        <v>2017</v>
      </c>
      <c r="DT10" s="446" t="s">
        <v>306</v>
      </c>
      <c r="DU10" s="452"/>
      <c r="DV10" s="452"/>
      <c r="DW10" s="452"/>
      <c r="DX10" s="452"/>
      <c r="EE10" s="240"/>
      <c r="EF10" s="240"/>
      <c r="EG10" s="240"/>
      <c r="EH10" s="242"/>
      <c r="EI10" s="242"/>
      <c r="EJ10" s="242"/>
      <c r="EK10" s="242"/>
      <c r="EL10" s="242"/>
      <c r="EM10" s="242"/>
      <c r="EQ10" s="824">
        <v>2016</v>
      </c>
      <c r="ER10" s="446" t="s">
        <v>519</v>
      </c>
      <c r="ES10" s="819"/>
      <c r="ET10" s="819"/>
      <c r="EU10" s="819"/>
      <c r="EV10" s="819"/>
      <c r="FC10" s="240"/>
      <c r="FD10" s="240"/>
      <c r="FE10" s="240"/>
      <c r="FF10" s="240"/>
      <c r="FG10" s="240"/>
      <c r="FH10" s="240"/>
      <c r="FI10" s="240"/>
      <c r="FJ10" s="240"/>
      <c r="FK10" s="240"/>
      <c r="FO10" s="824">
        <v>2017</v>
      </c>
      <c r="FP10" s="446" t="s">
        <v>466</v>
      </c>
      <c r="FQ10" s="454"/>
      <c r="FR10" s="454"/>
      <c r="FS10" s="454"/>
      <c r="FT10" s="454"/>
      <c r="FU10" s="242"/>
      <c r="FV10" s="242"/>
      <c r="FW10" s="242"/>
      <c r="FX10" s="265"/>
      <c r="FY10" s="242"/>
      <c r="FZ10" s="242"/>
      <c r="GA10" s="243"/>
      <c r="GB10" s="240"/>
      <c r="GC10" s="240"/>
      <c r="GD10" s="242"/>
      <c r="GE10" s="242"/>
      <c r="GF10" s="242"/>
      <c r="GG10" s="242"/>
      <c r="GH10" s="242"/>
      <c r="GI10" s="242"/>
      <c r="GJ10" s="240"/>
      <c r="GK10" s="243"/>
      <c r="GL10" s="242"/>
      <c r="GM10" s="242"/>
      <c r="GN10" s="242"/>
      <c r="GO10" s="242"/>
      <c r="GP10" s="242"/>
      <c r="GQ10" s="242"/>
      <c r="GR10" s="242"/>
      <c r="GS10" s="242"/>
      <c r="GT10" s="242"/>
      <c r="GU10" s="242"/>
      <c r="GV10" s="242"/>
      <c r="GW10" s="242"/>
      <c r="GX10" s="242"/>
      <c r="GY10" s="242"/>
      <c r="GZ10" s="240"/>
      <c r="HA10" s="240"/>
      <c r="HB10" s="242"/>
      <c r="HC10" s="268"/>
      <c r="HD10" s="268"/>
      <c r="HE10" s="268"/>
      <c r="HF10" s="268"/>
      <c r="HG10" s="268"/>
      <c r="HH10" s="238"/>
      <c r="HI10" s="238"/>
      <c r="HJ10" s="238"/>
      <c r="HK10" s="238"/>
      <c r="HL10" s="238"/>
      <c r="HM10" s="238"/>
      <c r="HN10" s="238"/>
      <c r="HO10" s="238"/>
      <c r="HP10" s="238"/>
      <c r="HQ10" s="238"/>
      <c r="HR10" s="242"/>
      <c r="HS10" s="242"/>
      <c r="HT10" s="242"/>
      <c r="HU10" s="242"/>
      <c r="HV10" s="242"/>
      <c r="HW10" s="240"/>
      <c r="HX10" s="240"/>
      <c r="HY10" s="242"/>
      <c r="HZ10" s="268"/>
    </row>
    <row r="11" spans="1:242" s="239" customFormat="1">
      <c r="A11" s="238"/>
      <c r="B11" s="238"/>
      <c r="C11" s="826">
        <v>2017</v>
      </c>
      <c r="D11" s="889" t="s">
        <v>517</v>
      </c>
      <c r="H11" s="856" t="s">
        <v>526</v>
      </c>
      <c r="I11" s="923"/>
      <c r="J11" s="838"/>
      <c r="K11" s="838"/>
      <c r="L11" s="838"/>
      <c r="M11" s="838"/>
      <c r="N11" s="207"/>
      <c r="O11" s="207"/>
      <c r="P11" s="242"/>
      <c r="Q11" s="242"/>
      <c r="R11" s="242"/>
      <c r="S11" s="242"/>
      <c r="T11" s="242"/>
      <c r="U11" s="242"/>
      <c r="V11" s="242"/>
      <c r="W11" s="242"/>
      <c r="X11" s="240"/>
      <c r="Y11" s="241"/>
      <c r="AM11" s="240"/>
      <c r="AN11" s="240"/>
      <c r="AO11" s="240"/>
      <c r="AP11" s="242"/>
      <c r="AQ11" s="242"/>
      <c r="AR11" s="242"/>
      <c r="AS11" s="242"/>
      <c r="AT11" s="242"/>
      <c r="AU11" s="242"/>
      <c r="AV11" s="242"/>
      <c r="BE11" s="268"/>
      <c r="BF11" s="268"/>
      <c r="BK11" s="240"/>
      <c r="BL11" s="240"/>
      <c r="BM11" s="240"/>
      <c r="BN11" s="242"/>
      <c r="BO11" s="242"/>
      <c r="BP11" s="242"/>
      <c r="BQ11" s="242"/>
      <c r="BR11" s="242"/>
      <c r="BS11" s="242"/>
      <c r="BT11" s="242"/>
      <c r="CC11" s="451"/>
      <c r="CI11" s="240"/>
      <c r="CJ11" s="240"/>
      <c r="CK11" s="240"/>
      <c r="CL11" s="242"/>
      <c r="CM11" s="242"/>
      <c r="CN11" s="242"/>
      <c r="CO11" s="242"/>
      <c r="CP11" s="242"/>
      <c r="CQ11" s="242"/>
      <c r="CR11" s="242"/>
      <c r="CZ11" s="451"/>
      <c r="DA11" s="451"/>
      <c r="DG11" s="240"/>
      <c r="DH11" s="240"/>
      <c r="DI11" s="240"/>
      <c r="DJ11" s="242"/>
      <c r="DK11" s="242"/>
      <c r="DL11" s="242"/>
      <c r="DM11" s="242"/>
      <c r="DN11" s="242"/>
      <c r="DO11" s="242"/>
      <c r="DP11" s="242"/>
      <c r="DW11" s="451"/>
      <c r="DX11" s="451"/>
      <c r="EE11" s="240"/>
      <c r="EF11" s="240"/>
      <c r="EG11" s="240"/>
      <c r="EH11" s="242"/>
      <c r="EI11" s="242"/>
      <c r="EJ11" s="242"/>
      <c r="EK11" s="242"/>
      <c r="EL11" s="242"/>
      <c r="EM11" s="242"/>
      <c r="EQ11" s="824">
        <v>2017</v>
      </c>
      <c r="ER11" s="446" t="s">
        <v>520</v>
      </c>
      <c r="EU11" s="501"/>
      <c r="EV11" s="501"/>
      <c r="FC11" s="240"/>
      <c r="FD11" s="240"/>
      <c r="FE11" s="240"/>
      <c r="FF11" s="240"/>
      <c r="FG11" s="240"/>
      <c r="FH11" s="240"/>
      <c r="FI11" s="240"/>
      <c r="FJ11" s="240"/>
      <c r="FK11" s="240"/>
      <c r="FO11" s="488"/>
      <c r="FP11" s="451"/>
      <c r="FQ11" s="451"/>
      <c r="FR11" s="451"/>
      <c r="FS11" s="451"/>
      <c r="FT11" s="451"/>
      <c r="FU11" s="242"/>
      <c r="FV11" s="242"/>
      <c r="FW11" s="242"/>
      <c r="FX11" s="265"/>
      <c r="FY11" s="242"/>
      <c r="FZ11" s="242"/>
      <c r="GA11" s="243"/>
      <c r="GB11" s="240"/>
      <c r="GC11" s="240"/>
      <c r="GD11" s="242"/>
      <c r="GE11" s="242"/>
      <c r="GF11" s="242"/>
      <c r="GG11" s="242"/>
      <c r="GH11" s="242"/>
      <c r="GI11" s="242"/>
      <c r="GJ11" s="240"/>
      <c r="GK11" s="243"/>
      <c r="GL11" s="242"/>
      <c r="GM11" s="242"/>
      <c r="GN11" s="242"/>
      <c r="GO11" s="242"/>
      <c r="GP11" s="242"/>
      <c r="GQ11" s="242"/>
      <c r="GR11" s="242"/>
      <c r="GS11" s="242"/>
      <c r="GT11" s="242"/>
      <c r="GU11" s="242"/>
      <c r="GV11" s="242"/>
      <c r="GW11" s="242"/>
      <c r="GX11" s="242"/>
      <c r="GY11" s="242"/>
      <c r="GZ11" s="240"/>
      <c r="HA11" s="240"/>
      <c r="HB11" s="242"/>
      <c r="HC11" s="268"/>
      <c r="HD11" s="268"/>
      <c r="HE11" s="268"/>
      <c r="HF11" s="268"/>
      <c r="HG11" s="268"/>
      <c r="HH11" s="238"/>
      <c r="HI11" s="238"/>
      <c r="HJ11" s="238"/>
      <c r="HK11" s="238"/>
      <c r="HL11" s="238"/>
      <c r="HM11" s="238"/>
      <c r="HN11" s="238"/>
      <c r="HO11" s="238"/>
      <c r="HP11" s="238"/>
      <c r="HQ11" s="238"/>
      <c r="HR11" s="242"/>
      <c r="HS11" s="242"/>
      <c r="HT11" s="242"/>
      <c r="HU11" s="242"/>
      <c r="HV11" s="242"/>
      <c r="HW11" s="240"/>
      <c r="HX11" s="240"/>
      <c r="HY11" s="242"/>
      <c r="HZ11" s="268"/>
    </row>
    <row r="12" spans="1:242" s="239" customFormat="1" ht="12" customHeight="1">
      <c r="A12" s="238"/>
      <c r="B12" s="238"/>
      <c r="G12" s="380"/>
      <c r="H12" s="240"/>
      <c r="I12" s="110"/>
      <c r="J12" s="207"/>
      <c r="K12" s="207"/>
      <c r="L12" s="207"/>
      <c r="M12" s="207"/>
      <c r="N12" s="207"/>
      <c r="O12" s="207"/>
      <c r="P12" s="242"/>
      <c r="Q12" s="242"/>
      <c r="R12" s="242"/>
      <c r="S12" s="265"/>
      <c r="T12" s="242"/>
      <c r="U12" s="242"/>
      <c r="V12" s="242"/>
      <c r="W12" s="242"/>
      <c r="X12" s="240"/>
      <c r="Y12" s="241"/>
      <c r="AM12" s="240"/>
      <c r="AN12" s="240"/>
      <c r="AO12" s="240"/>
      <c r="AP12" s="242"/>
      <c r="AQ12" s="242"/>
      <c r="AR12" s="242"/>
      <c r="AS12" s="242"/>
      <c r="AT12" s="242"/>
      <c r="AU12" s="242"/>
      <c r="AV12" s="242"/>
      <c r="BE12" s="268"/>
      <c r="BF12" s="268"/>
      <c r="BK12" s="240"/>
      <c r="BL12" s="240"/>
      <c r="BM12" s="240"/>
      <c r="BN12" s="242"/>
      <c r="BO12" s="242"/>
      <c r="BP12" s="242"/>
      <c r="BQ12" s="242"/>
      <c r="BR12" s="242"/>
      <c r="BS12" s="242"/>
      <c r="BT12" s="242"/>
      <c r="CC12" s="451"/>
      <c r="CI12" s="240"/>
      <c r="CJ12" s="240"/>
      <c r="CK12" s="240"/>
      <c r="CL12" s="242"/>
      <c r="CM12" s="242"/>
      <c r="CN12" s="242"/>
      <c r="CO12" s="242"/>
      <c r="CP12" s="242"/>
      <c r="CQ12" s="242"/>
      <c r="CR12" s="242"/>
      <c r="CZ12" s="451"/>
      <c r="DA12" s="451"/>
      <c r="DG12" s="240"/>
      <c r="DH12" s="240"/>
      <c r="DI12" s="240"/>
      <c r="DJ12" s="242"/>
      <c r="DK12" s="242"/>
      <c r="DL12" s="242"/>
      <c r="DM12" s="242"/>
      <c r="DN12" s="242"/>
      <c r="DO12" s="242"/>
      <c r="DP12" s="242"/>
      <c r="DW12" s="451"/>
      <c r="DX12" s="451"/>
      <c r="EE12" s="240"/>
      <c r="EF12" s="240"/>
      <c r="EG12" s="240"/>
      <c r="EH12" s="242"/>
      <c r="EI12" s="242"/>
      <c r="EJ12" s="242"/>
      <c r="EK12" s="242"/>
      <c r="EL12" s="242"/>
      <c r="EM12" s="242"/>
      <c r="EU12" s="501"/>
      <c r="EV12" s="501"/>
      <c r="FC12" s="240"/>
      <c r="FD12" s="240"/>
      <c r="FE12" s="240"/>
      <c r="FF12" s="240"/>
      <c r="FG12" s="240"/>
      <c r="FH12" s="240"/>
      <c r="FI12" s="240"/>
      <c r="FJ12" s="240"/>
      <c r="FK12" s="240"/>
      <c r="FO12" s="244"/>
      <c r="FP12" s="454"/>
      <c r="FQ12" s="454"/>
      <c r="FR12" s="454"/>
      <c r="FS12" s="454"/>
      <c r="FT12" s="454"/>
      <c r="FU12" s="242"/>
      <c r="FV12" s="242"/>
      <c r="FW12" s="242"/>
      <c r="FX12" s="265"/>
      <c r="FY12" s="242"/>
      <c r="FZ12" s="242"/>
      <c r="GA12" s="243"/>
      <c r="GB12" s="240"/>
      <c r="GC12" s="240"/>
      <c r="GD12" s="242"/>
      <c r="GE12" s="242"/>
      <c r="GF12" s="242"/>
      <c r="GG12" s="242"/>
      <c r="GH12" s="242"/>
      <c r="GI12" s="242"/>
      <c r="GJ12" s="240"/>
      <c r="GK12" s="243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242"/>
      <c r="GW12" s="242"/>
      <c r="GX12" s="242"/>
      <c r="GY12" s="242"/>
      <c r="GZ12" s="240"/>
      <c r="HA12" s="240"/>
      <c r="HB12" s="242"/>
      <c r="HC12" s="268"/>
      <c r="HD12" s="268"/>
      <c r="HE12" s="268"/>
      <c r="HF12" s="268"/>
      <c r="HG12" s="268"/>
      <c r="HH12" s="238"/>
      <c r="HI12" s="238"/>
      <c r="HJ12" s="238"/>
      <c r="HK12" s="238"/>
      <c r="HS12" s="242"/>
      <c r="HT12" s="242"/>
      <c r="HU12" s="242"/>
      <c r="HV12" s="242"/>
      <c r="HW12" s="240"/>
      <c r="HX12" s="240"/>
      <c r="HY12" s="242"/>
      <c r="HZ12" s="268"/>
    </row>
    <row r="13" spans="1:242" s="239" customFormat="1">
      <c r="A13" s="238"/>
      <c r="B13" s="238"/>
      <c r="G13" s="380"/>
      <c r="H13" s="240"/>
      <c r="I13" s="110"/>
      <c r="J13" s="207"/>
      <c r="K13" s="207"/>
      <c r="L13" s="207"/>
      <c r="M13" s="207"/>
      <c r="N13" s="207"/>
      <c r="O13" s="207"/>
      <c r="P13" s="242"/>
      <c r="Q13" s="242"/>
      <c r="R13" s="242"/>
      <c r="S13" s="265"/>
      <c r="T13" s="242"/>
      <c r="U13" s="242"/>
      <c r="V13" s="242"/>
      <c r="W13" s="242"/>
      <c r="X13" s="240"/>
      <c r="Y13" s="241"/>
      <c r="AM13" s="240"/>
      <c r="AN13" s="240"/>
      <c r="AO13" s="240"/>
      <c r="AP13" s="242"/>
      <c r="AQ13" s="242"/>
      <c r="AR13" s="242"/>
      <c r="AS13" s="242"/>
      <c r="AT13" s="242"/>
      <c r="AU13" s="242"/>
      <c r="AV13" s="242"/>
      <c r="BE13" s="268"/>
      <c r="BF13" s="268"/>
      <c r="BK13" s="240"/>
      <c r="BL13" s="240"/>
      <c r="BM13" s="240"/>
      <c r="BN13" s="242"/>
      <c r="BO13" s="242"/>
      <c r="BP13" s="242"/>
      <c r="BQ13" s="242"/>
      <c r="BR13" s="242"/>
      <c r="BS13" s="242"/>
      <c r="BT13" s="242"/>
      <c r="CC13" s="451"/>
      <c r="CI13" s="240"/>
      <c r="CJ13" s="240"/>
      <c r="CK13" s="240"/>
      <c r="CL13" s="242"/>
      <c r="CM13" s="242"/>
      <c r="CN13" s="242"/>
      <c r="CO13" s="242"/>
      <c r="CP13" s="242"/>
      <c r="CQ13" s="242"/>
      <c r="CR13" s="242"/>
      <c r="CZ13" s="451"/>
      <c r="DA13" s="451"/>
      <c r="DG13" s="240"/>
      <c r="DH13" s="240"/>
      <c r="DI13" s="240"/>
      <c r="DJ13" s="242"/>
      <c r="DK13" s="242"/>
      <c r="DL13" s="242"/>
      <c r="DM13" s="242"/>
      <c r="DN13" s="242"/>
      <c r="DO13" s="242"/>
      <c r="DP13" s="242"/>
      <c r="DW13" s="451"/>
      <c r="DX13" s="451"/>
      <c r="EE13" s="240"/>
      <c r="EF13" s="240"/>
      <c r="EG13" s="240"/>
      <c r="EH13" s="242"/>
      <c r="EI13" s="242"/>
      <c r="EJ13" s="242"/>
      <c r="EK13" s="242"/>
      <c r="EL13" s="242"/>
      <c r="EM13" s="242"/>
      <c r="EU13" s="501"/>
      <c r="EV13" s="501"/>
      <c r="FC13" s="240"/>
      <c r="FD13" s="240"/>
      <c r="FE13" s="240"/>
      <c r="FF13" s="240"/>
      <c r="FG13" s="240"/>
      <c r="FH13" s="240"/>
      <c r="FI13" s="240"/>
      <c r="FJ13" s="240"/>
      <c r="FK13" s="240"/>
      <c r="FO13" s="244"/>
      <c r="FP13" s="270"/>
      <c r="FQ13" s="268"/>
      <c r="FR13" s="268"/>
      <c r="FS13" s="268"/>
      <c r="FT13" s="242"/>
      <c r="FU13" s="242"/>
      <c r="FV13" s="242"/>
      <c r="FW13" s="242"/>
      <c r="FX13" s="265"/>
      <c r="FY13" s="242"/>
      <c r="FZ13" s="242"/>
      <c r="GA13" s="243"/>
      <c r="GB13" s="240"/>
      <c r="GC13" s="240"/>
      <c r="GD13" s="242"/>
      <c r="GE13" s="242"/>
      <c r="GF13" s="242"/>
      <c r="GG13" s="242"/>
      <c r="GH13" s="242"/>
      <c r="GI13" s="242"/>
      <c r="GJ13" s="240"/>
      <c r="GK13" s="243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242"/>
      <c r="GW13" s="242"/>
      <c r="GX13" s="242"/>
      <c r="GY13" s="242"/>
      <c r="GZ13" s="240"/>
      <c r="HA13" s="240"/>
      <c r="HB13" s="242"/>
      <c r="HC13" s="268"/>
      <c r="HD13" s="268"/>
      <c r="HE13" s="268"/>
      <c r="HF13" s="268"/>
      <c r="HG13" s="268"/>
      <c r="HH13" s="238"/>
      <c r="HI13" s="238"/>
      <c r="HJ13" s="238"/>
      <c r="HK13" s="238"/>
      <c r="HL13" s="238"/>
      <c r="HM13" s="238"/>
      <c r="HN13" s="238"/>
      <c r="HO13" s="238"/>
      <c r="HP13" s="238"/>
      <c r="HQ13" s="238"/>
      <c r="HR13" s="242"/>
      <c r="HS13" s="242"/>
      <c r="HT13" s="242"/>
      <c r="HU13" s="242"/>
      <c r="HV13" s="242"/>
      <c r="HW13" s="240"/>
      <c r="HX13" s="240"/>
      <c r="HY13" s="242"/>
      <c r="HZ13" s="268"/>
    </row>
    <row r="14" spans="1:242" s="239" customFormat="1">
      <c r="A14" s="238" t="s">
        <v>292</v>
      </c>
      <c r="G14" s="380"/>
      <c r="K14" s="445"/>
      <c r="M14" s="207"/>
      <c r="N14" s="207"/>
      <c r="O14" s="207"/>
      <c r="P14" s="242"/>
      <c r="Q14" s="242"/>
      <c r="R14" s="242"/>
      <c r="S14" s="242"/>
      <c r="T14" s="242"/>
      <c r="U14" s="242"/>
      <c r="V14" s="242"/>
      <c r="W14" s="242"/>
      <c r="X14" s="240"/>
      <c r="Y14" s="241" t="s">
        <v>98</v>
      </c>
      <c r="AM14" s="240"/>
      <c r="AN14" s="240"/>
      <c r="AO14" s="240"/>
      <c r="AP14" s="242"/>
      <c r="AQ14" s="242"/>
      <c r="AR14" s="242"/>
      <c r="AS14" s="242"/>
      <c r="AT14" s="242"/>
      <c r="AU14" s="242"/>
      <c r="AV14" s="242"/>
      <c r="AW14" s="361" t="s">
        <v>103</v>
      </c>
      <c r="BL14" s="240"/>
      <c r="BM14" s="240"/>
      <c r="BN14" s="242"/>
      <c r="BO14" s="242"/>
      <c r="BP14" s="242"/>
      <c r="BQ14" s="242"/>
      <c r="BR14" s="242"/>
      <c r="BS14" s="242"/>
      <c r="BT14" s="242"/>
      <c r="BU14" s="979" t="s">
        <v>100</v>
      </c>
      <c r="BV14" s="979"/>
      <c r="BY14" s="244"/>
      <c r="BZ14" s="262"/>
      <c r="CJ14" s="240"/>
      <c r="CK14" s="240"/>
      <c r="CL14" s="242"/>
      <c r="CM14" s="242"/>
      <c r="CN14" s="242"/>
      <c r="CO14" s="242"/>
      <c r="CP14" s="242"/>
      <c r="CQ14" s="242"/>
      <c r="CR14" s="242"/>
      <c r="CS14" s="979" t="s">
        <v>104</v>
      </c>
      <c r="CT14" s="979"/>
      <c r="CX14" s="244"/>
      <c r="CY14" s="262"/>
      <c r="DI14" s="240"/>
      <c r="DJ14" s="242"/>
      <c r="DK14" s="242"/>
      <c r="DL14" s="242"/>
      <c r="DM14" s="242"/>
      <c r="DN14" s="242"/>
      <c r="DO14" s="242"/>
      <c r="DP14" s="242"/>
      <c r="DQ14" s="361" t="s">
        <v>101</v>
      </c>
      <c r="EG14" s="240"/>
      <c r="EH14" s="242"/>
      <c r="EI14" s="242"/>
      <c r="EJ14" s="242"/>
      <c r="EK14" s="242"/>
      <c r="EL14" s="242"/>
      <c r="EM14" s="242"/>
      <c r="EN14" s="240"/>
      <c r="EO14" s="361" t="s">
        <v>102</v>
      </c>
      <c r="ES14" s="244"/>
      <c r="ET14" s="262"/>
      <c r="FE14" s="240"/>
      <c r="FF14" s="240"/>
      <c r="FG14" s="240"/>
      <c r="FH14" s="240"/>
      <c r="FI14" s="240"/>
      <c r="FJ14" s="240"/>
      <c r="FK14" s="240"/>
      <c r="FL14" s="240"/>
      <c r="FM14" s="361" t="s">
        <v>436</v>
      </c>
      <c r="FS14" s="268"/>
      <c r="FT14" s="268"/>
      <c r="FU14" s="268"/>
      <c r="FV14" s="242"/>
      <c r="FW14" s="242"/>
      <c r="FX14" s="242"/>
      <c r="FY14" s="242"/>
      <c r="FZ14" s="265"/>
      <c r="GA14" s="242"/>
      <c r="GB14" s="242"/>
      <c r="GC14" s="243"/>
      <c r="GD14" s="242"/>
      <c r="GE14" s="242"/>
      <c r="GF14" s="242"/>
      <c r="GG14" s="242"/>
      <c r="GH14" s="242"/>
      <c r="GI14" s="242"/>
      <c r="GJ14" s="240"/>
      <c r="GK14" s="985" t="s">
        <v>228</v>
      </c>
      <c r="GL14" s="985"/>
      <c r="GM14" s="985"/>
      <c r="GN14" s="985"/>
      <c r="GO14" s="985"/>
      <c r="GP14" s="985"/>
      <c r="GQ14" s="243" t="s">
        <v>450</v>
      </c>
      <c r="GR14" s="242"/>
      <c r="GS14" s="242"/>
      <c r="GT14" s="242"/>
      <c r="GU14" s="242"/>
      <c r="GV14" s="242"/>
      <c r="GW14" s="242"/>
      <c r="GX14" s="242"/>
      <c r="GY14" s="242"/>
      <c r="GZ14" s="242"/>
      <c r="HA14" s="242"/>
      <c r="HB14" s="242"/>
      <c r="HC14" s="242"/>
      <c r="HD14" s="242"/>
      <c r="HE14" s="242"/>
      <c r="HF14" s="242"/>
      <c r="HG14" s="242"/>
      <c r="HL14" s="979" t="s">
        <v>547</v>
      </c>
      <c r="HM14" s="979"/>
      <c r="HN14" s="979"/>
      <c r="HO14" s="979"/>
      <c r="HP14" s="979"/>
      <c r="HQ14" s="979"/>
      <c r="HR14" s="979"/>
      <c r="HS14" s="238"/>
      <c r="HT14" s="242"/>
      <c r="HU14" s="242"/>
      <c r="HV14" s="242"/>
      <c r="HW14" s="242"/>
      <c r="HX14" s="242"/>
      <c r="HY14" s="242"/>
      <c r="HZ14" s="242"/>
    </row>
    <row r="15" spans="1:242">
      <c r="H15" s="3"/>
      <c r="I15" s="3"/>
      <c r="J15" s="3"/>
      <c r="K15" s="3"/>
      <c r="L15" s="3"/>
      <c r="M15" s="3"/>
      <c r="N15" s="3"/>
      <c r="O15" s="3"/>
      <c r="P15" s="3"/>
      <c r="Q15" s="3"/>
      <c r="R15" s="43"/>
      <c r="S15" s="43"/>
      <c r="T15" s="43"/>
      <c r="U15" s="43"/>
      <c r="V15" s="43"/>
      <c r="W15" s="43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"/>
      <c r="AJ15" s="3"/>
      <c r="AK15" s="116"/>
      <c r="AL15" s="3"/>
      <c r="AM15" s="3"/>
      <c r="AN15" s="3"/>
      <c r="AO15" s="3"/>
      <c r="AP15" s="43"/>
      <c r="AQ15" s="43"/>
      <c r="AR15" s="43"/>
      <c r="AS15" s="43"/>
      <c r="AT15" s="43"/>
      <c r="AU15" s="43"/>
      <c r="AV15" s="43"/>
      <c r="BE15" s="3"/>
      <c r="BF15" s="3"/>
      <c r="BG15" s="3"/>
      <c r="BH15" s="3"/>
      <c r="BI15" s="3"/>
      <c r="BJ15" s="116"/>
      <c r="BK15" s="3"/>
      <c r="BL15" s="3"/>
      <c r="BM15" s="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CC15" s="3"/>
      <c r="CD15" s="3"/>
      <c r="CE15" s="3"/>
      <c r="CG15" s="3"/>
      <c r="CH15" s="3"/>
      <c r="CI15" s="3"/>
      <c r="CJ15" s="3"/>
      <c r="CK15" s="3"/>
      <c r="CL15" s="3"/>
      <c r="CN15" s="486"/>
      <c r="CO15" s="486"/>
      <c r="CP15" s="486"/>
      <c r="CQ15" s="486"/>
      <c r="CT15" s="43"/>
      <c r="CU15" s="43"/>
      <c r="CV15" s="43"/>
      <c r="CW15" s="43"/>
      <c r="CX15" s="43"/>
      <c r="CY15" s="43"/>
      <c r="CZ15" s="3"/>
      <c r="DA15" s="3"/>
      <c r="DB15" s="3"/>
      <c r="DD15" s="3"/>
      <c r="DE15" s="3"/>
      <c r="DF15" s="3"/>
      <c r="DG15" s="3"/>
      <c r="DH15" s="3"/>
      <c r="DI15" s="3"/>
      <c r="DJ15" s="3"/>
      <c r="DL15" s="486"/>
      <c r="DM15" s="486"/>
      <c r="DN15" s="486"/>
      <c r="DO15" s="486"/>
      <c r="DR15" s="43"/>
      <c r="DS15" s="43"/>
      <c r="DT15" s="43"/>
      <c r="DU15" s="43"/>
      <c r="DV15" s="43"/>
      <c r="DW15" s="43"/>
      <c r="DY15" s="3"/>
      <c r="DZ15" s="3"/>
      <c r="EA15" s="3"/>
      <c r="EB15" s="3"/>
      <c r="EC15" s="3"/>
      <c r="ED15" s="3"/>
      <c r="EJ15" s="486"/>
      <c r="EK15" s="486"/>
      <c r="EL15" s="486"/>
      <c r="EM15" s="486"/>
      <c r="EN15" s="3"/>
      <c r="EP15" s="43"/>
      <c r="EQ15" s="43"/>
      <c r="ER15" s="43"/>
      <c r="ES15" s="43"/>
      <c r="ET15" s="43"/>
      <c r="EU15" s="43"/>
      <c r="EV15" s="3"/>
      <c r="EW15" s="3"/>
      <c r="EX15" s="3"/>
      <c r="FC15" s="3"/>
      <c r="FD15" s="3"/>
      <c r="FE15" s="3"/>
      <c r="FF15" s="3"/>
      <c r="FG15" s="3"/>
      <c r="FH15" s="486"/>
      <c r="FI15" s="486"/>
      <c r="FJ15" s="486"/>
      <c r="FK15" s="486"/>
      <c r="FM15" s="3"/>
      <c r="FN15" s="3"/>
      <c r="FO15" s="359"/>
      <c r="FP15" s="486"/>
      <c r="FQ15" s="486"/>
      <c r="FR15" s="486"/>
      <c r="FS15" s="486"/>
      <c r="FX15" s="3"/>
      <c r="FY15" s="3"/>
      <c r="FZ15" s="3"/>
      <c r="GF15" s="486"/>
      <c r="GG15" s="486"/>
      <c r="GH15" s="486"/>
      <c r="GI15" s="486"/>
      <c r="GJ15" s="3"/>
      <c r="GK15" s="3"/>
      <c r="GM15" s="43"/>
      <c r="GN15" s="43"/>
      <c r="GO15" s="43"/>
      <c r="GP15" s="43"/>
      <c r="GQ15" s="43"/>
      <c r="GS15" s="3"/>
      <c r="GT15" s="3"/>
      <c r="GU15" s="3"/>
      <c r="HA15" s="3"/>
      <c r="HB15" s="3"/>
      <c r="HI15" s="43"/>
      <c r="HJ15" s="43"/>
      <c r="HK15" s="43"/>
      <c r="HL15" s="43"/>
      <c r="HM15" s="43"/>
      <c r="HN15" s="43"/>
      <c r="HO15" s="393"/>
      <c r="IC15" s="43"/>
      <c r="ID15" s="43"/>
    </row>
    <row r="16" spans="1:242" s="876" customFormat="1">
      <c r="A16" s="354" t="s">
        <v>0</v>
      </c>
      <c r="B16" s="318" t="s">
        <v>409</v>
      </c>
      <c r="C16" s="318" t="s">
        <v>410</v>
      </c>
      <c r="D16" s="318" t="s">
        <v>411</v>
      </c>
      <c r="E16" s="318" t="s">
        <v>412</v>
      </c>
      <c r="F16" s="318" t="s">
        <v>413</v>
      </c>
      <c r="G16" s="318" t="s">
        <v>414</v>
      </c>
      <c r="H16" s="318" t="s">
        <v>415</v>
      </c>
      <c r="I16" s="318" t="s">
        <v>416</v>
      </c>
      <c r="J16" s="318" t="s">
        <v>417</v>
      </c>
      <c r="K16" s="318" t="s">
        <v>418</v>
      </c>
      <c r="L16" s="318" t="s">
        <v>419</v>
      </c>
      <c r="M16" s="318" t="s">
        <v>420</v>
      </c>
      <c r="N16" s="318" t="s">
        <v>421</v>
      </c>
      <c r="O16" s="318" t="s">
        <v>422</v>
      </c>
      <c r="P16" s="318" t="s">
        <v>423</v>
      </c>
      <c r="Q16" s="318" t="s">
        <v>355</v>
      </c>
      <c r="R16" s="318" t="s">
        <v>399</v>
      </c>
      <c r="S16" s="365" t="s">
        <v>424</v>
      </c>
      <c r="T16" s="699" t="s">
        <v>446</v>
      </c>
      <c r="U16" s="772" t="s">
        <v>523</v>
      </c>
      <c r="V16" s="772" t="s">
        <v>524</v>
      </c>
      <c r="W16" s="772" t="s">
        <v>525</v>
      </c>
      <c r="Y16" s="354" t="s">
        <v>0</v>
      </c>
      <c r="Z16" s="318" t="s">
        <v>409</v>
      </c>
      <c r="AA16" s="318" t="s">
        <v>410</v>
      </c>
      <c r="AB16" s="318" t="s">
        <v>411</v>
      </c>
      <c r="AC16" s="318" t="s">
        <v>412</v>
      </c>
      <c r="AD16" s="318" t="s">
        <v>413</v>
      </c>
      <c r="AE16" s="318" t="s">
        <v>414</v>
      </c>
      <c r="AF16" s="318" t="s">
        <v>415</v>
      </c>
      <c r="AG16" s="318" t="s">
        <v>416</v>
      </c>
      <c r="AH16" s="318" t="s">
        <v>417</v>
      </c>
      <c r="AI16" s="318" t="s">
        <v>418</v>
      </c>
      <c r="AJ16" s="318" t="s">
        <v>419</v>
      </c>
      <c r="AK16" s="318" t="s">
        <v>420</v>
      </c>
      <c r="AL16" s="318" t="s">
        <v>421</v>
      </c>
      <c r="AM16" s="318" t="s">
        <v>422</v>
      </c>
      <c r="AN16" s="318" t="s">
        <v>423</v>
      </c>
      <c r="AO16" s="318" t="s">
        <v>355</v>
      </c>
      <c r="AP16" s="318" t="s">
        <v>399</v>
      </c>
      <c r="AQ16" s="365" t="s">
        <v>424</v>
      </c>
      <c r="AR16" s="699" t="s">
        <v>446</v>
      </c>
      <c r="AS16" s="772" t="s">
        <v>523</v>
      </c>
      <c r="AT16" s="772" t="s">
        <v>524</v>
      </c>
      <c r="AU16" s="772" t="s">
        <v>525</v>
      </c>
      <c r="AW16" s="354" t="s">
        <v>0</v>
      </c>
      <c r="AX16" s="318" t="s">
        <v>409</v>
      </c>
      <c r="AY16" s="318" t="s">
        <v>410</v>
      </c>
      <c r="AZ16" s="318" t="s">
        <v>411</v>
      </c>
      <c r="BA16" s="318" t="s">
        <v>412</v>
      </c>
      <c r="BB16" s="318" t="s">
        <v>413</v>
      </c>
      <c r="BC16" s="318" t="s">
        <v>414</v>
      </c>
      <c r="BD16" s="318" t="s">
        <v>415</v>
      </c>
      <c r="BE16" s="318" t="s">
        <v>416</v>
      </c>
      <c r="BF16" s="318" t="s">
        <v>417</v>
      </c>
      <c r="BG16" s="318" t="s">
        <v>418</v>
      </c>
      <c r="BH16" s="318" t="s">
        <v>419</v>
      </c>
      <c r="BI16" s="318" t="s">
        <v>420</v>
      </c>
      <c r="BJ16" s="318" t="s">
        <v>421</v>
      </c>
      <c r="BK16" s="318" t="s">
        <v>422</v>
      </c>
      <c r="BL16" s="318" t="s">
        <v>423</v>
      </c>
      <c r="BM16" s="318" t="s">
        <v>355</v>
      </c>
      <c r="BN16" s="318" t="s">
        <v>399</v>
      </c>
      <c r="BO16" s="365" t="s">
        <v>424</v>
      </c>
      <c r="BP16" s="699" t="s">
        <v>446</v>
      </c>
      <c r="BQ16" s="772" t="s">
        <v>523</v>
      </c>
      <c r="BR16" s="772" t="s">
        <v>524</v>
      </c>
      <c r="BS16" s="772" t="s">
        <v>525</v>
      </c>
      <c r="BT16" s="354"/>
      <c r="BU16" s="354" t="s">
        <v>0</v>
      </c>
      <c r="BV16" s="318" t="s">
        <v>409</v>
      </c>
      <c r="BW16" s="318" t="s">
        <v>410</v>
      </c>
      <c r="BX16" s="318" t="s">
        <v>411</v>
      </c>
      <c r="BY16" s="318" t="s">
        <v>412</v>
      </c>
      <c r="BZ16" s="318" t="s">
        <v>413</v>
      </c>
      <c r="CA16" s="318" t="s">
        <v>414</v>
      </c>
      <c r="CB16" s="318" t="s">
        <v>415</v>
      </c>
      <c r="CC16" s="318" t="s">
        <v>416</v>
      </c>
      <c r="CD16" s="318" t="s">
        <v>417</v>
      </c>
      <c r="CE16" s="318" t="s">
        <v>418</v>
      </c>
      <c r="CF16" s="318" t="s">
        <v>419</v>
      </c>
      <c r="CG16" s="318" t="s">
        <v>420</v>
      </c>
      <c r="CH16" s="318" t="s">
        <v>421</v>
      </c>
      <c r="CI16" s="318" t="s">
        <v>422</v>
      </c>
      <c r="CJ16" s="318" t="s">
        <v>423</v>
      </c>
      <c r="CK16" s="318" t="s">
        <v>355</v>
      </c>
      <c r="CL16" s="318" t="s">
        <v>399</v>
      </c>
      <c r="CM16" s="365" t="s">
        <v>424</v>
      </c>
      <c r="CN16" s="699" t="s">
        <v>446</v>
      </c>
      <c r="CO16" s="772" t="s">
        <v>523</v>
      </c>
      <c r="CP16" s="772" t="s">
        <v>524</v>
      </c>
      <c r="CQ16" s="772" t="s">
        <v>525</v>
      </c>
      <c r="CS16" s="354" t="s">
        <v>0</v>
      </c>
      <c r="CT16" s="318" t="s">
        <v>409</v>
      </c>
      <c r="CU16" s="318" t="s">
        <v>410</v>
      </c>
      <c r="CV16" s="318" t="s">
        <v>411</v>
      </c>
      <c r="CW16" s="318" t="s">
        <v>412</v>
      </c>
      <c r="CX16" s="318" t="s">
        <v>413</v>
      </c>
      <c r="CY16" s="318" t="s">
        <v>414</v>
      </c>
      <c r="CZ16" s="318" t="s">
        <v>415</v>
      </c>
      <c r="DA16" s="318" t="s">
        <v>416</v>
      </c>
      <c r="DB16" s="318" t="s">
        <v>417</v>
      </c>
      <c r="DC16" s="318" t="s">
        <v>418</v>
      </c>
      <c r="DD16" s="318" t="s">
        <v>419</v>
      </c>
      <c r="DE16" s="318" t="s">
        <v>420</v>
      </c>
      <c r="DF16" s="318" t="s">
        <v>421</v>
      </c>
      <c r="DG16" s="318" t="s">
        <v>422</v>
      </c>
      <c r="DH16" s="318" t="s">
        <v>423</v>
      </c>
      <c r="DI16" s="318" t="s">
        <v>355</v>
      </c>
      <c r="DJ16" s="318" t="s">
        <v>399</v>
      </c>
      <c r="DK16" s="365" t="s">
        <v>424</v>
      </c>
      <c r="DL16" s="699" t="s">
        <v>446</v>
      </c>
      <c r="DM16" s="772" t="s">
        <v>523</v>
      </c>
      <c r="DN16" s="772" t="s">
        <v>524</v>
      </c>
      <c r="DO16" s="772" t="s">
        <v>525</v>
      </c>
      <c r="DQ16" s="354" t="s">
        <v>0</v>
      </c>
      <c r="DR16" s="318" t="s">
        <v>409</v>
      </c>
      <c r="DS16" s="318" t="s">
        <v>410</v>
      </c>
      <c r="DT16" s="318" t="s">
        <v>411</v>
      </c>
      <c r="DU16" s="318" t="s">
        <v>412</v>
      </c>
      <c r="DV16" s="318" t="s">
        <v>413</v>
      </c>
      <c r="DW16" s="318" t="s">
        <v>414</v>
      </c>
      <c r="DX16" s="318" t="s">
        <v>415</v>
      </c>
      <c r="DY16" s="318" t="s">
        <v>416</v>
      </c>
      <c r="DZ16" s="318" t="s">
        <v>417</v>
      </c>
      <c r="EA16" s="318" t="s">
        <v>418</v>
      </c>
      <c r="EB16" s="318" t="s">
        <v>419</v>
      </c>
      <c r="EC16" s="318" t="s">
        <v>420</v>
      </c>
      <c r="ED16" s="318" t="s">
        <v>421</v>
      </c>
      <c r="EE16" s="318" t="s">
        <v>422</v>
      </c>
      <c r="EF16" s="318" t="s">
        <v>423</v>
      </c>
      <c r="EG16" s="318" t="s">
        <v>355</v>
      </c>
      <c r="EH16" s="318" t="s">
        <v>399</v>
      </c>
      <c r="EI16" s="365" t="s">
        <v>424</v>
      </c>
      <c r="EJ16" s="699" t="s">
        <v>446</v>
      </c>
      <c r="EK16" s="772" t="s">
        <v>523</v>
      </c>
      <c r="EL16" s="772" t="s">
        <v>524</v>
      </c>
      <c r="EM16" s="772" t="s">
        <v>525</v>
      </c>
      <c r="EO16" s="354" t="s">
        <v>0</v>
      </c>
      <c r="EP16" s="318" t="s">
        <v>409</v>
      </c>
      <c r="EQ16" s="318" t="s">
        <v>410</v>
      </c>
      <c r="ER16" s="318" t="s">
        <v>411</v>
      </c>
      <c r="ES16" s="318" t="s">
        <v>412</v>
      </c>
      <c r="ET16" s="318" t="s">
        <v>413</v>
      </c>
      <c r="EU16" s="318" t="s">
        <v>414</v>
      </c>
      <c r="EV16" s="318" t="s">
        <v>415</v>
      </c>
      <c r="EW16" s="318" t="s">
        <v>416</v>
      </c>
      <c r="EX16" s="318" t="s">
        <v>417</v>
      </c>
      <c r="EY16" s="318" t="s">
        <v>418</v>
      </c>
      <c r="EZ16" s="318" t="s">
        <v>419</v>
      </c>
      <c r="FA16" s="318" t="s">
        <v>420</v>
      </c>
      <c r="FB16" s="318" t="s">
        <v>421</v>
      </c>
      <c r="FC16" s="318" t="s">
        <v>422</v>
      </c>
      <c r="FD16" s="318" t="s">
        <v>423</v>
      </c>
      <c r="FE16" s="318" t="s">
        <v>355</v>
      </c>
      <c r="FF16" s="318" t="s">
        <v>399</v>
      </c>
      <c r="FG16" s="365" t="s">
        <v>424</v>
      </c>
      <c r="FH16" s="699" t="s">
        <v>446</v>
      </c>
      <c r="FI16" s="772" t="s">
        <v>523</v>
      </c>
      <c r="FJ16" s="772" t="s">
        <v>524</v>
      </c>
      <c r="FK16" s="772" t="s">
        <v>525</v>
      </c>
      <c r="FM16" s="354" t="s">
        <v>0</v>
      </c>
      <c r="FN16" s="318" t="s">
        <v>409</v>
      </c>
      <c r="FO16" s="318" t="s">
        <v>410</v>
      </c>
      <c r="FP16" s="318" t="s">
        <v>411</v>
      </c>
      <c r="FQ16" s="318" t="s">
        <v>412</v>
      </c>
      <c r="FR16" s="318" t="s">
        <v>413</v>
      </c>
      <c r="FS16" s="318" t="s">
        <v>414</v>
      </c>
      <c r="FT16" s="318" t="s">
        <v>415</v>
      </c>
      <c r="FU16" s="318" t="s">
        <v>416</v>
      </c>
      <c r="FV16" s="318" t="s">
        <v>417</v>
      </c>
      <c r="FW16" s="318" t="s">
        <v>418</v>
      </c>
      <c r="FX16" s="318" t="s">
        <v>419</v>
      </c>
      <c r="FY16" s="318" t="s">
        <v>420</v>
      </c>
      <c r="FZ16" s="318" t="s">
        <v>421</v>
      </c>
      <c r="GA16" s="318" t="s">
        <v>422</v>
      </c>
      <c r="GB16" s="318" t="s">
        <v>423</v>
      </c>
      <c r="GC16" s="318" t="s">
        <v>355</v>
      </c>
      <c r="GD16" s="318" t="s">
        <v>399</v>
      </c>
      <c r="GE16" s="365" t="s">
        <v>424</v>
      </c>
      <c r="GF16" s="699" t="s">
        <v>446</v>
      </c>
      <c r="GG16" s="772" t="s">
        <v>523</v>
      </c>
      <c r="GH16" s="772" t="s">
        <v>524</v>
      </c>
      <c r="GI16" s="772" t="s">
        <v>525</v>
      </c>
      <c r="GJ16" s="355"/>
      <c r="GK16" s="355" t="s">
        <v>0</v>
      </c>
      <c r="GL16" s="355" t="s">
        <v>409</v>
      </c>
      <c r="GM16" s="355" t="s">
        <v>410</v>
      </c>
      <c r="GN16" s="355" t="s">
        <v>411</v>
      </c>
      <c r="GO16" s="355" t="s">
        <v>412</v>
      </c>
      <c r="GP16" s="355" t="s">
        <v>413</v>
      </c>
      <c r="GQ16" s="355" t="s">
        <v>414</v>
      </c>
      <c r="GR16" s="355" t="s">
        <v>415</v>
      </c>
      <c r="GS16" s="355" t="s">
        <v>416</v>
      </c>
      <c r="GT16" s="355" t="s">
        <v>417</v>
      </c>
      <c r="GU16" s="355" t="s">
        <v>418</v>
      </c>
      <c r="GV16" s="355" t="s">
        <v>419</v>
      </c>
      <c r="GW16" s="355" t="s">
        <v>420</v>
      </c>
      <c r="GX16" s="355" t="s">
        <v>421</v>
      </c>
      <c r="GY16" s="355" t="s">
        <v>422</v>
      </c>
      <c r="GZ16" s="876" t="s">
        <v>423</v>
      </c>
      <c r="HA16" s="876" t="s">
        <v>355</v>
      </c>
      <c r="HB16" s="354" t="s">
        <v>399</v>
      </c>
      <c r="HC16" s="354" t="s">
        <v>424</v>
      </c>
      <c r="HD16" s="354" t="s">
        <v>446</v>
      </c>
      <c r="HE16" s="354" t="s">
        <v>523</v>
      </c>
      <c r="HF16" s="354" t="s">
        <v>524</v>
      </c>
      <c r="HG16" s="354" t="s">
        <v>525</v>
      </c>
      <c r="HH16" s="354"/>
      <c r="HI16" s="354"/>
      <c r="HJ16" s="354"/>
      <c r="HL16" s="876" t="s">
        <v>0</v>
      </c>
      <c r="HM16" s="353" t="s">
        <v>409</v>
      </c>
      <c r="HN16" s="353" t="s">
        <v>410</v>
      </c>
      <c r="HO16" s="353" t="s">
        <v>411</v>
      </c>
      <c r="HP16" s="353" t="s">
        <v>412</v>
      </c>
      <c r="HQ16" s="354" t="s">
        <v>413</v>
      </c>
      <c r="HR16" s="353" t="s">
        <v>414</v>
      </c>
      <c r="HS16" s="354" t="s">
        <v>415</v>
      </c>
      <c r="HT16" s="353" t="s">
        <v>416</v>
      </c>
      <c r="HU16" s="354" t="s">
        <v>417</v>
      </c>
      <c r="HV16" s="355" t="s">
        <v>418</v>
      </c>
      <c r="HW16" s="355" t="s">
        <v>419</v>
      </c>
      <c r="HX16" s="355" t="s">
        <v>420</v>
      </c>
      <c r="HY16" s="355" t="s">
        <v>421</v>
      </c>
      <c r="HZ16" s="355" t="s">
        <v>422</v>
      </c>
      <c r="IA16" s="876" t="s">
        <v>423</v>
      </c>
      <c r="IB16" s="876" t="s">
        <v>355</v>
      </c>
      <c r="IC16" s="354" t="s">
        <v>399</v>
      </c>
      <c r="ID16" s="878" t="s">
        <v>424</v>
      </c>
      <c r="IE16" s="354" t="s">
        <v>446</v>
      </c>
      <c r="IF16" s="354" t="s">
        <v>523</v>
      </c>
      <c r="IG16" s="354" t="s">
        <v>524</v>
      </c>
      <c r="IH16" s="354" t="s">
        <v>525</v>
      </c>
    </row>
    <row r="17" spans="1:242" ht="14">
      <c r="A17" s="43" t="s">
        <v>1</v>
      </c>
      <c r="B17" s="319">
        <v>1929274</v>
      </c>
      <c r="C17" s="319">
        <v>2216684</v>
      </c>
      <c r="D17" s="319">
        <v>1812391</v>
      </c>
      <c r="E17" s="319">
        <v>1879458</v>
      </c>
      <c r="F17" s="319">
        <v>1973731</v>
      </c>
      <c r="G17" s="319">
        <v>1853332</v>
      </c>
      <c r="H17" s="319">
        <v>2002546</v>
      </c>
      <c r="I17" s="319">
        <v>2552892</v>
      </c>
      <c r="J17" s="319">
        <v>1886382.96</v>
      </c>
      <c r="K17" s="319">
        <v>1944954.2</v>
      </c>
      <c r="L17" s="319">
        <v>2033159.08</v>
      </c>
      <c r="M17" s="319">
        <v>2093692.57</v>
      </c>
      <c r="N17" s="319">
        <v>2199652.08</v>
      </c>
      <c r="O17" s="319">
        <v>2445246.61</v>
      </c>
      <c r="P17" s="319">
        <v>2500342.5300000003</v>
      </c>
      <c r="Q17" s="319">
        <v>2400180.0300000003</v>
      </c>
      <c r="R17" s="319">
        <v>2433364.4699999997</v>
      </c>
      <c r="S17" s="363">
        <v>2309059.98</v>
      </c>
      <c r="T17" s="363">
        <v>2611158</v>
      </c>
      <c r="U17" s="363">
        <v>2339358.9900000002</v>
      </c>
      <c r="V17" s="363">
        <v>2233183.7200000002</v>
      </c>
      <c r="W17" s="363">
        <v>2247960.46</v>
      </c>
      <c r="X17" s="7"/>
      <c r="Y17" s="43" t="s">
        <v>1</v>
      </c>
      <c r="Z17" s="319">
        <v>0</v>
      </c>
      <c r="AA17" s="319">
        <v>22166.84</v>
      </c>
      <c r="AB17" s="319">
        <v>0</v>
      </c>
      <c r="AC17" s="319">
        <v>0</v>
      </c>
      <c r="AD17" s="319">
        <v>0</v>
      </c>
      <c r="AE17" s="319">
        <v>0</v>
      </c>
      <c r="AF17" s="319">
        <v>0</v>
      </c>
      <c r="AG17" s="319">
        <v>0</v>
      </c>
      <c r="AH17" s="319">
        <v>0</v>
      </c>
      <c r="AI17" s="319">
        <v>0</v>
      </c>
      <c r="AJ17" s="319">
        <v>0</v>
      </c>
      <c r="AK17" s="319">
        <v>0</v>
      </c>
      <c r="AL17" s="319">
        <v>0</v>
      </c>
      <c r="AM17" s="319">
        <v>0</v>
      </c>
      <c r="AN17" s="319">
        <v>0</v>
      </c>
      <c r="AO17" s="319">
        <v>0</v>
      </c>
      <c r="AP17" s="363">
        <v>0</v>
      </c>
      <c r="AQ17" s="363">
        <v>0</v>
      </c>
      <c r="AR17" s="754">
        <v>0</v>
      </c>
      <c r="AS17" s="754">
        <v>0</v>
      </c>
      <c r="AT17" s="754">
        <v>0</v>
      </c>
      <c r="AU17" s="754">
        <v>0</v>
      </c>
      <c r="AV17" s="39"/>
      <c r="AW17" s="43" t="s">
        <v>1</v>
      </c>
      <c r="AX17" s="319">
        <v>1157564.3999999999</v>
      </c>
      <c r="AY17" s="319">
        <v>1152675.68</v>
      </c>
      <c r="AZ17" s="319">
        <v>1105558.51</v>
      </c>
      <c r="BA17" s="319">
        <v>1165263.96</v>
      </c>
      <c r="BB17" s="319">
        <v>1282925.1499999999</v>
      </c>
      <c r="BC17" s="319">
        <v>1297332.3999999999</v>
      </c>
      <c r="BD17" s="319">
        <v>1381756.74</v>
      </c>
      <c r="BE17" s="319">
        <v>1250917.08</v>
      </c>
      <c r="BF17" s="319">
        <v>1304053.42</v>
      </c>
      <c r="BG17" s="319">
        <v>1332659.94</v>
      </c>
      <c r="BH17" s="319">
        <v>1381840.76</v>
      </c>
      <c r="BI17" s="319">
        <v>1490439.31</v>
      </c>
      <c r="BJ17" s="319">
        <v>1427777.59</v>
      </c>
      <c r="BK17" s="319">
        <v>1418935.51</v>
      </c>
      <c r="BL17" s="319">
        <v>1422506.58</v>
      </c>
      <c r="BM17" s="319">
        <v>1481257.78</v>
      </c>
      <c r="BN17" s="363">
        <v>1452769.11</v>
      </c>
      <c r="BO17" s="363">
        <v>1492855.53</v>
      </c>
      <c r="BP17" s="754">
        <v>1569975.7</v>
      </c>
      <c r="BQ17" s="754">
        <v>1578283.97</v>
      </c>
      <c r="BR17" s="754">
        <v>1587760.07</v>
      </c>
      <c r="BS17" s="754">
        <v>1600000</v>
      </c>
      <c r="BT17" s="286"/>
      <c r="BU17" s="43" t="s">
        <v>1</v>
      </c>
      <c r="BV17" s="319">
        <v>192927.4</v>
      </c>
      <c r="BW17" s="319">
        <v>310335.76</v>
      </c>
      <c r="BX17" s="319">
        <v>199363.01</v>
      </c>
      <c r="BY17" s="319">
        <v>187945.8</v>
      </c>
      <c r="BZ17" s="319">
        <v>256585.03</v>
      </c>
      <c r="CA17" s="319">
        <v>166799.88</v>
      </c>
      <c r="CB17" s="319">
        <v>200254.6</v>
      </c>
      <c r="CC17" s="319">
        <v>561636.24</v>
      </c>
      <c r="CD17" s="319">
        <v>81962.909999999989</v>
      </c>
      <c r="CE17" s="319">
        <v>111430.34</v>
      </c>
      <c r="CF17" s="319">
        <v>106691.78000000001</v>
      </c>
      <c r="CG17" s="319">
        <v>110194.38</v>
      </c>
      <c r="CH17" s="319">
        <v>265568.13</v>
      </c>
      <c r="CI17" s="319">
        <v>357409.6</v>
      </c>
      <c r="CJ17" s="319">
        <v>490543.92</v>
      </c>
      <c r="CK17" s="319">
        <v>384195.63999999996</v>
      </c>
      <c r="CL17" s="363">
        <v>467343.3</v>
      </c>
      <c r="CM17" s="363">
        <v>223861.86000000002</v>
      </c>
      <c r="CN17" s="754">
        <v>38790.5</v>
      </c>
      <c r="CO17" s="754">
        <v>147460.99</v>
      </c>
      <c r="CP17" s="754">
        <v>161933.01</v>
      </c>
      <c r="CQ17" s="754">
        <v>123733.45999999999</v>
      </c>
      <c r="CR17" s="39"/>
      <c r="CS17" s="43" t="s">
        <v>1</v>
      </c>
      <c r="CT17" s="319">
        <v>270098.36</v>
      </c>
      <c r="CU17" s="319">
        <v>310335.76</v>
      </c>
      <c r="CV17" s="319">
        <v>289982.56</v>
      </c>
      <c r="CW17" s="319">
        <v>357097.02</v>
      </c>
      <c r="CX17" s="319">
        <v>315796.96000000002</v>
      </c>
      <c r="CY17" s="319">
        <v>315066.44</v>
      </c>
      <c r="CZ17" s="319">
        <v>380483.74</v>
      </c>
      <c r="DA17" s="319">
        <v>408462.72</v>
      </c>
      <c r="DB17" s="319">
        <v>304044.64</v>
      </c>
      <c r="DC17" s="319">
        <v>341121.74000000005</v>
      </c>
      <c r="DD17" s="319">
        <v>371162.68000000005</v>
      </c>
      <c r="DE17" s="319">
        <v>373667.83</v>
      </c>
      <c r="DF17" s="319">
        <v>351950.05</v>
      </c>
      <c r="DG17" s="319">
        <v>367981.55000000005</v>
      </c>
      <c r="DH17" s="319">
        <v>371120.68999999994</v>
      </c>
      <c r="DI17" s="319">
        <v>379232.82000000007</v>
      </c>
      <c r="DJ17" s="363">
        <v>407275.12999999995</v>
      </c>
      <c r="DK17" s="363">
        <v>401151.36</v>
      </c>
      <c r="DL17" s="754">
        <v>390941.35</v>
      </c>
      <c r="DM17" s="754">
        <v>392468.51</v>
      </c>
      <c r="DN17" s="754">
        <v>394577.08000000007</v>
      </c>
      <c r="DO17" s="754">
        <v>378320</v>
      </c>
      <c r="DP17" s="39"/>
      <c r="DQ17" s="43" t="s">
        <v>1</v>
      </c>
      <c r="DR17" s="319">
        <v>19292.740000000002</v>
      </c>
      <c r="DS17" s="319">
        <v>0</v>
      </c>
      <c r="DT17" s="319">
        <v>18123.91</v>
      </c>
      <c r="DU17" s="319">
        <v>18794.580000000002</v>
      </c>
      <c r="DV17" s="319">
        <v>19737.310000000001</v>
      </c>
      <c r="DW17" s="319">
        <v>18533.32</v>
      </c>
      <c r="DX17" s="319">
        <v>20025.46</v>
      </c>
      <c r="DY17" s="319">
        <v>25528.92</v>
      </c>
      <c r="DZ17" s="319">
        <v>8572.64</v>
      </c>
      <c r="EA17" s="319">
        <v>6579.78</v>
      </c>
      <c r="EB17" s="319">
        <v>15201.97</v>
      </c>
      <c r="EC17" s="319">
        <v>33298.03</v>
      </c>
      <c r="ED17" s="319">
        <v>54662.75</v>
      </c>
      <c r="EE17" s="319">
        <v>42168.94</v>
      </c>
      <c r="EF17" s="319">
        <v>38846.160000000003</v>
      </c>
      <c r="EG17" s="319">
        <v>35112.21</v>
      </c>
      <c r="EH17" s="363">
        <v>22262.63</v>
      </c>
      <c r="EI17" s="363">
        <v>18533.57</v>
      </c>
      <c r="EJ17" s="754">
        <v>11711.73</v>
      </c>
      <c r="EK17" s="754">
        <v>11235.35</v>
      </c>
      <c r="EL17" s="754">
        <v>5494.65</v>
      </c>
      <c r="EM17" s="754">
        <v>6000</v>
      </c>
      <c r="EN17" s="39"/>
      <c r="EO17" s="43" t="s">
        <v>1</v>
      </c>
      <c r="EP17" s="319">
        <v>289391.09999999998</v>
      </c>
      <c r="EQ17" s="319">
        <v>421169.96</v>
      </c>
      <c r="ER17" s="319">
        <v>199363.01</v>
      </c>
      <c r="ES17" s="319">
        <v>150356.64000000001</v>
      </c>
      <c r="ET17" s="319">
        <v>98686.55</v>
      </c>
      <c r="EU17" s="319">
        <v>55599.96</v>
      </c>
      <c r="EV17" s="319">
        <v>20025.46</v>
      </c>
      <c r="EW17" s="319">
        <v>306347.03999999998</v>
      </c>
      <c r="EX17" s="319">
        <v>172749.35</v>
      </c>
      <c r="EY17" s="319">
        <v>114611.95</v>
      </c>
      <c r="EZ17" s="319">
        <v>87055.83</v>
      </c>
      <c r="FA17" s="319">
        <v>84861.140000000014</v>
      </c>
      <c r="FB17" s="319">
        <v>98154.67</v>
      </c>
      <c r="FC17" s="319">
        <v>100501.01</v>
      </c>
      <c r="FD17" s="319">
        <v>79177.960000000006</v>
      </c>
      <c r="FE17" s="319">
        <v>110902.18000000001</v>
      </c>
      <c r="FF17" s="363">
        <v>80514.559999999998</v>
      </c>
      <c r="FG17" s="363">
        <v>164389.51</v>
      </c>
      <c r="FH17" s="363">
        <v>123425.78</v>
      </c>
      <c r="FI17" s="363">
        <v>77155.86</v>
      </c>
      <c r="FJ17" s="363">
        <v>83418.91</v>
      </c>
      <c r="FK17" s="363">
        <v>113907</v>
      </c>
      <c r="FM17" s="43" t="s">
        <v>1</v>
      </c>
      <c r="FN17" s="319">
        <v>16607</v>
      </c>
      <c r="FO17" s="319">
        <v>15606</v>
      </c>
      <c r="FP17" s="319">
        <v>63088</v>
      </c>
      <c r="FQ17" s="319">
        <v>26504</v>
      </c>
      <c r="FR17" s="319">
        <v>240940</v>
      </c>
      <c r="FS17" s="319">
        <v>348207</v>
      </c>
      <c r="FT17" s="319">
        <v>444284</v>
      </c>
      <c r="FU17" s="319">
        <v>493392</v>
      </c>
      <c r="FV17" s="319">
        <v>233655.09000000032</v>
      </c>
      <c r="FW17" s="319">
        <v>291937.27</v>
      </c>
      <c r="FX17" s="319">
        <v>499610.88</v>
      </c>
      <c r="FY17" s="319">
        <v>866092.45</v>
      </c>
      <c r="FZ17" s="319">
        <v>712960.75</v>
      </c>
      <c r="GA17" s="319">
        <v>1091265.3899999999</v>
      </c>
      <c r="GB17" s="319">
        <v>1168739.01</v>
      </c>
      <c r="GC17" s="319">
        <v>1361010.42</v>
      </c>
      <c r="GD17" s="319">
        <v>1234282.3400000001</v>
      </c>
      <c r="GE17" s="325">
        <v>999189.83</v>
      </c>
      <c r="GF17" s="758">
        <v>1171766.48</v>
      </c>
      <c r="GG17" s="758">
        <v>764725.1</v>
      </c>
      <c r="GH17" s="758">
        <v>610035.25</v>
      </c>
      <c r="GI17" s="758">
        <v>68821.810000000056</v>
      </c>
      <c r="GJ17" s="42"/>
      <c r="GK17" s="570" t="s">
        <v>1</v>
      </c>
      <c r="GL17" s="571">
        <f>FN17/'4GF Expenditures'!B18</f>
        <v>7.6504006014549908E-3</v>
      </c>
      <c r="GM17" s="571">
        <f>FO17/'4GF Expenditures'!C18</f>
        <v>7.0370679334531283E-3</v>
      </c>
      <c r="GN17" s="571">
        <f>FP17/'4GF Expenditures'!D18</f>
        <v>3.5745752330573415E-2</v>
      </c>
      <c r="GO17" s="571">
        <f>FQ17/'4GF Expenditures'!E18</f>
        <v>1.3832682164587206E-2</v>
      </c>
      <c r="GP17" s="571">
        <f>FR17/'4GF Expenditures'!F18</f>
        <v>0.13695258612114511</v>
      </c>
      <c r="GQ17" s="571">
        <f>FS17/'4GF Expenditures'!G18</f>
        <v>0.19945811721508908</v>
      </c>
      <c r="GR17" s="571">
        <f>FT17/'4GF Expenditures'!H18</f>
        <v>0.23304024350776226</v>
      </c>
      <c r="GS17" s="571">
        <f>FU17/'4GF Expenditures'!I18</f>
        <v>0.19705853220565353</v>
      </c>
      <c r="GT17" s="571">
        <f>FV17/'4GF Expenditures'!J18</f>
        <v>0.10885811987733611</v>
      </c>
      <c r="GU17" s="571">
        <f>FW17/'4GF Expenditures'!K18</f>
        <v>0.15473662984624112</v>
      </c>
      <c r="GV17" s="571">
        <f>FX17/'4GF Expenditures'!L18</f>
        <v>0.27368658267107437</v>
      </c>
      <c r="GW17" s="571">
        <f>FY17/'4GF Expenditures'!M18</f>
        <v>0.50143986461410905</v>
      </c>
      <c r="GX17" s="571">
        <f>FZ17/'4GF Expenditures'!N18</f>
        <v>0.30307367461795243</v>
      </c>
      <c r="GY17" s="571">
        <f>GA17/'4GF Expenditures'!O18</f>
        <v>0.52796130991524648</v>
      </c>
      <c r="GZ17" s="571">
        <f>GB17/'4GF Expenditures'!P18</f>
        <v>0.48237814484152175</v>
      </c>
      <c r="HA17" s="571">
        <f>GC17/'4GF Expenditures'!Q18</f>
        <v>0.61642515803031728</v>
      </c>
      <c r="HB17" s="571">
        <f>GD17/'4GF Expenditures'!R18</f>
        <v>0.48212410914597609</v>
      </c>
      <c r="HC17" s="571">
        <f>GE17/'4GF Expenditures'!S18</f>
        <v>0.39273975672739642</v>
      </c>
      <c r="HD17" s="571">
        <f>GF17/'4GF Expenditures'!T18</f>
        <v>0.46748657358944068</v>
      </c>
      <c r="HE17" s="571">
        <f>GG17/'4GF Expenditures'!U18</f>
        <v>0.27844632863925806</v>
      </c>
      <c r="HF17" s="571">
        <f>GH17/'4GF Expenditures'!V18</f>
        <v>0.25547217309331832</v>
      </c>
      <c r="HG17" s="571">
        <f>GI17/'4GF Expenditures'!W18</f>
        <v>2.467462139954775E-2</v>
      </c>
      <c r="HH17" s="571"/>
      <c r="HI17" s="571"/>
      <c r="HJ17" s="571"/>
      <c r="HK17" s="568"/>
      <c r="HL17" s="567" t="s">
        <v>1</v>
      </c>
      <c r="HM17" s="571">
        <f>B17/'4GF Expenditures'!B18</f>
        <v>0.88876491659971546</v>
      </c>
      <c r="HN17" s="571">
        <f>C17/'4GF Expenditures'!C18</f>
        <v>0.99954862841206027</v>
      </c>
      <c r="HO17" s="571">
        <f>D17/'4GF Expenditures'!D18</f>
        <v>1.0269033700887695</v>
      </c>
      <c r="HP17" s="571">
        <f>E17/'4GF Expenditures'!E18</f>
        <v>0.98090647282262078</v>
      </c>
      <c r="HQ17" s="571">
        <f>F17/'4GF Expenditures'!F18</f>
        <v>1.1218874606021161</v>
      </c>
      <c r="HR17" s="571">
        <f>G17/'4GF Expenditures'!G18</f>
        <v>1.0616159677848966</v>
      </c>
      <c r="HS17" s="571">
        <f>H17/'4GF Expenditures'!H18</f>
        <v>1.0503952595085471</v>
      </c>
      <c r="HT17" s="571">
        <f>I17/'4GF Expenditures'!I18</f>
        <v>1.0196135129867432</v>
      </c>
      <c r="HU17" s="571">
        <f>J17/'4GF Expenditures'!J18</f>
        <v>0.878851397563151</v>
      </c>
      <c r="HV17" s="571">
        <f>K17/'4GF Expenditures'!K18</f>
        <v>1.0308915271876455</v>
      </c>
      <c r="HW17" s="571">
        <f>L17/'4GF Expenditures'!L18</f>
        <v>1.1137634965672996</v>
      </c>
      <c r="HX17" s="571">
        <f>M17/'4GF Expenditures'!M18</f>
        <v>1.2121811232096136</v>
      </c>
      <c r="HY17" s="571">
        <f>N17/'4GF Expenditures'!N18</f>
        <v>0.93505377226814002</v>
      </c>
      <c r="HZ17" s="571">
        <f>O17/'4GF Expenditures'!O18</f>
        <v>1.1830262510949934</v>
      </c>
      <c r="IA17" s="571">
        <f>P17/'4GF Expenditures'!P18</f>
        <v>1.0319759850317285</v>
      </c>
      <c r="IB17" s="571">
        <f>Q17/'4GF Expenditures'!Q18</f>
        <v>1.0870830469424049</v>
      </c>
      <c r="IC17" s="571">
        <f>R17/'4GF Expenditures'!R18</f>
        <v>0.9504986333404235</v>
      </c>
      <c r="ID17" s="571">
        <f>S17/'4GF Expenditures'!S18</f>
        <v>0.90759496102373949</v>
      </c>
      <c r="IE17" s="571">
        <f>T17/'4GF Expenditures'!T18</f>
        <v>1.0417445176624756</v>
      </c>
      <c r="IF17" s="571">
        <f>U17/'4GF Expenditures'!U18</f>
        <v>0.85179095355277723</v>
      </c>
      <c r="IG17" s="571">
        <f>V17/'4GF Expenditures'!V18</f>
        <v>0.9352185760823174</v>
      </c>
      <c r="IH17" s="571">
        <f>W17/'4GF Expenditures'!W18</f>
        <v>0.80595923402266167</v>
      </c>
    </row>
    <row r="18" spans="1:242" ht="14">
      <c r="A18" s="43" t="s">
        <v>2</v>
      </c>
      <c r="B18" s="319">
        <v>909768</v>
      </c>
      <c r="C18" s="319">
        <v>1048596</v>
      </c>
      <c r="D18" s="319">
        <v>1097799</v>
      </c>
      <c r="E18" s="319">
        <v>1124138</v>
      </c>
      <c r="F18" s="319">
        <v>1117912</v>
      </c>
      <c r="G18" s="319">
        <v>1161186</v>
      </c>
      <c r="H18" s="319">
        <v>1385255</v>
      </c>
      <c r="I18" s="319">
        <v>2114975</v>
      </c>
      <c r="J18" s="319">
        <v>1621798</v>
      </c>
      <c r="K18" s="319">
        <v>1595125</v>
      </c>
      <c r="L18" s="319">
        <v>1654294</v>
      </c>
      <c r="M18" s="319">
        <v>1530472</v>
      </c>
      <c r="N18" s="319">
        <v>2289489</v>
      </c>
      <c r="O18" s="319">
        <v>1884370</v>
      </c>
      <c r="P18" s="319">
        <v>2119728</v>
      </c>
      <c r="Q18" s="319">
        <v>2093126</v>
      </c>
      <c r="R18" s="319">
        <v>2146315</v>
      </c>
      <c r="S18" s="362">
        <v>2515062</v>
      </c>
      <c r="T18" s="362">
        <v>2245189</v>
      </c>
      <c r="U18" s="362">
        <v>2415472</v>
      </c>
      <c r="V18" s="362">
        <v>2573205</v>
      </c>
      <c r="W18" s="362">
        <v>2619278</v>
      </c>
      <c r="X18" s="6"/>
      <c r="Y18" s="43" t="s">
        <v>2</v>
      </c>
      <c r="Z18" s="319">
        <v>209246.64</v>
      </c>
      <c r="AA18" s="319">
        <v>241177.08</v>
      </c>
      <c r="AB18" s="319">
        <v>230537.79</v>
      </c>
      <c r="AC18" s="319">
        <v>269793.12</v>
      </c>
      <c r="AD18" s="319">
        <v>212403.28</v>
      </c>
      <c r="AE18" s="319">
        <v>313520.21999999997</v>
      </c>
      <c r="AF18" s="319">
        <v>318608.65000000002</v>
      </c>
      <c r="AG18" s="319">
        <v>274946.75</v>
      </c>
      <c r="AH18" s="319">
        <v>348664</v>
      </c>
      <c r="AI18" s="319">
        <v>318133</v>
      </c>
      <c r="AJ18" s="319">
        <v>376774</v>
      </c>
      <c r="AK18" s="319">
        <v>325959</v>
      </c>
      <c r="AL18" s="319">
        <v>416336</v>
      </c>
      <c r="AM18" s="319">
        <v>460093</v>
      </c>
      <c r="AN18" s="319">
        <v>420511</v>
      </c>
      <c r="AO18" s="319">
        <v>468403</v>
      </c>
      <c r="AP18" s="319">
        <v>450543</v>
      </c>
      <c r="AQ18" s="362">
        <v>435764</v>
      </c>
      <c r="AR18" s="753">
        <v>535706</v>
      </c>
      <c r="AS18" s="753">
        <v>596503</v>
      </c>
      <c r="AT18" s="753">
        <v>616557</v>
      </c>
      <c r="AU18" s="753">
        <v>640000</v>
      </c>
      <c r="AV18" s="39"/>
      <c r="AW18" s="43" t="s">
        <v>2</v>
      </c>
      <c r="AX18" s="319">
        <v>318418.8</v>
      </c>
      <c r="AY18" s="319">
        <v>335550.71999999997</v>
      </c>
      <c r="AZ18" s="319">
        <v>373251.66</v>
      </c>
      <c r="BA18" s="319">
        <v>382206.92</v>
      </c>
      <c r="BB18" s="319">
        <v>413627.44</v>
      </c>
      <c r="BC18" s="319">
        <v>487698.12</v>
      </c>
      <c r="BD18" s="319">
        <v>443281.6</v>
      </c>
      <c r="BE18" s="319">
        <v>465294.5</v>
      </c>
      <c r="BF18" s="319">
        <v>464771</v>
      </c>
      <c r="BG18" s="319">
        <v>495764</v>
      </c>
      <c r="BH18" s="319">
        <v>371107</v>
      </c>
      <c r="BI18" s="319">
        <v>484468</v>
      </c>
      <c r="BJ18" s="319">
        <v>486616</v>
      </c>
      <c r="BK18" s="319">
        <v>453668</v>
      </c>
      <c r="BL18" s="319">
        <v>459849</v>
      </c>
      <c r="BM18" s="319">
        <v>438595</v>
      </c>
      <c r="BN18" s="319">
        <v>506071</v>
      </c>
      <c r="BO18" s="362">
        <v>472970</v>
      </c>
      <c r="BP18" s="753">
        <v>498575</v>
      </c>
      <c r="BQ18" s="753">
        <v>518483</v>
      </c>
      <c r="BR18" s="753">
        <v>538191</v>
      </c>
      <c r="BS18" s="753">
        <v>550000</v>
      </c>
      <c r="BT18" s="286"/>
      <c r="BU18" s="43" t="s">
        <v>2</v>
      </c>
      <c r="BV18" s="319">
        <v>9097.68</v>
      </c>
      <c r="BW18" s="319">
        <v>94373.64</v>
      </c>
      <c r="BX18" s="319">
        <v>65867.94</v>
      </c>
      <c r="BY18" s="319">
        <v>56206.9</v>
      </c>
      <c r="BZ18" s="319">
        <v>11179.12</v>
      </c>
      <c r="CA18" s="319">
        <v>0</v>
      </c>
      <c r="CB18" s="319">
        <v>180083.15</v>
      </c>
      <c r="CC18" s="319">
        <v>697941.75</v>
      </c>
      <c r="CD18" s="319">
        <v>144711</v>
      </c>
      <c r="CE18" s="319">
        <v>173723</v>
      </c>
      <c r="CF18" s="319">
        <v>136681</v>
      </c>
      <c r="CG18" s="319">
        <v>182098</v>
      </c>
      <c r="CH18" s="319">
        <v>644801</v>
      </c>
      <c r="CI18" s="319">
        <v>442043</v>
      </c>
      <c r="CJ18" s="319">
        <v>641678</v>
      </c>
      <c r="CK18" s="319">
        <v>208390</v>
      </c>
      <c r="CL18" s="319">
        <v>200040</v>
      </c>
      <c r="CM18" s="362">
        <v>166678</v>
      </c>
      <c r="CN18" s="753">
        <v>168272</v>
      </c>
      <c r="CO18" s="753">
        <v>128123</v>
      </c>
      <c r="CP18" s="753">
        <v>153596</v>
      </c>
      <c r="CQ18" s="753">
        <v>176506</v>
      </c>
      <c r="CR18" s="39"/>
      <c r="CS18" s="43" t="s">
        <v>2</v>
      </c>
      <c r="CT18" s="319">
        <v>291125.76000000001</v>
      </c>
      <c r="CU18" s="319">
        <v>230691.12</v>
      </c>
      <c r="CV18" s="319">
        <v>296405.73</v>
      </c>
      <c r="CW18" s="319">
        <v>269793.12</v>
      </c>
      <c r="CX18" s="319">
        <v>268298.88</v>
      </c>
      <c r="CY18" s="319">
        <v>267072.78000000003</v>
      </c>
      <c r="CZ18" s="319">
        <v>346313.75</v>
      </c>
      <c r="DA18" s="319">
        <v>465294.5</v>
      </c>
      <c r="DB18" s="319">
        <v>420677</v>
      </c>
      <c r="DC18" s="319">
        <v>411789</v>
      </c>
      <c r="DD18" s="319">
        <v>359960</v>
      </c>
      <c r="DE18" s="319">
        <v>341087</v>
      </c>
      <c r="DF18" s="319">
        <v>408676</v>
      </c>
      <c r="DG18" s="319">
        <v>398851</v>
      </c>
      <c r="DH18" s="319">
        <v>378991</v>
      </c>
      <c r="DI18" s="319">
        <v>442779</v>
      </c>
      <c r="DJ18" s="319">
        <v>481994</v>
      </c>
      <c r="DK18" s="362">
        <v>449530</v>
      </c>
      <c r="DL18" s="753">
        <v>446521</v>
      </c>
      <c r="DM18" s="753">
        <v>442704</v>
      </c>
      <c r="DN18" s="753">
        <v>507207</v>
      </c>
      <c r="DO18" s="753">
        <v>466585</v>
      </c>
      <c r="DP18" s="39"/>
      <c r="DQ18" s="43" t="s">
        <v>2</v>
      </c>
      <c r="DR18" s="319">
        <v>54586.080000000002</v>
      </c>
      <c r="DS18" s="319">
        <v>62915.76</v>
      </c>
      <c r="DT18" s="319">
        <v>76845.929999999993</v>
      </c>
      <c r="DU18" s="319">
        <v>67448.28</v>
      </c>
      <c r="DV18" s="319">
        <v>100612.08</v>
      </c>
      <c r="DW18" s="319">
        <v>69671.16</v>
      </c>
      <c r="DX18" s="319">
        <v>27705.1</v>
      </c>
      <c r="DY18" s="319">
        <v>21149.75</v>
      </c>
      <c r="DZ18" s="319">
        <v>22864</v>
      </c>
      <c r="EA18" s="319">
        <v>59564</v>
      </c>
      <c r="EB18" s="319">
        <v>80835</v>
      </c>
      <c r="EC18" s="319">
        <v>76556</v>
      </c>
      <c r="ED18" s="319">
        <v>29740</v>
      </c>
      <c r="EE18" s="319">
        <v>2707</v>
      </c>
      <c r="EF18" s="319">
        <v>1613</v>
      </c>
      <c r="EG18" s="319">
        <v>1138</v>
      </c>
      <c r="EH18" s="319">
        <v>1019</v>
      </c>
      <c r="EI18" s="362">
        <v>680</v>
      </c>
      <c r="EJ18" s="753">
        <v>779</v>
      </c>
      <c r="EK18" s="753">
        <v>840</v>
      </c>
      <c r="EL18" s="753">
        <v>718</v>
      </c>
      <c r="EM18" s="753">
        <v>700</v>
      </c>
      <c r="EN18" s="39"/>
      <c r="EO18" s="43" t="s">
        <v>2</v>
      </c>
      <c r="EP18" s="319">
        <v>27293.040000000001</v>
      </c>
      <c r="EQ18" s="319">
        <v>83887.679999999993</v>
      </c>
      <c r="ER18" s="319">
        <v>54889.95</v>
      </c>
      <c r="ES18" s="319">
        <v>78689.66</v>
      </c>
      <c r="ET18" s="319">
        <v>111791.2</v>
      </c>
      <c r="EU18" s="319">
        <v>23223.72</v>
      </c>
      <c r="EV18" s="319">
        <v>69262.75</v>
      </c>
      <c r="EW18" s="319">
        <v>190347.75</v>
      </c>
      <c r="EX18" s="319">
        <v>220111</v>
      </c>
      <c r="EY18" s="319">
        <v>136152</v>
      </c>
      <c r="EZ18" s="319">
        <v>328937</v>
      </c>
      <c r="FA18" s="319">
        <v>114104</v>
      </c>
      <c r="FB18" s="319">
        <v>297120</v>
      </c>
      <c r="FC18" s="319">
        <v>119308</v>
      </c>
      <c r="FD18" s="319">
        <v>208586</v>
      </c>
      <c r="FE18" s="319">
        <v>115885</v>
      </c>
      <c r="FF18" s="319">
        <v>167613</v>
      </c>
      <c r="FG18" s="362">
        <v>829399</v>
      </c>
      <c r="FH18" s="362">
        <v>429369</v>
      </c>
      <c r="FI18" s="362">
        <v>584890</v>
      </c>
      <c r="FJ18" s="362">
        <v>499929</v>
      </c>
      <c r="FK18" s="362">
        <v>530125</v>
      </c>
      <c r="FM18" s="43" t="s">
        <v>2</v>
      </c>
      <c r="FN18" s="319">
        <v>548299</v>
      </c>
      <c r="FO18" s="319">
        <v>780700</v>
      </c>
      <c r="FP18" s="319">
        <v>1115592</v>
      </c>
      <c r="FQ18" s="319">
        <v>1264998</v>
      </c>
      <c r="FR18" s="319">
        <v>1326837</v>
      </c>
      <c r="FS18" s="319">
        <v>1319696</v>
      </c>
      <c r="FT18" s="319">
        <v>1334449</v>
      </c>
      <c r="FU18" s="319">
        <v>1490228</v>
      </c>
      <c r="FV18" s="319">
        <v>1742250</v>
      </c>
      <c r="FW18" s="319">
        <v>1611262</v>
      </c>
      <c r="FX18" s="319">
        <v>1384700.36</v>
      </c>
      <c r="FY18" s="319">
        <v>1144283</v>
      </c>
      <c r="FZ18" s="319">
        <v>1278772</v>
      </c>
      <c r="GA18" s="319">
        <v>1133844</v>
      </c>
      <c r="GB18" s="319">
        <v>536944</v>
      </c>
      <c r="GC18" s="319">
        <v>539927</v>
      </c>
      <c r="GD18" s="319">
        <v>520125</v>
      </c>
      <c r="GE18" s="319">
        <v>223375</v>
      </c>
      <c r="GF18" s="756">
        <v>480403</v>
      </c>
      <c r="GG18" s="756">
        <v>508712</v>
      </c>
      <c r="GH18" s="756">
        <v>314123</v>
      </c>
      <c r="GI18" s="756">
        <v>3537.4300000001676</v>
      </c>
      <c r="GJ18" s="42"/>
      <c r="GK18" s="570" t="s">
        <v>2</v>
      </c>
      <c r="GL18" s="571">
        <f>FN18/'4GF Expenditures'!B19</f>
        <v>0.77359882838293137</v>
      </c>
      <c r="GM18" s="571">
        <f>FO18/'4GF Expenditures'!C19</f>
        <v>0.95651161793443973</v>
      </c>
      <c r="GN18" s="571">
        <f>FP18/'4GF Expenditures'!D19</f>
        <v>1.3476311793548574</v>
      </c>
      <c r="GO18" s="571">
        <f>FQ18/'4GF Expenditures'!E19</f>
        <v>1.2977905721777883</v>
      </c>
      <c r="GP18" s="571">
        <f>FR18/'4GF Expenditures'!F19</f>
        <v>1.256387579267721</v>
      </c>
      <c r="GQ18" s="571">
        <f>FS18/'4GF Expenditures'!G19</f>
        <v>1.1437198350237421</v>
      </c>
      <c r="GR18" s="571">
        <f>FT18/'4GF Expenditures'!H19</f>
        <v>0.97369358089225699</v>
      </c>
      <c r="GS18" s="571">
        <f>FU18/'4GF Expenditures'!I19</f>
        <v>0.76063242268767395</v>
      </c>
      <c r="GT18" s="571">
        <f>FV18/'4GF Expenditures'!J19</f>
        <v>1.2719232925675439</v>
      </c>
      <c r="GU18" s="571">
        <f>FW18/'4GF Expenditures'!K19</f>
        <v>0.94100655560584601</v>
      </c>
      <c r="GV18" s="571">
        <f>FX18/'4GF Expenditures'!L19</f>
        <v>0.73734519588871728</v>
      </c>
      <c r="GW18" s="571">
        <f>FY18/'4GF Expenditures'!M19</f>
        <v>0.645347092821274</v>
      </c>
      <c r="GX18" s="571">
        <f>FZ18/'4GF Expenditures'!N19</f>
        <v>0.59408135580621779</v>
      </c>
      <c r="GY18" s="571">
        <f>GA18/'4GF Expenditures'!O19</f>
        <v>0.55946296008467111</v>
      </c>
      <c r="GZ18" s="571">
        <f>GB18/'4GF Expenditures'!P19</f>
        <v>0.19759519598556557</v>
      </c>
      <c r="HA18" s="571">
        <f>GC18/'4GF Expenditures'!Q19</f>
        <v>0.25693582588435943</v>
      </c>
      <c r="HB18" s="571">
        <f>GD18/'4GF Expenditures'!R19</f>
        <v>0.24008535752812132</v>
      </c>
      <c r="HC18" s="571">
        <f>GE18/'4GF Expenditures'!S19</f>
        <v>8.7194278415868798E-2</v>
      </c>
      <c r="HD18" s="571">
        <f>GF18/'4GF Expenditures'!T19</f>
        <v>0.24163208274589709</v>
      </c>
      <c r="HE18" s="571">
        <f>GG18/'4GF Expenditures'!U19</f>
        <v>0.21310245474664363</v>
      </c>
      <c r="HF18" s="571">
        <f>GH18/'4GF Expenditures'!V19</f>
        <v>0.11349231210015497</v>
      </c>
      <c r="HG18" s="571">
        <f>GI18/'4GF Expenditures'!W19</f>
        <v>1.207370212122255E-3</v>
      </c>
      <c r="HH18" s="571"/>
      <c r="HI18" s="571"/>
      <c r="HJ18" s="571"/>
      <c r="HK18" s="568"/>
      <c r="HL18" s="567" t="s">
        <v>2</v>
      </c>
      <c r="HM18" s="571">
        <f>B18/'4GF Expenditures'!B19</f>
        <v>1.2835979254025318</v>
      </c>
      <c r="HN18" s="571">
        <f>C18/'4GF Expenditures'!C19</f>
        <v>1.2847371032657637</v>
      </c>
      <c r="HO18" s="571">
        <f>D18/'4GF Expenditures'!D19</f>
        <v>1.3261372984608917</v>
      </c>
      <c r="HP18" s="571">
        <f>E18/'4GF Expenditures'!E19</f>
        <v>1.1532790551659329</v>
      </c>
      <c r="HQ18" s="571">
        <f>F18/'4GF Expenditures'!F19</f>
        <v>1.0585556112124825</v>
      </c>
      <c r="HR18" s="571">
        <f>G18/'4GF Expenditures'!G19</f>
        <v>1.0063465073409927</v>
      </c>
      <c r="HS18" s="571">
        <f>H18/'4GF Expenditures'!H19</f>
        <v>1.0107646687126324</v>
      </c>
      <c r="HT18" s="571">
        <f>I18/'4GF Expenditures'!I19</f>
        <v>1.079511697655569</v>
      </c>
      <c r="HU18" s="571">
        <f>J18/'4GF Expenditures'!J19</f>
        <v>1.1839877469016833</v>
      </c>
      <c r="HV18" s="571">
        <f>K18/'4GF Expenditures'!K19</f>
        <v>0.93158225168270281</v>
      </c>
      <c r="HW18" s="571">
        <f>L18/'4GF Expenditures'!L19</f>
        <v>0.88090230112132673</v>
      </c>
      <c r="HX18" s="571">
        <f>M18/'4GF Expenditures'!M19</f>
        <v>0.86314806376076625</v>
      </c>
      <c r="HY18" s="571">
        <f>N18/'4GF Expenditures'!N19</f>
        <v>1.0636319290877669</v>
      </c>
      <c r="HZ18" s="571">
        <f>O18/'4GF Expenditures'!O19</f>
        <v>0.92978859357614607</v>
      </c>
      <c r="IA18" s="571">
        <f>P18/'4GF Expenditures'!P19</f>
        <v>0.78005913018134287</v>
      </c>
      <c r="IB18" s="571">
        <f>Q18/'4GF Expenditures'!Q19</f>
        <v>0.9960588329348703</v>
      </c>
      <c r="IC18" s="571">
        <f>R18/'4GF Expenditures'!R19</f>
        <v>0.99072108462959807</v>
      </c>
      <c r="ID18" s="573">
        <f>S18/'4GF Expenditures'!S19</f>
        <v>0.98175273088381332</v>
      </c>
      <c r="IE18" s="572">
        <f>T18/'4GF Expenditures'!T19</f>
        <v>1.1292804046356453</v>
      </c>
      <c r="IF18" s="572">
        <f>U18/'4GF Expenditures'!U19</f>
        <v>1.011855455683736</v>
      </c>
      <c r="IG18" s="572">
        <f>V18/'4GF Expenditures'!V19</f>
        <v>0.92969628125823089</v>
      </c>
      <c r="IH18" s="572">
        <f>W18/'4GF Expenditures'!W19</f>
        <v>0.89399316296492248</v>
      </c>
    </row>
    <row r="19" spans="1:242" ht="14">
      <c r="A19" s="43" t="s">
        <v>3</v>
      </c>
      <c r="B19" s="319">
        <v>843694</v>
      </c>
      <c r="C19" s="319">
        <v>874801</v>
      </c>
      <c r="D19" s="319">
        <v>941034</v>
      </c>
      <c r="E19" s="319">
        <v>896469</v>
      </c>
      <c r="F19" s="319">
        <v>962585</v>
      </c>
      <c r="G19" s="319">
        <v>995896</v>
      </c>
      <c r="H19" s="319">
        <v>1173135</v>
      </c>
      <c r="I19" s="319">
        <v>958281</v>
      </c>
      <c r="J19" s="319">
        <v>1072179.56</v>
      </c>
      <c r="K19" s="319">
        <v>1050293.4099999999</v>
      </c>
      <c r="L19" s="319">
        <v>1217860.01</v>
      </c>
      <c r="M19" s="319">
        <v>1416336</v>
      </c>
      <c r="N19" s="319">
        <v>1334376.1100000001</v>
      </c>
      <c r="O19" s="319">
        <v>1505865</v>
      </c>
      <c r="P19" s="319">
        <v>1478949.4</v>
      </c>
      <c r="Q19" s="319">
        <v>1274370.7400000002</v>
      </c>
      <c r="R19" s="319">
        <v>1625467</v>
      </c>
      <c r="S19" s="362">
        <v>1509314</v>
      </c>
      <c r="T19" s="362">
        <v>1503022.39</v>
      </c>
      <c r="U19" s="362">
        <v>1488015</v>
      </c>
      <c r="V19" s="362">
        <v>1525820.43</v>
      </c>
      <c r="W19" s="362">
        <v>1524104</v>
      </c>
      <c r="X19" s="6"/>
      <c r="Y19" s="43" t="s">
        <v>3</v>
      </c>
      <c r="Z19" s="319">
        <v>303729.84000000003</v>
      </c>
      <c r="AA19" s="319">
        <v>306180.34999999998</v>
      </c>
      <c r="AB19" s="319">
        <v>348182.58</v>
      </c>
      <c r="AC19" s="319">
        <v>349622.91</v>
      </c>
      <c r="AD19" s="319">
        <v>375408.15</v>
      </c>
      <c r="AE19" s="319">
        <v>368481.52</v>
      </c>
      <c r="AF19" s="319">
        <v>375403.2</v>
      </c>
      <c r="AG19" s="319">
        <v>392895.21</v>
      </c>
      <c r="AH19" s="319">
        <v>394390.73</v>
      </c>
      <c r="AI19" s="319">
        <v>400639.89999999997</v>
      </c>
      <c r="AJ19" s="319">
        <v>406962.47</v>
      </c>
      <c r="AK19" s="319">
        <v>417343.97</v>
      </c>
      <c r="AL19" s="319">
        <v>427168.77</v>
      </c>
      <c r="AM19" s="319">
        <v>488728</v>
      </c>
      <c r="AN19" s="319">
        <v>587319.8899999999</v>
      </c>
      <c r="AO19" s="319">
        <v>510072.65</v>
      </c>
      <c r="AP19" s="319">
        <v>602193</v>
      </c>
      <c r="AQ19" s="362">
        <v>600738</v>
      </c>
      <c r="AR19" s="753">
        <v>655957.5199999999</v>
      </c>
      <c r="AS19" s="753">
        <v>644886</v>
      </c>
      <c r="AT19" s="753">
        <v>675336.23</v>
      </c>
      <c r="AU19" s="753">
        <v>674000</v>
      </c>
      <c r="AV19" s="39"/>
      <c r="AW19" s="43" t="s">
        <v>3</v>
      </c>
      <c r="AX19" s="319">
        <v>219360.44</v>
      </c>
      <c r="AY19" s="319">
        <v>227448.26</v>
      </c>
      <c r="AZ19" s="319">
        <v>216437.82</v>
      </c>
      <c r="BA19" s="319">
        <v>206187.87</v>
      </c>
      <c r="BB19" s="319">
        <v>211768.7</v>
      </c>
      <c r="BC19" s="319">
        <v>219097.12</v>
      </c>
      <c r="BD19" s="319">
        <v>211164.3</v>
      </c>
      <c r="BE19" s="319">
        <v>229987.44</v>
      </c>
      <c r="BF19" s="319">
        <v>298600.19999999995</v>
      </c>
      <c r="BG19" s="319">
        <v>310069.64</v>
      </c>
      <c r="BH19" s="319">
        <v>372877.4</v>
      </c>
      <c r="BI19" s="319">
        <v>426086.62</v>
      </c>
      <c r="BJ19" s="319">
        <v>506078.76</v>
      </c>
      <c r="BK19" s="319">
        <v>548804</v>
      </c>
      <c r="BL19" s="319">
        <v>524377.1</v>
      </c>
      <c r="BM19" s="319">
        <v>422913.41000000003</v>
      </c>
      <c r="BN19" s="319">
        <v>550607</v>
      </c>
      <c r="BO19" s="362">
        <v>538620</v>
      </c>
      <c r="BP19" s="753">
        <v>459638.38</v>
      </c>
      <c r="BQ19" s="753">
        <v>407116</v>
      </c>
      <c r="BR19" s="753">
        <v>397250.75</v>
      </c>
      <c r="BS19" s="753">
        <v>420000</v>
      </c>
      <c r="BT19" s="286"/>
      <c r="BU19" s="43" t="s">
        <v>3</v>
      </c>
      <c r="BV19" s="319">
        <v>109680.22</v>
      </c>
      <c r="BW19" s="319">
        <v>104976.12</v>
      </c>
      <c r="BX19" s="319">
        <v>94103.4</v>
      </c>
      <c r="BY19" s="319">
        <v>107576.28</v>
      </c>
      <c r="BZ19" s="319">
        <v>96258.5</v>
      </c>
      <c r="CA19" s="319">
        <v>89630.64</v>
      </c>
      <c r="CB19" s="319">
        <v>70388.100000000006</v>
      </c>
      <c r="CC19" s="319">
        <v>9582.81</v>
      </c>
      <c r="CD19" s="319">
        <v>8722</v>
      </c>
      <c r="CE19" s="319">
        <v>6946</v>
      </c>
      <c r="CF19" s="319">
        <v>6015</v>
      </c>
      <c r="CG19" s="319">
        <v>1220.8</v>
      </c>
      <c r="CH19" s="319">
        <v>28494.94</v>
      </c>
      <c r="CI19" s="319">
        <v>81974</v>
      </c>
      <c r="CJ19" s="319">
        <v>12068.46</v>
      </c>
      <c r="CK19" s="319">
        <v>12216.7</v>
      </c>
      <c r="CL19" s="319">
        <v>56252</v>
      </c>
      <c r="CM19" s="362">
        <v>0</v>
      </c>
      <c r="CN19" s="753">
        <v>0</v>
      </c>
      <c r="CO19" s="753">
        <v>0</v>
      </c>
      <c r="CP19" s="753">
        <v>0</v>
      </c>
      <c r="CQ19" s="753">
        <v>0</v>
      </c>
      <c r="CR19" s="39"/>
      <c r="CS19" s="43" t="s">
        <v>3</v>
      </c>
      <c r="CT19" s="319">
        <v>151864.92000000001</v>
      </c>
      <c r="CU19" s="319">
        <v>174960.2</v>
      </c>
      <c r="CV19" s="319">
        <v>197617.14</v>
      </c>
      <c r="CW19" s="319">
        <v>170329.11</v>
      </c>
      <c r="CX19" s="319">
        <v>221394.55</v>
      </c>
      <c r="CY19" s="319">
        <v>179261.28</v>
      </c>
      <c r="CZ19" s="319">
        <v>211164.3</v>
      </c>
      <c r="DA19" s="319">
        <v>229987.44</v>
      </c>
      <c r="DB19" s="319">
        <v>223873.13000000003</v>
      </c>
      <c r="DC19" s="319">
        <v>209208.50999999998</v>
      </c>
      <c r="DD19" s="319">
        <v>249159.04000000001</v>
      </c>
      <c r="DE19" s="319">
        <v>233175.1</v>
      </c>
      <c r="DF19" s="319">
        <v>240963.94</v>
      </c>
      <c r="DG19" s="319">
        <v>252998</v>
      </c>
      <c r="DH19" s="319">
        <v>216086.55</v>
      </c>
      <c r="DI19" s="319">
        <v>197059.21</v>
      </c>
      <c r="DJ19" s="319">
        <v>237572</v>
      </c>
      <c r="DK19" s="362">
        <v>234611</v>
      </c>
      <c r="DL19" s="753">
        <v>233044.87999999998</v>
      </c>
      <c r="DM19" s="753">
        <v>279987</v>
      </c>
      <c r="DN19" s="753">
        <v>294361.57</v>
      </c>
      <c r="DO19" s="753">
        <v>293300</v>
      </c>
      <c r="DP19" s="39"/>
      <c r="DQ19" s="43" t="s">
        <v>3</v>
      </c>
      <c r="DR19" s="319">
        <v>25310.82</v>
      </c>
      <c r="DS19" s="319">
        <v>26244.03</v>
      </c>
      <c r="DT19" s="319">
        <v>28231.02</v>
      </c>
      <c r="DU19" s="319">
        <v>26894.07</v>
      </c>
      <c r="DV19" s="319">
        <v>28877.55</v>
      </c>
      <c r="DW19" s="319">
        <v>19917.919999999998</v>
      </c>
      <c r="DX19" s="319">
        <v>11731.35</v>
      </c>
      <c r="DY19" s="319">
        <v>0</v>
      </c>
      <c r="DZ19" s="319">
        <v>4286.59</v>
      </c>
      <c r="EA19" s="319">
        <v>10434.66</v>
      </c>
      <c r="EB19" s="319">
        <v>15651.69</v>
      </c>
      <c r="EC19" s="319">
        <v>17477.939999999999</v>
      </c>
      <c r="ED19" s="319">
        <v>9958.59</v>
      </c>
      <c r="EE19" s="319">
        <v>1899</v>
      </c>
      <c r="EF19" s="319">
        <v>2443.7199999999998</v>
      </c>
      <c r="EG19" s="319">
        <v>2301.66</v>
      </c>
      <c r="EH19" s="319">
        <v>1703</v>
      </c>
      <c r="EI19" s="362">
        <v>1666</v>
      </c>
      <c r="EJ19" s="753">
        <v>1614.01</v>
      </c>
      <c r="EK19" s="753">
        <v>1645</v>
      </c>
      <c r="EL19" s="753">
        <v>2189.1</v>
      </c>
      <c r="EM19" s="753">
        <v>2825</v>
      </c>
      <c r="EN19" s="39"/>
      <c r="EO19" s="43" t="s">
        <v>3</v>
      </c>
      <c r="EP19" s="319">
        <v>33747.760000000002</v>
      </c>
      <c r="EQ19" s="319">
        <v>34992.04</v>
      </c>
      <c r="ER19" s="319">
        <v>56462.04</v>
      </c>
      <c r="ES19" s="319">
        <v>35858.76</v>
      </c>
      <c r="ET19" s="319">
        <v>28877.55</v>
      </c>
      <c r="EU19" s="319">
        <v>119507.52</v>
      </c>
      <c r="EV19" s="319">
        <v>293283.75</v>
      </c>
      <c r="EW19" s="319">
        <v>95828.1</v>
      </c>
      <c r="EX19" s="319">
        <v>139192.06</v>
      </c>
      <c r="EY19" s="319">
        <v>112642.70000000001</v>
      </c>
      <c r="EZ19" s="319">
        <v>136503.17000000001</v>
      </c>
      <c r="FA19" s="319">
        <v>155515.25</v>
      </c>
      <c r="FB19" s="319">
        <v>121711.10999999999</v>
      </c>
      <c r="FC19" s="319">
        <v>130672</v>
      </c>
      <c r="FD19" s="319">
        <v>136653.68</v>
      </c>
      <c r="FE19" s="319">
        <v>129807.10999999999</v>
      </c>
      <c r="FF19" s="319">
        <v>177140</v>
      </c>
      <c r="FG19" s="362">
        <v>124430</v>
      </c>
      <c r="FH19" s="362">
        <v>116126.22</v>
      </c>
      <c r="FI19" s="362">
        <v>106775</v>
      </c>
      <c r="FJ19" s="362">
        <v>143542.39999999999</v>
      </c>
      <c r="FK19" s="362">
        <v>118467</v>
      </c>
      <c r="FM19" s="43" t="s">
        <v>3</v>
      </c>
      <c r="FN19" s="319">
        <v>343170</v>
      </c>
      <c r="FO19" s="319">
        <v>416515</v>
      </c>
      <c r="FP19" s="319">
        <v>392701</v>
      </c>
      <c r="FQ19" s="319">
        <v>331021</v>
      </c>
      <c r="FR19" s="319">
        <v>226297</v>
      </c>
      <c r="FS19" s="319">
        <v>256534</v>
      </c>
      <c r="FT19" s="319">
        <v>383313</v>
      </c>
      <c r="FU19" s="319">
        <v>304952</v>
      </c>
      <c r="FV19" s="319">
        <v>271911.49000000005</v>
      </c>
      <c r="FW19" s="319">
        <v>204065.01</v>
      </c>
      <c r="FX19" s="319">
        <v>287798.98</v>
      </c>
      <c r="FY19" s="319">
        <v>512166.58</v>
      </c>
      <c r="FZ19" s="319">
        <v>560161.06000000006</v>
      </c>
      <c r="GA19" s="319">
        <v>753193.59</v>
      </c>
      <c r="GB19" s="319">
        <v>854802.91</v>
      </c>
      <c r="GC19" s="319">
        <v>780639.25</v>
      </c>
      <c r="GD19" s="319">
        <v>995711.6</v>
      </c>
      <c r="GE19" s="319">
        <v>979509.75</v>
      </c>
      <c r="GF19" s="756">
        <v>895771.32</v>
      </c>
      <c r="GG19" s="756">
        <v>1105574.45</v>
      </c>
      <c r="GH19" s="756">
        <v>1067264.25</v>
      </c>
      <c r="GI19" s="756">
        <v>296819.25</v>
      </c>
      <c r="GJ19" s="42"/>
      <c r="GK19" s="570" t="s">
        <v>3</v>
      </c>
      <c r="GL19" s="571">
        <f>FN19/'4GF Expenditures'!B20</f>
        <v>0.43638874547614021</v>
      </c>
      <c r="GM19" s="571">
        <f>FO19/'4GF Expenditures'!C20</f>
        <v>0.51969789982232339</v>
      </c>
      <c r="GN19" s="571">
        <f>FP19/'4GF Expenditures'!D20</f>
        <v>0.40700815050660827</v>
      </c>
      <c r="GO19" s="571">
        <f>FQ19/'4GF Expenditures'!E20</f>
        <v>0.34547966965471966</v>
      </c>
      <c r="GP19" s="571">
        <f>FR19/'4GF Expenditures'!F20</f>
        <v>0.21202575823871062</v>
      </c>
      <c r="GQ19" s="571">
        <f>FS19/'4GF Expenditures'!G20</f>
        <v>0.26220282507819048</v>
      </c>
      <c r="GR19" s="571">
        <f>FT19/'4GF Expenditures'!H20</f>
        <v>0.36633134420789865</v>
      </c>
      <c r="GS19" s="571">
        <f>FU19/'4GF Expenditures'!I20</f>
        <v>0.29417291601150636</v>
      </c>
      <c r="GT19" s="571">
        <f>FV19/'4GF Expenditures'!J20</f>
        <v>0.24598397024854163</v>
      </c>
      <c r="GU19" s="571">
        <f>FW19/'4GF Expenditures'!K20</f>
        <v>0.18231232065825373</v>
      </c>
      <c r="GV19" s="571">
        <f>FX19/'4GF Expenditures'!L20</f>
        <v>0.25376278283849296</v>
      </c>
      <c r="GW19" s="571">
        <f>FY19/'4GF Expenditures'!M20</f>
        <v>0.42968134054560514</v>
      </c>
      <c r="GX19" s="571">
        <f>FZ19/'4GF Expenditures'!N20</f>
        <v>0.43545480356400929</v>
      </c>
      <c r="GY19" s="571">
        <f>GA19/'4GF Expenditures'!O20</f>
        <v>0.57339163229954426</v>
      </c>
      <c r="GZ19" s="571">
        <f>GB19/'4GF Expenditures'!P20</f>
        <v>0.62095380111456477</v>
      </c>
      <c r="HA19" s="571">
        <f>GC19/'4GF Expenditures'!Q20</f>
        <v>0.57917780488566883</v>
      </c>
      <c r="HB19" s="571">
        <f>GD19/'4GF Expenditures'!R20</f>
        <v>0.7399040151248083</v>
      </c>
      <c r="HC19" s="571">
        <f>GE19/'4GF Expenditures'!S20</f>
        <v>0.64205686227083325</v>
      </c>
      <c r="HD19" s="571">
        <f>GF19/'4GF Expenditures'!T20</f>
        <v>0.56454989601058803</v>
      </c>
      <c r="HE19" s="571">
        <f>GG19/'4GF Expenditures'!U20</f>
        <v>0.86954512206631851</v>
      </c>
      <c r="HF19" s="571">
        <f>GH19/'4GF Expenditures'!V20</f>
        <v>0.67939585305236627</v>
      </c>
      <c r="HG19" s="571">
        <f>GI19/'4GF Expenditures'!W20</f>
        <v>0.12935842729878508</v>
      </c>
      <c r="HH19" s="571"/>
      <c r="HI19" s="571"/>
      <c r="HJ19" s="571"/>
      <c r="HK19" s="568"/>
      <c r="HL19" s="567" t="s">
        <v>3</v>
      </c>
      <c r="HM19" s="571">
        <f>B19/'4GF Expenditures'!B20</f>
        <v>1.0728751529147265</v>
      </c>
      <c r="HN19" s="571">
        <f>C19/'4GF Expenditures'!C20</f>
        <v>1.09151469325827</v>
      </c>
      <c r="HO19" s="571">
        <f>D19/'4GF Expenditures'!D20</f>
        <v>0.97531839211979499</v>
      </c>
      <c r="HP19" s="571">
        <f>E19/'4GF Expenditures'!E20</f>
        <v>0.93562587864726676</v>
      </c>
      <c r="HQ19" s="571">
        <f>F19/'4GF Expenditures'!F20</f>
        <v>0.90188033643490306</v>
      </c>
      <c r="HR19" s="571">
        <f>G19/'4GF Expenditures'!G20</f>
        <v>1.0179030642490647</v>
      </c>
      <c r="HS19" s="571">
        <f>H19/'4GF Expenditures'!H20</f>
        <v>1.1211623959723076</v>
      </c>
      <c r="HT19" s="571">
        <f>I19/'4GF Expenditures'!I20</f>
        <v>0.92440881229971383</v>
      </c>
      <c r="HU19" s="571">
        <f>J19/'4GF Expenditures'!J20</f>
        <v>0.96994424541653035</v>
      </c>
      <c r="HV19" s="571">
        <f>K19/'4GF Expenditures'!K20</f>
        <v>0.9383354302100626</v>
      </c>
      <c r="HW19" s="571">
        <f>L19/'4GF Expenditures'!L20</f>
        <v>1.0738312736386866</v>
      </c>
      <c r="HX19" s="571">
        <f>M19/'4GF Expenditures'!M20</f>
        <v>1.188232842414279</v>
      </c>
      <c r="HY19" s="571">
        <f>N19/'4GF Expenditures'!N20</f>
        <v>1.0373096745792305</v>
      </c>
      <c r="HZ19" s="571">
        <f>O19/'4GF Expenditures'!O20</f>
        <v>1.1463857391202086</v>
      </c>
      <c r="IA19" s="571">
        <f>P19/'4GF Expenditures'!P20</f>
        <v>1.0743520416725123</v>
      </c>
      <c r="IB19" s="571">
        <f>Q19/'4GF Expenditures'!Q20</f>
        <v>0.94549082409541352</v>
      </c>
      <c r="IC19" s="571">
        <f>R19/'4GF Expenditures'!R20</f>
        <v>1.2078693868313646</v>
      </c>
      <c r="ID19" s="573">
        <f>S19/'4GF Expenditures'!S20</f>
        <v>0.98933717711481728</v>
      </c>
      <c r="IE19" s="572">
        <f>T19/'4GF Expenditures'!T20</f>
        <v>0.94726311842188182</v>
      </c>
      <c r="IF19" s="572">
        <f>U19/'4GF Expenditures'!U20</f>
        <v>1.170338356509155</v>
      </c>
      <c r="IG19" s="572">
        <f>V19/'4GF Expenditures'!V20</f>
        <v>0.97130216124505087</v>
      </c>
      <c r="IH19" s="572">
        <f>W19/'4GF Expenditures'!W20</f>
        <v>0.66422813372039557</v>
      </c>
    </row>
    <row r="20" spans="1:242" ht="14">
      <c r="A20" s="43" t="s">
        <v>4</v>
      </c>
      <c r="B20" s="319">
        <v>1936041</v>
      </c>
      <c r="C20" s="319">
        <v>2011409</v>
      </c>
      <c r="D20" s="319">
        <v>2126974</v>
      </c>
      <c r="E20" s="319">
        <v>2168278</v>
      </c>
      <c r="F20" s="319">
        <v>2440244</v>
      </c>
      <c r="G20" s="319">
        <v>2427285</v>
      </c>
      <c r="H20" s="319">
        <v>2632850</v>
      </c>
      <c r="I20" s="319">
        <v>2540200</v>
      </c>
      <c r="J20" s="319">
        <v>2676653.11</v>
      </c>
      <c r="K20" s="319">
        <v>2652752.98</v>
      </c>
      <c r="L20" s="319">
        <v>2964303.0900000003</v>
      </c>
      <c r="M20" s="319">
        <v>3207149.79</v>
      </c>
      <c r="N20" s="319">
        <v>3141877.37</v>
      </c>
      <c r="O20" s="319">
        <v>3381857.65</v>
      </c>
      <c r="P20" s="319">
        <v>3308953.95</v>
      </c>
      <c r="Q20" s="319">
        <v>4056531.29</v>
      </c>
      <c r="R20" s="319">
        <v>4389511.62</v>
      </c>
      <c r="S20" s="362">
        <v>4413881.96</v>
      </c>
      <c r="T20" s="362">
        <v>4595635.8600000003</v>
      </c>
      <c r="U20" s="362">
        <v>4656686.6100000003</v>
      </c>
      <c r="V20" s="362">
        <v>4665912.91</v>
      </c>
      <c r="W20" s="362">
        <v>4721100</v>
      </c>
      <c r="X20" s="6"/>
      <c r="Y20" s="43" t="s">
        <v>4</v>
      </c>
      <c r="Z20" s="319">
        <v>271045.74</v>
      </c>
      <c r="AA20" s="319">
        <v>261483.17</v>
      </c>
      <c r="AB20" s="319">
        <v>361585.58</v>
      </c>
      <c r="AC20" s="319">
        <v>368607.26</v>
      </c>
      <c r="AD20" s="319">
        <v>366036.6</v>
      </c>
      <c r="AE20" s="319">
        <v>412638.45</v>
      </c>
      <c r="AF20" s="319">
        <v>473913</v>
      </c>
      <c r="AG20" s="319">
        <v>482638</v>
      </c>
      <c r="AH20" s="319">
        <v>540836.93000000005</v>
      </c>
      <c r="AI20" s="319">
        <v>507977.23</v>
      </c>
      <c r="AJ20" s="319">
        <v>506183.93</v>
      </c>
      <c r="AK20" s="319">
        <v>555852.92999999993</v>
      </c>
      <c r="AL20" s="319">
        <v>608793.59</v>
      </c>
      <c r="AM20" s="319">
        <v>698404.77999999991</v>
      </c>
      <c r="AN20" s="319">
        <v>829520.85</v>
      </c>
      <c r="AO20" s="319">
        <v>783547.97</v>
      </c>
      <c r="AP20" s="319">
        <v>954150.41999999993</v>
      </c>
      <c r="AQ20" s="362">
        <v>866167.61</v>
      </c>
      <c r="AR20" s="753">
        <v>980884.65</v>
      </c>
      <c r="AS20" s="753">
        <v>897458.78</v>
      </c>
      <c r="AT20" s="753">
        <v>955575.12000000011</v>
      </c>
      <c r="AU20" s="753">
        <v>955000</v>
      </c>
      <c r="AV20" s="39"/>
      <c r="AW20" s="43" t="s">
        <v>4</v>
      </c>
      <c r="AX20" s="319">
        <v>948660.09</v>
      </c>
      <c r="AY20" s="319">
        <v>965476.32</v>
      </c>
      <c r="AZ20" s="319">
        <v>935868.56</v>
      </c>
      <c r="BA20" s="319">
        <v>954042.32</v>
      </c>
      <c r="BB20" s="319">
        <v>1024902.48</v>
      </c>
      <c r="BC20" s="319">
        <v>1019459.7</v>
      </c>
      <c r="BD20" s="319">
        <v>1000483</v>
      </c>
      <c r="BE20" s="319">
        <v>1016080</v>
      </c>
      <c r="BF20" s="319">
        <v>1029214.51</v>
      </c>
      <c r="BG20" s="319">
        <v>1069222.6200000001</v>
      </c>
      <c r="BH20" s="319">
        <v>1133227.8700000001</v>
      </c>
      <c r="BI20" s="319">
        <v>1197700.3999999999</v>
      </c>
      <c r="BJ20" s="319">
        <v>1171497.93</v>
      </c>
      <c r="BK20" s="319">
        <v>1110997.03</v>
      </c>
      <c r="BL20" s="319">
        <v>1212849.3799999999</v>
      </c>
      <c r="BM20" s="319">
        <v>2352437.1800000002</v>
      </c>
      <c r="BN20" s="319">
        <v>2352565</v>
      </c>
      <c r="BO20" s="362">
        <v>2441935.0699999998</v>
      </c>
      <c r="BP20" s="753">
        <v>2563745.23</v>
      </c>
      <c r="BQ20" s="753">
        <v>2642063.8199999998</v>
      </c>
      <c r="BR20" s="753">
        <v>2617524.39</v>
      </c>
      <c r="BS20" s="753">
        <v>2640000</v>
      </c>
      <c r="BT20" s="286"/>
      <c r="BU20" s="43" t="s">
        <v>4</v>
      </c>
      <c r="BV20" s="319">
        <v>309766.56</v>
      </c>
      <c r="BW20" s="319">
        <v>321825.44</v>
      </c>
      <c r="BX20" s="319">
        <v>319046.09999999998</v>
      </c>
      <c r="BY20" s="319">
        <v>325241.7</v>
      </c>
      <c r="BZ20" s="319">
        <v>463646.36</v>
      </c>
      <c r="CA20" s="319">
        <v>412638.45</v>
      </c>
      <c r="CB20" s="319">
        <v>447584.5</v>
      </c>
      <c r="CC20" s="319">
        <v>355628</v>
      </c>
      <c r="CD20" s="319">
        <v>472250.41999999993</v>
      </c>
      <c r="CE20" s="319">
        <v>454650.34</v>
      </c>
      <c r="CF20" s="319">
        <v>499460.05</v>
      </c>
      <c r="CG20" s="319">
        <v>478246.04</v>
      </c>
      <c r="CH20" s="319">
        <v>579246.61</v>
      </c>
      <c r="CI20" s="319">
        <v>687423.43</v>
      </c>
      <c r="CJ20" s="319">
        <v>490020.92000000004</v>
      </c>
      <c r="CK20" s="319">
        <v>319519.95</v>
      </c>
      <c r="CL20" s="319">
        <v>381028.25000000006</v>
      </c>
      <c r="CM20" s="362">
        <v>417246.07999999996</v>
      </c>
      <c r="CN20" s="753">
        <v>421364.93</v>
      </c>
      <c r="CO20" s="753">
        <v>393362.31000000006</v>
      </c>
      <c r="CP20" s="753">
        <v>423667.55</v>
      </c>
      <c r="CQ20" s="753">
        <v>429100</v>
      </c>
      <c r="CR20" s="39"/>
      <c r="CS20" s="43" t="s">
        <v>4</v>
      </c>
      <c r="CT20" s="319">
        <v>367847.79</v>
      </c>
      <c r="CU20" s="319">
        <v>402281.8</v>
      </c>
      <c r="CV20" s="319">
        <v>425394.8</v>
      </c>
      <c r="CW20" s="319">
        <v>433655.6</v>
      </c>
      <c r="CX20" s="319">
        <v>439243.92</v>
      </c>
      <c r="CY20" s="319">
        <v>461184.15</v>
      </c>
      <c r="CZ20" s="319">
        <v>579227</v>
      </c>
      <c r="DA20" s="319">
        <v>609648</v>
      </c>
      <c r="DB20" s="319">
        <v>575052.1100000001</v>
      </c>
      <c r="DC20" s="319">
        <v>548496.29999999993</v>
      </c>
      <c r="DD20" s="319">
        <v>579328.47</v>
      </c>
      <c r="DE20" s="319">
        <v>731303.1100000001</v>
      </c>
      <c r="DF20" s="319">
        <v>578228.14</v>
      </c>
      <c r="DG20" s="319">
        <v>660731.34000000008</v>
      </c>
      <c r="DH20" s="319">
        <v>627115.56000000006</v>
      </c>
      <c r="DI20" s="319">
        <v>457299.73</v>
      </c>
      <c r="DJ20" s="319">
        <v>538564.16</v>
      </c>
      <c r="DK20" s="362">
        <v>530633.43000000005</v>
      </c>
      <c r="DL20" s="753">
        <v>475761.07</v>
      </c>
      <c r="DM20" s="753">
        <v>648880.16999999993</v>
      </c>
      <c r="DN20" s="753">
        <v>603022.41999999993</v>
      </c>
      <c r="DO20" s="753">
        <v>596500</v>
      </c>
      <c r="DP20" s="39"/>
      <c r="DQ20" s="43" t="s">
        <v>4</v>
      </c>
      <c r="DR20" s="319">
        <v>19360.41</v>
      </c>
      <c r="DS20" s="319">
        <v>0</v>
      </c>
      <c r="DT20" s="319">
        <v>21269.74</v>
      </c>
      <c r="DU20" s="319">
        <v>21682.78</v>
      </c>
      <c r="DV20" s="319">
        <v>48804.88</v>
      </c>
      <c r="DW20" s="319">
        <v>48545.7</v>
      </c>
      <c r="DX20" s="319">
        <v>78985.5</v>
      </c>
      <c r="DY20" s="319">
        <v>25402</v>
      </c>
      <c r="DZ20" s="319">
        <v>19083.650000000001</v>
      </c>
      <c r="EA20" s="319">
        <v>22159.38</v>
      </c>
      <c r="EB20" s="319">
        <v>77004.34</v>
      </c>
      <c r="EC20" s="319">
        <v>73072.009999999995</v>
      </c>
      <c r="ED20" s="319">
        <v>53074.43</v>
      </c>
      <c r="EE20" s="319">
        <v>9224.92</v>
      </c>
      <c r="EF20" s="319">
        <v>4312.75</v>
      </c>
      <c r="EG20" s="319">
        <v>3613.49</v>
      </c>
      <c r="EH20" s="319">
        <v>969.09</v>
      </c>
      <c r="EI20" s="362">
        <v>1076.57</v>
      </c>
      <c r="EJ20" s="753">
        <v>1305.74</v>
      </c>
      <c r="EK20" s="753">
        <v>4745.84</v>
      </c>
      <c r="EL20" s="753">
        <v>13105.36</v>
      </c>
      <c r="EM20" s="753">
        <v>15000</v>
      </c>
      <c r="EN20" s="39"/>
      <c r="EO20" s="43" t="s">
        <v>4</v>
      </c>
      <c r="EP20" s="319">
        <v>19360.41</v>
      </c>
      <c r="EQ20" s="319">
        <v>60342.27</v>
      </c>
      <c r="ER20" s="319">
        <v>63809.22</v>
      </c>
      <c r="ES20" s="319">
        <v>65048.34</v>
      </c>
      <c r="ET20" s="319">
        <v>97609.76</v>
      </c>
      <c r="EU20" s="319">
        <v>72818.55</v>
      </c>
      <c r="EV20" s="319">
        <v>52657</v>
      </c>
      <c r="EW20" s="319">
        <v>50804</v>
      </c>
      <c r="EX20" s="319">
        <v>40215.490000000005</v>
      </c>
      <c r="EY20" s="319">
        <v>30247.11</v>
      </c>
      <c r="EZ20" s="319">
        <v>99098.43</v>
      </c>
      <c r="FA20" s="319">
        <v>100975.29999999999</v>
      </c>
      <c r="FB20" s="319">
        <v>41036.67</v>
      </c>
      <c r="FC20" s="319">
        <v>105076.15</v>
      </c>
      <c r="FD20" s="319">
        <v>35134.490000000005</v>
      </c>
      <c r="FE20" s="319">
        <v>30112.97</v>
      </c>
      <c r="FF20" s="319">
        <v>52234.7</v>
      </c>
      <c r="FG20" s="362">
        <v>46823.199999999997</v>
      </c>
      <c r="FH20" s="362">
        <v>82574.239999999991</v>
      </c>
      <c r="FI20" s="362">
        <v>70175.69</v>
      </c>
      <c r="FJ20" s="362">
        <v>53018.07</v>
      </c>
      <c r="FK20" s="362">
        <v>85500</v>
      </c>
      <c r="FM20" s="43" t="s">
        <v>4</v>
      </c>
      <c r="FN20" s="319">
        <v>297873</v>
      </c>
      <c r="FO20" s="319">
        <v>308663</v>
      </c>
      <c r="FP20" s="319">
        <v>734276</v>
      </c>
      <c r="FQ20" s="319">
        <v>1062661</v>
      </c>
      <c r="FR20" s="319">
        <v>1370155</v>
      </c>
      <c r="FS20" s="319">
        <v>1393468</v>
      </c>
      <c r="FT20" s="319">
        <v>1588312</v>
      </c>
      <c r="FU20" s="319">
        <v>1650027</v>
      </c>
      <c r="FV20" s="319">
        <v>1504279.5100000002</v>
      </c>
      <c r="FW20" s="319">
        <v>838852.17</v>
      </c>
      <c r="FX20" s="319">
        <v>439090.94</v>
      </c>
      <c r="FY20" s="319">
        <v>1044343.67</v>
      </c>
      <c r="FZ20" s="319">
        <v>824896.17</v>
      </c>
      <c r="GA20" s="319">
        <v>1343261.71</v>
      </c>
      <c r="GB20" s="319">
        <v>1084882.23</v>
      </c>
      <c r="GC20" s="319">
        <v>2424923.39</v>
      </c>
      <c r="GD20" s="319">
        <v>2805184.5</v>
      </c>
      <c r="GE20" s="319">
        <v>3352552.03</v>
      </c>
      <c r="GF20" s="756">
        <v>4326385.99</v>
      </c>
      <c r="GG20" s="756">
        <v>5102857.82</v>
      </c>
      <c r="GH20" s="756">
        <v>4863671.8</v>
      </c>
      <c r="GI20" s="756">
        <v>3299764.8000000007</v>
      </c>
      <c r="GJ20" s="42"/>
      <c r="GK20" s="570" t="s">
        <v>4</v>
      </c>
      <c r="GL20" s="571">
        <f>FN20/'4GF Expenditures'!B21</f>
        <v>0.15042351162416065</v>
      </c>
      <c r="GM20" s="571">
        <f>FO20/'4GF Expenditures'!C21</f>
        <v>0.15428374917962889</v>
      </c>
      <c r="GN20" s="571">
        <f>FP20/'4GF Expenditures'!D21</f>
        <v>0.43158153972025926</v>
      </c>
      <c r="GO20" s="571">
        <f>FQ20/'4GF Expenditures'!E21</f>
        <v>0.57756673893536203</v>
      </c>
      <c r="GP20" s="571">
        <f>FR20/'4GF Expenditures'!F21</f>
        <v>0.64243582229515883</v>
      </c>
      <c r="GQ20" s="571">
        <f>FS20/'4GF Expenditures'!G21</f>
        <v>0.57965258316344082</v>
      </c>
      <c r="GR20" s="571">
        <f>FT20/'4GF Expenditures'!H21</f>
        <v>0.65147993893370237</v>
      </c>
      <c r="GS20" s="571">
        <f>FU20/'4GF Expenditures'!I21</f>
        <v>0.66573989120777766</v>
      </c>
      <c r="GT20" s="571">
        <f>FV20/'4GF Expenditures'!J21</f>
        <v>0.5329783018116292</v>
      </c>
      <c r="GU20" s="571">
        <f>FW20/'4GF Expenditures'!K21</f>
        <v>0.25439936365538451</v>
      </c>
      <c r="GV20" s="571">
        <f>FX20/'4GF Expenditures'!L21</f>
        <v>0.13240764557844795</v>
      </c>
      <c r="GW20" s="571">
        <f>FY20/'4GF Expenditures'!M21</f>
        <v>0.40138566157555572</v>
      </c>
      <c r="GX20" s="571">
        <f>FZ20/'4GF Expenditures'!N21</f>
        <v>0.2454080465004265</v>
      </c>
      <c r="GY20" s="571">
        <f>GA20/'4GF Expenditures'!O21</f>
        <v>0.46909914831230315</v>
      </c>
      <c r="GZ20" s="571">
        <f>GB20/'4GF Expenditures'!P21</f>
        <v>0.30411573554535948</v>
      </c>
      <c r="HA20" s="571">
        <f>GC20/'4GF Expenditures'!Q21</f>
        <v>0.89266784488556206</v>
      </c>
      <c r="HB20" s="571">
        <f>GD20/'4GF Expenditures'!R21</f>
        <v>0.69967803034587628</v>
      </c>
      <c r="HC20" s="571">
        <f>GE20/'4GF Expenditures'!S21</f>
        <v>0.86707345613087483</v>
      </c>
      <c r="HD20" s="571">
        <f>GF20/'4GF Expenditures'!T21</f>
        <v>1.1945396544189786</v>
      </c>
      <c r="HE20" s="571">
        <f>GG20/'4GF Expenditures'!U21</f>
        <v>1.3150967431756446</v>
      </c>
      <c r="HF20" s="571">
        <f>GH20/'4GF Expenditures'!V21</f>
        <v>0.99155427228049797</v>
      </c>
      <c r="HG20" s="571">
        <f>GI20/'4GF Expenditures'!W21</f>
        <v>0.52502165868709461</v>
      </c>
      <c r="HH20" s="571"/>
      <c r="HI20" s="571"/>
      <c r="HJ20" s="571"/>
      <c r="HK20" s="568"/>
      <c r="HL20" s="567" t="s">
        <v>4</v>
      </c>
      <c r="HM20" s="571">
        <f>B20/'4GF Expenditures'!B21</f>
        <v>0.97768540911177448</v>
      </c>
      <c r="HN20" s="571">
        <f>C20/'4GF Expenditures'!C21</f>
        <v>1.0053933307641285</v>
      </c>
      <c r="HO20" s="571">
        <f>D20/'4GF Expenditures'!D21</f>
        <v>1.2501603128319034</v>
      </c>
      <c r="HP20" s="571">
        <f>E20/'4GF Expenditures'!E21</f>
        <v>1.1784804877240145</v>
      </c>
      <c r="HQ20" s="571">
        <f>F20/'4GF Expenditures'!F21</f>
        <v>1.1441772359629587</v>
      </c>
      <c r="HR20" s="571">
        <f>G20/'4GF Expenditures'!G21</f>
        <v>1.0096981203184232</v>
      </c>
      <c r="HS20" s="571">
        <f>H20/'4GF Expenditures'!H21</f>
        <v>1.0799194095502636</v>
      </c>
      <c r="HT20" s="571">
        <f>I20/'4GF Expenditures'!I21</f>
        <v>1.024899878393503</v>
      </c>
      <c r="HU20" s="571">
        <f>J20/'4GF Expenditures'!J21</f>
        <v>0.94835967625897899</v>
      </c>
      <c r="HV20" s="571">
        <f>K20/'4GF Expenditures'!K21</f>
        <v>0.80450250256481415</v>
      </c>
      <c r="HW20" s="571">
        <f>L20/'4GF Expenditures'!L21</f>
        <v>0.89388406175681534</v>
      </c>
      <c r="HX20" s="571">
        <f>M20/'4GF Expenditures'!M21</f>
        <v>1.2326439822544761</v>
      </c>
      <c r="HY20" s="571">
        <f>N20/'4GF Expenditures'!N21</f>
        <v>0.93471398675011141</v>
      </c>
      <c r="HZ20" s="571">
        <f>O20/'4GF Expenditures'!O21</f>
        <v>1.1810256568159356</v>
      </c>
      <c r="IA20" s="571">
        <f>P20/'4GF Expenditures'!P21</f>
        <v>0.92757069529102032</v>
      </c>
      <c r="IB20" s="571">
        <f>Q20/'4GF Expenditures'!Q21</f>
        <v>1.4932987406068727</v>
      </c>
      <c r="IC20" s="571">
        <f>R20/'4GF Expenditures'!R21</f>
        <v>1.0948459341843422</v>
      </c>
      <c r="ID20" s="573">
        <f>S20/'4GF Expenditures'!S21</f>
        <v>1.1415661417821217</v>
      </c>
      <c r="IE20" s="572">
        <f>T20/'4GF Expenditures'!T21</f>
        <v>1.2688810671837132</v>
      </c>
      <c r="IF20" s="572">
        <f>U20/'4GF Expenditures'!U21</f>
        <v>1.200110528417708</v>
      </c>
      <c r="IG20" s="572">
        <f>V20/'4GF Expenditures'!V21</f>
        <v>0.95123726892904881</v>
      </c>
      <c r="IH20" s="572">
        <f>W20/'4GF Expenditures'!W21</f>
        <v>0.75116861445023053</v>
      </c>
    </row>
    <row r="21" spans="1:242" ht="14">
      <c r="A21" s="43" t="s">
        <v>5</v>
      </c>
      <c r="B21" s="319">
        <v>1973383</v>
      </c>
      <c r="C21" s="319">
        <v>2058945</v>
      </c>
      <c r="D21" s="319">
        <v>2271547</v>
      </c>
      <c r="E21" s="319">
        <v>2483632</v>
      </c>
      <c r="F21" s="319">
        <v>2676378</v>
      </c>
      <c r="G21" s="319">
        <v>2708520</v>
      </c>
      <c r="H21" s="319">
        <v>2732555</v>
      </c>
      <c r="I21" s="319">
        <v>2886694</v>
      </c>
      <c r="J21" s="319">
        <v>3066456</v>
      </c>
      <c r="K21" s="319">
        <v>3215414</v>
      </c>
      <c r="L21" s="319">
        <v>3803777</v>
      </c>
      <c r="M21" s="319">
        <v>3650401</v>
      </c>
      <c r="N21" s="319">
        <v>3754020</v>
      </c>
      <c r="O21" s="319">
        <v>3575961</v>
      </c>
      <c r="P21" s="319">
        <v>3547048</v>
      </c>
      <c r="Q21" s="319">
        <v>3503803</v>
      </c>
      <c r="R21" s="319"/>
      <c r="S21" s="362">
        <v>3307631</v>
      </c>
      <c r="T21" s="362">
        <v>3846860</v>
      </c>
      <c r="U21" s="362">
        <v>3954008</v>
      </c>
      <c r="V21" s="362">
        <v>4025172</v>
      </c>
      <c r="W21" s="362">
        <v>3892450</v>
      </c>
      <c r="X21" s="6"/>
      <c r="Y21" s="43" t="s">
        <v>5</v>
      </c>
      <c r="Z21" s="319">
        <v>19733.830000000002</v>
      </c>
      <c r="AA21" s="319">
        <v>20589.45</v>
      </c>
      <c r="AB21" s="319">
        <v>22715.47</v>
      </c>
      <c r="AC21" s="319">
        <v>24836.32</v>
      </c>
      <c r="AD21" s="319">
        <v>26763.78</v>
      </c>
      <c r="AE21" s="319">
        <v>27085.200000000001</v>
      </c>
      <c r="AF21" s="319">
        <v>27325.55</v>
      </c>
      <c r="AG21" s="319">
        <v>28866.94</v>
      </c>
      <c r="AH21" s="319">
        <v>12288</v>
      </c>
      <c r="AI21" s="319">
        <v>35652</v>
      </c>
      <c r="AJ21" s="319">
        <v>35525</v>
      </c>
      <c r="AK21" s="319">
        <v>36081</v>
      </c>
      <c r="AL21" s="319">
        <v>39561</v>
      </c>
      <c r="AM21" s="319">
        <v>38970</v>
      </c>
      <c r="AN21" s="319">
        <v>39207</v>
      </c>
      <c r="AO21" s="319">
        <v>39857</v>
      </c>
      <c r="AP21" s="319"/>
      <c r="AQ21" s="362">
        <v>45205</v>
      </c>
      <c r="AR21" s="753">
        <v>49934</v>
      </c>
      <c r="AS21" s="753">
        <v>51397</v>
      </c>
      <c r="AT21" s="753">
        <v>49374</v>
      </c>
      <c r="AU21" s="753">
        <v>49000</v>
      </c>
      <c r="AV21" s="39"/>
      <c r="AW21" s="43" t="s">
        <v>5</v>
      </c>
      <c r="AX21" s="319">
        <v>1223497.46</v>
      </c>
      <c r="AY21" s="319">
        <v>1194188.1000000001</v>
      </c>
      <c r="AZ21" s="319">
        <v>1249350.8500000001</v>
      </c>
      <c r="BA21" s="319">
        <v>1365997.6</v>
      </c>
      <c r="BB21" s="319">
        <v>1498771.68</v>
      </c>
      <c r="BC21" s="319">
        <v>1543856.4</v>
      </c>
      <c r="BD21" s="319">
        <v>1557556.35</v>
      </c>
      <c r="BE21" s="319">
        <v>1558814.76</v>
      </c>
      <c r="BF21" s="319">
        <v>1635874</v>
      </c>
      <c r="BG21" s="319">
        <v>1685377</v>
      </c>
      <c r="BH21" s="319">
        <v>1858638</v>
      </c>
      <c r="BI21" s="319">
        <v>1893781</v>
      </c>
      <c r="BJ21" s="319">
        <v>1896753</v>
      </c>
      <c r="BK21" s="319">
        <v>1732006</v>
      </c>
      <c r="BL21" s="319">
        <v>1743524</v>
      </c>
      <c r="BM21" s="319">
        <v>1821043</v>
      </c>
      <c r="BN21" s="319"/>
      <c r="BO21" s="362">
        <v>1796387</v>
      </c>
      <c r="BP21" s="753">
        <v>2418239</v>
      </c>
      <c r="BQ21" s="753">
        <v>2535874</v>
      </c>
      <c r="BR21" s="753">
        <v>2570684</v>
      </c>
      <c r="BS21" s="753">
        <v>2505000</v>
      </c>
      <c r="BT21" s="286"/>
      <c r="BU21" s="43" t="s">
        <v>5</v>
      </c>
      <c r="BV21" s="319">
        <v>256539.79</v>
      </c>
      <c r="BW21" s="319">
        <v>308841.75</v>
      </c>
      <c r="BX21" s="319">
        <v>386162.99</v>
      </c>
      <c r="BY21" s="319">
        <v>397381.12</v>
      </c>
      <c r="BZ21" s="319">
        <v>428220.48</v>
      </c>
      <c r="CA21" s="319">
        <v>325022.40000000002</v>
      </c>
      <c r="CB21" s="319">
        <v>300581.05</v>
      </c>
      <c r="CC21" s="319">
        <v>404137.16</v>
      </c>
      <c r="CD21" s="319">
        <v>372401</v>
      </c>
      <c r="CE21" s="319">
        <v>680560</v>
      </c>
      <c r="CF21" s="319">
        <v>1104365</v>
      </c>
      <c r="CG21" s="319">
        <v>950266</v>
      </c>
      <c r="CH21" s="319">
        <v>1009088</v>
      </c>
      <c r="CI21" s="319">
        <v>854201</v>
      </c>
      <c r="CJ21" s="319">
        <v>847511</v>
      </c>
      <c r="CK21" s="319">
        <v>793631</v>
      </c>
      <c r="CL21" s="319"/>
      <c r="CM21" s="362">
        <v>692737</v>
      </c>
      <c r="CN21" s="753">
        <v>576618</v>
      </c>
      <c r="CO21" s="753">
        <v>591344</v>
      </c>
      <c r="CP21" s="753">
        <v>580676</v>
      </c>
      <c r="CQ21" s="753">
        <v>575800</v>
      </c>
      <c r="CR21" s="39"/>
      <c r="CS21" s="43" t="s">
        <v>5</v>
      </c>
      <c r="CT21" s="319">
        <v>394676.6</v>
      </c>
      <c r="CU21" s="319">
        <v>411789</v>
      </c>
      <c r="CV21" s="319">
        <v>454309.4</v>
      </c>
      <c r="CW21" s="319">
        <v>422217.44</v>
      </c>
      <c r="CX21" s="319">
        <v>454984.26</v>
      </c>
      <c r="CY21" s="319">
        <v>541704</v>
      </c>
      <c r="CZ21" s="319">
        <v>601162.1</v>
      </c>
      <c r="DA21" s="319">
        <v>577338.80000000005</v>
      </c>
      <c r="DB21" s="319">
        <v>613594</v>
      </c>
      <c r="DC21" s="319">
        <v>651289</v>
      </c>
      <c r="DD21" s="319">
        <v>654340</v>
      </c>
      <c r="DE21" s="319">
        <v>637191</v>
      </c>
      <c r="DF21" s="319">
        <v>700669</v>
      </c>
      <c r="DG21" s="319">
        <v>685369</v>
      </c>
      <c r="DH21" s="319">
        <v>679117</v>
      </c>
      <c r="DI21" s="319">
        <v>662382</v>
      </c>
      <c r="DJ21" s="319"/>
      <c r="DK21" s="362">
        <v>688424</v>
      </c>
      <c r="DL21" s="753">
        <v>671300</v>
      </c>
      <c r="DM21" s="753">
        <v>648679</v>
      </c>
      <c r="DN21" s="753">
        <v>683375</v>
      </c>
      <c r="DO21" s="753">
        <v>640150</v>
      </c>
      <c r="DP21" s="39"/>
      <c r="DQ21" s="43" t="s">
        <v>5</v>
      </c>
      <c r="DR21" s="319">
        <v>59201.49</v>
      </c>
      <c r="DS21" s="319">
        <v>61768.35</v>
      </c>
      <c r="DT21" s="319">
        <v>68146.41</v>
      </c>
      <c r="DU21" s="319">
        <v>74508.960000000006</v>
      </c>
      <c r="DV21" s="319">
        <v>107055.12</v>
      </c>
      <c r="DW21" s="319">
        <v>135426</v>
      </c>
      <c r="DX21" s="319">
        <v>54651.1</v>
      </c>
      <c r="DY21" s="319">
        <v>0</v>
      </c>
      <c r="DZ21" s="319">
        <v>8229</v>
      </c>
      <c r="EA21" s="319">
        <v>19366</v>
      </c>
      <c r="EB21" s="319">
        <v>35248</v>
      </c>
      <c r="EC21" s="319">
        <v>48286</v>
      </c>
      <c r="ED21" s="319">
        <v>21726</v>
      </c>
      <c r="EE21" s="319">
        <v>3033</v>
      </c>
      <c r="EF21" s="319">
        <v>3043</v>
      </c>
      <c r="EG21" s="319">
        <v>1745</v>
      </c>
      <c r="EH21" s="319"/>
      <c r="EI21" s="362">
        <v>2875</v>
      </c>
      <c r="EJ21" s="753">
        <v>3974</v>
      </c>
      <c r="EK21" s="753">
        <v>6219</v>
      </c>
      <c r="EL21" s="753">
        <v>12299</v>
      </c>
      <c r="EM21" s="753">
        <v>12000</v>
      </c>
      <c r="EN21" s="39"/>
      <c r="EO21" s="43" t="s">
        <v>5</v>
      </c>
      <c r="EP21" s="319">
        <v>19733.830000000002</v>
      </c>
      <c r="EQ21" s="319">
        <v>61768.35</v>
      </c>
      <c r="ER21" s="319">
        <v>90861.88</v>
      </c>
      <c r="ES21" s="319">
        <v>198690.56</v>
      </c>
      <c r="ET21" s="319">
        <v>160582.68</v>
      </c>
      <c r="EU21" s="319">
        <v>135426</v>
      </c>
      <c r="EV21" s="319">
        <v>191278.85</v>
      </c>
      <c r="EW21" s="319">
        <v>317536.34000000003</v>
      </c>
      <c r="EX21" s="319">
        <v>383688</v>
      </c>
      <c r="EY21" s="319">
        <v>93089</v>
      </c>
      <c r="EZ21" s="319">
        <v>100250</v>
      </c>
      <c r="FA21" s="319">
        <v>52466</v>
      </c>
      <c r="FB21" s="319">
        <v>85363</v>
      </c>
      <c r="FC21" s="319">
        <v>150047</v>
      </c>
      <c r="FD21" s="319">
        <v>104937</v>
      </c>
      <c r="FE21" s="319">
        <v>52211</v>
      </c>
      <c r="FF21" s="319"/>
      <c r="FG21" s="362">
        <v>65703</v>
      </c>
      <c r="FH21" s="362">
        <v>102715</v>
      </c>
      <c r="FI21" s="362">
        <v>96643</v>
      </c>
      <c r="FJ21" s="362">
        <v>104170</v>
      </c>
      <c r="FK21" s="362">
        <v>88000</v>
      </c>
      <c r="FM21" s="43" t="s">
        <v>5</v>
      </c>
      <c r="FN21" s="319">
        <v>906789</v>
      </c>
      <c r="FO21" s="319">
        <v>1103249</v>
      </c>
      <c r="FP21" s="319">
        <v>1417309</v>
      </c>
      <c r="FQ21" s="319">
        <v>1697182</v>
      </c>
      <c r="FR21" s="319">
        <v>2241183</v>
      </c>
      <c r="FS21" s="319">
        <v>2527335</v>
      </c>
      <c r="FT21" s="319">
        <v>814655</v>
      </c>
      <c r="FU21" s="319">
        <v>574161</v>
      </c>
      <c r="FV21" s="319">
        <v>383804</v>
      </c>
      <c r="FW21" s="319">
        <v>240685</v>
      </c>
      <c r="FX21" s="319">
        <v>358408</v>
      </c>
      <c r="FY21" s="319">
        <v>139660</v>
      </c>
      <c r="FZ21" s="319">
        <v>220983</v>
      </c>
      <c r="GA21" s="319">
        <v>245228</v>
      </c>
      <c r="GB21" s="319">
        <v>149184</v>
      </c>
      <c r="GC21" s="319">
        <v>142381</v>
      </c>
      <c r="GD21" s="319"/>
      <c r="GE21" s="319">
        <v>404304</v>
      </c>
      <c r="GF21" s="756">
        <v>711477</v>
      </c>
      <c r="GG21" s="756">
        <v>1187534</v>
      </c>
      <c r="GH21" s="756">
        <v>1187422</v>
      </c>
      <c r="GI21" s="756">
        <v>499133.29000000004</v>
      </c>
      <c r="GJ21" s="42"/>
      <c r="GK21" s="570" t="s">
        <v>5</v>
      </c>
      <c r="GL21" s="571">
        <f>FN21/'4GF Expenditures'!B22</f>
        <v>0.44062518221928509</v>
      </c>
      <c r="GM21" s="571">
        <f>FO21/'4GF Expenditures'!C22</f>
        <v>0.63378197420750615</v>
      </c>
      <c r="GN21" s="571">
        <f>FP21/'4GF Expenditures'!D22</f>
        <v>0.68164991609886916</v>
      </c>
      <c r="GO21" s="571">
        <f>FQ21/'4GF Expenditures'!E22</f>
        <v>0.77013049067525075</v>
      </c>
      <c r="GP21" s="571">
        <f>FR21/'4GF Expenditures'!F22</f>
        <v>1.0510256863584628</v>
      </c>
      <c r="GQ21" s="571">
        <f>FS21/'4GF Expenditures'!G22</f>
        <v>1.0433323921055759</v>
      </c>
      <c r="GR21" s="571">
        <f>FT21/'4GF Expenditures'!H22</f>
        <v>0.18326477677783065</v>
      </c>
      <c r="GS21" s="571">
        <f>FU21/'4GF Expenditures'!I22</f>
        <v>0.18360296854554314</v>
      </c>
      <c r="GT21" s="571">
        <f>FV21/'4GF Expenditures'!J22</f>
        <v>0.12365090472342823</v>
      </c>
      <c r="GU21" s="571">
        <f>FW21/'4GF Expenditures'!K22</f>
        <v>7.1663729372318213E-2</v>
      </c>
      <c r="GV21" s="571">
        <f>FX21/'4GF Expenditures'!L22</f>
        <v>9.7233518553987541E-2</v>
      </c>
      <c r="GW21" s="571">
        <f>FY21/'4GF Expenditures'!M22</f>
        <v>3.6095792640707294E-2</v>
      </c>
      <c r="GX21" s="571">
        <f>FZ21/'4GF Expenditures'!N22</f>
        <v>6.0169134562421019E-2</v>
      </c>
      <c r="GY21" s="571">
        <f>GA21/'4GF Expenditures'!O22</f>
        <v>6.9044934899074137E-2</v>
      </c>
      <c r="GZ21" s="571">
        <f>GB21/'4GF Expenditures'!P22</f>
        <v>3.9113958101626448E-2</v>
      </c>
      <c r="HA21" s="571">
        <f>GC21/'4GF Expenditures'!Q22</f>
        <v>4.41807519363464E-2</v>
      </c>
      <c r="HB21" s="571" t="e">
        <f>GD21/'4GF Expenditures'!R22</f>
        <v>#DIV/0!</v>
      </c>
      <c r="HC21" s="571">
        <f>GE21/'4GF Expenditures'!S22</f>
        <v>0.1277711254018683</v>
      </c>
      <c r="HD21" s="571">
        <f>GF21/'4GF Expenditures'!T22</f>
        <v>0.20099997542155562</v>
      </c>
      <c r="HE21" s="571">
        <f>GG21/'4GF Expenditures'!U22</f>
        <v>0.33591801289322498</v>
      </c>
      <c r="HF21" s="571">
        <f>GH21/'4GF Expenditures'!V22</f>
        <v>0.29499086275651604</v>
      </c>
      <c r="HG21" s="571">
        <f>GI21/'4GF Expenditures'!W22</f>
        <v>0.10896349292099222</v>
      </c>
      <c r="HH21" s="571"/>
      <c r="HI21" s="571"/>
      <c r="HJ21" s="571"/>
      <c r="HK21" s="568"/>
      <c r="HL21" s="567" t="s">
        <v>5</v>
      </c>
      <c r="HM21" s="571">
        <f>B21/'4GF Expenditures'!B22</f>
        <v>0.95890250539369082</v>
      </c>
      <c r="HN21" s="571">
        <f>C21/'4GF Expenditures'!C22</f>
        <v>1.1827993742887359</v>
      </c>
      <c r="HO21" s="571">
        <f>D21/'4GF Expenditures'!D22</f>
        <v>1.0924927605516073</v>
      </c>
      <c r="HP21" s="571">
        <f>E21/'4GF Expenditures'!E22</f>
        <v>1.1269980065878347</v>
      </c>
      <c r="HQ21" s="571">
        <f>F21/'4GF Expenditures'!F22</f>
        <v>1.2551148319457581</v>
      </c>
      <c r="HR21" s="571">
        <f>G21/'4GF Expenditures'!G22</f>
        <v>1.1181290373716959</v>
      </c>
      <c r="HS21" s="571">
        <f>H21/'4GF Expenditures'!H22</f>
        <v>0.61471553247466104</v>
      </c>
      <c r="HT21" s="571">
        <f>I21/'4GF Expenditures'!I22</f>
        <v>0.92309576526898929</v>
      </c>
      <c r="HU21" s="571">
        <f>J21/'4GF Expenditures'!J22</f>
        <v>0.98792628189019605</v>
      </c>
      <c r="HV21" s="571">
        <f>K21/'4GF Expenditures'!K22</f>
        <v>0.95738645414530688</v>
      </c>
      <c r="HW21" s="571">
        <f>L21/'4GF Expenditures'!L22</f>
        <v>1.0319374051492463</v>
      </c>
      <c r="HX21" s="571">
        <f>M21/'4GF Expenditures'!M22</f>
        <v>0.94346353681390915</v>
      </c>
      <c r="HY21" s="571">
        <f>N21/'4GF Expenditures'!N22</f>
        <v>1.0221425835019877</v>
      </c>
      <c r="HZ21" s="571">
        <f>O21/'4GF Expenditures'!O22</f>
        <v>1.0068262777767141</v>
      </c>
      <c r="IA21" s="571">
        <f>P21/'4GF Expenditures'!P22</f>
        <v>0.92998637157106578</v>
      </c>
      <c r="IB21" s="571">
        <f>Q21/'4GF Expenditures'!Q22</f>
        <v>1.0872282901287835</v>
      </c>
      <c r="IC21" s="571" t="e">
        <f>R21/'4GF Expenditures'!R22</f>
        <v>#DIV/0!</v>
      </c>
      <c r="ID21" s="573">
        <f>S21/'4GF Expenditures'!S22</f>
        <v>1.0453018898752102</v>
      </c>
      <c r="IE21" s="572">
        <f>T21/'4GF Expenditures'!T22</f>
        <v>1.0867797067932843</v>
      </c>
      <c r="IF21" s="572">
        <f>U21/'4GF Expenditures'!U22</f>
        <v>1.1184711429937289</v>
      </c>
      <c r="IG21" s="572">
        <f>V21/'4GF Expenditures'!V22</f>
        <v>0.99997217587628595</v>
      </c>
      <c r="IH21" s="572">
        <f>W21/'4GF Expenditures'!W22</f>
        <v>0.84974285730434074</v>
      </c>
    </row>
    <row r="22" spans="1:242" ht="14">
      <c r="A22" s="43" t="s">
        <v>6</v>
      </c>
      <c r="B22" s="319">
        <v>641192</v>
      </c>
      <c r="C22" s="319">
        <v>668045</v>
      </c>
      <c r="D22" s="319">
        <v>700915</v>
      </c>
      <c r="E22" s="319">
        <v>725604</v>
      </c>
      <c r="F22" s="319">
        <v>762899</v>
      </c>
      <c r="G22" s="319">
        <v>750420</v>
      </c>
      <c r="H22" s="319">
        <v>763782</v>
      </c>
      <c r="I22" s="319">
        <v>839139</v>
      </c>
      <c r="J22" s="319">
        <v>955957.6</v>
      </c>
      <c r="K22" s="319">
        <v>948006.35</v>
      </c>
      <c r="L22" s="319">
        <v>939948.74999999988</v>
      </c>
      <c r="M22" s="319">
        <v>976670.17</v>
      </c>
      <c r="N22" s="319">
        <v>1160048.46</v>
      </c>
      <c r="O22" s="319">
        <v>1075090.2000000002</v>
      </c>
      <c r="P22" s="319">
        <v>1169048.4099999999</v>
      </c>
      <c r="Q22" s="319">
        <v>1139236.58</v>
      </c>
      <c r="R22" s="319">
        <v>1142833.81</v>
      </c>
      <c r="S22" s="362">
        <v>1183758.68</v>
      </c>
      <c r="T22" s="362">
        <v>1252352.3299999998</v>
      </c>
      <c r="U22" s="362">
        <v>1248185.0999999999</v>
      </c>
      <c r="V22" s="362">
        <v>1293502.72</v>
      </c>
      <c r="W22" s="362">
        <v>1215220</v>
      </c>
      <c r="X22" s="6"/>
      <c r="Y22" s="43" t="s">
        <v>6</v>
      </c>
      <c r="Z22" s="319">
        <v>51295.360000000001</v>
      </c>
      <c r="AA22" s="319">
        <v>53443.6</v>
      </c>
      <c r="AB22" s="319">
        <v>56073.2</v>
      </c>
      <c r="AC22" s="319">
        <v>58048.32</v>
      </c>
      <c r="AD22" s="319">
        <v>61031.92</v>
      </c>
      <c r="AE22" s="319">
        <v>82546.2</v>
      </c>
      <c r="AF22" s="319">
        <v>84016.02</v>
      </c>
      <c r="AG22" s="319">
        <v>83913.9</v>
      </c>
      <c r="AH22" s="319">
        <v>85696.680000000008</v>
      </c>
      <c r="AI22" s="319">
        <v>87690.9</v>
      </c>
      <c r="AJ22" s="319">
        <v>98538.340000000011</v>
      </c>
      <c r="AK22" s="319">
        <v>104190.18000000001</v>
      </c>
      <c r="AL22" s="319">
        <v>104653.75</v>
      </c>
      <c r="AM22" s="319">
        <v>108041.37</v>
      </c>
      <c r="AN22" s="319">
        <v>108865.06999999999</v>
      </c>
      <c r="AO22" s="319">
        <v>87955.12</v>
      </c>
      <c r="AP22" s="319">
        <v>43677.990000000005</v>
      </c>
      <c r="AQ22" s="362">
        <v>104537.06000000001</v>
      </c>
      <c r="AR22" s="753">
        <v>111920.72</v>
      </c>
      <c r="AS22" s="753">
        <v>109012.16</v>
      </c>
      <c r="AT22" s="753">
        <v>119731.75</v>
      </c>
      <c r="AU22" s="753">
        <v>118000</v>
      </c>
      <c r="AV22" s="39"/>
      <c r="AW22" s="43" t="s">
        <v>6</v>
      </c>
      <c r="AX22" s="319">
        <v>359067.52</v>
      </c>
      <c r="AY22" s="319">
        <v>380785.65</v>
      </c>
      <c r="AZ22" s="319">
        <v>378494.1</v>
      </c>
      <c r="BA22" s="319">
        <v>399082.2</v>
      </c>
      <c r="BB22" s="319">
        <v>434852.43</v>
      </c>
      <c r="BC22" s="319">
        <v>435243.6</v>
      </c>
      <c r="BD22" s="319">
        <v>450631.38</v>
      </c>
      <c r="BE22" s="319">
        <v>444743.67</v>
      </c>
      <c r="BF22" s="319">
        <v>481900.75</v>
      </c>
      <c r="BG22" s="319">
        <v>518417.28</v>
      </c>
      <c r="BH22" s="319">
        <v>509357.96</v>
      </c>
      <c r="BI22" s="319">
        <v>531494.19000000006</v>
      </c>
      <c r="BJ22" s="319">
        <v>516725.24</v>
      </c>
      <c r="BK22" s="319">
        <v>492830.31</v>
      </c>
      <c r="BL22" s="319">
        <v>504935.5</v>
      </c>
      <c r="BM22" s="319">
        <v>507084.1</v>
      </c>
      <c r="BN22" s="319">
        <v>511169.42</v>
      </c>
      <c r="BO22" s="362">
        <v>522126.45</v>
      </c>
      <c r="BP22" s="753">
        <v>554880.37</v>
      </c>
      <c r="BQ22" s="753">
        <v>530150.6</v>
      </c>
      <c r="BR22" s="753">
        <v>548297.27</v>
      </c>
      <c r="BS22" s="753">
        <v>530000</v>
      </c>
      <c r="BT22" s="286"/>
      <c r="BU22" s="43" t="s">
        <v>6</v>
      </c>
      <c r="BV22" s="319">
        <v>51295.360000000001</v>
      </c>
      <c r="BW22" s="319">
        <v>46763.15</v>
      </c>
      <c r="BX22" s="319">
        <v>49064.05</v>
      </c>
      <c r="BY22" s="319">
        <v>50792.28</v>
      </c>
      <c r="BZ22" s="319">
        <v>61031.92</v>
      </c>
      <c r="CA22" s="319">
        <v>30016.799999999999</v>
      </c>
      <c r="CB22" s="319">
        <v>38189.1</v>
      </c>
      <c r="CC22" s="319">
        <v>83913.9</v>
      </c>
      <c r="CD22" s="319">
        <v>123131.06</v>
      </c>
      <c r="CE22" s="319">
        <v>50846.869999999995</v>
      </c>
      <c r="CF22" s="319">
        <v>43180.42</v>
      </c>
      <c r="CG22" s="319">
        <v>37531.71</v>
      </c>
      <c r="CH22" s="319">
        <v>50264.66</v>
      </c>
      <c r="CI22" s="319">
        <v>43044.92</v>
      </c>
      <c r="CJ22" s="319">
        <v>62040.340000000004</v>
      </c>
      <c r="CK22" s="319">
        <v>70860.56</v>
      </c>
      <c r="CL22" s="319">
        <v>83946.46</v>
      </c>
      <c r="CM22" s="362">
        <v>52322.03</v>
      </c>
      <c r="CN22" s="753">
        <v>71073.53</v>
      </c>
      <c r="CO22" s="753">
        <v>68464.549999999988</v>
      </c>
      <c r="CP22" s="753">
        <v>80827.240000000005</v>
      </c>
      <c r="CQ22" s="753">
        <v>81620</v>
      </c>
      <c r="CR22" s="39"/>
      <c r="CS22" s="43" t="s">
        <v>6</v>
      </c>
      <c r="CT22" s="319">
        <v>134650.32</v>
      </c>
      <c r="CU22" s="319">
        <v>153650.35</v>
      </c>
      <c r="CV22" s="319">
        <v>140183</v>
      </c>
      <c r="CW22" s="319">
        <v>145120.79999999999</v>
      </c>
      <c r="CX22" s="319">
        <v>129692.83</v>
      </c>
      <c r="CY22" s="319">
        <v>157588.20000000001</v>
      </c>
      <c r="CZ22" s="319">
        <v>152756.4</v>
      </c>
      <c r="DA22" s="319">
        <v>193001.97</v>
      </c>
      <c r="DB22" s="319">
        <v>233873.53</v>
      </c>
      <c r="DC22" s="319">
        <v>228756.22</v>
      </c>
      <c r="DD22" s="319">
        <v>207896.47999999998</v>
      </c>
      <c r="DE22" s="319">
        <v>232372.15</v>
      </c>
      <c r="DF22" s="319">
        <v>430391.97</v>
      </c>
      <c r="DG22" s="319">
        <v>378230.22000000009</v>
      </c>
      <c r="DH22" s="319">
        <v>443759.21</v>
      </c>
      <c r="DI22" s="319">
        <v>426130.98</v>
      </c>
      <c r="DJ22" s="319">
        <v>454963.49</v>
      </c>
      <c r="DK22" s="362">
        <v>458998.47</v>
      </c>
      <c r="DL22" s="753">
        <v>470521.85000000003</v>
      </c>
      <c r="DM22" s="753">
        <v>451929.3</v>
      </c>
      <c r="DN22" s="753">
        <v>495028.1</v>
      </c>
      <c r="DO22" s="753">
        <v>436500</v>
      </c>
      <c r="DP22" s="39"/>
      <c r="DQ22" s="43" t="s">
        <v>6</v>
      </c>
      <c r="DR22" s="319">
        <v>12823.84</v>
      </c>
      <c r="DS22" s="319">
        <v>13360.9</v>
      </c>
      <c r="DT22" s="319">
        <v>21027.45</v>
      </c>
      <c r="DU22" s="319">
        <v>21768.12</v>
      </c>
      <c r="DV22" s="319">
        <v>22886.97</v>
      </c>
      <c r="DW22" s="319">
        <v>15008.4</v>
      </c>
      <c r="DX22" s="319">
        <v>7637.82</v>
      </c>
      <c r="DY22" s="319">
        <v>0</v>
      </c>
      <c r="DZ22" s="319">
        <v>2625.58</v>
      </c>
      <c r="EA22" s="319">
        <v>10462.56</v>
      </c>
      <c r="EB22" s="319">
        <v>20054.16</v>
      </c>
      <c r="EC22" s="319">
        <v>21911.75</v>
      </c>
      <c r="ED22" s="319">
        <v>13985.65</v>
      </c>
      <c r="EE22" s="319">
        <v>2174.27</v>
      </c>
      <c r="EF22" s="319">
        <v>3389.97</v>
      </c>
      <c r="EG22" s="319">
        <v>0</v>
      </c>
      <c r="EH22" s="319">
        <v>3749.18</v>
      </c>
      <c r="EI22" s="362">
        <v>3901.11</v>
      </c>
      <c r="EJ22" s="753">
        <v>2419.77</v>
      </c>
      <c r="EK22" s="753">
        <v>2431.44</v>
      </c>
      <c r="EL22" s="753">
        <v>3068.62</v>
      </c>
      <c r="EM22" s="753">
        <v>3000</v>
      </c>
      <c r="EN22" s="39"/>
      <c r="EO22" s="43" t="s">
        <v>6</v>
      </c>
      <c r="EP22" s="319">
        <v>32059.599999999999</v>
      </c>
      <c r="EQ22" s="319">
        <v>20041.349999999999</v>
      </c>
      <c r="ER22" s="319">
        <v>56073.2</v>
      </c>
      <c r="ES22" s="319">
        <v>50792.28</v>
      </c>
      <c r="ET22" s="319">
        <v>53402.93</v>
      </c>
      <c r="EU22" s="319">
        <v>30016.799999999999</v>
      </c>
      <c r="EV22" s="319">
        <v>30551.279999999999</v>
      </c>
      <c r="EW22" s="319">
        <v>33565.56</v>
      </c>
      <c r="EX22" s="319">
        <v>10729.999999999998</v>
      </c>
      <c r="EY22" s="319">
        <v>25432.52</v>
      </c>
      <c r="EZ22" s="319">
        <v>13061.38</v>
      </c>
      <c r="FA22" s="319">
        <v>16713.560000000001</v>
      </c>
      <c r="FB22" s="319">
        <v>14967.189999999999</v>
      </c>
      <c r="FC22" s="319">
        <v>13264.11</v>
      </c>
      <c r="FD22" s="319">
        <v>10837.82</v>
      </c>
      <c r="FE22" s="319">
        <v>13187.82</v>
      </c>
      <c r="FF22" s="319">
        <v>16188.27</v>
      </c>
      <c r="FG22" s="362">
        <v>14813.559999999998</v>
      </c>
      <c r="FH22" s="362">
        <v>14476.09</v>
      </c>
      <c r="FI22" s="362">
        <v>18487.05</v>
      </c>
      <c r="FJ22" s="362">
        <v>16989.739999999998</v>
      </c>
      <c r="FK22" s="362">
        <v>16540</v>
      </c>
      <c r="FM22" s="43" t="s">
        <v>6</v>
      </c>
      <c r="FN22" s="319">
        <v>270955</v>
      </c>
      <c r="FO22" s="319">
        <v>394979</v>
      </c>
      <c r="FP22" s="319">
        <v>337269</v>
      </c>
      <c r="FQ22" s="319">
        <v>313641</v>
      </c>
      <c r="FR22" s="319">
        <v>307300</v>
      </c>
      <c r="FS22" s="319">
        <v>284409</v>
      </c>
      <c r="FT22" s="319">
        <v>258991</v>
      </c>
      <c r="FU22" s="319">
        <v>314898</v>
      </c>
      <c r="FV22" s="319">
        <v>313371.71999999997</v>
      </c>
      <c r="FW22" s="319">
        <v>373608.44</v>
      </c>
      <c r="FX22" s="319">
        <v>345438.16</v>
      </c>
      <c r="FY22" s="319">
        <v>394320.02</v>
      </c>
      <c r="FZ22" s="319">
        <v>495077.66</v>
      </c>
      <c r="GA22" s="319">
        <v>614751.79</v>
      </c>
      <c r="GB22" s="319">
        <v>587927.04000000004</v>
      </c>
      <c r="GC22" s="319">
        <v>587102.34</v>
      </c>
      <c r="GD22" s="319">
        <v>568745.30000000005</v>
      </c>
      <c r="GE22" s="319">
        <v>576860.46</v>
      </c>
      <c r="GF22" s="756">
        <v>587239.11</v>
      </c>
      <c r="GG22" s="756">
        <v>541946.61</v>
      </c>
      <c r="GH22" s="756">
        <v>552640.67000000004</v>
      </c>
      <c r="GI22" s="756">
        <v>55463.669999999925</v>
      </c>
      <c r="GJ22" s="42"/>
      <c r="GK22" s="570" t="s">
        <v>6</v>
      </c>
      <c r="GL22" s="571">
        <f>FN22/'4GF Expenditures'!B23</f>
        <v>0.47592157055611273</v>
      </c>
      <c r="GM22" s="571">
        <f>FO22/'4GF Expenditures'!C23</f>
        <v>0.72603631109828481</v>
      </c>
      <c r="GN22" s="571">
        <f>FP22/'4GF Expenditures'!D23</f>
        <v>0.44457933761739993</v>
      </c>
      <c r="GO22" s="571">
        <f>FQ22/'4GF Expenditures'!E23</f>
        <v>0.4186166634633865</v>
      </c>
      <c r="GP22" s="571">
        <f>FR22/'4GF Expenditures'!F23</f>
        <v>0.39948520617752586</v>
      </c>
      <c r="GQ22" s="571">
        <f>FS22/'4GF Expenditures'!G23</f>
        <v>0.36778230666176998</v>
      </c>
      <c r="GR22" s="571">
        <f>FT22/'4GF Expenditures'!H23</f>
        <v>0.32816861610666992</v>
      </c>
      <c r="GS22" s="571">
        <f>FU22/'4GF Expenditures'!I23</f>
        <v>0.4020494566105573</v>
      </c>
      <c r="GT22" s="571">
        <f>FV22/'4GF Expenditures'!J23</f>
        <v>0.32728665924151168</v>
      </c>
      <c r="GU22" s="571">
        <f>FW22/'4GF Expenditures'!K23</f>
        <v>0.42083940177138074</v>
      </c>
      <c r="GV22" s="571">
        <f>FX22/'4GF Expenditures'!L23</f>
        <v>0.35652277391140197</v>
      </c>
      <c r="GW22" s="571">
        <f>FY22/'4GF Expenditures'!M23</f>
        <v>0.42501076565623036</v>
      </c>
      <c r="GX22" s="571">
        <f>FZ22/'4GF Expenditures'!N23</f>
        <v>0.46736708244106179</v>
      </c>
      <c r="GY22" s="571">
        <f>GA22/'4GF Expenditures'!O23</f>
        <v>0.64363119339575914</v>
      </c>
      <c r="GZ22" s="571">
        <f>GB22/'4GF Expenditures'!P23</f>
        <v>0.49162993172285935</v>
      </c>
      <c r="HA22" s="571">
        <f>GC22/'4GF Expenditures'!Q23</f>
        <v>0.51359211612737721</v>
      </c>
      <c r="HB22" s="571">
        <f>GD22/'4GF Expenditures'!R23</f>
        <v>0.48979485155261082</v>
      </c>
      <c r="HC22" s="571">
        <f>GE22/'4GF Expenditures'!S23</f>
        <v>0.49068366531576374</v>
      </c>
      <c r="HD22" s="571">
        <f>GF22/'4GF Expenditures'!T23</f>
        <v>0.47295099032700039</v>
      </c>
      <c r="HE22" s="571">
        <f>GG22/'4GF Expenditures'!U23</f>
        <v>0.41840228849996808</v>
      </c>
      <c r="HF22" s="571">
        <f>GH22/'4GF Expenditures'!V23</f>
        <v>0.43011474665191096</v>
      </c>
      <c r="HG22" s="571">
        <f>GI22/'4GF Expenditures'!W23</f>
        <v>3.2389492623497898E-2</v>
      </c>
      <c r="HH22" s="571"/>
      <c r="HI22" s="571"/>
      <c r="HJ22" s="571"/>
      <c r="HK22" s="568"/>
      <c r="HL22" s="567" t="s">
        <v>6</v>
      </c>
      <c r="HM22" s="571">
        <f>B22/'4GF Expenditures'!B23</f>
        <v>1.1262279849717298</v>
      </c>
      <c r="HN22" s="571">
        <f>C22/'4GF Expenditures'!C23</f>
        <v>1.2279764935544768</v>
      </c>
      <c r="HO22" s="571">
        <f>D22/'4GF Expenditures'!D23</f>
        <v>0.92392815949909379</v>
      </c>
      <c r="HP22" s="571">
        <f>E22/'4GF Expenditures'!E23</f>
        <v>0.96846370683579985</v>
      </c>
      <c r="HQ22" s="571">
        <f>F22/'4GF Expenditures'!F23</f>
        <v>0.99175679891841295</v>
      </c>
      <c r="HR22" s="571">
        <f>G22/'4GF Expenditures'!G23</f>
        <v>0.97040247870188856</v>
      </c>
      <c r="HS22" s="571">
        <f>H22/'4GF Expenditures'!H23</f>
        <v>0.96779147517552566</v>
      </c>
      <c r="HT22" s="571">
        <f>I22/'4GF Expenditures'!I23</f>
        <v>1.0713798721196275</v>
      </c>
      <c r="HU22" s="571">
        <f>J22/'4GF Expenditures'!J23</f>
        <v>0.99840588448930023</v>
      </c>
      <c r="HV22" s="571">
        <f>K22/'4GF Expenditures'!K23</f>
        <v>1.0678517466293591</v>
      </c>
      <c r="HW22" s="571">
        <f>L22/'4GF Expenditures'!L23</f>
        <v>0.97011035400534462</v>
      </c>
      <c r="HX22" s="571">
        <f>M22/'4GF Expenditures'!M23</f>
        <v>1.0526864366290625</v>
      </c>
      <c r="HY22" s="571">
        <f>N22/'4GF Expenditures'!N23</f>
        <v>1.0951180148998174</v>
      </c>
      <c r="HZ22" s="571">
        <f>O22/'4GF Expenditures'!O23</f>
        <v>1.1255950770539203</v>
      </c>
      <c r="IA22" s="571">
        <f>P22/'4GF Expenditures'!P23</f>
        <v>0.97756890036732658</v>
      </c>
      <c r="IB22" s="571">
        <f>Q22/'4GF Expenditures'!Q23</f>
        <v>0.99659443682666315</v>
      </c>
      <c r="IC22" s="571">
        <f>R22/'4GF Expenditures'!R23</f>
        <v>0.98419119475493622</v>
      </c>
      <c r="ID22" s="573">
        <f>S22/'4GF Expenditures'!S23</f>
        <v>1.0069177699434457</v>
      </c>
      <c r="IE22" s="572">
        <f>T22/'4GF Expenditures'!T23</f>
        <v>1.0086202785639165</v>
      </c>
      <c r="IF22" s="572">
        <f>U22/'4GF Expenditures'!U23</f>
        <v>0.96364382150404337</v>
      </c>
      <c r="IG22" s="572">
        <f>V22/'4GF Expenditures'!V23</f>
        <v>1.0067203246303926</v>
      </c>
      <c r="IH22" s="572">
        <f>W22/'4GF Expenditures'!W23</f>
        <v>0.70966020146029218</v>
      </c>
    </row>
    <row r="23" spans="1:242" ht="14">
      <c r="A23" s="43" t="s">
        <v>7</v>
      </c>
      <c r="B23" s="319">
        <v>532703</v>
      </c>
      <c r="C23" s="319">
        <v>537415</v>
      </c>
      <c r="D23" s="319">
        <v>590483</v>
      </c>
      <c r="E23" s="319">
        <v>654624</v>
      </c>
      <c r="F23" s="319">
        <v>715674</v>
      </c>
      <c r="G23" s="319">
        <v>715749</v>
      </c>
      <c r="H23" s="319">
        <v>832795</v>
      </c>
      <c r="I23" s="319">
        <v>851257</v>
      </c>
      <c r="J23" s="319">
        <v>1232828</v>
      </c>
      <c r="K23" s="319"/>
      <c r="L23" s="319"/>
      <c r="M23" s="319"/>
      <c r="N23" s="319"/>
      <c r="O23" s="319"/>
      <c r="P23" s="319"/>
      <c r="Q23" s="319"/>
      <c r="R23" s="319"/>
      <c r="S23" s="362"/>
      <c r="T23" s="362"/>
      <c r="U23" s="362"/>
      <c r="V23" s="362"/>
      <c r="W23" s="362"/>
      <c r="X23" s="6"/>
      <c r="Y23" s="43" t="s">
        <v>7</v>
      </c>
      <c r="Z23" s="319">
        <v>298313.68</v>
      </c>
      <c r="AA23" s="319">
        <v>306326.55</v>
      </c>
      <c r="AB23" s="319">
        <v>324765.65000000002</v>
      </c>
      <c r="AC23" s="319">
        <v>373135.68</v>
      </c>
      <c r="AD23" s="319">
        <v>372150.48</v>
      </c>
      <c r="AE23" s="319">
        <v>400819.44</v>
      </c>
      <c r="AF23" s="319">
        <v>416397.5</v>
      </c>
      <c r="AG23" s="319">
        <v>425628.5</v>
      </c>
      <c r="AH23" s="319">
        <v>431489.8</v>
      </c>
      <c r="AI23" s="319"/>
      <c r="AJ23" s="319"/>
      <c r="AK23" s="319"/>
      <c r="AL23" s="319"/>
      <c r="AM23" s="319"/>
      <c r="AN23" s="319"/>
      <c r="AO23" s="319"/>
      <c r="AP23" s="319"/>
      <c r="AQ23" s="362"/>
      <c r="AR23" s="753"/>
      <c r="AS23" s="753"/>
      <c r="AT23" s="753"/>
      <c r="AU23" s="753"/>
      <c r="AV23" s="39"/>
      <c r="AW23" s="43" t="s">
        <v>7</v>
      </c>
      <c r="AX23" s="319">
        <v>0</v>
      </c>
      <c r="AY23" s="319">
        <v>0</v>
      </c>
      <c r="AZ23" s="319">
        <v>0</v>
      </c>
      <c r="BA23" s="319">
        <v>0</v>
      </c>
      <c r="BB23" s="319">
        <v>0</v>
      </c>
      <c r="BC23" s="319">
        <v>0</v>
      </c>
      <c r="BD23" s="319">
        <v>0</v>
      </c>
      <c r="BE23" s="319">
        <v>0</v>
      </c>
      <c r="BF23" s="319">
        <v>0</v>
      </c>
      <c r="BG23" s="319"/>
      <c r="BH23" s="319"/>
      <c r="BI23" s="319"/>
      <c r="BJ23" s="319"/>
      <c r="BK23" s="319"/>
      <c r="BL23" s="319"/>
      <c r="BM23" s="319"/>
      <c r="BN23" s="319"/>
      <c r="BO23" s="362"/>
      <c r="BP23" s="753"/>
      <c r="BQ23" s="753"/>
      <c r="BR23" s="753"/>
      <c r="BS23" s="753"/>
      <c r="BT23" s="286"/>
      <c r="BU23" s="43" t="s">
        <v>7</v>
      </c>
      <c r="BV23" s="319">
        <v>26635.15</v>
      </c>
      <c r="BW23" s="319">
        <v>21496.6</v>
      </c>
      <c r="BX23" s="319">
        <v>29524.15</v>
      </c>
      <c r="BY23" s="319">
        <v>39277.440000000002</v>
      </c>
      <c r="BZ23" s="319">
        <v>21470.22</v>
      </c>
      <c r="CA23" s="319">
        <v>14314.98</v>
      </c>
      <c r="CB23" s="319">
        <v>49967.7</v>
      </c>
      <c r="CC23" s="319">
        <v>42562.85</v>
      </c>
      <c r="CD23" s="319">
        <v>493131.2</v>
      </c>
      <c r="CE23" s="319"/>
      <c r="CF23" s="319"/>
      <c r="CG23" s="319"/>
      <c r="CH23" s="319"/>
      <c r="CI23" s="319"/>
      <c r="CJ23" s="319"/>
      <c r="CK23" s="319"/>
      <c r="CL23" s="319"/>
      <c r="CM23" s="362"/>
      <c r="CN23" s="753"/>
      <c r="CO23" s="753"/>
      <c r="CP23" s="753"/>
      <c r="CQ23" s="753"/>
      <c r="CR23" s="39"/>
      <c r="CS23" s="43" t="s">
        <v>7</v>
      </c>
      <c r="CT23" s="319">
        <v>175791.99</v>
      </c>
      <c r="CU23" s="319">
        <v>171972.8</v>
      </c>
      <c r="CV23" s="319">
        <v>194859.39</v>
      </c>
      <c r="CW23" s="319">
        <v>196387.20000000001</v>
      </c>
      <c r="CX23" s="319">
        <v>214702.2</v>
      </c>
      <c r="CY23" s="319">
        <v>214724.7</v>
      </c>
      <c r="CZ23" s="319">
        <v>233182.6</v>
      </c>
      <c r="DA23" s="319">
        <v>246864.53</v>
      </c>
      <c r="DB23" s="319">
        <v>258893.88</v>
      </c>
      <c r="DC23" s="319"/>
      <c r="DD23" s="319"/>
      <c r="DE23" s="319"/>
      <c r="DF23" s="319"/>
      <c r="DG23" s="319"/>
      <c r="DH23" s="319"/>
      <c r="DI23" s="319"/>
      <c r="DJ23" s="319"/>
      <c r="DK23" s="362"/>
      <c r="DL23" s="753"/>
      <c r="DM23" s="753"/>
      <c r="DN23" s="753"/>
      <c r="DO23" s="753"/>
      <c r="DP23" s="39"/>
      <c r="DQ23" s="43" t="s">
        <v>7</v>
      </c>
      <c r="DR23" s="319">
        <v>10654.06</v>
      </c>
      <c r="DS23" s="319">
        <v>5374.15</v>
      </c>
      <c r="DT23" s="319">
        <v>11809.66</v>
      </c>
      <c r="DU23" s="319">
        <v>13092.48</v>
      </c>
      <c r="DV23" s="319">
        <v>28626.959999999999</v>
      </c>
      <c r="DW23" s="319">
        <v>28629.96</v>
      </c>
      <c r="DX23" s="319">
        <v>8327.9500000000007</v>
      </c>
      <c r="DY23" s="319">
        <v>8512.57</v>
      </c>
      <c r="DZ23" s="319">
        <v>12328.28</v>
      </c>
      <c r="EA23" s="319"/>
      <c r="EB23" s="319"/>
      <c r="EC23" s="319"/>
      <c r="ED23" s="319"/>
      <c r="EE23" s="319"/>
      <c r="EF23" s="319"/>
      <c r="EG23" s="319"/>
      <c r="EH23" s="319"/>
      <c r="EI23" s="362"/>
      <c r="EJ23" s="753"/>
      <c r="EK23" s="753"/>
      <c r="EL23" s="753"/>
      <c r="EM23" s="753"/>
      <c r="EN23" s="39"/>
      <c r="EO23" s="43" t="s">
        <v>7</v>
      </c>
      <c r="EP23" s="319">
        <v>21308.12</v>
      </c>
      <c r="EQ23" s="319">
        <v>32244.9</v>
      </c>
      <c r="ER23" s="319">
        <v>29524.15</v>
      </c>
      <c r="ES23" s="319">
        <v>32731.200000000001</v>
      </c>
      <c r="ET23" s="319">
        <v>78724.14</v>
      </c>
      <c r="EU23" s="319">
        <v>57259.92</v>
      </c>
      <c r="EV23" s="319">
        <v>124919.25</v>
      </c>
      <c r="EW23" s="319">
        <v>127688.55</v>
      </c>
      <c r="EX23" s="319">
        <v>36984.839999999997</v>
      </c>
      <c r="EY23" s="319"/>
      <c r="EZ23" s="319"/>
      <c r="FA23" s="319"/>
      <c r="FB23" s="319"/>
      <c r="FC23" s="319"/>
      <c r="FD23" s="319"/>
      <c r="FE23" s="319"/>
      <c r="FF23" s="319"/>
      <c r="FG23" s="362"/>
      <c r="FH23" s="362"/>
      <c r="FI23" s="362"/>
      <c r="FJ23" s="362"/>
      <c r="FK23" s="362"/>
      <c r="FM23" s="43" t="s">
        <v>7</v>
      </c>
      <c r="FN23" s="319">
        <v>131966</v>
      </c>
      <c r="FO23" s="319">
        <v>40169</v>
      </c>
      <c r="FP23" s="319">
        <v>181236</v>
      </c>
      <c r="FQ23" s="319">
        <v>328435</v>
      </c>
      <c r="FR23" s="319">
        <v>428527</v>
      </c>
      <c r="FS23" s="319">
        <v>397757</v>
      </c>
      <c r="FT23" s="319">
        <v>522848</v>
      </c>
      <c r="FU23" s="319">
        <v>753377</v>
      </c>
      <c r="FV23" s="319">
        <v>507889</v>
      </c>
      <c r="FW23" s="319"/>
      <c r="FX23" s="319"/>
      <c r="FY23" s="319"/>
      <c r="FZ23" s="319"/>
      <c r="GA23" s="319"/>
      <c r="GB23" s="319"/>
      <c r="GC23" s="319"/>
      <c r="GD23" s="319"/>
      <c r="GE23" s="319"/>
      <c r="GF23" s="756"/>
      <c r="GG23" s="756"/>
      <c r="GH23" s="756"/>
      <c r="GI23" s="756"/>
      <c r="GJ23" s="42"/>
      <c r="GK23" s="570" t="s">
        <v>7</v>
      </c>
      <c r="GL23" s="571">
        <f>FN23/'4GF Expenditures'!B24</f>
        <v>0.25837082633398728</v>
      </c>
      <c r="GM23" s="571">
        <f>FO23/'4GF Expenditures'!C24</f>
        <v>6.3840168337539652E-2</v>
      </c>
      <c r="GN23" s="571">
        <f>FP23/'4GF Expenditures'!D24</f>
        <v>0.40327002153906405</v>
      </c>
      <c r="GO23" s="571">
        <f>FQ23/'4GF Expenditures'!E24</f>
        <v>0.64725821549982754</v>
      </c>
      <c r="GP23" s="571">
        <f>FR23/'4GF Expenditures'!F24</f>
        <v>0.69613309031128268</v>
      </c>
      <c r="GQ23" s="571">
        <f>FS23/'4GF Expenditures'!G24</f>
        <v>0.53275141339040921</v>
      </c>
      <c r="GR23" s="571">
        <f>FT23/'4GF Expenditures'!H24</f>
        <v>0.738794750347603</v>
      </c>
      <c r="GS23" s="571">
        <f>FU23/'4GF Expenditures'!I24</f>
        <v>1.213699075923754</v>
      </c>
      <c r="GT23" s="571">
        <f>FV23/'4GF Expenditures'!J24</f>
        <v>0.34355915785258362</v>
      </c>
      <c r="GU23" s="571" t="e">
        <f>FW23/'4GF Expenditures'!K24</f>
        <v>#DIV/0!</v>
      </c>
      <c r="GV23" s="571" t="e">
        <f>FX23/'4GF Expenditures'!L24</f>
        <v>#DIV/0!</v>
      </c>
      <c r="GW23" s="571" t="e">
        <f>FY23/'4GF Expenditures'!M24</f>
        <v>#DIV/0!</v>
      </c>
      <c r="GX23" s="571" t="e">
        <f>FZ23/'4GF Expenditures'!N24</f>
        <v>#DIV/0!</v>
      </c>
      <c r="GY23" s="571" t="e">
        <f>GA23/'4GF Expenditures'!O24</f>
        <v>#DIV/0!</v>
      </c>
      <c r="GZ23" s="571" t="e">
        <f>GB23/'4GF Expenditures'!P24</f>
        <v>#DIV/0!</v>
      </c>
      <c r="HA23" s="571" t="e">
        <f>GC23/'4GF Expenditures'!Q24</f>
        <v>#DIV/0!</v>
      </c>
      <c r="HB23" s="571" t="e">
        <f>GD23/'4GF Expenditures'!R24</f>
        <v>#DIV/0!</v>
      </c>
      <c r="HC23" s="571" t="e">
        <f>GE23/'4GF Expenditures'!S24</f>
        <v>#DIV/0!</v>
      </c>
      <c r="HD23" s="571" t="e">
        <f>GF23/'4GF Expenditures'!T24</f>
        <v>#DIV/0!</v>
      </c>
      <c r="HE23" s="571" t="e">
        <f>GG23/'4GF Expenditures'!U24</f>
        <v>#DIV/0!</v>
      </c>
      <c r="HF23" s="571" t="e">
        <f>GH23/'4GF Expenditures'!V24</f>
        <v>#DIV/0!</v>
      </c>
      <c r="HG23" s="571" t="e">
        <f>GI23/'4GF Expenditures'!W24</f>
        <v>#DIV/0!</v>
      </c>
      <c r="HH23" s="571"/>
      <c r="HI23" s="571"/>
      <c r="HJ23" s="571"/>
      <c r="HK23" s="568"/>
      <c r="HL23" s="567" t="s">
        <v>7</v>
      </c>
      <c r="HM23" s="571">
        <f>B23/'4GF Expenditures'!B24</f>
        <v>1.0429573852400922</v>
      </c>
      <c r="HN23" s="571">
        <f>C23/'4GF Expenditures'!C24</f>
        <v>0.85410799539741777</v>
      </c>
      <c r="HO23" s="571">
        <f>D23/'4GF Expenditures'!D24</f>
        <v>1.3138895811453086</v>
      </c>
      <c r="HP23" s="571">
        <f>E23/'4GF Expenditures'!E24</f>
        <v>1.2900901611075528</v>
      </c>
      <c r="HQ23" s="571">
        <f>F23/'4GF Expenditures'!F24</f>
        <v>1.1625973469009816</v>
      </c>
      <c r="HR23" s="571">
        <f>G23/'4GF Expenditures'!G24</f>
        <v>0.95866645057854916</v>
      </c>
      <c r="HS23" s="571">
        <f>H23/'4GF Expenditures'!H24</f>
        <v>1.1767561014209331</v>
      </c>
      <c r="HT23" s="571">
        <f>I23/'4GF Expenditures'!I24</f>
        <v>1.3713848900001289</v>
      </c>
      <c r="HU23" s="571">
        <f>J23/'4GF Expenditures'!J24</f>
        <v>0.83394078126733395</v>
      </c>
      <c r="HV23" s="571" t="e">
        <f>K23/'4GF Expenditures'!K24</f>
        <v>#DIV/0!</v>
      </c>
      <c r="HW23" s="571" t="e">
        <f>L23/'4GF Expenditures'!L24</f>
        <v>#DIV/0!</v>
      </c>
      <c r="HX23" s="571" t="e">
        <f>M23/'4GF Expenditures'!M24</f>
        <v>#DIV/0!</v>
      </c>
      <c r="HY23" s="571" t="e">
        <f>N23/'4GF Expenditures'!N24</f>
        <v>#DIV/0!</v>
      </c>
      <c r="HZ23" s="571" t="e">
        <f>O23/'4GF Expenditures'!O24</f>
        <v>#DIV/0!</v>
      </c>
      <c r="IA23" s="571" t="e">
        <f>P23/'4GF Expenditures'!P24</f>
        <v>#DIV/0!</v>
      </c>
      <c r="IB23" s="571" t="e">
        <f>Q23/'4GF Expenditures'!Q24</f>
        <v>#DIV/0!</v>
      </c>
      <c r="IC23" s="571" t="e">
        <f>R23/'4GF Expenditures'!R24</f>
        <v>#DIV/0!</v>
      </c>
      <c r="ID23" s="573" t="e">
        <f>S23/'4GF Expenditures'!S24</f>
        <v>#DIV/0!</v>
      </c>
      <c r="IE23" s="572" t="e">
        <f>T23/'4GF Expenditures'!T24</f>
        <v>#DIV/0!</v>
      </c>
      <c r="IF23" s="572" t="e">
        <f>U23/'4GF Expenditures'!U24</f>
        <v>#DIV/0!</v>
      </c>
      <c r="IG23" s="572" t="e">
        <f>V23/'4GF Expenditures'!V24</f>
        <v>#DIV/0!</v>
      </c>
      <c r="IH23" s="572" t="e">
        <f>W23/'4GF Expenditures'!W24</f>
        <v>#DIV/0!</v>
      </c>
    </row>
    <row r="24" spans="1:242" ht="14">
      <c r="A24" s="43" t="s">
        <v>8</v>
      </c>
      <c r="B24" s="319">
        <v>1239430</v>
      </c>
      <c r="C24" s="319">
        <v>1329577</v>
      </c>
      <c r="D24" s="319">
        <v>1409856</v>
      </c>
      <c r="E24" s="319">
        <v>1443623</v>
      </c>
      <c r="F24" s="319">
        <v>1469980</v>
      </c>
      <c r="G24" s="319">
        <v>1636833</v>
      </c>
      <c r="H24" s="319">
        <v>1663228</v>
      </c>
      <c r="I24" s="319">
        <v>1729013</v>
      </c>
      <c r="J24" s="319">
        <v>1852510.6099999999</v>
      </c>
      <c r="K24" s="319">
        <v>1797620.9899999998</v>
      </c>
      <c r="L24" s="319">
        <v>1962271.0099999998</v>
      </c>
      <c r="M24" s="319">
        <v>2101665.83</v>
      </c>
      <c r="N24" s="319">
        <v>2162658.77</v>
      </c>
      <c r="O24" s="319">
        <v>2224359.7600000002</v>
      </c>
      <c r="P24" s="319">
        <v>2210100.2200000002</v>
      </c>
      <c r="Q24" s="319">
        <v>2270928.4499999997</v>
      </c>
      <c r="R24" s="319">
        <v>2461540.46</v>
      </c>
      <c r="S24" s="362">
        <v>2369968.17</v>
      </c>
      <c r="T24" s="362">
        <v>2368918.35</v>
      </c>
      <c r="U24" s="362">
        <v>2390727.88</v>
      </c>
      <c r="V24" s="362">
        <v>2637308.6900000004</v>
      </c>
      <c r="W24" s="362">
        <v>2891463.46</v>
      </c>
      <c r="X24" s="6"/>
      <c r="Y24" s="43" t="s">
        <v>8</v>
      </c>
      <c r="Z24" s="319">
        <v>136337.29999999999</v>
      </c>
      <c r="AA24" s="319">
        <v>159549.24</v>
      </c>
      <c r="AB24" s="319">
        <v>183281.28</v>
      </c>
      <c r="AC24" s="319">
        <v>187670.99</v>
      </c>
      <c r="AD24" s="319">
        <v>176397.6</v>
      </c>
      <c r="AE24" s="319">
        <v>245524.95</v>
      </c>
      <c r="AF24" s="319">
        <v>232851.92</v>
      </c>
      <c r="AG24" s="319">
        <v>259351.95</v>
      </c>
      <c r="AH24" s="319">
        <v>253143.06</v>
      </c>
      <c r="AI24" s="319">
        <v>251994.42</v>
      </c>
      <c r="AJ24" s="319">
        <v>286907.25</v>
      </c>
      <c r="AK24" s="319">
        <v>311680.74</v>
      </c>
      <c r="AL24" s="319">
        <v>319269.8</v>
      </c>
      <c r="AM24" s="319">
        <v>352159.34</v>
      </c>
      <c r="AN24" s="319">
        <v>371021.67000000004</v>
      </c>
      <c r="AO24" s="319">
        <v>365681.86000000004</v>
      </c>
      <c r="AP24" s="319">
        <v>397139.21</v>
      </c>
      <c r="AQ24" s="362">
        <v>339412.15</v>
      </c>
      <c r="AR24" s="753"/>
      <c r="AS24" s="753">
        <v>355625.26999999996</v>
      </c>
      <c r="AT24" s="753">
        <v>347554.78</v>
      </c>
      <c r="AU24" s="753">
        <v>389620</v>
      </c>
      <c r="AV24" s="39"/>
      <c r="AW24" s="43" t="s">
        <v>8</v>
      </c>
      <c r="AX24" s="319">
        <v>495772</v>
      </c>
      <c r="AY24" s="319">
        <v>518535.03</v>
      </c>
      <c r="AZ24" s="319">
        <v>535745.28000000003</v>
      </c>
      <c r="BA24" s="319">
        <v>563012.97</v>
      </c>
      <c r="BB24" s="319">
        <v>573292.19999999995</v>
      </c>
      <c r="BC24" s="319">
        <v>605628.21</v>
      </c>
      <c r="BD24" s="319">
        <v>632026.64</v>
      </c>
      <c r="BE24" s="319">
        <v>639734.81000000006</v>
      </c>
      <c r="BF24" s="319">
        <v>718810.09</v>
      </c>
      <c r="BG24" s="319">
        <v>750558.46</v>
      </c>
      <c r="BH24" s="319">
        <v>768113.22</v>
      </c>
      <c r="BI24" s="319">
        <v>902064.78</v>
      </c>
      <c r="BJ24" s="319">
        <v>858795.49</v>
      </c>
      <c r="BK24" s="319">
        <v>826157.73</v>
      </c>
      <c r="BL24" s="319">
        <v>929918.29</v>
      </c>
      <c r="BM24" s="319">
        <v>904476.82000000007</v>
      </c>
      <c r="BN24" s="319">
        <v>977386.73</v>
      </c>
      <c r="BO24" s="362">
        <v>1000891.13</v>
      </c>
      <c r="BP24" s="753"/>
      <c r="BQ24" s="753">
        <v>1045144.03</v>
      </c>
      <c r="BR24" s="753">
        <v>1066893.95</v>
      </c>
      <c r="BS24" s="753">
        <v>1128590.6499999999</v>
      </c>
      <c r="BT24" s="286"/>
      <c r="BU24" s="43" t="s">
        <v>8</v>
      </c>
      <c r="BV24" s="319">
        <v>210703.1</v>
      </c>
      <c r="BW24" s="319">
        <v>226028.09</v>
      </c>
      <c r="BX24" s="319">
        <v>239675.51999999999</v>
      </c>
      <c r="BY24" s="319">
        <v>245415.91</v>
      </c>
      <c r="BZ24" s="319">
        <v>264596.40000000002</v>
      </c>
      <c r="CA24" s="319">
        <v>278261.61</v>
      </c>
      <c r="CB24" s="319">
        <v>249484.2</v>
      </c>
      <c r="CC24" s="319">
        <v>293932.21000000002</v>
      </c>
      <c r="CD24" s="319">
        <v>332469.62999999995</v>
      </c>
      <c r="CE24" s="319">
        <v>241288.64</v>
      </c>
      <c r="CF24" s="319">
        <v>244749.31999999998</v>
      </c>
      <c r="CG24" s="319">
        <v>247962.52000000002</v>
      </c>
      <c r="CH24" s="319">
        <v>307169.41000000003</v>
      </c>
      <c r="CI24" s="319">
        <v>307230.57000000012</v>
      </c>
      <c r="CJ24" s="319">
        <v>301717.31000000006</v>
      </c>
      <c r="CK24" s="319">
        <v>323396.83999999997</v>
      </c>
      <c r="CL24" s="319">
        <v>362931.88</v>
      </c>
      <c r="CM24" s="362">
        <v>436901.27999999997</v>
      </c>
      <c r="CN24" s="753"/>
      <c r="CO24" s="753">
        <v>378747.73</v>
      </c>
      <c r="CP24" s="753">
        <v>380895.86999999994</v>
      </c>
      <c r="CQ24" s="753">
        <v>599587.81000000006</v>
      </c>
      <c r="CR24" s="39"/>
      <c r="CS24" s="43" t="s">
        <v>8</v>
      </c>
      <c r="CT24" s="319">
        <v>297463.2</v>
      </c>
      <c r="CU24" s="319">
        <v>292506.94</v>
      </c>
      <c r="CV24" s="319">
        <v>310168.32000000001</v>
      </c>
      <c r="CW24" s="319">
        <v>332033.28999999998</v>
      </c>
      <c r="CX24" s="319">
        <v>308695.8</v>
      </c>
      <c r="CY24" s="319">
        <v>343734.93</v>
      </c>
      <c r="CZ24" s="319">
        <v>399174.72</v>
      </c>
      <c r="DA24" s="319">
        <v>397672.99</v>
      </c>
      <c r="DB24" s="319">
        <v>398413.49000000005</v>
      </c>
      <c r="DC24" s="319">
        <v>384949.14999999997</v>
      </c>
      <c r="DD24" s="319">
        <v>364765.06</v>
      </c>
      <c r="DE24" s="319">
        <v>417490.19</v>
      </c>
      <c r="DF24" s="319">
        <v>461956.49</v>
      </c>
      <c r="DG24" s="319">
        <v>487652.91000000003</v>
      </c>
      <c r="DH24" s="319">
        <v>434694.44</v>
      </c>
      <c r="DI24" s="319">
        <v>458367.52999999997</v>
      </c>
      <c r="DJ24" s="319">
        <v>475611.56</v>
      </c>
      <c r="DK24" s="362">
        <v>415686.72000000003</v>
      </c>
      <c r="DL24" s="753"/>
      <c r="DM24" s="753">
        <v>436538.21</v>
      </c>
      <c r="DN24" s="753">
        <v>437726.50999999995</v>
      </c>
      <c r="DO24" s="753">
        <v>476750</v>
      </c>
      <c r="DP24" s="39"/>
      <c r="DQ24" s="43" t="s">
        <v>8</v>
      </c>
      <c r="DR24" s="319">
        <v>37182.9</v>
      </c>
      <c r="DS24" s="319">
        <v>26591.54</v>
      </c>
      <c r="DT24" s="319">
        <v>28197.119999999999</v>
      </c>
      <c r="DU24" s="319">
        <v>14436.23</v>
      </c>
      <c r="DV24" s="319">
        <v>29399.599999999999</v>
      </c>
      <c r="DW24" s="319">
        <v>16368.33</v>
      </c>
      <c r="DX24" s="319">
        <v>16632.28</v>
      </c>
      <c r="DY24" s="319">
        <v>0</v>
      </c>
      <c r="DZ24" s="319">
        <v>3529.53</v>
      </c>
      <c r="EA24" s="319">
        <v>6416.42</v>
      </c>
      <c r="EB24" s="319">
        <v>10934.61</v>
      </c>
      <c r="EC24" s="319">
        <v>17509.13</v>
      </c>
      <c r="ED24" s="319">
        <v>11517.28</v>
      </c>
      <c r="EE24" s="319">
        <v>7213.77</v>
      </c>
      <c r="EF24" s="319">
        <v>7170.21</v>
      </c>
      <c r="EG24" s="319">
        <v>5943.22</v>
      </c>
      <c r="EH24" s="319">
        <v>4907.12</v>
      </c>
      <c r="EI24" s="362">
        <v>1132.51</v>
      </c>
      <c r="EJ24" s="753"/>
      <c r="EK24" s="753">
        <v>1166.1099999999999</v>
      </c>
      <c r="EL24" s="753">
        <v>911.36</v>
      </c>
      <c r="EM24" s="753">
        <v>3200</v>
      </c>
      <c r="EN24" s="39"/>
      <c r="EO24" s="43" t="s">
        <v>8</v>
      </c>
      <c r="EP24" s="319">
        <v>61971.5</v>
      </c>
      <c r="EQ24" s="319">
        <v>106366.16</v>
      </c>
      <c r="ER24" s="319">
        <v>112788.48</v>
      </c>
      <c r="ES24" s="319">
        <v>101053.61</v>
      </c>
      <c r="ET24" s="319">
        <v>117598.39999999999</v>
      </c>
      <c r="EU24" s="319">
        <v>147314.97</v>
      </c>
      <c r="EV24" s="319">
        <v>133058.23999999999</v>
      </c>
      <c r="EW24" s="319">
        <v>138321.04</v>
      </c>
      <c r="EX24" s="319">
        <v>73743.429999999993</v>
      </c>
      <c r="EY24" s="319">
        <v>60375.589999999989</v>
      </c>
      <c r="EZ24" s="319">
        <v>96441.1</v>
      </c>
      <c r="FA24" s="319">
        <v>66020.990000000005</v>
      </c>
      <c r="FB24" s="319">
        <v>69902.999999999985</v>
      </c>
      <c r="FC24" s="319">
        <v>68803.600000000006</v>
      </c>
      <c r="FD24" s="319">
        <v>64435.88</v>
      </c>
      <c r="FE24" s="319">
        <v>78617.119999999981</v>
      </c>
      <c r="FF24" s="319">
        <v>84490.98</v>
      </c>
      <c r="FG24" s="362">
        <v>67702.53</v>
      </c>
      <c r="FH24" s="362"/>
      <c r="FI24" s="362">
        <v>68681.259999999995</v>
      </c>
      <c r="FJ24" s="362">
        <v>90013.57</v>
      </c>
      <c r="FK24" s="362">
        <v>102510</v>
      </c>
      <c r="FM24" s="43" t="s">
        <v>8</v>
      </c>
      <c r="FN24" s="319">
        <v>263897</v>
      </c>
      <c r="FO24" s="319">
        <v>184401</v>
      </c>
      <c r="FP24" s="319">
        <v>221860</v>
      </c>
      <c r="FQ24" s="319">
        <v>236016</v>
      </c>
      <c r="FR24" s="319">
        <v>253207</v>
      </c>
      <c r="FS24" s="319">
        <v>323440</v>
      </c>
      <c r="FT24" s="319">
        <v>262253</v>
      </c>
      <c r="FU24" s="319">
        <v>182736</v>
      </c>
      <c r="FV24" s="319">
        <v>163197.00999999998</v>
      </c>
      <c r="FW24" s="319">
        <v>153777.76999999999</v>
      </c>
      <c r="FX24" s="319">
        <v>192146.96</v>
      </c>
      <c r="FY24" s="319">
        <v>279740.49</v>
      </c>
      <c r="FZ24" s="319">
        <v>58642.27</v>
      </c>
      <c r="GA24" s="319">
        <v>144701.92000000001</v>
      </c>
      <c r="GB24" s="319">
        <v>71049.429999999993</v>
      </c>
      <c r="GC24" s="319">
        <v>75937.22</v>
      </c>
      <c r="GD24" s="319">
        <v>221971.68</v>
      </c>
      <c r="GE24" s="319">
        <v>301204.68</v>
      </c>
      <c r="GF24" s="756"/>
      <c r="GG24" s="756">
        <v>106511.34</v>
      </c>
      <c r="GH24" s="756">
        <v>88134.270000000484</v>
      </c>
      <c r="GI24" s="756">
        <v>220491.70000000019</v>
      </c>
      <c r="GJ24" s="42"/>
      <c r="GK24" s="570" t="s">
        <v>8</v>
      </c>
      <c r="GL24" s="571">
        <f>FN24/'4GF Expenditures'!B25</f>
        <v>0.19174380585628134</v>
      </c>
      <c r="GM24" s="571">
        <f>FO24/'4GF Expenditures'!C25</f>
        <v>0.13086688908239671</v>
      </c>
      <c r="GN24" s="571">
        <f>FP24/'4GF Expenditures'!D25</f>
        <v>0.1616587620054547</v>
      </c>
      <c r="GO24" s="571">
        <f>FQ24/'4GF Expenditures'!E25</f>
        <v>0.16510769398663977</v>
      </c>
      <c r="GP24" s="571">
        <f>FR24/'4GF Expenditures'!F25</f>
        <v>0.17429027890492013</v>
      </c>
      <c r="GQ24" s="571">
        <f>FS24/'4GF Expenditures'!G25</f>
        <v>0.20640583021167702</v>
      </c>
      <c r="GR24" s="571">
        <f>FT24/'4GF Expenditures'!H25</f>
        <v>0.15208230037432985</v>
      </c>
      <c r="GS24" s="571">
        <f>FU24/'4GF Expenditures'!I25</f>
        <v>0.10104112121937639</v>
      </c>
      <c r="GT24" s="571">
        <f>FV24/'4GF Expenditures'!J25</f>
        <v>8.7181636625356038E-2</v>
      </c>
      <c r="GU24" s="571">
        <f>FW24/'4GF Expenditures'!K25</f>
        <v>8.424303443449728E-2</v>
      </c>
      <c r="GV24" s="571">
        <f>FX24/'4GF Expenditures'!L25</f>
        <v>9.9888086663412118E-2</v>
      </c>
      <c r="GW24" s="571">
        <f>FY24/'4GF Expenditures'!M25</f>
        <v>0.13889154572306245</v>
      </c>
      <c r="GX24" s="571">
        <f>FZ24/'4GF Expenditures'!N25</f>
        <v>2.6111711507320209E-2</v>
      </c>
      <c r="GY24" s="571">
        <f>GA24/'4GF Expenditures'!O25</f>
        <v>6.7719038383133062E-2</v>
      </c>
      <c r="GZ24" s="571">
        <f>GB24/'4GF Expenditures'!P25</f>
        <v>3.1161057055392707E-2</v>
      </c>
      <c r="HA24" s="571">
        <f>GC24/'4GF Expenditures'!Q25</f>
        <v>3.3515039694222898E-2</v>
      </c>
      <c r="HB24" s="571">
        <f>GD24/'4GF Expenditures'!R25</f>
        <v>9.584640193400229E-2</v>
      </c>
      <c r="HC24" s="571">
        <f>GE24/'4GF Expenditures'!S25</f>
        <v>0.13156436695813833</v>
      </c>
      <c r="HD24" s="571">
        <f>GF24/'4GF Expenditures'!T25</f>
        <v>0</v>
      </c>
      <c r="HE24" s="571">
        <f>GG24/'4GF Expenditures'!U25</f>
        <v>4.2440720759568971E-2</v>
      </c>
      <c r="HF24" s="571">
        <f>GH24/'4GF Expenditures'!V25</f>
        <v>3.3187010047453995E-2</v>
      </c>
      <c r="HG24" s="571">
        <f>GI24/'4GF Expenditures'!W25</f>
        <v>7.9914181478556737E-2</v>
      </c>
      <c r="HH24" s="571"/>
      <c r="HI24" s="571"/>
      <c r="HJ24" s="571"/>
      <c r="HK24" s="568"/>
      <c r="HL24" s="567" t="s">
        <v>8</v>
      </c>
      <c r="HM24" s="571">
        <f>B24/'4GF Expenditures'!B25</f>
        <v>0.90055220518782242</v>
      </c>
      <c r="HN24" s="571">
        <f>C24/'4GF Expenditures'!C25</f>
        <v>0.94358276682613318</v>
      </c>
      <c r="HO24" s="571">
        <f>D24/'4GF Expenditures'!D25</f>
        <v>1.027294580212577</v>
      </c>
      <c r="HP24" s="571">
        <f>E24/'4GF Expenditures'!E25</f>
        <v>1.0099029918144315</v>
      </c>
      <c r="HQ24" s="571">
        <f>F24/'4GF Expenditures'!F25</f>
        <v>1.0118331017098836</v>
      </c>
      <c r="HR24" s="571">
        <f>G24/'4GF Expenditures'!G25</f>
        <v>1.0445581074785739</v>
      </c>
      <c r="HS24" s="571">
        <f>H24/'4GF Expenditures'!H25</f>
        <v>0.96451724207919787</v>
      </c>
      <c r="HT24" s="571">
        <f>I24/'4GF Expenditures'!I25</f>
        <v>0.95603171856053337</v>
      </c>
      <c r="HU24" s="571">
        <f>J24/'4GF Expenditures'!J25</f>
        <v>0.98963153090633627</v>
      </c>
      <c r="HV24" s="571">
        <f>K24/'4GF Expenditures'!K25</f>
        <v>0.98477853437948193</v>
      </c>
      <c r="HW24" s="571">
        <f>L24/'4GF Expenditures'!L25</f>
        <v>1.0200915835669804</v>
      </c>
      <c r="HX24" s="571">
        <f>M24/'4GF Expenditures'!M25</f>
        <v>1.0434800329478331</v>
      </c>
      <c r="HY24" s="571">
        <f>N24/'4GF Expenditures'!N25</f>
        <v>0.96296957622915991</v>
      </c>
      <c r="HZ24" s="571">
        <f>O24/'4GF Expenditures'!O25</f>
        <v>1.0409779218225759</v>
      </c>
      <c r="IA24" s="571">
        <f>P24/'4GF Expenditures'!P25</f>
        <v>0.96931191500841019</v>
      </c>
      <c r="IB24" s="571">
        <f>Q24/'4GF Expenditures'!Q25</f>
        <v>1.0022786868480316</v>
      </c>
      <c r="IC24" s="571">
        <f>R24/'4GF Expenditures'!R25</f>
        <v>1.0628824195319371</v>
      </c>
      <c r="ID24" s="573">
        <f>S24/'4GF Expenditures'!S25</f>
        <v>1.0351876405007638</v>
      </c>
      <c r="IE24" s="572">
        <f>T24/'4GF Expenditures'!T25</f>
        <v>0.96900565205422873</v>
      </c>
      <c r="IF24" s="572">
        <f>U24/'4GF Expenditures'!U25</f>
        <v>0.95261419457492802</v>
      </c>
      <c r="IG24" s="572">
        <f>V24/'4GF Expenditures'!V25</f>
        <v>0.99308010372432043</v>
      </c>
      <c r="IH24" s="572">
        <f>W24/'4GF Expenditures'!W25</f>
        <v>1.0479711285325271</v>
      </c>
    </row>
    <row r="25" spans="1:242" ht="14">
      <c r="A25" s="43" t="s">
        <v>9</v>
      </c>
      <c r="B25" s="319">
        <v>754868</v>
      </c>
      <c r="C25" s="319">
        <v>756061</v>
      </c>
      <c r="D25" s="319">
        <v>889017</v>
      </c>
      <c r="E25" s="319">
        <v>851499</v>
      </c>
      <c r="F25" s="319">
        <v>1023586</v>
      </c>
      <c r="G25" s="319">
        <v>1045453</v>
      </c>
      <c r="H25" s="319">
        <v>1161281</v>
      </c>
      <c r="I25" s="319">
        <v>1268351</v>
      </c>
      <c r="J25" s="319">
        <v>1410979.6199999999</v>
      </c>
      <c r="K25" s="319">
        <v>1399922.95</v>
      </c>
      <c r="L25" s="319">
        <v>1420913.57</v>
      </c>
      <c r="M25" s="319">
        <v>1380036.2899999998</v>
      </c>
      <c r="N25" s="319">
        <v>1509986.44</v>
      </c>
      <c r="O25" s="319">
        <v>1547911.6</v>
      </c>
      <c r="P25" s="319">
        <v>1550708.9600000002</v>
      </c>
      <c r="Q25" s="319">
        <v>1496921.51</v>
      </c>
      <c r="R25" s="319"/>
      <c r="S25" s="362">
        <v>1623056.63</v>
      </c>
      <c r="T25" s="362">
        <v>1970922.8200000003</v>
      </c>
      <c r="U25" s="362">
        <v>1780270.22</v>
      </c>
      <c r="V25" s="362">
        <v>1851575.27</v>
      </c>
      <c r="W25" s="362">
        <v>1922779</v>
      </c>
      <c r="X25" s="6"/>
      <c r="Y25" s="43" t="s">
        <v>9</v>
      </c>
      <c r="Z25" s="319">
        <v>120778.88</v>
      </c>
      <c r="AA25" s="319">
        <v>113409.15</v>
      </c>
      <c r="AB25" s="319">
        <v>133352.54999999999</v>
      </c>
      <c r="AC25" s="319">
        <v>144754.82999999999</v>
      </c>
      <c r="AD25" s="319">
        <v>163773.76000000001</v>
      </c>
      <c r="AE25" s="319">
        <v>156817.95000000001</v>
      </c>
      <c r="AF25" s="319">
        <v>174192.15</v>
      </c>
      <c r="AG25" s="319">
        <v>190252.65</v>
      </c>
      <c r="AH25" s="319">
        <v>110204.76000000001</v>
      </c>
      <c r="AI25" s="319">
        <v>97869.31</v>
      </c>
      <c r="AJ25" s="319">
        <v>59840.91</v>
      </c>
      <c r="AK25" s="319">
        <v>63678.689999999995</v>
      </c>
      <c r="AL25" s="319">
        <v>160361.85</v>
      </c>
      <c r="AM25" s="319">
        <v>226522.24000000002</v>
      </c>
      <c r="AN25" s="319">
        <v>243771.09</v>
      </c>
      <c r="AO25" s="319">
        <v>241039.8</v>
      </c>
      <c r="AP25" s="319"/>
      <c r="AQ25" s="362">
        <v>257409.17</v>
      </c>
      <c r="AR25" s="753">
        <v>257588.87</v>
      </c>
      <c r="AS25" s="753">
        <v>264660.97000000003</v>
      </c>
      <c r="AT25" s="753">
        <v>298855.69</v>
      </c>
      <c r="AU25" s="753">
        <v>332500</v>
      </c>
      <c r="AV25" s="39"/>
      <c r="AW25" s="43" t="s">
        <v>9</v>
      </c>
      <c r="AX25" s="319">
        <v>437823.44</v>
      </c>
      <c r="AY25" s="319">
        <v>446075.99</v>
      </c>
      <c r="AZ25" s="319">
        <v>453398.67</v>
      </c>
      <c r="BA25" s="319">
        <v>485354.43</v>
      </c>
      <c r="BB25" s="319">
        <v>532264.72</v>
      </c>
      <c r="BC25" s="319">
        <v>554090.09</v>
      </c>
      <c r="BD25" s="319">
        <v>557414.88</v>
      </c>
      <c r="BE25" s="319">
        <v>570757.94999999995</v>
      </c>
      <c r="BF25" s="319">
        <v>841916.74</v>
      </c>
      <c r="BG25" s="319">
        <v>867859.66999999993</v>
      </c>
      <c r="BH25" s="319">
        <v>884796.56</v>
      </c>
      <c r="BI25" s="319">
        <v>901992.61</v>
      </c>
      <c r="BJ25" s="319">
        <v>909143.99</v>
      </c>
      <c r="BK25" s="319">
        <v>823161.41</v>
      </c>
      <c r="BL25" s="319">
        <v>913941.84</v>
      </c>
      <c r="BM25" s="319">
        <v>912927.28</v>
      </c>
      <c r="BN25" s="319"/>
      <c r="BO25" s="362">
        <v>923326.89</v>
      </c>
      <c r="BP25" s="753">
        <v>1038459.4800000001</v>
      </c>
      <c r="BQ25" s="753">
        <v>1083994.9100000001</v>
      </c>
      <c r="BR25" s="753">
        <v>1112766.47</v>
      </c>
      <c r="BS25" s="753">
        <v>1140000</v>
      </c>
      <c r="BT25" s="286"/>
      <c r="BU25" s="43" t="s">
        <v>9</v>
      </c>
      <c r="BV25" s="319">
        <v>45292.08</v>
      </c>
      <c r="BW25" s="319">
        <v>52924.27</v>
      </c>
      <c r="BX25" s="319">
        <v>62231.19</v>
      </c>
      <c r="BY25" s="319">
        <v>42574.95</v>
      </c>
      <c r="BZ25" s="319">
        <v>61415.16</v>
      </c>
      <c r="CA25" s="319">
        <v>135908.89000000001</v>
      </c>
      <c r="CB25" s="319">
        <v>69676.86</v>
      </c>
      <c r="CC25" s="319">
        <v>164885.63</v>
      </c>
      <c r="CD25" s="319">
        <v>142324.28</v>
      </c>
      <c r="CE25" s="319">
        <v>142867.27999999997</v>
      </c>
      <c r="CF25" s="319">
        <v>115696.93000000001</v>
      </c>
      <c r="CG25" s="319">
        <v>139730.15999999997</v>
      </c>
      <c r="CH25" s="319">
        <v>112117.49</v>
      </c>
      <c r="CI25" s="319">
        <v>99384.209999999992</v>
      </c>
      <c r="CJ25" s="319">
        <v>133542.13</v>
      </c>
      <c r="CK25" s="319">
        <v>129788.08</v>
      </c>
      <c r="CL25" s="319"/>
      <c r="CM25" s="362">
        <v>130909.77</v>
      </c>
      <c r="CN25" s="753">
        <v>134092.96</v>
      </c>
      <c r="CO25" s="753">
        <v>106814.50999999998</v>
      </c>
      <c r="CP25" s="753">
        <v>93879.01999999999</v>
      </c>
      <c r="CQ25" s="753">
        <v>90951</v>
      </c>
      <c r="CR25" s="39"/>
      <c r="CS25" s="43" t="s">
        <v>9</v>
      </c>
      <c r="CT25" s="319">
        <v>113230.2</v>
      </c>
      <c r="CU25" s="319">
        <v>105848.54</v>
      </c>
      <c r="CV25" s="319">
        <v>97791.87</v>
      </c>
      <c r="CW25" s="319">
        <v>119209.86</v>
      </c>
      <c r="CX25" s="319">
        <v>122830.32</v>
      </c>
      <c r="CY25" s="319">
        <v>135908.89000000001</v>
      </c>
      <c r="CZ25" s="319">
        <v>127740.91</v>
      </c>
      <c r="DA25" s="319">
        <v>177569.14</v>
      </c>
      <c r="DB25" s="319">
        <v>158163.66</v>
      </c>
      <c r="DC25" s="319">
        <v>159346.81</v>
      </c>
      <c r="DD25" s="319">
        <v>167382.63</v>
      </c>
      <c r="DE25" s="319">
        <v>169666.59999999998</v>
      </c>
      <c r="DF25" s="319">
        <v>161006.66</v>
      </c>
      <c r="DG25" s="319">
        <v>181576.40000000002</v>
      </c>
      <c r="DH25" s="319">
        <v>155034.98000000001</v>
      </c>
      <c r="DI25" s="319">
        <v>159666.39000000001</v>
      </c>
      <c r="DJ25" s="319"/>
      <c r="DK25" s="362">
        <v>179950.59</v>
      </c>
      <c r="DL25" s="753">
        <v>179403.35</v>
      </c>
      <c r="DM25" s="753">
        <v>177543.82</v>
      </c>
      <c r="DN25" s="753">
        <v>185842.45</v>
      </c>
      <c r="DO25" s="753">
        <v>184200</v>
      </c>
      <c r="DP25" s="39"/>
      <c r="DQ25" s="43" t="s">
        <v>9</v>
      </c>
      <c r="DR25" s="319">
        <v>7548.68</v>
      </c>
      <c r="DS25" s="319">
        <v>0</v>
      </c>
      <c r="DT25" s="319">
        <v>8890.17</v>
      </c>
      <c r="DU25" s="319">
        <v>0</v>
      </c>
      <c r="DV25" s="319">
        <v>0</v>
      </c>
      <c r="DW25" s="319">
        <v>0</v>
      </c>
      <c r="DX25" s="319">
        <v>0</v>
      </c>
      <c r="DY25" s="319">
        <v>0</v>
      </c>
      <c r="DZ25" s="319">
        <v>507.97</v>
      </c>
      <c r="EA25" s="319">
        <v>1887.24</v>
      </c>
      <c r="EB25" s="319">
        <v>8957.33</v>
      </c>
      <c r="EC25" s="319">
        <v>7162.25</v>
      </c>
      <c r="ED25" s="319">
        <v>2220.54</v>
      </c>
      <c r="EE25" s="319">
        <v>155.94999999999999</v>
      </c>
      <c r="EF25" s="319">
        <v>75.64</v>
      </c>
      <c r="EG25" s="319">
        <v>44.45</v>
      </c>
      <c r="EH25" s="319"/>
      <c r="EI25" s="362">
        <v>18.55</v>
      </c>
      <c r="EJ25" s="753">
        <v>7.48</v>
      </c>
      <c r="EK25" s="753">
        <v>7.54</v>
      </c>
      <c r="EL25" s="753">
        <v>0</v>
      </c>
      <c r="EM25" s="753">
        <v>8</v>
      </c>
      <c r="EN25" s="39"/>
      <c r="EO25" s="43" t="s">
        <v>9</v>
      </c>
      <c r="EP25" s="319">
        <v>30194.720000000001</v>
      </c>
      <c r="EQ25" s="319">
        <v>37803.050000000003</v>
      </c>
      <c r="ER25" s="319">
        <v>133352.54999999999</v>
      </c>
      <c r="ES25" s="319">
        <v>59604.93</v>
      </c>
      <c r="ET25" s="319">
        <v>143302.04</v>
      </c>
      <c r="EU25" s="319">
        <v>62727.18</v>
      </c>
      <c r="EV25" s="319">
        <v>232256.2</v>
      </c>
      <c r="EW25" s="319">
        <v>164885.63</v>
      </c>
      <c r="EX25" s="319">
        <v>104427.36</v>
      </c>
      <c r="EY25" s="319">
        <v>82831.64</v>
      </c>
      <c r="EZ25" s="319">
        <v>115320.21</v>
      </c>
      <c r="FA25" s="319">
        <v>54989.98</v>
      </c>
      <c r="FB25" s="319">
        <v>121045.91</v>
      </c>
      <c r="FC25" s="319">
        <v>158511.39000000001</v>
      </c>
      <c r="FD25" s="319">
        <v>48843.28</v>
      </c>
      <c r="FE25" s="319">
        <v>53455.51</v>
      </c>
      <c r="FF25" s="319"/>
      <c r="FG25" s="362">
        <v>86441.66</v>
      </c>
      <c r="FH25" s="362">
        <v>316370.68</v>
      </c>
      <c r="FI25" s="362">
        <v>147248.47</v>
      </c>
      <c r="FJ25" s="362">
        <v>133231.64000000001</v>
      </c>
      <c r="FK25" s="362">
        <v>127120</v>
      </c>
      <c r="FM25" s="43" t="s">
        <v>9</v>
      </c>
      <c r="FN25" s="319">
        <v>28800</v>
      </c>
      <c r="FO25" s="319">
        <v>20484</v>
      </c>
      <c r="FP25" s="319">
        <v>15764</v>
      </c>
      <c r="FQ25" s="319">
        <v>4612</v>
      </c>
      <c r="FR25" s="319">
        <v>19771</v>
      </c>
      <c r="FS25" s="319">
        <v>8954</v>
      </c>
      <c r="FT25" s="319">
        <v>16693</v>
      </c>
      <c r="FU25" s="319">
        <v>35563</v>
      </c>
      <c r="FV25" s="319">
        <v>142898.15999999968</v>
      </c>
      <c r="FW25" s="319">
        <v>18259.05</v>
      </c>
      <c r="FX25" s="319">
        <v>21709.14</v>
      </c>
      <c r="FY25" s="319">
        <v>56817.01</v>
      </c>
      <c r="FZ25" s="319">
        <v>31960.34</v>
      </c>
      <c r="GA25" s="319">
        <v>47824.07</v>
      </c>
      <c r="GB25" s="319">
        <v>96184.61</v>
      </c>
      <c r="GC25" s="319"/>
      <c r="GD25" s="319"/>
      <c r="GE25" s="319">
        <v>11025.61</v>
      </c>
      <c r="GF25" s="756">
        <v>80642.02</v>
      </c>
      <c r="GG25" s="756">
        <v>22044.94</v>
      </c>
      <c r="GH25" s="756">
        <v>22044.94</v>
      </c>
      <c r="GI25" s="756">
        <v>0</v>
      </c>
      <c r="GJ25" s="42"/>
      <c r="GK25" s="570" t="s">
        <v>9</v>
      </c>
      <c r="GL25" s="571">
        <f>FN25/'4GF Expenditures'!B26</f>
        <v>3.5131590985331342E-2</v>
      </c>
      <c r="GM25" s="571">
        <f>FO25/'4GF Expenditures'!C26</f>
        <v>2.6798294558836804E-2</v>
      </c>
      <c r="GN25" s="571">
        <f>FP25/'4GF Expenditures'!D26</f>
        <v>1.763829851511127E-2</v>
      </c>
      <c r="GO25" s="571">
        <f>FQ25/'4GF Expenditures'!E26</f>
        <v>5.3463103850804094E-3</v>
      </c>
      <c r="GP25" s="571">
        <f>FR25/'4GF Expenditures'!F26</f>
        <v>1.9605782074458539E-2</v>
      </c>
      <c r="GQ25" s="571">
        <f>FS25/'4GF Expenditures'!G26</f>
        <v>8.4769992520851677E-3</v>
      </c>
      <c r="GR25" s="571">
        <f>FT25/'4GF Expenditures'!H26</f>
        <v>1.4471081243682501E-2</v>
      </c>
      <c r="GS25" s="571">
        <f>FU25/'4GF Expenditures'!I26</f>
        <v>2.8366865255196497E-2</v>
      </c>
      <c r="GT25" s="571">
        <f>FV25/'4GF Expenditures'!J26</f>
        <v>0.10961436693581852</v>
      </c>
      <c r="GU25" s="571">
        <f>FW25/'4GF Expenditures'!K26</f>
        <v>1.1976586902602048E-2</v>
      </c>
      <c r="GV25" s="571">
        <f>FX25/'4GF Expenditures'!L26</f>
        <v>1.5315484530155231E-2</v>
      </c>
      <c r="GW25" s="571">
        <f>FY25/'4GF Expenditures'!M26</f>
        <v>4.1948834553979207E-2</v>
      </c>
      <c r="GX25" s="571">
        <f>FZ25/'4GF Expenditures'!N26</f>
        <v>2.0823196710965455E-2</v>
      </c>
      <c r="GY25" s="571">
        <f>GA25/'4GF Expenditures'!O26</f>
        <v>3.1215905587636962E-2</v>
      </c>
      <c r="GZ25" s="571">
        <f>GB25/'4GF Expenditures'!P26</f>
        <v>6.4052860722504684E-2</v>
      </c>
      <c r="HA25" s="571">
        <f>GC25/'4GF Expenditures'!Q26</f>
        <v>0</v>
      </c>
      <c r="HB25" s="571" t="e">
        <f>GD25/'4GF Expenditures'!R26</f>
        <v>#DIV/0!</v>
      </c>
      <c r="HC25" s="571">
        <f>GE25/'4GF Expenditures'!S26</f>
        <v>6.4043417196693641E-3</v>
      </c>
      <c r="HD25" s="571">
        <f>GF25/'4GF Expenditures'!T26</f>
        <v>4.2413725036362517E-2</v>
      </c>
      <c r="HE25" s="571">
        <f>GG25/'4GF Expenditures'!U26</f>
        <v>1.1988325639375935E-2</v>
      </c>
      <c r="HF25" s="571">
        <f>GH25/'4GF Expenditures'!V26</f>
        <v>1.2313426091414899E-2</v>
      </c>
      <c r="HG25" s="571">
        <f>GI25/'4GF Expenditures'!W26</f>
        <v>0</v>
      </c>
      <c r="HH25" s="571"/>
      <c r="HI25" s="571"/>
      <c r="HJ25" s="571"/>
      <c r="HK25" s="568"/>
      <c r="HL25" s="567" t="s">
        <v>9</v>
      </c>
      <c r="HM25" s="571">
        <f>B25/'4GF Expenditures'!B26</f>
        <v>0.92082339666371871</v>
      </c>
      <c r="HN25" s="571">
        <f>C25/'4GF Expenditures'!C26</f>
        <v>0.98912055176961111</v>
      </c>
      <c r="HO25" s="571">
        <f>D25/'4GF Expenditures'!D26</f>
        <v>0.99471880430148918</v>
      </c>
      <c r="HP25" s="571">
        <f>E25/'4GF Expenditures'!E26</f>
        <v>0.98707240819288444</v>
      </c>
      <c r="HQ25" s="571">
        <f>F25/'4GF Expenditures'!F26</f>
        <v>1.0150323226173039</v>
      </c>
      <c r="HR25" s="571">
        <f>G25/'4GF Expenditures'!G26</f>
        <v>0.98975924716218389</v>
      </c>
      <c r="HS25" s="571">
        <f>H25/'4GF Expenditures'!H26</f>
        <v>1.0067089017998478</v>
      </c>
      <c r="HT25" s="571">
        <f>I25/'4GF Expenditures'!I26</f>
        <v>1.0117015413011763</v>
      </c>
      <c r="HU25" s="571">
        <f>J25/'4GF Expenditures'!J26</f>
        <v>1.0823347046990817</v>
      </c>
      <c r="HV25" s="571">
        <f>K25/'4GF Expenditures'!K26</f>
        <v>0.91824595844920864</v>
      </c>
      <c r="HW25" s="571">
        <f>L25/'4GF Expenditures'!L26</f>
        <v>1.002433988634402</v>
      </c>
      <c r="HX25" s="571">
        <f>M25/'4GF Expenditures'!M26</f>
        <v>1.0189011003517654</v>
      </c>
      <c r="HY25" s="571">
        <f>N25/'4GF Expenditures'!N26</f>
        <v>0.9838050743831398</v>
      </c>
      <c r="HZ25" s="571">
        <f>O25/'4GF Expenditures'!O26</f>
        <v>1.0103586408184848</v>
      </c>
      <c r="IA25" s="571">
        <f>P25/'4GF Expenditures'!P26</f>
        <v>1.0326739905273836</v>
      </c>
      <c r="IB25" s="571">
        <f>Q25/'4GF Expenditures'!Q26</f>
        <v>1.0285610866665595</v>
      </c>
      <c r="IC25" s="571" t="e">
        <f>R25/'4GF Expenditures'!R26</f>
        <v>#DIV/0!</v>
      </c>
      <c r="ID25" s="573">
        <f>S25/'4GF Expenditures'!S26</f>
        <v>0.94276954190243989</v>
      </c>
      <c r="IE25" s="572">
        <f>T25/'4GF Expenditures'!T26</f>
        <v>1.0366081920489123</v>
      </c>
      <c r="IF25" s="572">
        <f>U25/'4GF Expenditures'!U26</f>
        <v>0.96813414431808098</v>
      </c>
      <c r="IG25" s="572">
        <f>V25/'4GF Expenditures'!V26</f>
        <v>1.0342162527925496</v>
      </c>
      <c r="IH25" s="572">
        <f>W25/'4GF Expenditures'!W26</f>
        <v>0.96026944172317408</v>
      </c>
    </row>
    <row r="26" spans="1:242" ht="14">
      <c r="A26" s="43" t="s">
        <v>10</v>
      </c>
      <c r="B26" s="319">
        <v>2870427</v>
      </c>
      <c r="C26" s="319">
        <v>3939890</v>
      </c>
      <c r="D26" s="319">
        <v>3996961</v>
      </c>
      <c r="E26" s="319">
        <v>4717875</v>
      </c>
      <c r="F26" s="319">
        <v>4619453</v>
      </c>
      <c r="G26" s="319">
        <v>4381953</v>
      </c>
      <c r="H26" s="319">
        <v>4741994</v>
      </c>
      <c r="I26" s="319">
        <v>4924504</v>
      </c>
      <c r="J26" s="319">
        <v>3920385.1799999997</v>
      </c>
      <c r="K26" s="319">
        <v>3864116.85</v>
      </c>
      <c r="L26" s="319">
        <v>4090512.52</v>
      </c>
      <c r="M26" s="319">
        <v>4177689.27</v>
      </c>
      <c r="N26" s="319">
        <v>4211442.83</v>
      </c>
      <c r="O26" s="319">
        <v>4060212.1099999994</v>
      </c>
      <c r="P26" s="319">
        <v>4519652.37</v>
      </c>
      <c r="Q26" s="319">
        <v>4613532.53</v>
      </c>
      <c r="R26" s="319">
        <v>4455537.7700000005</v>
      </c>
      <c r="S26" s="362">
        <v>4254665.32</v>
      </c>
      <c r="T26" s="362"/>
      <c r="U26" s="362">
        <v>4787592.83</v>
      </c>
      <c r="V26" s="362">
        <v>4206381.29</v>
      </c>
      <c r="W26" s="362">
        <v>4152222.6799999997</v>
      </c>
      <c r="X26" s="6"/>
      <c r="Y26" s="43" t="s">
        <v>10</v>
      </c>
      <c r="Z26" s="319">
        <v>143521.35</v>
      </c>
      <c r="AA26" s="319">
        <v>315191.2</v>
      </c>
      <c r="AB26" s="319">
        <v>319756.88</v>
      </c>
      <c r="AC26" s="319">
        <v>330251.25</v>
      </c>
      <c r="AD26" s="319">
        <v>369556.24</v>
      </c>
      <c r="AE26" s="319">
        <v>394375.77</v>
      </c>
      <c r="AF26" s="319">
        <v>426779.46</v>
      </c>
      <c r="AG26" s="319">
        <v>393960.32</v>
      </c>
      <c r="AH26" s="319">
        <v>461345.86</v>
      </c>
      <c r="AI26" s="319">
        <v>481958.83</v>
      </c>
      <c r="AJ26" s="319">
        <v>458566.40000000002</v>
      </c>
      <c r="AK26" s="319">
        <v>488921.08</v>
      </c>
      <c r="AL26" s="319">
        <v>497315.61</v>
      </c>
      <c r="AM26" s="319">
        <v>534774.92000000004</v>
      </c>
      <c r="AN26" s="319">
        <v>537985.57999999996</v>
      </c>
      <c r="AO26" s="319">
        <v>555093.80999999994</v>
      </c>
      <c r="AP26" s="319">
        <v>601786.94999999995</v>
      </c>
      <c r="AQ26" s="362">
        <v>555097.52</v>
      </c>
      <c r="AR26" s="753"/>
      <c r="AS26" s="753">
        <v>646929.1</v>
      </c>
      <c r="AT26" s="753">
        <v>544701.94999999995</v>
      </c>
      <c r="AU26" s="753">
        <v>620000</v>
      </c>
      <c r="AV26" s="39"/>
      <c r="AW26" s="43" t="s">
        <v>10</v>
      </c>
      <c r="AX26" s="319">
        <v>1377804.96</v>
      </c>
      <c r="AY26" s="319">
        <v>1418360.4</v>
      </c>
      <c r="AZ26" s="319">
        <v>1398936.35</v>
      </c>
      <c r="BA26" s="319">
        <v>1462541.25</v>
      </c>
      <c r="BB26" s="319">
        <v>1709197.61</v>
      </c>
      <c r="BC26" s="319">
        <v>1708961.67</v>
      </c>
      <c r="BD26" s="319">
        <v>1707117.84</v>
      </c>
      <c r="BE26" s="319">
        <v>1625086.32</v>
      </c>
      <c r="BF26" s="319">
        <v>1900276.27</v>
      </c>
      <c r="BG26" s="319">
        <v>1910210.77</v>
      </c>
      <c r="BH26" s="319">
        <v>1936103.87</v>
      </c>
      <c r="BI26" s="319">
        <v>1997784.77</v>
      </c>
      <c r="BJ26" s="319">
        <v>1971030.59</v>
      </c>
      <c r="BK26" s="319">
        <v>1975246.01</v>
      </c>
      <c r="BL26" s="319">
        <v>1997223.69</v>
      </c>
      <c r="BM26" s="319">
        <v>2024596.25</v>
      </c>
      <c r="BN26" s="319">
        <v>2120138.2000000002</v>
      </c>
      <c r="BO26" s="362">
        <v>2079360.52</v>
      </c>
      <c r="BP26" s="753"/>
      <c r="BQ26" s="753">
        <v>2278348.21</v>
      </c>
      <c r="BR26" s="753">
        <v>2301593.3199999998</v>
      </c>
      <c r="BS26" s="753">
        <v>2180000</v>
      </c>
      <c r="BT26" s="286"/>
      <c r="BU26" s="43" t="s">
        <v>10</v>
      </c>
      <c r="BV26" s="319">
        <v>487972.59</v>
      </c>
      <c r="BW26" s="319">
        <v>669781.30000000005</v>
      </c>
      <c r="BX26" s="319">
        <v>759422.59</v>
      </c>
      <c r="BY26" s="319">
        <v>802038.75</v>
      </c>
      <c r="BZ26" s="319">
        <v>739112.48</v>
      </c>
      <c r="CA26" s="319">
        <v>613473.42000000004</v>
      </c>
      <c r="CB26" s="319">
        <v>711299.1</v>
      </c>
      <c r="CC26" s="319">
        <v>640185.52</v>
      </c>
      <c r="CD26" s="319">
        <v>576472.53999999992</v>
      </c>
      <c r="CE26" s="319">
        <v>678351.75</v>
      </c>
      <c r="CF26" s="319">
        <v>777501.76</v>
      </c>
      <c r="CG26" s="319">
        <v>485635.78</v>
      </c>
      <c r="CH26" s="319">
        <v>498453.02</v>
      </c>
      <c r="CI26" s="319">
        <v>410587.70999999996</v>
      </c>
      <c r="CJ26" s="319">
        <v>798820.39</v>
      </c>
      <c r="CK26" s="319">
        <v>668301.27</v>
      </c>
      <c r="CL26" s="319">
        <v>481761.5</v>
      </c>
      <c r="CM26" s="362">
        <v>300822.48</v>
      </c>
      <c r="CN26" s="753"/>
      <c r="CO26" s="753">
        <v>810767.4</v>
      </c>
      <c r="CP26" s="753">
        <v>349567.75</v>
      </c>
      <c r="CQ26" s="753">
        <v>400988.18</v>
      </c>
      <c r="CR26" s="39"/>
      <c r="CS26" s="43" t="s">
        <v>10</v>
      </c>
      <c r="CT26" s="319">
        <v>516676.86</v>
      </c>
      <c r="CU26" s="319">
        <v>512185.7</v>
      </c>
      <c r="CV26" s="319">
        <v>559574.54</v>
      </c>
      <c r="CW26" s="319">
        <v>566145</v>
      </c>
      <c r="CX26" s="319">
        <v>461945.3</v>
      </c>
      <c r="CY26" s="319">
        <v>482014.83</v>
      </c>
      <c r="CZ26" s="319">
        <v>521619.34</v>
      </c>
      <c r="DA26" s="319">
        <v>590940.48</v>
      </c>
      <c r="DB26" s="319">
        <v>555277.96</v>
      </c>
      <c r="DC26" s="319">
        <v>573427.91999999993</v>
      </c>
      <c r="DD26" s="319">
        <v>554612.75</v>
      </c>
      <c r="DE26" s="319">
        <v>1039075.21</v>
      </c>
      <c r="DF26" s="319">
        <v>1058773.52</v>
      </c>
      <c r="DG26" s="319">
        <v>1083845.0399999998</v>
      </c>
      <c r="DH26" s="319">
        <v>1139649.28</v>
      </c>
      <c r="DI26" s="319">
        <v>1301276.32</v>
      </c>
      <c r="DJ26" s="319">
        <v>1179640.33</v>
      </c>
      <c r="DK26" s="362">
        <v>1205240.18</v>
      </c>
      <c r="DL26" s="753"/>
      <c r="DM26" s="753">
        <v>1012568.9199999999</v>
      </c>
      <c r="DN26" s="753">
        <v>942167.95</v>
      </c>
      <c r="DO26" s="753">
        <v>908500</v>
      </c>
      <c r="DP26" s="39"/>
      <c r="DQ26" s="43" t="s">
        <v>10</v>
      </c>
      <c r="DR26" s="319">
        <v>0</v>
      </c>
      <c r="DS26" s="319">
        <v>0</v>
      </c>
      <c r="DT26" s="319">
        <v>39969.61</v>
      </c>
      <c r="DU26" s="319">
        <v>0</v>
      </c>
      <c r="DV26" s="319">
        <v>46194.53</v>
      </c>
      <c r="DW26" s="319">
        <v>43819.53</v>
      </c>
      <c r="DX26" s="319">
        <v>0</v>
      </c>
      <c r="DY26" s="319">
        <v>0</v>
      </c>
      <c r="DZ26" s="319">
        <v>8610.0300000000007</v>
      </c>
      <c r="EA26" s="319">
        <v>48043.62</v>
      </c>
      <c r="EB26" s="319">
        <v>104326.75</v>
      </c>
      <c r="EC26" s="319">
        <v>93511.93</v>
      </c>
      <c r="ED26" s="319">
        <v>42297.43</v>
      </c>
      <c r="EE26" s="319">
        <v>1074.52</v>
      </c>
      <c r="EF26" s="319">
        <v>606.29</v>
      </c>
      <c r="EG26" s="319">
        <v>4870.8100000000004</v>
      </c>
      <c r="EH26" s="319">
        <v>19047.21</v>
      </c>
      <c r="EI26" s="362">
        <v>15974.54</v>
      </c>
      <c r="EJ26" s="753"/>
      <c r="EK26" s="753">
        <v>12269.73</v>
      </c>
      <c r="EL26" s="753">
        <v>11402.93</v>
      </c>
      <c r="EM26" s="753">
        <v>10000</v>
      </c>
      <c r="EN26" s="39"/>
      <c r="EO26" s="43" t="s">
        <v>10</v>
      </c>
      <c r="EP26" s="319">
        <v>344451.24</v>
      </c>
      <c r="EQ26" s="319">
        <v>1024371.4</v>
      </c>
      <c r="ER26" s="319">
        <v>919301.03</v>
      </c>
      <c r="ES26" s="319">
        <v>1556898.75</v>
      </c>
      <c r="ET26" s="319">
        <v>1293446.8400000001</v>
      </c>
      <c r="EU26" s="319">
        <v>1139307.78</v>
      </c>
      <c r="EV26" s="319">
        <v>1375178.26</v>
      </c>
      <c r="EW26" s="319">
        <v>1674331.36</v>
      </c>
      <c r="EX26" s="319">
        <v>418402.51999999996</v>
      </c>
      <c r="EY26" s="319">
        <v>172123.95999999996</v>
      </c>
      <c r="EZ26" s="319">
        <v>259400.99000000002</v>
      </c>
      <c r="FA26" s="319">
        <v>72760.5</v>
      </c>
      <c r="FB26" s="319">
        <v>143572.66</v>
      </c>
      <c r="FC26" s="319">
        <v>54683.909999999996</v>
      </c>
      <c r="FD26" s="319">
        <v>45367.14</v>
      </c>
      <c r="FE26" s="319">
        <v>59394.070000000007</v>
      </c>
      <c r="FF26" s="319">
        <v>53163.579999999994</v>
      </c>
      <c r="FG26" s="362">
        <v>98170.079999999987</v>
      </c>
      <c r="FH26" s="362"/>
      <c r="FI26" s="362">
        <v>26709.47</v>
      </c>
      <c r="FJ26" s="362">
        <v>56947.39</v>
      </c>
      <c r="FK26" s="362">
        <v>32734.5</v>
      </c>
      <c r="FM26" s="43" t="s">
        <v>10</v>
      </c>
      <c r="FN26" s="319">
        <v>18984</v>
      </c>
      <c r="FO26" s="319">
        <v>257303</v>
      </c>
      <c r="FP26" s="319">
        <v>162737</v>
      </c>
      <c r="FQ26" s="319">
        <v>502884</v>
      </c>
      <c r="FR26" s="319">
        <v>852989</v>
      </c>
      <c r="FS26" s="319">
        <v>650829</v>
      </c>
      <c r="FT26" s="319">
        <v>481512</v>
      </c>
      <c r="FU26" s="319">
        <v>919790</v>
      </c>
      <c r="FV26" s="319">
        <v>1363786.8899999997</v>
      </c>
      <c r="FW26" s="319">
        <v>1480407.41</v>
      </c>
      <c r="FX26" s="319">
        <v>1646633.26</v>
      </c>
      <c r="FY26" s="319">
        <v>1890760.11</v>
      </c>
      <c r="FZ26" s="319">
        <v>1878294.18</v>
      </c>
      <c r="GA26" s="319">
        <v>2125996.52</v>
      </c>
      <c r="GB26" s="319">
        <v>2188559.2200000002</v>
      </c>
      <c r="GC26" s="319">
        <v>2055300.17</v>
      </c>
      <c r="GD26" s="319">
        <v>2061596.73</v>
      </c>
      <c r="GE26" s="319">
        <v>1579585.95</v>
      </c>
      <c r="GF26" s="756"/>
      <c r="GG26" s="756">
        <v>1268487.1499999999</v>
      </c>
      <c r="GH26" s="756">
        <v>1158937.08</v>
      </c>
      <c r="GI26" s="756">
        <v>32062.439999999478</v>
      </c>
      <c r="GJ26" s="42"/>
      <c r="GK26" s="570" t="s">
        <v>10</v>
      </c>
      <c r="GL26" s="571">
        <f>FN26/'4GF Expenditures'!B27</f>
        <v>6.4973468482528622E-3</v>
      </c>
      <c r="GM26" s="571">
        <f>FO26/'4GF Expenditures'!C27</f>
        <v>6.9511837001100349E-2</v>
      </c>
      <c r="GN26" s="571">
        <f>FP26/'4GF Expenditures'!D27</f>
        <v>3.9774147891484035E-2</v>
      </c>
      <c r="GO26" s="571">
        <f>FQ26/'4GF Expenditures'!E27</f>
        <v>0.11487328586883425</v>
      </c>
      <c r="GP26" s="571">
        <f>FR26/'4GF Expenditures'!F27</f>
        <v>0.19979373899714897</v>
      </c>
      <c r="GQ26" s="571">
        <f>FS26/'4GF Expenditures'!G27</f>
        <v>0.14197490332371823</v>
      </c>
      <c r="GR26" s="571">
        <f>FT26/'4GF Expenditures'!H27</f>
        <v>9.8041439444580075E-2</v>
      </c>
      <c r="GS26" s="571">
        <f>FU26/'4GF Expenditures'!I27</f>
        <v>0.20502533755544192</v>
      </c>
      <c r="GT26" s="571">
        <f>FV26/'4GF Expenditures'!J27</f>
        <v>0.39187470532070706</v>
      </c>
      <c r="GU26" s="571">
        <f>FW26/'4GF Expenditures'!K27</f>
        <v>0.39501234834332716</v>
      </c>
      <c r="GV26" s="571">
        <f>FX26/'4GF Expenditures'!L27</f>
        <v>0.41994535602673283</v>
      </c>
      <c r="GW26" s="571">
        <f>FY26/'4GF Expenditures'!M27</f>
        <v>0.48067372730289604</v>
      </c>
      <c r="GX26" s="571">
        <f>FZ26/'4GF Expenditures'!N27</f>
        <v>0.44469275311145084</v>
      </c>
      <c r="GY26" s="571">
        <f>GA26/'4GF Expenditures'!O27</f>
        <v>0.55763700246202919</v>
      </c>
      <c r="GZ26" s="571">
        <f>GB26/'4GF Expenditures'!P27</f>
        <v>0.49102876137558171</v>
      </c>
      <c r="HA26" s="571">
        <f>GC26/'4GF Expenditures'!Q27</f>
        <v>0.43300105843711262</v>
      </c>
      <c r="HB26" s="571">
        <f>GD26/'4GF Expenditures'!R27</f>
        <v>0.464813892165725</v>
      </c>
      <c r="HC26" s="571">
        <f>GE26/'4GF Expenditures'!S27</f>
        <v>0.33347983198597853</v>
      </c>
      <c r="HD26" s="571" t="e">
        <f>GF26/'4GF Expenditures'!T27</f>
        <v>#DIV/0!</v>
      </c>
      <c r="HE26" s="571">
        <f>GG26/'4GF Expenditures'!U27</f>
        <v>0.26764463212490863</v>
      </c>
      <c r="HF26" s="571">
        <f>GH26/'4GF Expenditures'!V27</f>
        <v>0.2685253733970413</v>
      </c>
      <c r="HG26" s="571">
        <f>GI26/'4GF Expenditures'!W27</f>
        <v>6.0734701515219418E-3</v>
      </c>
      <c r="HH26" s="571"/>
      <c r="HI26" s="571"/>
      <c r="HJ26" s="571"/>
      <c r="HK26" s="568"/>
      <c r="HL26" s="567" t="s">
        <v>10</v>
      </c>
      <c r="HM26" s="571">
        <f>B26/'4GF Expenditures'!B27</f>
        <v>0.98241465558311836</v>
      </c>
      <c r="HN26" s="571">
        <f>C26/'4GF Expenditures'!C27</f>
        <v>1.0643832037802328</v>
      </c>
      <c r="HO26" s="571">
        <f>D26/'4GF Expenditures'!D27</f>
        <v>0.97688735770288204</v>
      </c>
      <c r="HP26" s="571">
        <f>E26/'4GF Expenditures'!E27</f>
        <v>1.0776994367854742</v>
      </c>
      <c r="HQ26" s="571">
        <f>F26/'4GF Expenditures'!F27</f>
        <v>1.0820043247821447</v>
      </c>
      <c r="HR26" s="571">
        <f>G26/'4GF Expenditures'!G27</f>
        <v>0.95589986547015748</v>
      </c>
      <c r="HS26" s="571">
        <f>H26/'4GF Expenditures'!H27</f>
        <v>0.96552509095840189</v>
      </c>
      <c r="HT26" s="571">
        <f>I26/'4GF Expenditures'!I27</f>
        <v>1.0976941420249449</v>
      </c>
      <c r="HU26" s="571">
        <f>J26/'4GF Expenditures'!J27</f>
        <v>1.1264954945828576</v>
      </c>
      <c r="HV26" s="571">
        <f>K26/'4GF Expenditures'!K27</f>
        <v>1.0310498724074342</v>
      </c>
      <c r="HW26" s="571">
        <f>L26/'4GF Expenditures'!L27</f>
        <v>1.043214526435114</v>
      </c>
      <c r="HX26" s="571">
        <f>M26/'4GF Expenditures'!M27</f>
        <v>1.0620625336358587</v>
      </c>
      <c r="HY26" s="571">
        <f>N26/'4GF Expenditures'!N27</f>
        <v>0.99707390172724697</v>
      </c>
      <c r="HZ26" s="571">
        <f>O26/'4GF Expenditures'!O27</f>
        <v>1.0649709390777509</v>
      </c>
      <c r="IA26" s="571">
        <f>P26/'4GF Expenditures'!P27</f>
        <v>1.0140366707048998</v>
      </c>
      <c r="IB26" s="571">
        <f>Q26/'4GF Expenditures'!Q27</f>
        <v>0.9719575260989981</v>
      </c>
      <c r="IC26" s="571">
        <f>R26/'4GF Expenditures'!R27</f>
        <v>1.0045591470088793</v>
      </c>
      <c r="ID26" s="573">
        <f>S26/'4GF Expenditures'!S27</f>
        <v>0.89823860238195319</v>
      </c>
      <c r="IE26" s="572" t="e">
        <f>T26/'4GF Expenditures'!T27</f>
        <v>#DIV/0!</v>
      </c>
      <c r="IF26" s="572">
        <f>U26/'4GF Expenditures'!U27</f>
        <v>1.0101588508399162</v>
      </c>
      <c r="IG26" s="572">
        <f>V26/'4GF Expenditures'!V27</f>
        <v>0.97461728167984596</v>
      </c>
      <c r="IH26" s="572">
        <f>W26/'4GF Expenditures'!W27</f>
        <v>0.78654027920061143</v>
      </c>
    </row>
    <row r="27" spans="1:242" ht="14">
      <c r="A27" s="43" t="s">
        <v>11</v>
      </c>
      <c r="B27" s="319">
        <v>603665</v>
      </c>
      <c r="C27" s="319">
        <v>681904</v>
      </c>
      <c r="D27" s="319">
        <v>702753</v>
      </c>
      <c r="E27" s="319">
        <v>902830</v>
      </c>
      <c r="F27" s="319">
        <v>811194</v>
      </c>
      <c r="G27" s="319">
        <v>942785</v>
      </c>
      <c r="H27" s="319">
        <v>806398</v>
      </c>
      <c r="I27" s="319">
        <v>895208</v>
      </c>
      <c r="J27" s="319">
        <v>1429359.89</v>
      </c>
      <c r="K27" s="319">
        <v>2110285.21</v>
      </c>
      <c r="L27" s="319">
        <v>2712343.14</v>
      </c>
      <c r="M27" s="319">
        <v>2472966.34</v>
      </c>
      <c r="N27" s="319">
        <v>3452701.46</v>
      </c>
      <c r="O27" s="319">
        <v>1869896.2100000002</v>
      </c>
      <c r="P27" s="319">
        <v>1460331.5899999999</v>
      </c>
      <c r="Q27" s="319">
        <v>1082493.24</v>
      </c>
      <c r="R27" s="319">
        <v>1054107.8799999999</v>
      </c>
      <c r="S27" s="362">
        <v>1163029.3399999999</v>
      </c>
      <c r="T27" s="362">
        <v>1150734.45</v>
      </c>
      <c r="U27" s="362">
        <v>1134035.6499999999</v>
      </c>
      <c r="V27" s="362">
        <v>1265806.0299999998</v>
      </c>
      <c r="W27" s="362">
        <v>1251047.3399999999</v>
      </c>
      <c r="X27" s="6"/>
      <c r="Y27" s="43" t="s">
        <v>11</v>
      </c>
      <c r="Z27" s="319">
        <v>126769.65</v>
      </c>
      <c r="AA27" s="319">
        <v>129561.76</v>
      </c>
      <c r="AB27" s="319">
        <v>182715.78</v>
      </c>
      <c r="AC27" s="319">
        <v>207650.9</v>
      </c>
      <c r="AD27" s="319">
        <v>194686.56</v>
      </c>
      <c r="AE27" s="319">
        <v>103706.35</v>
      </c>
      <c r="AF27" s="319">
        <v>201599.5</v>
      </c>
      <c r="AG27" s="319">
        <v>187993.68</v>
      </c>
      <c r="AH27" s="319">
        <v>83646.289999999994</v>
      </c>
      <c r="AI27" s="319">
        <v>236239.15</v>
      </c>
      <c r="AJ27" s="319">
        <v>136529.57999999999</v>
      </c>
      <c r="AK27" s="319">
        <v>158791</v>
      </c>
      <c r="AL27" s="319">
        <v>395478.6</v>
      </c>
      <c r="AM27" s="319">
        <v>61969.26</v>
      </c>
      <c r="AN27" s="319">
        <v>189752.67</v>
      </c>
      <c r="AO27" s="319">
        <v>199626.04</v>
      </c>
      <c r="AP27" s="319">
        <v>204863.38</v>
      </c>
      <c r="AQ27" s="362">
        <v>212113.75</v>
      </c>
      <c r="AR27" s="753">
        <v>208411.51</v>
      </c>
      <c r="AS27" s="753">
        <v>202636.62</v>
      </c>
      <c r="AT27" s="753">
        <v>203604.71</v>
      </c>
      <c r="AU27" s="753">
        <v>204000</v>
      </c>
      <c r="AV27" s="39"/>
      <c r="AW27" s="43" t="s">
        <v>11</v>
      </c>
      <c r="AX27" s="319">
        <v>162989.54999999999</v>
      </c>
      <c r="AY27" s="319">
        <v>170476</v>
      </c>
      <c r="AZ27" s="319">
        <v>175688.25</v>
      </c>
      <c r="BA27" s="319">
        <v>225707.5</v>
      </c>
      <c r="BB27" s="319">
        <v>210910.44</v>
      </c>
      <c r="BC27" s="319">
        <v>235696.25</v>
      </c>
      <c r="BD27" s="319">
        <v>225791.44</v>
      </c>
      <c r="BE27" s="319">
        <v>223802</v>
      </c>
      <c r="BF27" s="319">
        <v>239427.76</v>
      </c>
      <c r="BG27" s="319">
        <v>238544.4</v>
      </c>
      <c r="BH27" s="319">
        <v>236134.41</v>
      </c>
      <c r="BI27" s="319">
        <v>153167</v>
      </c>
      <c r="BJ27" s="319">
        <v>598717.36</v>
      </c>
      <c r="BK27" s="319">
        <v>423920.13</v>
      </c>
      <c r="BL27" s="319">
        <v>688682.78</v>
      </c>
      <c r="BM27" s="319">
        <v>284249.23</v>
      </c>
      <c r="BN27" s="319">
        <v>341515.33</v>
      </c>
      <c r="BO27" s="362">
        <v>323073.74</v>
      </c>
      <c r="BP27" s="753">
        <v>311739.94</v>
      </c>
      <c r="BQ27" s="753">
        <v>359452.78</v>
      </c>
      <c r="BR27" s="753">
        <v>408255.11</v>
      </c>
      <c r="BS27" s="753">
        <v>409000</v>
      </c>
      <c r="BT27" s="286"/>
      <c r="BU27" s="43" t="s">
        <v>11</v>
      </c>
      <c r="BV27" s="319">
        <v>42256.55</v>
      </c>
      <c r="BW27" s="319">
        <v>47733.279999999999</v>
      </c>
      <c r="BX27" s="319">
        <v>112440.48</v>
      </c>
      <c r="BY27" s="319">
        <v>162509.4</v>
      </c>
      <c r="BZ27" s="319">
        <v>73007.460000000006</v>
      </c>
      <c r="CA27" s="319">
        <v>94278.5</v>
      </c>
      <c r="CB27" s="319">
        <v>88703.78</v>
      </c>
      <c r="CC27" s="319">
        <v>143233.28</v>
      </c>
      <c r="CD27" s="319">
        <v>236402.06</v>
      </c>
      <c r="CE27" s="319">
        <v>78562.399999999994</v>
      </c>
      <c r="CF27" s="319">
        <v>101622.51999999999</v>
      </c>
      <c r="CG27" s="319">
        <v>92277.51999999999</v>
      </c>
      <c r="CH27" s="319">
        <v>183981.23</v>
      </c>
      <c r="CI27" s="319">
        <v>36232.910000000003</v>
      </c>
      <c r="CJ27" s="319">
        <v>78357.23</v>
      </c>
      <c r="CK27" s="319">
        <v>92974.749999999985</v>
      </c>
      <c r="CL27" s="319">
        <v>94782.34</v>
      </c>
      <c r="CM27" s="362">
        <v>120232.04000000001</v>
      </c>
      <c r="CN27" s="753">
        <v>128482.19</v>
      </c>
      <c r="CO27" s="753">
        <v>127884.91</v>
      </c>
      <c r="CP27" s="753">
        <v>130739.62</v>
      </c>
      <c r="CQ27" s="753">
        <v>130750</v>
      </c>
      <c r="CR27" s="39"/>
      <c r="CS27" s="43" t="s">
        <v>11</v>
      </c>
      <c r="CT27" s="319">
        <v>138842.95000000001</v>
      </c>
      <c r="CU27" s="319">
        <v>163656.95999999999</v>
      </c>
      <c r="CV27" s="319">
        <v>161633.19</v>
      </c>
      <c r="CW27" s="319">
        <v>162509.4</v>
      </c>
      <c r="CX27" s="319">
        <v>105455.22</v>
      </c>
      <c r="CY27" s="319">
        <v>122562.05</v>
      </c>
      <c r="CZ27" s="319">
        <v>209663.48</v>
      </c>
      <c r="DA27" s="319">
        <v>223802</v>
      </c>
      <c r="DB27" s="319">
        <v>165642.72</v>
      </c>
      <c r="DC27" s="319">
        <v>133671.35999999999</v>
      </c>
      <c r="DD27" s="319">
        <v>307765.34000000003</v>
      </c>
      <c r="DE27" s="319">
        <v>158862.51</v>
      </c>
      <c r="DF27" s="319">
        <v>453470.81</v>
      </c>
      <c r="DG27" s="319">
        <v>245838.09999999998</v>
      </c>
      <c r="DH27" s="319">
        <v>227867.13000000003</v>
      </c>
      <c r="DI27" s="319">
        <v>365876.23000000004</v>
      </c>
      <c r="DJ27" s="319">
        <v>325623.05</v>
      </c>
      <c r="DK27" s="362">
        <v>360879.67</v>
      </c>
      <c r="DL27" s="753">
        <v>351535.07</v>
      </c>
      <c r="DM27" s="753">
        <v>364032.51</v>
      </c>
      <c r="DN27" s="753">
        <v>370136.81</v>
      </c>
      <c r="DO27" s="753">
        <v>371600</v>
      </c>
      <c r="DP27" s="39"/>
      <c r="DQ27" s="43" t="s">
        <v>11</v>
      </c>
      <c r="DR27" s="319">
        <v>6036.65</v>
      </c>
      <c r="DS27" s="319">
        <v>6819.04</v>
      </c>
      <c r="DT27" s="319">
        <v>0</v>
      </c>
      <c r="DU27" s="319">
        <v>0</v>
      </c>
      <c r="DV27" s="319">
        <v>0</v>
      </c>
      <c r="DW27" s="319">
        <v>0</v>
      </c>
      <c r="DX27" s="319">
        <v>0</v>
      </c>
      <c r="DY27" s="319">
        <v>0</v>
      </c>
      <c r="DZ27" s="319">
        <v>693.58</v>
      </c>
      <c r="EA27" s="319">
        <v>301.87</v>
      </c>
      <c r="EB27" s="319">
        <v>243.68</v>
      </c>
      <c r="EC27" s="319">
        <v>1913.52</v>
      </c>
      <c r="ED27" s="319">
        <v>8294.5300000000007</v>
      </c>
      <c r="EE27" s="319">
        <v>12124.54</v>
      </c>
      <c r="EF27" s="319">
        <v>17550.68</v>
      </c>
      <c r="EG27" s="319">
        <v>12798.48</v>
      </c>
      <c r="EH27" s="319">
        <v>7406.26</v>
      </c>
      <c r="EI27" s="362">
        <v>10856.11</v>
      </c>
      <c r="EJ27" s="753">
        <v>13088.33</v>
      </c>
      <c r="EK27" s="753">
        <v>16454.5</v>
      </c>
      <c r="EL27" s="753">
        <v>20282.13</v>
      </c>
      <c r="EM27" s="753">
        <v>25000</v>
      </c>
      <c r="EN27" s="39"/>
      <c r="EO27" s="43" t="s">
        <v>11</v>
      </c>
      <c r="EP27" s="319">
        <v>126769.65</v>
      </c>
      <c r="EQ27" s="319">
        <v>163656.95999999999</v>
      </c>
      <c r="ER27" s="319">
        <v>70275.3</v>
      </c>
      <c r="ES27" s="319">
        <v>144452.79999999999</v>
      </c>
      <c r="ET27" s="319">
        <v>227134.32</v>
      </c>
      <c r="EU27" s="319">
        <v>386541.85</v>
      </c>
      <c r="EV27" s="319">
        <v>80639.8</v>
      </c>
      <c r="EW27" s="319">
        <v>116377.04</v>
      </c>
      <c r="EX27" s="319">
        <v>432388.03</v>
      </c>
      <c r="EY27" s="319">
        <v>332353.53999999998</v>
      </c>
      <c r="EZ27" s="319">
        <v>184667.21000000002</v>
      </c>
      <c r="FA27" s="319">
        <v>144551.4</v>
      </c>
      <c r="FB27" s="319">
        <v>144596.47000000003</v>
      </c>
      <c r="FC27" s="319">
        <v>69351.89</v>
      </c>
      <c r="FD27" s="319">
        <v>145670.86000000002</v>
      </c>
      <c r="FE27" s="319">
        <v>45545.35</v>
      </c>
      <c r="FF27" s="319">
        <v>51805.880000000005</v>
      </c>
      <c r="FG27" s="362">
        <v>102648.4</v>
      </c>
      <c r="FH27" s="362">
        <v>58133.96</v>
      </c>
      <c r="FI27" s="362">
        <v>56963.179999999993</v>
      </c>
      <c r="FJ27" s="362">
        <v>82684.19</v>
      </c>
      <c r="FK27" s="362">
        <v>68750</v>
      </c>
      <c r="FM27" s="43" t="s">
        <v>11</v>
      </c>
      <c r="FN27" s="319">
        <v>65530</v>
      </c>
      <c r="FO27" s="319">
        <v>33272</v>
      </c>
      <c r="FP27" s="319">
        <v>-95441</v>
      </c>
      <c r="FQ27" s="319">
        <v>-31001</v>
      </c>
      <c r="FR27" s="319">
        <v>-73822</v>
      </c>
      <c r="FS27" s="319">
        <v>-65388</v>
      </c>
      <c r="FT27" s="319">
        <v>-138818</v>
      </c>
      <c r="FU27" s="319">
        <v>-84410</v>
      </c>
      <c r="FV27" s="319">
        <v>54.130000000121072</v>
      </c>
      <c r="FW27" s="319">
        <v>-209762.22</v>
      </c>
      <c r="FX27" s="319">
        <v>350082.36</v>
      </c>
      <c r="FY27" s="319">
        <v>50063.13</v>
      </c>
      <c r="FZ27" s="319">
        <v>618698.28</v>
      </c>
      <c r="GA27" s="319">
        <v>83921.01</v>
      </c>
      <c r="GB27" s="319">
        <v>167785.56</v>
      </c>
      <c r="GC27" s="319">
        <v>312634.56</v>
      </c>
      <c r="GD27" s="319">
        <v>310889.37</v>
      </c>
      <c r="GE27" s="319">
        <v>525585.17000000004</v>
      </c>
      <c r="GF27" s="756">
        <v>871724.88</v>
      </c>
      <c r="GG27" s="756">
        <v>1179254.68</v>
      </c>
      <c r="GH27" s="756">
        <v>1304838.6399999999</v>
      </c>
      <c r="GI27" s="756">
        <v>410060.98</v>
      </c>
      <c r="GJ27" s="42"/>
      <c r="GK27" s="570" t="s">
        <v>11</v>
      </c>
      <c r="GL27" s="571">
        <f>FN27/'4GF Expenditures'!B28</f>
        <v>0.11160596435353527</v>
      </c>
      <c r="GM27" s="571">
        <f>FO27/'4GF Expenditures'!C28</f>
        <v>4.6588869192144076E-2</v>
      </c>
      <c r="GN27" s="571">
        <f>FP27/'4GF Expenditures'!D28</f>
        <v>-0.11478641339513582</v>
      </c>
      <c r="GO27" s="571">
        <f>FQ27/'4GF Expenditures'!E28</f>
        <v>-3.6976824628156345E-2</v>
      </c>
      <c r="GP27" s="571">
        <f>FR27/'4GF Expenditures'!F28</f>
        <v>-8.6441104664437982E-2</v>
      </c>
      <c r="GQ27" s="571">
        <f>FS27/'4GF Expenditures'!G28</f>
        <v>-7.2104378663773144E-2</v>
      </c>
      <c r="GR27" s="571">
        <f>FT27/'4GF Expenditures'!H28</f>
        <v>-0.15777838648191864</v>
      </c>
      <c r="GS27" s="571">
        <f>FU27/'4GF Expenditures'!I28</f>
        <v>-0.10039248334919125</v>
      </c>
      <c r="GT27" s="571">
        <f>FV27/'4GF Expenditures'!J28</f>
        <v>3.5090435858362841E-5</v>
      </c>
      <c r="GU27" s="571">
        <f>FW27/'4GF Expenditures'!K28</f>
        <v>-9.9389421086061289E-2</v>
      </c>
      <c r="GV27" s="571">
        <f>FX27/'4GF Expenditures'!L28</f>
        <v>0.16572576444543399</v>
      </c>
      <c r="GW27" s="571">
        <f>FY27/'4GF Expenditures'!M28</f>
        <v>1.7967329878210977E-2</v>
      </c>
      <c r="GX27" s="571">
        <f>FZ27/'4GF Expenditures'!N28</f>
        <v>0.21452295601555335</v>
      </c>
      <c r="GY27" s="571">
        <f>GA27/'4GF Expenditures'!O28</f>
        <v>3.4902102693293642E-2</v>
      </c>
      <c r="GZ27" s="571">
        <f>GB27/'4GF Expenditures'!P28</f>
        <v>0.12185687513490384</v>
      </c>
      <c r="HA27" s="571">
        <f>GC27/'4GF Expenditures'!Q28</f>
        <v>0.33342556447635191</v>
      </c>
      <c r="HB27" s="571">
        <f>GD27/'4GF Expenditures'!R28</f>
        <v>0.29468036456837787</v>
      </c>
      <c r="HC27" s="571">
        <f>GE27/'4GF Expenditures'!S28</f>
        <v>0.5542197421384043</v>
      </c>
      <c r="HD27" s="571">
        <f>GF27/'4GF Expenditures'!T28</f>
        <v>1.0834334810590485</v>
      </c>
      <c r="HE27" s="571">
        <f>GG27/'4GF Expenditures'!U28</f>
        <v>1.4267953215334168</v>
      </c>
      <c r="HF27" s="571">
        <f>GH27/'4GF Expenditures'!V28</f>
        <v>1.1443723765143397</v>
      </c>
      <c r="HG27" s="571">
        <f>GI27/'4GF Expenditures'!W28</f>
        <v>0.19109712115386854</v>
      </c>
      <c r="HH27" s="571"/>
      <c r="HI27" s="571"/>
      <c r="HJ27" s="571"/>
      <c r="HK27" s="568"/>
      <c r="HL27" s="567" t="s">
        <v>11</v>
      </c>
      <c r="HM27" s="571">
        <f>B27/'4GF Expenditures'!B28</f>
        <v>1.0281186398821436</v>
      </c>
      <c r="HN27" s="571">
        <f>C27/'4GF Expenditures'!C28</f>
        <v>0.95483097672516881</v>
      </c>
      <c r="HO27" s="571">
        <f>D27/'4GF Expenditures'!D28</f>
        <v>0.84519751859967818</v>
      </c>
      <c r="HP27" s="571">
        <f>E27/'4GF Expenditures'!E28</f>
        <v>1.0768616037882131</v>
      </c>
      <c r="HQ27" s="571">
        <f>F27/'4GF Expenditures'!F28</f>
        <v>0.94985919451063505</v>
      </c>
      <c r="HR27" s="571">
        <f>G27/'4GF Expenditures'!G28</f>
        <v>1.0396238857057161</v>
      </c>
      <c r="HS27" s="571">
        <f>H27/'4GF Expenditures'!H28</f>
        <v>0.9165394639185569</v>
      </c>
      <c r="HT27" s="571">
        <f>I27/'4GF Expenditures'!I28</f>
        <v>1.064709800190295</v>
      </c>
      <c r="HU27" s="571">
        <f>J27/'4GF Expenditures'!J28</f>
        <v>0.92660006536946926</v>
      </c>
      <c r="HV27" s="571">
        <f>K27/'4GF Expenditures'!K28</f>
        <v>0.99989419137715674</v>
      </c>
      <c r="HW27" s="571">
        <f>L27/'4GF Expenditures'!L28</f>
        <v>1.2839982577666262</v>
      </c>
      <c r="HX27" s="571">
        <f>M27/'4GF Expenditures'!M28</f>
        <v>0.88753144296994702</v>
      </c>
      <c r="HY27" s="571">
        <f>N27/'4GF Expenditures'!N28</f>
        <v>1.1971646719923268</v>
      </c>
      <c r="HZ27" s="571">
        <f>O27/'4GF Expenditures'!O28</f>
        <v>0.77767545394437676</v>
      </c>
      <c r="IA27" s="571">
        <f>P27/'4GF Expenditures'!P28</f>
        <v>1.0605885525440066</v>
      </c>
      <c r="IB27" s="571">
        <f>Q27/'4GF Expenditures'!Q28</f>
        <v>1.1544818320432491</v>
      </c>
      <c r="IC27" s="571">
        <f>R27/'4GF Expenditures'!R28</f>
        <v>0.9991492934377264</v>
      </c>
      <c r="ID27" s="573">
        <f>S27/'4GF Expenditures'!S28</f>
        <v>1.2263927098898135</v>
      </c>
      <c r="IE27" s="572">
        <f>T27/'4GF Expenditures'!T28</f>
        <v>1.4302037942728782</v>
      </c>
      <c r="IF27" s="572">
        <f>U27/'4GF Expenditures'!U28</f>
        <v>1.3720842387261989</v>
      </c>
      <c r="IG27" s="572">
        <f>V27/'4GF Expenditures'!V28</f>
        <v>1.1101399133591578</v>
      </c>
      <c r="IH27" s="572">
        <f>W27/'4GF Expenditures'!W28</f>
        <v>0.58301461675579314</v>
      </c>
    </row>
    <row r="28" spans="1:242" ht="14">
      <c r="A28" s="43" t="s">
        <v>12</v>
      </c>
      <c r="B28" s="319">
        <v>1043462</v>
      </c>
      <c r="C28" s="319">
        <v>1191532</v>
      </c>
      <c r="D28" s="319">
        <v>1123789</v>
      </c>
      <c r="E28" s="319">
        <v>1217218</v>
      </c>
      <c r="F28" s="319">
        <v>1421557</v>
      </c>
      <c r="G28" s="319">
        <v>1176293</v>
      </c>
      <c r="H28" s="319">
        <v>1199442</v>
      </c>
      <c r="I28" s="319">
        <v>1325867</v>
      </c>
      <c r="J28" s="319">
        <v>1324322.5</v>
      </c>
      <c r="K28" s="319">
        <v>1281544.06</v>
      </c>
      <c r="L28" s="319">
        <v>1394412.48</v>
      </c>
      <c r="M28" s="319">
        <v>1324931.3500000001</v>
      </c>
      <c r="N28" s="319">
        <v>2027635.9400000002</v>
      </c>
      <c r="O28" s="319">
        <v>1509822.11</v>
      </c>
      <c r="P28" s="319">
        <v>1813152.8599999999</v>
      </c>
      <c r="Q28" s="319">
        <v>1672974.63</v>
      </c>
      <c r="R28" s="319">
        <v>1782560.35</v>
      </c>
      <c r="S28" s="362">
        <v>2098718.84</v>
      </c>
      <c r="T28" s="362">
        <v>2133629.4</v>
      </c>
      <c r="U28" s="362">
        <v>1909252.69</v>
      </c>
      <c r="V28" s="362">
        <v>1914009.96</v>
      </c>
      <c r="W28" s="362">
        <v>1836528</v>
      </c>
      <c r="X28" s="6"/>
      <c r="Y28" s="43" t="s">
        <v>12</v>
      </c>
      <c r="Z28" s="319">
        <v>239996.26</v>
      </c>
      <c r="AA28" s="319">
        <v>250221.72</v>
      </c>
      <c r="AB28" s="319">
        <v>269709.36</v>
      </c>
      <c r="AC28" s="319">
        <v>304304.5</v>
      </c>
      <c r="AD28" s="319">
        <v>326958.11</v>
      </c>
      <c r="AE28" s="319">
        <v>329362.03999999998</v>
      </c>
      <c r="AF28" s="319">
        <v>335843.76</v>
      </c>
      <c r="AG28" s="319">
        <v>331466.75</v>
      </c>
      <c r="AH28" s="319">
        <v>332606.36000000004</v>
      </c>
      <c r="AI28" s="319">
        <v>336825.69</v>
      </c>
      <c r="AJ28" s="319">
        <v>346795.42</v>
      </c>
      <c r="AK28" s="319">
        <v>354683.33999999997</v>
      </c>
      <c r="AL28" s="319">
        <v>382064.8</v>
      </c>
      <c r="AM28" s="319">
        <v>392627</v>
      </c>
      <c r="AN28" s="319">
        <v>433058.14</v>
      </c>
      <c r="AO28" s="319">
        <v>476200</v>
      </c>
      <c r="AP28" s="319">
        <v>507634.35000000003</v>
      </c>
      <c r="AQ28" s="362">
        <v>498589.65</v>
      </c>
      <c r="AR28" s="753">
        <v>597574.06999999995</v>
      </c>
      <c r="AS28" s="753">
        <v>573152.02999999991</v>
      </c>
      <c r="AT28" s="753">
        <v>619554.05000000005</v>
      </c>
      <c r="AU28" s="753">
        <v>599682</v>
      </c>
      <c r="AV28" s="39"/>
      <c r="AW28" s="43" t="s">
        <v>12</v>
      </c>
      <c r="AX28" s="319">
        <v>250430.88</v>
      </c>
      <c r="AY28" s="319">
        <v>250221.72</v>
      </c>
      <c r="AZ28" s="319">
        <v>247233.58</v>
      </c>
      <c r="BA28" s="319">
        <v>279960.14</v>
      </c>
      <c r="BB28" s="319">
        <v>298526.96999999997</v>
      </c>
      <c r="BC28" s="319">
        <v>329362.03999999998</v>
      </c>
      <c r="BD28" s="319">
        <v>323849.34000000003</v>
      </c>
      <c r="BE28" s="319">
        <v>357984.09</v>
      </c>
      <c r="BF28" s="319">
        <v>391614.97</v>
      </c>
      <c r="BG28" s="319">
        <v>403790.82999999996</v>
      </c>
      <c r="BH28" s="319">
        <v>464713.9</v>
      </c>
      <c r="BI28" s="319">
        <v>495486.6</v>
      </c>
      <c r="BJ28" s="319">
        <v>909672.85</v>
      </c>
      <c r="BK28" s="319">
        <v>482731.89</v>
      </c>
      <c r="BL28" s="319">
        <v>695242.31</v>
      </c>
      <c r="BM28" s="319">
        <v>451306.43999999994</v>
      </c>
      <c r="BN28" s="319">
        <v>511053.75</v>
      </c>
      <c r="BO28" s="362">
        <v>870038.19</v>
      </c>
      <c r="BP28" s="753">
        <v>651920.83000000007</v>
      </c>
      <c r="BQ28" s="753">
        <v>514378.14999999997</v>
      </c>
      <c r="BR28" s="753">
        <v>485732.82</v>
      </c>
      <c r="BS28" s="753">
        <v>496000</v>
      </c>
      <c r="BT28" s="286"/>
      <c r="BU28" s="43" t="s">
        <v>12</v>
      </c>
      <c r="BV28" s="319">
        <v>93911.58</v>
      </c>
      <c r="BW28" s="319">
        <v>131068.52</v>
      </c>
      <c r="BX28" s="319">
        <v>123616.79</v>
      </c>
      <c r="BY28" s="319">
        <v>146066.16</v>
      </c>
      <c r="BZ28" s="319">
        <v>213233.55</v>
      </c>
      <c r="CA28" s="319">
        <v>47051.72</v>
      </c>
      <c r="CB28" s="319">
        <v>47977.68</v>
      </c>
      <c r="CC28" s="319">
        <v>92810.69</v>
      </c>
      <c r="CD28" s="319">
        <v>98193.75</v>
      </c>
      <c r="CE28" s="319">
        <v>148639.96000000002</v>
      </c>
      <c r="CF28" s="319">
        <v>174814.15</v>
      </c>
      <c r="CG28" s="319">
        <v>55588.51999999999</v>
      </c>
      <c r="CH28" s="319">
        <v>88645.17</v>
      </c>
      <c r="CI28" s="319">
        <v>64574.039999999994</v>
      </c>
      <c r="CJ28" s="319">
        <v>47792.26</v>
      </c>
      <c r="CK28" s="319">
        <v>49789.930000000008</v>
      </c>
      <c r="CL28" s="319">
        <v>69769.279999999999</v>
      </c>
      <c r="CM28" s="362">
        <v>106554.88</v>
      </c>
      <c r="CN28" s="753">
        <v>157340.38</v>
      </c>
      <c r="CO28" s="753">
        <v>80308.639999999999</v>
      </c>
      <c r="CP28" s="753">
        <v>88946.4</v>
      </c>
      <c r="CQ28" s="753">
        <v>43724</v>
      </c>
      <c r="CR28" s="39"/>
      <c r="CS28" s="43" t="s">
        <v>12</v>
      </c>
      <c r="CT28" s="319">
        <v>239996.26</v>
      </c>
      <c r="CU28" s="319">
        <v>488528.12</v>
      </c>
      <c r="CV28" s="319">
        <v>415801.93</v>
      </c>
      <c r="CW28" s="319">
        <v>146066.16</v>
      </c>
      <c r="CX28" s="319">
        <v>170586.84</v>
      </c>
      <c r="CY28" s="319">
        <v>411702.55</v>
      </c>
      <c r="CZ28" s="319">
        <v>383821.44</v>
      </c>
      <c r="DA28" s="319">
        <v>424277.44</v>
      </c>
      <c r="DB28" s="319">
        <v>420592.20999999996</v>
      </c>
      <c r="DC28" s="319">
        <v>313929.26999999996</v>
      </c>
      <c r="DD28" s="319">
        <v>296732.3</v>
      </c>
      <c r="DE28" s="319">
        <v>306040.28000000003</v>
      </c>
      <c r="DF28" s="319">
        <v>527428.78</v>
      </c>
      <c r="DG28" s="319">
        <v>469684.75</v>
      </c>
      <c r="DH28" s="319">
        <v>490738.05999999994</v>
      </c>
      <c r="DI28" s="319">
        <v>543752.66</v>
      </c>
      <c r="DJ28" s="319">
        <v>544338.63</v>
      </c>
      <c r="DK28" s="362">
        <v>528626.73</v>
      </c>
      <c r="DL28" s="753">
        <v>637169.72000000009</v>
      </c>
      <c r="DM28" s="753">
        <v>616942.28</v>
      </c>
      <c r="DN28" s="753">
        <v>613492.82999999996</v>
      </c>
      <c r="DO28" s="753">
        <v>619022</v>
      </c>
      <c r="DP28" s="39"/>
      <c r="DQ28" s="43" t="s">
        <v>12</v>
      </c>
      <c r="DR28" s="319">
        <v>10434.620000000001</v>
      </c>
      <c r="DS28" s="319">
        <v>11915.32</v>
      </c>
      <c r="DT28" s="319">
        <v>11237.89</v>
      </c>
      <c r="DU28" s="319">
        <v>12172.18</v>
      </c>
      <c r="DV28" s="319">
        <v>14215.57</v>
      </c>
      <c r="DW28" s="319">
        <v>11762.93</v>
      </c>
      <c r="DX28" s="319">
        <v>23988.84</v>
      </c>
      <c r="DY28" s="319">
        <v>13258.67</v>
      </c>
      <c r="DZ28" s="319">
        <v>10964.01</v>
      </c>
      <c r="EA28" s="319">
        <v>21750.79</v>
      </c>
      <c r="EB28" s="319">
        <v>35529.620000000003</v>
      </c>
      <c r="EC28" s="319">
        <v>34071.56</v>
      </c>
      <c r="ED28" s="319">
        <v>19898.05</v>
      </c>
      <c r="EE28" s="319">
        <v>3994.3</v>
      </c>
      <c r="EF28" s="319">
        <v>1576.71</v>
      </c>
      <c r="EG28" s="319">
        <v>3585.14</v>
      </c>
      <c r="EH28" s="319">
        <v>5169.25</v>
      </c>
      <c r="EI28" s="362">
        <v>3231.3</v>
      </c>
      <c r="EJ28" s="753">
        <v>2335.83</v>
      </c>
      <c r="EK28" s="753">
        <v>4799.71</v>
      </c>
      <c r="EL28" s="753">
        <v>7933.39</v>
      </c>
      <c r="EM28" s="753">
        <v>5000</v>
      </c>
      <c r="EN28" s="39"/>
      <c r="EO28" s="43" t="s">
        <v>12</v>
      </c>
      <c r="EP28" s="319">
        <v>208692.4</v>
      </c>
      <c r="EQ28" s="319">
        <v>59576.6</v>
      </c>
      <c r="ER28" s="319">
        <v>56189.45</v>
      </c>
      <c r="ES28" s="319">
        <v>328648.86</v>
      </c>
      <c r="ET28" s="319">
        <v>398035.96</v>
      </c>
      <c r="EU28" s="319">
        <v>47051.72</v>
      </c>
      <c r="EV28" s="319">
        <v>83960.94</v>
      </c>
      <c r="EW28" s="319">
        <v>106069.36</v>
      </c>
      <c r="EX28" s="319">
        <v>18610.48</v>
      </c>
      <c r="EY28" s="319">
        <v>11995.34</v>
      </c>
      <c r="EZ28" s="319">
        <v>33368.65</v>
      </c>
      <c r="FA28" s="319">
        <v>31675.58</v>
      </c>
      <c r="FB28" s="319">
        <v>44926.29</v>
      </c>
      <c r="FC28" s="319">
        <v>39498.94</v>
      </c>
      <c r="FD28" s="319">
        <v>68079.28</v>
      </c>
      <c r="FE28" s="319">
        <v>82194.86</v>
      </c>
      <c r="FF28" s="319">
        <v>88353.489999999991</v>
      </c>
      <c r="FG28" s="362">
        <v>28330.29</v>
      </c>
      <c r="FH28" s="362">
        <v>26670.74</v>
      </c>
      <c r="FI28" s="362">
        <v>58918.12</v>
      </c>
      <c r="FJ28" s="362">
        <v>28274.23</v>
      </c>
      <c r="FK28" s="362">
        <v>13100</v>
      </c>
      <c r="FM28" s="43" t="s">
        <v>12</v>
      </c>
      <c r="FN28" s="319">
        <v>102469</v>
      </c>
      <c r="FO28" s="319">
        <v>159713</v>
      </c>
      <c r="FP28" s="319">
        <v>109770</v>
      </c>
      <c r="FQ28" s="319">
        <v>221371</v>
      </c>
      <c r="FR28" s="319">
        <v>274586</v>
      </c>
      <c r="FS28" s="319">
        <v>316864</v>
      </c>
      <c r="FT28" s="319">
        <v>368127</v>
      </c>
      <c r="FU28" s="319">
        <v>555730</v>
      </c>
      <c r="FV28" s="319">
        <v>674230.01000000024</v>
      </c>
      <c r="FW28" s="319">
        <v>714825.4</v>
      </c>
      <c r="FX28" s="319">
        <v>652971.64</v>
      </c>
      <c r="FY28" s="319">
        <v>645418.29</v>
      </c>
      <c r="FZ28" s="319">
        <v>1077048.83</v>
      </c>
      <c r="GA28" s="319">
        <v>1120791.06</v>
      </c>
      <c r="GB28" s="319">
        <v>1403364.68</v>
      </c>
      <c r="GC28" s="319">
        <v>1539504.43</v>
      </c>
      <c r="GD28" s="319">
        <v>1794628.51</v>
      </c>
      <c r="GE28" s="319">
        <v>2229451.7000000002</v>
      </c>
      <c r="GF28" s="756">
        <v>2500538.15</v>
      </c>
      <c r="GG28" s="756">
        <v>2560967.5499999998</v>
      </c>
      <c r="GH28" s="756">
        <v>2819159.4199999995</v>
      </c>
      <c r="GI28" s="756">
        <v>2574553.09</v>
      </c>
      <c r="GJ28" s="42"/>
      <c r="GK28" s="570" t="s">
        <v>12</v>
      </c>
      <c r="GL28" s="571">
        <f>FN28/'4GF Expenditures'!B29</f>
        <v>9.7887381126379791E-2</v>
      </c>
      <c r="GM28" s="571">
        <f>FO28/'4GF Expenditures'!C29</f>
        <v>0.1408046281015051</v>
      </c>
      <c r="GN28" s="571">
        <f>FP28/'4GF Expenditures'!D29</f>
        <v>9.3522200979439946E-2</v>
      </c>
      <c r="GO28" s="571">
        <f>FQ28/'4GF Expenditures'!E29</f>
        <v>0.20022394735247379</v>
      </c>
      <c r="GP28" s="571">
        <f>FR28/'4GF Expenditures'!F29</f>
        <v>0.20067059258577169</v>
      </c>
      <c r="GQ28" s="571">
        <f>FS28/'4GF Expenditures'!G29</f>
        <v>0.27941782075193011</v>
      </c>
      <c r="GR28" s="571">
        <f>FT28/'4GF Expenditures'!H29</f>
        <v>0.32061812661614608</v>
      </c>
      <c r="GS28" s="571">
        <f>FU28/'4GF Expenditures'!I29</f>
        <v>0.4882263589346223</v>
      </c>
      <c r="GT28" s="571">
        <f>FV28/'4GF Expenditures'!J29</f>
        <v>0.55913417009817734</v>
      </c>
      <c r="GU28" s="571">
        <f>FW28/'4GF Expenditures'!K29</f>
        <v>0.57603138630952266</v>
      </c>
      <c r="GV28" s="571">
        <f>FX28/'4GF Expenditures'!L29</f>
        <v>0.44838754210219145</v>
      </c>
      <c r="GW28" s="571">
        <f>FY28/'4GF Expenditures'!M29</f>
        <v>0.48437200817390247</v>
      </c>
      <c r="GX28" s="571">
        <f>FZ28/'4GF Expenditures'!N29</f>
        <v>0.67484034201889298</v>
      </c>
      <c r="GY28" s="571">
        <f>GA28/'4GF Expenditures'!O29</f>
        <v>0.76445597576278723</v>
      </c>
      <c r="GZ28" s="571">
        <f>GB28/'4GF Expenditures'!P29</f>
        <v>0.91688469523472682</v>
      </c>
      <c r="HA28" s="571">
        <f>GC28/'4GF Expenditures'!Q29</f>
        <v>1.001737044125391</v>
      </c>
      <c r="HB28" s="571">
        <f>GD28/'4GF Expenditures'!R29</f>
        <v>1.1749285683781752</v>
      </c>
      <c r="HC28" s="571">
        <f>GE28/'4GF Expenditures'!S29</f>
        <v>1.3463573487119764</v>
      </c>
      <c r="HD28" s="571">
        <f>GF28/'4GF Expenditures'!T29</f>
        <v>1.3425398592821713</v>
      </c>
      <c r="HE28" s="571">
        <f>GG28/'4GF Expenditures'!U29</f>
        <v>1.385187845616116</v>
      </c>
      <c r="HF28" s="571">
        <f>GH28/'4GF Expenditures'!V29</f>
        <v>1.7025779806524513</v>
      </c>
      <c r="HG28" s="571">
        <f>GI28/'4GF Expenditures'!W29</f>
        <v>1.237091259745833</v>
      </c>
      <c r="HH28" s="571"/>
      <c r="HI28" s="571"/>
      <c r="HJ28" s="571"/>
      <c r="HK28" s="568"/>
      <c r="HL28" s="567" t="s">
        <v>12</v>
      </c>
      <c r="HM28" s="571">
        <f>B28/'4GF Expenditures'!B29</f>
        <v>0.99680647302983838</v>
      </c>
      <c r="HN28" s="571">
        <f>C28/'4GF Expenditures'!C29</f>
        <v>1.0504669008223662</v>
      </c>
      <c r="HO28" s="571">
        <f>D28/'4GF Expenditures'!D29</f>
        <v>0.9574494007149843</v>
      </c>
      <c r="HP28" s="571">
        <f>E28/'4GF Expenditures'!E29</f>
        <v>1.1009400181075364</v>
      </c>
      <c r="HQ28" s="571">
        <f>F28/'4GF Expenditures'!F29</f>
        <v>1.0388901312683525</v>
      </c>
      <c r="HR28" s="571">
        <f>G28/'4GF Expenditures'!G29</f>
        <v>1.0372816938047558</v>
      </c>
      <c r="HS28" s="571">
        <f>H28/'4GF Expenditures'!H29</f>
        <v>1.0446472196408401</v>
      </c>
      <c r="HT28" s="571">
        <f>I28/'4GF Expenditures'!I29</f>
        <v>1.1648160398783058</v>
      </c>
      <c r="HU28" s="571">
        <f>J28/'4GF Expenditures'!J29</f>
        <v>1.0982512658845358</v>
      </c>
      <c r="HV28" s="571">
        <f>K28/'4GF Expenditures'!K29</f>
        <v>1.0327131653387442</v>
      </c>
      <c r="HW28" s="571">
        <f>L28/'4GF Expenditures'!L29</f>
        <v>0.95752578869094707</v>
      </c>
      <c r="HX28" s="571">
        <f>M28/'4GF Expenditures'!M29</f>
        <v>0.99433137956480844</v>
      </c>
      <c r="HY28" s="571">
        <f>N28/'4GF Expenditures'!N29</f>
        <v>1.2704442854641973</v>
      </c>
      <c r="HZ28" s="571">
        <f>O28/'4GF Expenditures'!O29</f>
        <v>1.0298016958917215</v>
      </c>
      <c r="IA28" s="571">
        <f>P28/'4GF Expenditures'!P29</f>
        <v>1.184618746037611</v>
      </c>
      <c r="IB28" s="571">
        <f>Q28/'4GF Expenditures'!Q29</f>
        <v>1.08858450037261</v>
      </c>
      <c r="IC28" s="571">
        <f>R28/'4GF Expenditures'!R29</f>
        <v>1.1670276429929218</v>
      </c>
      <c r="ID28" s="573">
        <f>S28/'4GF Expenditures'!S29</f>
        <v>1.267408274919916</v>
      </c>
      <c r="IE28" s="572">
        <f>T28/'4GF Expenditures'!T29</f>
        <v>1.145546415453131</v>
      </c>
      <c r="IF28" s="572">
        <f>U28/'4GF Expenditures'!U29</f>
        <v>1.0326853303540977</v>
      </c>
      <c r="IG28" s="572">
        <f>V28/'4GF Expenditures'!V29</f>
        <v>1.155930093745986</v>
      </c>
      <c r="IH28" s="572">
        <f>W28/'4GF Expenditures'!W29</f>
        <v>0.88246490076399831</v>
      </c>
    </row>
    <row r="29" spans="1:242" ht="14">
      <c r="A29" s="43" t="s">
        <v>13</v>
      </c>
      <c r="B29" s="319">
        <v>526801</v>
      </c>
      <c r="C29" s="319">
        <v>726173</v>
      </c>
      <c r="D29" s="319">
        <v>881956</v>
      </c>
      <c r="E29" s="319">
        <v>651076</v>
      </c>
      <c r="F29" s="319">
        <v>579539</v>
      </c>
      <c r="G29" s="319">
        <v>629782</v>
      </c>
      <c r="H29" s="319">
        <v>634881</v>
      </c>
      <c r="I29" s="319">
        <v>748431</v>
      </c>
      <c r="J29" s="319">
        <v>766510.32000000007</v>
      </c>
      <c r="K29" s="319">
        <v>849825.59</v>
      </c>
      <c r="L29" s="319">
        <v>801376.11</v>
      </c>
      <c r="M29" s="319">
        <v>845727.16</v>
      </c>
      <c r="N29" s="319"/>
      <c r="O29" s="319">
        <v>816157.37000000011</v>
      </c>
      <c r="P29" s="319">
        <v>1054196.98</v>
      </c>
      <c r="Q29" s="319">
        <v>1496921.51</v>
      </c>
      <c r="R29" s="319">
        <v>893733.13</v>
      </c>
      <c r="S29" s="362">
        <v>976834.92999999993</v>
      </c>
      <c r="T29" s="362">
        <v>973458.59</v>
      </c>
      <c r="U29" s="362">
        <v>1105577.75</v>
      </c>
      <c r="V29" s="362">
        <v>1092238.99</v>
      </c>
      <c r="W29" s="362">
        <v>1382809.78</v>
      </c>
      <c r="X29" s="6"/>
      <c r="Y29" s="43" t="s">
        <v>13</v>
      </c>
      <c r="Z29" s="319">
        <v>89556.17</v>
      </c>
      <c r="AA29" s="319">
        <v>87140.76</v>
      </c>
      <c r="AB29" s="319">
        <v>8819.56</v>
      </c>
      <c r="AC29" s="319">
        <v>13021.52</v>
      </c>
      <c r="AD29" s="319">
        <v>11590.78</v>
      </c>
      <c r="AE29" s="319">
        <v>18893.46</v>
      </c>
      <c r="AF29" s="319">
        <v>19046.43</v>
      </c>
      <c r="AG29" s="319">
        <v>22452.93</v>
      </c>
      <c r="AH29" s="319">
        <v>25378.799999999999</v>
      </c>
      <c r="AI29" s="319">
        <v>31678.28</v>
      </c>
      <c r="AJ29" s="319">
        <v>33727.49</v>
      </c>
      <c r="AK29" s="319">
        <v>37493.870000000003</v>
      </c>
      <c r="AL29" s="319"/>
      <c r="AM29" s="319">
        <v>30926.16</v>
      </c>
      <c r="AN29" s="319">
        <v>45380.02</v>
      </c>
      <c r="AO29" s="319">
        <v>241039.8</v>
      </c>
      <c r="AP29" s="319">
        <v>42792.480000000003</v>
      </c>
      <c r="AQ29" s="362">
        <v>44993</v>
      </c>
      <c r="AR29" s="753">
        <v>41978.83</v>
      </c>
      <c r="AS29" s="753">
        <v>50944.37</v>
      </c>
      <c r="AT29" s="753">
        <v>79643.67</v>
      </c>
      <c r="AU29" s="753">
        <v>47880</v>
      </c>
      <c r="AV29" s="39"/>
      <c r="AW29" s="43" t="s">
        <v>13</v>
      </c>
      <c r="AX29" s="319">
        <v>273936.52</v>
      </c>
      <c r="AY29" s="319">
        <v>290469.2</v>
      </c>
      <c r="AZ29" s="319">
        <v>308684.59999999998</v>
      </c>
      <c r="BA29" s="319">
        <v>312516.47999999998</v>
      </c>
      <c r="BB29" s="319">
        <v>324541.84000000003</v>
      </c>
      <c r="BC29" s="319">
        <v>327486.64</v>
      </c>
      <c r="BD29" s="319">
        <v>349184.55</v>
      </c>
      <c r="BE29" s="319">
        <v>344278.26</v>
      </c>
      <c r="BF29" s="319">
        <v>368102.31</v>
      </c>
      <c r="BG29" s="319">
        <v>386618.42</v>
      </c>
      <c r="BH29" s="319">
        <v>393311.5</v>
      </c>
      <c r="BI29" s="319">
        <v>435465.83</v>
      </c>
      <c r="BJ29" s="319"/>
      <c r="BK29" s="319">
        <v>409082.63</v>
      </c>
      <c r="BL29" s="319">
        <v>436487.59</v>
      </c>
      <c r="BM29" s="319">
        <v>912927.28</v>
      </c>
      <c r="BN29" s="319">
        <v>471997.32</v>
      </c>
      <c r="BO29" s="362">
        <v>494186.04</v>
      </c>
      <c r="BP29" s="753">
        <v>518183.83</v>
      </c>
      <c r="BQ29" s="753">
        <v>524538.93000000005</v>
      </c>
      <c r="BR29" s="753">
        <v>550496.39</v>
      </c>
      <c r="BS29" s="753">
        <v>485000</v>
      </c>
      <c r="BT29" s="286"/>
      <c r="BU29" s="43" t="s">
        <v>13</v>
      </c>
      <c r="BV29" s="319">
        <v>10536.02</v>
      </c>
      <c r="BW29" s="319">
        <v>29046.92</v>
      </c>
      <c r="BX29" s="319">
        <v>176391.2</v>
      </c>
      <c r="BY29" s="319">
        <v>110682.92</v>
      </c>
      <c r="BZ29" s="319">
        <v>104317.02</v>
      </c>
      <c r="CA29" s="319">
        <v>157445.5</v>
      </c>
      <c r="CB29" s="319">
        <v>146022.63</v>
      </c>
      <c r="CC29" s="319">
        <v>209560.68</v>
      </c>
      <c r="CD29" s="319">
        <v>205386.05</v>
      </c>
      <c r="CE29" s="319">
        <v>216112.91999999995</v>
      </c>
      <c r="CF29" s="319">
        <v>186807.47</v>
      </c>
      <c r="CG29" s="319">
        <v>188035.6</v>
      </c>
      <c r="CH29" s="319"/>
      <c r="CI29" s="319">
        <v>204346.55000000005</v>
      </c>
      <c r="CJ29" s="319">
        <v>260567.30000000002</v>
      </c>
      <c r="CK29" s="319">
        <v>129788.08</v>
      </c>
      <c r="CL29" s="319">
        <v>214133.76000000001</v>
      </c>
      <c r="CM29" s="362">
        <v>240804.28</v>
      </c>
      <c r="CN29" s="753">
        <v>234559.82</v>
      </c>
      <c r="CO29" s="753">
        <v>219626.94999999998</v>
      </c>
      <c r="CP29" s="753">
        <v>225350.42</v>
      </c>
      <c r="CQ29" s="753">
        <v>633514.92000000004</v>
      </c>
      <c r="CR29" s="39"/>
      <c r="CS29" s="43" t="s">
        <v>13</v>
      </c>
      <c r="CT29" s="319">
        <v>94824.18</v>
      </c>
      <c r="CU29" s="319">
        <v>94402.49</v>
      </c>
      <c r="CV29" s="319">
        <v>105834.72</v>
      </c>
      <c r="CW29" s="319">
        <v>123704.44</v>
      </c>
      <c r="CX29" s="319">
        <v>104317.02</v>
      </c>
      <c r="CY29" s="319">
        <v>100765.12</v>
      </c>
      <c r="CZ29" s="319">
        <v>101580.96</v>
      </c>
      <c r="DA29" s="319">
        <v>104780.34</v>
      </c>
      <c r="DB29" s="319">
        <v>136080.93</v>
      </c>
      <c r="DC29" s="319">
        <v>135540.09</v>
      </c>
      <c r="DD29" s="319">
        <v>131151.58000000002</v>
      </c>
      <c r="DE29" s="319">
        <v>141852.16</v>
      </c>
      <c r="DF29" s="319"/>
      <c r="DG29" s="319">
        <v>121976.62000000001</v>
      </c>
      <c r="DH29" s="319">
        <v>121723.81000000001</v>
      </c>
      <c r="DI29" s="319">
        <v>159666.39000000001</v>
      </c>
      <c r="DJ29" s="319">
        <v>120041.84</v>
      </c>
      <c r="DK29" s="362">
        <v>122994.1</v>
      </c>
      <c r="DL29" s="753">
        <v>108138.78</v>
      </c>
      <c r="DM29" s="753">
        <v>120875.78</v>
      </c>
      <c r="DN29" s="753">
        <v>120001.12</v>
      </c>
      <c r="DO29" s="753">
        <v>100610</v>
      </c>
      <c r="DP29" s="39"/>
      <c r="DQ29" s="43" t="s">
        <v>13</v>
      </c>
      <c r="DR29" s="319">
        <v>5268.01</v>
      </c>
      <c r="DS29" s="319">
        <v>0</v>
      </c>
      <c r="DT29" s="319">
        <v>0</v>
      </c>
      <c r="DU29" s="319">
        <v>6510.76</v>
      </c>
      <c r="DV29" s="319">
        <v>5795.39</v>
      </c>
      <c r="DW29" s="319">
        <v>6297.82</v>
      </c>
      <c r="DX29" s="319">
        <v>6348.81</v>
      </c>
      <c r="DY29" s="319">
        <v>7484.31</v>
      </c>
      <c r="DZ29" s="319">
        <v>10153.74</v>
      </c>
      <c r="EA29" s="319">
        <v>12689.53</v>
      </c>
      <c r="EB29" s="319">
        <v>15593.18</v>
      </c>
      <c r="EC29" s="319">
        <v>16556.740000000002</v>
      </c>
      <c r="ED29" s="319"/>
      <c r="EE29" s="319">
        <v>8812.77</v>
      </c>
      <c r="EF29" s="319">
        <v>4300.91</v>
      </c>
      <c r="EG29" s="319">
        <v>44.45</v>
      </c>
      <c r="EH29" s="319">
        <v>1340.57</v>
      </c>
      <c r="EI29" s="362">
        <v>1593.28</v>
      </c>
      <c r="EJ29" s="753">
        <v>1205.93</v>
      </c>
      <c r="EK29" s="753">
        <v>2359.5300000000002</v>
      </c>
      <c r="EL29" s="753">
        <v>3612.64</v>
      </c>
      <c r="EM29" s="753">
        <v>2000</v>
      </c>
      <c r="EN29" s="39"/>
      <c r="EO29" s="43" t="s">
        <v>13</v>
      </c>
      <c r="EP29" s="319">
        <v>52680.1</v>
      </c>
      <c r="EQ29" s="319">
        <v>225113.63</v>
      </c>
      <c r="ER29" s="319">
        <v>282225.91999999998</v>
      </c>
      <c r="ES29" s="319">
        <v>84639.88</v>
      </c>
      <c r="ET29" s="319">
        <v>28976.95</v>
      </c>
      <c r="EU29" s="319">
        <v>18893.46</v>
      </c>
      <c r="EV29" s="319">
        <v>12697.62</v>
      </c>
      <c r="EW29" s="319">
        <v>59874.48</v>
      </c>
      <c r="EX29" s="319">
        <v>10579.03</v>
      </c>
      <c r="EY29" s="319">
        <v>58075.83</v>
      </c>
      <c r="EZ29" s="319">
        <v>13604.900000000001</v>
      </c>
      <c r="FA29" s="319">
        <v>14277.810000000001</v>
      </c>
      <c r="FB29" s="319"/>
      <c r="FC29" s="319">
        <v>17270.259999999998</v>
      </c>
      <c r="FD29" s="319">
        <v>34298.21</v>
      </c>
      <c r="FE29" s="319">
        <v>53455.51</v>
      </c>
      <c r="FF29" s="319">
        <v>31792.160000000003</v>
      </c>
      <c r="FG29" s="362">
        <v>58782.21</v>
      </c>
      <c r="FH29" s="362">
        <v>46808.47</v>
      </c>
      <c r="FI29" s="362">
        <v>174694.46</v>
      </c>
      <c r="FJ29" s="362">
        <v>96004.430000000008</v>
      </c>
      <c r="FK29" s="362">
        <v>81618.17</v>
      </c>
      <c r="FM29" s="43" t="s">
        <v>13</v>
      </c>
      <c r="FN29" s="319">
        <v>27545</v>
      </c>
      <c r="FO29" s="319">
        <v>-5</v>
      </c>
      <c r="FP29" s="319">
        <v>54518</v>
      </c>
      <c r="FQ29" s="319">
        <v>103404</v>
      </c>
      <c r="FR29" s="319">
        <v>120488</v>
      </c>
      <c r="FS29" s="319">
        <v>163456</v>
      </c>
      <c r="FT29" s="319">
        <v>169424</v>
      </c>
      <c r="FU29" s="319">
        <v>234120</v>
      </c>
      <c r="FV29" s="319">
        <v>291396.84000000008</v>
      </c>
      <c r="FW29" s="319">
        <v>227772.87</v>
      </c>
      <c r="FX29" s="319">
        <v>222777.61</v>
      </c>
      <c r="FY29" s="319">
        <v>218066.03</v>
      </c>
      <c r="FZ29" s="319"/>
      <c r="GA29" s="319">
        <v>85965.57</v>
      </c>
      <c r="GB29" s="319">
        <v>37043.47</v>
      </c>
      <c r="GC29" s="319"/>
      <c r="GD29" s="319">
        <v>7250.88</v>
      </c>
      <c r="GE29" s="319">
        <v>66076.86</v>
      </c>
      <c r="GF29" s="756">
        <v>19642.71</v>
      </c>
      <c r="GG29" s="756">
        <v>157871.1</v>
      </c>
      <c r="GH29" s="756">
        <v>249481.29000000027</v>
      </c>
      <c r="GI29" s="756">
        <v>410.66000000014901</v>
      </c>
      <c r="GJ29" s="42"/>
      <c r="GK29" s="570" t="s">
        <v>13</v>
      </c>
      <c r="GL29" s="571">
        <f>FN29/'4GF Expenditures'!B30</f>
        <v>4.3565869158464623E-2</v>
      </c>
      <c r="GM29" s="571">
        <f>FO29/'4GF Expenditures'!C30</f>
        <v>-6.6337367972053395E-6</v>
      </c>
      <c r="GN29" s="571">
        <f>FP29/'4GF Expenditures'!D30</f>
        <v>6.5888114203808648E-2</v>
      </c>
      <c r="GO29" s="571">
        <f>FQ29/'4GF Expenditures'!E30</f>
        <v>0.17171324664972848</v>
      </c>
      <c r="GP29" s="571">
        <f>FR29/'4GF Expenditures'!F30</f>
        <v>0.21421802633099538</v>
      </c>
      <c r="GQ29" s="571">
        <f>FS29/'4GF Expenditures'!G30</f>
        <v>0.2785487029087631</v>
      </c>
      <c r="GR29" s="571">
        <f>FT29/'4GF Expenditures'!H30</f>
        <v>0.26939179186946366</v>
      </c>
      <c r="GS29" s="571">
        <f>FU29/'4GF Expenditures'!I30</f>
        <v>0.34241336190190647</v>
      </c>
      <c r="GT29" s="571">
        <f>FV29/'4GF Expenditures'!J30</f>
        <v>0.41086207016156456</v>
      </c>
      <c r="GU29" s="571">
        <f>FW29/'4GF Expenditures'!K30</f>
        <v>0.24935462227383415</v>
      </c>
      <c r="GV29" s="571">
        <f>FX29/'4GF Expenditures'!L30</f>
        <v>0.27627172576824</v>
      </c>
      <c r="GW29" s="571">
        <f>FY29/'4GF Expenditures'!M30</f>
        <v>0.25641591774147071</v>
      </c>
      <c r="GX29" s="571" t="e">
        <f>FZ29/'4GF Expenditures'!N30</f>
        <v>#DIV/0!</v>
      </c>
      <c r="GY29" s="571">
        <f>GA29/'4GF Expenditures'!O30</f>
        <v>9.7952194564117107E-2</v>
      </c>
      <c r="GZ29" s="571">
        <f>GB29/'4GF Expenditures'!P30</f>
        <v>3.3580662932600168E-2</v>
      </c>
      <c r="HA29" s="571">
        <f>GC29/'4GF Expenditures'!Q30</f>
        <v>0</v>
      </c>
      <c r="HB29" s="571">
        <f>GD29/'4GF Expenditures'!R30</f>
        <v>7.7867860853596659E-3</v>
      </c>
      <c r="HC29" s="571">
        <f>GE29/'4GF Expenditures'!S30</f>
        <v>7.1978448576127715E-2</v>
      </c>
      <c r="HD29" s="571">
        <f>GF29/'4GF Expenditures'!T30</f>
        <v>1.9258061043552707E-2</v>
      </c>
      <c r="HE29" s="571">
        <f>GG29/'4GF Expenditures'!U30</f>
        <v>0.16319967548435318</v>
      </c>
      <c r="HF29" s="571">
        <f>GH29/'4GF Expenditures'!V30</f>
        <v>0.24932451474512857</v>
      </c>
      <c r="HG29" s="571">
        <f>GI29/'4GF Expenditures'!W30</f>
        <v>2.5164834168585803E-4</v>
      </c>
      <c r="HH29" s="571"/>
      <c r="HI29" s="571"/>
      <c r="HJ29" s="571"/>
      <c r="HK29" s="568"/>
      <c r="HL29" s="567" t="s">
        <v>13</v>
      </c>
      <c r="HM29" s="571">
        <f>B29/'4GF Expenditures'!B30</f>
        <v>0.83320179482840151</v>
      </c>
      <c r="HN29" s="571">
        <f>C29/'4GF Expenditures'!C30</f>
        <v>0.96344811024739863</v>
      </c>
      <c r="HO29" s="571">
        <f>D29/'4GF Expenditures'!D30</f>
        <v>1.065894156989146</v>
      </c>
      <c r="HP29" s="571">
        <f>E29/'4GF Expenditures'!E30</f>
        <v>1.0811803583586577</v>
      </c>
      <c r="HQ29" s="571">
        <f>F29/'4GF Expenditures'!F30</f>
        <v>1.0303739854743934</v>
      </c>
      <c r="HR29" s="571">
        <f>G29/'4GF Expenditures'!G30</f>
        <v>1.0732243491538189</v>
      </c>
      <c r="HS29" s="571">
        <f>H29/'4GF Expenditures'!H30</f>
        <v>1.0094893888343857</v>
      </c>
      <c r="HT29" s="571">
        <f>I29/'4GF Expenditures'!I30</f>
        <v>1.0946214542183741</v>
      </c>
      <c r="HU29" s="571">
        <f>J29/'4GF Expenditures'!J30</f>
        <v>1.0807598904483771</v>
      </c>
      <c r="HV29" s="571">
        <f>K29/'4GF Expenditures'!K30</f>
        <v>0.93034758262952144</v>
      </c>
      <c r="HW29" s="571">
        <f>L29/'4GF Expenditures'!L30</f>
        <v>0.99380526121605728</v>
      </c>
      <c r="HX29" s="571">
        <f>M29/'4GF Expenditures'!M30</f>
        <v>0.99445982434901781</v>
      </c>
      <c r="HY29" s="571" t="e">
        <f>N29/'4GF Expenditures'!N30</f>
        <v>#DIV/0!</v>
      </c>
      <c r="HZ29" s="571">
        <f>O29/'4GF Expenditures'!O30</f>
        <v>0.92995841825021486</v>
      </c>
      <c r="IA29" s="571">
        <f>P29/'4GF Expenditures'!P30</f>
        <v>0.9556511161061596</v>
      </c>
      <c r="IB29" s="571">
        <f>Q29/'4GF Expenditures'!Q30</f>
        <v>1.0285610866665595</v>
      </c>
      <c r="IC29" s="571">
        <f>R29/'4GF Expenditures'!R30</f>
        <v>0.959788149949929</v>
      </c>
      <c r="ID29" s="573">
        <f>S29/'4GF Expenditures'!S30</f>
        <v>1.064079963490552</v>
      </c>
      <c r="IE29" s="572">
        <f>T29/'4GF Expenditures'!T30</f>
        <v>0.95439605581871068</v>
      </c>
      <c r="IF29" s="572">
        <f>U29/'4GF Expenditures'!U30</f>
        <v>1.1428939813729133</v>
      </c>
      <c r="IG29" s="572">
        <f>V29/'4GF Expenditures'!V30</f>
        <v>1.0915526217114679</v>
      </c>
      <c r="IH29" s="572">
        <f>W29/'4GF Expenditures'!W30</f>
        <v>0.8473720060484583</v>
      </c>
    </row>
    <row r="30" spans="1:242" ht="14">
      <c r="A30" s="440" t="s">
        <v>14</v>
      </c>
      <c r="B30" s="319">
        <v>837000</v>
      </c>
      <c r="C30" s="319">
        <v>871644</v>
      </c>
      <c r="D30" s="319">
        <v>891734</v>
      </c>
      <c r="E30" s="319">
        <v>1012844</v>
      </c>
      <c r="F30" s="319">
        <v>981724</v>
      </c>
      <c r="G30" s="319">
        <v>1036939</v>
      </c>
      <c r="H30" s="319">
        <v>917957</v>
      </c>
      <c r="I30" s="319">
        <v>1100307</v>
      </c>
      <c r="J30" s="319">
        <v>1074672.43</v>
      </c>
      <c r="K30" s="319">
        <v>1363455.6800000002</v>
      </c>
      <c r="L30" s="319">
        <v>1571555.1500000001</v>
      </c>
      <c r="M30" s="319">
        <v>1174684.3600000001</v>
      </c>
      <c r="N30" s="319"/>
      <c r="O30" s="319">
        <v>1181898.04</v>
      </c>
      <c r="P30" s="319">
        <v>1106727.42</v>
      </c>
      <c r="Q30" s="319">
        <v>1110208.27</v>
      </c>
      <c r="R30" s="319">
        <v>3507194.8400000003</v>
      </c>
      <c r="S30" s="362"/>
      <c r="T30" s="362"/>
      <c r="U30" s="362"/>
      <c r="V30" s="362"/>
      <c r="W30" s="362"/>
      <c r="X30" s="6"/>
      <c r="Y30" s="43" t="s">
        <v>14</v>
      </c>
      <c r="Z30" s="319">
        <v>58590</v>
      </c>
      <c r="AA30" s="319">
        <v>78447.960000000006</v>
      </c>
      <c r="AB30" s="319">
        <v>107008.08</v>
      </c>
      <c r="AC30" s="319">
        <v>101284.4</v>
      </c>
      <c r="AD30" s="319">
        <v>127624.12</v>
      </c>
      <c r="AE30" s="319">
        <v>103693.9</v>
      </c>
      <c r="AF30" s="319">
        <v>128513.98</v>
      </c>
      <c r="AG30" s="319">
        <v>154042.98000000001</v>
      </c>
      <c r="AH30" s="319">
        <v>175504.51</v>
      </c>
      <c r="AI30" s="319">
        <v>153707.83000000002</v>
      </c>
      <c r="AJ30" s="319">
        <v>203345.31000000003</v>
      </c>
      <c r="AK30" s="319">
        <v>200494.80000000002</v>
      </c>
      <c r="AL30" s="319"/>
      <c r="AM30" s="319">
        <v>340510.83</v>
      </c>
      <c r="AN30" s="319">
        <v>366342.71</v>
      </c>
      <c r="AO30" s="319">
        <v>362514.08</v>
      </c>
      <c r="AP30" s="319">
        <v>483869.86</v>
      </c>
      <c r="AQ30" s="362"/>
      <c r="AR30" s="753"/>
      <c r="AS30" s="753"/>
      <c r="AT30" s="753"/>
      <c r="AU30" s="753"/>
      <c r="AV30" s="39"/>
      <c r="AW30" s="43" t="s">
        <v>14</v>
      </c>
      <c r="AX30" s="319">
        <v>343170</v>
      </c>
      <c r="AY30" s="319">
        <v>357374.04</v>
      </c>
      <c r="AZ30" s="319">
        <v>365610.94</v>
      </c>
      <c r="BA30" s="319">
        <v>384880.72</v>
      </c>
      <c r="BB30" s="319">
        <v>422141.32</v>
      </c>
      <c r="BC30" s="319">
        <v>425144.99</v>
      </c>
      <c r="BD30" s="319">
        <v>440619.36</v>
      </c>
      <c r="BE30" s="319">
        <v>440122.8</v>
      </c>
      <c r="BF30" s="319">
        <v>451080.48</v>
      </c>
      <c r="BG30" s="319">
        <v>461911.24</v>
      </c>
      <c r="BH30" s="319">
        <v>480155.02</v>
      </c>
      <c r="BI30" s="319">
        <v>448893.15</v>
      </c>
      <c r="BJ30" s="319"/>
      <c r="BK30" s="319">
        <v>441397.75</v>
      </c>
      <c r="BL30" s="319">
        <v>444325.7</v>
      </c>
      <c r="BM30" s="319">
        <v>457388.21</v>
      </c>
      <c r="BN30" s="319">
        <v>453219.69</v>
      </c>
      <c r="BO30" s="362"/>
      <c r="BP30" s="753"/>
      <c r="BQ30" s="753"/>
      <c r="BR30" s="753"/>
      <c r="BS30" s="753"/>
      <c r="BT30" s="286"/>
      <c r="BU30" s="43" t="s">
        <v>14</v>
      </c>
      <c r="BV30" s="319">
        <v>267840</v>
      </c>
      <c r="BW30" s="319">
        <v>261493.2</v>
      </c>
      <c r="BX30" s="319">
        <v>196181.48</v>
      </c>
      <c r="BY30" s="319">
        <v>182311.92</v>
      </c>
      <c r="BZ30" s="319">
        <v>147258.6</v>
      </c>
      <c r="CA30" s="319">
        <v>217757.19</v>
      </c>
      <c r="CB30" s="319">
        <v>119334.41</v>
      </c>
      <c r="CC30" s="319">
        <v>110030.7</v>
      </c>
      <c r="CD30" s="319">
        <v>64174.829999999994</v>
      </c>
      <c r="CE30" s="319">
        <v>348389.43000000005</v>
      </c>
      <c r="CF30" s="319">
        <v>480080.92000000004</v>
      </c>
      <c r="CG30" s="319">
        <v>138164.9</v>
      </c>
      <c r="CH30" s="319"/>
      <c r="CI30" s="319">
        <v>80119</v>
      </c>
      <c r="CJ30" s="319">
        <v>70126.070000000007</v>
      </c>
      <c r="CK30" s="319">
        <v>85908.569999999992</v>
      </c>
      <c r="CL30" s="319">
        <v>116394.12</v>
      </c>
      <c r="CM30" s="362"/>
      <c r="CN30" s="753"/>
      <c r="CO30" s="753"/>
      <c r="CP30" s="753"/>
      <c r="CQ30" s="753"/>
      <c r="CR30" s="39"/>
      <c r="CS30" s="43" t="s">
        <v>14</v>
      </c>
      <c r="CT30" s="319">
        <v>142290</v>
      </c>
      <c r="CU30" s="319">
        <v>148179.48000000001</v>
      </c>
      <c r="CV30" s="319">
        <v>178346.8</v>
      </c>
      <c r="CW30" s="319">
        <v>192440.36</v>
      </c>
      <c r="CX30" s="319">
        <v>196344.8</v>
      </c>
      <c r="CY30" s="319">
        <v>228126.58</v>
      </c>
      <c r="CZ30" s="319">
        <v>211130.11</v>
      </c>
      <c r="DA30" s="319">
        <v>242067.54</v>
      </c>
      <c r="DB30" s="319">
        <v>232421.64999999997</v>
      </c>
      <c r="DC30" s="319">
        <v>278639.24</v>
      </c>
      <c r="DD30" s="319">
        <v>270011.66000000003</v>
      </c>
      <c r="DE30" s="319">
        <v>243308.41000000003</v>
      </c>
      <c r="DF30" s="319"/>
      <c r="DG30" s="319">
        <v>183630.36000000002</v>
      </c>
      <c r="DH30" s="319">
        <v>157407.86000000002</v>
      </c>
      <c r="DI30" s="319">
        <v>165684.72</v>
      </c>
      <c r="DJ30" s="319">
        <v>151877.87</v>
      </c>
      <c r="DK30" s="362"/>
      <c r="DL30" s="753"/>
      <c r="DM30" s="753"/>
      <c r="DN30" s="753"/>
      <c r="DO30" s="753"/>
      <c r="DP30" s="39"/>
      <c r="DQ30" s="43" t="s">
        <v>14</v>
      </c>
      <c r="DR30" s="319">
        <v>16740</v>
      </c>
      <c r="DS30" s="319">
        <v>8716.44</v>
      </c>
      <c r="DT30" s="319">
        <v>17834.68</v>
      </c>
      <c r="DU30" s="319">
        <v>20256.88</v>
      </c>
      <c r="DV30" s="319">
        <v>29451.72</v>
      </c>
      <c r="DW30" s="319">
        <v>20738.78</v>
      </c>
      <c r="DX30" s="319">
        <v>0</v>
      </c>
      <c r="DY30" s="319">
        <v>0</v>
      </c>
      <c r="DZ30" s="319">
        <v>3967.81</v>
      </c>
      <c r="EA30" s="319">
        <v>21127.37</v>
      </c>
      <c r="EB30" s="319">
        <v>54782.18</v>
      </c>
      <c r="EC30" s="319">
        <v>59044.35</v>
      </c>
      <c r="ED30" s="319"/>
      <c r="EE30" s="319">
        <v>17599.84</v>
      </c>
      <c r="EF30" s="319">
        <v>32004.13</v>
      </c>
      <c r="EG30" s="319">
        <v>34050.83</v>
      </c>
      <c r="EH30" s="319">
        <v>30539.71</v>
      </c>
      <c r="EI30" s="362"/>
      <c r="EJ30" s="753"/>
      <c r="EK30" s="753"/>
      <c r="EL30" s="753"/>
      <c r="EM30" s="753"/>
      <c r="EN30" s="39"/>
      <c r="EO30" s="43" t="s">
        <v>14</v>
      </c>
      <c r="EP30" s="319">
        <v>8370</v>
      </c>
      <c r="EQ30" s="319">
        <v>17432.88</v>
      </c>
      <c r="ER30" s="319">
        <v>26752.02</v>
      </c>
      <c r="ES30" s="319">
        <v>131669.72</v>
      </c>
      <c r="ET30" s="319">
        <v>58903.44</v>
      </c>
      <c r="EU30" s="319">
        <v>41477.56</v>
      </c>
      <c r="EV30" s="319">
        <v>18359.14</v>
      </c>
      <c r="EW30" s="319">
        <v>154042.98000000001</v>
      </c>
      <c r="EX30" s="319">
        <v>99395.330000000016</v>
      </c>
      <c r="EY30" s="319">
        <v>99365.9</v>
      </c>
      <c r="EZ30" s="319">
        <v>82550.61</v>
      </c>
      <c r="FA30" s="319">
        <v>29098.160000000003</v>
      </c>
      <c r="FB30" s="319"/>
      <c r="FC30" s="319">
        <v>114129.57</v>
      </c>
      <c r="FD30" s="319">
        <v>36515.07</v>
      </c>
      <c r="FE30" s="319">
        <v>11546.82</v>
      </c>
      <c r="FF30" s="319">
        <v>2271293.5900000003</v>
      </c>
      <c r="FG30" s="362"/>
      <c r="FH30" s="362"/>
      <c r="FI30" s="362"/>
      <c r="FJ30" s="362"/>
      <c r="FK30" s="362"/>
      <c r="FM30" s="43" t="s">
        <v>14</v>
      </c>
      <c r="FN30" s="319">
        <v>237173</v>
      </c>
      <c r="FO30" s="319">
        <v>240599</v>
      </c>
      <c r="FP30" s="319">
        <v>269338</v>
      </c>
      <c r="FQ30" s="319">
        <v>346650</v>
      </c>
      <c r="FR30" s="319">
        <v>392035</v>
      </c>
      <c r="FS30" s="319">
        <v>119310</v>
      </c>
      <c r="FT30" s="319">
        <v>179355</v>
      </c>
      <c r="FU30" s="319">
        <v>287812</v>
      </c>
      <c r="FV30" s="319">
        <v>416456.38</v>
      </c>
      <c r="FW30" s="319">
        <v>632291.22</v>
      </c>
      <c r="FX30" s="319">
        <v>930413.09</v>
      </c>
      <c r="FY30" s="319">
        <v>1251816.68</v>
      </c>
      <c r="FZ30" s="319"/>
      <c r="GA30" s="319">
        <v>1731819.05</v>
      </c>
      <c r="GB30" s="319">
        <v>1873698.93</v>
      </c>
      <c r="GC30" s="319">
        <v>2012254.9</v>
      </c>
      <c r="GD30" s="319">
        <v>2018305.61</v>
      </c>
      <c r="GE30" s="319"/>
      <c r="GF30" s="756"/>
      <c r="GG30" s="756"/>
      <c r="GH30" s="756"/>
      <c r="GI30" s="756"/>
      <c r="GJ30" s="42"/>
      <c r="GK30" s="570" t="s">
        <v>14</v>
      </c>
      <c r="GL30" s="571">
        <f>FN30/'4GF Expenditures'!B31</f>
        <v>0.29802005204635668</v>
      </c>
      <c r="GM30" s="571">
        <f>FO30/'4GF Expenditures'!C31</f>
        <v>0.27711818921054387</v>
      </c>
      <c r="GN30" s="571">
        <f>FP30/'4GF Expenditures'!D31</f>
        <v>0.31209682558995128</v>
      </c>
      <c r="GO30" s="571">
        <f>FQ30/'4GF Expenditures'!E31</f>
        <v>0.37053783301907361</v>
      </c>
      <c r="GP30" s="571">
        <f>FR30/'4GF Expenditures'!F31</f>
        <v>0.41868917133644973</v>
      </c>
      <c r="GQ30" s="571">
        <f>FS30/'4GF Expenditures'!G31</f>
        <v>9.1099632348730405E-2</v>
      </c>
      <c r="GR30" s="571">
        <f>FT30/'4GF Expenditures'!H31</f>
        <v>0.20905965989558381</v>
      </c>
      <c r="GS30" s="571">
        <f>FU30/'4GF Expenditures'!I31</f>
        <v>0.29017694207793515</v>
      </c>
      <c r="GT30" s="571">
        <f>FV30/'4GF Expenditures'!J31</f>
        <v>0.44021577166042208</v>
      </c>
      <c r="GU30" s="571">
        <f>FW30/'4GF Expenditures'!K31</f>
        <v>0.58798910448406461</v>
      </c>
      <c r="GV30" s="571">
        <f>FX30/'4GF Expenditures'!L31</f>
        <v>0.73063358806806056</v>
      </c>
      <c r="GW30" s="571">
        <f>FY30/'4GF Expenditures'!M31</f>
        <v>1.4670630395198054</v>
      </c>
      <c r="GX30" s="571" t="e">
        <f>FZ30/'4GF Expenditures'!N31</f>
        <v>#DIV/0!</v>
      </c>
      <c r="GY30" s="571">
        <f>GA30/'4GF Expenditures'!O31</f>
        <v>1.7585993526622108</v>
      </c>
      <c r="GZ30" s="571">
        <f>GB30/'4GF Expenditures'!P31</f>
        <v>1.9419637324255394</v>
      </c>
      <c r="HA30" s="571">
        <f>GC30/'4GF Expenditures'!Q31</f>
        <v>2.0955270590488357</v>
      </c>
      <c r="HB30" s="571">
        <f>GD30/'4GF Expenditures'!R31</f>
        <v>0.57653395411629738</v>
      </c>
      <c r="HC30" s="571" t="e">
        <f>GE30/'4GF Expenditures'!S31</f>
        <v>#DIV/0!</v>
      </c>
      <c r="HD30" s="571">
        <f>GF30/'4GF Expenditures'!T31</f>
        <v>0</v>
      </c>
      <c r="HE30" s="571" t="e">
        <f>GG30/'4GF Expenditures'!U31</f>
        <v>#DIV/0!</v>
      </c>
      <c r="HF30" s="571" t="e">
        <f>GH30/'4GF Expenditures'!V31</f>
        <v>#DIV/0!</v>
      </c>
      <c r="HG30" s="571" t="e">
        <f>GI30/'4GF Expenditures'!W31</f>
        <v>#DIV/0!</v>
      </c>
      <c r="HH30" s="571"/>
      <c r="HI30" s="571"/>
      <c r="HJ30" s="571"/>
      <c r="HK30" s="568"/>
      <c r="HL30" s="567" t="s">
        <v>14</v>
      </c>
      <c r="HM30" s="571">
        <f>B30/'4GF Expenditures'!B31</f>
        <v>1.0517334754074052</v>
      </c>
      <c r="HN30" s="571">
        <f>C30/'4GF Expenditures'!C31</f>
        <v>1.0039460135588067</v>
      </c>
      <c r="HO30" s="571">
        <f>D30/'4GF Expenditures'!D31</f>
        <v>1.0333014675635432</v>
      </c>
      <c r="HP30" s="571">
        <f>E30/'4GF Expenditures'!E31</f>
        <v>1.0826396104034923</v>
      </c>
      <c r="HQ30" s="571">
        <f>F30/'4GF Expenditures'!F31</f>
        <v>1.0484706927725962</v>
      </c>
      <c r="HR30" s="571">
        <f>G30/'4GF Expenditures'!G31</f>
        <v>0.7917589612610858</v>
      </c>
      <c r="HS30" s="571">
        <f>H30/'4GF Expenditures'!H31</f>
        <v>1.0699884487121654</v>
      </c>
      <c r="HT30" s="571">
        <f>I30/'4GF Expenditures'!I31</f>
        <v>1.1093481877299995</v>
      </c>
      <c r="HU30" s="571">
        <f>J30/'4GF Expenditures'!J31</f>
        <v>1.1359839247861465</v>
      </c>
      <c r="HV30" s="571">
        <f>K30/'4GF Expenditures'!K31</f>
        <v>1.2679237967070165</v>
      </c>
      <c r="HW30" s="571">
        <f>L30/'4GF Expenditures'!L31</f>
        <v>1.2341087957944994</v>
      </c>
      <c r="HX30" s="571">
        <f>M30/'4GF Expenditures'!M31</f>
        <v>1.3766680338993227</v>
      </c>
      <c r="HY30" s="571" t="e">
        <f>N30/'4GF Expenditures'!N31</f>
        <v>#DIV/0!</v>
      </c>
      <c r="HZ30" s="571">
        <f>O30/'4GF Expenditures'!O31</f>
        <v>1.2001745378980186</v>
      </c>
      <c r="IA30" s="571">
        <f>P30/'4GF Expenditures'!P31</f>
        <v>1.147049014603903</v>
      </c>
      <c r="IB30" s="571">
        <f>Q30/'4GF Expenditures'!Q31</f>
        <v>1.1561514751261361</v>
      </c>
      <c r="IC30" s="571">
        <f>R30/'4GF Expenditures'!R31</f>
        <v>1.00183881912783</v>
      </c>
      <c r="ID30" s="573" t="e">
        <f>S30/'4GF Expenditures'!S31</f>
        <v>#DIV/0!</v>
      </c>
      <c r="IE30" s="572">
        <f>T30/'4GF Expenditures'!T31</f>
        <v>0</v>
      </c>
      <c r="IF30" s="572" t="e">
        <f>U30/'4GF Expenditures'!U31</f>
        <v>#DIV/0!</v>
      </c>
      <c r="IG30" s="572" t="e">
        <f>V30/'4GF Expenditures'!V31</f>
        <v>#DIV/0!</v>
      </c>
      <c r="IH30" s="572" t="e">
        <f>W30/'4GF Expenditures'!W31</f>
        <v>#DIV/0!</v>
      </c>
    </row>
    <row r="31" spans="1:242" ht="14">
      <c r="A31" s="43" t="s">
        <v>15</v>
      </c>
      <c r="B31" s="319">
        <v>955854</v>
      </c>
      <c r="C31" s="319">
        <v>1007577</v>
      </c>
      <c r="D31" s="319">
        <v>1213107</v>
      </c>
      <c r="E31" s="319">
        <v>1082223</v>
      </c>
      <c r="F31" s="319">
        <v>1128765</v>
      </c>
      <c r="G31" s="319">
        <v>1100179</v>
      </c>
      <c r="H31" s="319">
        <v>1219728</v>
      </c>
      <c r="I31" s="319">
        <v>1188611</v>
      </c>
      <c r="J31" s="319">
        <v>1310033.1499999999</v>
      </c>
      <c r="K31" s="319">
        <v>1152130.1400000001</v>
      </c>
      <c r="L31" s="319">
        <v>1115170.49</v>
      </c>
      <c r="M31" s="319">
        <v>1201484.03</v>
      </c>
      <c r="N31" s="319">
        <v>1857220.2000000002</v>
      </c>
      <c r="O31" s="319">
        <v>1563389.8800000001</v>
      </c>
      <c r="P31" s="319">
        <v>1789521.01</v>
      </c>
      <c r="Q31" s="319">
        <v>1593693.4699999997</v>
      </c>
      <c r="R31" s="319">
        <v>1609757.57</v>
      </c>
      <c r="S31" s="362">
        <v>2780847.48</v>
      </c>
      <c r="T31" s="362">
        <v>1874496.4300000002</v>
      </c>
      <c r="U31" s="362">
        <v>1959385.44</v>
      </c>
      <c r="V31" s="362">
        <v>1750867.6</v>
      </c>
      <c r="W31" s="362">
        <v>1779620</v>
      </c>
      <c r="X31" s="6"/>
      <c r="Y31" s="43" t="s">
        <v>15</v>
      </c>
      <c r="Z31" s="319">
        <v>248522.04</v>
      </c>
      <c r="AA31" s="319">
        <v>251894.25</v>
      </c>
      <c r="AB31" s="319">
        <v>266883.53999999998</v>
      </c>
      <c r="AC31" s="319">
        <v>259733.52</v>
      </c>
      <c r="AD31" s="319">
        <v>293478.90000000002</v>
      </c>
      <c r="AE31" s="319">
        <v>308050.12</v>
      </c>
      <c r="AF31" s="319">
        <v>304932</v>
      </c>
      <c r="AG31" s="319">
        <v>309038.86</v>
      </c>
      <c r="AH31" s="319">
        <v>309829.37</v>
      </c>
      <c r="AI31" s="319">
        <v>321404.59000000003</v>
      </c>
      <c r="AJ31" s="319">
        <v>320224.25999999995</v>
      </c>
      <c r="AK31" s="319">
        <v>360238.91</v>
      </c>
      <c r="AL31" s="319">
        <v>371059.85</v>
      </c>
      <c r="AM31" s="319">
        <v>409597.56</v>
      </c>
      <c r="AN31" s="319">
        <v>433105.34</v>
      </c>
      <c r="AO31" s="319">
        <v>544441.17000000004</v>
      </c>
      <c r="AP31" s="319">
        <v>538520.5</v>
      </c>
      <c r="AQ31" s="362">
        <v>600008.93999999994</v>
      </c>
      <c r="AR31" s="753">
        <v>592183.85</v>
      </c>
      <c r="AS31" s="753">
        <v>730238.89</v>
      </c>
      <c r="AT31" s="753">
        <v>655900.87</v>
      </c>
      <c r="AU31" s="753">
        <v>657700</v>
      </c>
      <c r="AV31" s="39"/>
      <c r="AW31" s="43" t="s">
        <v>15</v>
      </c>
      <c r="AX31" s="319">
        <v>210287.88</v>
      </c>
      <c r="AY31" s="319">
        <v>241818.48</v>
      </c>
      <c r="AZ31" s="319">
        <v>266883.53999999998</v>
      </c>
      <c r="BA31" s="319">
        <v>216444.6</v>
      </c>
      <c r="BB31" s="319">
        <v>259615.95</v>
      </c>
      <c r="BC31" s="319">
        <v>275044.75</v>
      </c>
      <c r="BD31" s="319">
        <v>353721.12</v>
      </c>
      <c r="BE31" s="319">
        <v>320924.96999999997</v>
      </c>
      <c r="BF31" s="319">
        <v>345621.97</v>
      </c>
      <c r="BG31" s="319">
        <v>349192.75</v>
      </c>
      <c r="BH31" s="319">
        <v>380793.42</v>
      </c>
      <c r="BI31" s="319">
        <v>384909.55</v>
      </c>
      <c r="BJ31" s="319">
        <v>862777.61</v>
      </c>
      <c r="BK31" s="319">
        <v>438162.5</v>
      </c>
      <c r="BL31" s="319">
        <v>726707.72</v>
      </c>
      <c r="BM31" s="319">
        <v>359470.11</v>
      </c>
      <c r="BN31" s="319">
        <v>415199.89</v>
      </c>
      <c r="BO31" s="362">
        <v>1513903.68</v>
      </c>
      <c r="BP31" s="753">
        <v>620858.14</v>
      </c>
      <c r="BQ31" s="753">
        <v>492645.29</v>
      </c>
      <c r="BR31" s="753">
        <v>462643.94</v>
      </c>
      <c r="BS31" s="753">
        <v>465000</v>
      </c>
      <c r="BT31" s="286"/>
      <c r="BU31" s="43" t="s">
        <v>15</v>
      </c>
      <c r="BV31" s="319">
        <v>267639.12</v>
      </c>
      <c r="BW31" s="319">
        <v>282121.56</v>
      </c>
      <c r="BX31" s="319">
        <v>424587.45</v>
      </c>
      <c r="BY31" s="319">
        <v>378778.05</v>
      </c>
      <c r="BZ31" s="319">
        <v>316054.2</v>
      </c>
      <c r="CA31" s="319">
        <v>220035.8</v>
      </c>
      <c r="CB31" s="319">
        <v>207353.76</v>
      </c>
      <c r="CC31" s="319">
        <v>154519.43</v>
      </c>
      <c r="CD31" s="319">
        <v>262794.33</v>
      </c>
      <c r="CE31" s="319">
        <v>102576.78</v>
      </c>
      <c r="CF31" s="319">
        <v>73454.849999999991</v>
      </c>
      <c r="CG31" s="319">
        <v>55131.460000000006</v>
      </c>
      <c r="CH31" s="319">
        <v>60799.539999999994</v>
      </c>
      <c r="CI31" s="319">
        <v>118364.29</v>
      </c>
      <c r="CJ31" s="319">
        <v>98584.56</v>
      </c>
      <c r="CK31" s="319">
        <v>86333.079999999987</v>
      </c>
      <c r="CL31" s="319">
        <v>75569.930000000008</v>
      </c>
      <c r="CM31" s="362">
        <v>81003.22</v>
      </c>
      <c r="CN31" s="753">
        <v>72253.11</v>
      </c>
      <c r="CO31" s="753">
        <v>108075.12</v>
      </c>
      <c r="CP31" s="753">
        <v>68453.109999999986</v>
      </c>
      <c r="CQ31" s="753">
        <v>75200</v>
      </c>
      <c r="CR31" s="39"/>
      <c r="CS31" s="43" t="s">
        <v>15</v>
      </c>
      <c r="CT31" s="319">
        <v>124261.02</v>
      </c>
      <c r="CU31" s="319">
        <v>110833.47</v>
      </c>
      <c r="CV31" s="319">
        <v>145572.84</v>
      </c>
      <c r="CW31" s="319">
        <v>151511.22</v>
      </c>
      <c r="CX31" s="319">
        <v>135451.79999999999</v>
      </c>
      <c r="CY31" s="319">
        <v>121019.69</v>
      </c>
      <c r="CZ31" s="319">
        <v>146367.35999999999</v>
      </c>
      <c r="DA31" s="319">
        <v>154519.43</v>
      </c>
      <c r="DB31" s="319">
        <v>139338.87999999998</v>
      </c>
      <c r="DC31" s="319">
        <v>141208.25</v>
      </c>
      <c r="DD31" s="319">
        <v>148542.19</v>
      </c>
      <c r="DE31" s="319">
        <v>163884.85999999999</v>
      </c>
      <c r="DF31" s="319">
        <v>317021.69</v>
      </c>
      <c r="DG31" s="319">
        <v>351005.82</v>
      </c>
      <c r="DH31" s="319">
        <v>335726</v>
      </c>
      <c r="DI31" s="319">
        <v>419019.75</v>
      </c>
      <c r="DJ31" s="319">
        <v>418169.59999999998</v>
      </c>
      <c r="DK31" s="362">
        <v>412120.07</v>
      </c>
      <c r="DL31" s="753">
        <v>425641.63</v>
      </c>
      <c r="DM31" s="753">
        <v>495262.83999999997</v>
      </c>
      <c r="DN31" s="753">
        <v>449328.2</v>
      </c>
      <c r="DO31" s="753">
        <v>455550</v>
      </c>
      <c r="DP31" s="39"/>
      <c r="DQ31" s="43" t="s">
        <v>15</v>
      </c>
      <c r="DR31" s="319">
        <v>28675.62</v>
      </c>
      <c r="DS31" s="319">
        <v>30227.31</v>
      </c>
      <c r="DT31" s="319">
        <v>24262.14</v>
      </c>
      <c r="DU31" s="319">
        <v>10822.23</v>
      </c>
      <c r="DV31" s="319">
        <v>11287.65</v>
      </c>
      <c r="DW31" s="319">
        <v>11001.79</v>
      </c>
      <c r="DX31" s="319">
        <v>0</v>
      </c>
      <c r="DY31" s="319">
        <v>0</v>
      </c>
      <c r="DZ31" s="319">
        <v>1790.87</v>
      </c>
      <c r="EA31" s="319">
        <v>8942.17</v>
      </c>
      <c r="EB31" s="319">
        <v>21052.15</v>
      </c>
      <c r="EC31" s="319">
        <v>22613.05</v>
      </c>
      <c r="ED31" s="319">
        <v>20020.689999999999</v>
      </c>
      <c r="EE31" s="319">
        <v>29830.34</v>
      </c>
      <c r="EF31" s="319">
        <v>29669.759999999998</v>
      </c>
      <c r="EG31" s="319">
        <v>33453.68</v>
      </c>
      <c r="EH31" s="319">
        <v>38624.11</v>
      </c>
      <c r="EI31" s="362">
        <v>44539.56</v>
      </c>
      <c r="EJ31" s="753">
        <v>52955.11</v>
      </c>
      <c r="EK31" s="753">
        <v>60475.19</v>
      </c>
      <c r="EL31" s="753">
        <v>66737.56</v>
      </c>
      <c r="EM31" s="753">
        <v>66750</v>
      </c>
      <c r="EN31" s="39"/>
      <c r="EO31" s="43" t="s">
        <v>15</v>
      </c>
      <c r="EP31" s="319">
        <v>76468.320000000007</v>
      </c>
      <c r="EQ31" s="319">
        <v>90681.93</v>
      </c>
      <c r="ER31" s="319">
        <v>84917.49</v>
      </c>
      <c r="ES31" s="319">
        <v>64933.38</v>
      </c>
      <c r="ET31" s="319">
        <v>112876.5</v>
      </c>
      <c r="EU31" s="319">
        <v>165026.85</v>
      </c>
      <c r="EV31" s="319">
        <v>207353.76</v>
      </c>
      <c r="EW31" s="319">
        <v>249608.31</v>
      </c>
      <c r="EX31" s="319">
        <v>209937.47</v>
      </c>
      <c r="EY31" s="319">
        <v>162732.36000000002</v>
      </c>
      <c r="EZ31" s="319">
        <v>104963.94</v>
      </c>
      <c r="FA31" s="319">
        <v>148652.40000000002</v>
      </c>
      <c r="FB31" s="319">
        <v>159540.82000000004</v>
      </c>
      <c r="FC31" s="319">
        <v>170428.64999999997</v>
      </c>
      <c r="FD31" s="319">
        <v>165443.43000000002</v>
      </c>
      <c r="FE31" s="319">
        <v>150930.47000000003</v>
      </c>
      <c r="FF31" s="319">
        <v>123673.54000000001</v>
      </c>
      <c r="FG31" s="362">
        <v>129159.80000000002</v>
      </c>
      <c r="FH31" s="362">
        <v>110604.59</v>
      </c>
      <c r="FI31" s="362">
        <v>72688.110000000015</v>
      </c>
      <c r="FJ31" s="362">
        <v>47803.92</v>
      </c>
      <c r="FK31" s="362">
        <v>59420</v>
      </c>
      <c r="FM31" s="43" t="s">
        <v>15</v>
      </c>
      <c r="FN31" s="319">
        <v>457562</v>
      </c>
      <c r="FO31" s="319">
        <v>403616</v>
      </c>
      <c r="FP31" s="319">
        <v>386568</v>
      </c>
      <c r="FQ31" s="319">
        <v>131689</v>
      </c>
      <c r="FR31" s="319">
        <v>56541</v>
      </c>
      <c r="FS31" s="319">
        <v>91</v>
      </c>
      <c r="FT31" s="319">
        <v>29789</v>
      </c>
      <c r="FU31" s="319">
        <v>30823</v>
      </c>
      <c r="FV31" s="319">
        <v>38763.879999999888</v>
      </c>
      <c r="FW31" s="319">
        <v>165297.59</v>
      </c>
      <c r="FX31" s="319">
        <v>206702.68</v>
      </c>
      <c r="FY31" s="319">
        <v>291051.89</v>
      </c>
      <c r="FZ31" s="319">
        <v>833591.57</v>
      </c>
      <c r="GA31" s="319">
        <v>1099331.25</v>
      </c>
      <c r="GB31" s="319">
        <v>1459715.23</v>
      </c>
      <c r="GC31" s="319"/>
      <c r="GD31" s="319">
        <v>1830977.85</v>
      </c>
      <c r="GE31" s="319"/>
      <c r="GF31" s="756">
        <v>3874978.49</v>
      </c>
      <c r="GG31" s="756">
        <v>4381545.6500000004</v>
      </c>
      <c r="GH31" s="756">
        <v>4743830.33</v>
      </c>
      <c r="GI31" s="756">
        <v>4519332.33</v>
      </c>
      <c r="GJ31" s="42"/>
      <c r="GK31" s="570" t="s">
        <v>15</v>
      </c>
      <c r="GL31" s="571">
        <f>FN31/'4GF Expenditures'!B32</f>
        <v>0.52164386185322076</v>
      </c>
      <c r="GM31" s="571">
        <f>FO31/'4GF Expenditures'!C32</f>
        <v>0.38022350905255942</v>
      </c>
      <c r="GN31" s="571">
        <f>FP31/'4GF Expenditures'!D32</f>
        <v>0.31424332706041108</v>
      </c>
      <c r="GO31" s="571">
        <f>FQ31/'4GF Expenditures'!E32</f>
        <v>9.8488372614804254E-2</v>
      </c>
      <c r="GP31" s="571">
        <f>FR31/'4GF Expenditures'!F32</f>
        <v>4.6964357059023368E-2</v>
      </c>
      <c r="GQ31" s="571">
        <f>FS31/'4GF Expenditures'!G32</f>
        <v>7.8676845663695392E-5</v>
      </c>
      <c r="GR31" s="571">
        <f>FT31/'4GF Expenditures'!H32</f>
        <v>2.5032163081740024E-2</v>
      </c>
      <c r="GS31" s="571">
        <f>FU31/'4GF Expenditures'!I32</f>
        <v>2.5954527580106385E-2</v>
      </c>
      <c r="GT31" s="571">
        <f>FV31/'4GF Expenditures'!J32</f>
        <v>2.977045414283324E-2</v>
      </c>
      <c r="GU31" s="571">
        <f>FW31/'4GF Expenditures'!K32</f>
        <v>0.16117215813631489</v>
      </c>
      <c r="GV31" s="571">
        <f>FX31/'4GF Expenditures'!L32</f>
        <v>0.19250264536368933</v>
      </c>
      <c r="GW31" s="571">
        <f>FY31/'4GF Expenditures'!M32</f>
        <v>0.26053425673366798</v>
      </c>
      <c r="GX31" s="571">
        <f>FZ31/'4GF Expenditures'!N32</f>
        <v>0.63424640808878086</v>
      </c>
      <c r="GY31" s="571">
        <f>GA31/'4GF Expenditures'!O32</f>
        <v>0.84717530629009508</v>
      </c>
      <c r="GZ31" s="571">
        <f>GB31/'4GF Expenditures'!P32</f>
        <v>1.0211210712301009</v>
      </c>
      <c r="HA31" s="571">
        <f>GC31/'4GF Expenditures'!Q32</f>
        <v>0</v>
      </c>
      <c r="HB31" s="571">
        <f>GD31/'4GF Expenditures'!R32</f>
        <v>1.3259000325178925</v>
      </c>
      <c r="HC31" s="571">
        <f>GE31/'4GF Expenditures'!S32</f>
        <v>0</v>
      </c>
      <c r="HD31" s="571">
        <f>GF31/'4GF Expenditures'!T32</f>
        <v>2.9520020467124652</v>
      </c>
      <c r="HE31" s="571">
        <f>GG31/'4GF Expenditures'!U32</f>
        <v>3.0158938046952435</v>
      </c>
      <c r="HF31" s="571">
        <f>GH31/'4GF Expenditures'!V32</f>
        <v>3.416310442591358</v>
      </c>
      <c r="HG31" s="571">
        <f>GI31/'4GF Expenditures'!W32</f>
        <v>2.2550230724937355</v>
      </c>
      <c r="HH31" s="571"/>
      <c r="HI31" s="571"/>
      <c r="HJ31" s="571"/>
      <c r="HK31" s="568"/>
      <c r="HL31" s="567" t="s">
        <v>15</v>
      </c>
      <c r="HM31" s="571">
        <f>B31/'4GF Expenditures'!B32</f>
        <v>1.0897219872451132</v>
      </c>
      <c r="HN31" s="571">
        <f>C31/'4GF Expenditures'!C32</f>
        <v>0.94918056415169527</v>
      </c>
      <c r="HO31" s="571">
        <f>D31/'4GF Expenditures'!D32</f>
        <v>0.98614158378415728</v>
      </c>
      <c r="HP31" s="571">
        <f>E31/'4GF Expenditures'!E32</f>
        <v>0.809379538733769</v>
      </c>
      <c r="HQ31" s="571">
        <f>F31/'4GF Expenditures'!F32</f>
        <v>0.93758020720766366</v>
      </c>
      <c r="HR31" s="571">
        <f>G31/'4GF Expenditures'!G32</f>
        <v>0.95119355368613989</v>
      </c>
      <c r="HS31" s="571">
        <f>H31/'4GF Expenditures'!H32</f>
        <v>1.0249565346726845</v>
      </c>
      <c r="HT31" s="571">
        <f>I31/'4GF Expenditures'!I32</f>
        <v>1.000870680385356</v>
      </c>
      <c r="HU31" s="571">
        <f>J31/'4GF Expenditures'!J32</f>
        <v>1.0060985076227273</v>
      </c>
      <c r="HV31" s="571">
        <f>K31/'4GF Expenditures'!K32</f>
        <v>1.1233757317193471</v>
      </c>
      <c r="HW31" s="571">
        <f>L31/'4GF Expenditures'!L32</f>
        <v>1.038560648350189</v>
      </c>
      <c r="HX31" s="571">
        <f>M31/'4GF Expenditures'!M32</f>
        <v>1.075504951139201</v>
      </c>
      <c r="HY31" s="571">
        <f>N31/'4GF Expenditures'!N32</f>
        <v>1.4130843968106916</v>
      </c>
      <c r="HZ31" s="571">
        <f>O31/'4GF Expenditures'!O32</f>
        <v>1.2047918227011514</v>
      </c>
      <c r="IA31" s="571">
        <f>P31/'4GF Expenditures'!P32</f>
        <v>1.2518315717785393</v>
      </c>
      <c r="IB31" s="571">
        <f>Q31/'4GF Expenditures'!Q32</f>
        <v>1.0981474417232013</v>
      </c>
      <c r="IC31" s="571">
        <f>R31/'4GF Expenditures'!R32</f>
        <v>1.1657036781788068</v>
      </c>
      <c r="ID31" s="573">
        <f>S31/'4GF Expenditures'!S32</f>
        <v>2.1412842306926709</v>
      </c>
      <c r="IE31" s="572">
        <f>T31/'4GF Expenditures'!T32</f>
        <v>1.4280123908288351</v>
      </c>
      <c r="IF31" s="572">
        <f>U31/'4GF Expenditures'!U32</f>
        <v>1.3486789552234981</v>
      </c>
      <c r="IG31" s="572">
        <f>V31/'4GF Expenditures'!V32</f>
        <v>1.2609024457826401</v>
      </c>
      <c r="IH31" s="572">
        <f>W31/'4GF Expenditures'!W32</f>
        <v>0.88798164579131567</v>
      </c>
    </row>
    <row r="32" spans="1:242" ht="14">
      <c r="A32" s="43" t="s">
        <v>16</v>
      </c>
      <c r="B32" s="319">
        <v>707584</v>
      </c>
      <c r="C32" s="319">
        <v>784839</v>
      </c>
      <c r="D32" s="319">
        <v>727877</v>
      </c>
      <c r="E32" s="319">
        <v>820146</v>
      </c>
      <c r="F32" s="319">
        <v>759164</v>
      </c>
      <c r="G32" s="319">
        <v>869194</v>
      </c>
      <c r="H32" s="319">
        <v>1004039</v>
      </c>
      <c r="I32" s="319">
        <v>946191</v>
      </c>
      <c r="J32" s="319">
        <v>930390.3600000001</v>
      </c>
      <c r="K32" s="319">
        <v>979758.75</v>
      </c>
      <c r="L32" s="319">
        <v>981922.19000000018</v>
      </c>
      <c r="M32" s="319">
        <v>794067.25</v>
      </c>
      <c r="N32" s="319">
        <v>825581.10000000009</v>
      </c>
      <c r="O32" s="319">
        <v>795342.05</v>
      </c>
      <c r="P32" s="319">
        <v>856991.86999999988</v>
      </c>
      <c r="Q32" s="319">
        <v>884904.07</v>
      </c>
      <c r="R32" s="319">
        <v>909430.13</v>
      </c>
      <c r="S32" s="362">
        <v>919963.9800000001</v>
      </c>
      <c r="T32" s="362">
        <v>950081.28</v>
      </c>
      <c r="U32" s="362">
        <v>1007923.66</v>
      </c>
      <c r="V32" s="362">
        <v>1099457.47</v>
      </c>
      <c r="W32" s="362">
        <v>1065829.99</v>
      </c>
      <c r="X32" s="6"/>
      <c r="Y32" s="43" t="s">
        <v>16</v>
      </c>
      <c r="Z32" s="319">
        <v>212275.20000000001</v>
      </c>
      <c r="AA32" s="319">
        <v>251148.48</v>
      </c>
      <c r="AB32" s="319">
        <v>218363.1</v>
      </c>
      <c r="AC32" s="319">
        <v>246043.8</v>
      </c>
      <c r="AD32" s="319">
        <v>258115.76</v>
      </c>
      <c r="AE32" s="319">
        <v>278142.08000000002</v>
      </c>
      <c r="AF32" s="319">
        <v>271090.53000000003</v>
      </c>
      <c r="AG32" s="319">
        <v>255471.57</v>
      </c>
      <c r="AH32" s="319">
        <v>263814.8</v>
      </c>
      <c r="AI32" s="319">
        <v>264293.19</v>
      </c>
      <c r="AJ32" s="319">
        <v>279531.96000000002</v>
      </c>
      <c r="AK32" s="319">
        <v>295071.17000000004</v>
      </c>
      <c r="AL32" s="319">
        <v>304787.83</v>
      </c>
      <c r="AM32" s="319">
        <v>306656.65999999997</v>
      </c>
      <c r="AN32" s="319">
        <v>329804.64999999997</v>
      </c>
      <c r="AO32" s="319">
        <v>323837.84999999998</v>
      </c>
      <c r="AP32" s="319">
        <v>355814.41000000003</v>
      </c>
      <c r="AQ32" s="362">
        <v>337822.65</v>
      </c>
      <c r="AR32" s="753">
        <v>319572.07</v>
      </c>
      <c r="AS32" s="753">
        <v>331691.12</v>
      </c>
      <c r="AT32" s="753">
        <v>366580.20999999996</v>
      </c>
      <c r="AU32" s="753">
        <v>356000</v>
      </c>
      <c r="AV32" s="39"/>
      <c r="AW32" s="43" t="s">
        <v>16</v>
      </c>
      <c r="AX32" s="319">
        <v>155668.48000000001</v>
      </c>
      <c r="AY32" s="319">
        <v>172664.58</v>
      </c>
      <c r="AZ32" s="319">
        <v>174690.48</v>
      </c>
      <c r="BA32" s="319">
        <v>180432.12</v>
      </c>
      <c r="BB32" s="319">
        <v>189791</v>
      </c>
      <c r="BC32" s="319">
        <v>191222.68</v>
      </c>
      <c r="BD32" s="319">
        <v>220888.58</v>
      </c>
      <c r="BE32" s="319">
        <v>208162.02</v>
      </c>
      <c r="BF32" s="319">
        <v>223060.59</v>
      </c>
      <c r="BG32" s="319">
        <v>216740.94</v>
      </c>
      <c r="BH32" s="319">
        <v>221482</v>
      </c>
      <c r="BI32" s="319">
        <v>257058.72</v>
      </c>
      <c r="BJ32" s="319">
        <v>260508.83</v>
      </c>
      <c r="BK32" s="319">
        <v>261932.37</v>
      </c>
      <c r="BL32" s="319">
        <v>271962.58</v>
      </c>
      <c r="BM32" s="319">
        <v>294594.98</v>
      </c>
      <c r="BN32" s="319">
        <v>284319.51</v>
      </c>
      <c r="BO32" s="362">
        <v>287942.77</v>
      </c>
      <c r="BP32" s="753">
        <v>329989.06</v>
      </c>
      <c r="BQ32" s="753">
        <v>340871.6</v>
      </c>
      <c r="BR32" s="753">
        <v>328973.81</v>
      </c>
      <c r="BS32" s="753">
        <v>330000</v>
      </c>
      <c r="BT32" s="286"/>
      <c r="BU32" s="43" t="s">
        <v>16</v>
      </c>
      <c r="BV32" s="319">
        <v>84910.080000000002</v>
      </c>
      <c r="BW32" s="319">
        <v>117725.85</v>
      </c>
      <c r="BX32" s="319">
        <v>101902.78</v>
      </c>
      <c r="BY32" s="319">
        <v>123021.9</v>
      </c>
      <c r="BZ32" s="319">
        <v>68324.759999999995</v>
      </c>
      <c r="CA32" s="319">
        <v>86919.4</v>
      </c>
      <c r="CB32" s="319">
        <v>140565.46</v>
      </c>
      <c r="CC32" s="319">
        <v>132466.74</v>
      </c>
      <c r="CD32" s="319">
        <v>116275.39</v>
      </c>
      <c r="CE32" s="319">
        <v>98110.639999999985</v>
      </c>
      <c r="CF32" s="319">
        <v>97945.66</v>
      </c>
      <c r="CG32" s="319">
        <v>1520.97</v>
      </c>
      <c r="CH32" s="319">
        <v>2056.1</v>
      </c>
      <c r="CI32" s="319">
        <v>2904.64</v>
      </c>
      <c r="CJ32" s="319">
        <v>3726.06</v>
      </c>
      <c r="CK32" s="319">
        <v>3859.47</v>
      </c>
      <c r="CL32" s="319">
        <v>3921.85</v>
      </c>
      <c r="CM32" s="362">
        <v>1904.84</v>
      </c>
      <c r="CN32" s="753">
        <v>566.36</v>
      </c>
      <c r="CO32" s="753">
        <v>516.79</v>
      </c>
      <c r="CP32" s="753">
        <v>605.88</v>
      </c>
      <c r="CQ32" s="753">
        <v>600</v>
      </c>
      <c r="CR32" s="39"/>
      <c r="CS32" s="43" t="s">
        <v>16</v>
      </c>
      <c r="CT32" s="319">
        <v>127365.12</v>
      </c>
      <c r="CU32" s="319">
        <v>141271.01999999999</v>
      </c>
      <c r="CV32" s="319">
        <v>145575.4</v>
      </c>
      <c r="CW32" s="319">
        <v>147626.28</v>
      </c>
      <c r="CX32" s="319">
        <v>144241.16</v>
      </c>
      <c r="CY32" s="319">
        <v>217298.5</v>
      </c>
      <c r="CZ32" s="319">
        <v>220888.58</v>
      </c>
      <c r="DA32" s="319">
        <v>141928.65</v>
      </c>
      <c r="DB32" s="319">
        <v>138485.82</v>
      </c>
      <c r="DC32" s="319">
        <v>140841.24</v>
      </c>
      <c r="DD32" s="319">
        <v>138072.54999999999</v>
      </c>
      <c r="DE32" s="319">
        <v>137213.32</v>
      </c>
      <c r="DF32" s="319">
        <v>141352.52000000002</v>
      </c>
      <c r="DG32" s="319">
        <v>139091.58000000002</v>
      </c>
      <c r="DH32" s="319">
        <v>142090.66</v>
      </c>
      <c r="DI32" s="319">
        <v>147542.09999999998</v>
      </c>
      <c r="DJ32" s="319">
        <v>156922.31</v>
      </c>
      <c r="DK32" s="362">
        <v>157094.26</v>
      </c>
      <c r="DL32" s="753">
        <v>147723.06</v>
      </c>
      <c r="DM32" s="753">
        <v>159776.4</v>
      </c>
      <c r="DN32" s="753">
        <v>172648.07</v>
      </c>
      <c r="DO32" s="753">
        <v>167760</v>
      </c>
      <c r="DP32" s="39"/>
      <c r="DQ32" s="43" t="s">
        <v>16</v>
      </c>
      <c r="DR32" s="319">
        <v>14151.68</v>
      </c>
      <c r="DS32" s="319">
        <v>15696.78</v>
      </c>
      <c r="DT32" s="319">
        <v>7278.77</v>
      </c>
      <c r="DU32" s="319">
        <v>8201.4599999999991</v>
      </c>
      <c r="DV32" s="319">
        <v>7591.64</v>
      </c>
      <c r="DW32" s="319">
        <v>8691.94</v>
      </c>
      <c r="DX32" s="319">
        <v>10040.39</v>
      </c>
      <c r="DY32" s="319">
        <v>9461.91</v>
      </c>
      <c r="DZ32" s="319">
        <v>3095.18</v>
      </c>
      <c r="EA32" s="319">
        <v>1841.61</v>
      </c>
      <c r="EB32" s="319">
        <v>1377.48</v>
      </c>
      <c r="EC32" s="319">
        <v>4836.72</v>
      </c>
      <c r="ED32" s="319">
        <v>8016.16</v>
      </c>
      <c r="EE32" s="319">
        <v>8613.67</v>
      </c>
      <c r="EF32" s="319">
        <v>10508.21</v>
      </c>
      <c r="EG32" s="319">
        <v>10335.09</v>
      </c>
      <c r="EH32" s="319">
        <v>7961.43</v>
      </c>
      <c r="EI32" s="362">
        <v>5921.73</v>
      </c>
      <c r="EJ32" s="753">
        <v>7018.42</v>
      </c>
      <c r="EK32" s="753">
        <v>9262.43</v>
      </c>
      <c r="EL32" s="753">
        <v>10346.549999999999</v>
      </c>
      <c r="EM32" s="753">
        <v>10000</v>
      </c>
      <c r="EN32" s="39"/>
      <c r="EO32" s="43" t="s">
        <v>16</v>
      </c>
      <c r="EP32" s="319">
        <v>113213.44</v>
      </c>
      <c r="EQ32" s="319">
        <v>86332.29</v>
      </c>
      <c r="ER32" s="319">
        <v>80066.47</v>
      </c>
      <c r="ES32" s="319">
        <v>114820.44</v>
      </c>
      <c r="ET32" s="319">
        <v>91099.68</v>
      </c>
      <c r="EU32" s="319">
        <v>86919.4</v>
      </c>
      <c r="EV32" s="319">
        <v>140565.46</v>
      </c>
      <c r="EW32" s="319">
        <v>198700.11</v>
      </c>
      <c r="EX32" s="319">
        <v>136616.92000000001</v>
      </c>
      <c r="EY32" s="319">
        <v>158426.82999999999</v>
      </c>
      <c r="EZ32" s="319">
        <v>156604.36000000002</v>
      </c>
      <c r="FA32" s="319">
        <v>12786.349999999999</v>
      </c>
      <c r="FB32" s="319">
        <v>23489.82</v>
      </c>
      <c r="FC32" s="319">
        <v>10230.640000000001</v>
      </c>
      <c r="FD32" s="319">
        <v>24590.92</v>
      </c>
      <c r="FE32" s="319">
        <v>19454.230000000003</v>
      </c>
      <c r="FF32" s="319">
        <v>29806.809999999998</v>
      </c>
      <c r="FG32" s="362">
        <v>24775.67</v>
      </c>
      <c r="FH32" s="362">
        <v>35553.869999999995</v>
      </c>
      <c r="FI32" s="362">
        <v>82881.260000000009</v>
      </c>
      <c r="FJ32" s="362">
        <v>96046.35</v>
      </c>
      <c r="FK32" s="362">
        <v>80985.5</v>
      </c>
      <c r="FM32" s="43" t="s">
        <v>16</v>
      </c>
      <c r="FN32" s="319">
        <v>1994</v>
      </c>
      <c r="FO32" s="319">
        <v>2440</v>
      </c>
      <c r="FP32" s="319">
        <v>3664</v>
      </c>
      <c r="FQ32" s="319">
        <v>43149</v>
      </c>
      <c r="FR32" s="319">
        <v>35895</v>
      </c>
      <c r="FS32" s="319">
        <v>281</v>
      </c>
      <c r="FT32" s="319">
        <v>236</v>
      </c>
      <c r="FU32" s="319">
        <v>2268</v>
      </c>
      <c r="FV32" s="319">
        <v>-1898.7600000000093</v>
      </c>
      <c r="FW32" s="319">
        <v>-45816.36</v>
      </c>
      <c r="FX32" s="319">
        <v>-20027.650000000001</v>
      </c>
      <c r="FY32" s="319">
        <v>90260.54</v>
      </c>
      <c r="FZ32" s="319">
        <v>168374.52</v>
      </c>
      <c r="GA32" s="319">
        <v>111884.73</v>
      </c>
      <c r="GB32" s="319">
        <v>91339.78</v>
      </c>
      <c r="GC32" s="319">
        <v>20164.080000000002</v>
      </c>
      <c r="GD32" s="319">
        <v>1077.07</v>
      </c>
      <c r="GE32" s="319">
        <v>3010.99</v>
      </c>
      <c r="GF32" s="756">
        <v>43889.120000000003</v>
      </c>
      <c r="GG32" s="756">
        <v>68075.12</v>
      </c>
      <c r="GH32" s="756">
        <v>177119.39999999979</v>
      </c>
      <c r="GI32" s="756">
        <v>71986.469999999972</v>
      </c>
      <c r="GJ32" s="42"/>
      <c r="GK32" s="570" t="s">
        <v>16</v>
      </c>
      <c r="GL32" s="571">
        <f>FN32/'4GF Expenditures'!B33</f>
        <v>2.8099942221783795E-3</v>
      </c>
      <c r="GM32" s="571">
        <f>FO32/'4GF Expenditures'!C33</f>
        <v>3.1106855874542482E-3</v>
      </c>
      <c r="GN32" s="571">
        <f>FP32/'4GF Expenditures'!D33</f>
        <v>5.0422966670474077E-3</v>
      </c>
      <c r="GO32" s="571">
        <f>FQ32/'4GF Expenditures'!E33</f>
        <v>5.527239096099331E-2</v>
      </c>
      <c r="GP32" s="571">
        <f>FR32/'4GF Expenditures'!F33</f>
        <v>4.6834755968675056E-2</v>
      </c>
      <c r="GQ32" s="571">
        <f>FS32/'4GF Expenditures'!G33</f>
        <v>3.1056312499447395E-4</v>
      </c>
      <c r="GR32" s="571">
        <f>FT32/'4GF Expenditures'!H33</f>
        <v>2.3504009624692756E-4</v>
      </c>
      <c r="GS32" s="571">
        <f>FU32/'4GF Expenditures'!I33</f>
        <v>2.4021352313167259E-3</v>
      </c>
      <c r="GT32" s="571">
        <f>FV32/'4GF Expenditures'!J33</f>
        <v>-2.0317216120657542E-3</v>
      </c>
      <c r="GU32" s="571">
        <f>FW32/'4GF Expenditures'!K33</f>
        <v>-4.4756685059687079E-2</v>
      </c>
      <c r="GV32" s="571">
        <f>FX32/'4GF Expenditures'!L33</f>
        <v>-2.0946500063986885E-2</v>
      </c>
      <c r="GW32" s="571">
        <f>FY32/'4GF Expenditures'!M33</f>
        <v>0.13200249215002285</v>
      </c>
      <c r="GX32" s="571">
        <f>FZ32/'4GF Expenditures'!N33</f>
        <v>0.2261464782751556</v>
      </c>
      <c r="GY32" s="571">
        <f>GA32/'4GF Expenditures'!O33</f>
        <v>0.13134604801990704</v>
      </c>
      <c r="GZ32" s="571">
        <f>GB32/'4GF Expenditures'!P33</f>
        <v>0.10408654989542204</v>
      </c>
      <c r="HA32" s="571">
        <f>GC32/'4GF Expenditures'!Q33</f>
        <v>2.109037408039708E-2</v>
      </c>
      <c r="HB32" s="571">
        <f>GD32/'4GF Expenditures'!R33</f>
        <v>1.1599893567931336E-3</v>
      </c>
      <c r="HC32" s="571">
        <f>GE32/'4GF Expenditures'!S33</f>
        <v>3.1343858499257938E-3</v>
      </c>
      <c r="HD32" s="571">
        <f>GF32/'4GF Expenditures'!T33</f>
        <v>4.8272072088619583E-2</v>
      </c>
      <c r="HE32" s="571">
        <f>GG32/'4GF Expenditures'!U33</f>
        <v>6.920118521420858E-2</v>
      </c>
      <c r="HF32" s="571">
        <f>GH32/'4GF Expenditures'!V33</f>
        <v>0.17883384610416969</v>
      </c>
      <c r="HG32" s="571">
        <f>GI32/'4GF Expenditures'!W33</f>
        <v>6.1476301913983726E-2</v>
      </c>
      <c r="HH32" s="571"/>
      <c r="HI32" s="571"/>
      <c r="HJ32" s="571"/>
      <c r="HK32" s="568"/>
      <c r="HL32" s="567" t="s">
        <v>16</v>
      </c>
      <c r="HM32" s="571">
        <f>B32/'4GF Expenditures'!B33</f>
        <v>0.99714491058468735</v>
      </c>
      <c r="HN32" s="571">
        <f>C32/'4GF Expenditures'!C33</f>
        <v>1.00056859252951</v>
      </c>
      <c r="HO32" s="571">
        <f>D32/'4GF Expenditures'!D33</f>
        <v>1.0016844353494723</v>
      </c>
      <c r="HP32" s="571">
        <f>E32/'4GF Expenditures'!E33</f>
        <v>1.0505789324687669</v>
      </c>
      <c r="HQ32" s="571">
        <f>F32/'4GF Expenditures'!F33</f>
        <v>0.99053519097933507</v>
      </c>
      <c r="HR32" s="571">
        <f>G32/'4GF Expenditures'!G33</f>
        <v>0.96063916322578935</v>
      </c>
      <c r="HS32" s="571">
        <f>H32/'4GF Expenditures'!H33</f>
        <v>0.99995518303249531</v>
      </c>
      <c r="HT32" s="571">
        <f>I32/'4GF Expenditures'!I33</f>
        <v>1.0021511184544993</v>
      </c>
      <c r="HU32" s="571">
        <f>J32/'4GF Expenditures'!J33</f>
        <v>0.99554140706020156</v>
      </c>
      <c r="HV32" s="571">
        <f>K32/'4GF Expenditures'!K33</f>
        <v>0.95709815900308726</v>
      </c>
      <c r="HW32" s="571">
        <f>L32/'4GF Expenditures'!L33</f>
        <v>1.0269718721699821</v>
      </c>
      <c r="HX32" s="571">
        <f>M32/'4GF Expenditures'!M33</f>
        <v>1.161292143108331</v>
      </c>
      <c r="HY32" s="571">
        <f>N32/'4GF Expenditures'!N33</f>
        <v>1.1088510203059769</v>
      </c>
      <c r="HZ32" s="571">
        <f>O32/'4GF Expenditures'!O33</f>
        <v>0.93368447232746876</v>
      </c>
      <c r="IA32" s="571">
        <f>P32/'4GF Expenditures'!P33</f>
        <v>0.97658793393991128</v>
      </c>
      <c r="IB32" s="571">
        <f>Q32/'4GF Expenditures'!Q33</f>
        <v>0.92555464278885424</v>
      </c>
      <c r="IC32" s="571">
        <f>R32/'4GF Expenditures'!R33</f>
        <v>0.97944355663698357</v>
      </c>
      <c r="ID32" s="573">
        <f>S32/'4GF Expenditures'!S33</f>
        <v>0.95766577815051412</v>
      </c>
      <c r="IE32" s="572">
        <f>T32/'4GF Expenditures'!T33</f>
        <v>1.044960391965206</v>
      </c>
      <c r="IF32" s="572">
        <f>U32/'4GF Expenditures'!U33</f>
        <v>1.0245962383532046</v>
      </c>
      <c r="IG32" s="572">
        <f>V32/'4GF Expenditures'!V33</f>
        <v>1.1100997857268036</v>
      </c>
      <c r="IH32" s="572">
        <f>W32/'4GF Expenditures'!W33</f>
        <v>0.91021668730552119</v>
      </c>
    </row>
    <row r="33" spans="1:242" ht="14">
      <c r="A33" s="43" t="s">
        <v>17</v>
      </c>
      <c r="B33" s="319">
        <v>1291011</v>
      </c>
      <c r="C33" s="319">
        <v>1333119</v>
      </c>
      <c r="D33" s="319">
        <v>1410766</v>
      </c>
      <c r="E33" s="319">
        <v>1531970</v>
      </c>
      <c r="F33" s="319">
        <v>1606196</v>
      </c>
      <c r="G33" s="319">
        <v>1759331</v>
      </c>
      <c r="H33" s="319">
        <v>1747174</v>
      </c>
      <c r="I33" s="319">
        <v>1903933</v>
      </c>
      <c r="J33" s="319">
        <v>2129816.54</v>
      </c>
      <c r="K33" s="319">
        <v>2077884.96</v>
      </c>
      <c r="L33" s="319">
        <v>2027090.54</v>
      </c>
      <c r="M33" s="319">
        <v>2156285.19</v>
      </c>
      <c r="N33" s="319">
        <v>2489534.7800000003</v>
      </c>
      <c r="O33" s="319">
        <v>2222740</v>
      </c>
      <c r="P33" s="319">
        <v>2529549.2699999996</v>
      </c>
      <c r="Q33" s="319">
        <v>2394149.7100000004</v>
      </c>
      <c r="R33" s="319">
        <v>2586718.13</v>
      </c>
      <c r="S33" s="362">
        <v>2447781.23</v>
      </c>
      <c r="T33" s="362">
        <v>2792814.29</v>
      </c>
      <c r="U33" s="362">
        <v>2379967.9299999997</v>
      </c>
      <c r="V33" s="362">
        <v>2716740.18</v>
      </c>
      <c r="W33" s="362">
        <v>1979013</v>
      </c>
      <c r="X33" s="6"/>
      <c r="Y33" s="43" t="s">
        <v>17</v>
      </c>
      <c r="Z33" s="319">
        <v>245292.09</v>
      </c>
      <c r="AA33" s="319">
        <v>319948.56</v>
      </c>
      <c r="AB33" s="319">
        <v>338583.84</v>
      </c>
      <c r="AC33" s="319">
        <v>291074.3</v>
      </c>
      <c r="AD33" s="319">
        <v>321239.2</v>
      </c>
      <c r="AE33" s="319">
        <v>369459.51</v>
      </c>
      <c r="AF33" s="319">
        <v>366906.54</v>
      </c>
      <c r="AG33" s="319">
        <v>380786.6</v>
      </c>
      <c r="AH33" s="319">
        <v>446809.23000000004</v>
      </c>
      <c r="AI33" s="319">
        <v>465779.91000000003</v>
      </c>
      <c r="AJ33" s="319">
        <v>529343.73</v>
      </c>
      <c r="AK33" s="319">
        <v>444598.27999999997</v>
      </c>
      <c r="AL33" s="319">
        <v>550256.47</v>
      </c>
      <c r="AM33" s="319">
        <v>560355.88</v>
      </c>
      <c r="AN33" s="319">
        <v>787904.47</v>
      </c>
      <c r="AO33" s="319">
        <v>700194.74000000011</v>
      </c>
      <c r="AP33" s="319">
        <v>829695.15</v>
      </c>
      <c r="AQ33" s="362">
        <v>730350.84</v>
      </c>
      <c r="AR33" s="753">
        <v>954618.74</v>
      </c>
      <c r="AS33" s="753">
        <v>785916.84</v>
      </c>
      <c r="AT33" s="753">
        <v>1044004.84</v>
      </c>
      <c r="AU33" s="753">
        <v>519931</v>
      </c>
      <c r="AV33" s="39"/>
      <c r="AW33" s="43" t="s">
        <v>17</v>
      </c>
      <c r="AX33" s="319">
        <v>361483.08</v>
      </c>
      <c r="AY33" s="319">
        <v>346610.94</v>
      </c>
      <c r="AZ33" s="319">
        <v>423229.8</v>
      </c>
      <c r="BA33" s="319">
        <v>444271.3</v>
      </c>
      <c r="BB33" s="319">
        <v>481858.8</v>
      </c>
      <c r="BC33" s="319">
        <v>615765.85</v>
      </c>
      <c r="BD33" s="319">
        <v>628982.64</v>
      </c>
      <c r="BE33" s="319">
        <v>590219.23</v>
      </c>
      <c r="BF33" s="319">
        <v>632812.03</v>
      </c>
      <c r="BG33" s="319">
        <v>660703.42000000004</v>
      </c>
      <c r="BH33" s="319">
        <v>642548.30000000005</v>
      </c>
      <c r="BI33" s="319">
        <v>668543.27</v>
      </c>
      <c r="BJ33" s="319">
        <v>681567.28</v>
      </c>
      <c r="BK33" s="319">
        <v>677255.27</v>
      </c>
      <c r="BL33" s="319">
        <v>757286.58</v>
      </c>
      <c r="BM33" s="319">
        <v>656441.69999999995</v>
      </c>
      <c r="BN33" s="319">
        <v>712427.04</v>
      </c>
      <c r="BO33" s="362">
        <v>688795.27</v>
      </c>
      <c r="BP33" s="753">
        <v>697950.88000000012</v>
      </c>
      <c r="BQ33" s="753">
        <v>756595.84</v>
      </c>
      <c r="BR33" s="753">
        <v>754336.64</v>
      </c>
      <c r="BS33" s="753">
        <v>690000</v>
      </c>
      <c r="BT33" s="286"/>
      <c r="BU33" s="43" t="s">
        <v>17</v>
      </c>
      <c r="BV33" s="319">
        <v>284022.42</v>
      </c>
      <c r="BW33" s="319">
        <v>253292.61</v>
      </c>
      <c r="BX33" s="319">
        <v>253937.88</v>
      </c>
      <c r="BY33" s="319">
        <v>352353.1</v>
      </c>
      <c r="BZ33" s="319">
        <v>321239.2</v>
      </c>
      <c r="CA33" s="319">
        <v>228713.03</v>
      </c>
      <c r="CB33" s="319">
        <v>139773.92000000001</v>
      </c>
      <c r="CC33" s="319">
        <v>209432.63</v>
      </c>
      <c r="CD33" s="319">
        <v>207561.66999999995</v>
      </c>
      <c r="CE33" s="319">
        <v>280249.37</v>
      </c>
      <c r="CF33" s="319">
        <v>209671.68999999997</v>
      </c>
      <c r="CG33" s="319">
        <v>300910.68999999994</v>
      </c>
      <c r="CH33" s="319">
        <v>205692.00999999998</v>
      </c>
      <c r="CI33" s="319">
        <v>283194.75</v>
      </c>
      <c r="CJ33" s="319">
        <v>321357.64</v>
      </c>
      <c r="CK33" s="319">
        <v>366175.43000000005</v>
      </c>
      <c r="CL33" s="319">
        <v>317982.38</v>
      </c>
      <c r="CM33" s="362">
        <v>397472.05</v>
      </c>
      <c r="CN33" s="753">
        <v>384629.56</v>
      </c>
      <c r="CO33" s="753">
        <v>242996.45</v>
      </c>
      <c r="CP33" s="753">
        <v>276105.91000000003</v>
      </c>
      <c r="CQ33" s="753">
        <v>234450</v>
      </c>
      <c r="CR33" s="39"/>
      <c r="CS33" s="43" t="s">
        <v>17</v>
      </c>
      <c r="CT33" s="319">
        <v>322752.75</v>
      </c>
      <c r="CU33" s="319">
        <v>346610.94</v>
      </c>
      <c r="CV33" s="319">
        <v>324476.18</v>
      </c>
      <c r="CW33" s="319">
        <v>337033.4</v>
      </c>
      <c r="CX33" s="319">
        <v>353363.12</v>
      </c>
      <c r="CY33" s="319">
        <v>439832.75</v>
      </c>
      <c r="CZ33" s="319">
        <v>454265.24</v>
      </c>
      <c r="DA33" s="319">
        <v>495022.58</v>
      </c>
      <c r="DB33" s="319">
        <v>469128.32999999996</v>
      </c>
      <c r="DC33" s="319">
        <v>531267.38</v>
      </c>
      <c r="DD33" s="319">
        <v>514458.60000000003</v>
      </c>
      <c r="DE33" s="319">
        <v>525103.58000000007</v>
      </c>
      <c r="DF33" s="319">
        <v>475689.14999999997</v>
      </c>
      <c r="DG33" s="319">
        <v>492017.49</v>
      </c>
      <c r="DH33" s="319">
        <v>508448.57999999996</v>
      </c>
      <c r="DI33" s="319">
        <v>490718.30000000005</v>
      </c>
      <c r="DJ33" s="319">
        <v>524485.36</v>
      </c>
      <c r="DK33" s="362">
        <v>510347.8</v>
      </c>
      <c r="DL33" s="753">
        <v>539862.46</v>
      </c>
      <c r="DM33" s="753">
        <v>471802.76</v>
      </c>
      <c r="DN33" s="753">
        <v>488264.15</v>
      </c>
      <c r="DO33" s="753">
        <v>412144</v>
      </c>
      <c r="DP33" s="39"/>
      <c r="DQ33" s="43" t="s">
        <v>17</v>
      </c>
      <c r="DR33" s="319">
        <v>25820.22</v>
      </c>
      <c r="DS33" s="319">
        <v>26662.38</v>
      </c>
      <c r="DT33" s="319">
        <v>14107.66</v>
      </c>
      <c r="DU33" s="319">
        <v>15319.7</v>
      </c>
      <c r="DV33" s="319">
        <v>16061.96</v>
      </c>
      <c r="DW33" s="319">
        <v>17593.310000000001</v>
      </c>
      <c r="DX33" s="319">
        <v>17471.740000000002</v>
      </c>
      <c r="DY33" s="319">
        <v>0</v>
      </c>
      <c r="DZ33" s="319">
        <v>5157.8500000000004</v>
      </c>
      <c r="EA33" s="319">
        <v>9410.8700000000008</v>
      </c>
      <c r="EB33" s="319">
        <v>15104.79</v>
      </c>
      <c r="EC33" s="319">
        <v>14704.7</v>
      </c>
      <c r="ED33" s="319">
        <v>10122.91</v>
      </c>
      <c r="EE33" s="319">
        <v>3238.53</v>
      </c>
      <c r="EF33" s="319">
        <v>5803.84</v>
      </c>
      <c r="EG33" s="319">
        <v>3756.98</v>
      </c>
      <c r="EH33" s="319">
        <v>3506.9</v>
      </c>
      <c r="EI33" s="362">
        <v>3175.4</v>
      </c>
      <c r="EJ33" s="753">
        <v>1738.7</v>
      </c>
      <c r="EK33" s="753">
        <v>1841.56</v>
      </c>
      <c r="EL33" s="753">
        <v>2476.5</v>
      </c>
      <c r="EM33" s="753">
        <v>2000</v>
      </c>
      <c r="EN33" s="39"/>
      <c r="EO33" s="43" t="s">
        <v>17</v>
      </c>
      <c r="EP33" s="319">
        <v>51640.44</v>
      </c>
      <c r="EQ33" s="319">
        <v>39993.57</v>
      </c>
      <c r="ER33" s="319">
        <v>56430.64</v>
      </c>
      <c r="ES33" s="319">
        <v>91918.2</v>
      </c>
      <c r="ET33" s="319">
        <v>112433.72</v>
      </c>
      <c r="EU33" s="319">
        <v>87966.55</v>
      </c>
      <c r="EV33" s="319">
        <v>139773.92000000001</v>
      </c>
      <c r="EW33" s="319">
        <v>228471.96</v>
      </c>
      <c r="EX33" s="319">
        <v>204887.43000000002</v>
      </c>
      <c r="EY33" s="319">
        <v>41916.01</v>
      </c>
      <c r="EZ33" s="319">
        <v>41670.160000000003</v>
      </c>
      <c r="FA33" s="319">
        <v>63712.5</v>
      </c>
      <c r="FB33" s="319">
        <v>233006.96</v>
      </c>
      <c r="FC33" s="319">
        <v>52339.929999999993</v>
      </c>
      <c r="FD33" s="319">
        <v>55438.86</v>
      </c>
      <c r="FE33" s="319">
        <v>59262.559999999998</v>
      </c>
      <c r="FF33" s="319">
        <v>68360.3</v>
      </c>
      <c r="FG33" s="362">
        <v>63889.159999999989</v>
      </c>
      <c r="FH33" s="362">
        <v>74013.950000000012</v>
      </c>
      <c r="FI33" s="362">
        <v>52467.720000000008</v>
      </c>
      <c r="FJ33" s="362">
        <v>69516.14</v>
      </c>
      <c r="FK33" s="362">
        <v>30488</v>
      </c>
      <c r="FM33" s="43" t="s">
        <v>17</v>
      </c>
      <c r="FN33" s="319">
        <v>114948</v>
      </c>
      <c r="FO33" s="319">
        <v>98770</v>
      </c>
      <c r="FP33" s="319">
        <v>66104</v>
      </c>
      <c r="FQ33" s="319">
        <v>74946</v>
      </c>
      <c r="FR33" s="319">
        <v>51616</v>
      </c>
      <c r="FS33" s="319">
        <v>90782</v>
      </c>
      <c r="FT33" s="319">
        <v>21832</v>
      </c>
      <c r="FU33" s="319">
        <v>0</v>
      </c>
      <c r="FV33" s="319">
        <v>58362.989999999983</v>
      </c>
      <c r="FW33" s="319">
        <v>103146.23</v>
      </c>
      <c r="FX33" s="319">
        <v>89410.3</v>
      </c>
      <c r="FY33" s="319">
        <v>191575.28</v>
      </c>
      <c r="FZ33" s="319">
        <v>77196.77</v>
      </c>
      <c r="GA33" s="319">
        <v>14840.33</v>
      </c>
      <c r="GB33" s="319">
        <v>150429.75</v>
      </c>
      <c r="GC33" s="319">
        <v>3616.39</v>
      </c>
      <c r="GD33" s="319">
        <v>5818.86</v>
      </c>
      <c r="GE33" s="319">
        <v>6346.99</v>
      </c>
      <c r="GF33" s="756">
        <v>130012.18</v>
      </c>
      <c r="GG33" s="756">
        <v>211928.76</v>
      </c>
      <c r="GH33" s="756">
        <v>512257.31000000006</v>
      </c>
      <c r="GI33" s="756">
        <v>-178531.68999999994</v>
      </c>
      <c r="GJ33" s="42"/>
      <c r="GK33" s="570" t="s">
        <v>17</v>
      </c>
      <c r="GL33" s="571">
        <f>FN33/'4GF Expenditures'!B34</f>
        <v>8.884450665514515E-2</v>
      </c>
      <c r="GM33" s="571">
        <f>FO33/'4GF Expenditures'!C34</f>
        <v>7.3201081748495697E-2</v>
      </c>
      <c r="GN33" s="571">
        <f>FP33/'4GF Expenditures'!D34</f>
        <v>4.579640745113036E-2</v>
      </c>
      <c r="GO33" s="571">
        <f>FQ33/'4GF Expenditures'!E34</f>
        <v>4.920531957918179E-2</v>
      </c>
      <c r="GP33" s="571">
        <f>FR33/'4GF Expenditures'!F34</f>
        <v>3.1675468817312522E-2</v>
      </c>
      <c r="GQ33" s="571">
        <f>FS33/'4GF Expenditures'!G34</f>
        <v>5.2778268715582673E-2</v>
      </c>
      <c r="GR33" s="571">
        <f>FT33/'4GF Expenditures'!H34</f>
        <v>1.2021198981347649E-2</v>
      </c>
      <c r="GS33" s="571">
        <f>FU33/'4GF Expenditures'!I34</f>
        <v>0</v>
      </c>
      <c r="GT33" s="571">
        <f>FV33/'4GF Expenditures'!J34</f>
        <v>2.8174951071461271E-2</v>
      </c>
      <c r="GU33" s="571">
        <f>FW33/'4GF Expenditures'!K34</f>
        <v>5.0733433052233115E-2</v>
      </c>
      <c r="GV33" s="571">
        <f>FX33/'4GF Expenditures'!L34</f>
        <v>4.381153767607851E-2</v>
      </c>
      <c r="GW33" s="571">
        <f>FY33/'4GF Expenditures'!M34</f>
        <v>9.3258837557440133E-2</v>
      </c>
      <c r="GX33" s="571">
        <f>FZ33/'4GF Expenditures'!N34</f>
        <v>2.9657590406053449E-2</v>
      </c>
      <c r="GY33" s="571">
        <f>GA33/'4GF Expenditures'!O34</f>
        <v>6.4943998599901543E-3</v>
      </c>
      <c r="GZ33" s="571">
        <f>GB33/'4GF Expenditures'!P34</f>
        <v>6.3015558757077261E-2</v>
      </c>
      <c r="HA33" s="571">
        <f>GC33/'4GF Expenditures'!Q34</f>
        <v>1.4208608009029916E-3</v>
      </c>
      <c r="HB33" s="571">
        <f>GD33/'4GF Expenditures'!R34</f>
        <v>2.2518468965314455E-3</v>
      </c>
      <c r="HC33" s="571">
        <f>GE33/'4GF Expenditures'!S34</f>
        <v>2.5935053734108112E-3</v>
      </c>
      <c r="HD33" s="571">
        <f>GF33/'4GF Expenditures'!T34</f>
        <v>4.8616740074993121E-2</v>
      </c>
      <c r="HE33" s="571">
        <f>GG33/'4GF Expenditures'!U34</f>
        <v>9.2219586838603596E-2</v>
      </c>
      <c r="HF33" s="571">
        <f>GH33/'4GF Expenditures'!V34</f>
        <v>0.21199091398182021</v>
      </c>
      <c r="HG33" s="571">
        <f>GI33/'4GF Expenditures'!W34</f>
        <v>-6.6870760453396891E-2</v>
      </c>
      <c r="HH33" s="571"/>
      <c r="HI33" s="571"/>
      <c r="HJ33" s="571"/>
      <c r="HK33" s="568"/>
      <c r="HL33" s="567" t="s">
        <v>17</v>
      </c>
      <c r="HM33" s="571">
        <f>B33/'4GF Expenditures'!B34</f>
        <v>0.99783585083138104</v>
      </c>
      <c r="HN33" s="571">
        <f>C33/'4GF Expenditures'!C34</f>
        <v>0.98801005264222774</v>
      </c>
      <c r="HO33" s="571">
        <f>D33/'4GF Expenditures'!D34</f>
        <v>0.97736921448325931</v>
      </c>
      <c r="HP33" s="571">
        <f>E33/'4GF Expenditures'!E34</f>
        <v>1.0058051588572989</v>
      </c>
      <c r="HQ33" s="571">
        <f>F33/'4GF Expenditures'!F34</f>
        <v>0.98568295320234223</v>
      </c>
      <c r="HR33" s="571">
        <f>G33/'4GF Expenditures'!G34</f>
        <v>1.0228288017190057</v>
      </c>
      <c r="HS33" s="571">
        <f>H33/'4GF Expenditures'!H34</f>
        <v>0.96203400096359004</v>
      </c>
      <c r="HT33" s="571">
        <f>I33/'4GF Expenditures'!I34</f>
        <v>0.98866320656985662</v>
      </c>
      <c r="HU33" s="571">
        <f>J33/'4GF Expenditures'!J34</f>
        <v>1.0281768772588409</v>
      </c>
      <c r="HV33" s="571">
        <f>K33/'4GF Expenditures'!K34</f>
        <v>1.0220270533242184</v>
      </c>
      <c r="HW33" s="571">
        <f>L33/'4GF Expenditures'!L34</f>
        <v>0.99328548909949232</v>
      </c>
      <c r="HX33" s="571">
        <f>M33/'4GF Expenditures'!M34</f>
        <v>1.0496795320446559</v>
      </c>
      <c r="HY33" s="571">
        <f>N33/'4GF Expenditures'!N34</f>
        <v>0.95643383533876336</v>
      </c>
      <c r="HZ33" s="571">
        <f>O33/'4GF Expenditures'!O34</f>
        <v>0.97271168126278296</v>
      </c>
      <c r="IA33" s="571">
        <f>P33/'4GF Expenditures'!P34</f>
        <v>1.0596372104095557</v>
      </c>
      <c r="IB33" s="571">
        <f>Q33/'4GF Expenditures'!Q34</f>
        <v>0.94064895501654022</v>
      </c>
      <c r="IC33" s="571">
        <f>R33/'4GF Expenditures'!R34</f>
        <v>1.0010368342325</v>
      </c>
      <c r="ID33" s="573">
        <f>S33/'4GF Expenditures'!S34</f>
        <v>1.0002117181434231</v>
      </c>
      <c r="IE33" s="572">
        <f>T33/'4GF Expenditures'!T34</f>
        <v>1.0443446638203933</v>
      </c>
      <c r="IF33" s="572">
        <f>U33/'4GF Expenditures'!U34</f>
        <v>1.0356294218572628</v>
      </c>
      <c r="IG33" s="572">
        <f>V33/'4GF Expenditures'!V34</f>
        <v>1.124286999065635</v>
      </c>
      <c r="IH33" s="572">
        <f>W33/'4GF Expenditures'!W34</f>
        <v>0.74125834050614992</v>
      </c>
    </row>
    <row r="34" spans="1:242" ht="14">
      <c r="A34" s="43" t="s">
        <v>18</v>
      </c>
      <c r="B34" s="319">
        <v>1471847</v>
      </c>
      <c r="C34" s="319">
        <v>1628186</v>
      </c>
      <c r="D34" s="319">
        <v>1611555</v>
      </c>
      <c r="E34" s="319">
        <v>1672187</v>
      </c>
      <c r="F34" s="319">
        <v>1779127</v>
      </c>
      <c r="G34" s="319">
        <v>1785349</v>
      </c>
      <c r="H34" s="319">
        <v>1894279</v>
      </c>
      <c r="I34" s="319">
        <v>1885828</v>
      </c>
      <c r="J34" s="319">
        <v>2032071.11</v>
      </c>
      <c r="K34" s="319">
        <v>2272265.17</v>
      </c>
      <c r="L34" s="319">
        <v>2156077.3200000003</v>
      </c>
      <c r="M34" s="319">
        <v>2151326.9000000004</v>
      </c>
      <c r="N34" s="319">
        <v>2300602.8199999998</v>
      </c>
      <c r="O34" s="319">
        <v>2245604.9900000002</v>
      </c>
      <c r="P34" s="319">
        <v>2192167.46</v>
      </c>
      <c r="Q34" s="319">
        <v>2431838.59</v>
      </c>
      <c r="R34" s="319">
        <v>2368850.0099999998</v>
      </c>
      <c r="S34" s="362">
        <v>2586999.11</v>
      </c>
      <c r="T34" s="362">
        <v>2657881.91</v>
      </c>
      <c r="U34" s="362">
        <v>2759690.9</v>
      </c>
      <c r="V34" s="362">
        <v>2834639.1999999997</v>
      </c>
      <c r="W34" s="362">
        <v>2769123.45</v>
      </c>
      <c r="X34" s="6"/>
      <c r="Y34" s="43" t="s">
        <v>18</v>
      </c>
      <c r="Z34" s="319">
        <v>191340.11</v>
      </c>
      <c r="AA34" s="319">
        <v>113973.02</v>
      </c>
      <c r="AB34" s="319">
        <v>161155.5</v>
      </c>
      <c r="AC34" s="319">
        <v>284271.78999999998</v>
      </c>
      <c r="AD34" s="319">
        <v>302451.59000000003</v>
      </c>
      <c r="AE34" s="319">
        <v>303509.33</v>
      </c>
      <c r="AF34" s="319">
        <v>189427.9</v>
      </c>
      <c r="AG34" s="319">
        <v>188582.8</v>
      </c>
      <c r="AH34" s="319">
        <v>298409.24</v>
      </c>
      <c r="AI34" s="319">
        <v>407914.73</v>
      </c>
      <c r="AJ34" s="319">
        <v>432629.78</v>
      </c>
      <c r="AK34" s="319">
        <v>433173.69999999995</v>
      </c>
      <c r="AL34" s="319">
        <v>492941.38</v>
      </c>
      <c r="AM34" s="319">
        <v>560563.6100000001</v>
      </c>
      <c r="AN34" s="319">
        <v>575142</v>
      </c>
      <c r="AO34" s="319">
        <v>571997.97</v>
      </c>
      <c r="AP34" s="319">
        <v>599924.24</v>
      </c>
      <c r="AQ34" s="362">
        <v>573693.40999999992</v>
      </c>
      <c r="AR34" s="753">
        <v>609621.51</v>
      </c>
      <c r="AS34" s="753">
        <v>590938.65</v>
      </c>
      <c r="AT34" s="753">
        <v>619240.54999999993</v>
      </c>
      <c r="AU34" s="753">
        <v>609000</v>
      </c>
      <c r="AV34" s="39"/>
      <c r="AW34" s="43" t="s">
        <v>18</v>
      </c>
      <c r="AX34" s="319">
        <v>529864.92000000004</v>
      </c>
      <c r="AY34" s="319">
        <v>521019.52</v>
      </c>
      <c r="AZ34" s="319">
        <v>515697.6</v>
      </c>
      <c r="BA34" s="319">
        <v>535099.84</v>
      </c>
      <c r="BB34" s="319">
        <v>587111.91</v>
      </c>
      <c r="BC34" s="319">
        <v>642725.64</v>
      </c>
      <c r="BD34" s="319">
        <v>662997.65</v>
      </c>
      <c r="BE34" s="319">
        <v>660039.80000000005</v>
      </c>
      <c r="BF34" s="319">
        <v>723199.24</v>
      </c>
      <c r="BG34" s="319">
        <v>743512.33</v>
      </c>
      <c r="BH34" s="319">
        <v>754954.36</v>
      </c>
      <c r="BI34" s="319">
        <v>786865.72</v>
      </c>
      <c r="BJ34" s="319">
        <v>795760.47</v>
      </c>
      <c r="BK34" s="319">
        <v>729707.2</v>
      </c>
      <c r="BL34" s="319">
        <v>792331.9</v>
      </c>
      <c r="BM34" s="319">
        <v>858700.99</v>
      </c>
      <c r="BN34" s="319">
        <v>832540.95</v>
      </c>
      <c r="BO34" s="362">
        <v>903530.91999999993</v>
      </c>
      <c r="BP34" s="753">
        <v>1173207.9100000001</v>
      </c>
      <c r="BQ34" s="753">
        <v>1287610.05</v>
      </c>
      <c r="BR34" s="753">
        <v>1168006.6400000001</v>
      </c>
      <c r="BS34" s="753">
        <v>1100000</v>
      </c>
      <c r="BT34" s="286"/>
      <c r="BU34" s="43" t="s">
        <v>18</v>
      </c>
      <c r="BV34" s="319">
        <v>235495.52</v>
      </c>
      <c r="BW34" s="319">
        <v>455892.08</v>
      </c>
      <c r="BX34" s="319">
        <v>483466.5</v>
      </c>
      <c r="BY34" s="319">
        <v>451490.49</v>
      </c>
      <c r="BZ34" s="319">
        <v>444781.75</v>
      </c>
      <c r="CA34" s="319">
        <v>249948.86</v>
      </c>
      <c r="CB34" s="319">
        <v>359913.01</v>
      </c>
      <c r="CC34" s="319">
        <v>320590.76</v>
      </c>
      <c r="CD34" s="319">
        <v>401087.68</v>
      </c>
      <c r="CE34" s="319">
        <v>335245.76</v>
      </c>
      <c r="CF34" s="319">
        <v>333850.03999999998</v>
      </c>
      <c r="CG34" s="319">
        <v>361967.18000000005</v>
      </c>
      <c r="CH34" s="319">
        <v>459669.41000000003</v>
      </c>
      <c r="CI34" s="319">
        <v>376577.29000000004</v>
      </c>
      <c r="CJ34" s="319">
        <v>322527.55999999994</v>
      </c>
      <c r="CK34" s="319">
        <v>422928.42000000004</v>
      </c>
      <c r="CL34" s="319">
        <v>413305.26</v>
      </c>
      <c r="CM34" s="362">
        <v>389771.72000000003</v>
      </c>
      <c r="CN34" s="753">
        <v>371560.47</v>
      </c>
      <c r="CO34" s="753">
        <v>354715.45</v>
      </c>
      <c r="CP34" s="753">
        <v>503573.29999999993</v>
      </c>
      <c r="CQ34" s="753">
        <v>497898.08999999997</v>
      </c>
      <c r="CR34" s="39"/>
      <c r="CS34" s="43" t="s">
        <v>18</v>
      </c>
      <c r="CT34" s="319">
        <v>338524.81</v>
      </c>
      <c r="CU34" s="319">
        <v>211664.18</v>
      </c>
      <c r="CV34" s="319">
        <v>177271.05</v>
      </c>
      <c r="CW34" s="319">
        <v>250828.05</v>
      </c>
      <c r="CX34" s="319">
        <v>302451.59000000003</v>
      </c>
      <c r="CY34" s="319">
        <v>196388.39</v>
      </c>
      <c r="CZ34" s="319">
        <v>284141.84999999998</v>
      </c>
      <c r="DA34" s="319">
        <v>320590.76</v>
      </c>
      <c r="DB34" s="319">
        <v>295092.85000000003</v>
      </c>
      <c r="DC34" s="319">
        <v>287419.28000000003</v>
      </c>
      <c r="DD34" s="319">
        <v>300103.25000000006</v>
      </c>
      <c r="DE34" s="319">
        <v>326844.65000000002</v>
      </c>
      <c r="DF34" s="319">
        <v>279117.58999999997</v>
      </c>
      <c r="DG34" s="319">
        <v>320562.75</v>
      </c>
      <c r="DH34" s="319">
        <v>325348.24999999994</v>
      </c>
      <c r="DI34" s="319">
        <v>333388.71999999997</v>
      </c>
      <c r="DJ34" s="319">
        <v>345953.29000000004</v>
      </c>
      <c r="DK34" s="362">
        <v>347706.28</v>
      </c>
      <c r="DL34" s="753">
        <v>325042.18</v>
      </c>
      <c r="DM34" s="753">
        <v>359011.99999999994</v>
      </c>
      <c r="DN34" s="753">
        <v>398260.92</v>
      </c>
      <c r="DO34" s="753">
        <v>369501</v>
      </c>
      <c r="DP34" s="39"/>
      <c r="DQ34" s="43" t="s">
        <v>18</v>
      </c>
      <c r="DR34" s="319">
        <v>88310.82</v>
      </c>
      <c r="DS34" s="319">
        <v>81409.3</v>
      </c>
      <c r="DT34" s="319">
        <v>80577.75</v>
      </c>
      <c r="DU34" s="319">
        <v>66887.48</v>
      </c>
      <c r="DV34" s="319">
        <v>88956.35</v>
      </c>
      <c r="DW34" s="319">
        <v>89267.45</v>
      </c>
      <c r="DX34" s="319">
        <v>56828.37</v>
      </c>
      <c r="DY34" s="319">
        <v>37716.559999999998</v>
      </c>
      <c r="DZ34" s="319">
        <v>29213.9</v>
      </c>
      <c r="EA34" s="319">
        <v>32156.23</v>
      </c>
      <c r="EB34" s="319">
        <v>53996.63</v>
      </c>
      <c r="EC34" s="319">
        <v>62910.89</v>
      </c>
      <c r="ED34" s="319">
        <v>53015.21</v>
      </c>
      <c r="EE34" s="319">
        <v>36579.129999999997</v>
      </c>
      <c r="EF34" s="319">
        <v>20407.72</v>
      </c>
      <c r="EG34" s="319">
        <v>16577.400000000001</v>
      </c>
      <c r="EH34" s="319">
        <v>6651.88</v>
      </c>
      <c r="EI34" s="362">
        <v>4535.67</v>
      </c>
      <c r="EJ34" s="753">
        <v>10817.32</v>
      </c>
      <c r="EK34" s="753">
        <v>9123.59</v>
      </c>
      <c r="EL34" s="753">
        <v>10479.049999999999</v>
      </c>
      <c r="EM34" s="753">
        <v>10000</v>
      </c>
      <c r="EN34" s="39"/>
      <c r="EO34" s="43" t="s">
        <v>18</v>
      </c>
      <c r="EP34" s="319">
        <v>88310.82</v>
      </c>
      <c r="EQ34" s="319">
        <v>244227.9</v>
      </c>
      <c r="ER34" s="319">
        <v>193386.6</v>
      </c>
      <c r="ES34" s="319">
        <v>83609.350000000006</v>
      </c>
      <c r="ET34" s="319">
        <v>53373.81</v>
      </c>
      <c r="EU34" s="319">
        <v>303509.33</v>
      </c>
      <c r="EV34" s="319">
        <v>340970.22</v>
      </c>
      <c r="EW34" s="319">
        <v>358307.32</v>
      </c>
      <c r="EX34" s="319">
        <v>285068.2</v>
      </c>
      <c r="EY34" s="319">
        <v>407208.27</v>
      </c>
      <c r="EZ34" s="319">
        <v>280543.26</v>
      </c>
      <c r="FA34" s="319">
        <v>178799.76</v>
      </c>
      <c r="FB34" s="319">
        <v>220098.76</v>
      </c>
      <c r="FC34" s="319">
        <v>181615.01</v>
      </c>
      <c r="FD34" s="319">
        <v>141410.03</v>
      </c>
      <c r="FE34" s="319">
        <v>228245.09</v>
      </c>
      <c r="FF34" s="319">
        <v>123326.06</v>
      </c>
      <c r="FG34" s="362">
        <v>307761.11</v>
      </c>
      <c r="FH34" s="362">
        <v>167632.52000000002</v>
      </c>
      <c r="FI34" s="362">
        <v>158291.16</v>
      </c>
      <c r="FJ34" s="362">
        <v>115078.73999999999</v>
      </c>
      <c r="FK34" s="362">
        <v>157724.35999999999</v>
      </c>
      <c r="FM34" s="43" t="s">
        <v>18</v>
      </c>
      <c r="FN34" s="319">
        <v>1173076</v>
      </c>
      <c r="FO34" s="319">
        <v>1216873</v>
      </c>
      <c r="FP34" s="319">
        <v>1172673</v>
      </c>
      <c r="FQ34" s="319">
        <v>1267341</v>
      </c>
      <c r="FR34" s="319">
        <v>1487054</v>
      </c>
      <c r="FS34" s="319">
        <v>1620280</v>
      </c>
      <c r="FT34" s="319">
        <v>1569382</v>
      </c>
      <c r="FU34" s="319">
        <v>1477691</v>
      </c>
      <c r="FV34" s="319">
        <v>1104717.1199999999</v>
      </c>
      <c r="FW34" s="319">
        <v>1043507.53</v>
      </c>
      <c r="FX34" s="319">
        <v>1028783.63</v>
      </c>
      <c r="FY34" s="319">
        <v>1043167.95</v>
      </c>
      <c r="FZ34" s="319">
        <v>1113824.3500000001</v>
      </c>
      <c r="GA34" s="319">
        <v>1284909.17</v>
      </c>
      <c r="GB34" s="319">
        <v>1135925.23</v>
      </c>
      <c r="GC34" s="319">
        <v>1215971.78</v>
      </c>
      <c r="GD34" s="319">
        <v>927065.22</v>
      </c>
      <c r="GE34" s="319">
        <v>1110323.26</v>
      </c>
      <c r="GF34" s="756">
        <v>1027951.94</v>
      </c>
      <c r="GG34" s="756">
        <v>1294779.78</v>
      </c>
      <c r="GH34" s="756">
        <v>1259596.4799999995</v>
      </c>
      <c r="GI34" s="756">
        <v>794461.91000000015</v>
      </c>
      <c r="GJ34" s="42"/>
      <c r="GK34" s="570" t="s">
        <v>18</v>
      </c>
      <c r="GL34" s="571">
        <f>FN34/'4GF Expenditures'!B35</f>
        <v>0.76367710464693128</v>
      </c>
      <c r="GM34" s="571">
        <f>FO34/'4GF Expenditures'!C35</f>
        <v>0.76823178399890912</v>
      </c>
      <c r="GN34" s="571">
        <f>FP34/'4GF Expenditures'!D35</f>
        <v>0.70807087755230191</v>
      </c>
      <c r="GO34" s="571">
        <f>FQ34/'4GF Expenditures'!E35</f>
        <v>0.80337606076376888</v>
      </c>
      <c r="GP34" s="571">
        <f>FR34/'4GF Expenditures'!F35</f>
        <v>0.95359795410327208</v>
      </c>
      <c r="GQ34" s="571">
        <f>FS34/'4GF Expenditures'!G35</f>
        <v>0.98072601131998038</v>
      </c>
      <c r="GR34" s="571">
        <f>FT34/'4GF Expenditures'!H35</f>
        <v>0.80680678416411467</v>
      </c>
      <c r="GS34" s="571">
        <f>FU34/'4GF Expenditures'!I35</f>
        <v>0.74724490637005259</v>
      </c>
      <c r="GT34" s="571">
        <f>FV34/'4GF Expenditures'!J35</f>
        <v>0.49537510805249729</v>
      </c>
      <c r="GU34" s="571">
        <f>FW34/'4GF Expenditures'!K35</f>
        <v>0.43845793938633953</v>
      </c>
      <c r="GV34" s="571">
        <f>FX34/'4GF Expenditures'!L35</f>
        <v>0.47672749669772452</v>
      </c>
      <c r="GW34" s="571">
        <f>FY34/'4GF Expenditures'!M35</f>
        <v>0.48718617331006497</v>
      </c>
      <c r="GX34" s="571">
        <f>FZ34/'4GF Expenditures'!N35</f>
        <v>0.51293020988720861</v>
      </c>
      <c r="GY34" s="571">
        <f>GA34/'4GF Expenditures'!O35</f>
        <v>0.60403046168423169</v>
      </c>
      <c r="GZ34" s="571">
        <f>GB34/'4GF Expenditures'!P35</f>
        <v>0.48907875320436028</v>
      </c>
      <c r="HA34" s="571">
        <f>GC34/'4GF Expenditures'!Q35</f>
        <v>0.52278368912290407</v>
      </c>
      <c r="HB34" s="571">
        <f>GD34/'4GF Expenditures'!R35</f>
        <v>0.35393838920501702</v>
      </c>
      <c r="HC34" s="571">
        <f>GE34/'4GF Expenditures'!S35</f>
        <v>0.46207248999339379</v>
      </c>
      <c r="HD34" s="571">
        <f>GF34/'4GF Expenditures'!T35</f>
        <v>0.37501791405335266</v>
      </c>
      <c r="HE34" s="571">
        <f>GG34/'4GF Expenditures'!U35</f>
        <v>0.51939466743111029</v>
      </c>
      <c r="HF34" s="571">
        <f>GH34/'4GF Expenditures'!V35</f>
        <v>0.43891093612932491</v>
      </c>
      <c r="HG34" s="571">
        <f>GI34/'4GF Expenditures'!W35</f>
        <v>0.24563961968624887</v>
      </c>
      <c r="HH34" s="571"/>
      <c r="HI34" s="571"/>
      <c r="HJ34" s="571"/>
      <c r="HK34" s="568"/>
      <c r="HL34" s="567" t="s">
        <v>18</v>
      </c>
      <c r="HM34" s="571">
        <f>B34/'4GF Expenditures'!B35</f>
        <v>0.95817820451809754</v>
      </c>
      <c r="HN34" s="571">
        <f>C34/'4GF Expenditures'!C35</f>
        <v>1.0279003934363304</v>
      </c>
      <c r="HO34" s="571">
        <f>D34/'4GF Expenditures'!D35</f>
        <v>0.97307191610431898</v>
      </c>
      <c r="HP34" s="571">
        <f>E34/'4GF Expenditures'!E35</f>
        <v>1.0600106876684212</v>
      </c>
      <c r="HQ34" s="571">
        <f>F34/'4GF Expenditures'!F35</f>
        <v>1.140894592455884</v>
      </c>
      <c r="HR34" s="571">
        <f>G34/'4GF Expenditures'!G35</f>
        <v>1.0806392744365885</v>
      </c>
      <c r="HS34" s="571">
        <f>H34/'4GF Expenditures'!H35</f>
        <v>0.9738337436644583</v>
      </c>
      <c r="HT34" s="571">
        <f>I34/'4GF Expenditures'!I35</f>
        <v>0.9536333152804094</v>
      </c>
      <c r="HU34" s="571">
        <f>J34/'4GF Expenditures'!J35</f>
        <v>0.91121738539419783</v>
      </c>
      <c r="HV34" s="571">
        <f>K34/'4GF Expenditures'!K35</f>
        <v>0.95475372772590383</v>
      </c>
      <c r="HW34" s="571">
        <f>L34/'4GF Expenditures'!L35</f>
        <v>0.99910351747173387</v>
      </c>
      <c r="HX34" s="571">
        <f>M34/'4GF Expenditures'!M35</f>
        <v>1.0047248096052079</v>
      </c>
      <c r="HY34" s="571">
        <f>N34/'4GF Expenditures'!N35</f>
        <v>1.0594567153516654</v>
      </c>
      <c r="HZ34" s="571">
        <f>O34/'4GF Expenditures'!O35</f>
        <v>1.0556495747245034</v>
      </c>
      <c r="IA34" s="571">
        <f>P34/'4GF Expenditures'!P35</f>
        <v>0.94384955966861417</v>
      </c>
      <c r="IB34" s="571">
        <f>Q34/'4GF Expenditures'!Q35</f>
        <v>1.0455222484124109</v>
      </c>
      <c r="IC34" s="571">
        <f>R34/'4GF Expenditures'!R35</f>
        <v>0.90438831995842583</v>
      </c>
      <c r="ID34" s="573">
        <f>S34/'4GF Expenditures'!S35</f>
        <v>1.0766063933204404</v>
      </c>
      <c r="IE34" s="572">
        <f>T34/'4GF Expenditures'!T35</f>
        <v>0.96964973838012392</v>
      </c>
      <c r="IF34" s="572">
        <f>U34/'4GF Expenditures'!U35</f>
        <v>1.107036701807439</v>
      </c>
      <c r="IG34" s="572">
        <f>V34/'4GF Expenditures'!V35</f>
        <v>0.98774025222814288</v>
      </c>
      <c r="IH34" s="572">
        <f>W34/'4GF Expenditures'!W35</f>
        <v>0.85618507641514652</v>
      </c>
    </row>
    <row r="35" spans="1:242" ht="14">
      <c r="A35" s="43" t="s">
        <v>19</v>
      </c>
      <c r="B35" s="319">
        <v>1555978</v>
      </c>
      <c r="C35" s="319">
        <v>1604387</v>
      </c>
      <c r="D35" s="319">
        <v>1774902</v>
      </c>
      <c r="E35" s="319">
        <v>1853656</v>
      </c>
      <c r="F35" s="319">
        <v>1991860</v>
      </c>
      <c r="G35" s="319">
        <v>2288133</v>
      </c>
      <c r="H35" s="319">
        <v>2360315</v>
      </c>
      <c r="I35" s="319">
        <v>2319735</v>
      </c>
      <c r="J35" s="319">
        <v>2458147.7400000002</v>
      </c>
      <c r="K35" s="319">
        <v>2386281.7000000002</v>
      </c>
      <c r="L35" s="319">
        <v>2477305.42</v>
      </c>
      <c r="M35" s="319">
        <v>2736341.3000000003</v>
      </c>
      <c r="N35" s="319">
        <v>2653328.79</v>
      </c>
      <c r="O35" s="319"/>
      <c r="P35" s="319"/>
      <c r="Q35" s="319"/>
      <c r="R35" s="319"/>
      <c r="S35" s="362"/>
      <c r="T35" s="362"/>
      <c r="U35" s="362"/>
      <c r="V35" s="362"/>
      <c r="W35" s="362"/>
      <c r="X35" s="6"/>
      <c r="Y35" s="43" t="s">
        <v>19</v>
      </c>
      <c r="Z35" s="319">
        <v>77798.899999999994</v>
      </c>
      <c r="AA35" s="319">
        <v>64175.48</v>
      </c>
      <c r="AB35" s="319">
        <v>106494.12</v>
      </c>
      <c r="AC35" s="319">
        <v>129755.92</v>
      </c>
      <c r="AD35" s="319">
        <v>139430.20000000001</v>
      </c>
      <c r="AE35" s="319">
        <v>160169.31</v>
      </c>
      <c r="AF35" s="319">
        <v>165222.04999999999</v>
      </c>
      <c r="AG35" s="319">
        <v>185578.8</v>
      </c>
      <c r="AH35" s="319">
        <v>177776.91</v>
      </c>
      <c r="AI35" s="319">
        <v>171946.7</v>
      </c>
      <c r="AJ35" s="319">
        <v>261715.32</v>
      </c>
      <c r="AK35" s="319">
        <v>220514.73</v>
      </c>
      <c r="AL35" s="319">
        <v>274728.96999999997</v>
      </c>
      <c r="AM35" s="319"/>
      <c r="AN35" s="319"/>
      <c r="AO35" s="319"/>
      <c r="AP35" s="319"/>
      <c r="AQ35" s="362"/>
      <c r="AR35" s="753"/>
      <c r="AS35" s="753"/>
      <c r="AT35" s="753"/>
      <c r="AU35" s="753"/>
      <c r="AV35" s="39"/>
      <c r="AW35" s="43" t="s">
        <v>19</v>
      </c>
      <c r="AX35" s="319">
        <v>637950.98</v>
      </c>
      <c r="AY35" s="319">
        <v>657798.67000000004</v>
      </c>
      <c r="AZ35" s="319">
        <v>692211.78</v>
      </c>
      <c r="BA35" s="319">
        <v>741462.4</v>
      </c>
      <c r="BB35" s="319">
        <v>796744</v>
      </c>
      <c r="BC35" s="319">
        <v>823727.88</v>
      </c>
      <c r="BD35" s="319">
        <v>849713.4</v>
      </c>
      <c r="BE35" s="319">
        <v>881499.3</v>
      </c>
      <c r="BF35" s="319">
        <v>898231.63</v>
      </c>
      <c r="BG35" s="319">
        <v>940697.59999999998</v>
      </c>
      <c r="BH35" s="319">
        <v>963968.75</v>
      </c>
      <c r="BI35" s="319">
        <v>955277.76</v>
      </c>
      <c r="BJ35" s="319">
        <v>943672.92</v>
      </c>
      <c r="BK35" s="319"/>
      <c r="BL35" s="319"/>
      <c r="BM35" s="319"/>
      <c r="BN35" s="319"/>
      <c r="BO35" s="362"/>
      <c r="BP35" s="753"/>
      <c r="BQ35" s="753"/>
      <c r="BR35" s="753"/>
      <c r="BS35" s="753"/>
      <c r="BT35" s="286"/>
      <c r="BU35" s="43" t="s">
        <v>19</v>
      </c>
      <c r="BV35" s="319">
        <v>388994.5</v>
      </c>
      <c r="BW35" s="319">
        <v>401096.75</v>
      </c>
      <c r="BX35" s="319">
        <v>408227.46</v>
      </c>
      <c r="BY35" s="319">
        <v>519023.68</v>
      </c>
      <c r="BZ35" s="319">
        <v>577639.4</v>
      </c>
      <c r="CA35" s="319">
        <v>617795.91</v>
      </c>
      <c r="CB35" s="319">
        <v>637285.05000000005</v>
      </c>
      <c r="CC35" s="319">
        <v>626328.44999999995</v>
      </c>
      <c r="CD35" s="319">
        <v>538179.95000000007</v>
      </c>
      <c r="CE35" s="319">
        <v>560263.79999999981</v>
      </c>
      <c r="CF35" s="319">
        <v>564100.03</v>
      </c>
      <c r="CG35" s="319">
        <v>843656.68</v>
      </c>
      <c r="CH35" s="319">
        <v>679462.95</v>
      </c>
      <c r="CI35" s="319"/>
      <c r="CJ35" s="319"/>
      <c r="CK35" s="319"/>
      <c r="CL35" s="319"/>
      <c r="CM35" s="362"/>
      <c r="CN35" s="753"/>
      <c r="CO35" s="753"/>
      <c r="CP35" s="753"/>
      <c r="CQ35" s="753"/>
      <c r="CR35" s="39"/>
      <c r="CS35" s="43" t="s">
        <v>19</v>
      </c>
      <c r="CT35" s="319">
        <v>357874.94</v>
      </c>
      <c r="CU35" s="319">
        <v>320877.40000000002</v>
      </c>
      <c r="CV35" s="319">
        <v>372729.42</v>
      </c>
      <c r="CW35" s="319">
        <v>389267.76</v>
      </c>
      <c r="CX35" s="319">
        <v>378453.4</v>
      </c>
      <c r="CY35" s="319">
        <v>411863.94</v>
      </c>
      <c r="CZ35" s="319">
        <v>448459.85</v>
      </c>
      <c r="DA35" s="319">
        <v>487144.35</v>
      </c>
      <c r="DB35" s="319">
        <v>471129.66000000003</v>
      </c>
      <c r="DC35" s="319">
        <v>496433</v>
      </c>
      <c r="DD35" s="319">
        <v>445590.66000000003</v>
      </c>
      <c r="DE35" s="319">
        <v>548198</v>
      </c>
      <c r="DF35" s="319">
        <v>531381.12</v>
      </c>
      <c r="DG35" s="319"/>
      <c r="DH35" s="319"/>
      <c r="DI35" s="319"/>
      <c r="DJ35" s="319"/>
      <c r="DK35" s="362"/>
      <c r="DL35" s="753"/>
      <c r="DM35" s="753"/>
      <c r="DN35" s="753"/>
      <c r="DO35" s="753"/>
      <c r="DP35" s="39"/>
      <c r="DQ35" s="43" t="s">
        <v>19</v>
      </c>
      <c r="DR35" s="319">
        <v>0</v>
      </c>
      <c r="DS35" s="319">
        <v>0</v>
      </c>
      <c r="DT35" s="319">
        <v>0</v>
      </c>
      <c r="DU35" s="319">
        <v>0</v>
      </c>
      <c r="DV35" s="319">
        <v>0</v>
      </c>
      <c r="DW35" s="319">
        <v>0</v>
      </c>
      <c r="DX35" s="319">
        <v>0</v>
      </c>
      <c r="DY35" s="319">
        <v>0</v>
      </c>
      <c r="DZ35" s="319">
        <v>12416.58</v>
      </c>
      <c r="EA35" s="319">
        <v>13937.93</v>
      </c>
      <c r="EB35" s="319">
        <v>454.5</v>
      </c>
      <c r="EC35" s="319">
        <v>11219.67</v>
      </c>
      <c r="ED35" s="319">
        <v>23717.46</v>
      </c>
      <c r="EE35" s="319"/>
      <c r="EF35" s="319"/>
      <c r="EG35" s="319"/>
      <c r="EH35" s="319"/>
      <c r="EI35" s="362"/>
      <c r="EJ35" s="753"/>
      <c r="EK35" s="753"/>
      <c r="EL35" s="753"/>
      <c r="EM35" s="753"/>
      <c r="EN35" s="39"/>
      <c r="EO35" s="43" t="s">
        <v>19</v>
      </c>
      <c r="EP35" s="319">
        <v>93358.68</v>
      </c>
      <c r="EQ35" s="319">
        <v>160438.70000000001</v>
      </c>
      <c r="ER35" s="319">
        <v>195239.22</v>
      </c>
      <c r="ES35" s="319">
        <v>74146.240000000005</v>
      </c>
      <c r="ET35" s="319">
        <v>99593</v>
      </c>
      <c r="EU35" s="319">
        <v>274575.96000000002</v>
      </c>
      <c r="EV35" s="319">
        <v>259634.65</v>
      </c>
      <c r="EW35" s="319">
        <v>139184.1</v>
      </c>
      <c r="EX35" s="319">
        <v>320413.01</v>
      </c>
      <c r="EY35" s="319">
        <v>202923.83999999997</v>
      </c>
      <c r="EZ35" s="319">
        <v>76126.540000000008</v>
      </c>
      <c r="FA35" s="319">
        <v>102274.62999999999</v>
      </c>
      <c r="FB35" s="319">
        <v>129039.12000000001</v>
      </c>
      <c r="FC35" s="319"/>
      <c r="FD35" s="319"/>
      <c r="FE35" s="319"/>
      <c r="FF35" s="319"/>
      <c r="FG35" s="362"/>
      <c r="FH35" s="362"/>
      <c r="FI35" s="362"/>
      <c r="FJ35" s="362"/>
      <c r="FK35" s="362"/>
      <c r="FM35" s="43" t="s">
        <v>19</v>
      </c>
      <c r="FN35" s="319">
        <v>21737</v>
      </c>
      <c r="FO35" s="319">
        <v>16164</v>
      </c>
      <c r="FP35" s="319">
        <v>27022</v>
      </c>
      <c r="FQ35" s="319">
        <v>55521</v>
      </c>
      <c r="FR35" s="319">
        <v>38719</v>
      </c>
      <c r="FS35" s="319">
        <v>57485</v>
      </c>
      <c r="FT35" s="319">
        <v>30114</v>
      </c>
      <c r="FU35" s="319">
        <v>51975</v>
      </c>
      <c r="FV35" s="319">
        <v>181125.53000000026</v>
      </c>
      <c r="FW35" s="319">
        <v>234394.51</v>
      </c>
      <c r="FX35" s="319">
        <v>327635.61</v>
      </c>
      <c r="FY35" s="319">
        <v>280874.09999999998</v>
      </c>
      <c r="FZ35" s="319">
        <v>278127.18</v>
      </c>
      <c r="GA35" s="319"/>
      <c r="GB35" s="319"/>
      <c r="GC35" s="319"/>
      <c r="GD35" s="319"/>
      <c r="GE35" s="319"/>
      <c r="GF35" s="756"/>
      <c r="GG35" s="756"/>
      <c r="GH35" s="756"/>
      <c r="GI35" s="756"/>
      <c r="GJ35" s="42"/>
      <c r="GK35" s="570" t="s">
        <v>19</v>
      </c>
      <c r="GL35" s="571">
        <f>FN35/'4GF Expenditures'!B36</f>
        <v>1.3731331592359425E-2</v>
      </c>
      <c r="GM35" s="571">
        <f>FO35/'4GF Expenditures'!C36</f>
        <v>1.0040000993813511E-2</v>
      </c>
      <c r="GN35" s="571">
        <f>FP35/'4GF Expenditures'!D36</f>
        <v>1.5318212017387322E-2</v>
      </c>
      <c r="GO35" s="571">
        <f>FQ35/'4GF Expenditures'!E36</f>
        <v>3.0419848813006224E-2</v>
      </c>
      <c r="GP35" s="571">
        <f>FR35/'4GF Expenditures'!F36</f>
        <v>1.9276015576538012E-2</v>
      </c>
      <c r="GQ35" s="571">
        <f>FS35/'4GF Expenditures'!G36</f>
        <v>2.5330852171552683E-2</v>
      </c>
      <c r="GR35" s="571">
        <f>FT35/'4GF Expenditures'!H36</f>
        <v>1.2612211153392866E-2</v>
      </c>
      <c r="GS35" s="571">
        <f>FU35/'4GF Expenditures'!I36</f>
        <v>2.2618733664247909E-2</v>
      </c>
      <c r="GT35" s="571">
        <f>FV35/'4GF Expenditures'!J36</f>
        <v>7.77697496683563E-2</v>
      </c>
      <c r="GU35" s="571">
        <f>FW35/'4GF Expenditures'!K36</f>
        <v>0.10046859495905365</v>
      </c>
      <c r="GV35" s="571">
        <f>FX35/'4GF Expenditures'!L36</f>
        <v>0.12691692092356283</v>
      </c>
      <c r="GW35" s="571">
        <f>FY35/'4GF Expenditures'!M36</f>
        <v>0.10862575279869952</v>
      </c>
      <c r="GX35" s="571">
        <f>FZ35/'4GF Expenditures'!N36</f>
        <v>0.10471635608355788</v>
      </c>
      <c r="GY35" s="571" t="e">
        <f>GA35/'4GF Expenditures'!O36</f>
        <v>#DIV/0!</v>
      </c>
      <c r="GZ35" s="571" t="e">
        <f>GB35/'4GF Expenditures'!P36</f>
        <v>#DIV/0!</v>
      </c>
      <c r="HA35" s="571" t="e">
        <f>GC35/'4GF Expenditures'!Q36</f>
        <v>#DIV/0!</v>
      </c>
      <c r="HB35" s="571" t="e">
        <f>GD35/'4GF Expenditures'!R36</f>
        <v>#DIV/0!</v>
      </c>
      <c r="HC35" s="571" t="e">
        <f>GE35/'4GF Expenditures'!S36</f>
        <v>#DIV/0!</v>
      </c>
      <c r="HD35" s="571" t="e">
        <f>GF35/'4GF Expenditures'!T36</f>
        <v>#DIV/0!</v>
      </c>
      <c r="HE35" s="571" t="e">
        <f>GG35/'4GF Expenditures'!U36</f>
        <v>#DIV/0!</v>
      </c>
      <c r="HF35" s="571" t="e">
        <f>GH35/'4GF Expenditures'!V36</f>
        <v>#DIV/0!</v>
      </c>
      <c r="HG35" s="571" t="e">
        <f>GI35/'4GF Expenditures'!W36</f>
        <v>#DIV/0!</v>
      </c>
      <c r="HH35" s="571"/>
      <c r="HI35" s="571"/>
      <c r="HJ35" s="571"/>
      <c r="HK35" s="568"/>
      <c r="HL35" s="567" t="s">
        <v>19</v>
      </c>
      <c r="HM35" s="571">
        <f>B35/'4GF Expenditures'!B36</f>
        <v>0.98291621973668086</v>
      </c>
      <c r="HN35" s="571">
        <f>C35/'4GF Expenditures'!C36</f>
        <v>0.99653842331486497</v>
      </c>
      <c r="HO35" s="571">
        <f>D35/'4GF Expenditures'!D36</f>
        <v>1.0061551752677371</v>
      </c>
      <c r="HP35" s="571">
        <f>E35/'4GF Expenditures'!E36</f>
        <v>1.0156145471321096</v>
      </c>
      <c r="HQ35" s="571">
        <f>F35/'4GF Expenditures'!F36</f>
        <v>0.99163522782827573</v>
      </c>
      <c r="HR35" s="571">
        <f>G35/'4GF Expenditures'!G36</f>
        <v>1.0082692662755737</v>
      </c>
      <c r="HS35" s="571">
        <f>H35/'4GF Expenditures'!H36</f>
        <v>0.98853659987117237</v>
      </c>
      <c r="HT35" s="571">
        <f>I35/'4GF Expenditures'!I36</f>
        <v>1.009513576462417</v>
      </c>
      <c r="HU35" s="571">
        <f>J35/'4GF Expenditures'!J36</f>
        <v>1.0554532781084784</v>
      </c>
      <c r="HV35" s="571">
        <f>K35/'4GF Expenditures'!K36</f>
        <v>1.0228327002006232</v>
      </c>
      <c r="HW35" s="571">
        <f>L35/'4GF Expenditures'!L36</f>
        <v>0.95963920433939887</v>
      </c>
      <c r="HX35" s="571">
        <f>M35/'4GF Expenditures'!M36</f>
        <v>1.0582575382588573</v>
      </c>
      <c r="HY35" s="571">
        <f>N35/'4GF Expenditures'!N36</f>
        <v>0.99899234005247439</v>
      </c>
      <c r="HZ35" s="571" t="e">
        <f>O35/'4GF Expenditures'!O36</f>
        <v>#DIV/0!</v>
      </c>
      <c r="IA35" s="571" t="e">
        <f>P35/'4GF Expenditures'!P36</f>
        <v>#DIV/0!</v>
      </c>
      <c r="IB35" s="571" t="e">
        <f>Q35/'4GF Expenditures'!Q36</f>
        <v>#DIV/0!</v>
      </c>
      <c r="IC35" s="571" t="e">
        <f>R35/'4GF Expenditures'!R36</f>
        <v>#DIV/0!</v>
      </c>
      <c r="ID35" s="573" t="e">
        <f>S35/'4GF Expenditures'!S36</f>
        <v>#DIV/0!</v>
      </c>
      <c r="IE35" s="572" t="e">
        <f>T35/'4GF Expenditures'!T36</f>
        <v>#DIV/0!</v>
      </c>
      <c r="IF35" s="572" t="e">
        <f>U35/'4GF Expenditures'!U36</f>
        <v>#DIV/0!</v>
      </c>
      <c r="IG35" s="572" t="e">
        <f>V35/'4GF Expenditures'!V36</f>
        <v>#DIV/0!</v>
      </c>
      <c r="IH35" s="572" t="e">
        <f>W35/'4GF Expenditures'!W36</f>
        <v>#DIV/0!</v>
      </c>
    </row>
    <row r="36" spans="1:242" ht="14">
      <c r="A36" s="43" t="s">
        <v>20</v>
      </c>
      <c r="B36" s="319">
        <v>397442</v>
      </c>
      <c r="C36" s="319">
        <v>435677</v>
      </c>
      <c r="D36" s="319">
        <v>409298</v>
      </c>
      <c r="E36" s="319">
        <v>421750</v>
      </c>
      <c r="F36" s="319">
        <v>486623</v>
      </c>
      <c r="G36" s="319">
        <v>564306</v>
      </c>
      <c r="H36" s="319">
        <v>605542</v>
      </c>
      <c r="I36" s="319">
        <v>614080</v>
      </c>
      <c r="J36" s="319">
        <v>645946.51</v>
      </c>
      <c r="K36" s="319">
        <v>680852.82000000007</v>
      </c>
      <c r="L36" s="319">
        <v>742940.17</v>
      </c>
      <c r="M36" s="319">
        <v>703805.08</v>
      </c>
      <c r="N36" s="319">
        <v>900863.63</v>
      </c>
      <c r="O36" s="319">
        <v>818737.04999999993</v>
      </c>
      <c r="P36" s="319">
        <v>854313.53</v>
      </c>
      <c r="Q36" s="319">
        <v>856537.41999999993</v>
      </c>
      <c r="R36" s="319">
        <v>882972.29</v>
      </c>
      <c r="S36" s="362">
        <v>926202.58</v>
      </c>
      <c r="T36" s="362">
        <v>835422.8</v>
      </c>
      <c r="U36" s="362">
        <v>925399.51</v>
      </c>
      <c r="V36" s="362">
        <v>1026051.2999999999</v>
      </c>
      <c r="W36" s="362">
        <v>959825</v>
      </c>
      <c r="X36" s="6"/>
      <c r="Y36" s="43" t="s">
        <v>20</v>
      </c>
      <c r="Z36" s="319">
        <v>47693.04</v>
      </c>
      <c r="AA36" s="319">
        <v>47924.47</v>
      </c>
      <c r="AB36" s="319">
        <v>53208.74</v>
      </c>
      <c r="AC36" s="319">
        <v>59045</v>
      </c>
      <c r="AD36" s="319">
        <v>92458.37</v>
      </c>
      <c r="AE36" s="319">
        <v>107218.14</v>
      </c>
      <c r="AF36" s="319">
        <v>139274.66</v>
      </c>
      <c r="AG36" s="319">
        <v>98252.800000000003</v>
      </c>
      <c r="AH36" s="319">
        <v>102527.03</v>
      </c>
      <c r="AI36" s="319">
        <v>99707.13</v>
      </c>
      <c r="AJ36" s="319">
        <v>103278.39999999999</v>
      </c>
      <c r="AK36" s="319">
        <v>107553.59</v>
      </c>
      <c r="AL36" s="319">
        <v>106489.27</v>
      </c>
      <c r="AM36" s="319">
        <v>125697.33</v>
      </c>
      <c r="AN36" s="319">
        <v>136322.34</v>
      </c>
      <c r="AO36" s="319">
        <v>138471.96</v>
      </c>
      <c r="AP36" s="319">
        <v>147682.79</v>
      </c>
      <c r="AQ36" s="362">
        <v>160111.65</v>
      </c>
      <c r="AR36" s="753">
        <v>151045.51999999999</v>
      </c>
      <c r="AS36" s="753">
        <v>146755.43</v>
      </c>
      <c r="AT36" s="753">
        <v>156330.9</v>
      </c>
      <c r="AU36" s="753">
        <v>155000</v>
      </c>
      <c r="AV36" s="39"/>
      <c r="AW36" s="43" t="s">
        <v>20</v>
      </c>
      <c r="AX36" s="319">
        <v>174874.48</v>
      </c>
      <c r="AY36" s="319">
        <v>204768.19</v>
      </c>
      <c r="AZ36" s="319">
        <v>192370.06</v>
      </c>
      <c r="BA36" s="319">
        <v>215092.5</v>
      </c>
      <c r="BB36" s="319">
        <v>228712.81</v>
      </c>
      <c r="BC36" s="319">
        <v>253937.7</v>
      </c>
      <c r="BD36" s="319">
        <v>260383.06</v>
      </c>
      <c r="BE36" s="319">
        <v>288617.59999999998</v>
      </c>
      <c r="BF36" s="319">
        <v>287779.34999999998</v>
      </c>
      <c r="BG36" s="319">
        <v>273486.21000000002</v>
      </c>
      <c r="BH36" s="319">
        <v>270357.59999999998</v>
      </c>
      <c r="BI36" s="319">
        <v>279555.18</v>
      </c>
      <c r="BJ36" s="319">
        <v>281310.83999999997</v>
      </c>
      <c r="BK36" s="319">
        <v>270222.59999999998</v>
      </c>
      <c r="BL36" s="319">
        <v>256374.17</v>
      </c>
      <c r="BM36" s="319">
        <v>257538.55</v>
      </c>
      <c r="BN36" s="319">
        <v>305026.52999999997</v>
      </c>
      <c r="BO36" s="362">
        <v>339099.81</v>
      </c>
      <c r="BP36" s="753">
        <v>299337.15000000002</v>
      </c>
      <c r="BQ36" s="753">
        <v>318984.76</v>
      </c>
      <c r="BR36" s="753">
        <v>356164.45</v>
      </c>
      <c r="BS36" s="753">
        <v>355000</v>
      </c>
      <c r="BT36" s="286"/>
      <c r="BU36" s="43" t="s">
        <v>20</v>
      </c>
      <c r="BV36" s="319">
        <v>39744.199999999997</v>
      </c>
      <c r="BW36" s="319">
        <v>47924.47</v>
      </c>
      <c r="BX36" s="319">
        <v>36836.82</v>
      </c>
      <c r="BY36" s="319">
        <v>37957.5</v>
      </c>
      <c r="BZ36" s="319">
        <v>38929.839999999997</v>
      </c>
      <c r="CA36" s="319">
        <v>67716.72</v>
      </c>
      <c r="CB36" s="319">
        <v>54498.78</v>
      </c>
      <c r="CC36" s="319">
        <v>49126.400000000001</v>
      </c>
      <c r="CD36" s="319">
        <v>54018.840000000004</v>
      </c>
      <c r="CE36" s="319">
        <v>82779.27</v>
      </c>
      <c r="CF36" s="319">
        <v>178203.79</v>
      </c>
      <c r="CG36" s="319">
        <v>75068.400000000009</v>
      </c>
      <c r="CH36" s="319">
        <v>110241.60000000001</v>
      </c>
      <c r="CI36" s="319">
        <v>92192.47</v>
      </c>
      <c r="CJ36" s="319">
        <v>81493.48000000001</v>
      </c>
      <c r="CK36" s="319">
        <v>105727.20999999999</v>
      </c>
      <c r="CL36" s="319">
        <v>83145.399999999994</v>
      </c>
      <c r="CM36" s="362">
        <v>95023.43</v>
      </c>
      <c r="CN36" s="753">
        <v>80230.12000000001</v>
      </c>
      <c r="CO36" s="753">
        <v>78066.52</v>
      </c>
      <c r="CP36" s="753">
        <v>122969.12</v>
      </c>
      <c r="CQ36" s="753">
        <v>94990</v>
      </c>
      <c r="CR36" s="39"/>
      <c r="CS36" s="43" t="s">
        <v>20</v>
      </c>
      <c r="CT36" s="319">
        <v>71539.56</v>
      </c>
      <c r="CU36" s="319">
        <v>74065.09</v>
      </c>
      <c r="CV36" s="319">
        <v>69580.66</v>
      </c>
      <c r="CW36" s="319">
        <v>80132.5</v>
      </c>
      <c r="CX36" s="319">
        <v>77859.679999999993</v>
      </c>
      <c r="CY36" s="319">
        <v>84645.9</v>
      </c>
      <c r="CZ36" s="319">
        <v>96886.720000000001</v>
      </c>
      <c r="DA36" s="319">
        <v>104393.60000000001</v>
      </c>
      <c r="DB36" s="319">
        <v>100052.97</v>
      </c>
      <c r="DC36" s="319">
        <v>116219.59</v>
      </c>
      <c r="DD36" s="319">
        <v>99562.57</v>
      </c>
      <c r="DE36" s="319">
        <v>128789.32</v>
      </c>
      <c r="DF36" s="319">
        <v>237041.16000000003</v>
      </c>
      <c r="DG36" s="319">
        <v>237286.31</v>
      </c>
      <c r="DH36" s="319">
        <v>244607.74</v>
      </c>
      <c r="DI36" s="319">
        <v>246536.54</v>
      </c>
      <c r="DJ36" s="319">
        <v>246962.75999999998</v>
      </c>
      <c r="DK36" s="362">
        <v>239312.81</v>
      </c>
      <c r="DL36" s="753">
        <v>225547.97</v>
      </c>
      <c r="DM36" s="753">
        <v>254767.37</v>
      </c>
      <c r="DN36" s="753">
        <v>282577.24</v>
      </c>
      <c r="DO36" s="753">
        <v>271100</v>
      </c>
      <c r="DP36" s="39"/>
      <c r="DQ36" s="43" t="s">
        <v>20</v>
      </c>
      <c r="DR36" s="319">
        <v>23846.52</v>
      </c>
      <c r="DS36" s="319">
        <v>17427.080000000002</v>
      </c>
      <c r="DT36" s="319">
        <v>28650.86</v>
      </c>
      <c r="DU36" s="319">
        <v>21087.5</v>
      </c>
      <c r="DV36" s="319">
        <v>29197.38</v>
      </c>
      <c r="DW36" s="319">
        <v>22572.240000000002</v>
      </c>
      <c r="DX36" s="319">
        <v>12110.84</v>
      </c>
      <c r="DY36" s="319">
        <v>6140.8</v>
      </c>
      <c r="DZ36" s="319">
        <v>5001.5600000000004</v>
      </c>
      <c r="EA36" s="319">
        <v>16238.11</v>
      </c>
      <c r="EB36" s="319">
        <v>23500.91</v>
      </c>
      <c r="EC36" s="319">
        <v>33717.75</v>
      </c>
      <c r="ED36" s="319">
        <v>12563.06</v>
      </c>
      <c r="EE36" s="319">
        <v>2870.69</v>
      </c>
      <c r="EF36" s="319">
        <v>5750.03</v>
      </c>
      <c r="EG36" s="319">
        <v>6344.82</v>
      </c>
      <c r="EH36" s="319">
        <v>10082.69</v>
      </c>
      <c r="EI36" s="362">
        <v>7730.82</v>
      </c>
      <c r="EJ36" s="753">
        <v>2715.41</v>
      </c>
      <c r="EK36" s="753">
        <v>2985.7</v>
      </c>
      <c r="EL36" s="753">
        <v>3773.04</v>
      </c>
      <c r="EM36" s="753">
        <v>3500</v>
      </c>
      <c r="EN36" s="39"/>
      <c r="EO36" s="43" t="s">
        <v>20</v>
      </c>
      <c r="EP36" s="319">
        <v>39744.199999999997</v>
      </c>
      <c r="EQ36" s="319">
        <v>43567.7</v>
      </c>
      <c r="ER36" s="319">
        <v>28650.86</v>
      </c>
      <c r="ES36" s="319">
        <v>8435</v>
      </c>
      <c r="ET36" s="319">
        <v>19464.919999999998</v>
      </c>
      <c r="EU36" s="319">
        <v>28215.3</v>
      </c>
      <c r="EV36" s="319">
        <v>42387.94</v>
      </c>
      <c r="EW36" s="319">
        <v>67548.800000000003</v>
      </c>
      <c r="EX36" s="319">
        <v>69566.760000000009</v>
      </c>
      <c r="EY36" s="319">
        <v>60422.51</v>
      </c>
      <c r="EZ36" s="319">
        <v>58036.9</v>
      </c>
      <c r="FA36" s="319">
        <v>59120.84</v>
      </c>
      <c r="FB36" s="319">
        <v>117217.7</v>
      </c>
      <c r="FC36" s="319">
        <v>80467.649999999994</v>
      </c>
      <c r="FD36" s="319">
        <v>112765.76999999999</v>
      </c>
      <c r="FE36" s="319">
        <v>86918.34</v>
      </c>
      <c r="FF36" s="319">
        <v>78072.12</v>
      </c>
      <c r="FG36" s="362">
        <v>67224.06</v>
      </c>
      <c r="FH36" s="362">
        <v>76546.63</v>
      </c>
      <c r="FI36" s="362">
        <v>78839.729999999981</v>
      </c>
      <c r="FJ36" s="362">
        <v>79236.55</v>
      </c>
      <c r="FK36" s="362">
        <v>60235</v>
      </c>
      <c r="FM36" s="43" t="s">
        <v>20</v>
      </c>
      <c r="FN36" s="319">
        <v>505722</v>
      </c>
      <c r="FO36" s="319">
        <v>463033</v>
      </c>
      <c r="FP36" s="319">
        <v>450378</v>
      </c>
      <c r="FQ36" s="319">
        <v>410172</v>
      </c>
      <c r="FR36" s="319">
        <v>366467</v>
      </c>
      <c r="FS36" s="319">
        <v>377143</v>
      </c>
      <c r="FT36" s="319">
        <v>350710</v>
      </c>
      <c r="FU36" s="319">
        <v>438875</v>
      </c>
      <c r="FV36" s="319">
        <v>536476.17000000004</v>
      </c>
      <c r="FW36" s="319">
        <v>515109.26</v>
      </c>
      <c r="FX36" s="319">
        <v>401903.53</v>
      </c>
      <c r="FY36" s="319">
        <v>271409.5</v>
      </c>
      <c r="FZ36" s="319">
        <v>337305.61</v>
      </c>
      <c r="GA36" s="319">
        <v>340506.33</v>
      </c>
      <c r="GB36" s="319">
        <v>270765.46999999997</v>
      </c>
      <c r="GC36" s="319">
        <v>354317.44</v>
      </c>
      <c r="GD36" s="319">
        <v>501122.2</v>
      </c>
      <c r="GE36" s="319">
        <v>765002.77</v>
      </c>
      <c r="GF36" s="756">
        <v>671101.36</v>
      </c>
      <c r="GG36" s="756">
        <v>824174.36</v>
      </c>
      <c r="GH36" s="756">
        <v>1008620.3599999999</v>
      </c>
      <c r="GI36" s="756">
        <v>781033.9600000002</v>
      </c>
      <c r="GJ36" s="42"/>
      <c r="GK36" s="570" t="s">
        <v>20</v>
      </c>
      <c r="GL36" s="571">
        <f>FN36/'4GF Expenditures'!B37</f>
        <v>1.2667149251450884</v>
      </c>
      <c r="GM36" s="571">
        <f>FO36/'4GF Expenditures'!C37</f>
        <v>0.96794713671122112</v>
      </c>
      <c r="GN36" s="571">
        <f>FP36/'4GF Expenditures'!D37</f>
        <v>1.0673653226781181</v>
      </c>
      <c r="GO36" s="571">
        <f>FQ36/'4GF Expenditures'!E37</f>
        <v>0.8879027439842756</v>
      </c>
      <c r="GP36" s="571">
        <f>FR36/'4GF Expenditures'!F37</f>
        <v>0.69101951999517275</v>
      </c>
      <c r="GQ36" s="571">
        <f>FS36/'4GF Expenditures'!G37</f>
        <v>0.68121850333255063</v>
      </c>
      <c r="GR36" s="571">
        <f>FT36/'4GF Expenditures'!H37</f>
        <v>0.55494283792871557</v>
      </c>
      <c r="GS36" s="571">
        <f>FU36/'4GF Expenditures'!I37</f>
        <v>0.8344979702043106</v>
      </c>
      <c r="GT36" s="571">
        <f>FV36/'4GF Expenditures'!J37</f>
        <v>1.0871137798491339</v>
      </c>
      <c r="GU36" s="571">
        <f>FW36/'4GF Expenditures'!K37</f>
        <v>0.73354427110727871</v>
      </c>
      <c r="GV36" s="571">
        <f>FX36/'4GF Expenditures'!L37</f>
        <v>0.46943345696710942</v>
      </c>
      <c r="GW36" s="571">
        <f>FY36/'4GF Expenditures'!M37</f>
        <v>0.30416874449196746</v>
      </c>
      <c r="GX36" s="571">
        <f>FZ36/'4GF Expenditures'!N37</f>
        <v>0.40397452825470381</v>
      </c>
      <c r="GY36" s="571">
        <f>GA36/'4GF Expenditures'!O37</f>
        <v>0.41752441611031599</v>
      </c>
      <c r="GZ36" s="571">
        <f>GB36/'4GF Expenditures'!P37</f>
        <v>0.29301897478134376</v>
      </c>
      <c r="HA36" s="571">
        <f>GC36/'4GF Expenditures'!Q37</f>
        <v>0.4583753031832617</v>
      </c>
      <c r="HB36" s="571">
        <f>GD36/'4GF Expenditures'!R37</f>
        <v>0.68071760785211488</v>
      </c>
      <c r="HC36" s="571">
        <f>GE36/'4GF Expenditures'!S37</f>
        <v>1.1550314778154511</v>
      </c>
      <c r="HD36" s="571">
        <f>GF36/'4GF Expenditures'!T37</f>
        <v>0.72213911224802807</v>
      </c>
      <c r="HE36" s="571">
        <f>GG36/'4GF Expenditures'!U37</f>
        <v>1.0671320346105948</v>
      </c>
      <c r="HF36" s="571">
        <f>GH36/'4GF Expenditures'!V37</f>
        <v>1.1984482036888311</v>
      </c>
      <c r="HG36" s="571">
        <f>GI36/'4GF Expenditures'!W37</f>
        <v>0.65776188438143701</v>
      </c>
      <c r="HH36" s="571"/>
      <c r="HI36" s="571"/>
      <c r="HJ36" s="571"/>
      <c r="HK36" s="568"/>
      <c r="HL36" s="567" t="s">
        <v>20</v>
      </c>
      <c r="HM36" s="571">
        <f>B36/'4GF Expenditures'!B37</f>
        <v>0.99549893672712331</v>
      </c>
      <c r="HN36" s="571">
        <f>C36/'4GF Expenditures'!C37</f>
        <v>0.91076079821726463</v>
      </c>
      <c r="HO36" s="571">
        <f>D36/'4GF Expenditures'!D37</f>
        <v>0.97000850805658445</v>
      </c>
      <c r="HP36" s="571">
        <f>E36/'4GF Expenditures'!E37</f>
        <v>0.91296573699659711</v>
      </c>
      <c r="HQ36" s="571">
        <f>F36/'4GF Expenditures'!F37</f>
        <v>0.91758873753601544</v>
      </c>
      <c r="HR36" s="571">
        <f>G36/'4GF Expenditures'!G37</f>
        <v>1.0192836370861407</v>
      </c>
      <c r="HS36" s="571">
        <f>H36/'4GF Expenditures'!H37</f>
        <v>0.95817397840104435</v>
      </c>
      <c r="HT36" s="571">
        <f>I36/'4GF Expenditures'!I37</f>
        <v>1.1676411587423823</v>
      </c>
      <c r="HU36" s="571">
        <f>J36/'4GF Expenditures'!J37</f>
        <v>1.308944164409868</v>
      </c>
      <c r="HV36" s="571">
        <f>K36/'4GF Expenditures'!K37</f>
        <v>0.96957233030179901</v>
      </c>
      <c r="HW36" s="571">
        <f>L36/'4GF Expenditures'!L37</f>
        <v>0.86777285166624918</v>
      </c>
      <c r="HX36" s="571">
        <f>M36/'4GF Expenditures'!M37</f>
        <v>0.78875465873769601</v>
      </c>
      <c r="HY36" s="571">
        <f>N36/'4GF Expenditures'!N37</f>
        <v>1.0789205668742659</v>
      </c>
      <c r="HZ36" s="571">
        <f>O36/'4GF Expenditures'!O37</f>
        <v>1.0039246810746001</v>
      </c>
      <c r="IA36" s="571">
        <f>P36/'4GF Expenditures'!P37</f>
        <v>0.92452732138418825</v>
      </c>
      <c r="IB36" s="571">
        <f>Q36/'4GF Expenditures'!Q37</f>
        <v>1.108089964694678</v>
      </c>
      <c r="IC36" s="571">
        <f>R36/'4GF Expenditures'!R37</f>
        <v>1.1994175972417582</v>
      </c>
      <c r="ID36" s="573">
        <f>S36/'4GF Expenditures'!S37</f>
        <v>1.3984173347945963</v>
      </c>
      <c r="IE36" s="572">
        <f>T36/'4GF Expenditures'!T37</f>
        <v>0.89895731867353379</v>
      </c>
      <c r="IF36" s="572">
        <f>U36/'4GF Expenditures'!U37</f>
        <v>1.1981972624505663</v>
      </c>
      <c r="IG36" s="572">
        <f>V36/'4GF Expenditures'!V37</f>
        <v>1.2191597415082818</v>
      </c>
      <c r="IH36" s="572">
        <f>W36/'4GF Expenditures'!W37</f>
        <v>0.80833399443529019</v>
      </c>
    </row>
    <row r="37" spans="1:242" ht="14">
      <c r="A37" s="43" t="s">
        <v>21</v>
      </c>
      <c r="B37" s="319">
        <v>863056</v>
      </c>
      <c r="C37" s="319">
        <v>867980</v>
      </c>
      <c r="D37" s="319">
        <v>893955</v>
      </c>
      <c r="E37" s="319">
        <v>922588</v>
      </c>
      <c r="F37" s="319">
        <v>990564</v>
      </c>
      <c r="G37" s="319">
        <v>1070397</v>
      </c>
      <c r="H37" s="319">
        <v>1021896</v>
      </c>
      <c r="I37" s="319">
        <v>1004559</v>
      </c>
      <c r="J37" s="319">
        <v>1024336.02</v>
      </c>
      <c r="K37" s="319">
        <v>1151789.6600000001</v>
      </c>
      <c r="L37" s="319">
        <v>1269333.1900000002</v>
      </c>
      <c r="M37" s="319">
        <v>1500613.18</v>
      </c>
      <c r="N37" s="319">
        <v>1424108.84</v>
      </c>
      <c r="O37" s="319">
        <v>1365284.1930000002</v>
      </c>
      <c r="P37" s="319">
        <v>1344459.12</v>
      </c>
      <c r="Q37" s="319">
        <v>1280680.83</v>
      </c>
      <c r="R37" s="319"/>
      <c r="S37" s="362">
        <v>1334579.6400000001</v>
      </c>
      <c r="T37" s="362">
        <v>1564669.95</v>
      </c>
      <c r="U37" s="362">
        <v>1406585.19</v>
      </c>
      <c r="V37" s="362">
        <v>1443922.1800000002</v>
      </c>
      <c r="W37" s="362">
        <v>1444525</v>
      </c>
      <c r="X37" s="6"/>
      <c r="Y37" s="43" t="s">
        <v>21</v>
      </c>
      <c r="Z37" s="319">
        <v>17261.12</v>
      </c>
      <c r="AA37" s="319">
        <v>17359.599999999999</v>
      </c>
      <c r="AB37" s="319">
        <v>17879.099999999999</v>
      </c>
      <c r="AC37" s="319">
        <v>18451.759999999998</v>
      </c>
      <c r="AD37" s="319">
        <v>19811.28</v>
      </c>
      <c r="AE37" s="319">
        <v>21407.94</v>
      </c>
      <c r="AF37" s="319">
        <v>20437.919999999998</v>
      </c>
      <c r="AG37" s="319">
        <v>20091.18</v>
      </c>
      <c r="AH37" s="319">
        <v>22486.99</v>
      </c>
      <c r="AI37" s="319">
        <v>32115</v>
      </c>
      <c r="AJ37" s="319">
        <v>108510.04999999999</v>
      </c>
      <c r="AK37" s="319">
        <v>179419.38999999998</v>
      </c>
      <c r="AL37" s="319">
        <v>181905.86000000002</v>
      </c>
      <c r="AM37" s="319">
        <v>224820.03</v>
      </c>
      <c r="AN37" s="319">
        <v>265076.02999999997</v>
      </c>
      <c r="AO37" s="319">
        <v>257118.77</v>
      </c>
      <c r="AP37" s="319"/>
      <c r="AQ37" s="362">
        <v>261601.14</v>
      </c>
      <c r="AR37" s="753">
        <v>296787.52999999997</v>
      </c>
      <c r="AS37" s="753">
        <v>256879.47</v>
      </c>
      <c r="AT37" s="753">
        <v>241010.13</v>
      </c>
      <c r="AU37" s="753">
        <v>250000</v>
      </c>
      <c r="AV37" s="39"/>
      <c r="AW37" s="43" t="s">
        <v>21</v>
      </c>
      <c r="AX37" s="319">
        <v>422897.44</v>
      </c>
      <c r="AY37" s="319">
        <v>442669.8</v>
      </c>
      <c r="AZ37" s="319">
        <v>455917.05</v>
      </c>
      <c r="BA37" s="319">
        <v>461294</v>
      </c>
      <c r="BB37" s="319">
        <v>495282</v>
      </c>
      <c r="BC37" s="319">
        <v>503086.59</v>
      </c>
      <c r="BD37" s="319">
        <v>531385.92000000004</v>
      </c>
      <c r="BE37" s="319">
        <v>542461.86</v>
      </c>
      <c r="BF37" s="319">
        <v>565388.39</v>
      </c>
      <c r="BG37" s="319">
        <v>612565.4</v>
      </c>
      <c r="BH37" s="319">
        <v>612414.62</v>
      </c>
      <c r="BI37" s="319">
        <v>633618.44999999995</v>
      </c>
      <c r="BJ37" s="319">
        <v>619883.25</v>
      </c>
      <c r="BK37" s="319">
        <v>566359.74300000002</v>
      </c>
      <c r="BL37" s="319">
        <v>566125.92000000004</v>
      </c>
      <c r="BM37" s="319">
        <v>576349.78</v>
      </c>
      <c r="BN37" s="319"/>
      <c r="BO37" s="362">
        <v>574637.43999999994</v>
      </c>
      <c r="BP37" s="753">
        <v>635042.69999999995</v>
      </c>
      <c r="BQ37" s="753">
        <v>645637.38</v>
      </c>
      <c r="BR37" s="753">
        <v>668229.72</v>
      </c>
      <c r="BS37" s="753">
        <v>678000</v>
      </c>
      <c r="BT37" s="286"/>
      <c r="BU37" s="43" t="s">
        <v>21</v>
      </c>
      <c r="BV37" s="319">
        <v>94936.16</v>
      </c>
      <c r="BW37" s="319">
        <v>112837.4</v>
      </c>
      <c r="BX37" s="319">
        <v>89395.5</v>
      </c>
      <c r="BY37" s="319">
        <v>184517.6</v>
      </c>
      <c r="BZ37" s="319">
        <v>138678.96</v>
      </c>
      <c r="CA37" s="319">
        <v>139151.60999999999</v>
      </c>
      <c r="CB37" s="319">
        <v>143065.44</v>
      </c>
      <c r="CC37" s="319">
        <v>100455.9</v>
      </c>
      <c r="CD37" s="319">
        <v>58439.679999999993</v>
      </c>
      <c r="CE37" s="319">
        <v>118703.28</v>
      </c>
      <c r="CF37" s="319">
        <v>108990.59</v>
      </c>
      <c r="CG37" s="319">
        <v>145831.21</v>
      </c>
      <c r="CH37" s="319">
        <v>166811.05000000002</v>
      </c>
      <c r="CI37" s="319">
        <v>191305.9</v>
      </c>
      <c r="CJ37" s="319">
        <v>142105.06</v>
      </c>
      <c r="CK37" s="319">
        <v>89413.1</v>
      </c>
      <c r="CL37" s="319"/>
      <c r="CM37" s="362">
        <v>118095.51999999999</v>
      </c>
      <c r="CN37" s="753">
        <v>240385.33000000002</v>
      </c>
      <c r="CO37" s="753">
        <v>112367.09</v>
      </c>
      <c r="CP37" s="753">
        <v>164604.28</v>
      </c>
      <c r="CQ37" s="753">
        <v>140175</v>
      </c>
      <c r="CR37" s="39"/>
      <c r="CS37" s="43" t="s">
        <v>21</v>
      </c>
      <c r="CT37" s="319">
        <v>224394.56</v>
      </c>
      <c r="CU37" s="319">
        <v>225674.8</v>
      </c>
      <c r="CV37" s="319">
        <v>295005.15000000002</v>
      </c>
      <c r="CW37" s="319">
        <v>221421.12</v>
      </c>
      <c r="CX37" s="319">
        <v>287263.56</v>
      </c>
      <c r="CY37" s="319">
        <v>299711.15999999997</v>
      </c>
      <c r="CZ37" s="319">
        <v>296349.84000000003</v>
      </c>
      <c r="DA37" s="319">
        <v>321458.88</v>
      </c>
      <c r="DB37" s="319">
        <v>315788.20999999996</v>
      </c>
      <c r="DC37" s="319">
        <v>319799.09000000003</v>
      </c>
      <c r="DD37" s="319">
        <v>363265.94000000006</v>
      </c>
      <c r="DE37" s="319">
        <v>370706.29</v>
      </c>
      <c r="DF37" s="319">
        <v>372048.68</v>
      </c>
      <c r="DG37" s="319">
        <v>310950.45</v>
      </c>
      <c r="DH37" s="319">
        <v>248761.56</v>
      </c>
      <c r="DI37" s="319">
        <v>236359.19</v>
      </c>
      <c r="DJ37" s="319"/>
      <c r="DK37" s="362">
        <v>248513.73</v>
      </c>
      <c r="DL37" s="753">
        <v>224985.66</v>
      </c>
      <c r="DM37" s="753">
        <v>253640.68</v>
      </c>
      <c r="DN37" s="753">
        <v>243176.40000000002</v>
      </c>
      <c r="DO37" s="753">
        <v>255050</v>
      </c>
      <c r="DP37" s="39"/>
      <c r="DQ37" s="43" t="s">
        <v>21</v>
      </c>
      <c r="DR37" s="319">
        <v>34522.239999999998</v>
      </c>
      <c r="DS37" s="319">
        <v>26039.4</v>
      </c>
      <c r="DT37" s="319">
        <v>17879.099999999999</v>
      </c>
      <c r="DU37" s="319">
        <v>18451.759999999998</v>
      </c>
      <c r="DV37" s="319">
        <v>19811.28</v>
      </c>
      <c r="DW37" s="319">
        <v>21407.94</v>
      </c>
      <c r="DX37" s="319">
        <v>10218.959999999999</v>
      </c>
      <c r="DY37" s="319">
        <v>10045.59</v>
      </c>
      <c r="DZ37" s="319">
        <v>13086.57</v>
      </c>
      <c r="EA37" s="319">
        <v>6713.12</v>
      </c>
      <c r="EB37" s="319">
        <v>11797.73</v>
      </c>
      <c r="EC37" s="319">
        <v>13327.31</v>
      </c>
      <c r="ED37" s="319">
        <v>9549.01</v>
      </c>
      <c r="EE37" s="319">
        <v>5292.54</v>
      </c>
      <c r="EF37" s="319">
        <v>4713.04</v>
      </c>
      <c r="EG37" s="319">
        <v>3872.5</v>
      </c>
      <c r="EH37" s="319"/>
      <c r="EI37" s="362">
        <v>5268.4</v>
      </c>
      <c r="EJ37" s="753">
        <v>2000.1</v>
      </c>
      <c r="EK37" s="753">
        <v>2005.31</v>
      </c>
      <c r="EL37" s="753">
        <v>1395.09</v>
      </c>
      <c r="EM37" s="753">
        <v>1300</v>
      </c>
      <c r="EN37" s="39"/>
      <c r="EO37" s="43" t="s">
        <v>21</v>
      </c>
      <c r="EP37" s="319">
        <v>69044.479999999996</v>
      </c>
      <c r="EQ37" s="319">
        <v>43399</v>
      </c>
      <c r="ER37" s="319">
        <v>17879.099999999999</v>
      </c>
      <c r="ES37" s="319">
        <v>18451.759999999998</v>
      </c>
      <c r="ET37" s="319">
        <v>29716.92</v>
      </c>
      <c r="EU37" s="319">
        <v>85631.76</v>
      </c>
      <c r="EV37" s="319">
        <v>20437.919999999998</v>
      </c>
      <c r="EW37" s="319">
        <v>10045.59</v>
      </c>
      <c r="EX37" s="319">
        <v>49146.180000000008</v>
      </c>
      <c r="EY37" s="319">
        <v>31893.770000000004</v>
      </c>
      <c r="EZ37" s="319">
        <v>64354.259999999995</v>
      </c>
      <c r="FA37" s="319">
        <v>127710.53</v>
      </c>
      <c r="FB37" s="319">
        <v>43910.99</v>
      </c>
      <c r="FC37" s="319">
        <v>36555.53</v>
      </c>
      <c r="FD37" s="319">
        <v>45006.509999999995</v>
      </c>
      <c r="FE37" s="319">
        <v>54405.490000000005</v>
      </c>
      <c r="FF37" s="319"/>
      <c r="FG37" s="362">
        <v>60891.409999999996</v>
      </c>
      <c r="FH37" s="362">
        <v>59298.63</v>
      </c>
      <c r="FI37" s="362">
        <v>77194.259999999995</v>
      </c>
      <c r="FJ37" s="362">
        <v>24145.56</v>
      </c>
      <c r="FK37" s="362">
        <v>24500</v>
      </c>
      <c r="FM37" s="43" t="s">
        <v>21</v>
      </c>
      <c r="FN37" s="319">
        <v>578721</v>
      </c>
      <c r="FO37" s="319">
        <v>227599</v>
      </c>
      <c r="FP37" s="319">
        <v>248690</v>
      </c>
      <c r="FQ37" s="319">
        <v>201206</v>
      </c>
      <c r="FR37" s="319">
        <v>251496</v>
      </c>
      <c r="FS37" s="319">
        <v>226150</v>
      </c>
      <c r="FT37" s="319">
        <v>220056</v>
      </c>
      <c r="FU37" s="319">
        <v>188047</v>
      </c>
      <c r="FV37" s="319">
        <v>194708.89000000013</v>
      </c>
      <c r="FW37" s="319">
        <v>248927.16</v>
      </c>
      <c r="FX37" s="319">
        <v>305456.46000000002</v>
      </c>
      <c r="FY37" s="319">
        <v>307696.74</v>
      </c>
      <c r="FZ37" s="319">
        <v>195220.35</v>
      </c>
      <c r="GA37" s="319">
        <v>164618.07999999999</v>
      </c>
      <c r="GB37" s="319">
        <v>85558.98</v>
      </c>
      <c r="GC37" s="319">
        <v>84252.800000000003</v>
      </c>
      <c r="GD37" s="319"/>
      <c r="GE37" s="319">
        <v>217976.19</v>
      </c>
      <c r="GF37" s="756">
        <v>271506.87</v>
      </c>
      <c r="GG37" s="756">
        <v>189139.6</v>
      </c>
      <c r="GH37" s="756">
        <v>146205.37000000034</v>
      </c>
      <c r="GI37" s="756">
        <v>31197.370000000112</v>
      </c>
      <c r="GJ37" s="42"/>
      <c r="GK37" s="570" t="s">
        <v>21</v>
      </c>
      <c r="GL37" s="571">
        <f>FN37/'4GF Expenditures'!B38</f>
        <v>0.64128118611106499</v>
      </c>
      <c r="GM37" s="571">
        <f>FO37/'4GF Expenditures'!C38</f>
        <v>0.18669397638589716</v>
      </c>
      <c r="GN37" s="571">
        <f>FP37/'4GF Expenditures'!D38</f>
        <v>0.28491265535066174</v>
      </c>
      <c r="GO37" s="571">
        <f>FQ37/'4GF Expenditures'!E38</f>
        <v>0.20741347034034588</v>
      </c>
      <c r="GP37" s="571">
        <f>FR37/'4GF Expenditures'!F38</f>
        <v>0.26747097122753583</v>
      </c>
      <c r="GQ37" s="571">
        <f>FS37/'4GF Expenditures'!G38</f>
        <v>0.20638963698604509</v>
      </c>
      <c r="GR37" s="571">
        <f>FT37/'4GF Expenditures'!H38</f>
        <v>0.21406433914726797</v>
      </c>
      <c r="GS37" s="571">
        <f>FU37/'4GF Expenditures'!I38</f>
        <v>0.18141326127495858</v>
      </c>
      <c r="GT37" s="571">
        <f>FV37/'4GF Expenditures'!J38</f>
        <v>0.19132729673977564</v>
      </c>
      <c r="GU37" s="571">
        <f>FW37/'4GF Expenditures'!K38</f>
        <v>0.22679814932129377</v>
      </c>
      <c r="GV37" s="571">
        <f>FX37/'4GF Expenditures'!L38</f>
        <v>0.25185972977049081</v>
      </c>
      <c r="GW37" s="571">
        <f>FY37/'4GF Expenditures'!M38</f>
        <v>0.20535391697692768</v>
      </c>
      <c r="GX37" s="571">
        <f>FZ37/'4GF Expenditures'!N38</f>
        <v>0.12704817551838632</v>
      </c>
      <c r="GY37" s="571">
        <f>GA37/'4GF Expenditures'!O38</f>
        <v>0.11793085234167254</v>
      </c>
      <c r="GZ37" s="571">
        <f>GB37/'4GF Expenditures'!P38</f>
        <v>6.0103888238255222E-2</v>
      </c>
      <c r="HA37" s="571">
        <f>GC37/'4GF Expenditures'!Q38</f>
        <v>6.5720478712182895E-2</v>
      </c>
      <c r="HB37" s="571" t="e">
        <f>GD37/'4GF Expenditures'!R38</f>
        <v>#DIV/0!</v>
      </c>
      <c r="HC37" s="571">
        <f>GE37/'4GF Expenditures'!S38</f>
        <v>0.15519873809928189</v>
      </c>
      <c r="HD37" s="571">
        <f>GF37/'4GF Expenditures'!T38</f>
        <v>0.179631472236055</v>
      </c>
      <c r="HE37" s="571">
        <f>GG37/'4GF Expenditures'!U38</f>
        <v>0.1270286359579271</v>
      </c>
      <c r="HF37" s="571">
        <f>GH37/'4GF Expenditures'!V38</f>
        <v>9.833186918163829E-2</v>
      </c>
      <c r="HG37" s="571">
        <f>GI37/'4GF Expenditures'!W38</f>
        <v>2.0004302570064317E-2</v>
      </c>
      <c r="HH37" s="571"/>
      <c r="HI37" s="571"/>
      <c r="HJ37" s="571"/>
      <c r="HK37" s="568"/>
      <c r="HL37" s="567" t="s">
        <v>21</v>
      </c>
      <c r="HM37" s="571">
        <f>B37/'4GF Expenditures'!B38</f>
        <v>0.95635301874352452</v>
      </c>
      <c r="HN37" s="571">
        <f>C37/'4GF Expenditures'!C38</f>
        <v>0.71198308262967336</v>
      </c>
      <c r="HO37" s="571">
        <f>D37/'4GF Expenditures'!D38</f>
        <v>1.0241629852989698</v>
      </c>
      <c r="HP37" s="571">
        <f>E37/'4GF Expenditures'!E38</f>
        <v>0.95105105600409046</v>
      </c>
      <c r="HQ37" s="571">
        <f>F37/'4GF Expenditures'!F38</f>
        <v>1.0534844098635079</v>
      </c>
      <c r="HR37" s="571">
        <f>G37/'4GF Expenditures'!G38</f>
        <v>0.97686866354610524</v>
      </c>
      <c r="HS37" s="571">
        <f>H37/'4GF Expenditures'!H38</f>
        <v>0.99407192676971567</v>
      </c>
      <c r="HT37" s="571">
        <f>I37/'4GF Expenditures'!I38</f>
        <v>0.96912114701702834</v>
      </c>
      <c r="HU37" s="571">
        <f>J37/'4GF Expenditures'!J38</f>
        <v>1.0065459345989831</v>
      </c>
      <c r="HV37" s="571">
        <f>K37/'4GF Expenditures'!K38</f>
        <v>1.0493983994972755</v>
      </c>
      <c r="HW37" s="571">
        <f>L37/'4GF Expenditures'!L38</f>
        <v>1.0466104210797018</v>
      </c>
      <c r="HX37" s="571">
        <f>M37/'4GF Expenditures'!M38</f>
        <v>1.0014951551979505</v>
      </c>
      <c r="HY37" s="571">
        <f>N37/'4GF Expenditures'!N38</f>
        <v>0.92680107305209491</v>
      </c>
      <c r="HZ37" s="571">
        <f>O37/'4GF Expenditures'!O38</f>
        <v>0.97807682223667403</v>
      </c>
      <c r="IA37" s="571">
        <f>P37/'4GF Expenditures'!P38</f>
        <v>0.94446217906504937</v>
      </c>
      <c r="IB37" s="571">
        <f>Q37/'4GF Expenditures'!Q38</f>
        <v>0.99898112852173138</v>
      </c>
      <c r="IC37" s="571" t="e">
        <f>R37/'4GF Expenditures'!R38</f>
        <v>#DIV/0!</v>
      </c>
      <c r="ID37" s="573">
        <f>S37/'4GF Expenditures'!S38</f>
        <v>0.95021881069209402</v>
      </c>
      <c r="IE37" s="572">
        <f>T37/'4GF Expenditures'!T38</f>
        <v>1.0352002020501896</v>
      </c>
      <c r="IF37" s="572">
        <f>U37/'4GF Expenditures'!U38</f>
        <v>0.94468106120728657</v>
      </c>
      <c r="IG37" s="572">
        <f>V37/'4GF Expenditures'!V38</f>
        <v>0.97112415851911371</v>
      </c>
      <c r="IH37" s="572">
        <f>W37/'4GF Expenditures'!W38</f>
        <v>0.92625484680349823</v>
      </c>
    </row>
    <row r="38" spans="1:242" ht="14">
      <c r="A38" s="43" t="s">
        <v>22</v>
      </c>
      <c r="B38" s="319">
        <v>492922</v>
      </c>
      <c r="C38" s="319">
        <v>590257</v>
      </c>
      <c r="D38" s="319">
        <v>615821</v>
      </c>
      <c r="E38" s="319">
        <v>642209</v>
      </c>
      <c r="F38" s="319">
        <v>656100</v>
      </c>
      <c r="G38" s="319">
        <v>693441</v>
      </c>
      <c r="H38" s="319">
        <v>782340</v>
      </c>
      <c r="I38" s="319">
        <v>907672</v>
      </c>
      <c r="J38" s="319">
        <v>829979.86</v>
      </c>
      <c r="K38" s="319">
        <v>884590.22000000009</v>
      </c>
      <c r="L38" s="319">
        <v>914691.33</v>
      </c>
      <c r="M38" s="319">
        <v>799986</v>
      </c>
      <c r="N38" s="319">
        <v>1015782.8200000001</v>
      </c>
      <c r="O38" s="319">
        <v>1002821.43</v>
      </c>
      <c r="P38" s="319">
        <v>1408786.3800000001</v>
      </c>
      <c r="Q38" s="319">
        <v>852943.30999999994</v>
      </c>
      <c r="R38" s="319"/>
      <c r="S38" s="362">
        <v>1296145.243</v>
      </c>
      <c r="T38" s="362"/>
      <c r="U38" s="362">
        <v>917435.47999999986</v>
      </c>
      <c r="V38" s="362">
        <v>968669.40000000014</v>
      </c>
      <c r="W38" s="362">
        <v>1020666.8</v>
      </c>
      <c r="X38" s="6"/>
      <c r="Y38" s="43" t="s">
        <v>22</v>
      </c>
      <c r="Z38" s="319">
        <v>167593.48000000001</v>
      </c>
      <c r="AA38" s="319">
        <v>218395.09</v>
      </c>
      <c r="AB38" s="319">
        <v>190904.51</v>
      </c>
      <c r="AC38" s="319">
        <v>192662.7</v>
      </c>
      <c r="AD38" s="319">
        <v>203391</v>
      </c>
      <c r="AE38" s="319">
        <v>208032.3</v>
      </c>
      <c r="AF38" s="319">
        <v>211231.8</v>
      </c>
      <c r="AG38" s="319">
        <v>217841.28</v>
      </c>
      <c r="AH38" s="319">
        <v>231131.48</v>
      </c>
      <c r="AI38" s="319">
        <v>234293.6</v>
      </c>
      <c r="AJ38" s="319">
        <v>223780.13</v>
      </c>
      <c r="AK38" s="319">
        <v>175778.48</v>
      </c>
      <c r="AL38" s="319">
        <v>203438.31</v>
      </c>
      <c r="AM38" s="319">
        <v>130265.93000000001</v>
      </c>
      <c r="AN38" s="319">
        <v>151796.51</v>
      </c>
      <c r="AO38" s="319">
        <v>132201.47</v>
      </c>
      <c r="AP38" s="319"/>
      <c r="AQ38" s="362">
        <v>141837.74</v>
      </c>
      <c r="AR38" s="753"/>
      <c r="AS38" s="753">
        <v>142241.07999999999</v>
      </c>
      <c r="AT38" s="753">
        <v>155768.93</v>
      </c>
      <c r="AU38" s="753">
        <v>179000</v>
      </c>
      <c r="AV38" s="39"/>
      <c r="AW38" s="43" t="s">
        <v>22</v>
      </c>
      <c r="AX38" s="319">
        <v>177451.92</v>
      </c>
      <c r="AY38" s="319">
        <v>188882.24</v>
      </c>
      <c r="AZ38" s="319">
        <v>190904.51</v>
      </c>
      <c r="BA38" s="319">
        <v>218351.06</v>
      </c>
      <c r="BB38" s="319">
        <v>209952</v>
      </c>
      <c r="BC38" s="319">
        <v>228835.53</v>
      </c>
      <c r="BD38" s="319">
        <v>234702</v>
      </c>
      <c r="BE38" s="319">
        <v>226918</v>
      </c>
      <c r="BF38" s="319">
        <v>257933.66</v>
      </c>
      <c r="BG38" s="319">
        <v>260913.94</v>
      </c>
      <c r="BH38" s="319">
        <v>285021.95</v>
      </c>
      <c r="BI38" s="319">
        <v>271326.86</v>
      </c>
      <c r="BJ38" s="319">
        <v>265947.51</v>
      </c>
      <c r="BK38" s="319">
        <v>248578.88</v>
      </c>
      <c r="BL38" s="319">
        <v>252063.45</v>
      </c>
      <c r="BM38" s="319">
        <v>283975.07</v>
      </c>
      <c r="BN38" s="319"/>
      <c r="BO38" s="362">
        <v>309907.34299999999</v>
      </c>
      <c r="BP38" s="753"/>
      <c r="BQ38" s="753">
        <v>366327.84</v>
      </c>
      <c r="BR38" s="753">
        <v>361985.62</v>
      </c>
      <c r="BS38" s="753">
        <v>366000</v>
      </c>
      <c r="BT38" s="286"/>
      <c r="BU38" s="43" t="s">
        <v>22</v>
      </c>
      <c r="BV38" s="319">
        <v>29575.32</v>
      </c>
      <c r="BW38" s="319">
        <v>35415.42</v>
      </c>
      <c r="BX38" s="319">
        <v>30791.05</v>
      </c>
      <c r="BY38" s="319">
        <v>38532.54</v>
      </c>
      <c r="BZ38" s="319">
        <v>39366</v>
      </c>
      <c r="CA38" s="319">
        <v>27737.64</v>
      </c>
      <c r="CB38" s="319">
        <v>23470.2</v>
      </c>
      <c r="CC38" s="319">
        <v>63537.04</v>
      </c>
      <c r="CD38" s="319">
        <v>75420.760000000009</v>
      </c>
      <c r="CE38" s="319">
        <v>63030.210000000006</v>
      </c>
      <c r="CF38" s="319">
        <v>60731.92</v>
      </c>
      <c r="CG38" s="319">
        <v>67655.37</v>
      </c>
      <c r="CH38" s="319">
        <v>67725.709999999992</v>
      </c>
      <c r="CI38" s="319">
        <v>67169.14</v>
      </c>
      <c r="CJ38" s="319">
        <v>576796.51</v>
      </c>
      <c r="CK38" s="319">
        <v>77088.14</v>
      </c>
      <c r="CL38" s="319"/>
      <c r="CM38" s="362">
        <v>406789.13</v>
      </c>
      <c r="CN38" s="753"/>
      <c r="CO38" s="753">
        <v>74720.099999999991</v>
      </c>
      <c r="CP38" s="753">
        <v>92193.78</v>
      </c>
      <c r="CQ38" s="753">
        <v>118233.65</v>
      </c>
      <c r="CR38" s="39"/>
      <c r="CS38" s="43" t="s">
        <v>22</v>
      </c>
      <c r="CT38" s="319">
        <v>83796.740000000005</v>
      </c>
      <c r="CU38" s="319">
        <v>106246.26</v>
      </c>
      <c r="CV38" s="319">
        <v>98531.36</v>
      </c>
      <c r="CW38" s="319">
        <v>109175.53</v>
      </c>
      <c r="CX38" s="319">
        <v>111537</v>
      </c>
      <c r="CY38" s="319">
        <v>104016.15</v>
      </c>
      <c r="CZ38" s="319">
        <v>109527.6</v>
      </c>
      <c r="DA38" s="319">
        <v>127074.08</v>
      </c>
      <c r="DB38" s="319">
        <v>122693.09</v>
      </c>
      <c r="DC38" s="319">
        <v>128140.90000000001</v>
      </c>
      <c r="DD38" s="319">
        <v>124825.80000000002</v>
      </c>
      <c r="DE38" s="319">
        <v>149386.63999999998</v>
      </c>
      <c r="DF38" s="319">
        <v>334482.89</v>
      </c>
      <c r="DG38" s="319">
        <v>282328.32000000001</v>
      </c>
      <c r="DH38" s="319">
        <v>285537.29000000004</v>
      </c>
      <c r="DI38" s="319">
        <v>290791.07999999996</v>
      </c>
      <c r="DJ38" s="319"/>
      <c r="DK38" s="362">
        <v>314755.48</v>
      </c>
      <c r="DL38" s="753"/>
      <c r="DM38" s="753">
        <v>300066.84999999998</v>
      </c>
      <c r="DN38" s="753">
        <v>329294.79000000004</v>
      </c>
      <c r="DO38" s="753">
        <v>326783.15000000002</v>
      </c>
      <c r="DP38" s="39"/>
      <c r="DQ38" s="43" t="s">
        <v>22</v>
      </c>
      <c r="DR38" s="319">
        <v>14787.66</v>
      </c>
      <c r="DS38" s="319">
        <v>23610.28</v>
      </c>
      <c r="DT38" s="319">
        <v>24632.84</v>
      </c>
      <c r="DU38" s="319">
        <v>25688.36</v>
      </c>
      <c r="DV38" s="319">
        <v>39366</v>
      </c>
      <c r="DW38" s="319">
        <v>41606.46</v>
      </c>
      <c r="DX38" s="319">
        <v>23470.2</v>
      </c>
      <c r="DY38" s="319">
        <v>18153.439999999999</v>
      </c>
      <c r="DZ38" s="319">
        <v>14362.64</v>
      </c>
      <c r="EA38" s="319">
        <v>28668.54</v>
      </c>
      <c r="EB38" s="319">
        <v>49456.97</v>
      </c>
      <c r="EC38" s="319">
        <v>78079.64</v>
      </c>
      <c r="ED38" s="319">
        <v>74494.14</v>
      </c>
      <c r="EE38" s="319">
        <v>55421.94</v>
      </c>
      <c r="EF38" s="319">
        <v>40466.89</v>
      </c>
      <c r="EG38" s="319">
        <v>21971.86</v>
      </c>
      <c r="EH38" s="319"/>
      <c r="EI38" s="362">
        <v>8402.9699999999993</v>
      </c>
      <c r="EJ38" s="753"/>
      <c r="EK38" s="753">
        <v>6792.52</v>
      </c>
      <c r="EL38" s="753">
        <v>7300.25</v>
      </c>
      <c r="EM38" s="753">
        <v>6500</v>
      </c>
      <c r="EN38" s="39"/>
      <c r="EO38" s="43" t="s">
        <v>22</v>
      </c>
      <c r="EP38" s="319">
        <v>19716.88</v>
      </c>
      <c r="EQ38" s="319">
        <v>17707.71</v>
      </c>
      <c r="ER38" s="319">
        <v>80056.73</v>
      </c>
      <c r="ES38" s="319">
        <v>57798.81</v>
      </c>
      <c r="ET38" s="319">
        <v>52488</v>
      </c>
      <c r="EU38" s="319">
        <v>83212.92</v>
      </c>
      <c r="EV38" s="319">
        <v>179938.2</v>
      </c>
      <c r="EW38" s="319">
        <v>254148.16</v>
      </c>
      <c r="EX38" s="319">
        <v>128438.23000000001</v>
      </c>
      <c r="EY38" s="319">
        <v>138742.22</v>
      </c>
      <c r="EZ38" s="319">
        <v>140874.56</v>
      </c>
      <c r="FA38" s="319">
        <v>57759.01</v>
      </c>
      <c r="FB38" s="319">
        <v>55933.26</v>
      </c>
      <c r="FC38" s="319">
        <v>219057.21999999997</v>
      </c>
      <c r="FD38" s="319">
        <v>102125.73</v>
      </c>
      <c r="FE38" s="319">
        <v>46915.69</v>
      </c>
      <c r="FF38" s="319"/>
      <c r="FG38" s="362">
        <v>114452.58000000002</v>
      </c>
      <c r="FH38" s="362"/>
      <c r="FI38" s="362">
        <v>25782.090000000004</v>
      </c>
      <c r="FJ38" s="362">
        <v>21986.030000000002</v>
      </c>
      <c r="FK38" s="362">
        <v>24150</v>
      </c>
      <c r="FM38" s="43" t="s">
        <v>22</v>
      </c>
      <c r="FN38" s="319">
        <v>389198</v>
      </c>
      <c r="FO38" s="319">
        <v>546957</v>
      </c>
      <c r="FP38" s="319">
        <v>565962</v>
      </c>
      <c r="FQ38" s="319">
        <v>634860</v>
      </c>
      <c r="FR38" s="319">
        <v>698461</v>
      </c>
      <c r="FS38" s="319">
        <v>652748</v>
      </c>
      <c r="FT38" s="319">
        <v>815997</v>
      </c>
      <c r="FU38" s="319">
        <v>1043443</v>
      </c>
      <c r="FV38" s="319">
        <v>1152305.33</v>
      </c>
      <c r="FW38" s="319">
        <v>1381358.87</v>
      </c>
      <c r="FX38" s="319">
        <v>1558101.51</v>
      </c>
      <c r="FY38" s="319">
        <v>1573937.63</v>
      </c>
      <c r="FZ38" s="319">
        <v>1749160.08</v>
      </c>
      <c r="GA38" s="319">
        <v>1664093.96</v>
      </c>
      <c r="GB38" s="319">
        <v>1647275.6</v>
      </c>
      <c r="GC38" s="319">
        <v>1595448.91</v>
      </c>
      <c r="GD38" s="319"/>
      <c r="GE38" s="319">
        <v>1596391.03</v>
      </c>
      <c r="GF38" s="756"/>
      <c r="GG38" s="756">
        <v>1556431.74</v>
      </c>
      <c r="GH38" s="756">
        <v>1477954.6600000001</v>
      </c>
      <c r="GI38" s="756">
        <v>1293528.0999999999</v>
      </c>
      <c r="GJ38" s="42"/>
      <c r="GK38" s="570" t="s">
        <v>22</v>
      </c>
      <c r="GL38" s="571">
        <f>FN38/'4GF Expenditures'!B39</f>
        <v>0.83805368997452667</v>
      </c>
      <c r="GM38" s="571">
        <f>FO38/'4GF Expenditures'!C39</f>
        <v>1.26464631050317</v>
      </c>
      <c r="GN38" s="571">
        <f>FP38/'4GF Expenditures'!D39</f>
        <v>0.94830232433446826</v>
      </c>
      <c r="GO38" s="571">
        <f>FQ38/'4GF Expenditures'!E39</f>
        <v>1.1073570889098587</v>
      </c>
      <c r="GP38" s="571">
        <f>FR38/'4GF Expenditures'!F39</f>
        <v>1.1788391204035786</v>
      </c>
      <c r="GQ38" s="571">
        <f>FS38/'4GF Expenditures'!G39</f>
        <v>0.8831014917053821</v>
      </c>
      <c r="GR38" s="571">
        <f>FT38/'4GF Expenditures'!H39</f>
        <v>1.3180566346466029</v>
      </c>
      <c r="GS38" s="571">
        <f>FU38/'4GF Expenditures'!I39</f>
        <v>1.5339651821600468</v>
      </c>
      <c r="GT38" s="571">
        <f>FV38/'4GF Expenditures'!J39</f>
        <v>1.5979441932185854</v>
      </c>
      <c r="GU38" s="571">
        <f>FW38/'4GF Expenditures'!K39</f>
        <v>2.10721827190509</v>
      </c>
      <c r="GV38" s="571">
        <f>FX38/'4GF Expenditures'!L39</f>
        <v>2.1113954548791187</v>
      </c>
      <c r="GW38" s="571">
        <f>FY38/'4GF Expenditures'!M39</f>
        <v>2.0071897862179102</v>
      </c>
      <c r="GX38" s="571">
        <f>FZ38/'4GF Expenditures'!N39</f>
        <v>2.0809452151545051</v>
      </c>
      <c r="GY38" s="571">
        <f>GA38/'4GF Expenditures'!O39</f>
        <v>1.5296562222814294</v>
      </c>
      <c r="GZ38" s="571">
        <f>GB38/'4GF Expenditures'!P39</f>
        <v>1.1554925104976852</v>
      </c>
      <c r="HA38" s="571">
        <f>GC38/'4GF Expenditures'!Q39</f>
        <v>1.7633751229594261</v>
      </c>
      <c r="HB38" s="571" t="e">
        <f>GD38/'4GF Expenditures'!R39</f>
        <v>#DIV/0!</v>
      </c>
      <c r="HC38" s="571">
        <f>GE38/'4GF Expenditures'!S39</f>
        <v>1.2329793443441799</v>
      </c>
      <c r="HD38" s="571" t="e">
        <f>GF38/'4GF Expenditures'!T39</f>
        <v>#DIV/0!</v>
      </c>
      <c r="HE38" s="571">
        <f>GG38/'4GF Expenditures'!U39</f>
        <v>1.6436583548996611</v>
      </c>
      <c r="HF38" s="571">
        <f>GH38/'4GF Expenditures'!V39</f>
        <v>1.4114115725242184</v>
      </c>
      <c r="HG38" s="571">
        <f>GI38/'4GF Expenditures'!W39</f>
        <v>1.0733841401300228</v>
      </c>
      <c r="HH38" s="571"/>
      <c r="HI38" s="571"/>
      <c r="HJ38" s="571"/>
      <c r="HK38" s="568"/>
      <c r="HL38" s="567" t="s">
        <v>22</v>
      </c>
      <c r="HM38" s="571">
        <f>B38/'4GF Expenditures'!B39</f>
        <v>1.0614008832769533</v>
      </c>
      <c r="HN38" s="571">
        <f>C38/'4GF Expenditures'!C39</f>
        <v>1.3647623804040712</v>
      </c>
      <c r="HO38" s="571">
        <f>D38/'4GF Expenditures'!D39</f>
        <v>1.0318439854159407</v>
      </c>
      <c r="HP38" s="571">
        <f>E38/'4GF Expenditures'!E39</f>
        <v>1.1201756114918431</v>
      </c>
      <c r="HQ38" s="571">
        <f>F38/'4GF Expenditures'!F39</f>
        <v>1.107343641086314</v>
      </c>
      <c r="HR38" s="571">
        <f>G38/'4GF Expenditures'!G39</f>
        <v>0.93815497176501783</v>
      </c>
      <c r="HS38" s="571">
        <f>H38/'4GF Expenditures'!H39</f>
        <v>1.2636914443918583</v>
      </c>
      <c r="HT38" s="571">
        <f>I38/'4GF Expenditures'!I39</f>
        <v>1.3343682834822543</v>
      </c>
      <c r="HU38" s="571">
        <f>J38/'4GF Expenditures'!J39</f>
        <v>1.1509636059527506</v>
      </c>
      <c r="HV38" s="571">
        <f>K38/'4GF Expenditures'!K39</f>
        <v>1.3494137658322949</v>
      </c>
      <c r="HW38" s="571">
        <f>L38/'4GF Expenditures'!L39</f>
        <v>1.2395053238728562</v>
      </c>
      <c r="HX38" s="571">
        <f>M38/'4GF Expenditures'!M39</f>
        <v>1.020195271852876</v>
      </c>
      <c r="HY38" s="571">
        <f>N38/'4GF Expenditures'!N39</f>
        <v>1.2084590902138299</v>
      </c>
      <c r="HZ38" s="571">
        <f>O38/'4GF Expenditures'!O39</f>
        <v>0.92180614623266877</v>
      </c>
      <c r="IA38" s="571">
        <f>P38/'4GF Expenditures'!P39</f>
        <v>0.98820264865280949</v>
      </c>
      <c r="IB38" s="571">
        <f>Q38/'4GF Expenditures'!Q39</f>
        <v>0.94271838146711318</v>
      </c>
      <c r="IC38" s="571" t="e">
        <f>R38/'4GF Expenditures'!R39</f>
        <v>#DIV/0!</v>
      </c>
      <c r="ID38" s="573">
        <f>S38/'4GF Expenditures'!S39</f>
        <v>1.0010832445537907</v>
      </c>
      <c r="IE38" s="572" t="e">
        <f>T38/'4GF Expenditures'!T39</f>
        <v>#DIV/0!</v>
      </c>
      <c r="IF38" s="572">
        <f>U38/'4GF Expenditures'!U39</f>
        <v>0.96885102830361236</v>
      </c>
      <c r="IG38" s="572">
        <f>V38/'4GF Expenditures'!V39</f>
        <v>0.92505625382993228</v>
      </c>
      <c r="IH38" s="572">
        <f>W38/'4GF Expenditures'!W39</f>
        <v>0.84696076991080604</v>
      </c>
    </row>
    <row r="39" spans="1:242" ht="14">
      <c r="A39" s="43" t="s">
        <v>23</v>
      </c>
      <c r="B39" s="319">
        <v>735108</v>
      </c>
      <c r="C39" s="319">
        <v>822457</v>
      </c>
      <c r="D39" s="319">
        <v>1017424</v>
      </c>
      <c r="E39" s="319">
        <v>961918</v>
      </c>
      <c r="F39" s="319">
        <v>1006356</v>
      </c>
      <c r="G39" s="319">
        <v>1178974</v>
      </c>
      <c r="H39" s="319">
        <v>1087722</v>
      </c>
      <c r="I39" s="319">
        <v>1096758</v>
      </c>
      <c r="J39" s="319">
        <v>1200894</v>
      </c>
      <c r="K39" s="319">
        <v>1253924</v>
      </c>
      <c r="L39" s="319">
        <v>1387603</v>
      </c>
      <c r="M39" s="319">
        <v>1356747</v>
      </c>
      <c r="N39" s="319">
        <v>1443884</v>
      </c>
      <c r="O39" s="319">
        <v>1360874</v>
      </c>
      <c r="P39" s="319">
        <v>1444477</v>
      </c>
      <c r="Q39" s="319">
        <v>1569535.17</v>
      </c>
      <c r="R39" s="319">
        <v>1794968.88</v>
      </c>
      <c r="S39" s="362">
        <v>1521568.7399999998</v>
      </c>
      <c r="T39" s="362">
        <v>1537778.5200000003</v>
      </c>
      <c r="U39" s="362"/>
      <c r="V39" s="362"/>
      <c r="W39" s="362"/>
      <c r="X39" s="6"/>
      <c r="Y39" s="43" t="s">
        <v>23</v>
      </c>
      <c r="Z39" s="319">
        <v>22053.24</v>
      </c>
      <c r="AA39" s="319">
        <v>8224.57</v>
      </c>
      <c r="AB39" s="319">
        <v>30522.720000000001</v>
      </c>
      <c r="AC39" s="319">
        <v>38476.720000000001</v>
      </c>
      <c r="AD39" s="319">
        <v>40254.239999999998</v>
      </c>
      <c r="AE39" s="319">
        <v>47158.96</v>
      </c>
      <c r="AF39" s="319">
        <v>65263.32</v>
      </c>
      <c r="AG39" s="319">
        <v>54837.9</v>
      </c>
      <c r="AH39" s="319">
        <v>60512</v>
      </c>
      <c r="AI39" s="319">
        <v>55560</v>
      </c>
      <c r="AJ39" s="319">
        <v>39705</v>
      </c>
      <c r="AK39" s="319">
        <v>2822</v>
      </c>
      <c r="AL39" s="319">
        <v>1655</v>
      </c>
      <c r="AM39" s="319">
        <v>1718</v>
      </c>
      <c r="AN39" s="319">
        <v>1602</v>
      </c>
      <c r="AO39" s="319">
        <v>1619.94</v>
      </c>
      <c r="AP39" s="319">
        <v>2637.16</v>
      </c>
      <c r="AQ39" s="362">
        <v>2666.71</v>
      </c>
      <c r="AR39" s="753">
        <v>48887.8</v>
      </c>
      <c r="AS39" s="753"/>
      <c r="AT39" s="753"/>
      <c r="AU39" s="753"/>
      <c r="AV39" s="39"/>
      <c r="AW39" s="43" t="s">
        <v>23</v>
      </c>
      <c r="AX39" s="319">
        <v>389607.24</v>
      </c>
      <c r="AY39" s="319">
        <v>444126.78</v>
      </c>
      <c r="AZ39" s="319">
        <v>457840.8</v>
      </c>
      <c r="BA39" s="319">
        <v>490578.18</v>
      </c>
      <c r="BB39" s="319">
        <v>533368.68000000005</v>
      </c>
      <c r="BC39" s="319">
        <v>542328.04</v>
      </c>
      <c r="BD39" s="319">
        <v>554738.22</v>
      </c>
      <c r="BE39" s="319">
        <v>592249.31999999995</v>
      </c>
      <c r="BF39" s="319">
        <v>621004</v>
      </c>
      <c r="BG39" s="319">
        <v>616504</v>
      </c>
      <c r="BH39" s="319">
        <v>636618</v>
      </c>
      <c r="BI39" s="319">
        <v>656080</v>
      </c>
      <c r="BJ39" s="319">
        <v>652677</v>
      </c>
      <c r="BK39" s="319">
        <v>632135</v>
      </c>
      <c r="BL39" s="319">
        <v>667607</v>
      </c>
      <c r="BM39" s="319">
        <v>641949.34</v>
      </c>
      <c r="BN39" s="319">
        <v>633633.97</v>
      </c>
      <c r="BO39" s="362">
        <v>634214.84</v>
      </c>
      <c r="BP39" s="753">
        <v>665895.18000000005</v>
      </c>
      <c r="BQ39" s="753"/>
      <c r="BR39" s="753"/>
      <c r="BS39" s="753"/>
      <c r="BT39" s="286"/>
      <c r="BU39" s="43" t="s">
        <v>23</v>
      </c>
      <c r="BV39" s="319">
        <v>58808.639999999999</v>
      </c>
      <c r="BW39" s="319">
        <v>65796.56</v>
      </c>
      <c r="BX39" s="319">
        <v>111916.64</v>
      </c>
      <c r="BY39" s="319">
        <v>86572.62</v>
      </c>
      <c r="BZ39" s="319">
        <v>120762.72</v>
      </c>
      <c r="CA39" s="319">
        <v>35369.22</v>
      </c>
      <c r="CB39" s="319">
        <v>97894.98</v>
      </c>
      <c r="CC39" s="319">
        <v>87740.64</v>
      </c>
      <c r="CD39" s="319">
        <v>145504</v>
      </c>
      <c r="CE39" s="319">
        <v>107311</v>
      </c>
      <c r="CF39" s="319">
        <v>231194</v>
      </c>
      <c r="CG39" s="319">
        <v>98561</v>
      </c>
      <c r="CH39" s="319">
        <v>87946</v>
      </c>
      <c r="CI39" s="319">
        <v>113602</v>
      </c>
      <c r="CJ39" s="319">
        <v>84951</v>
      </c>
      <c r="CK39" s="319">
        <v>62176.92</v>
      </c>
      <c r="CL39" s="319">
        <v>91390.56</v>
      </c>
      <c r="CM39" s="362">
        <v>137314.68</v>
      </c>
      <c r="CN39" s="753">
        <v>112184.25</v>
      </c>
      <c r="CO39" s="753"/>
      <c r="CP39" s="753"/>
      <c r="CQ39" s="753"/>
      <c r="CR39" s="39"/>
      <c r="CS39" s="43" t="s">
        <v>23</v>
      </c>
      <c r="CT39" s="319">
        <v>132319.44</v>
      </c>
      <c r="CU39" s="319">
        <v>164491.4</v>
      </c>
      <c r="CV39" s="319">
        <v>162787.84</v>
      </c>
      <c r="CW39" s="319">
        <v>173145.24</v>
      </c>
      <c r="CX39" s="319">
        <v>150953.4</v>
      </c>
      <c r="CY39" s="319">
        <v>188635.84</v>
      </c>
      <c r="CZ39" s="319">
        <v>206667.18</v>
      </c>
      <c r="DA39" s="319">
        <v>175481.28</v>
      </c>
      <c r="DB39" s="319">
        <v>226079</v>
      </c>
      <c r="DC39" s="319">
        <v>275109</v>
      </c>
      <c r="DD39" s="319">
        <v>353657</v>
      </c>
      <c r="DE39" s="319">
        <v>368351</v>
      </c>
      <c r="DF39" s="319">
        <v>482556</v>
      </c>
      <c r="DG39" s="319">
        <v>490095</v>
      </c>
      <c r="DH39" s="319">
        <v>543934</v>
      </c>
      <c r="DI39" s="319">
        <v>571655.24</v>
      </c>
      <c r="DJ39" s="319">
        <v>588091.01999999979</v>
      </c>
      <c r="DK39" s="362">
        <v>464469.45</v>
      </c>
      <c r="DL39" s="753">
        <v>485587.98</v>
      </c>
      <c r="DM39" s="753"/>
      <c r="DN39" s="753"/>
      <c r="DO39" s="753"/>
      <c r="DP39" s="39"/>
      <c r="DQ39" s="43" t="s">
        <v>23</v>
      </c>
      <c r="DR39" s="319">
        <v>14702.16</v>
      </c>
      <c r="DS39" s="319">
        <v>8224.57</v>
      </c>
      <c r="DT39" s="319">
        <v>10174.24</v>
      </c>
      <c r="DU39" s="319">
        <v>9619.18</v>
      </c>
      <c r="DV39" s="319">
        <v>10063.56</v>
      </c>
      <c r="DW39" s="319">
        <v>11789.74</v>
      </c>
      <c r="DX39" s="319">
        <v>0</v>
      </c>
      <c r="DY39" s="319">
        <v>0</v>
      </c>
      <c r="DZ39" s="319">
        <v>6828</v>
      </c>
      <c r="EA39" s="319">
        <v>8726</v>
      </c>
      <c r="EB39" s="319">
        <v>12626</v>
      </c>
      <c r="EC39" s="319">
        <v>11982</v>
      </c>
      <c r="ED39" s="319">
        <v>7724</v>
      </c>
      <c r="EE39" s="319">
        <v>4317</v>
      </c>
      <c r="EF39" s="319">
        <v>3946</v>
      </c>
      <c r="EG39" s="319">
        <v>5113.8599999999997</v>
      </c>
      <c r="EH39" s="319">
        <v>3518.25</v>
      </c>
      <c r="EI39" s="362">
        <v>2396.1999999999998</v>
      </c>
      <c r="EJ39" s="753">
        <v>400.71</v>
      </c>
      <c r="EK39" s="753"/>
      <c r="EL39" s="753"/>
      <c r="EM39" s="753"/>
      <c r="EN39" s="39"/>
      <c r="EO39" s="43" t="s">
        <v>23</v>
      </c>
      <c r="EP39" s="319">
        <v>117617.28</v>
      </c>
      <c r="EQ39" s="319">
        <v>131593.12</v>
      </c>
      <c r="ER39" s="319">
        <v>244181.76000000001</v>
      </c>
      <c r="ES39" s="319">
        <v>163526.06</v>
      </c>
      <c r="ET39" s="319">
        <v>150953.4</v>
      </c>
      <c r="EU39" s="319">
        <v>353692.2</v>
      </c>
      <c r="EV39" s="319">
        <v>163158.29999999999</v>
      </c>
      <c r="EW39" s="319">
        <v>186448.86</v>
      </c>
      <c r="EX39" s="319">
        <v>102814</v>
      </c>
      <c r="EY39" s="319">
        <v>89143</v>
      </c>
      <c r="EZ39" s="319">
        <v>100951</v>
      </c>
      <c r="FA39" s="319">
        <v>145804</v>
      </c>
      <c r="FB39" s="319">
        <v>128365</v>
      </c>
      <c r="FC39" s="319">
        <v>50813</v>
      </c>
      <c r="FD39" s="319">
        <v>26654</v>
      </c>
      <c r="FE39" s="319">
        <v>104169.75</v>
      </c>
      <c r="FF39" s="319">
        <v>103624.58</v>
      </c>
      <c r="FG39" s="362">
        <v>148549.57</v>
      </c>
      <c r="FH39" s="362">
        <v>183927.53</v>
      </c>
      <c r="FI39" s="362"/>
      <c r="FJ39" s="362"/>
      <c r="FK39" s="362"/>
      <c r="FM39" s="43" t="s">
        <v>23</v>
      </c>
      <c r="FN39" s="319">
        <v>81654</v>
      </c>
      <c r="FO39" s="319">
        <v>80946</v>
      </c>
      <c r="FP39" s="319">
        <v>124622</v>
      </c>
      <c r="FQ39" s="319">
        <v>88682</v>
      </c>
      <c r="FR39" s="319">
        <v>72340</v>
      </c>
      <c r="FS39" s="319">
        <v>17367</v>
      </c>
      <c r="FT39" s="319">
        <v>2722</v>
      </c>
      <c r="FU39" s="319">
        <v>45509</v>
      </c>
      <c r="FV39" s="319">
        <v>96100</v>
      </c>
      <c r="FW39" s="319">
        <v>159200</v>
      </c>
      <c r="FX39" s="319">
        <v>180470</v>
      </c>
      <c r="FY39" s="319">
        <v>108992</v>
      </c>
      <c r="FZ39" s="319">
        <v>53027</v>
      </c>
      <c r="GA39" s="319">
        <v>71816</v>
      </c>
      <c r="GB39" s="319">
        <v>130016.16</v>
      </c>
      <c r="GC39" s="319">
        <v>89431.47</v>
      </c>
      <c r="GD39" s="319">
        <v>126606.6</v>
      </c>
      <c r="GE39" s="319">
        <v>52132.09</v>
      </c>
      <c r="GF39" s="756">
        <v>8922.1299999999992</v>
      </c>
      <c r="GG39" s="756"/>
      <c r="GH39" s="756"/>
      <c r="GI39" s="756"/>
      <c r="GJ39" s="42"/>
      <c r="GK39" s="570" t="s">
        <v>23</v>
      </c>
      <c r="GL39" s="571">
        <f>FN39/'4GF Expenditures'!B40</f>
        <v>9.4089422631517081E-2</v>
      </c>
      <c r="GM39" s="571">
        <f>FO39/'4GF Expenditures'!C40</f>
        <v>9.8335084703552747E-2</v>
      </c>
      <c r="GN39" s="571">
        <f>FP39/'4GF Expenditures'!D40</f>
        <v>0.12798177762624416</v>
      </c>
      <c r="GO39" s="571">
        <f>FQ39/'4GF Expenditures'!E40</f>
        <v>8.8872364604983878E-2</v>
      </c>
      <c r="GP39" s="571">
        <f>FR39/'4GF Expenditures'!F40</f>
        <v>7.0734469022135565E-2</v>
      </c>
      <c r="GQ39" s="571">
        <f>FS39/'4GF Expenditures'!G40</f>
        <v>1.4074348412046871E-2</v>
      </c>
      <c r="GR39" s="571">
        <f>FT39/'4GF Expenditures'!H40</f>
        <v>2.4692321159831528E-3</v>
      </c>
      <c r="GS39" s="571">
        <f>FU39/'4GF Expenditures'!I40</f>
        <v>4.3178607381038001E-2</v>
      </c>
      <c r="GT39" s="571">
        <f>FV39/'4GF Expenditures'!J40</f>
        <v>8.3543205572792559E-2</v>
      </c>
      <c r="GU39" s="571">
        <f>FW39/'4GF Expenditures'!K40</f>
        <v>0.13368894143886922</v>
      </c>
      <c r="GV39" s="571">
        <f>FX39/'4GF Expenditures'!L40</f>
        <v>0.13208346720748163</v>
      </c>
      <c r="GW39" s="571">
        <f>FY39/'4GF Expenditures'!M40</f>
        <v>7.6312905879675819E-2</v>
      </c>
      <c r="GX39" s="571">
        <f>FZ39/'4GF Expenditures'!N40</f>
        <v>3.5354892392500843E-2</v>
      </c>
      <c r="GY39" s="571">
        <f>GA39/'4GF Expenditures'!O40</f>
        <v>5.3510688949375114E-2</v>
      </c>
      <c r="GZ39" s="571">
        <f>GB39/'4GF Expenditures'!P40</f>
        <v>9.3787941523994472E-2</v>
      </c>
      <c r="HA39" s="571">
        <f>GC39/'4GF Expenditures'!Q40</f>
        <v>5.5601981310431418E-2</v>
      </c>
      <c r="HB39" s="571">
        <f>GD39/'4GF Expenditures'!R40</f>
        <v>7.2025856275800285E-2</v>
      </c>
      <c r="HC39" s="571">
        <f>GE39/'4GF Expenditures'!S40</f>
        <v>3.2663331648437467E-2</v>
      </c>
      <c r="HD39" s="571">
        <f>GF39/'4GF Expenditures'!T40</f>
        <v>5.6433871042501204E-3</v>
      </c>
      <c r="HE39" s="571" t="e">
        <f>GG39/'4GF Expenditures'!U40</f>
        <v>#DIV/0!</v>
      </c>
      <c r="HF39" s="571" t="e">
        <f>GH39/'4GF Expenditures'!V40</f>
        <v>#DIV/0!</v>
      </c>
      <c r="HG39" s="571" t="e">
        <f>GI39/'4GF Expenditures'!W40</f>
        <v>#DIV/0!</v>
      </c>
      <c r="HH39" s="571"/>
      <c r="HI39" s="571"/>
      <c r="HJ39" s="571"/>
      <c r="HK39" s="568"/>
      <c r="HL39" s="567" t="s">
        <v>23</v>
      </c>
      <c r="HM39" s="571">
        <f>B39/'4GF Expenditures'!B40</f>
        <v>0.84706061297437063</v>
      </c>
      <c r="HN39" s="571">
        <f>C39/'4GF Expenditures'!C40</f>
        <v>0.99913990512230233</v>
      </c>
      <c r="HO39" s="571">
        <f>D39/'4GF Expenditures'!D40</f>
        <v>1.0448534939224523</v>
      </c>
      <c r="HP39" s="571">
        <f>E39/'4GF Expenditures'!E40</f>
        <v>0.96398285126741479</v>
      </c>
      <c r="HQ39" s="571">
        <f>F39/'4GF Expenditures'!F40</f>
        <v>0.98402069819242821</v>
      </c>
      <c r="HR39" s="571">
        <f>G39/'4GF Expenditures'!G40</f>
        <v>0.95544946419902965</v>
      </c>
      <c r="HS39" s="571">
        <f>H39/'4GF Expenditures'!H40</f>
        <v>0.98671495064710757</v>
      </c>
      <c r="HT39" s="571">
        <f>I39/'4GF Expenditures'!I40</f>
        <v>1.0405959936279081</v>
      </c>
      <c r="HU39" s="571">
        <f>J39/'4GF Expenditures'!J40</f>
        <v>1.0439805859847362</v>
      </c>
      <c r="HV39" s="571">
        <f>K39/'4GF Expenditures'!K40</f>
        <v>1.0529885188743258</v>
      </c>
      <c r="HW39" s="571">
        <f>L39/'4GF Expenditures'!L40</f>
        <v>1.0155672153128117</v>
      </c>
      <c r="HX39" s="571">
        <f>M39/'4GF Expenditures'!M40</f>
        <v>0.94995326366643906</v>
      </c>
      <c r="HY39" s="571">
        <f>N39/'4GF Expenditures'!N40</f>
        <v>0.9626862437485374</v>
      </c>
      <c r="HZ39" s="571">
        <f>O39/'4GF Expenditures'!O40</f>
        <v>1.01399834735006</v>
      </c>
      <c r="IA39" s="571">
        <f>P39/'4GF Expenditures'!P40</f>
        <v>1.0419821998185068</v>
      </c>
      <c r="IB39" s="571">
        <f>Q39/'4GF Expenditures'!Q40</f>
        <v>0.97582277456028388</v>
      </c>
      <c r="IC39" s="571">
        <f>R39/'4GF Expenditures'!R40</f>
        <v>1.0211487439866025</v>
      </c>
      <c r="ID39" s="573">
        <f>S39/'4GF Expenditures'!S40</f>
        <v>0.9533380376753573</v>
      </c>
      <c r="IE39" s="572">
        <f>T39/'4GF Expenditures'!T40</f>
        <v>0.97266902286346846</v>
      </c>
      <c r="IF39" s="572" t="e">
        <f>U39/'4GF Expenditures'!U40</f>
        <v>#DIV/0!</v>
      </c>
      <c r="IG39" s="572" t="e">
        <f>V39/'4GF Expenditures'!V40</f>
        <v>#DIV/0!</v>
      </c>
      <c r="IH39" s="572" t="e">
        <f>W39/'4GF Expenditures'!W40</f>
        <v>#DIV/0!</v>
      </c>
    </row>
    <row r="40" spans="1:242" ht="14">
      <c r="A40" s="43" t="s">
        <v>24</v>
      </c>
      <c r="B40" s="319">
        <v>972601</v>
      </c>
      <c r="C40" s="319">
        <v>1045394</v>
      </c>
      <c r="D40" s="319">
        <v>1048158</v>
      </c>
      <c r="E40" s="319">
        <v>1115604</v>
      </c>
      <c r="F40" s="319">
        <v>1199865</v>
      </c>
      <c r="G40" s="319">
        <v>1178744</v>
      </c>
      <c r="H40" s="319">
        <v>1184257</v>
      </c>
      <c r="I40" s="319">
        <v>1226945</v>
      </c>
      <c r="J40" s="319">
        <v>1251578.28</v>
      </c>
      <c r="K40" s="319">
        <v>1343116.52</v>
      </c>
      <c r="L40" s="319">
        <v>1422886.44</v>
      </c>
      <c r="M40" s="319">
        <v>1472678.27</v>
      </c>
      <c r="N40" s="319">
        <v>1555754.0899999999</v>
      </c>
      <c r="O40" s="319">
        <v>1526051.8200000003</v>
      </c>
      <c r="P40" s="319">
        <v>1475396.72</v>
      </c>
      <c r="Q40" s="319">
        <v>1444628.44</v>
      </c>
      <c r="R40" s="319">
        <v>1703779.78</v>
      </c>
      <c r="S40" s="362">
        <v>1353136.3299999998</v>
      </c>
      <c r="T40" s="362">
        <v>1427483.17</v>
      </c>
      <c r="U40" s="362">
        <v>1435902.9499999997</v>
      </c>
      <c r="V40" s="362">
        <v>1454589.5799999998</v>
      </c>
      <c r="W40" s="362">
        <v>1478812</v>
      </c>
      <c r="X40" s="6"/>
      <c r="Y40" s="43" t="s">
        <v>24</v>
      </c>
      <c r="Z40" s="319">
        <v>106986.11</v>
      </c>
      <c r="AA40" s="319">
        <v>104539.4</v>
      </c>
      <c r="AB40" s="319">
        <v>52407.9</v>
      </c>
      <c r="AC40" s="319">
        <v>55780.2</v>
      </c>
      <c r="AD40" s="319">
        <v>59993.25</v>
      </c>
      <c r="AE40" s="319">
        <v>58937.2</v>
      </c>
      <c r="AF40" s="319">
        <v>59212.85</v>
      </c>
      <c r="AG40" s="319">
        <v>61347.25</v>
      </c>
      <c r="AH40" s="319">
        <v>61327.56</v>
      </c>
      <c r="AI40" s="319">
        <v>59925.19</v>
      </c>
      <c r="AJ40" s="319">
        <v>68277.649999999994</v>
      </c>
      <c r="AK40" s="319">
        <v>69867.320000000007</v>
      </c>
      <c r="AL40" s="319">
        <v>74279.33</v>
      </c>
      <c r="AM40" s="319">
        <v>74743.87</v>
      </c>
      <c r="AN40" s="319">
        <v>76443.789999999994</v>
      </c>
      <c r="AO40" s="319">
        <v>74982.23</v>
      </c>
      <c r="AP40" s="319">
        <v>76375.55</v>
      </c>
      <c r="AQ40" s="362">
        <v>77428.460000000006</v>
      </c>
      <c r="AR40" s="753">
        <v>75765.73</v>
      </c>
      <c r="AS40" s="753">
        <v>78180.88</v>
      </c>
      <c r="AT40" s="753">
        <v>76157.53</v>
      </c>
      <c r="AU40" s="753">
        <v>76000</v>
      </c>
      <c r="AV40" s="39"/>
      <c r="AW40" s="43" t="s">
        <v>24</v>
      </c>
      <c r="AX40" s="319">
        <v>573834.59</v>
      </c>
      <c r="AY40" s="319">
        <v>574966.69999999995</v>
      </c>
      <c r="AZ40" s="319">
        <v>513597.42</v>
      </c>
      <c r="BA40" s="319">
        <v>568958.04</v>
      </c>
      <c r="BB40" s="319">
        <v>635928.44999999995</v>
      </c>
      <c r="BC40" s="319">
        <v>612946.88</v>
      </c>
      <c r="BD40" s="319">
        <v>651341.35</v>
      </c>
      <c r="BE40" s="319">
        <v>638011.4</v>
      </c>
      <c r="BF40" s="319">
        <v>667102.36</v>
      </c>
      <c r="BG40" s="319">
        <v>690211.66</v>
      </c>
      <c r="BH40" s="319">
        <v>734877.51</v>
      </c>
      <c r="BI40" s="319">
        <v>738032.84</v>
      </c>
      <c r="BJ40" s="319">
        <v>736219.59</v>
      </c>
      <c r="BK40" s="319">
        <v>724498.33</v>
      </c>
      <c r="BL40" s="319">
        <v>732320.51</v>
      </c>
      <c r="BM40" s="319">
        <v>742949.08</v>
      </c>
      <c r="BN40" s="319">
        <v>775342.61</v>
      </c>
      <c r="BO40" s="362">
        <v>763630.7</v>
      </c>
      <c r="BP40" s="753">
        <v>828531.13</v>
      </c>
      <c r="BQ40" s="753">
        <v>811909.22</v>
      </c>
      <c r="BR40" s="753">
        <v>826642.21</v>
      </c>
      <c r="BS40" s="753">
        <v>826642</v>
      </c>
      <c r="BT40" s="286"/>
      <c r="BU40" s="43" t="s">
        <v>24</v>
      </c>
      <c r="BV40" s="319">
        <v>48630.05</v>
      </c>
      <c r="BW40" s="319">
        <v>73177.58</v>
      </c>
      <c r="BX40" s="319">
        <v>104815.8</v>
      </c>
      <c r="BY40" s="319">
        <v>100404.36</v>
      </c>
      <c r="BZ40" s="319">
        <v>119986.5</v>
      </c>
      <c r="CA40" s="319">
        <v>117874.4</v>
      </c>
      <c r="CB40" s="319">
        <v>106583.13</v>
      </c>
      <c r="CC40" s="319">
        <v>98155.6</v>
      </c>
      <c r="CD40" s="319">
        <v>117501.26999999999</v>
      </c>
      <c r="CE40" s="319">
        <v>141217.59</v>
      </c>
      <c r="CF40" s="319">
        <v>125096.61</v>
      </c>
      <c r="CG40" s="319">
        <v>110724.73000000001</v>
      </c>
      <c r="CH40" s="319">
        <v>153883.56</v>
      </c>
      <c r="CI40" s="319">
        <v>169074.93</v>
      </c>
      <c r="CJ40" s="319">
        <v>114655.28</v>
      </c>
      <c r="CK40" s="319">
        <v>98966.590000000011</v>
      </c>
      <c r="CL40" s="319">
        <v>367130.32</v>
      </c>
      <c r="CM40" s="362">
        <v>149431.59</v>
      </c>
      <c r="CN40" s="753">
        <v>166234.85999999999</v>
      </c>
      <c r="CO40" s="753">
        <v>206381.08</v>
      </c>
      <c r="CP40" s="753">
        <v>212711.69999999998</v>
      </c>
      <c r="CQ40" s="753">
        <v>202000</v>
      </c>
      <c r="CR40" s="39"/>
      <c r="CS40" s="43" t="s">
        <v>24</v>
      </c>
      <c r="CT40" s="319">
        <v>175068.18</v>
      </c>
      <c r="CU40" s="319">
        <v>198624.86</v>
      </c>
      <c r="CV40" s="319">
        <v>241076.34</v>
      </c>
      <c r="CW40" s="319">
        <v>267744.96000000002</v>
      </c>
      <c r="CX40" s="319">
        <v>227974.35</v>
      </c>
      <c r="CY40" s="319">
        <v>271111.12</v>
      </c>
      <c r="CZ40" s="319">
        <v>260536.54</v>
      </c>
      <c r="DA40" s="319">
        <v>294466.8</v>
      </c>
      <c r="DB40" s="319">
        <v>266927.27</v>
      </c>
      <c r="DC40" s="319">
        <v>327414.93</v>
      </c>
      <c r="DD40" s="319">
        <v>323750.67</v>
      </c>
      <c r="DE40" s="319">
        <v>372240.92000000004</v>
      </c>
      <c r="DF40" s="319">
        <v>331602.71999999997</v>
      </c>
      <c r="DG40" s="319">
        <v>300643.88</v>
      </c>
      <c r="DH40" s="319">
        <v>274775.21000000002</v>
      </c>
      <c r="DI40" s="319">
        <v>291438.12</v>
      </c>
      <c r="DJ40" s="319">
        <v>271066.73</v>
      </c>
      <c r="DK40" s="362">
        <v>287597.96999999997</v>
      </c>
      <c r="DL40" s="753">
        <v>262158.26</v>
      </c>
      <c r="DM40" s="753">
        <v>267446.30000000005</v>
      </c>
      <c r="DN40" s="753">
        <v>262391.69</v>
      </c>
      <c r="DO40" s="753">
        <v>261710</v>
      </c>
      <c r="DP40" s="39"/>
      <c r="DQ40" s="43" t="s">
        <v>24</v>
      </c>
      <c r="DR40" s="319">
        <v>19452.02</v>
      </c>
      <c r="DS40" s="319">
        <v>31361.82</v>
      </c>
      <c r="DT40" s="319">
        <v>31444.74</v>
      </c>
      <c r="DU40" s="319">
        <v>33468.120000000003</v>
      </c>
      <c r="DV40" s="319">
        <v>23997.3</v>
      </c>
      <c r="DW40" s="319">
        <v>35362.32</v>
      </c>
      <c r="DX40" s="319">
        <v>23685.14</v>
      </c>
      <c r="DY40" s="319">
        <v>12269.45</v>
      </c>
      <c r="DZ40" s="319">
        <v>14461.94</v>
      </c>
      <c r="EA40" s="319">
        <v>19034.599999999999</v>
      </c>
      <c r="EB40" s="319">
        <v>46523.29</v>
      </c>
      <c r="EC40" s="319">
        <v>54385.1</v>
      </c>
      <c r="ED40" s="319">
        <v>41110.26</v>
      </c>
      <c r="EE40" s="319">
        <v>30447.51</v>
      </c>
      <c r="EF40" s="319">
        <v>33319.61</v>
      </c>
      <c r="EG40" s="319">
        <v>13492.77</v>
      </c>
      <c r="EH40" s="319">
        <v>14974.64</v>
      </c>
      <c r="EI40" s="362">
        <v>9236.77</v>
      </c>
      <c r="EJ40" s="753">
        <v>9533.89</v>
      </c>
      <c r="EK40" s="753">
        <v>8370.4599999999991</v>
      </c>
      <c r="EL40" s="753">
        <v>8397.43</v>
      </c>
      <c r="EM40" s="753">
        <v>8400</v>
      </c>
      <c r="EN40" s="39"/>
      <c r="EO40" s="43" t="s">
        <v>24</v>
      </c>
      <c r="EP40" s="319">
        <v>48630.05</v>
      </c>
      <c r="EQ40" s="319">
        <v>62723.64</v>
      </c>
      <c r="ER40" s="319">
        <v>104815.8</v>
      </c>
      <c r="ES40" s="319">
        <v>89248.320000000007</v>
      </c>
      <c r="ET40" s="319">
        <v>131985.15</v>
      </c>
      <c r="EU40" s="319">
        <v>82512.08</v>
      </c>
      <c r="EV40" s="319">
        <v>82897.990000000005</v>
      </c>
      <c r="EW40" s="319">
        <v>122694.5</v>
      </c>
      <c r="EX40" s="319">
        <v>113257.88</v>
      </c>
      <c r="EY40" s="319">
        <v>85512.55</v>
      </c>
      <c r="EZ40" s="319">
        <v>107360.70999999999</v>
      </c>
      <c r="FA40" s="319">
        <v>113427.36</v>
      </c>
      <c r="FB40" s="319">
        <v>200658.62999999998</v>
      </c>
      <c r="FC40" s="319">
        <v>214643.30000000002</v>
      </c>
      <c r="FD40" s="319">
        <v>231882.31999999995</v>
      </c>
      <c r="FE40" s="319">
        <v>216299.64999999997</v>
      </c>
      <c r="FF40" s="319">
        <v>193889.93</v>
      </c>
      <c r="FG40" s="362">
        <v>62570.84</v>
      </c>
      <c r="FH40" s="362">
        <v>81259.3</v>
      </c>
      <c r="FI40" s="362">
        <v>59615.01</v>
      </c>
      <c r="FJ40" s="362">
        <v>63289.020000000004</v>
      </c>
      <c r="FK40" s="362">
        <v>99060</v>
      </c>
      <c r="FM40" s="43" t="s">
        <v>24</v>
      </c>
      <c r="FN40" s="319">
        <v>424282</v>
      </c>
      <c r="FO40" s="319">
        <v>499191</v>
      </c>
      <c r="FP40" s="319">
        <v>545715</v>
      </c>
      <c r="FQ40" s="319">
        <v>585601</v>
      </c>
      <c r="FR40" s="319">
        <v>508893</v>
      </c>
      <c r="FS40" s="319">
        <v>557728</v>
      </c>
      <c r="FT40" s="319">
        <v>550676</v>
      </c>
      <c r="FU40" s="319">
        <v>480481</v>
      </c>
      <c r="FV40" s="319">
        <v>659659.60000000009</v>
      </c>
      <c r="FW40" s="319">
        <v>770116.76</v>
      </c>
      <c r="FX40" s="319">
        <v>915710.48</v>
      </c>
      <c r="FY40" s="319">
        <v>969589.37</v>
      </c>
      <c r="FZ40" s="319">
        <v>998222.55</v>
      </c>
      <c r="GA40" s="319">
        <v>1065295.19</v>
      </c>
      <c r="GB40" s="319">
        <v>1169648.1499999999</v>
      </c>
      <c r="GC40" s="319">
        <v>1268378.8</v>
      </c>
      <c r="GD40" s="319">
        <v>1299904.6399999999</v>
      </c>
      <c r="GE40" s="319">
        <v>1328160.8</v>
      </c>
      <c r="GF40" s="756">
        <v>1240934.4099999999</v>
      </c>
      <c r="GG40" s="756">
        <v>1249076.83</v>
      </c>
      <c r="GH40" s="756">
        <v>1257291.1900000002</v>
      </c>
      <c r="GI40" s="756">
        <v>1043491.75</v>
      </c>
      <c r="GJ40" s="42"/>
      <c r="GK40" s="570" t="s">
        <v>24</v>
      </c>
      <c r="GL40" s="571">
        <f>FN40/'4GF Expenditures'!B41</f>
        <v>0.44525156783894287</v>
      </c>
      <c r="GM40" s="571">
        <f>FO40/'4GF Expenditures'!C41</f>
        <v>0.51437271055194056</v>
      </c>
      <c r="GN40" s="571">
        <f>FP40/'4GF Expenditures'!D41</f>
        <v>0.54482475634812721</v>
      </c>
      <c r="GO40" s="571">
        <f>FQ40/'4GF Expenditures'!E41</f>
        <v>0.54438152006380858</v>
      </c>
      <c r="GP40" s="571">
        <f>FR40/'4GF Expenditures'!F41</f>
        <v>0.39863995243515254</v>
      </c>
      <c r="GQ40" s="571">
        <f>FS40/'4GF Expenditures'!G41</f>
        <v>0.49627478913606965</v>
      </c>
      <c r="GR40" s="571">
        <f>FT40/'4GF Expenditures'!H41</f>
        <v>0.46224447225698789</v>
      </c>
      <c r="GS40" s="571">
        <f>FU40/'4GF Expenditures'!I41</f>
        <v>0.37041568373498618</v>
      </c>
      <c r="GT40" s="571">
        <f>FV40/'4GF Expenditures'!J41</f>
        <v>0.6501480190012543</v>
      </c>
      <c r="GU40" s="571">
        <f>FW40/'4GF Expenditures'!K41</f>
        <v>0.62811909991456016</v>
      </c>
      <c r="GV40" s="571">
        <f>FX40/'4GF Expenditures'!L41</f>
        <v>0.7169151328130956</v>
      </c>
      <c r="GW40" s="571">
        <f>FY40/'4GF Expenditures'!M41</f>
        <v>0.68338722420360787</v>
      </c>
      <c r="GX40" s="571">
        <f>FZ40/'4GF Expenditures'!N41</f>
        <v>0.65366307504754151</v>
      </c>
      <c r="GY40" s="571">
        <f>GA40/'4GF Expenditures'!O41</f>
        <v>0.73016476492831117</v>
      </c>
      <c r="GZ40" s="571">
        <f>GB40/'4GF Expenditures'!P41</f>
        <v>0.8531078176527348</v>
      </c>
      <c r="HA40" s="571">
        <f>GC40/'4GF Expenditures'!Q41</f>
        <v>0.95293796910994388</v>
      </c>
      <c r="HB40" s="571">
        <f>GD40/'4GF Expenditures'!R41</f>
        <v>0.7773368678682856</v>
      </c>
      <c r="HC40" s="571">
        <f>GE40/'4GF Expenditures'!S41</f>
        <v>0.98188622969414197</v>
      </c>
      <c r="HD40" s="571">
        <f>GF40/'4GF Expenditures'!T41</f>
        <v>0.81925567961688961</v>
      </c>
      <c r="HE40" s="571">
        <f>GG40/'4GF Expenditures'!U41</f>
        <v>0.87485037144149114</v>
      </c>
      <c r="HF40" s="571">
        <f>GH40/'4GF Expenditures'!V41</f>
        <v>0.86927041656590343</v>
      </c>
      <c r="HG40" s="571">
        <f>GI40/'4GF Expenditures'!W41</f>
        <v>0.61649810779962588</v>
      </c>
      <c r="HH40" s="571"/>
      <c r="HI40" s="571"/>
      <c r="HJ40" s="571"/>
      <c r="HK40" s="568"/>
      <c r="HL40" s="567" t="s">
        <v>24</v>
      </c>
      <c r="HM40" s="571">
        <f>B40/'4GF Expenditures'!B41</f>
        <v>1.0206704977626289</v>
      </c>
      <c r="HN40" s="571">
        <f>C40/'4GF Expenditures'!C41</f>
        <v>1.0771871796060732</v>
      </c>
      <c r="HO40" s="571">
        <f>D40/'4GF Expenditures'!D41</f>
        <v>1.0464481037983935</v>
      </c>
      <c r="HP40" s="571">
        <f>E40/'4GF Expenditures'!E41</f>
        <v>1.0370784908312403</v>
      </c>
      <c r="HQ40" s="571">
        <f>F40/'4GF Expenditures'!F41</f>
        <v>0.93991099608091355</v>
      </c>
      <c r="HR40" s="571">
        <f>G40/'4GF Expenditures'!G41</f>
        <v>1.0488641955315265</v>
      </c>
      <c r="HS40" s="571">
        <f>H40/'4GF Expenditures'!H41</f>
        <v>0.99408046107265202</v>
      </c>
      <c r="HT40" s="571">
        <f>I40/'4GF Expenditures'!I41</f>
        <v>0.94588479269778125</v>
      </c>
      <c r="HU40" s="571">
        <f>J40/'4GF Expenditures'!J41</f>
        <v>1.2335318691140054</v>
      </c>
      <c r="HV40" s="571">
        <f>K40/'4GF Expenditures'!K41</f>
        <v>1.0954665362986988</v>
      </c>
      <c r="HW40" s="571">
        <f>L40/'4GF Expenditures'!L41</f>
        <v>1.1139861816483227</v>
      </c>
      <c r="HX40" s="571">
        <f>M40/'4GF Expenditures'!M41</f>
        <v>1.0379749884018132</v>
      </c>
      <c r="HY40" s="571">
        <f>N40/'4GF Expenditures'!N41</f>
        <v>1.018749779282375</v>
      </c>
      <c r="HZ40" s="571">
        <f>O40/'4GF Expenditures'!O41</f>
        <v>1.0459723078433516</v>
      </c>
      <c r="IA40" s="571">
        <f>P40/'4GF Expenditures'!P41</f>
        <v>1.0761120564087612</v>
      </c>
      <c r="IB40" s="571">
        <f>Q40/'4GF Expenditures'!Q41</f>
        <v>1.0853550151832136</v>
      </c>
      <c r="IC40" s="571">
        <f>R40/'4GF Expenditures'!R41</f>
        <v>1.0188523042140358</v>
      </c>
      <c r="ID40" s="573">
        <f>S40/'4GF Expenditures'!S41</f>
        <v>1.0003502055819358</v>
      </c>
      <c r="IE40" s="572">
        <f>T40/'4GF Expenditures'!T41</f>
        <v>0.94241378525398611</v>
      </c>
      <c r="IF40" s="572">
        <f>U40/'4GF Expenditures'!U41</f>
        <v>1.0057029311491053</v>
      </c>
      <c r="IG40" s="572">
        <f>V40/'4GF Expenditures'!V41</f>
        <v>1.0056792731833444</v>
      </c>
      <c r="IH40" s="572">
        <f>W40/'4GF Expenditures'!W41</f>
        <v>0.8736866389134178</v>
      </c>
    </row>
    <row r="41" spans="1:242" ht="14">
      <c r="A41" s="43" t="s">
        <v>25</v>
      </c>
      <c r="B41" s="319">
        <v>923130</v>
      </c>
      <c r="C41" s="319">
        <v>908330</v>
      </c>
      <c r="D41" s="319">
        <v>1041260</v>
      </c>
      <c r="E41" s="319">
        <v>1064582</v>
      </c>
      <c r="F41" s="319">
        <v>1256829</v>
      </c>
      <c r="G41" s="319">
        <v>1272073</v>
      </c>
      <c r="H41" s="319">
        <v>1336042</v>
      </c>
      <c r="I41" s="319">
        <v>1481153</v>
      </c>
      <c r="J41" s="319">
        <v>1618236.7699999998</v>
      </c>
      <c r="K41" s="319">
        <v>1717038</v>
      </c>
      <c r="L41" s="319">
        <v>1535872.4400000002</v>
      </c>
      <c r="M41" s="319">
        <v>1655388.1599999999</v>
      </c>
      <c r="N41" s="319">
        <v>1605375.1</v>
      </c>
      <c r="O41" s="319">
        <v>1598760.62</v>
      </c>
      <c r="P41" s="319">
        <v>1595524.4100000001</v>
      </c>
      <c r="Q41" s="319">
        <v>1604611.65</v>
      </c>
      <c r="R41" s="319">
        <v>1561181.2799999998</v>
      </c>
      <c r="S41" s="362">
        <v>1646133.95</v>
      </c>
      <c r="T41" s="362">
        <v>1757824.48</v>
      </c>
      <c r="U41" s="362">
        <v>1773306.2000000002</v>
      </c>
      <c r="V41" s="362">
        <v>1791528.75</v>
      </c>
      <c r="W41" s="362">
        <v>1726228.1</v>
      </c>
      <c r="X41" s="6"/>
      <c r="Y41" s="43" t="s">
        <v>25</v>
      </c>
      <c r="Z41" s="319">
        <v>64619.1</v>
      </c>
      <c r="AA41" s="319">
        <v>63583.1</v>
      </c>
      <c r="AB41" s="319">
        <v>72888.2</v>
      </c>
      <c r="AC41" s="319">
        <v>85166.56</v>
      </c>
      <c r="AD41" s="319">
        <v>87978.03</v>
      </c>
      <c r="AE41" s="319">
        <v>89045.11</v>
      </c>
      <c r="AF41" s="319">
        <v>93522.94</v>
      </c>
      <c r="AG41" s="319">
        <v>118492.24</v>
      </c>
      <c r="AH41" s="319">
        <v>125288.01</v>
      </c>
      <c r="AI41" s="319">
        <v>100490.12</v>
      </c>
      <c r="AJ41" s="319">
        <v>105347.59</v>
      </c>
      <c r="AK41" s="319">
        <v>116047.3</v>
      </c>
      <c r="AL41" s="319">
        <v>135650.78</v>
      </c>
      <c r="AM41" s="319">
        <v>157372.6</v>
      </c>
      <c r="AN41" s="319">
        <v>172939.09</v>
      </c>
      <c r="AO41" s="319">
        <v>168144.77</v>
      </c>
      <c r="AP41" s="319">
        <v>178898.61</v>
      </c>
      <c r="AQ41" s="362">
        <v>184943.03</v>
      </c>
      <c r="AR41" s="753">
        <v>205846.8</v>
      </c>
      <c r="AS41" s="753">
        <v>192388.14</v>
      </c>
      <c r="AT41" s="753">
        <v>158130.96</v>
      </c>
      <c r="AU41" s="753">
        <v>156000</v>
      </c>
      <c r="AV41" s="39"/>
      <c r="AW41" s="43" t="s">
        <v>25</v>
      </c>
      <c r="AX41" s="319">
        <v>535415.4</v>
      </c>
      <c r="AY41" s="319">
        <v>563164.6</v>
      </c>
      <c r="AZ41" s="319">
        <v>583105.6</v>
      </c>
      <c r="BA41" s="319">
        <v>617457.56000000006</v>
      </c>
      <c r="BB41" s="319">
        <v>666119.37</v>
      </c>
      <c r="BC41" s="319">
        <v>712360.88</v>
      </c>
      <c r="BD41" s="319">
        <v>708102.26</v>
      </c>
      <c r="BE41" s="319">
        <v>725764.97</v>
      </c>
      <c r="BF41" s="319">
        <v>804566.32</v>
      </c>
      <c r="BG41" s="319">
        <v>877771.38</v>
      </c>
      <c r="BH41" s="319">
        <v>900304.31</v>
      </c>
      <c r="BI41" s="319">
        <v>946102.38</v>
      </c>
      <c r="BJ41" s="319">
        <v>911394.79</v>
      </c>
      <c r="BK41" s="319">
        <v>858799.6</v>
      </c>
      <c r="BL41" s="319">
        <v>877124.05</v>
      </c>
      <c r="BM41" s="319">
        <v>891858.62</v>
      </c>
      <c r="BN41" s="319">
        <v>852530.38</v>
      </c>
      <c r="BO41" s="362">
        <v>871481.91</v>
      </c>
      <c r="BP41" s="753">
        <v>957544.01</v>
      </c>
      <c r="BQ41" s="753">
        <v>987948.21</v>
      </c>
      <c r="BR41" s="753">
        <v>1000662.52</v>
      </c>
      <c r="BS41" s="753">
        <v>1000000</v>
      </c>
      <c r="BT41" s="286"/>
      <c r="BU41" s="43" t="s">
        <v>25</v>
      </c>
      <c r="BV41" s="319">
        <v>101544.3</v>
      </c>
      <c r="BW41" s="319">
        <v>99916.3</v>
      </c>
      <c r="BX41" s="319">
        <v>166601.60000000001</v>
      </c>
      <c r="BY41" s="319">
        <v>170333.12</v>
      </c>
      <c r="BZ41" s="319">
        <v>276502.38</v>
      </c>
      <c r="CA41" s="319">
        <v>279856.06</v>
      </c>
      <c r="CB41" s="319">
        <v>280568.82</v>
      </c>
      <c r="CC41" s="319">
        <v>399911.31</v>
      </c>
      <c r="CD41" s="319">
        <v>450565.43</v>
      </c>
      <c r="CE41" s="319">
        <v>504088.17</v>
      </c>
      <c r="CF41" s="319">
        <v>271293.46999999997</v>
      </c>
      <c r="CG41" s="319">
        <v>275160.04999999993</v>
      </c>
      <c r="CH41" s="319">
        <v>287848.78999999998</v>
      </c>
      <c r="CI41" s="319">
        <v>309449.87</v>
      </c>
      <c r="CJ41" s="319">
        <v>287456.28000000003</v>
      </c>
      <c r="CK41" s="319">
        <v>258947.78999999998</v>
      </c>
      <c r="CL41" s="319">
        <v>254854.33000000002</v>
      </c>
      <c r="CM41" s="362">
        <v>286102.00000000006</v>
      </c>
      <c r="CN41" s="753">
        <v>331485.13</v>
      </c>
      <c r="CO41" s="753">
        <v>294254.82999999996</v>
      </c>
      <c r="CP41" s="753">
        <v>310690.24</v>
      </c>
      <c r="CQ41" s="753">
        <v>290249.68</v>
      </c>
      <c r="CR41" s="39"/>
      <c r="CS41" s="43" t="s">
        <v>25</v>
      </c>
      <c r="CT41" s="319">
        <v>120006.9</v>
      </c>
      <c r="CU41" s="319">
        <v>118082.9</v>
      </c>
      <c r="CV41" s="319">
        <v>156189</v>
      </c>
      <c r="CW41" s="319">
        <v>159687.29999999999</v>
      </c>
      <c r="CX41" s="319">
        <v>175956.06</v>
      </c>
      <c r="CY41" s="319">
        <v>152648.76</v>
      </c>
      <c r="CZ41" s="319">
        <v>173685.46</v>
      </c>
      <c r="DA41" s="319">
        <v>177738.36</v>
      </c>
      <c r="DB41" s="319">
        <v>173271.38999999998</v>
      </c>
      <c r="DC41" s="319">
        <v>191064.80000000002</v>
      </c>
      <c r="DD41" s="319">
        <v>183401.8</v>
      </c>
      <c r="DE41" s="319">
        <v>188980.52999999997</v>
      </c>
      <c r="DF41" s="319">
        <v>176297.74</v>
      </c>
      <c r="DG41" s="319">
        <v>179776.22</v>
      </c>
      <c r="DH41" s="319">
        <v>164448.54999999999</v>
      </c>
      <c r="DI41" s="319">
        <v>172861.3</v>
      </c>
      <c r="DJ41" s="319">
        <v>187816.03000000003</v>
      </c>
      <c r="DK41" s="362">
        <v>180266.78000000003</v>
      </c>
      <c r="DL41" s="753">
        <v>171988.27</v>
      </c>
      <c r="DM41" s="753">
        <v>181415.01</v>
      </c>
      <c r="DN41" s="753">
        <v>186549.95</v>
      </c>
      <c r="DO41" s="753">
        <v>172500</v>
      </c>
      <c r="DP41" s="39"/>
      <c r="DQ41" s="43" t="s">
        <v>25</v>
      </c>
      <c r="DR41" s="319">
        <v>18462.599999999999</v>
      </c>
      <c r="DS41" s="319">
        <v>18166.599999999999</v>
      </c>
      <c r="DT41" s="319">
        <v>20825.2</v>
      </c>
      <c r="DU41" s="319">
        <v>10645.82</v>
      </c>
      <c r="DV41" s="319">
        <v>25136.58</v>
      </c>
      <c r="DW41" s="319">
        <v>25441.46</v>
      </c>
      <c r="DX41" s="319">
        <v>13360.42</v>
      </c>
      <c r="DY41" s="319">
        <v>0</v>
      </c>
      <c r="DZ41" s="319">
        <v>4337.3100000000004</v>
      </c>
      <c r="EA41" s="319">
        <v>4550.54</v>
      </c>
      <c r="EB41" s="319">
        <v>9425.57</v>
      </c>
      <c r="EC41" s="319">
        <v>11098.24</v>
      </c>
      <c r="ED41" s="319">
        <v>9585.76</v>
      </c>
      <c r="EE41" s="319">
        <v>5130.28</v>
      </c>
      <c r="EF41" s="319">
        <v>4264.3599999999997</v>
      </c>
      <c r="EG41" s="319">
        <v>3336.88</v>
      </c>
      <c r="EH41" s="319">
        <v>3769.34</v>
      </c>
      <c r="EI41" s="362">
        <v>3814.21</v>
      </c>
      <c r="EJ41" s="753">
        <v>4343.75</v>
      </c>
      <c r="EK41" s="753">
        <v>3956.37</v>
      </c>
      <c r="EL41" s="753">
        <v>3945.44</v>
      </c>
      <c r="EM41" s="753">
        <v>2500</v>
      </c>
      <c r="EN41" s="39"/>
      <c r="EO41" s="43" t="s">
        <v>25</v>
      </c>
      <c r="EP41" s="319">
        <v>83081.7</v>
      </c>
      <c r="EQ41" s="319">
        <v>45416.5</v>
      </c>
      <c r="ER41" s="319">
        <v>41650.400000000001</v>
      </c>
      <c r="ES41" s="319">
        <v>21291.64</v>
      </c>
      <c r="ET41" s="319">
        <v>25136.58</v>
      </c>
      <c r="EU41" s="319">
        <v>12720.73</v>
      </c>
      <c r="EV41" s="319">
        <v>66802.100000000006</v>
      </c>
      <c r="EW41" s="319">
        <v>59246.12</v>
      </c>
      <c r="EX41" s="319">
        <v>13458.310000000003</v>
      </c>
      <c r="EY41" s="319">
        <v>17727.22</v>
      </c>
      <c r="EZ41" s="319">
        <v>12763.390000000001</v>
      </c>
      <c r="FA41" s="319">
        <v>7423.17</v>
      </c>
      <c r="FB41" s="319">
        <v>13522.849999999999</v>
      </c>
      <c r="FC41" s="319">
        <v>36285.06</v>
      </c>
      <c r="FD41" s="319">
        <v>32756.030000000006</v>
      </c>
      <c r="FE41" s="319">
        <v>34985.370000000003</v>
      </c>
      <c r="FF41" s="319">
        <v>26196.629999999997</v>
      </c>
      <c r="FG41" s="362">
        <v>45498.19</v>
      </c>
      <c r="FH41" s="362">
        <v>30617.600000000002</v>
      </c>
      <c r="FI41" s="362">
        <v>33967.230000000003</v>
      </c>
      <c r="FJ41" s="362">
        <v>62230.59</v>
      </c>
      <c r="FK41" s="362">
        <v>22000</v>
      </c>
      <c r="FM41" s="43" t="s">
        <v>25</v>
      </c>
      <c r="FN41" s="319">
        <v>408790</v>
      </c>
      <c r="FO41" s="319">
        <v>419471</v>
      </c>
      <c r="FP41" s="319">
        <v>430490</v>
      </c>
      <c r="FQ41" s="319">
        <v>365561</v>
      </c>
      <c r="FR41" s="319">
        <v>405225</v>
      </c>
      <c r="FS41" s="319">
        <v>391911</v>
      </c>
      <c r="FT41" s="319">
        <v>305497</v>
      </c>
      <c r="FU41" s="319">
        <v>284697</v>
      </c>
      <c r="FV41" s="319">
        <v>176440.11999999988</v>
      </c>
      <c r="FW41" s="319">
        <v>234254.93</v>
      </c>
      <c r="FX41" s="319">
        <v>200984.02</v>
      </c>
      <c r="FY41" s="319">
        <v>289080.87</v>
      </c>
      <c r="FZ41" s="319">
        <v>244841.29</v>
      </c>
      <c r="GA41" s="319">
        <v>215462.25</v>
      </c>
      <c r="GB41" s="319">
        <v>179507.8</v>
      </c>
      <c r="GC41" s="319">
        <v>133803.22</v>
      </c>
      <c r="GD41" s="319">
        <v>116314.67</v>
      </c>
      <c r="GE41" s="319">
        <v>205501.97</v>
      </c>
      <c r="GF41" s="756">
        <v>309453.48</v>
      </c>
      <c r="GG41" s="756">
        <v>354764.99</v>
      </c>
      <c r="GH41" s="756">
        <v>321768.60999999987</v>
      </c>
      <c r="GI41" s="756">
        <v>154928.64999999991</v>
      </c>
      <c r="GJ41" s="42"/>
      <c r="GK41" s="570" t="s">
        <v>25</v>
      </c>
      <c r="GL41" s="571">
        <f>FN41/'4GF Expenditures'!B42</f>
        <v>0.46633371510967325</v>
      </c>
      <c r="GM41" s="571">
        <f>FO41/'4GF Expenditures'!C42</f>
        <v>0.46729957923419957</v>
      </c>
      <c r="GN41" s="571">
        <f>FP41/'4GF Expenditures'!D42</f>
        <v>0.41785368666166461</v>
      </c>
      <c r="GO41" s="571">
        <f>FQ41/'4GF Expenditures'!E42</f>
        <v>0.32364536511817948</v>
      </c>
      <c r="GP41" s="571">
        <f>FR41/'4GF Expenditures'!F42</f>
        <v>0.33292528128889676</v>
      </c>
      <c r="GQ41" s="571">
        <f>FS41/'4GF Expenditures'!G42</f>
        <v>0.30489727996315508</v>
      </c>
      <c r="GR41" s="571">
        <f>FT41/'4GF Expenditures'!H42</f>
        <v>0.2147671247707312</v>
      </c>
      <c r="GS41" s="571">
        <f>FU41/'4GF Expenditures'!I42</f>
        <v>0.18955120433195979</v>
      </c>
      <c r="GT41" s="571">
        <f>FV41/'4GF Expenditures'!J42</f>
        <v>0.10219564920912001</v>
      </c>
      <c r="GU41" s="571">
        <f>FW41/'4GF Expenditures'!K42</f>
        <v>0.14118349563327884</v>
      </c>
      <c r="GV41" s="571">
        <f>FX41/'4GF Expenditures'!L42</f>
        <v>0.12808518737309754</v>
      </c>
      <c r="GW41" s="571">
        <f>FY41/'4GF Expenditures'!M42</f>
        <v>0.18444616399997776</v>
      </c>
      <c r="GX41" s="571">
        <f>FZ41/'4GF Expenditures'!N42</f>
        <v>0.14842332149953952</v>
      </c>
      <c r="GY41" s="571">
        <f>GA41/'4GF Expenditures'!O42</f>
        <v>0.13233646676231695</v>
      </c>
      <c r="GZ41" s="571">
        <f>GB41/'4GF Expenditures'!P42</f>
        <v>0.11002765919994818</v>
      </c>
      <c r="HA41" s="571">
        <f>GC41/'4GF Expenditures'!Q42</f>
        <v>8.1077321768810329E-2</v>
      </c>
      <c r="HB41" s="571">
        <f>GD41/'4GF Expenditures'!R42</f>
        <v>7.3678908527693848E-2</v>
      </c>
      <c r="HC41" s="571">
        <f>GE41/'4GF Expenditures'!S42</f>
        <v>0.13199037359436819</v>
      </c>
      <c r="HD41" s="571">
        <f>GF41/'4GF Expenditures'!T42</f>
        <v>0.18710837265814922</v>
      </c>
      <c r="HE41" s="571">
        <f>GG41/'4GF Expenditures'!U42</f>
        <v>0.20530444454085678</v>
      </c>
      <c r="HF41" s="571">
        <f>GH41/'4GF Expenditures'!V42</f>
        <v>0.17635745581646212</v>
      </c>
      <c r="HG41" s="571">
        <f>GI41/'4GF Expenditures'!W42</f>
        <v>8.1839978854220327E-2</v>
      </c>
      <c r="HH41" s="571"/>
      <c r="HI41" s="571"/>
      <c r="HJ41" s="571"/>
      <c r="HK41" s="568"/>
      <c r="HL41" s="567" t="s">
        <v>25</v>
      </c>
      <c r="HM41" s="571">
        <f>B41/'4GF Expenditures'!B42</f>
        <v>1.0530752768638976</v>
      </c>
      <c r="HN41" s="571">
        <f>C41/'4GF Expenditures'!C42</f>
        <v>1.0118988602449286</v>
      </c>
      <c r="HO41" s="571">
        <f>D41/'4GF Expenditures'!D42</f>
        <v>1.0106955557000741</v>
      </c>
      <c r="HP41" s="571">
        <f>E41/'4GF Expenditures'!E42</f>
        <v>0.94251583207246326</v>
      </c>
      <c r="HQ41" s="571">
        <f>F41/'4GF Expenditures'!F42</f>
        <v>1.0325872005849659</v>
      </c>
      <c r="HR41" s="571">
        <f>G41/'4GF Expenditures'!G42</f>
        <v>0.98964202998785578</v>
      </c>
      <c r="HS41" s="571">
        <f>H41/'4GF Expenditures'!H42</f>
        <v>0.93924948170665268</v>
      </c>
      <c r="HT41" s="571">
        <f>I41/'4GF Expenditures'!I42</f>
        <v>0.98615136425707062</v>
      </c>
      <c r="HU41" s="571">
        <f>J41/'4GF Expenditures'!J42</f>
        <v>0.93729678535822536</v>
      </c>
      <c r="HV41" s="571">
        <f>K41/'4GF Expenditures'!K42</f>
        <v>1.0348445045539654</v>
      </c>
      <c r="HW41" s="571">
        <f>L41/'4GF Expenditures'!L42</f>
        <v>0.97879676831310547</v>
      </c>
      <c r="HX41" s="571">
        <f>M41/'4GF Expenditures'!M42</f>
        <v>1.0562096206607563</v>
      </c>
      <c r="HY41" s="571">
        <f>N41/'4GF Expenditures'!N42</f>
        <v>0.97318187056870753</v>
      </c>
      <c r="HZ41" s="571">
        <f>O41/'4GF Expenditures'!O42</f>
        <v>0.98195545460762268</v>
      </c>
      <c r="IA41" s="571">
        <f>P41/'4GF Expenditures'!P42</f>
        <v>0.97796204971972489</v>
      </c>
      <c r="IB41" s="571">
        <f>Q41/'4GF Expenditures'!Q42</f>
        <v>0.9723055623103215</v>
      </c>
      <c r="IC41" s="571">
        <f>R41/'4GF Expenditures'!R42</f>
        <v>0.98892197110018865</v>
      </c>
      <c r="ID41" s="573">
        <f>S41/'4GF Expenditures'!S42</f>
        <v>1.0572834656858667</v>
      </c>
      <c r="IE41" s="572">
        <f>T41/'4GF Expenditures'!T42</f>
        <v>1.0628533822642983</v>
      </c>
      <c r="IF41" s="572">
        <f>U41/'4GF Expenditures'!U42</f>
        <v>1.0262220192354874</v>
      </c>
      <c r="IG41" s="572">
        <f>V41/'4GF Expenditures'!V42</f>
        <v>0.98191508603666078</v>
      </c>
      <c r="IH41" s="572">
        <f>W41/'4GF Expenditures'!W42</f>
        <v>0.91186795471051374</v>
      </c>
    </row>
    <row r="42" spans="1:242" ht="14">
      <c r="A42" s="43" t="s">
        <v>26</v>
      </c>
      <c r="B42" s="319">
        <v>1388609</v>
      </c>
      <c r="C42" s="319">
        <v>1503304</v>
      </c>
      <c r="D42" s="319">
        <v>2549869</v>
      </c>
      <c r="E42" s="319">
        <v>2531777</v>
      </c>
      <c r="F42" s="319">
        <v>2904200</v>
      </c>
      <c r="G42" s="319">
        <v>2662491</v>
      </c>
      <c r="H42" s="319">
        <v>2921393</v>
      </c>
      <c r="I42" s="319">
        <v>2901967</v>
      </c>
      <c r="J42" s="319">
        <v>2954775.79</v>
      </c>
      <c r="K42" s="319">
        <v>3643008.65</v>
      </c>
      <c r="L42" s="319">
        <v>3490234.0799999996</v>
      </c>
      <c r="M42" s="319">
        <v>3723738.27</v>
      </c>
      <c r="N42" s="319">
        <v>4070775.99</v>
      </c>
      <c r="O42" s="319">
        <v>4219704.38</v>
      </c>
      <c r="P42" s="319">
        <v>4686321.67</v>
      </c>
      <c r="Q42" s="319">
        <v>4433776.2700000005</v>
      </c>
      <c r="R42" s="319"/>
      <c r="S42" s="362">
        <v>4540879.0999999996</v>
      </c>
      <c r="T42" s="362">
        <v>4609633.8499999996</v>
      </c>
      <c r="U42" s="362">
        <v>4958860.1100000003</v>
      </c>
      <c r="V42" s="362">
        <v>4318889.1399999997</v>
      </c>
      <c r="W42" s="362">
        <v>4116830.11</v>
      </c>
      <c r="X42" s="6"/>
      <c r="Y42" s="43" t="s">
        <v>26</v>
      </c>
      <c r="Z42" s="319">
        <v>486013.15</v>
      </c>
      <c r="AA42" s="319">
        <v>526156.4</v>
      </c>
      <c r="AB42" s="319">
        <v>509973.8</v>
      </c>
      <c r="AC42" s="319">
        <v>253177.7</v>
      </c>
      <c r="AD42" s="319">
        <v>290420</v>
      </c>
      <c r="AE42" s="319">
        <v>266249.09999999998</v>
      </c>
      <c r="AF42" s="319">
        <v>292139.3</v>
      </c>
      <c r="AG42" s="319">
        <v>319216.37</v>
      </c>
      <c r="AH42" s="319">
        <v>53543.11</v>
      </c>
      <c r="AI42" s="319">
        <v>50866.02</v>
      </c>
      <c r="AJ42" s="319">
        <v>16900.620000000003</v>
      </c>
      <c r="AK42" s="319">
        <v>119579.87</v>
      </c>
      <c r="AL42" s="319">
        <v>93490.579999999987</v>
      </c>
      <c r="AM42" s="319">
        <v>91707.260000000009</v>
      </c>
      <c r="AN42" s="319">
        <v>94873.600000000006</v>
      </c>
      <c r="AO42" s="319">
        <v>109298.54</v>
      </c>
      <c r="AP42" s="319"/>
      <c r="AQ42" s="362">
        <v>17323.68</v>
      </c>
      <c r="AR42" s="753">
        <v>11097.76</v>
      </c>
      <c r="AS42" s="753">
        <v>4447.74</v>
      </c>
      <c r="AT42" s="753">
        <v>16347.68</v>
      </c>
      <c r="AU42" s="753">
        <v>10000</v>
      </c>
      <c r="AV42" s="39"/>
      <c r="AW42" s="43" t="s">
        <v>26</v>
      </c>
      <c r="AX42" s="319">
        <v>0</v>
      </c>
      <c r="AY42" s="319">
        <v>0</v>
      </c>
      <c r="AZ42" s="319">
        <v>1070944.98</v>
      </c>
      <c r="BA42" s="319">
        <v>1215252.96</v>
      </c>
      <c r="BB42" s="319">
        <v>1277848</v>
      </c>
      <c r="BC42" s="319">
        <v>1277995.68</v>
      </c>
      <c r="BD42" s="319">
        <v>1285412.92</v>
      </c>
      <c r="BE42" s="319">
        <v>1247845.81</v>
      </c>
      <c r="BF42" s="319">
        <v>1306032</v>
      </c>
      <c r="BG42" s="319">
        <v>2068242.8900000001</v>
      </c>
      <c r="BH42" s="319">
        <v>1336229.6499999999</v>
      </c>
      <c r="BI42" s="319">
        <v>1374602</v>
      </c>
      <c r="BJ42" s="319">
        <v>1377444.36</v>
      </c>
      <c r="BK42" s="319">
        <v>1354613.34</v>
      </c>
      <c r="BL42" s="319">
        <v>1395513.4</v>
      </c>
      <c r="BM42" s="319">
        <v>1420508.68</v>
      </c>
      <c r="BN42" s="319"/>
      <c r="BO42" s="362">
        <v>1692924.05</v>
      </c>
      <c r="BP42" s="753">
        <v>1719459.07</v>
      </c>
      <c r="BQ42" s="753">
        <v>1717691.25</v>
      </c>
      <c r="BR42" s="753">
        <v>1663574.93</v>
      </c>
      <c r="BS42" s="753">
        <v>1500000</v>
      </c>
      <c r="BT42" s="286"/>
      <c r="BU42" s="43" t="s">
        <v>26</v>
      </c>
      <c r="BV42" s="319">
        <v>361038.34</v>
      </c>
      <c r="BW42" s="319">
        <v>255561.68</v>
      </c>
      <c r="BX42" s="319">
        <v>280485.59000000003</v>
      </c>
      <c r="BY42" s="319">
        <v>329131.01</v>
      </c>
      <c r="BZ42" s="319">
        <v>348504</v>
      </c>
      <c r="CA42" s="319">
        <v>399373.65</v>
      </c>
      <c r="CB42" s="319">
        <v>350567.16</v>
      </c>
      <c r="CC42" s="319">
        <v>696472.08</v>
      </c>
      <c r="CD42" s="319">
        <v>667958.36</v>
      </c>
      <c r="CE42" s="319">
        <v>887844.70999999985</v>
      </c>
      <c r="CF42" s="319">
        <v>640635.74</v>
      </c>
      <c r="CG42" s="319">
        <v>637917.42000000004</v>
      </c>
      <c r="CH42" s="319">
        <v>1285084.2799999998</v>
      </c>
      <c r="CI42" s="319">
        <v>1441486.4</v>
      </c>
      <c r="CJ42" s="319">
        <v>1557480.94</v>
      </c>
      <c r="CK42" s="319">
        <v>1349508.3000000003</v>
      </c>
      <c r="CL42" s="319"/>
      <c r="CM42" s="362">
        <v>1026843.3500000001</v>
      </c>
      <c r="CN42" s="753">
        <v>1178418.1000000001</v>
      </c>
      <c r="CO42" s="753">
        <v>1712811.8900000001</v>
      </c>
      <c r="CP42" s="753">
        <v>1130538.1200000001</v>
      </c>
      <c r="CQ42" s="753">
        <v>1080065.6099999999</v>
      </c>
      <c r="CR42" s="39"/>
      <c r="CS42" s="43" t="s">
        <v>26</v>
      </c>
      <c r="CT42" s="319">
        <v>333266.15999999997</v>
      </c>
      <c r="CU42" s="319">
        <v>375826</v>
      </c>
      <c r="CV42" s="319">
        <v>356981.66</v>
      </c>
      <c r="CW42" s="319">
        <v>405084.32</v>
      </c>
      <c r="CX42" s="319">
        <v>406588</v>
      </c>
      <c r="CY42" s="319">
        <v>372748.74</v>
      </c>
      <c r="CZ42" s="319">
        <v>438208.95</v>
      </c>
      <c r="DA42" s="319">
        <v>377255.71</v>
      </c>
      <c r="DB42" s="319">
        <v>414021.12000000005</v>
      </c>
      <c r="DC42" s="319">
        <v>362773.36000000004</v>
      </c>
      <c r="DD42" s="319">
        <v>553093.36999999988</v>
      </c>
      <c r="DE42" s="319">
        <v>492692.74</v>
      </c>
      <c r="DF42" s="319">
        <v>495883.77</v>
      </c>
      <c r="DG42" s="319">
        <v>479295.11</v>
      </c>
      <c r="DH42" s="319">
        <v>860867.35</v>
      </c>
      <c r="DI42" s="319">
        <v>500326.92</v>
      </c>
      <c r="DJ42" s="319"/>
      <c r="DK42" s="362">
        <v>638313.66</v>
      </c>
      <c r="DL42" s="753">
        <v>1106552.47</v>
      </c>
      <c r="DM42" s="753">
        <v>930222.29999999993</v>
      </c>
      <c r="DN42" s="753">
        <v>851456.85000000009</v>
      </c>
      <c r="DO42" s="753">
        <v>934364.5</v>
      </c>
      <c r="DP42" s="39"/>
      <c r="DQ42" s="43" t="s">
        <v>26</v>
      </c>
      <c r="DR42" s="319">
        <v>83316.539999999994</v>
      </c>
      <c r="DS42" s="319">
        <v>60132.160000000003</v>
      </c>
      <c r="DT42" s="319">
        <v>25498.69</v>
      </c>
      <c r="DU42" s="319">
        <v>50635.54</v>
      </c>
      <c r="DV42" s="319">
        <v>87126</v>
      </c>
      <c r="DW42" s="319">
        <v>106499.64</v>
      </c>
      <c r="DX42" s="319">
        <v>87641.79</v>
      </c>
      <c r="DY42" s="319">
        <v>58039.34</v>
      </c>
      <c r="DZ42" s="319">
        <v>16648.34</v>
      </c>
      <c r="EA42" s="319">
        <v>34109.85</v>
      </c>
      <c r="EB42" s="319">
        <v>52897.03</v>
      </c>
      <c r="EC42" s="319">
        <v>74818.78</v>
      </c>
      <c r="ED42" s="319">
        <v>44507.87</v>
      </c>
      <c r="EE42" s="319">
        <v>26508.67</v>
      </c>
      <c r="EF42" s="319">
        <v>15191.26</v>
      </c>
      <c r="EG42" s="319">
        <v>23952</v>
      </c>
      <c r="EH42" s="319"/>
      <c r="EI42" s="362">
        <v>14514.57</v>
      </c>
      <c r="EJ42" s="753">
        <v>12649.14</v>
      </c>
      <c r="EK42" s="753">
        <v>12903.9</v>
      </c>
      <c r="EL42" s="753">
        <v>13430.17</v>
      </c>
      <c r="EM42" s="753">
        <v>14000</v>
      </c>
      <c r="EN42" s="39"/>
      <c r="EO42" s="43" t="s">
        <v>26</v>
      </c>
      <c r="EP42" s="319">
        <v>124974.81</v>
      </c>
      <c r="EQ42" s="319">
        <v>285627.76</v>
      </c>
      <c r="ER42" s="319">
        <v>305984.28000000003</v>
      </c>
      <c r="ES42" s="319">
        <v>278495.46999999997</v>
      </c>
      <c r="ET42" s="319">
        <v>493714</v>
      </c>
      <c r="EU42" s="319">
        <v>239624.19</v>
      </c>
      <c r="EV42" s="319">
        <v>467422.88</v>
      </c>
      <c r="EW42" s="319">
        <v>203137.69</v>
      </c>
      <c r="EX42" s="319">
        <v>106251.53</v>
      </c>
      <c r="EY42" s="319">
        <v>173529.65</v>
      </c>
      <c r="EZ42" s="319">
        <v>328166.57000000007</v>
      </c>
      <c r="FA42" s="319">
        <v>434001.51</v>
      </c>
      <c r="FB42" s="319">
        <v>209365.13000000003</v>
      </c>
      <c r="FC42" s="319">
        <v>255316.1</v>
      </c>
      <c r="FD42" s="319">
        <v>232395.11999999997</v>
      </c>
      <c r="FE42" s="319">
        <v>400181.83</v>
      </c>
      <c r="FF42" s="319"/>
      <c r="FG42" s="362">
        <v>420779.55</v>
      </c>
      <c r="FH42" s="362">
        <v>51377.75</v>
      </c>
      <c r="FI42" s="362">
        <v>42740.69</v>
      </c>
      <c r="FJ42" s="362">
        <v>47058.210000000006</v>
      </c>
      <c r="FK42" s="362">
        <v>48400</v>
      </c>
      <c r="FM42" s="43" t="s">
        <v>26</v>
      </c>
      <c r="FN42" s="319">
        <v>1208930</v>
      </c>
      <c r="FO42" s="319">
        <v>726049</v>
      </c>
      <c r="FP42" s="319">
        <v>923668</v>
      </c>
      <c r="FQ42" s="319">
        <v>1398482</v>
      </c>
      <c r="FR42" s="319">
        <v>1989747</v>
      </c>
      <c r="FS42" s="319">
        <v>2194198</v>
      </c>
      <c r="FT42" s="319">
        <v>2481221</v>
      </c>
      <c r="FU42" s="319">
        <v>1670312</v>
      </c>
      <c r="FV42" s="319">
        <v>1863591.5100000002</v>
      </c>
      <c r="FW42" s="319">
        <v>1717731.98</v>
      </c>
      <c r="FX42" s="319">
        <v>1743469.38</v>
      </c>
      <c r="FY42" s="319">
        <v>1794390.48</v>
      </c>
      <c r="FZ42" s="319">
        <v>1887554.69</v>
      </c>
      <c r="GA42" s="319">
        <v>1917302</v>
      </c>
      <c r="GB42" s="319">
        <v>1542165.21</v>
      </c>
      <c r="GC42" s="319">
        <v>1650571.15</v>
      </c>
      <c r="GD42" s="319"/>
      <c r="GE42" s="319">
        <v>1757736.45</v>
      </c>
      <c r="GF42" s="756">
        <v>1634665.84</v>
      </c>
      <c r="GG42" s="756">
        <v>1737905.84</v>
      </c>
      <c r="GH42" s="756">
        <v>1640125.11</v>
      </c>
      <c r="GI42" s="756">
        <v>1071507.5599999996</v>
      </c>
      <c r="GJ42" s="42"/>
      <c r="GK42" s="570" t="s">
        <v>26</v>
      </c>
      <c r="GL42" s="571">
        <f>FN42/'4GF Expenditures'!B43</f>
        <v>0.6131698660027074</v>
      </c>
      <c r="GM42" s="571">
        <f>FO42/'4GF Expenditures'!C43</f>
        <v>0.36554953340197416</v>
      </c>
      <c r="GN42" s="571">
        <f>FP42/'4GF Expenditures'!D43</f>
        <v>0.39267424806036771</v>
      </c>
      <c r="GO42" s="571">
        <f>FQ42/'4GF Expenditures'!E43</f>
        <v>0.67987708091978316</v>
      </c>
      <c r="GP42" s="571">
        <f>FR42/'4GF Expenditures'!F43</f>
        <v>0.86026931150248498</v>
      </c>
      <c r="GQ42" s="571">
        <f>FS42/'4GF Expenditures'!G43</f>
        <v>0.88940511706336334</v>
      </c>
      <c r="GR42" s="571">
        <f>FT42/'4GF Expenditures'!H43</f>
        <v>0.94186503794076004</v>
      </c>
      <c r="GS42" s="571">
        <f>FU42/'4GF Expenditures'!I43</f>
        <v>0.44987012763151801</v>
      </c>
      <c r="GT42" s="571">
        <f>FV42/'4GF Expenditures'!J43</f>
        <v>0.66616798330111315</v>
      </c>
      <c r="GU42" s="571">
        <f>FW42/'4GF Expenditures'!K43</f>
        <v>0.45421438809260267</v>
      </c>
      <c r="GV42" s="571">
        <f>FX42/'4GF Expenditures'!L43</f>
        <v>0.50347738604238979</v>
      </c>
      <c r="GW42" s="571">
        <f>FY42/'4GF Expenditures'!M43</f>
        <v>0.48787969518928981</v>
      </c>
      <c r="GX42" s="571">
        <f>FZ42/'4GF Expenditures'!N43</f>
        <v>0.47500104081980526</v>
      </c>
      <c r="GY42" s="571">
        <f>GA42/'4GF Expenditures'!O43</f>
        <v>0.457658036109518</v>
      </c>
      <c r="GZ42" s="571">
        <f>GB42/'4GF Expenditures'!P43</f>
        <v>0.33091361786081691</v>
      </c>
      <c r="HA42" s="571">
        <f>GC42/'4GF Expenditures'!Q43</f>
        <v>0.38160227311680844</v>
      </c>
      <c r="HB42" s="571" t="e">
        <f>GD42/'4GF Expenditures'!R43</f>
        <v>#DIV/0!</v>
      </c>
      <c r="HC42" s="571">
        <f>GE42/'4GF Expenditures'!S43</f>
        <v>0.39919224668590886</v>
      </c>
      <c r="HD42" s="571">
        <f>GF42/'4GF Expenditures'!T43</f>
        <v>0.34600844397204117</v>
      </c>
      <c r="HE42" s="571">
        <f>GG42/'4GF Expenditures'!U43</f>
        <v>0.35721264687445714</v>
      </c>
      <c r="HF42" s="571">
        <f>GH42/'4GF Expenditures'!V43</f>
        <v>0.36902586345026306</v>
      </c>
      <c r="HG42" s="571">
        <f>GI42/'4GF Expenditures'!W43</f>
        <v>0.22868840669111209</v>
      </c>
      <c r="HH42" s="571"/>
      <c r="HI42" s="571"/>
      <c r="HJ42" s="571"/>
      <c r="HK42" s="568"/>
      <c r="HL42" s="567" t="s">
        <v>26</v>
      </c>
      <c r="HM42" s="571">
        <f>B42/'4GF Expenditures'!B43</f>
        <v>0.70430313952019852</v>
      </c>
      <c r="HN42" s="571">
        <f>C42/'4GF Expenditures'!C43</f>
        <v>0.75688014963359407</v>
      </c>
      <c r="HO42" s="571">
        <f>D42/'4GF Expenditures'!D43</f>
        <v>1.084012753746413</v>
      </c>
      <c r="HP42" s="571">
        <f>E42/'4GF Expenditures'!E43</f>
        <v>1.2308325429285796</v>
      </c>
      <c r="HQ42" s="571">
        <f>F42/'4GF Expenditures'!F43</f>
        <v>1.2556340753198858</v>
      </c>
      <c r="HR42" s="571">
        <f>G42/'4GF Expenditures'!G43</f>
        <v>1.0792249010960504</v>
      </c>
      <c r="HS42" s="571">
        <f>H42/'4GF Expenditures'!H43</f>
        <v>1.1089531842527816</v>
      </c>
      <c r="HT42" s="571">
        <f>I42/'4GF Expenditures'!I43</f>
        <v>0.78159545322817137</v>
      </c>
      <c r="HU42" s="571">
        <f>J42/'4GF Expenditures'!J43</f>
        <v>1.0562277293972289</v>
      </c>
      <c r="HV42" s="571">
        <f>K42/'4GF Expenditures'!K43</f>
        <v>0.96330915651684401</v>
      </c>
      <c r="HW42" s="571">
        <f>L42/'4GF Expenditures'!L43</f>
        <v>1.007906391378359</v>
      </c>
      <c r="HX42" s="571">
        <f>M42/'4GF Expenditures'!M43</f>
        <v>1.0124531490672495</v>
      </c>
      <c r="HY42" s="571">
        <f>N42/'4GF Expenditures'!N43</f>
        <v>1.0244062555847182</v>
      </c>
      <c r="HZ42" s="571">
        <f>O42/'4GF Expenditures'!O43</f>
        <v>1.0072391409978871</v>
      </c>
      <c r="IA42" s="571">
        <f>P42/'4GF Expenditures'!P43</f>
        <v>1.0055781625881999</v>
      </c>
      <c r="IB42" s="571">
        <f>Q42/'4GF Expenditures'!Q43</f>
        <v>1.0250628112113582</v>
      </c>
      <c r="IC42" s="571" t="e">
        <f>R42/'4GF Expenditures'!R43</f>
        <v>#DIV/0!</v>
      </c>
      <c r="ID42" s="573">
        <f>S42/'4GF Expenditures'!S43</f>
        <v>1.0312602494293657</v>
      </c>
      <c r="IE42" s="572">
        <f>T42/'4GF Expenditures'!T43</f>
        <v>0.97571760337228874</v>
      </c>
      <c r="IF42" s="572">
        <f>U42/'4GF Expenditures'!U43</f>
        <v>1.0192540381665682</v>
      </c>
      <c r="IG42" s="572">
        <f>V42/'4GF Expenditures'!V43</f>
        <v>0.97174403605982462</v>
      </c>
      <c r="IH42" s="572">
        <f>W42/'4GF Expenditures'!W43</f>
        <v>0.87864178809330673</v>
      </c>
    </row>
    <row r="43" spans="1:242" ht="12.75" customHeight="1">
      <c r="A43" s="43" t="s">
        <v>27</v>
      </c>
      <c r="B43" s="319">
        <v>1224683</v>
      </c>
      <c r="C43" s="319">
        <v>1196579</v>
      </c>
      <c r="D43" s="319">
        <v>1346923</v>
      </c>
      <c r="E43" s="319">
        <v>1387750</v>
      </c>
      <c r="F43" s="319">
        <v>1467571</v>
      </c>
      <c r="G43" s="319">
        <v>1527907</v>
      </c>
      <c r="H43" s="319">
        <v>1617134</v>
      </c>
      <c r="I43" s="319">
        <v>1699571</v>
      </c>
      <c r="J43" s="319">
        <v>1770917</v>
      </c>
      <c r="K43" s="319"/>
      <c r="L43" s="319"/>
      <c r="M43" s="319"/>
      <c r="N43" s="319"/>
      <c r="O43" s="319"/>
      <c r="P43" s="319"/>
      <c r="Q43" s="319"/>
      <c r="R43" s="319"/>
      <c r="S43" s="362"/>
      <c r="T43" s="362"/>
      <c r="U43" s="362"/>
      <c r="V43" s="362"/>
      <c r="W43" s="362"/>
      <c r="X43" s="6"/>
      <c r="Y43" s="43" t="s">
        <v>27</v>
      </c>
      <c r="Z43" s="319">
        <v>122468.3</v>
      </c>
      <c r="AA43" s="319">
        <v>143589.48000000001</v>
      </c>
      <c r="AB43" s="319">
        <v>188569.22</v>
      </c>
      <c r="AC43" s="319">
        <v>194285</v>
      </c>
      <c r="AD43" s="319">
        <v>205459.94</v>
      </c>
      <c r="AE43" s="319">
        <v>229186.05</v>
      </c>
      <c r="AF43" s="319">
        <v>242570.1</v>
      </c>
      <c r="AG43" s="319">
        <v>254935.65</v>
      </c>
      <c r="AH43" s="319">
        <v>283346.71999999997</v>
      </c>
      <c r="AI43" s="319"/>
      <c r="AJ43" s="319"/>
      <c r="AK43" s="319"/>
      <c r="AL43" s="319"/>
      <c r="AM43" s="319"/>
      <c r="AN43" s="319"/>
      <c r="AO43" s="319"/>
      <c r="AP43" s="319"/>
      <c r="AQ43" s="362"/>
      <c r="AR43" s="753"/>
      <c r="AS43" s="753"/>
      <c r="AT43" s="753"/>
      <c r="AU43" s="753"/>
      <c r="AV43" s="39"/>
      <c r="AW43" s="43" t="s">
        <v>27</v>
      </c>
      <c r="AX43" s="319">
        <v>734809.8</v>
      </c>
      <c r="AY43" s="319">
        <v>729913.19</v>
      </c>
      <c r="AZ43" s="319">
        <v>740807.65</v>
      </c>
      <c r="BA43" s="319">
        <v>818772.5</v>
      </c>
      <c r="BB43" s="319">
        <v>821839.76</v>
      </c>
      <c r="BC43" s="319">
        <v>870906.99</v>
      </c>
      <c r="BD43" s="319">
        <v>873252.36</v>
      </c>
      <c r="BE43" s="319">
        <v>917768.34</v>
      </c>
      <c r="BF43" s="319">
        <v>885458.5</v>
      </c>
      <c r="BG43" s="319"/>
      <c r="BH43" s="319"/>
      <c r="BI43" s="319"/>
      <c r="BJ43" s="319"/>
      <c r="BK43" s="319"/>
      <c r="BL43" s="319"/>
      <c r="BM43" s="319"/>
      <c r="BN43" s="319"/>
      <c r="BO43" s="362"/>
      <c r="BP43" s="753"/>
      <c r="BQ43" s="753"/>
      <c r="BR43" s="753"/>
      <c r="BS43" s="753"/>
      <c r="BT43" s="286"/>
      <c r="BU43" s="43" t="s">
        <v>27</v>
      </c>
      <c r="BV43" s="319">
        <v>48987.32</v>
      </c>
      <c r="BW43" s="319">
        <v>47863.16</v>
      </c>
      <c r="BX43" s="319">
        <v>40407.69</v>
      </c>
      <c r="BY43" s="319">
        <v>27755</v>
      </c>
      <c r="BZ43" s="319">
        <v>44027.13</v>
      </c>
      <c r="CA43" s="319">
        <v>0</v>
      </c>
      <c r="CB43" s="319">
        <v>0</v>
      </c>
      <c r="CC43" s="319">
        <v>0</v>
      </c>
      <c r="CD43" s="319">
        <v>35418.339999999997</v>
      </c>
      <c r="CE43" s="319"/>
      <c r="CF43" s="319"/>
      <c r="CG43" s="319"/>
      <c r="CH43" s="319"/>
      <c r="CI43" s="319"/>
      <c r="CJ43" s="319"/>
      <c r="CK43" s="319"/>
      <c r="CL43" s="319"/>
      <c r="CM43" s="362"/>
      <c r="CN43" s="753"/>
      <c r="CO43" s="753"/>
      <c r="CP43" s="753"/>
      <c r="CQ43" s="753"/>
      <c r="CR43" s="39"/>
      <c r="CS43" s="43" t="s">
        <v>27</v>
      </c>
      <c r="CT43" s="319">
        <v>220442.94</v>
      </c>
      <c r="CU43" s="319">
        <v>215384.22</v>
      </c>
      <c r="CV43" s="319">
        <v>269384.59999999998</v>
      </c>
      <c r="CW43" s="319">
        <v>235917.5</v>
      </c>
      <c r="CX43" s="319">
        <v>264162.78000000003</v>
      </c>
      <c r="CY43" s="319">
        <v>320860.46999999997</v>
      </c>
      <c r="CZ43" s="319">
        <v>404283.5</v>
      </c>
      <c r="DA43" s="319">
        <v>407897.04</v>
      </c>
      <c r="DB43" s="319">
        <v>407310.91</v>
      </c>
      <c r="DC43" s="319"/>
      <c r="DD43" s="319"/>
      <c r="DE43" s="319"/>
      <c r="DF43" s="319"/>
      <c r="DG43" s="319"/>
      <c r="DH43" s="319"/>
      <c r="DI43" s="319"/>
      <c r="DJ43" s="319"/>
      <c r="DK43" s="362"/>
      <c r="DL43" s="753"/>
      <c r="DM43" s="753"/>
      <c r="DN43" s="753"/>
      <c r="DO43" s="753"/>
      <c r="DP43" s="39"/>
      <c r="DQ43" s="43" t="s">
        <v>27</v>
      </c>
      <c r="DR43" s="319">
        <v>36740.49</v>
      </c>
      <c r="DS43" s="319">
        <v>23931.58</v>
      </c>
      <c r="DT43" s="319">
        <v>26938.46</v>
      </c>
      <c r="DU43" s="319">
        <v>27755</v>
      </c>
      <c r="DV43" s="319">
        <v>29351.42</v>
      </c>
      <c r="DW43" s="319">
        <v>45837.21</v>
      </c>
      <c r="DX43" s="319">
        <v>32342.68</v>
      </c>
      <c r="DY43" s="319">
        <v>33991.42</v>
      </c>
      <c r="DZ43" s="319">
        <v>17709.169999999998</v>
      </c>
      <c r="EA43" s="319"/>
      <c r="EB43" s="319"/>
      <c r="EC43" s="319"/>
      <c r="ED43" s="319"/>
      <c r="EE43" s="319"/>
      <c r="EF43" s="319"/>
      <c r="EG43" s="319"/>
      <c r="EH43" s="319"/>
      <c r="EI43" s="362"/>
      <c r="EJ43" s="753"/>
      <c r="EK43" s="753"/>
      <c r="EL43" s="753"/>
      <c r="EM43" s="753"/>
      <c r="EN43" s="39"/>
      <c r="EO43" s="43" t="s">
        <v>27</v>
      </c>
      <c r="EP43" s="319">
        <v>61234.15</v>
      </c>
      <c r="EQ43" s="319">
        <v>35897.370000000003</v>
      </c>
      <c r="ER43" s="319">
        <v>80815.38</v>
      </c>
      <c r="ES43" s="319">
        <v>83265</v>
      </c>
      <c r="ET43" s="319">
        <v>102729.97</v>
      </c>
      <c r="EU43" s="319">
        <v>61116.28</v>
      </c>
      <c r="EV43" s="319">
        <v>64685.36</v>
      </c>
      <c r="EW43" s="319">
        <v>84978.55</v>
      </c>
      <c r="EX43" s="319">
        <v>141673.35999999999</v>
      </c>
      <c r="EY43" s="319"/>
      <c r="EZ43" s="319"/>
      <c r="FA43" s="319"/>
      <c r="FB43" s="319"/>
      <c r="FC43" s="319"/>
      <c r="FD43" s="319"/>
      <c r="FE43" s="319"/>
      <c r="FF43" s="319"/>
      <c r="FG43" s="362"/>
      <c r="FH43" s="362"/>
      <c r="FI43" s="362"/>
      <c r="FJ43" s="362"/>
      <c r="FK43" s="362"/>
      <c r="FM43" s="43" t="s">
        <v>27</v>
      </c>
      <c r="FN43" s="319">
        <v>490946</v>
      </c>
      <c r="FO43" s="319">
        <v>331059</v>
      </c>
      <c r="FP43" s="319">
        <v>300994</v>
      </c>
      <c r="FQ43" s="319">
        <v>472964</v>
      </c>
      <c r="FR43" s="319">
        <v>544412</v>
      </c>
      <c r="FS43" s="319">
        <v>632357</v>
      </c>
      <c r="FT43" s="319">
        <v>489716</v>
      </c>
      <c r="FU43" s="319">
        <v>518096</v>
      </c>
      <c r="FV43" s="319">
        <v>455322</v>
      </c>
      <c r="FW43" s="319"/>
      <c r="FX43" s="319"/>
      <c r="FY43" s="319"/>
      <c r="FZ43" s="319"/>
      <c r="GA43" s="319"/>
      <c r="GB43" s="319"/>
      <c r="GC43" s="319"/>
      <c r="GD43" s="319"/>
      <c r="GE43" s="319"/>
      <c r="GF43" s="756"/>
      <c r="GG43" s="756"/>
      <c r="GH43" s="756"/>
      <c r="GI43" s="756"/>
      <c r="GJ43" s="42"/>
      <c r="GK43" s="570" t="s">
        <v>27</v>
      </c>
      <c r="GL43" s="571">
        <f>FN43/'4GF Expenditures'!B44</f>
        <v>0.33840957576969072</v>
      </c>
      <c r="GM43" s="571">
        <f>FO43/'4GF Expenditures'!C44</f>
        <v>0.24405993220618874</v>
      </c>
      <c r="GN43" s="571">
        <f>FP43/'4GF Expenditures'!D44</f>
        <v>0.21858868777360441</v>
      </c>
      <c r="GO43" s="571">
        <f>FQ43/'4GF Expenditures'!E44</f>
        <v>0.3890210399907878</v>
      </c>
      <c r="GP43" s="571">
        <f>FR43/'4GF Expenditures'!F44</f>
        <v>0.38994558502366911</v>
      </c>
      <c r="GQ43" s="571">
        <f>FS43/'4GF Expenditures'!G44</f>
        <v>0.43914869916615795</v>
      </c>
      <c r="GR43" s="571">
        <f>FT43/'4GF Expenditures'!H44</f>
        <v>0.27828330326320128</v>
      </c>
      <c r="GS43" s="571">
        <f>FU43/'4GF Expenditures'!I44</f>
        <v>0.31001603048364906</v>
      </c>
      <c r="GT43" s="571">
        <f>FV43/'4GF Expenditures'!J44</f>
        <v>0.24830887629983661</v>
      </c>
      <c r="GU43" s="571" t="e">
        <f>FW43/'4GF Expenditures'!K44</f>
        <v>#DIV/0!</v>
      </c>
      <c r="GV43" s="571" t="e">
        <f>FX43/'4GF Expenditures'!L44</f>
        <v>#DIV/0!</v>
      </c>
      <c r="GW43" s="571" t="e">
        <f>FY43/'4GF Expenditures'!M44</f>
        <v>#DIV/0!</v>
      </c>
      <c r="GX43" s="571" t="e">
        <f>FZ43/'4GF Expenditures'!N44</f>
        <v>#DIV/0!</v>
      </c>
      <c r="GY43" s="571" t="e">
        <f>GA43/'4GF Expenditures'!O44</f>
        <v>#DIV/0!</v>
      </c>
      <c r="GZ43" s="571" t="e">
        <f>GB43/'4GF Expenditures'!P44</f>
        <v>#DIV/0!</v>
      </c>
      <c r="HA43" s="571" t="e">
        <f>GC43/'4GF Expenditures'!Q44</f>
        <v>#DIV/0!</v>
      </c>
      <c r="HB43" s="571" t="e">
        <f>GD43/'4GF Expenditures'!R44</f>
        <v>#DIV/0!</v>
      </c>
      <c r="HC43" s="571" t="e">
        <f>GE43/'4GF Expenditures'!S44</f>
        <v>#DIV/0!</v>
      </c>
      <c r="HD43" s="571" t="e">
        <f>GF43/'4GF Expenditures'!T44</f>
        <v>#DIV/0!</v>
      </c>
      <c r="HE43" s="571" t="e">
        <f>GG43/'4GF Expenditures'!U44</f>
        <v>#DIV/0!</v>
      </c>
      <c r="HF43" s="571" t="e">
        <f>GH43/'4GF Expenditures'!V44</f>
        <v>#DIV/0!</v>
      </c>
      <c r="HG43" s="571" t="e">
        <f>GI43/'4GF Expenditures'!W44</f>
        <v>#DIV/0!</v>
      </c>
      <c r="HH43" s="571"/>
      <c r="HI43" s="571"/>
      <c r="HJ43" s="571"/>
      <c r="HK43" s="568"/>
      <c r="HL43" s="567" t="s">
        <v>27</v>
      </c>
      <c r="HM43" s="571">
        <f>B43/'4GF Expenditures'!B44</f>
        <v>0.84417523410385698</v>
      </c>
      <c r="HN43" s="571">
        <f>C43/'4GF Expenditures'!C44</f>
        <v>0.88212974007457612</v>
      </c>
      <c r="HO43" s="571">
        <f>D43/'4GF Expenditures'!D44</f>
        <v>0.97816611328493785</v>
      </c>
      <c r="HP43" s="571">
        <f>E43/'4GF Expenditures'!E44</f>
        <v>1.1414482883416408</v>
      </c>
      <c r="HQ43" s="571">
        <f>F43/'4GF Expenditures'!F44</f>
        <v>1.0511760066985503</v>
      </c>
      <c r="HR43" s="571">
        <f>G43/'4GF Expenditures'!G44</f>
        <v>1.0610752652328779</v>
      </c>
      <c r="HS43" s="571">
        <f>H43/'4GF Expenditures'!H44</f>
        <v>0.91894361495077492</v>
      </c>
      <c r="HT43" s="571">
        <f>I43/'4GF Expenditures'!I44</f>
        <v>1.0169819009317307</v>
      </c>
      <c r="HU43" s="571">
        <f>J43/'4GF Expenditures'!J44</f>
        <v>0.96576578836576699</v>
      </c>
      <c r="HV43" s="571" t="e">
        <f>K43/'4GF Expenditures'!K44</f>
        <v>#DIV/0!</v>
      </c>
      <c r="HW43" s="571" t="e">
        <f>L43/'4GF Expenditures'!L44</f>
        <v>#DIV/0!</v>
      </c>
      <c r="HX43" s="571" t="e">
        <f>M43/'4GF Expenditures'!M44</f>
        <v>#DIV/0!</v>
      </c>
      <c r="HY43" s="571" t="e">
        <f>N43/'4GF Expenditures'!N44</f>
        <v>#DIV/0!</v>
      </c>
      <c r="HZ43" s="571" t="e">
        <f>O43/'4GF Expenditures'!O44</f>
        <v>#DIV/0!</v>
      </c>
      <c r="IA43" s="571" t="e">
        <f>P43/'4GF Expenditures'!P44</f>
        <v>#DIV/0!</v>
      </c>
      <c r="IB43" s="571" t="e">
        <f>Q43/'4GF Expenditures'!Q44</f>
        <v>#DIV/0!</v>
      </c>
      <c r="IC43" s="571" t="e">
        <f>R43/'4GF Expenditures'!R44</f>
        <v>#DIV/0!</v>
      </c>
      <c r="ID43" s="573" t="e">
        <f>S43/'4GF Expenditures'!S44</f>
        <v>#DIV/0!</v>
      </c>
      <c r="IE43" s="572" t="e">
        <f>T43/'4GF Expenditures'!T44</f>
        <v>#DIV/0!</v>
      </c>
      <c r="IF43" s="572" t="e">
        <f>U43/'4GF Expenditures'!U44</f>
        <v>#DIV/0!</v>
      </c>
      <c r="IG43" s="572" t="e">
        <f>V43/'4GF Expenditures'!V44</f>
        <v>#DIV/0!</v>
      </c>
      <c r="IH43" s="572" t="e">
        <f>W43/'4GF Expenditures'!W44</f>
        <v>#DIV/0!</v>
      </c>
    </row>
    <row r="44" spans="1:242" ht="14">
      <c r="A44" s="43" t="s">
        <v>28</v>
      </c>
      <c r="B44" s="319">
        <v>640327</v>
      </c>
      <c r="C44" s="319">
        <v>814456</v>
      </c>
      <c r="D44" s="319">
        <v>881792</v>
      </c>
      <c r="E44" s="319">
        <v>969921</v>
      </c>
      <c r="F44" s="319">
        <v>933176</v>
      </c>
      <c r="G44" s="319">
        <v>930812</v>
      </c>
      <c r="H44" s="319">
        <v>1115072</v>
      </c>
      <c r="I44" s="319">
        <v>1019151</v>
      </c>
      <c r="J44" s="319">
        <v>1249931.3800000001</v>
      </c>
      <c r="K44" s="319">
        <v>1663891.19</v>
      </c>
      <c r="L44" s="319">
        <v>1202685.47</v>
      </c>
      <c r="M44" s="319">
        <v>1116419.8599999999</v>
      </c>
      <c r="N44" s="319">
        <v>1468690.9699999997</v>
      </c>
      <c r="O44" s="319">
        <v>1627849.5999999999</v>
      </c>
      <c r="P44" s="319">
        <v>1487439.15</v>
      </c>
      <c r="Q44" s="319">
        <v>1361950.43</v>
      </c>
      <c r="R44" s="319">
        <v>1479306.71</v>
      </c>
      <c r="S44" s="362">
        <v>1359094.19</v>
      </c>
      <c r="T44" s="362">
        <v>1408174.57</v>
      </c>
      <c r="U44" s="362">
        <v>1340765.3399999999</v>
      </c>
      <c r="V44" s="362">
        <v>1419683.99</v>
      </c>
      <c r="W44" s="362">
        <v>1386633.67</v>
      </c>
      <c r="X44" s="6"/>
      <c r="Y44" s="43" t="s">
        <v>28</v>
      </c>
      <c r="Z44" s="319">
        <v>217711.18</v>
      </c>
      <c r="AA44" s="319">
        <v>244336.8</v>
      </c>
      <c r="AB44" s="319">
        <v>255719.67999999999</v>
      </c>
      <c r="AC44" s="319">
        <v>271577.88</v>
      </c>
      <c r="AD44" s="319">
        <v>289284.56</v>
      </c>
      <c r="AE44" s="319">
        <v>297859.84000000003</v>
      </c>
      <c r="AF44" s="319">
        <v>323370.88</v>
      </c>
      <c r="AG44" s="319">
        <v>315936.81</v>
      </c>
      <c r="AH44" s="319">
        <v>321009.85000000003</v>
      </c>
      <c r="AI44" s="319">
        <v>354162.16</v>
      </c>
      <c r="AJ44" s="319">
        <v>352721.93</v>
      </c>
      <c r="AK44" s="319">
        <v>379329.99</v>
      </c>
      <c r="AL44" s="319">
        <v>402697.5</v>
      </c>
      <c r="AM44" s="319">
        <v>460417.29</v>
      </c>
      <c r="AN44" s="319">
        <v>472450.91</v>
      </c>
      <c r="AO44" s="319">
        <v>402821.17</v>
      </c>
      <c r="AP44" s="319">
        <v>480421.02</v>
      </c>
      <c r="AQ44" s="362">
        <v>485101.83999999997</v>
      </c>
      <c r="AR44" s="753">
        <v>533455.53</v>
      </c>
      <c r="AS44" s="753">
        <v>493610.07999999996</v>
      </c>
      <c r="AT44" s="753">
        <v>508340.49</v>
      </c>
      <c r="AU44" s="753">
        <v>510000</v>
      </c>
      <c r="AV44" s="39"/>
      <c r="AW44" s="43" t="s">
        <v>28</v>
      </c>
      <c r="AX44" s="319">
        <v>198501.37</v>
      </c>
      <c r="AY44" s="319">
        <v>358360.64</v>
      </c>
      <c r="AZ44" s="319">
        <v>387988.47999999998</v>
      </c>
      <c r="BA44" s="319">
        <v>378269.19</v>
      </c>
      <c r="BB44" s="319">
        <v>298616.32000000001</v>
      </c>
      <c r="BC44" s="319">
        <v>232703</v>
      </c>
      <c r="BD44" s="319">
        <v>234165.12</v>
      </c>
      <c r="BE44" s="319">
        <v>234404.73</v>
      </c>
      <c r="BF44" s="319">
        <v>271139.69</v>
      </c>
      <c r="BG44" s="319">
        <v>271135.68</v>
      </c>
      <c r="BH44" s="319">
        <v>262962.74</v>
      </c>
      <c r="BI44" s="319">
        <v>299405.59999999998</v>
      </c>
      <c r="BJ44" s="319">
        <v>295306.37</v>
      </c>
      <c r="BK44" s="319">
        <v>290484.44</v>
      </c>
      <c r="BL44" s="319">
        <v>328366.12</v>
      </c>
      <c r="BM44" s="319">
        <v>295122.49</v>
      </c>
      <c r="BN44" s="319">
        <v>329729.78000000003</v>
      </c>
      <c r="BO44" s="362">
        <v>328912.95</v>
      </c>
      <c r="BP44" s="753">
        <v>310923.93</v>
      </c>
      <c r="BQ44" s="753">
        <v>330929.26</v>
      </c>
      <c r="BR44" s="753">
        <v>316776.14999999997</v>
      </c>
      <c r="BS44" s="753">
        <v>321000</v>
      </c>
      <c r="BT44" s="286"/>
      <c r="BU44" s="43" t="s">
        <v>28</v>
      </c>
      <c r="BV44" s="319">
        <v>57629.43</v>
      </c>
      <c r="BW44" s="319">
        <v>57011.92</v>
      </c>
      <c r="BX44" s="319">
        <v>52907.519999999997</v>
      </c>
      <c r="BY44" s="319">
        <v>67894.47</v>
      </c>
      <c r="BZ44" s="319">
        <v>121312.88</v>
      </c>
      <c r="CA44" s="319">
        <v>176854.28</v>
      </c>
      <c r="CB44" s="319">
        <v>245315.84</v>
      </c>
      <c r="CC44" s="319">
        <v>183447.18</v>
      </c>
      <c r="CD44" s="319">
        <v>256108.18000000002</v>
      </c>
      <c r="CE44" s="319">
        <v>583292.62000000011</v>
      </c>
      <c r="CF44" s="319">
        <v>394284.31</v>
      </c>
      <c r="CG44" s="319">
        <v>215677.69</v>
      </c>
      <c r="CH44" s="319">
        <v>236558.98</v>
      </c>
      <c r="CI44" s="319">
        <v>225699.77000000002</v>
      </c>
      <c r="CJ44" s="319">
        <v>247798.51</v>
      </c>
      <c r="CK44" s="319">
        <v>182918.09</v>
      </c>
      <c r="CL44" s="319">
        <v>178119.47</v>
      </c>
      <c r="CM44" s="362">
        <v>178360.91</v>
      </c>
      <c r="CN44" s="753">
        <v>210617.39</v>
      </c>
      <c r="CO44" s="753">
        <v>178055.29</v>
      </c>
      <c r="CP44" s="753">
        <v>239444.72</v>
      </c>
      <c r="CQ44" s="753">
        <v>216245.67</v>
      </c>
      <c r="CR44" s="39"/>
      <c r="CS44" s="43" t="s">
        <v>28</v>
      </c>
      <c r="CT44" s="319">
        <v>121662.13</v>
      </c>
      <c r="CU44" s="319">
        <v>105879.28</v>
      </c>
      <c r="CV44" s="319">
        <v>105815.03999999999</v>
      </c>
      <c r="CW44" s="319">
        <v>135788.94</v>
      </c>
      <c r="CX44" s="319">
        <v>121312.88</v>
      </c>
      <c r="CY44" s="319">
        <v>148929.92000000001</v>
      </c>
      <c r="CZ44" s="319">
        <v>111507.2</v>
      </c>
      <c r="DA44" s="319">
        <v>152872.65</v>
      </c>
      <c r="DB44" s="319">
        <v>137862.38</v>
      </c>
      <c r="DC44" s="319">
        <v>99614.62999999999</v>
      </c>
      <c r="DD44" s="319">
        <v>98609.49</v>
      </c>
      <c r="DE44" s="319">
        <v>113271.23</v>
      </c>
      <c r="DF44" s="319">
        <v>265566.89999999997</v>
      </c>
      <c r="DG44" s="319">
        <v>291325.71999999997</v>
      </c>
      <c r="DH44" s="319">
        <v>270916.83</v>
      </c>
      <c r="DI44" s="319">
        <v>243386.40000000002</v>
      </c>
      <c r="DJ44" s="319">
        <v>259761.25</v>
      </c>
      <c r="DK44" s="362">
        <v>295018.89999999997</v>
      </c>
      <c r="DL44" s="753">
        <v>302280.46999999997</v>
      </c>
      <c r="DM44" s="753">
        <v>297461.44999999995</v>
      </c>
      <c r="DN44" s="753">
        <v>316334.64</v>
      </c>
      <c r="DO44" s="753">
        <v>303224</v>
      </c>
      <c r="DP44" s="39"/>
      <c r="DQ44" s="43" t="s">
        <v>28</v>
      </c>
      <c r="DR44" s="319">
        <v>6403.27</v>
      </c>
      <c r="DS44" s="319">
        <v>8144.56</v>
      </c>
      <c r="DT44" s="319">
        <v>8817.92</v>
      </c>
      <c r="DU44" s="319">
        <v>9699.2099999999991</v>
      </c>
      <c r="DV44" s="319">
        <v>18663.52</v>
      </c>
      <c r="DW44" s="319">
        <v>18616.240000000002</v>
      </c>
      <c r="DX44" s="319">
        <v>0</v>
      </c>
      <c r="DY44" s="319">
        <v>0</v>
      </c>
      <c r="DZ44" s="319">
        <v>2948.72</v>
      </c>
      <c r="EA44" s="319">
        <v>10151.41</v>
      </c>
      <c r="EB44" s="319">
        <v>17993.45</v>
      </c>
      <c r="EC44" s="319">
        <v>20748.919999999998</v>
      </c>
      <c r="ED44" s="319">
        <v>9681.19</v>
      </c>
      <c r="EE44" s="319">
        <v>10172.469999999999</v>
      </c>
      <c r="EF44" s="319">
        <v>10557.79</v>
      </c>
      <c r="EG44" s="319">
        <v>14090.72</v>
      </c>
      <c r="EH44" s="319">
        <v>19276.82</v>
      </c>
      <c r="EI44" s="362">
        <v>18808.78</v>
      </c>
      <c r="EJ44" s="753">
        <v>9880.9</v>
      </c>
      <c r="EK44" s="753">
        <v>9278.4</v>
      </c>
      <c r="EL44" s="753">
        <v>10117.01</v>
      </c>
      <c r="EM44" s="753">
        <v>10000</v>
      </c>
      <c r="EN44" s="39"/>
      <c r="EO44" s="43" t="s">
        <v>28</v>
      </c>
      <c r="EP44" s="319">
        <v>38419.620000000003</v>
      </c>
      <c r="EQ44" s="319">
        <v>40722.800000000003</v>
      </c>
      <c r="ER44" s="319">
        <v>70543.360000000001</v>
      </c>
      <c r="ES44" s="319">
        <v>106691.31</v>
      </c>
      <c r="ET44" s="319">
        <v>83985.84</v>
      </c>
      <c r="EU44" s="319">
        <v>55848.72</v>
      </c>
      <c r="EV44" s="319">
        <v>200712.95999999999</v>
      </c>
      <c r="EW44" s="319">
        <v>132489.63</v>
      </c>
      <c r="EX44" s="319">
        <v>234596.56</v>
      </c>
      <c r="EY44" s="319">
        <v>247434.69000000003</v>
      </c>
      <c r="EZ44" s="319">
        <v>28150.55</v>
      </c>
      <c r="FA44" s="319">
        <v>32611.279999999999</v>
      </c>
      <c r="FB44" s="319">
        <v>256471.13</v>
      </c>
      <c r="FC44" s="319">
        <v>262749.46999999997</v>
      </c>
      <c r="FD44" s="319">
        <v>63616.430000000008</v>
      </c>
      <c r="FE44" s="319">
        <v>223611.56</v>
      </c>
      <c r="FF44" s="319">
        <v>211998.37000000002</v>
      </c>
      <c r="FG44" s="362">
        <v>30390.809999999998</v>
      </c>
      <c r="FH44" s="362">
        <v>41016.350000000006</v>
      </c>
      <c r="FI44" s="362">
        <v>31430.86</v>
      </c>
      <c r="FJ44" s="362">
        <v>28670.98</v>
      </c>
      <c r="FK44" s="362">
        <v>26164</v>
      </c>
      <c r="FM44" s="43" t="s">
        <v>28</v>
      </c>
      <c r="FN44" s="319">
        <v>28173</v>
      </c>
      <c r="FO44" s="319">
        <v>79205</v>
      </c>
      <c r="FP44" s="319">
        <v>112058</v>
      </c>
      <c r="FQ44" s="319">
        <v>151960</v>
      </c>
      <c r="FR44" s="319">
        <v>147862</v>
      </c>
      <c r="FS44" s="319">
        <v>29772</v>
      </c>
      <c r="FT44" s="319">
        <v>51287</v>
      </c>
      <c r="FU44" s="319">
        <v>24137</v>
      </c>
      <c r="FV44" s="319">
        <v>213587.94000000018</v>
      </c>
      <c r="FW44" s="319">
        <v>79952.31</v>
      </c>
      <c r="FX44" s="319">
        <v>54263.45</v>
      </c>
      <c r="FY44" s="319">
        <v>184308.88</v>
      </c>
      <c r="FZ44" s="319">
        <v>222761.74</v>
      </c>
      <c r="GA44" s="319">
        <v>494901.41</v>
      </c>
      <c r="GB44" s="319">
        <v>653673.55000000005</v>
      </c>
      <c r="GC44" s="319">
        <v>884072.83</v>
      </c>
      <c r="GD44" s="319">
        <v>1224102.46</v>
      </c>
      <c r="GE44" s="319">
        <v>1428504.47</v>
      </c>
      <c r="GF44" s="756">
        <v>1623387.8</v>
      </c>
      <c r="GG44" s="756">
        <v>1746197.4</v>
      </c>
      <c r="GH44" s="756">
        <v>1889154.15</v>
      </c>
      <c r="GI44" s="756">
        <v>1861630.7999999998</v>
      </c>
      <c r="GJ44" s="42"/>
      <c r="GK44" s="570" t="s">
        <v>28</v>
      </c>
      <c r="GL44" s="571">
        <f>FN44/'4GF Expenditures'!B45</f>
        <v>4.503090450213143E-2</v>
      </c>
      <c r="GM44" s="571">
        <f>FO44/'4GF Expenditures'!C45</f>
        <v>0.10374968562686004</v>
      </c>
      <c r="GN44" s="571">
        <f>FP44/'4GF Expenditures'!D45</f>
        <v>0.13199770537105729</v>
      </c>
      <c r="GO44" s="571">
        <f>FQ44/'4GF Expenditures'!E45</f>
        <v>0.16339451129493054</v>
      </c>
      <c r="GP44" s="571">
        <f>FR44/'4GF Expenditures'!F45</f>
        <v>0.15775749674054759</v>
      </c>
      <c r="GQ44" s="571">
        <f>FS44/'4GF Expenditures'!G45</f>
        <v>2.8383967234307875E-2</v>
      </c>
      <c r="GR44" s="571">
        <f>FT44/'4GF Expenditures'!H45</f>
        <v>4.6899247135723146E-2</v>
      </c>
      <c r="GS44" s="571">
        <f>FU44/'4GF Expenditures'!I45</f>
        <v>2.3068887442523708E-2</v>
      </c>
      <c r="GT44" s="571">
        <f>FV44/'4GF Expenditures'!J45</f>
        <v>0.20140672435446932</v>
      </c>
      <c r="GU44" s="571">
        <f>FW44/'4GF Expenditures'!K45</f>
        <v>4.447795026070224E-2</v>
      </c>
      <c r="GV44" s="571">
        <f>FX44/'4GF Expenditures'!L45</f>
        <v>4.4175011374586438E-2</v>
      </c>
      <c r="GW44" s="571">
        <f>FY44/'4GF Expenditures'!M45</f>
        <v>0.18685488430595262</v>
      </c>
      <c r="GX44" s="571">
        <f>FZ44/'4GF Expenditures'!N45</f>
        <v>0.15575150629988457</v>
      </c>
      <c r="GY44" s="571">
        <f>GA44/'4GF Expenditures'!O45</f>
        <v>0.3650496312290048</v>
      </c>
      <c r="GZ44" s="571">
        <f>GB44/'4GF Expenditures'!P45</f>
        <v>0.49197695515899054</v>
      </c>
      <c r="HA44" s="571">
        <f>GC44/'4GF Expenditures'!Q45</f>
        <v>0.78129285627079259</v>
      </c>
      <c r="HB44" s="571">
        <f>GD44/'4GF Expenditures'!R45</f>
        <v>1.074455443271096</v>
      </c>
      <c r="HC44" s="571">
        <f>GE44/'4GF Expenditures'!S45</f>
        <v>1.2371865162351878</v>
      </c>
      <c r="HD44" s="571">
        <f>GF44/'4GF Expenditures'!T45</f>
        <v>1.3380033964475013</v>
      </c>
      <c r="HE44" s="571">
        <f>GG44/'4GF Expenditures'!U45</f>
        <v>1.4337117044992127</v>
      </c>
      <c r="HF44" s="571">
        <f>GH44/'4GF Expenditures'!V45</f>
        <v>1.4796850030394904</v>
      </c>
      <c r="HG44" s="571">
        <f>GI44/'4GF Expenditures'!W45</f>
        <v>1.3164243953616974</v>
      </c>
      <c r="HH44" s="571"/>
      <c r="HI44" s="571"/>
      <c r="HJ44" s="571"/>
      <c r="HK44" s="568"/>
      <c r="HL44" s="567" t="s">
        <v>28</v>
      </c>
      <c r="HM44" s="571">
        <f>B44/'4GF Expenditures'!B45</f>
        <v>1.0234800691135595</v>
      </c>
      <c r="HN44" s="571">
        <f>C44/'4GF Expenditures'!C45</f>
        <v>1.0668462086599322</v>
      </c>
      <c r="HO44" s="571">
        <f>D44/'4GF Expenditures'!D45</f>
        <v>1.0386988935600792</v>
      </c>
      <c r="HP44" s="571">
        <f>E44/'4GF Expenditures'!E45</f>
        <v>1.0429044998005417</v>
      </c>
      <c r="HQ44" s="571">
        <f>F44/'4GF Expenditures'!F45</f>
        <v>0.99562774599530124</v>
      </c>
      <c r="HR44" s="571">
        <f>G44/'4GF Expenditures'!G45</f>
        <v>0.88741560222022653</v>
      </c>
      <c r="HS44" s="571">
        <f>H44/'4GF Expenditures'!H45</f>
        <v>1.0196743288187082</v>
      </c>
      <c r="HT44" s="571">
        <f>I44/'4GF Expenditures'!I45</f>
        <v>0.97405144408731326</v>
      </c>
      <c r="HU44" s="571">
        <f>J44/'4GF Expenditures'!J45</f>
        <v>1.1786460645374512</v>
      </c>
      <c r="HV44" s="571">
        <f>K44/'4GF Expenditures'!K45</f>
        <v>0.92563266262151345</v>
      </c>
      <c r="HW44" s="571">
        <f>L44/'4GF Expenditures'!L45</f>
        <v>0.97908710775484853</v>
      </c>
      <c r="HX44" s="571">
        <f>M44/'4GF Expenditures'!M45</f>
        <v>1.1318418503610232</v>
      </c>
      <c r="HY44" s="571">
        <f>N44/'4GF Expenditures'!N45</f>
        <v>1.0268856351478426</v>
      </c>
      <c r="HZ44" s="571">
        <f>O44/'4GF Expenditures'!O45</f>
        <v>1.2007359125856663</v>
      </c>
      <c r="IA44" s="571">
        <f>P44/'4GF Expenditures'!P45</f>
        <v>1.1194973148313512</v>
      </c>
      <c r="IB44" s="571">
        <f>Q44/'4GF Expenditures'!Q45</f>
        <v>1.2036136678399381</v>
      </c>
      <c r="IC44" s="571">
        <f>R44/'4GF Expenditures'!R45</f>
        <v>1.2984608713448356</v>
      </c>
      <c r="ID44" s="573">
        <f>S44/'4GF Expenditures'!S45</f>
        <v>1.1770722748677045</v>
      </c>
      <c r="IE44" s="572">
        <f>T44/'4GF Expenditures'!T45</f>
        <v>1.1606237015277554</v>
      </c>
      <c r="IF44" s="572">
        <f>U44/'4GF Expenditures'!U45</f>
        <v>1.100832563915664</v>
      </c>
      <c r="IG44" s="572">
        <f>V44/'4GF Expenditures'!V45</f>
        <v>1.111971253938312</v>
      </c>
      <c r="IH44" s="572">
        <f>W44/'4GF Expenditures'!W45</f>
        <v>0.98053727442515537</v>
      </c>
    </row>
    <row r="45" spans="1:242" ht="14">
      <c r="A45" s="43" t="s">
        <v>29</v>
      </c>
      <c r="B45" s="319">
        <v>842492</v>
      </c>
      <c r="C45" s="319">
        <v>967584</v>
      </c>
      <c r="D45" s="319">
        <v>909823</v>
      </c>
      <c r="E45" s="319">
        <v>951145</v>
      </c>
      <c r="F45" s="319">
        <v>860785</v>
      </c>
      <c r="G45" s="319">
        <v>925804</v>
      </c>
      <c r="H45" s="319">
        <v>852631</v>
      </c>
      <c r="I45" s="319">
        <v>869452</v>
      </c>
      <c r="J45" s="319">
        <v>1376737.7500000002</v>
      </c>
      <c r="K45" s="319">
        <v>1207512.6099999999</v>
      </c>
      <c r="L45" s="319">
        <v>1222704.73</v>
      </c>
      <c r="M45" s="319">
        <v>1386549.0499999998</v>
      </c>
      <c r="N45" s="319">
        <v>1669905.0199999998</v>
      </c>
      <c r="O45" s="319">
        <v>1413742.43</v>
      </c>
      <c r="P45" s="319"/>
      <c r="Q45" s="319">
        <v>1311186</v>
      </c>
      <c r="R45" s="319">
        <v>1484936.7200000002</v>
      </c>
      <c r="S45" s="362">
        <v>1472092.55</v>
      </c>
      <c r="T45" s="362"/>
      <c r="U45" s="362"/>
      <c r="V45" s="362"/>
      <c r="W45" s="362"/>
      <c r="X45" s="6"/>
      <c r="Y45" s="43" t="s">
        <v>29</v>
      </c>
      <c r="Z45" s="319">
        <v>67399.360000000001</v>
      </c>
      <c r="AA45" s="319">
        <v>67730.880000000005</v>
      </c>
      <c r="AB45" s="319">
        <v>72785.84</v>
      </c>
      <c r="AC45" s="319">
        <v>85603.05</v>
      </c>
      <c r="AD45" s="319">
        <v>94686.35</v>
      </c>
      <c r="AE45" s="319">
        <v>101838.44</v>
      </c>
      <c r="AF45" s="319">
        <v>76736.789999999994</v>
      </c>
      <c r="AG45" s="319">
        <v>86945.2</v>
      </c>
      <c r="AH45" s="319">
        <v>137531.57</v>
      </c>
      <c r="AI45" s="319">
        <v>194372.63</v>
      </c>
      <c r="AJ45" s="319">
        <v>131581.76999999999</v>
      </c>
      <c r="AK45" s="319">
        <v>177929.69</v>
      </c>
      <c r="AL45" s="319">
        <v>186262.97</v>
      </c>
      <c r="AM45" s="319">
        <v>177154.81</v>
      </c>
      <c r="AN45" s="319"/>
      <c r="AO45" s="319">
        <v>202244</v>
      </c>
      <c r="AP45" s="319">
        <v>210436.06</v>
      </c>
      <c r="AQ45" s="362">
        <v>267107.33</v>
      </c>
      <c r="AR45" s="753"/>
      <c r="AS45" s="753"/>
      <c r="AT45" s="753"/>
      <c r="AU45" s="753"/>
      <c r="AV45" s="39"/>
      <c r="AW45" s="43" t="s">
        <v>29</v>
      </c>
      <c r="AX45" s="319">
        <v>370696.48</v>
      </c>
      <c r="AY45" s="319">
        <v>387033.59999999998</v>
      </c>
      <c r="AZ45" s="319">
        <v>363929.2</v>
      </c>
      <c r="BA45" s="319">
        <v>399480.9</v>
      </c>
      <c r="BB45" s="319">
        <v>430392.5</v>
      </c>
      <c r="BC45" s="319">
        <v>435127.88</v>
      </c>
      <c r="BD45" s="319">
        <v>426315.5</v>
      </c>
      <c r="BE45" s="319">
        <v>408642.44</v>
      </c>
      <c r="BF45" s="319">
        <v>445060.89</v>
      </c>
      <c r="BG45" s="319">
        <v>430612.27</v>
      </c>
      <c r="BH45" s="319">
        <v>437778.44</v>
      </c>
      <c r="BI45" s="319">
        <v>468052.38</v>
      </c>
      <c r="BJ45" s="319">
        <v>459895.15</v>
      </c>
      <c r="BK45" s="319">
        <v>438570.72</v>
      </c>
      <c r="BL45" s="319"/>
      <c r="BM45" s="319">
        <v>473649</v>
      </c>
      <c r="BN45" s="319">
        <v>454668.03</v>
      </c>
      <c r="BO45" s="362">
        <v>452534.62</v>
      </c>
      <c r="BP45" s="753"/>
      <c r="BQ45" s="753"/>
      <c r="BR45" s="753"/>
      <c r="BS45" s="753"/>
      <c r="BT45" s="286"/>
      <c r="BU45" s="43" t="s">
        <v>29</v>
      </c>
      <c r="BV45" s="319">
        <v>126373.8</v>
      </c>
      <c r="BW45" s="319">
        <v>164489.28</v>
      </c>
      <c r="BX45" s="319">
        <v>181964.6</v>
      </c>
      <c r="BY45" s="319">
        <v>171206.1</v>
      </c>
      <c r="BZ45" s="319">
        <v>120509.9</v>
      </c>
      <c r="CA45" s="319">
        <v>138870.6</v>
      </c>
      <c r="CB45" s="319">
        <v>93789.41</v>
      </c>
      <c r="CC45" s="319">
        <v>95639.72</v>
      </c>
      <c r="CD45" s="319">
        <v>364592.33</v>
      </c>
      <c r="CE45" s="319">
        <v>277384.59999999992</v>
      </c>
      <c r="CF45" s="319">
        <v>349128.92999999993</v>
      </c>
      <c r="CG45" s="319">
        <v>396550.49</v>
      </c>
      <c r="CH45" s="319">
        <v>365831.24999999994</v>
      </c>
      <c r="CI45" s="319">
        <v>326734.25</v>
      </c>
      <c r="CJ45" s="319"/>
      <c r="CK45" s="319">
        <v>91020</v>
      </c>
      <c r="CL45" s="319">
        <v>279298.33</v>
      </c>
      <c r="CM45" s="362">
        <v>196818.01</v>
      </c>
      <c r="CN45" s="753"/>
      <c r="CO45" s="753"/>
      <c r="CP45" s="753"/>
      <c r="CQ45" s="753"/>
      <c r="CR45" s="39"/>
      <c r="CS45" s="43" t="s">
        <v>29</v>
      </c>
      <c r="CT45" s="319">
        <v>126373.8</v>
      </c>
      <c r="CU45" s="319">
        <v>125785.92</v>
      </c>
      <c r="CV45" s="319">
        <v>136473.45000000001</v>
      </c>
      <c r="CW45" s="319">
        <v>123648.85</v>
      </c>
      <c r="CX45" s="319">
        <v>129117.75</v>
      </c>
      <c r="CY45" s="319">
        <v>129612.56</v>
      </c>
      <c r="CZ45" s="319">
        <v>153473.57999999999</v>
      </c>
      <c r="DA45" s="319">
        <v>156501.35999999999</v>
      </c>
      <c r="DB45" s="319">
        <v>145632.59</v>
      </c>
      <c r="DC45" s="319">
        <v>143078.59</v>
      </c>
      <c r="DD45" s="319">
        <v>130825.72</v>
      </c>
      <c r="DE45" s="319">
        <v>170108.21999999997</v>
      </c>
      <c r="DF45" s="319">
        <v>317415.33999999997</v>
      </c>
      <c r="DG45" s="319">
        <v>336776.35</v>
      </c>
      <c r="DH45" s="319"/>
      <c r="DI45" s="319">
        <v>319401</v>
      </c>
      <c r="DJ45" s="319">
        <v>324852.19</v>
      </c>
      <c r="DK45" s="362">
        <v>312382.08999999997</v>
      </c>
      <c r="DL45" s="753"/>
      <c r="DM45" s="753"/>
      <c r="DN45" s="753"/>
      <c r="DO45" s="753"/>
      <c r="DP45" s="39"/>
      <c r="DQ45" s="43" t="s">
        <v>29</v>
      </c>
      <c r="DR45" s="319">
        <v>25274.76</v>
      </c>
      <c r="DS45" s="319">
        <v>29027.52</v>
      </c>
      <c r="DT45" s="319">
        <v>36392.92</v>
      </c>
      <c r="DU45" s="319">
        <v>28534.35</v>
      </c>
      <c r="DV45" s="319">
        <v>34431.4</v>
      </c>
      <c r="DW45" s="319">
        <v>27774.12</v>
      </c>
      <c r="DX45" s="319">
        <v>17052.62</v>
      </c>
      <c r="DY45" s="319">
        <v>8694.52</v>
      </c>
      <c r="DZ45" s="319">
        <v>4333.0300000000007</v>
      </c>
      <c r="EA45" s="319">
        <v>10412.73</v>
      </c>
      <c r="EB45" s="319">
        <v>14286.83</v>
      </c>
      <c r="EC45" s="319">
        <v>10716.78</v>
      </c>
      <c r="ED45" s="319">
        <v>8648.8799999999992</v>
      </c>
      <c r="EE45" s="319">
        <v>2065.86</v>
      </c>
      <c r="EF45" s="319"/>
      <c r="EG45" s="319">
        <v>2356</v>
      </c>
      <c r="EH45" s="319">
        <v>2285.98</v>
      </c>
      <c r="EI45" s="362">
        <v>1991.46</v>
      </c>
      <c r="EJ45" s="753"/>
      <c r="EK45" s="753"/>
      <c r="EL45" s="753"/>
      <c r="EM45" s="753"/>
      <c r="EN45" s="39"/>
      <c r="EO45" s="43" t="s">
        <v>29</v>
      </c>
      <c r="EP45" s="319">
        <v>126373.8</v>
      </c>
      <c r="EQ45" s="319">
        <v>193516.79999999999</v>
      </c>
      <c r="ER45" s="319">
        <v>118276.99</v>
      </c>
      <c r="ES45" s="319">
        <v>142671.75</v>
      </c>
      <c r="ET45" s="319">
        <v>51647.1</v>
      </c>
      <c r="EU45" s="319">
        <v>92580.4</v>
      </c>
      <c r="EV45" s="319">
        <v>85263.1</v>
      </c>
      <c r="EW45" s="319">
        <v>113028.76</v>
      </c>
      <c r="EX45" s="319">
        <v>81587.340000000011</v>
      </c>
      <c r="EY45" s="319">
        <v>103651.79000000001</v>
      </c>
      <c r="EZ45" s="319">
        <v>21103.039999999997</v>
      </c>
      <c r="FA45" s="319">
        <v>26941.489999999998</v>
      </c>
      <c r="FB45" s="319">
        <v>27851.43</v>
      </c>
      <c r="FC45" s="319">
        <v>33440.44</v>
      </c>
      <c r="FD45" s="319"/>
      <c r="FE45" s="319">
        <v>174516</v>
      </c>
      <c r="FF45" s="319">
        <v>147396.13</v>
      </c>
      <c r="FG45" s="362">
        <v>186499.04000000004</v>
      </c>
      <c r="FH45" s="362"/>
      <c r="FI45" s="362"/>
      <c r="FJ45" s="362"/>
      <c r="FK45" s="362"/>
      <c r="FM45" s="43" t="s">
        <v>29</v>
      </c>
      <c r="FN45" s="319">
        <v>595576</v>
      </c>
      <c r="FO45" s="319">
        <v>735279</v>
      </c>
      <c r="FP45" s="319">
        <v>745617</v>
      </c>
      <c r="FQ45" s="319">
        <v>646877</v>
      </c>
      <c r="FR45" s="319">
        <v>563596</v>
      </c>
      <c r="FS45" s="319">
        <v>425887</v>
      </c>
      <c r="FT45" s="319">
        <v>212244</v>
      </c>
      <c r="FU45" s="319">
        <v>16598</v>
      </c>
      <c r="FV45" s="319">
        <v>236597.38000000035</v>
      </c>
      <c r="FW45" s="319"/>
      <c r="FX45" s="319">
        <v>195519.33</v>
      </c>
      <c r="FY45" s="319">
        <v>196878.13</v>
      </c>
      <c r="FZ45" s="319">
        <v>418796.56</v>
      </c>
      <c r="GA45" s="319">
        <v>500593.93</v>
      </c>
      <c r="GB45" s="319"/>
      <c r="GC45" s="319">
        <v>726505.88</v>
      </c>
      <c r="GD45" s="319">
        <v>708245.82</v>
      </c>
      <c r="GE45" s="319">
        <v>768118.75</v>
      </c>
      <c r="GF45" s="756"/>
      <c r="GG45" s="756"/>
      <c r="GH45" s="756"/>
      <c r="GI45" s="756"/>
      <c r="GJ45" s="42"/>
      <c r="GK45" s="570" t="s">
        <v>29</v>
      </c>
      <c r="GL45" s="571">
        <f>FN45/'4GF Expenditures'!B46</f>
        <v>0.84874222619977313</v>
      </c>
      <c r="GM45" s="571">
        <f>FO45/'4GF Expenditures'!C46</f>
        <v>0.88814576007904522</v>
      </c>
      <c r="GN45" s="571">
        <f>FP45/'4GF Expenditures'!D46</f>
        <v>0.82893766988888085</v>
      </c>
      <c r="GO45" s="571">
        <f>FQ45/'4GF Expenditures'!E46</f>
        <v>0.61614081542264154</v>
      </c>
      <c r="GP45" s="571">
        <f>FR45/'4GF Expenditures'!F46</f>
        <v>0.5969879224545741</v>
      </c>
      <c r="GQ45" s="571">
        <f>FS45/'4GF Expenditures'!G46</f>
        <v>0.40045302690235096</v>
      </c>
      <c r="GR45" s="571">
        <f>FT45/'4GF Expenditures'!H46</f>
        <v>0.19905202602708122</v>
      </c>
      <c r="GS45" s="571">
        <f>FU45/'4GF Expenditures'!I46</f>
        <v>1.5583542547258562E-2</v>
      </c>
      <c r="GT45" s="571">
        <f>FV45/'4GF Expenditures'!J46</f>
        <v>0.20456983817092927</v>
      </c>
      <c r="GU45" s="571">
        <f>FW45/'4GF Expenditures'!K46</f>
        <v>0</v>
      </c>
      <c r="GV45" s="571">
        <f>FX45/'4GF Expenditures'!L46</f>
        <v>0.14923416666587158</v>
      </c>
      <c r="GW45" s="571">
        <f>FY45/'4GF Expenditures'!M46</f>
        <v>0.14212309550680438</v>
      </c>
      <c r="GX45" s="571">
        <f>FZ45/'4GF Expenditures'!N46</f>
        <v>0.28922682219039064</v>
      </c>
      <c r="GY45" s="571">
        <f>GA45/'4GF Expenditures'!O46</f>
        <v>0.37583677062475834</v>
      </c>
      <c r="GZ45" s="571" t="e">
        <f>GB45/'4GF Expenditures'!P46</f>
        <v>#DIV/0!</v>
      </c>
      <c r="HA45" s="571">
        <f>GC45/'4GF Expenditures'!Q46</f>
        <v>0.63179423763097775</v>
      </c>
      <c r="HB45" s="571">
        <f>GD45/'4GF Expenditures'!R46</f>
        <v>0.4711597506216052</v>
      </c>
      <c r="HC45" s="571">
        <f>GE45/'4GF Expenditures'!S46</f>
        <v>0.54390885038121761</v>
      </c>
      <c r="HD45" s="571" t="e">
        <f>GF45/'4GF Expenditures'!T46</f>
        <v>#DIV/0!</v>
      </c>
      <c r="HE45" s="571" t="e">
        <f>GG45/'4GF Expenditures'!U46</f>
        <v>#DIV/0!</v>
      </c>
      <c r="HF45" s="571" t="e">
        <f>GH45/'4GF Expenditures'!V46</f>
        <v>#DIV/0!</v>
      </c>
      <c r="HG45" s="571" t="e">
        <f>GI45/'4GF Expenditures'!W46</f>
        <v>#DIV/0!</v>
      </c>
      <c r="HH45" s="571"/>
      <c r="HI45" s="571"/>
      <c r="HJ45" s="571"/>
      <c r="HK45" s="568"/>
      <c r="HL45" s="567" t="s">
        <v>29</v>
      </c>
      <c r="HM45" s="571">
        <f>B45/'4GF Expenditures'!B46</f>
        <v>1.2006167737375235</v>
      </c>
      <c r="HN45" s="571">
        <f>C45/'4GF Expenditures'!C46</f>
        <v>1.1687476823359879</v>
      </c>
      <c r="HO45" s="571">
        <f>D45/'4GF Expenditures'!D46</f>
        <v>1.0114932433559203</v>
      </c>
      <c r="HP45" s="571">
        <f>E45/'4GF Expenditures'!E46</f>
        <v>0.90595160422331966</v>
      </c>
      <c r="HQ45" s="571">
        <f>F45/'4GF Expenditures'!F46</f>
        <v>0.91178476928519825</v>
      </c>
      <c r="HR45" s="571">
        <f>G45/'4GF Expenditures'!G46</f>
        <v>0.87051498195132548</v>
      </c>
      <c r="HS45" s="571">
        <f>H45/'4GF Expenditures'!H46</f>
        <v>0.79963592847617027</v>
      </c>
      <c r="HT45" s="571">
        <f>I45/'4GF Expenditures'!I46</f>
        <v>0.81631173845035854</v>
      </c>
      <c r="HU45" s="571">
        <f>J45/'4GF Expenditures'!J46</f>
        <v>1.1903725168947725</v>
      </c>
      <c r="HV45" s="571">
        <f>K45/'4GF Expenditures'!K46</f>
        <v>1.039518016126884</v>
      </c>
      <c r="HW45" s="571">
        <f>L45/'4GF Expenditures'!L46</f>
        <v>0.93325463758478266</v>
      </c>
      <c r="HX45" s="571">
        <f>M45/'4GF Expenditures'!M46</f>
        <v>1.0009270357150326</v>
      </c>
      <c r="HY45" s="571">
        <f>N45/'4GF Expenditures'!N46</f>
        <v>1.1532600036026577</v>
      </c>
      <c r="HZ45" s="571">
        <f>O45/'4GF Expenditures'!O46</f>
        <v>1.0614119699501718</v>
      </c>
      <c r="IA45" s="571" t="e">
        <f>P45/'4GF Expenditures'!P46</f>
        <v>#DIV/0!</v>
      </c>
      <c r="IB45" s="571">
        <f>Q45/'4GF Expenditures'!Q46</f>
        <v>1.1402519677644056</v>
      </c>
      <c r="IC45" s="571">
        <f>R45/'4GF Expenditures'!R46</f>
        <v>0.98785251522425443</v>
      </c>
      <c r="ID45" s="573">
        <f>S45/'4GF Expenditures'!S46</f>
        <v>1.0423963306783686</v>
      </c>
      <c r="IE45" s="572" t="e">
        <f>T45/'4GF Expenditures'!T46</f>
        <v>#DIV/0!</v>
      </c>
      <c r="IF45" s="572" t="e">
        <f>U45/'4GF Expenditures'!U46</f>
        <v>#DIV/0!</v>
      </c>
      <c r="IG45" s="572" t="e">
        <f>V45/'4GF Expenditures'!V46</f>
        <v>#DIV/0!</v>
      </c>
      <c r="IH45" s="572" t="e">
        <f>W45/'4GF Expenditures'!W46</f>
        <v>#DIV/0!</v>
      </c>
    </row>
    <row r="46" spans="1:242" ht="14">
      <c r="A46" s="43" t="s">
        <v>30</v>
      </c>
      <c r="B46" s="319">
        <v>752464</v>
      </c>
      <c r="C46" s="319">
        <v>771946</v>
      </c>
      <c r="D46" s="319">
        <v>826179</v>
      </c>
      <c r="E46" s="319">
        <v>743983</v>
      </c>
      <c r="F46" s="319">
        <v>773063</v>
      </c>
      <c r="G46" s="319">
        <v>1000433</v>
      </c>
      <c r="H46" s="319">
        <v>909146</v>
      </c>
      <c r="I46" s="319">
        <v>765124</v>
      </c>
      <c r="J46" s="319">
        <v>895699.29999999993</v>
      </c>
      <c r="K46" s="319">
        <v>1001790.4199999999</v>
      </c>
      <c r="L46" s="319">
        <v>911581.62</v>
      </c>
      <c r="M46" s="319">
        <v>984013.37</v>
      </c>
      <c r="N46" s="319">
        <v>1205945.6500000001</v>
      </c>
      <c r="O46" s="319">
        <v>1213133.94</v>
      </c>
      <c r="P46" s="319">
        <v>1032762.97</v>
      </c>
      <c r="Q46" s="319">
        <v>1073781.96</v>
      </c>
      <c r="R46" s="319">
        <v>1174984.58</v>
      </c>
      <c r="S46" s="362">
        <v>1166516</v>
      </c>
      <c r="T46" s="362">
        <v>1204446.6600000001</v>
      </c>
      <c r="U46" s="362">
        <v>1202737.5899999999</v>
      </c>
      <c r="V46" s="362">
        <v>1224996.95</v>
      </c>
      <c r="W46" s="362">
        <v>1214692.2</v>
      </c>
      <c r="X46" s="6"/>
      <c r="Y46" s="43" t="s">
        <v>30</v>
      </c>
      <c r="Z46" s="319">
        <v>225739.2</v>
      </c>
      <c r="AA46" s="319">
        <v>231583.8</v>
      </c>
      <c r="AB46" s="319">
        <v>247853.7</v>
      </c>
      <c r="AC46" s="319">
        <v>252954.22</v>
      </c>
      <c r="AD46" s="319">
        <v>270572.05</v>
      </c>
      <c r="AE46" s="319">
        <v>290125.57</v>
      </c>
      <c r="AF46" s="319">
        <v>281835.26</v>
      </c>
      <c r="AG46" s="319">
        <v>298398.36</v>
      </c>
      <c r="AH46" s="319">
        <v>313442.98</v>
      </c>
      <c r="AI46" s="319">
        <v>316418.68</v>
      </c>
      <c r="AJ46" s="319">
        <v>323813.01</v>
      </c>
      <c r="AK46" s="319">
        <v>320437.14</v>
      </c>
      <c r="AL46" s="319">
        <v>352560.48</v>
      </c>
      <c r="AM46" s="319">
        <v>335751.97</v>
      </c>
      <c r="AN46" s="319">
        <v>321170.7</v>
      </c>
      <c r="AO46" s="319">
        <v>325965.75</v>
      </c>
      <c r="AP46" s="319">
        <v>344034.32</v>
      </c>
      <c r="AQ46" s="362">
        <v>341451.15</v>
      </c>
      <c r="AR46" s="753">
        <v>346001.35</v>
      </c>
      <c r="AS46" s="753">
        <v>370043.12</v>
      </c>
      <c r="AT46" s="753">
        <v>370405.23</v>
      </c>
      <c r="AU46" s="753">
        <v>370000</v>
      </c>
      <c r="AV46" s="39"/>
      <c r="AW46" s="43" t="s">
        <v>30</v>
      </c>
      <c r="AX46" s="319">
        <v>188116</v>
      </c>
      <c r="AY46" s="319">
        <v>185267.04</v>
      </c>
      <c r="AZ46" s="319">
        <v>190021.17</v>
      </c>
      <c r="BA46" s="319">
        <v>193435.58</v>
      </c>
      <c r="BB46" s="319">
        <v>208727.01</v>
      </c>
      <c r="BC46" s="319">
        <v>230099.59</v>
      </c>
      <c r="BD46" s="319">
        <v>218195.04</v>
      </c>
      <c r="BE46" s="319">
        <v>206583.48</v>
      </c>
      <c r="BF46" s="319">
        <v>227960.1</v>
      </c>
      <c r="BG46" s="319">
        <v>247352.31</v>
      </c>
      <c r="BH46" s="319">
        <v>249390.75</v>
      </c>
      <c r="BI46" s="319">
        <v>248831.18</v>
      </c>
      <c r="BJ46" s="319">
        <v>286548.57</v>
      </c>
      <c r="BK46" s="319">
        <v>350880.94999999995</v>
      </c>
      <c r="BL46" s="319">
        <v>279808.87</v>
      </c>
      <c r="BM46" s="319">
        <v>336917.03</v>
      </c>
      <c r="BN46" s="319">
        <v>386852.25</v>
      </c>
      <c r="BO46" s="362">
        <v>391318.13</v>
      </c>
      <c r="BP46" s="753">
        <v>403272.86</v>
      </c>
      <c r="BQ46" s="753">
        <v>394755.12</v>
      </c>
      <c r="BR46" s="753">
        <v>384554.45999999996</v>
      </c>
      <c r="BS46" s="753">
        <v>385000</v>
      </c>
      <c r="BT46" s="286"/>
      <c r="BU46" s="43" t="s">
        <v>30</v>
      </c>
      <c r="BV46" s="319">
        <v>82771.039999999994</v>
      </c>
      <c r="BW46" s="319">
        <v>54036.22</v>
      </c>
      <c r="BX46" s="319">
        <v>57832.53</v>
      </c>
      <c r="BY46" s="319">
        <v>37199.15</v>
      </c>
      <c r="BZ46" s="319">
        <v>23191.89</v>
      </c>
      <c r="CA46" s="319">
        <v>100043.3</v>
      </c>
      <c r="CB46" s="319">
        <v>109097.52</v>
      </c>
      <c r="CC46" s="319">
        <v>15302.48</v>
      </c>
      <c r="CD46" s="319">
        <v>25596.600000000002</v>
      </c>
      <c r="CE46" s="319">
        <v>8845.2000000000007</v>
      </c>
      <c r="CF46" s="319">
        <v>5311.36</v>
      </c>
      <c r="CG46" s="319">
        <v>10659.18</v>
      </c>
      <c r="CH46" s="319">
        <v>25395.43</v>
      </c>
      <c r="CI46" s="319">
        <v>9406.2899999999991</v>
      </c>
      <c r="CJ46" s="319">
        <v>10614.810000000001</v>
      </c>
      <c r="CK46" s="319">
        <v>16243.060000000001</v>
      </c>
      <c r="CL46" s="319">
        <v>23649.14</v>
      </c>
      <c r="CM46" s="362">
        <v>16010.759999999998</v>
      </c>
      <c r="CN46" s="753">
        <v>17873.88</v>
      </c>
      <c r="CO46" s="753">
        <v>17668.18</v>
      </c>
      <c r="CP46" s="753">
        <v>35244.239999999998</v>
      </c>
      <c r="CQ46" s="753">
        <v>14392.2</v>
      </c>
      <c r="CR46" s="39"/>
      <c r="CS46" s="43" t="s">
        <v>30</v>
      </c>
      <c r="CT46" s="319">
        <v>225739.2</v>
      </c>
      <c r="CU46" s="319">
        <v>223864.34</v>
      </c>
      <c r="CV46" s="319">
        <v>239591.91</v>
      </c>
      <c r="CW46" s="319">
        <v>208315.24</v>
      </c>
      <c r="CX46" s="319">
        <v>216457.64</v>
      </c>
      <c r="CY46" s="319">
        <v>170073.61</v>
      </c>
      <c r="CZ46" s="319">
        <v>200012.12</v>
      </c>
      <c r="DA46" s="319">
        <v>153024.79999999999</v>
      </c>
      <c r="DB46" s="319">
        <v>163361.01</v>
      </c>
      <c r="DC46" s="319">
        <v>152651.23000000001</v>
      </c>
      <c r="DD46" s="319">
        <v>143553.44</v>
      </c>
      <c r="DE46" s="319">
        <v>171276.01</v>
      </c>
      <c r="DF46" s="319">
        <v>302214.18000000005</v>
      </c>
      <c r="DG46" s="319">
        <v>301907.32999999996</v>
      </c>
      <c r="DH46" s="319">
        <v>295261</v>
      </c>
      <c r="DI46" s="319">
        <v>303434.86000000004</v>
      </c>
      <c r="DJ46" s="319">
        <v>330309.13</v>
      </c>
      <c r="DK46" s="362">
        <v>339827</v>
      </c>
      <c r="DL46" s="753">
        <v>340452.62000000005</v>
      </c>
      <c r="DM46" s="753">
        <v>361301.75</v>
      </c>
      <c r="DN46" s="753">
        <v>378725.29</v>
      </c>
      <c r="DO46" s="753">
        <v>392850</v>
      </c>
      <c r="DP46" s="39"/>
      <c r="DQ46" s="43" t="s">
        <v>30</v>
      </c>
      <c r="DR46" s="319">
        <v>15049.28</v>
      </c>
      <c r="DS46" s="319">
        <v>15438.92</v>
      </c>
      <c r="DT46" s="319">
        <v>16523.580000000002</v>
      </c>
      <c r="DU46" s="319">
        <v>7439.83</v>
      </c>
      <c r="DV46" s="319">
        <v>7730.63</v>
      </c>
      <c r="DW46" s="319">
        <v>10004.33</v>
      </c>
      <c r="DX46" s="319">
        <v>9091.4599999999991</v>
      </c>
      <c r="DY46" s="319">
        <v>0</v>
      </c>
      <c r="DZ46" s="319">
        <v>5196.38</v>
      </c>
      <c r="EA46" s="319">
        <v>16685.14</v>
      </c>
      <c r="EB46" s="319">
        <v>28073.98</v>
      </c>
      <c r="EC46" s="319">
        <v>52149.35</v>
      </c>
      <c r="ED46" s="319">
        <v>20717.82</v>
      </c>
      <c r="EE46" s="319">
        <v>14247.5</v>
      </c>
      <c r="EF46" s="319">
        <v>18473.38</v>
      </c>
      <c r="EG46" s="319">
        <v>20819.59</v>
      </c>
      <c r="EH46" s="319">
        <v>17287.96</v>
      </c>
      <c r="EI46" s="362">
        <v>7594.97</v>
      </c>
      <c r="EJ46" s="753">
        <v>1915.86</v>
      </c>
      <c r="EK46" s="753">
        <v>1963.36</v>
      </c>
      <c r="EL46" s="753">
        <v>2108.92</v>
      </c>
      <c r="EM46" s="753">
        <v>2400</v>
      </c>
      <c r="EN46" s="39"/>
      <c r="EO46" s="43" t="s">
        <v>30</v>
      </c>
      <c r="EP46" s="319">
        <v>15049.28</v>
      </c>
      <c r="EQ46" s="319">
        <v>61755.68</v>
      </c>
      <c r="ER46" s="319">
        <v>74356.11</v>
      </c>
      <c r="ES46" s="319">
        <v>44638.98</v>
      </c>
      <c r="ET46" s="319">
        <v>46383.78</v>
      </c>
      <c r="EU46" s="319">
        <v>200086.6</v>
      </c>
      <c r="EV46" s="319">
        <v>90914.6</v>
      </c>
      <c r="EW46" s="319">
        <v>91814.88</v>
      </c>
      <c r="EX46" s="319">
        <v>39796.370000000003</v>
      </c>
      <c r="EY46" s="319">
        <v>139137.86000000002</v>
      </c>
      <c r="EZ46" s="319">
        <v>38236</v>
      </c>
      <c r="FA46" s="319">
        <v>66266.509999999995</v>
      </c>
      <c r="FB46" s="319">
        <v>83305.31</v>
      </c>
      <c r="FC46" s="319">
        <v>195009.58000000002</v>
      </c>
      <c r="FD46" s="319">
        <v>104750.34000000001</v>
      </c>
      <c r="FE46" s="319">
        <v>66686.539999999994</v>
      </c>
      <c r="FF46" s="319">
        <v>71861.100000000006</v>
      </c>
      <c r="FG46" s="362">
        <v>65666.62999999999</v>
      </c>
      <c r="FH46" s="362">
        <v>94885.16</v>
      </c>
      <c r="FI46" s="362">
        <v>56972.62</v>
      </c>
      <c r="FJ46" s="362">
        <v>53958.810000000005</v>
      </c>
      <c r="FK46" s="362">
        <v>50050</v>
      </c>
      <c r="FM46" s="43" t="s">
        <v>30</v>
      </c>
      <c r="FN46" s="319">
        <v>281723</v>
      </c>
      <c r="FO46" s="319">
        <v>240801</v>
      </c>
      <c r="FP46" s="319">
        <v>124542</v>
      </c>
      <c r="FQ46" s="319">
        <v>81069</v>
      </c>
      <c r="FR46" s="319">
        <v>56080</v>
      </c>
      <c r="FS46" s="319">
        <v>100240</v>
      </c>
      <c r="FT46" s="319">
        <v>86286</v>
      </c>
      <c r="FU46" s="319">
        <v>112547</v>
      </c>
      <c r="FV46" s="319">
        <v>267814.78999999992</v>
      </c>
      <c r="FW46" s="319">
        <v>435792.58</v>
      </c>
      <c r="FX46" s="319">
        <v>556003.38</v>
      </c>
      <c r="FY46" s="319">
        <v>667642.26</v>
      </c>
      <c r="FZ46" s="319">
        <v>918683.35</v>
      </c>
      <c r="GA46" s="319">
        <v>1029928.89</v>
      </c>
      <c r="GB46" s="319">
        <v>1211214.33</v>
      </c>
      <c r="GC46" s="319">
        <v>1327504.76</v>
      </c>
      <c r="GD46" s="319">
        <v>973855.4</v>
      </c>
      <c r="GE46" s="319">
        <v>980721.77</v>
      </c>
      <c r="GF46" s="756">
        <v>978931.56</v>
      </c>
      <c r="GG46" s="756">
        <v>1025832.34</v>
      </c>
      <c r="GH46" s="756">
        <v>1111407.57</v>
      </c>
      <c r="GI46" s="756">
        <v>772048.77</v>
      </c>
      <c r="GJ46" s="42"/>
      <c r="GK46" s="570" t="s">
        <v>30</v>
      </c>
      <c r="GL46" s="571">
        <f>FN46/'4GF Expenditures'!B47</f>
        <v>0.36949992392883935</v>
      </c>
      <c r="GM46" s="571">
        <f>FO46/'4GF Expenditures'!C47</f>
        <v>0.2962362892868215</v>
      </c>
      <c r="GN46" s="571">
        <f>FP46/'4GF Expenditures'!D47</f>
        <v>0.13214874612441349</v>
      </c>
      <c r="GO46" s="571">
        <f>FQ46/'4GF Expenditures'!E47</f>
        <v>0.10295051406046814</v>
      </c>
      <c r="GP46" s="571">
        <f>FR46/'4GF Expenditures'!F47</f>
        <v>7.0271110153223099E-2</v>
      </c>
      <c r="GQ46" s="571">
        <f>FS46/'4GF Expenditures'!G47</f>
        <v>0.10482362254293491</v>
      </c>
      <c r="GR46" s="571">
        <f>FT46/'4GF Expenditures'!H47</f>
        <v>9.3474163145921357E-2</v>
      </c>
      <c r="GS46" s="571">
        <f>FU46/'4GF Expenditures'!I47</f>
        <v>0.15232458520727118</v>
      </c>
      <c r="GT46" s="571">
        <f>FV46/'4GF Expenditures'!J47</f>
        <v>0.36170108485154978</v>
      </c>
      <c r="GU46" s="571">
        <f>FW46/'4GF Expenditures'!K47</f>
        <v>0.52265049043452361</v>
      </c>
      <c r="GV46" s="571">
        <f>FX46/'4GF Expenditures'!L47</f>
        <v>0.70258261481008355</v>
      </c>
      <c r="GW46" s="571">
        <f>FY46/'4GF Expenditures'!M47</f>
        <v>0.762347361479085</v>
      </c>
      <c r="GX46" s="571">
        <f>FZ46/'4GF Expenditures'!N47</f>
        <v>0.98860280752144203</v>
      </c>
      <c r="GY46" s="571">
        <f>GA46/'4GF Expenditures'!O47</f>
        <v>0.93469437558286306</v>
      </c>
      <c r="GZ46" s="571">
        <f>GB46/'4GF Expenditures'!P47</f>
        <v>1.4255517356640295</v>
      </c>
      <c r="HA46" s="571">
        <f>GC46/'4GF Expenditures'!Q47</f>
        <v>1.3864402121656365</v>
      </c>
      <c r="HB46" s="571">
        <f>GD46/'4GF Expenditures'!R47</f>
        <v>0.63707561013593617</v>
      </c>
      <c r="HC46" s="571">
        <f>GE46/'4GF Expenditures'!S47</f>
        <v>0.85240164416431041</v>
      </c>
      <c r="HD46" s="571">
        <f>GF46/'4GF Expenditures'!T47</f>
        <v>0.8115583135839648</v>
      </c>
      <c r="HE46" s="571">
        <f>GG46/'4GF Expenditures'!U47</f>
        <v>0.88752350775192901</v>
      </c>
      <c r="HF46" s="571">
        <f>GH46/'4GF Expenditures'!V47</f>
        <v>0.97541371249268449</v>
      </c>
      <c r="HG46" s="571">
        <f>GI46/'4GF Expenditures'!W47</f>
        <v>0.49679757614132358</v>
      </c>
      <c r="HH46" s="571"/>
      <c r="HI46" s="571"/>
      <c r="HJ46" s="571"/>
      <c r="HK46" s="568"/>
      <c r="HL46" s="567" t="s">
        <v>30</v>
      </c>
      <c r="HM46" s="571">
        <f>B46/'4GF Expenditures'!B47</f>
        <v>0.98691051408365726</v>
      </c>
      <c r="HN46" s="571">
        <f>C46/'4GF Expenditures'!C47</f>
        <v>0.94965726292583785</v>
      </c>
      <c r="HO46" s="571">
        <f>D46/'4GF Expenditures'!D47</f>
        <v>0.87664016094427433</v>
      </c>
      <c r="HP46" s="571">
        <f>E46/'4GF Expenditures'!E47</f>
        <v>0.94479310590052012</v>
      </c>
      <c r="HQ46" s="571">
        <f>F46/'4GF Expenditures'!F47</f>
        <v>0.96868750407241633</v>
      </c>
      <c r="HR46" s="571">
        <f>G46/'4GF Expenditures'!G47</f>
        <v>1.0461792814395052</v>
      </c>
      <c r="HS46" s="571">
        <f>H46/'4GF Expenditures'!H47</f>
        <v>0.98488354457805216</v>
      </c>
      <c r="HT46" s="571">
        <f>I46/'4GF Expenditures'!I47</f>
        <v>1.0355424483293927</v>
      </c>
      <c r="HU46" s="571">
        <f>J46/'4GF Expenditures'!J47</f>
        <v>1.2096994662272902</v>
      </c>
      <c r="HV46" s="571">
        <f>K46/'4GF Expenditures'!K47</f>
        <v>1.2014574785224827</v>
      </c>
      <c r="HW46" s="571">
        <f>L46/'4GF Expenditures'!L47</f>
        <v>1.1519019869850646</v>
      </c>
      <c r="HX46" s="571">
        <f>M46/'4GF Expenditures'!M47</f>
        <v>1.1235957356558626</v>
      </c>
      <c r="HY46" s="571">
        <f>N46/'4GF Expenditures'!N47</f>
        <v>1.2977281620574384</v>
      </c>
      <c r="HZ46" s="571">
        <f>O46/'4GF Expenditures'!O47</f>
        <v>1.1009589900392818</v>
      </c>
      <c r="IA46" s="571">
        <f>P46/'4GF Expenditures'!P47</f>
        <v>1.2155214877725546</v>
      </c>
      <c r="IB46" s="571">
        <f>Q46/'4GF Expenditures'!Q47</f>
        <v>1.1214532205835805</v>
      </c>
      <c r="IC46" s="571">
        <f>R46/'4GF Expenditures'!R47</f>
        <v>0.76865006673867264</v>
      </c>
      <c r="ID46" s="573">
        <f>S46/'4GF Expenditures'!S47</f>
        <v>1.0138860854939262</v>
      </c>
      <c r="IE46" s="572">
        <f>T46/'4GF Expenditures'!T47</f>
        <v>0.99851587192820612</v>
      </c>
      <c r="IF46" s="572">
        <f>U46/'4GF Expenditures'!U47</f>
        <v>1.0405773372107778</v>
      </c>
      <c r="IG46" s="572">
        <f>V46/'4GF Expenditures'!V47</f>
        <v>1.0751040887653081</v>
      </c>
      <c r="IH46" s="572">
        <f>W46/'4GF Expenditures'!W47</f>
        <v>0.78162956041983178</v>
      </c>
    </row>
    <row r="47" spans="1:242" ht="14">
      <c r="A47" s="43" t="s">
        <v>31</v>
      </c>
      <c r="B47" s="319">
        <v>1577637</v>
      </c>
      <c r="C47" s="319">
        <v>1753743</v>
      </c>
      <c r="D47" s="319">
        <v>1846821</v>
      </c>
      <c r="E47" s="319">
        <v>2018346</v>
      </c>
      <c r="F47" s="319">
        <v>2153952</v>
      </c>
      <c r="G47" s="319">
        <v>2122116</v>
      </c>
      <c r="H47" s="319">
        <v>2284845</v>
      </c>
      <c r="I47" s="319">
        <v>2230806</v>
      </c>
      <c r="J47" s="319">
        <v>2271602.06</v>
      </c>
      <c r="K47" s="319">
        <v>2172617.5099999998</v>
      </c>
      <c r="L47" s="319">
        <v>2392270.0100000002</v>
      </c>
      <c r="M47" s="319">
        <v>2417729.87</v>
      </c>
      <c r="N47" s="319">
        <v>2695700.92</v>
      </c>
      <c r="O47" s="319">
        <v>2550136.0100000002</v>
      </c>
      <c r="P47" s="319">
        <v>2456378.64</v>
      </c>
      <c r="Q47" s="319">
        <v>2427007.0700000003</v>
      </c>
      <c r="R47" s="319">
        <v>2964120.69</v>
      </c>
      <c r="S47" s="362">
        <v>2785868.5900000003</v>
      </c>
      <c r="T47" s="362">
        <v>2768562.55</v>
      </c>
      <c r="U47" s="362">
        <v>2748739.55</v>
      </c>
      <c r="V47" s="362">
        <v>2811644.85</v>
      </c>
      <c r="W47" s="362">
        <v>3422876.11</v>
      </c>
      <c r="X47" s="6"/>
      <c r="Y47" s="43" t="s">
        <v>31</v>
      </c>
      <c r="Z47" s="319">
        <v>0</v>
      </c>
      <c r="AA47" s="319">
        <v>0</v>
      </c>
      <c r="AB47" s="319">
        <v>18468.21</v>
      </c>
      <c r="AC47" s="319">
        <v>80733.84</v>
      </c>
      <c r="AD47" s="319">
        <v>43079.040000000001</v>
      </c>
      <c r="AE47" s="319">
        <v>42442.32</v>
      </c>
      <c r="AF47" s="319">
        <v>22848.45</v>
      </c>
      <c r="AG47" s="319">
        <v>44616.12</v>
      </c>
      <c r="AH47" s="319">
        <v>57726.649999999994</v>
      </c>
      <c r="AI47" s="319">
        <v>57742.05</v>
      </c>
      <c r="AJ47" s="319">
        <v>68272.27</v>
      </c>
      <c r="AK47" s="319">
        <v>86694.29</v>
      </c>
      <c r="AL47" s="319">
        <v>144933.26999999999</v>
      </c>
      <c r="AM47" s="319">
        <v>129635.12</v>
      </c>
      <c r="AN47" s="319">
        <v>187360.89</v>
      </c>
      <c r="AO47" s="319">
        <v>150833.87</v>
      </c>
      <c r="AP47" s="319">
        <v>170804.89</v>
      </c>
      <c r="AQ47" s="362">
        <v>184068.35</v>
      </c>
      <c r="AR47" s="753">
        <v>219625.8</v>
      </c>
      <c r="AS47" s="753">
        <v>216050.59</v>
      </c>
      <c r="AT47" s="753">
        <v>181381.43</v>
      </c>
      <c r="AU47" s="753">
        <v>180000</v>
      </c>
      <c r="AV47" s="39"/>
      <c r="AW47" s="43" t="s">
        <v>31</v>
      </c>
      <c r="AX47" s="319">
        <v>851923.98</v>
      </c>
      <c r="AY47" s="319">
        <v>859334.07</v>
      </c>
      <c r="AZ47" s="319">
        <v>868005.87</v>
      </c>
      <c r="BA47" s="319">
        <v>948622.62</v>
      </c>
      <c r="BB47" s="319">
        <v>1033896.96</v>
      </c>
      <c r="BC47" s="319">
        <v>1082279.1599999999</v>
      </c>
      <c r="BD47" s="319">
        <v>1119574.05</v>
      </c>
      <c r="BE47" s="319">
        <v>1115403</v>
      </c>
      <c r="BF47" s="319">
        <v>1142059.04</v>
      </c>
      <c r="BG47" s="319">
        <v>1176414.06</v>
      </c>
      <c r="BH47" s="319">
        <v>1169427.69</v>
      </c>
      <c r="BI47" s="319">
        <v>1218021.1499999999</v>
      </c>
      <c r="BJ47" s="319">
        <v>1161496.21</v>
      </c>
      <c r="BK47" s="319">
        <v>1085175.52</v>
      </c>
      <c r="BL47" s="319">
        <v>1118546.47</v>
      </c>
      <c r="BM47" s="319">
        <v>1135615.17</v>
      </c>
      <c r="BN47" s="319">
        <v>1132143.17</v>
      </c>
      <c r="BO47" s="362">
        <v>1150919.04</v>
      </c>
      <c r="BP47" s="753">
        <v>1211536.02</v>
      </c>
      <c r="BQ47" s="753">
        <v>1270715.8400000001</v>
      </c>
      <c r="BR47" s="753">
        <v>1289560.33</v>
      </c>
      <c r="BS47" s="753">
        <v>1275000</v>
      </c>
      <c r="BT47" s="286"/>
      <c r="BU47" s="43" t="s">
        <v>31</v>
      </c>
      <c r="BV47" s="319">
        <v>220869.18</v>
      </c>
      <c r="BW47" s="319">
        <v>315673.74</v>
      </c>
      <c r="BX47" s="319">
        <v>406300.62</v>
      </c>
      <c r="BY47" s="319">
        <v>403669.2</v>
      </c>
      <c r="BZ47" s="319">
        <v>473869.44</v>
      </c>
      <c r="CA47" s="319">
        <v>424423.2</v>
      </c>
      <c r="CB47" s="319">
        <v>411272.1</v>
      </c>
      <c r="CC47" s="319">
        <v>379237.02</v>
      </c>
      <c r="CD47" s="319">
        <v>353562.61000000004</v>
      </c>
      <c r="CE47" s="319">
        <v>336205.2</v>
      </c>
      <c r="CF47" s="319">
        <v>365196.41</v>
      </c>
      <c r="CG47" s="319">
        <v>343368.92</v>
      </c>
      <c r="CH47" s="319">
        <v>438596.08</v>
      </c>
      <c r="CI47" s="319">
        <v>439035.33</v>
      </c>
      <c r="CJ47" s="319">
        <v>417501.06999999995</v>
      </c>
      <c r="CK47" s="319">
        <v>462160.01000000007</v>
      </c>
      <c r="CL47" s="319">
        <v>593166.40999999992</v>
      </c>
      <c r="CM47" s="362">
        <v>744190.05</v>
      </c>
      <c r="CN47" s="753">
        <v>619443.63</v>
      </c>
      <c r="CO47" s="753">
        <v>616517.56999999995</v>
      </c>
      <c r="CP47" s="753">
        <v>611749.41999999993</v>
      </c>
      <c r="CQ47" s="753">
        <v>744531.48</v>
      </c>
      <c r="CR47" s="39"/>
      <c r="CS47" s="43" t="s">
        <v>31</v>
      </c>
      <c r="CT47" s="319">
        <v>331303.77</v>
      </c>
      <c r="CU47" s="319">
        <v>420898.32</v>
      </c>
      <c r="CV47" s="319">
        <v>406300.62</v>
      </c>
      <c r="CW47" s="319">
        <v>423852.66</v>
      </c>
      <c r="CX47" s="319">
        <v>452329.92</v>
      </c>
      <c r="CY47" s="319">
        <v>445644.36</v>
      </c>
      <c r="CZ47" s="319">
        <v>616908.15</v>
      </c>
      <c r="DA47" s="319">
        <v>535393.43999999994</v>
      </c>
      <c r="DB47" s="319">
        <v>510111.58999999997</v>
      </c>
      <c r="DC47" s="319">
        <v>493582.83999999997</v>
      </c>
      <c r="DD47" s="319">
        <v>550615.47</v>
      </c>
      <c r="DE47" s="319">
        <v>555347.48999999987</v>
      </c>
      <c r="DF47" s="319">
        <v>678494.89999999991</v>
      </c>
      <c r="DG47" s="319">
        <v>712525.27</v>
      </c>
      <c r="DH47" s="319">
        <v>584579.92000000004</v>
      </c>
      <c r="DI47" s="319">
        <v>595125.41999999993</v>
      </c>
      <c r="DJ47" s="319">
        <v>584488.62</v>
      </c>
      <c r="DK47" s="362">
        <v>588692.86</v>
      </c>
      <c r="DL47" s="753">
        <v>599372.23999999987</v>
      </c>
      <c r="DM47" s="753">
        <v>585541.70000000007</v>
      </c>
      <c r="DN47" s="753">
        <v>598615.26</v>
      </c>
      <c r="DO47" s="753">
        <v>577274.63</v>
      </c>
      <c r="DP47" s="39"/>
      <c r="DQ47" s="43" t="s">
        <v>31</v>
      </c>
      <c r="DR47" s="319">
        <v>15776.37</v>
      </c>
      <c r="DS47" s="319">
        <v>17537.43</v>
      </c>
      <c r="DT47" s="319">
        <v>18468.21</v>
      </c>
      <c r="DU47" s="319">
        <v>20183.46</v>
      </c>
      <c r="DV47" s="319">
        <v>21539.52</v>
      </c>
      <c r="DW47" s="319">
        <v>21221.16</v>
      </c>
      <c r="DX47" s="319">
        <v>0</v>
      </c>
      <c r="DY47" s="319">
        <v>0</v>
      </c>
      <c r="DZ47" s="319">
        <v>4111.58</v>
      </c>
      <c r="EA47" s="319">
        <v>6080.81</v>
      </c>
      <c r="EB47" s="319">
        <v>6248.06</v>
      </c>
      <c r="EC47" s="319">
        <v>8576.7999999999993</v>
      </c>
      <c r="ED47" s="319">
        <v>7085.48</v>
      </c>
      <c r="EE47" s="319">
        <v>7108.21</v>
      </c>
      <c r="EF47" s="319">
        <v>8279.57</v>
      </c>
      <c r="EG47" s="319">
        <v>8067.13</v>
      </c>
      <c r="EH47" s="319">
        <v>1290.94</v>
      </c>
      <c r="EI47" s="362">
        <v>781.13</v>
      </c>
      <c r="EJ47" s="753">
        <v>770.26</v>
      </c>
      <c r="EK47" s="753">
        <v>992.2</v>
      </c>
      <c r="EL47" s="753">
        <v>8541.56</v>
      </c>
      <c r="EM47" s="753">
        <v>6000</v>
      </c>
      <c r="EN47" s="39"/>
      <c r="EO47" s="43" t="s">
        <v>31</v>
      </c>
      <c r="EP47" s="319">
        <v>157763.70000000001</v>
      </c>
      <c r="EQ47" s="319">
        <v>140299.44</v>
      </c>
      <c r="ER47" s="319">
        <v>129277.47</v>
      </c>
      <c r="ES47" s="319">
        <v>141284.22</v>
      </c>
      <c r="ET47" s="319">
        <v>129237.12</v>
      </c>
      <c r="EU47" s="319">
        <v>106105.8</v>
      </c>
      <c r="EV47" s="319">
        <v>114242.25</v>
      </c>
      <c r="EW47" s="319">
        <v>156156.42000000001</v>
      </c>
      <c r="EX47" s="319">
        <v>99240.589999999982</v>
      </c>
      <c r="EY47" s="319">
        <v>45431.549999999996</v>
      </c>
      <c r="EZ47" s="319">
        <v>56160.110000000008</v>
      </c>
      <c r="FA47" s="319">
        <v>55721.22</v>
      </c>
      <c r="FB47" s="319">
        <v>138199.35999999999</v>
      </c>
      <c r="FC47" s="319">
        <v>70656.56</v>
      </c>
      <c r="FD47" s="319">
        <v>76710.720000000001</v>
      </c>
      <c r="FE47" s="319">
        <v>61705.47</v>
      </c>
      <c r="FF47" s="319">
        <v>135266.19</v>
      </c>
      <c r="FG47" s="362">
        <v>52217.16</v>
      </c>
      <c r="FH47" s="362">
        <v>67814.599999999991</v>
      </c>
      <c r="FI47" s="362">
        <v>42676.28</v>
      </c>
      <c r="FJ47" s="362">
        <v>110065.38</v>
      </c>
      <c r="FK47" s="362">
        <v>40070</v>
      </c>
      <c r="FM47" s="43" t="s">
        <v>31</v>
      </c>
      <c r="FN47" s="319">
        <v>432032</v>
      </c>
      <c r="FO47" s="319">
        <v>339289</v>
      </c>
      <c r="FP47" s="319">
        <v>343931</v>
      </c>
      <c r="FQ47" s="319">
        <v>434601</v>
      </c>
      <c r="FR47" s="319">
        <v>402933</v>
      </c>
      <c r="FS47" s="319">
        <v>311842</v>
      </c>
      <c r="FT47" s="319">
        <v>370227</v>
      </c>
      <c r="FU47" s="319">
        <v>186184</v>
      </c>
      <c r="FV47" s="319">
        <v>284290.92000000039</v>
      </c>
      <c r="FW47" s="319">
        <v>224210.1</v>
      </c>
      <c r="FX47" s="319">
        <v>274151.90000000002</v>
      </c>
      <c r="FY47" s="319">
        <v>277419.32</v>
      </c>
      <c r="FZ47" s="319">
        <v>363290.5</v>
      </c>
      <c r="GA47" s="319">
        <v>535802.25</v>
      </c>
      <c r="GB47" s="319">
        <v>537107.19999999995</v>
      </c>
      <c r="GC47" s="319">
        <v>481784.13</v>
      </c>
      <c r="GD47" s="319">
        <v>417505.21</v>
      </c>
      <c r="GE47" s="319">
        <v>994122.76</v>
      </c>
      <c r="GF47" s="756">
        <v>1488591</v>
      </c>
      <c r="GG47" s="756">
        <v>1820362.12</v>
      </c>
      <c r="GH47" s="756">
        <v>2149345.1000000006</v>
      </c>
      <c r="GI47" s="756">
        <v>1439977.6800000002</v>
      </c>
      <c r="GJ47" s="42"/>
      <c r="GK47" s="570" t="s">
        <v>31</v>
      </c>
      <c r="GL47" s="571">
        <f>FN47/'4GF Expenditures'!B48</f>
        <v>0.25594449259504348</v>
      </c>
      <c r="GM47" s="571">
        <f>FO47/'4GF Expenditures'!C48</f>
        <v>0.18375017398071672</v>
      </c>
      <c r="GN47" s="571">
        <f>FP47/'4GF Expenditures'!D48</f>
        <v>0.18669792674870359</v>
      </c>
      <c r="GO47" s="571">
        <f>FQ47/'4GF Expenditures'!E48</f>
        <v>0.22545334381918952</v>
      </c>
      <c r="GP47" s="571">
        <f>FR47/'4GF Expenditures'!F48</f>
        <v>0.18435638400087848</v>
      </c>
      <c r="GQ47" s="571">
        <f>FS47/'4GF Expenditures'!G48</f>
        <v>0.14090051224309338</v>
      </c>
      <c r="GR47" s="571">
        <f>FT47/'4GF Expenditures'!H48</f>
        <v>0.16628504442029052</v>
      </c>
      <c r="GS47" s="571">
        <f>FU47/'4GF Expenditures'!I48</f>
        <v>7.709961281239E-2</v>
      </c>
      <c r="GT47" s="571">
        <f>FV47/'4GF Expenditures'!J48</f>
        <v>0.13079899269320536</v>
      </c>
      <c r="GU47" s="571">
        <f>FW47/'4GF Expenditures'!K48</f>
        <v>0.10025455815287868</v>
      </c>
      <c r="GV47" s="571">
        <f>FX47/'4GF Expenditures'!L48</f>
        <v>0.11704247885910063</v>
      </c>
      <c r="GW47" s="571">
        <f>FY47/'4GF Expenditures'!M48</f>
        <v>0.11489899956820618</v>
      </c>
      <c r="GX47" s="571">
        <f>FZ47/'4GF Expenditures'!N48</f>
        <v>0.13920084304043526</v>
      </c>
      <c r="GY47" s="571">
        <f>GA47/'4GF Expenditures'!O48</f>
        <v>0.2253519443816577</v>
      </c>
      <c r="GZ47" s="571">
        <f>GB47/'4GF Expenditures'!P48</f>
        <v>0.21103797587880446</v>
      </c>
      <c r="HA47" s="571">
        <f>GC47/'4GF Expenditures'!Q48</f>
        <v>0.19408543699993103</v>
      </c>
      <c r="HB47" s="571">
        <f>GD47/'4GF Expenditures'!R48</f>
        <v>0.13787925026763351</v>
      </c>
      <c r="HC47" s="571">
        <f>GE47/'4GF Expenditures'!S48</f>
        <v>0.44998180016699235</v>
      </c>
      <c r="HD47" s="571">
        <f>GF47/'4GF Expenditures'!T48</f>
        <v>0.65458630869183254</v>
      </c>
      <c r="HE47" s="571">
        <f>GG47/'4GF Expenditures'!U48</f>
        <v>0.75315924585742322</v>
      </c>
      <c r="HF47" s="571">
        <f>GH47/'4GF Expenditures'!V48</f>
        <v>0.86574218018662386</v>
      </c>
      <c r="HG47" s="571">
        <f>GI47/'4GF Expenditures'!W48</f>
        <v>0.34847357604792478</v>
      </c>
      <c r="HH47" s="571"/>
      <c r="HI47" s="571"/>
      <c r="HJ47" s="571"/>
      <c r="HK47" s="568"/>
      <c r="HL47" s="567" t="s">
        <v>31</v>
      </c>
      <c r="HM47" s="571">
        <f>B47/'4GF Expenditures'!B48</f>
        <v>0.93462405901453272</v>
      </c>
      <c r="HN47" s="571">
        <f>C47/'4GF Expenditures'!C48</f>
        <v>0.94978198929957669</v>
      </c>
      <c r="HO47" s="571">
        <f>D47/'4GF Expenditures'!D48</f>
        <v>1.0025198419914678</v>
      </c>
      <c r="HP47" s="571">
        <f>E47/'4GF Expenditures'!E48</f>
        <v>1.0470359126741215</v>
      </c>
      <c r="HQ47" s="571">
        <f>F47/'4GF Expenditures'!F48</f>
        <v>0.98551074752244217</v>
      </c>
      <c r="HR47" s="571">
        <f>G47/'4GF Expenditures'!G48</f>
        <v>0.95884207848610636</v>
      </c>
      <c r="HS47" s="571">
        <f>H47/'4GF Expenditures'!H48</f>
        <v>1.0262232422769777</v>
      </c>
      <c r="HT47" s="571">
        <f>I47/'4GF Expenditures'!I48</f>
        <v>0.92378657059444691</v>
      </c>
      <c r="HU47" s="571">
        <f>J47/'4GF Expenditures'!J48</f>
        <v>1.0451380622631559</v>
      </c>
      <c r="HV47" s="571">
        <f>K47/'4GF Expenditures'!K48</f>
        <v>0.97147634517917547</v>
      </c>
      <c r="HW47" s="571">
        <f>L47/'4GF Expenditures'!L48</f>
        <v>1.0213214355643183</v>
      </c>
      <c r="HX47" s="571">
        <f>M47/'4GF Expenditures'!M48</f>
        <v>1.0013532701657879</v>
      </c>
      <c r="HY47" s="571">
        <f>N47/'4GF Expenditures'!N48</f>
        <v>1.032902981632817</v>
      </c>
      <c r="HZ47" s="571">
        <f>O47/'4GF Expenditures'!O48</f>
        <v>1.0725563550567072</v>
      </c>
      <c r="IA47" s="571">
        <f>P47/'4GF Expenditures'!P48</f>
        <v>0.96515030179735173</v>
      </c>
      <c r="IB47" s="571">
        <f>Q47/'4GF Expenditures'!Q48</f>
        <v>0.97771325050261049</v>
      </c>
      <c r="IC47" s="571">
        <f>R47/'4GF Expenditures'!R48</f>
        <v>0.97888775672998307</v>
      </c>
      <c r="ID47" s="573">
        <f>S47/'4GF Expenditures'!S48</f>
        <v>1.2610013708537171</v>
      </c>
      <c r="IE47" s="572">
        <f>T47/'4GF Expenditures'!T48</f>
        <v>1.2174352390864562</v>
      </c>
      <c r="IF47" s="572">
        <f>U47/'4GF Expenditures'!U48</f>
        <v>1.1372674611227753</v>
      </c>
      <c r="IG47" s="572">
        <f>V47/'4GF Expenditures'!V48</f>
        <v>1.1325121974826158</v>
      </c>
      <c r="IH47" s="572">
        <f>W47/'4GF Expenditures'!W48</f>
        <v>0.8283335880738858</v>
      </c>
    </row>
    <row r="48" spans="1:242" ht="14">
      <c r="A48" s="43" t="s">
        <v>32</v>
      </c>
      <c r="B48" s="319">
        <v>1025704</v>
      </c>
      <c r="C48" s="319">
        <v>968772</v>
      </c>
      <c r="D48" s="319">
        <v>985572</v>
      </c>
      <c r="E48" s="319">
        <v>1022738</v>
      </c>
      <c r="F48" s="319">
        <v>1050652</v>
      </c>
      <c r="G48" s="319">
        <v>1156929</v>
      </c>
      <c r="H48" s="319">
        <v>1158387</v>
      </c>
      <c r="I48" s="319">
        <v>1238324</v>
      </c>
      <c r="J48" s="319">
        <v>1286941</v>
      </c>
      <c r="K48" s="319">
        <v>1400970</v>
      </c>
      <c r="L48" s="319">
        <v>1375272</v>
      </c>
      <c r="M48" s="319">
        <v>1473462</v>
      </c>
      <c r="N48" s="319">
        <v>1373714</v>
      </c>
      <c r="O48" s="319">
        <v>1358024</v>
      </c>
      <c r="P48" s="319">
        <v>1417662</v>
      </c>
      <c r="Q48" s="319">
        <v>1476213</v>
      </c>
      <c r="R48" s="319">
        <v>1749742</v>
      </c>
      <c r="S48" s="362">
        <v>1461080</v>
      </c>
      <c r="T48" s="362">
        <v>1651613</v>
      </c>
      <c r="U48" s="362">
        <v>1311145</v>
      </c>
      <c r="V48" s="362">
        <v>1387280</v>
      </c>
      <c r="W48" s="362">
        <v>1451336</v>
      </c>
      <c r="X48" s="6"/>
      <c r="Y48" s="43" t="s">
        <v>32</v>
      </c>
      <c r="Z48" s="319">
        <v>82056.320000000007</v>
      </c>
      <c r="AA48" s="319">
        <v>106564.92</v>
      </c>
      <c r="AB48" s="319">
        <v>118268.64</v>
      </c>
      <c r="AC48" s="319">
        <v>112501.18</v>
      </c>
      <c r="AD48" s="319">
        <v>105065.2</v>
      </c>
      <c r="AE48" s="319">
        <v>115692.9</v>
      </c>
      <c r="AF48" s="319">
        <v>127422.57</v>
      </c>
      <c r="AG48" s="319">
        <v>123832.4</v>
      </c>
      <c r="AH48" s="319">
        <v>140012</v>
      </c>
      <c r="AI48" s="319">
        <v>129632</v>
      </c>
      <c r="AJ48" s="319">
        <v>157811</v>
      </c>
      <c r="AK48" s="319">
        <v>158896</v>
      </c>
      <c r="AL48" s="319">
        <v>178008</v>
      </c>
      <c r="AM48" s="319">
        <v>193448</v>
      </c>
      <c r="AN48" s="319">
        <v>212469</v>
      </c>
      <c r="AO48" s="319">
        <v>190620</v>
      </c>
      <c r="AP48" s="319">
        <v>219304</v>
      </c>
      <c r="AQ48" s="362">
        <v>186971</v>
      </c>
      <c r="AR48" s="753">
        <v>224646</v>
      </c>
      <c r="AS48" s="753">
        <v>216048</v>
      </c>
      <c r="AT48" s="753">
        <v>226159</v>
      </c>
      <c r="AU48" s="753">
        <v>209500</v>
      </c>
      <c r="AV48" s="39"/>
      <c r="AW48" s="43" t="s">
        <v>32</v>
      </c>
      <c r="AX48" s="319">
        <v>379510.48</v>
      </c>
      <c r="AY48" s="319">
        <v>377821.08</v>
      </c>
      <c r="AZ48" s="319">
        <v>394228.8</v>
      </c>
      <c r="BA48" s="319">
        <v>634097.56000000006</v>
      </c>
      <c r="BB48" s="319">
        <v>651404.24</v>
      </c>
      <c r="BC48" s="319">
        <v>705726.69</v>
      </c>
      <c r="BD48" s="319">
        <v>741367.68</v>
      </c>
      <c r="BE48" s="319">
        <v>767760.88</v>
      </c>
      <c r="BF48" s="319">
        <v>800302</v>
      </c>
      <c r="BG48" s="319">
        <v>795340</v>
      </c>
      <c r="BH48" s="319">
        <v>816835</v>
      </c>
      <c r="BI48" s="319">
        <v>871125</v>
      </c>
      <c r="BJ48" s="319">
        <v>821192</v>
      </c>
      <c r="BK48" s="319">
        <v>776741</v>
      </c>
      <c r="BL48" s="319">
        <v>833435</v>
      </c>
      <c r="BM48" s="319">
        <v>856945</v>
      </c>
      <c r="BN48" s="319">
        <v>859905</v>
      </c>
      <c r="BO48" s="362">
        <v>870518</v>
      </c>
      <c r="BP48" s="753">
        <v>953090</v>
      </c>
      <c r="BQ48" s="753">
        <v>706917</v>
      </c>
      <c r="BR48" s="753">
        <v>679417</v>
      </c>
      <c r="BS48" s="753">
        <v>675000</v>
      </c>
      <c r="BT48" s="286"/>
      <c r="BU48" s="43" t="s">
        <v>32</v>
      </c>
      <c r="BV48" s="319">
        <v>82056.320000000007</v>
      </c>
      <c r="BW48" s="319">
        <v>77501.759999999995</v>
      </c>
      <c r="BX48" s="319">
        <v>88701.48</v>
      </c>
      <c r="BY48" s="319">
        <v>81819.039999999994</v>
      </c>
      <c r="BZ48" s="319">
        <v>94558.68</v>
      </c>
      <c r="CA48" s="319">
        <v>115692.9</v>
      </c>
      <c r="CB48" s="319">
        <v>81087.09</v>
      </c>
      <c r="CC48" s="319">
        <v>111449.16</v>
      </c>
      <c r="CD48" s="319">
        <v>115424</v>
      </c>
      <c r="CE48" s="319">
        <v>250325</v>
      </c>
      <c r="CF48" s="319">
        <v>136086</v>
      </c>
      <c r="CG48" s="319">
        <v>156831</v>
      </c>
      <c r="CH48" s="319">
        <v>153119</v>
      </c>
      <c r="CI48" s="319">
        <v>175027</v>
      </c>
      <c r="CJ48" s="319">
        <v>163047</v>
      </c>
      <c r="CK48" s="319">
        <v>178927</v>
      </c>
      <c r="CL48" s="319">
        <v>204652</v>
      </c>
      <c r="CM48" s="362">
        <v>192218</v>
      </c>
      <c r="CN48" s="753">
        <v>215031</v>
      </c>
      <c r="CO48" s="753">
        <v>198394</v>
      </c>
      <c r="CP48" s="753">
        <v>277493</v>
      </c>
      <c r="CQ48" s="753">
        <v>390282</v>
      </c>
      <c r="CR48" s="39"/>
      <c r="CS48" s="43" t="s">
        <v>32</v>
      </c>
      <c r="CT48" s="319">
        <v>143598.56</v>
      </c>
      <c r="CU48" s="319">
        <v>116252.64</v>
      </c>
      <c r="CV48" s="319">
        <v>128124.36</v>
      </c>
      <c r="CW48" s="319">
        <v>143183.32</v>
      </c>
      <c r="CX48" s="319">
        <v>126078.24</v>
      </c>
      <c r="CY48" s="319">
        <v>138831.48000000001</v>
      </c>
      <c r="CZ48" s="319">
        <v>150590.31</v>
      </c>
      <c r="DA48" s="319">
        <v>173365.36</v>
      </c>
      <c r="DB48" s="319">
        <v>161019</v>
      </c>
      <c r="DC48" s="319">
        <v>158784</v>
      </c>
      <c r="DD48" s="319">
        <v>175953</v>
      </c>
      <c r="DE48" s="319">
        <v>174661</v>
      </c>
      <c r="DF48" s="319">
        <v>162782</v>
      </c>
      <c r="DG48" s="319">
        <v>166575</v>
      </c>
      <c r="DH48" s="319">
        <v>160447</v>
      </c>
      <c r="DI48" s="319">
        <v>164100</v>
      </c>
      <c r="DJ48" s="319">
        <v>166993</v>
      </c>
      <c r="DK48" s="362">
        <v>160026</v>
      </c>
      <c r="DL48" s="753">
        <v>184285</v>
      </c>
      <c r="DM48" s="753">
        <v>140581</v>
      </c>
      <c r="DN48" s="753">
        <v>151966</v>
      </c>
      <c r="DO48" s="753">
        <v>137450</v>
      </c>
      <c r="DP48" s="39"/>
      <c r="DQ48" s="43" t="s">
        <v>32</v>
      </c>
      <c r="DR48" s="319">
        <v>10257.040000000001</v>
      </c>
      <c r="DS48" s="319">
        <v>9687.7199999999993</v>
      </c>
      <c r="DT48" s="319">
        <v>9855.7199999999993</v>
      </c>
      <c r="DU48" s="319">
        <v>10227.379999999999</v>
      </c>
      <c r="DV48" s="319">
        <v>10506.52</v>
      </c>
      <c r="DW48" s="319">
        <v>11569.29</v>
      </c>
      <c r="DX48" s="319">
        <v>11583.87</v>
      </c>
      <c r="DY48" s="319">
        <v>12383.24</v>
      </c>
      <c r="DZ48" s="319">
        <v>12582</v>
      </c>
      <c r="EA48" s="319">
        <v>17210</v>
      </c>
      <c r="EB48" s="319">
        <v>21787</v>
      </c>
      <c r="EC48" s="319">
        <v>21139</v>
      </c>
      <c r="ED48" s="319">
        <v>14032</v>
      </c>
      <c r="EE48" s="319">
        <v>9756</v>
      </c>
      <c r="EF48" s="319">
        <v>10136</v>
      </c>
      <c r="EG48" s="319">
        <v>4998</v>
      </c>
      <c r="EH48" s="319">
        <v>7790</v>
      </c>
      <c r="EI48" s="362">
        <v>3964</v>
      </c>
      <c r="EJ48" s="753">
        <v>3227</v>
      </c>
      <c r="EK48" s="753">
        <v>4235</v>
      </c>
      <c r="EL48" s="753">
        <v>4514</v>
      </c>
      <c r="EM48" s="753">
        <v>4400</v>
      </c>
      <c r="EN48" s="39"/>
      <c r="EO48" s="43" t="s">
        <v>32</v>
      </c>
      <c r="EP48" s="319">
        <v>328225.28000000003</v>
      </c>
      <c r="EQ48" s="319">
        <v>280943.88</v>
      </c>
      <c r="ER48" s="319">
        <v>246393</v>
      </c>
      <c r="ES48" s="319">
        <v>40909.519999999997</v>
      </c>
      <c r="ET48" s="319">
        <v>63039.12</v>
      </c>
      <c r="EU48" s="319">
        <v>69415.740000000005</v>
      </c>
      <c r="EV48" s="319">
        <v>46335.48</v>
      </c>
      <c r="EW48" s="319">
        <v>49532.959999999999</v>
      </c>
      <c r="EX48" s="319">
        <v>43602</v>
      </c>
      <c r="EY48" s="319">
        <v>35679</v>
      </c>
      <c r="EZ48" s="319">
        <v>52070</v>
      </c>
      <c r="FA48" s="319">
        <v>33005</v>
      </c>
      <c r="FB48" s="319">
        <v>39581</v>
      </c>
      <c r="FC48" s="319">
        <v>31477</v>
      </c>
      <c r="FD48" s="319">
        <v>24033</v>
      </c>
      <c r="FE48" s="319">
        <v>23872</v>
      </c>
      <c r="FF48" s="319">
        <v>235896</v>
      </c>
      <c r="FG48" s="362">
        <v>34736</v>
      </c>
      <c r="FH48" s="362">
        <v>34019</v>
      </c>
      <c r="FI48" s="362">
        <v>31716</v>
      </c>
      <c r="FJ48" s="362">
        <v>32920</v>
      </c>
      <c r="FK48" s="362">
        <v>25049</v>
      </c>
      <c r="FM48" s="43" t="s">
        <v>32</v>
      </c>
      <c r="FN48" s="319">
        <v>85198</v>
      </c>
      <c r="FO48" s="319">
        <v>56496</v>
      </c>
      <c r="FP48" s="319">
        <v>160041</v>
      </c>
      <c r="FQ48" s="319">
        <v>174588</v>
      </c>
      <c r="FR48" s="319">
        <v>187427</v>
      </c>
      <c r="FS48" s="319">
        <v>313704</v>
      </c>
      <c r="FT48" s="319">
        <v>379644</v>
      </c>
      <c r="FU48" s="319">
        <v>486022</v>
      </c>
      <c r="FV48" s="319">
        <v>495697</v>
      </c>
      <c r="FW48" s="319">
        <v>498209</v>
      </c>
      <c r="FX48" s="319">
        <v>400795</v>
      </c>
      <c r="FY48" s="319">
        <v>436065</v>
      </c>
      <c r="FZ48" s="319">
        <v>378891</v>
      </c>
      <c r="GA48" s="319">
        <v>473015</v>
      </c>
      <c r="GB48" s="319">
        <v>297835</v>
      </c>
      <c r="GC48" s="319">
        <v>314397</v>
      </c>
      <c r="GD48" s="319">
        <v>350459</v>
      </c>
      <c r="GE48" s="319">
        <v>331116</v>
      </c>
      <c r="GF48" s="756">
        <v>516926</v>
      </c>
      <c r="GG48" s="756">
        <v>544791</v>
      </c>
      <c r="GH48" s="756">
        <v>669041</v>
      </c>
      <c r="GI48" s="756">
        <v>693420</v>
      </c>
      <c r="GJ48" s="42"/>
      <c r="GK48" s="570" t="s">
        <v>32</v>
      </c>
      <c r="GL48" s="571">
        <f>FN48/'4GF Expenditures'!B49</f>
        <v>8.0019761212421769E-2</v>
      </c>
      <c r="GM48" s="571">
        <f>FO48/'4GF Expenditures'!C49</f>
        <v>5.6639070291556473E-2</v>
      </c>
      <c r="GN48" s="571">
        <f>FP48/'4GF Expenditures'!D49</f>
        <v>0.18144682645769347</v>
      </c>
      <c r="GO48" s="571">
        <f>FQ48/'4GF Expenditures'!E49</f>
        <v>0.17316956806795539</v>
      </c>
      <c r="GP48" s="571">
        <f>FR48/'4GF Expenditures'!F49</f>
        <v>0.18059804608344662</v>
      </c>
      <c r="GQ48" s="571">
        <f>FS48/'4GF Expenditures'!G49</f>
        <v>0.30437431839262913</v>
      </c>
      <c r="GR48" s="571">
        <f>FT48/'4GF Expenditures'!H49</f>
        <v>0.34751708778549439</v>
      </c>
      <c r="GS48" s="571">
        <f>FU48/'4GF Expenditures'!I49</f>
        <v>0.42936853878188536</v>
      </c>
      <c r="GT48" s="571">
        <f>FV48/'4GF Expenditures'!J49</f>
        <v>0.38809282967342695</v>
      </c>
      <c r="GU48" s="571">
        <f>FW48/'4GF Expenditures'!K49</f>
        <v>0.35625596192377607</v>
      </c>
      <c r="GV48" s="571">
        <f>FX48/'4GF Expenditures'!L49</f>
        <v>0.27215219527299417</v>
      </c>
      <c r="GW48" s="571">
        <f>FY48/'4GF Expenditures'!M49</f>
        <v>0.30320360563819015</v>
      </c>
      <c r="GX48" s="571">
        <f>FZ48/'4GF Expenditures'!N49</f>
        <v>0.26479430954763755</v>
      </c>
      <c r="GY48" s="571">
        <f>GA48/'4GF Expenditures'!O49</f>
        <v>0.37425004015346136</v>
      </c>
      <c r="GZ48" s="571">
        <f>GB48/'4GF Expenditures'!P49</f>
        <v>0.18698350933960137</v>
      </c>
      <c r="HA48" s="571">
        <f>GC48/'4GF Expenditures'!Q49</f>
        <v>0.21539189847436133</v>
      </c>
      <c r="HB48" s="571">
        <f>GD48/'4GF Expenditures'!R49</f>
        <v>0.20450667569207787</v>
      </c>
      <c r="HC48" s="571">
        <f>GE48/'4GF Expenditures'!S49</f>
        <v>0.22366310169458323</v>
      </c>
      <c r="HD48" s="571">
        <f>GF48/'4GF Expenditures'!T49</f>
        <v>0.35265721246306631</v>
      </c>
      <c r="HE48" s="571">
        <f>GG48/'4GF Expenditures'!U49</f>
        <v>0.4245304411589374</v>
      </c>
      <c r="HF48" s="571">
        <f>GH48/'4GF Expenditures'!V49</f>
        <v>0.52971109158135599</v>
      </c>
      <c r="HG48" s="571">
        <f>GI48/'4GF Expenditures'!W49</f>
        <v>0.48594316437005458</v>
      </c>
      <c r="HH48" s="571"/>
      <c r="HI48" s="571"/>
      <c r="HJ48" s="571"/>
      <c r="HK48" s="568"/>
      <c r="HL48" s="567" t="s">
        <v>32</v>
      </c>
      <c r="HM48" s="571">
        <f>B48/'4GF Expenditures'!B49</f>
        <v>0.96336286244543123</v>
      </c>
      <c r="HN48" s="571">
        <f>C48/'4GF Expenditures'!C49</f>
        <v>0.97122531514605892</v>
      </c>
      <c r="HO48" s="571">
        <f>D48/'4GF Expenditures'!D49</f>
        <v>1.1173943654786078</v>
      </c>
      <c r="HP48" s="571">
        <f>E48/'4GF Expenditures'!E49</f>
        <v>1.0144288135879016</v>
      </c>
      <c r="HQ48" s="571">
        <f>F48/'4GF Expenditures'!F49</f>
        <v>1.0123712075296802</v>
      </c>
      <c r="HR48" s="571">
        <f>G48/'4GF Expenditures'!G49</f>
        <v>1.1225214718450069</v>
      </c>
      <c r="HS48" s="571">
        <f>H48/'4GF Expenditures'!H49</f>
        <v>1.0603599076202324</v>
      </c>
      <c r="HT48" s="571">
        <f>I48/'4GF Expenditures'!I49</f>
        <v>1.0939779812817927</v>
      </c>
      <c r="HU48" s="571">
        <f>J48/'4GF Expenditures'!J49</f>
        <v>1.0075763506996205</v>
      </c>
      <c r="HV48" s="571">
        <f>K48/'4GF Expenditures'!K49</f>
        <v>1.0017962641709655</v>
      </c>
      <c r="HW48" s="571">
        <f>L48/'4GF Expenditures'!L49</f>
        <v>0.93385220348926823</v>
      </c>
      <c r="HX48" s="571">
        <f>M48/'4GF Expenditures'!M49</f>
        <v>1.0245238466074071</v>
      </c>
      <c r="HY48" s="571">
        <f>N48/'4GF Expenditures'!N49</f>
        <v>0.96004299428047479</v>
      </c>
      <c r="HZ48" s="571">
        <f>O48/'4GF Expenditures'!O49</f>
        <v>1.0744702314500898</v>
      </c>
      <c r="IA48" s="571">
        <f>P48/'4GF Expenditures'!P49</f>
        <v>0.89002103788137044</v>
      </c>
      <c r="IB48" s="571">
        <f>Q48/'4GF Expenditures'!Q49</f>
        <v>1.0113465479076849</v>
      </c>
      <c r="IC48" s="571">
        <f>R48/'4GF Expenditures'!R49</f>
        <v>1.0210436020727323</v>
      </c>
      <c r="ID48" s="573">
        <f>S48/'4GF Expenditures'!S49</f>
        <v>0.98693413976951183</v>
      </c>
      <c r="IE48" s="572">
        <f>T48/'4GF Expenditures'!T49</f>
        <v>1.1267632826512157</v>
      </c>
      <c r="IF48" s="572">
        <f>U48/'4GF Expenditures'!U49</f>
        <v>1.0217146855827921</v>
      </c>
      <c r="IG48" s="572">
        <f>V48/'4GF Expenditures'!V49</f>
        <v>1.0983745437558887</v>
      </c>
      <c r="IH48" s="572">
        <f>W48/'4GF Expenditures'!W49</f>
        <v>1.0170846073147264</v>
      </c>
    </row>
    <row r="49" spans="1:242" ht="14">
      <c r="A49" s="43" t="s">
        <v>33</v>
      </c>
      <c r="B49" s="319">
        <v>759798</v>
      </c>
      <c r="C49" s="319">
        <v>869793</v>
      </c>
      <c r="D49" s="319">
        <v>886189</v>
      </c>
      <c r="E49" s="319">
        <v>881045</v>
      </c>
      <c r="F49" s="319">
        <v>943255</v>
      </c>
      <c r="G49" s="319">
        <v>1031278</v>
      </c>
      <c r="H49" s="319">
        <v>1077320</v>
      </c>
      <c r="I49" s="319">
        <v>1088084</v>
      </c>
      <c r="J49" s="319">
        <v>1143760.3899999999</v>
      </c>
      <c r="K49" s="319">
        <v>1157526.5</v>
      </c>
      <c r="L49" s="319">
        <v>1309598.02</v>
      </c>
      <c r="M49" s="319">
        <v>1375273.08</v>
      </c>
      <c r="N49" s="319">
        <v>1474928.2499999998</v>
      </c>
      <c r="O49" s="319">
        <v>1510059.67</v>
      </c>
      <c r="P49" s="319">
        <v>1384794.9299999997</v>
      </c>
      <c r="Q49" s="319">
        <v>1455699.21</v>
      </c>
      <c r="R49" s="319">
        <v>1595064.963</v>
      </c>
      <c r="S49" s="362">
        <v>1515080.27</v>
      </c>
      <c r="T49" s="362">
        <v>1529755.17</v>
      </c>
      <c r="U49" s="362">
        <v>1674696.6</v>
      </c>
      <c r="V49" s="362">
        <v>1627950.5</v>
      </c>
      <c r="W49" s="362">
        <v>1600000</v>
      </c>
      <c r="X49" s="6"/>
      <c r="Y49" s="43" t="s">
        <v>33</v>
      </c>
      <c r="Z49" s="319">
        <v>174753.54</v>
      </c>
      <c r="AA49" s="319">
        <v>191354.46</v>
      </c>
      <c r="AB49" s="319">
        <v>194961.58</v>
      </c>
      <c r="AC49" s="319">
        <v>202640.35</v>
      </c>
      <c r="AD49" s="319">
        <v>245246.3</v>
      </c>
      <c r="AE49" s="319">
        <v>247506.72</v>
      </c>
      <c r="AF49" s="319">
        <v>247783.6</v>
      </c>
      <c r="AG49" s="319">
        <v>272021</v>
      </c>
      <c r="AH49" s="319">
        <v>272672.34999999998</v>
      </c>
      <c r="AI49" s="319">
        <v>260228.83</v>
      </c>
      <c r="AJ49" s="319">
        <v>277889.2</v>
      </c>
      <c r="AK49" s="319">
        <v>299114.36</v>
      </c>
      <c r="AL49" s="319">
        <v>297996.43</v>
      </c>
      <c r="AM49" s="319">
        <v>321773.41000000003</v>
      </c>
      <c r="AN49" s="319">
        <v>357485.08999999997</v>
      </c>
      <c r="AO49" s="319">
        <v>369470.46</v>
      </c>
      <c r="AP49" s="319">
        <v>375444.36</v>
      </c>
      <c r="AQ49" s="362">
        <v>387764.07</v>
      </c>
      <c r="AR49" s="753">
        <v>471067.91</v>
      </c>
      <c r="AS49" s="753">
        <v>495445.51</v>
      </c>
      <c r="AT49" s="753">
        <v>522545.33999999997</v>
      </c>
      <c r="AU49" s="753">
        <v>552250</v>
      </c>
      <c r="AV49" s="39"/>
      <c r="AW49" s="43" t="s">
        <v>33</v>
      </c>
      <c r="AX49" s="319">
        <v>265929.3</v>
      </c>
      <c r="AY49" s="319">
        <v>287031.69</v>
      </c>
      <c r="AZ49" s="319">
        <v>265856.7</v>
      </c>
      <c r="BA49" s="319">
        <v>264313.5</v>
      </c>
      <c r="BB49" s="319">
        <v>292409.05</v>
      </c>
      <c r="BC49" s="319">
        <v>391885.64</v>
      </c>
      <c r="BD49" s="319">
        <v>441701.2</v>
      </c>
      <c r="BE49" s="319">
        <v>304663.52</v>
      </c>
      <c r="BF49" s="319">
        <v>326052.09999999998</v>
      </c>
      <c r="BG49" s="319">
        <v>330543.34000000003</v>
      </c>
      <c r="BH49" s="319">
        <v>342506.39</v>
      </c>
      <c r="BI49" s="319">
        <v>356395.45</v>
      </c>
      <c r="BJ49" s="319">
        <v>395293.91</v>
      </c>
      <c r="BK49" s="319">
        <v>349091.68</v>
      </c>
      <c r="BL49" s="319">
        <v>386246.9</v>
      </c>
      <c r="BM49" s="319">
        <v>362911.4</v>
      </c>
      <c r="BN49" s="319">
        <v>448252.15</v>
      </c>
      <c r="BO49" s="362">
        <v>350097.44</v>
      </c>
      <c r="BP49" s="753">
        <v>379225.18</v>
      </c>
      <c r="BQ49" s="753">
        <v>340152.27</v>
      </c>
      <c r="BR49" s="753">
        <v>334018.74</v>
      </c>
      <c r="BS49" s="753">
        <v>329000</v>
      </c>
      <c r="BT49" s="286"/>
      <c r="BU49" s="43" t="s">
        <v>33</v>
      </c>
      <c r="BV49" s="319">
        <v>136763.64000000001</v>
      </c>
      <c r="BW49" s="319">
        <v>182656.53</v>
      </c>
      <c r="BX49" s="319">
        <v>177237.8</v>
      </c>
      <c r="BY49" s="319">
        <v>158588.1</v>
      </c>
      <c r="BZ49" s="319">
        <v>160353.35</v>
      </c>
      <c r="CA49" s="319">
        <v>123753.36</v>
      </c>
      <c r="CB49" s="319">
        <v>129278.39999999999</v>
      </c>
      <c r="CC49" s="319">
        <v>250259.32</v>
      </c>
      <c r="CD49" s="319">
        <v>248243.63</v>
      </c>
      <c r="CE49" s="319">
        <v>260811.57999999996</v>
      </c>
      <c r="CF49" s="319">
        <v>322669.15999999997</v>
      </c>
      <c r="CG49" s="319">
        <v>373819.36</v>
      </c>
      <c r="CH49" s="319">
        <v>488609.23</v>
      </c>
      <c r="CI49" s="319">
        <v>428435.89999999997</v>
      </c>
      <c r="CJ49" s="319">
        <v>361725.60999999987</v>
      </c>
      <c r="CK49" s="319">
        <v>430466.66</v>
      </c>
      <c r="CL49" s="319">
        <v>430191.82299999992</v>
      </c>
      <c r="CM49" s="362">
        <v>400811.50000000006</v>
      </c>
      <c r="CN49" s="753">
        <v>341271.67000000004</v>
      </c>
      <c r="CO49" s="753">
        <v>473098.86000000004</v>
      </c>
      <c r="CP49" s="753">
        <v>390335.2</v>
      </c>
      <c r="CQ49" s="753">
        <v>338250</v>
      </c>
      <c r="CR49" s="39"/>
      <c r="CS49" s="43" t="s">
        <v>33</v>
      </c>
      <c r="CT49" s="319">
        <v>151959.6</v>
      </c>
      <c r="CU49" s="319">
        <v>165260.67000000001</v>
      </c>
      <c r="CV49" s="319">
        <v>186099.69</v>
      </c>
      <c r="CW49" s="319">
        <v>193829.9</v>
      </c>
      <c r="CX49" s="319">
        <v>169785.9</v>
      </c>
      <c r="CY49" s="319">
        <v>185630.04</v>
      </c>
      <c r="CZ49" s="319">
        <v>183144.4</v>
      </c>
      <c r="DA49" s="319">
        <v>217616.8</v>
      </c>
      <c r="DB49" s="319">
        <v>192369.53000000003</v>
      </c>
      <c r="DC49" s="319">
        <v>188599.56999999998</v>
      </c>
      <c r="DD49" s="319">
        <v>183156.30000000002</v>
      </c>
      <c r="DE49" s="319">
        <v>183990.06999999998</v>
      </c>
      <c r="DF49" s="319">
        <v>184368.37</v>
      </c>
      <c r="DG49" s="319">
        <v>193320.74</v>
      </c>
      <c r="DH49" s="319">
        <v>191999.15</v>
      </c>
      <c r="DI49" s="319">
        <v>180822.42</v>
      </c>
      <c r="DJ49" s="319">
        <v>197366.6</v>
      </c>
      <c r="DK49" s="362">
        <v>206436.04</v>
      </c>
      <c r="DL49" s="753">
        <v>212215.31999999998</v>
      </c>
      <c r="DM49" s="753">
        <v>213423.91</v>
      </c>
      <c r="DN49" s="753">
        <v>214907.94</v>
      </c>
      <c r="DO49" s="753">
        <v>211750</v>
      </c>
      <c r="DP49" s="39"/>
      <c r="DQ49" s="43" t="s">
        <v>33</v>
      </c>
      <c r="DR49" s="319">
        <v>15195.96</v>
      </c>
      <c r="DS49" s="319">
        <v>17395.86</v>
      </c>
      <c r="DT49" s="319">
        <v>17723.78</v>
      </c>
      <c r="DU49" s="319">
        <v>8810.4500000000007</v>
      </c>
      <c r="DV49" s="319">
        <v>18865.099999999999</v>
      </c>
      <c r="DW49" s="319">
        <v>10312.780000000001</v>
      </c>
      <c r="DX49" s="319">
        <v>10773.2</v>
      </c>
      <c r="DY49" s="319">
        <v>0</v>
      </c>
      <c r="DZ49" s="319">
        <v>5571.98</v>
      </c>
      <c r="EA49" s="319">
        <v>13434.58</v>
      </c>
      <c r="EB49" s="319">
        <v>17698.82</v>
      </c>
      <c r="EC49" s="319">
        <v>18296.87</v>
      </c>
      <c r="ED49" s="319">
        <v>5762.48</v>
      </c>
      <c r="EE49" s="319">
        <v>0</v>
      </c>
      <c r="EF49" s="319">
        <v>78.42</v>
      </c>
      <c r="EG49" s="319">
        <v>1280.74</v>
      </c>
      <c r="EH49" s="319">
        <v>2786.13</v>
      </c>
      <c r="EI49" s="362">
        <v>2942.47</v>
      </c>
      <c r="EJ49" s="753">
        <v>3154.03</v>
      </c>
      <c r="EK49" s="753">
        <v>2888.03</v>
      </c>
      <c r="EL49" s="753">
        <v>3146.98</v>
      </c>
      <c r="EM49" s="753">
        <v>3000</v>
      </c>
      <c r="EN49" s="39"/>
      <c r="EO49" s="43" t="s">
        <v>33</v>
      </c>
      <c r="EP49" s="319">
        <v>15195.96</v>
      </c>
      <c r="EQ49" s="319">
        <v>26093.79</v>
      </c>
      <c r="ER49" s="319">
        <v>44309.45</v>
      </c>
      <c r="ES49" s="319">
        <v>52862.7</v>
      </c>
      <c r="ET49" s="319">
        <v>56595.3</v>
      </c>
      <c r="EU49" s="319">
        <v>72189.460000000006</v>
      </c>
      <c r="EV49" s="319">
        <v>64639.199999999997</v>
      </c>
      <c r="EW49" s="319">
        <v>43523.360000000001</v>
      </c>
      <c r="EX49" s="319">
        <v>10150.799999999999</v>
      </c>
      <c r="EY49" s="319">
        <v>9340.6</v>
      </c>
      <c r="EZ49" s="319">
        <v>6362.1500000000005</v>
      </c>
      <c r="FA49" s="319">
        <v>41732.07</v>
      </c>
      <c r="FB49" s="319">
        <v>7945.83</v>
      </c>
      <c r="FC49" s="319">
        <v>109355.56</v>
      </c>
      <c r="FD49" s="319">
        <v>3008.62</v>
      </c>
      <c r="FE49" s="319">
        <v>6</v>
      </c>
      <c r="FF49" s="319">
        <v>0</v>
      </c>
      <c r="FG49" s="362">
        <v>1640.96</v>
      </c>
      <c r="FH49" s="362">
        <v>50</v>
      </c>
      <c r="FI49" s="362">
        <v>545.76</v>
      </c>
      <c r="FJ49" s="362">
        <v>54.79</v>
      </c>
      <c r="FK49" s="362">
        <v>50</v>
      </c>
      <c r="FM49" s="43" t="s">
        <v>33</v>
      </c>
      <c r="FN49" s="319">
        <v>22772</v>
      </c>
      <c r="FO49" s="319">
        <v>81651</v>
      </c>
      <c r="FP49" s="319">
        <v>85411</v>
      </c>
      <c r="FQ49" s="319">
        <v>115237</v>
      </c>
      <c r="FR49" s="319">
        <v>140965</v>
      </c>
      <c r="FS49" s="319">
        <v>248967</v>
      </c>
      <c r="FT49" s="319">
        <v>304302</v>
      </c>
      <c r="FU49" s="319">
        <v>354789</v>
      </c>
      <c r="FV49" s="319">
        <v>316797.12999999989</v>
      </c>
      <c r="FW49" s="319">
        <v>238647.54</v>
      </c>
      <c r="FX49" s="319">
        <v>234934</v>
      </c>
      <c r="FY49" s="319">
        <v>335043.93</v>
      </c>
      <c r="FZ49" s="319">
        <v>311593.78999999998</v>
      </c>
      <c r="GA49" s="319">
        <v>323114.19</v>
      </c>
      <c r="GB49" s="319">
        <v>170020.45</v>
      </c>
      <c r="GC49" s="319">
        <v>268903.92</v>
      </c>
      <c r="GD49" s="319">
        <v>417085.65</v>
      </c>
      <c r="GE49" s="319">
        <v>387331.25</v>
      </c>
      <c r="GF49" s="756">
        <v>393096.2</v>
      </c>
      <c r="GG49" s="756">
        <v>515201.03</v>
      </c>
      <c r="GH49" s="756">
        <v>640072.21</v>
      </c>
      <c r="GI49" s="756">
        <v>357652.20999999996</v>
      </c>
      <c r="GJ49" s="42"/>
      <c r="GK49" s="570" t="s">
        <v>33</v>
      </c>
      <c r="GL49" s="571">
        <f>FN49/'4GF Expenditures'!B50</f>
        <v>3.0761707536834482E-2</v>
      </c>
      <c r="GM49" s="571">
        <f>FO49/'4GF Expenditures'!C50</f>
        <v>0.10069008550845096</v>
      </c>
      <c r="GN49" s="571">
        <f>FP49/'4GF Expenditures'!D50</f>
        <v>9.6790789967238153E-2</v>
      </c>
      <c r="GO49" s="571">
        <f>FQ49/'4GF Expenditures'!E50</f>
        <v>0.13537879206173734</v>
      </c>
      <c r="GP49" s="571">
        <f>FR49/'4GF Expenditures'!F50</f>
        <v>0.15363580581279898</v>
      </c>
      <c r="GQ49" s="571">
        <f>FS49/'4GF Expenditures'!G50</f>
        <v>0.2696560941690242</v>
      </c>
      <c r="GR49" s="571">
        <f>FT49/'4GF Expenditures'!H50</f>
        <v>0.29775583790368743</v>
      </c>
      <c r="GS49" s="571">
        <f>FU49/'4GF Expenditures'!I50</f>
        <v>0.34193333249807006</v>
      </c>
      <c r="GT49" s="571">
        <f>FV49/'4GF Expenditures'!J50</f>
        <v>0.26807415164064846</v>
      </c>
      <c r="GU49" s="571">
        <f>FW49/'4GF Expenditures'!K50</f>
        <v>0.19311708560761087</v>
      </c>
      <c r="GV49" s="571">
        <f>FX49/'4GF Expenditures'!L50</f>
        <v>0.17888672205093512</v>
      </c>
      <c r="GW49" s="571">
        <f>FY49/'4GF Expenditures'!M50</f>
        <v>0.26274593176567251</v>
      </c>
      <c r="GX49" s="571">
        <f>FZ49/'4GF Expenditures'!N50</f>
        <v>0.20795400686471457</v>
      </c>
      <c r="GY49" s="571">
        <f>GA49/'4GF Expenditures'!O50</f>
        <v>0.21561943451772206</v>
      </c>
      <c r="GZ49" s="571">
        <f>GB49/'4GF Expenditures'!P50</f>
        <v>0.11055445905586912</v>
      </c>
      <c r="HA49" s="571">
        <f>GC49/'4GF Expenditures'!Q50</f>
        <v>0.19818750038969918</v>
      </c>
      <c r="HB49" s="571">
        <f>GD49/'4GF Expenditures'!R50</f>
        <v>0.28826490027118501</v>
      </c>
      <c r="HC49" s="571">
        <f>GE49/'4GF Expenditures'!S50</f>
        <v>0.25072666837545793</v>
      </c>
      <c r="HD49" s="571">
        <f>GF49/'4GF Expenditures'!T50</f>
        <v>0.25793879438412676</v>
      </c>
      <c r="HE49" s="571">
        <f>GG49/'4GF Expenditures'!U50</f>
        <v>0.33183290028646745</v>
      </c>
      <c r="HF49" s="571">
        <f>GH49/'4GF Expenditures'!V50</f>
        <v>0.42584060700136561</v>
      </c>
      <c r="HG49" s="571">
        <f>GI49/'4GF Expenditures'!W50</f>
        <v>0.18999596795614154</v>
      </c>
      <c r="HH49" s="571"/>
      <c r="HI49" s="571"/>
      <c r="HJ49" s="571"/>
      <c r="HK49" s="568"/>
      <c r="HL49" s="567" t="s">
        <v>33</v>
      </c>
      <c r="HM49" s="571">
        <f>B49/'4GF Expenditures'!B50</f>
        <v>1.0263781777214021</v>
      </c>
      <c r="HN49" s="571">
        <f>C49/'4GF Expenditures'!C50</f>
        <v>1.0726081927306719</v>
      </c>
      <c r="HO49" s="571">
        <f>D49/'4GF Expenditures'!D50</f>
        <v>1.0042609660380608</v>
      </c>
      <c r="HP49" s="571">
        <f>E49/'4GF Expenditures'!E50</f>
        <v>1.0350391614848822</v>
      </c>
      <c r="HQ49" s="571">
        <f>F49/'4GF Expenditures'!F50</f>
        <v>1.0280405917210065</v>
      </c>
      <c r="HR49" s="571">
        <f>G49/'4GF Expenditures'!G50</f>
        <v>1.1169769386402333</v>
      </c>
      <c r="HS49" s="571">
        <f>H49/'4GF Expenditures'!H50</f>
        <v>1.054144630302793</v>
      </c>
      <c r="HT49" s="571">
        <f>I49/'4GF Expenditures'!I50</f>
        <v>1.0486576194803956</v>
      </c>
      <c r="HU49" s="571">
        <f>J49/'4GF Expenditures'!J50</f>
        <v>0.96785155922791122</v>
      </c>
      <c r="HV49" s="571">
        <f>K49/'4GF Expenditures'!K50</f>
        <v>0.93668740182102095</v>
      </c>
      <c r="HW49" s="571">
        <f>L49/'4GF Expenditures'!L50</f>
        <v>0.99717238459394963</v>
      </c>
      <c r="HX49" s="571">
        <f>M49/'4GF Expenditures'!M50</f>
        <v>1.0785075462696676</v>
      </c>
      <c r="HY49" s="571">
        <f>N49/'4GF Expenditures'!N50</f>
        <v>0.98434965416178999</v>
      </c>
      <c r="HZ49" s="571">
        <f>O49/'4GF Expenditures'!O50</f>
        <v>1.0076877531544435</v>
      </c>
      <c r="IA49" s="571">
        <f>P49/'4GF Expenditures'!P50</f>
        <v>0.90045200085907373</v>
      </c>
      <c r="IB49" s="571">
        <f>Q49/'4GF Expenditures'!Q50</f>
        <v>1.072879070521396</v>
      </c>
      <c r="IC49" s="571">
        <f>R49/'4GF Expenditures'!R50</f>
        <v>1.1024144381022372</v>
      </c>
      <c r="ID49" s="573">
        <f>S49/'4GF Expenditures'!S50</f>
        <v>0.98073942760489707</v>
      </c>
      <c r="IE49" s="572">
        <f>T49/'4GF Expenditures'!T50</f>
        <v>1.0037827998659992</v>
      </c>
      <c r="IF49" s="572">
        <f>U49/'4GF Expenditures'!U50</f>
        <v>1.0786458052653467</v>
      </c>
      <c r="IG49" s="572">
        <f>V49/'4GF Expenditures'!V50</f>
        <v>1.0830769064136945</v>
      </c>
      <c r="IH49" s="572">
        <f>W49/'4GF Expenditures'!W50</f>
        <v>0.84996971982873115</v>
      </c>
    </row>
    <row r="50" spans="1:242" ht="14">
      <c r="A50" s="43" t="s">
        <v>34</v>
      </c>
      <c r="B50" s="319">
        <v>951950</v>
      </c>
      <c r="C50" s="319">
        <v>1385089</v>
      </c>
      <c r="D50" s="319">
        <v>996281</v>
      </c>
      <c r="E50" s="319">
        <v>943668</v>
      </c>
      <c r="F50" s="319">
        <v>975894</v>
      </c>
      <c r="G50" s="319">
        <v>809242</v>
      </c>
      <c r="H50" s="319">
        <v>911201</v>
      </c>
      <c r="I50" s="319">
        <v>1009164</v>
      </c>
      <c r="J50" s="319">
        <v>993579.89</v>
      </c>
      <c r="K50" s="319">
        <v>1036592.1799999999</v>
      </c>
      <c r="L50" s="319">
        <v>1101055.7000000002</v>
      </c>
      <c r="M50" s="319">
        <v>1132325.33</v>
      </c>
      <c r="N50" s="319">
        <v>995527.30999999982</v>
      </c>
      <c r="O50" s="319">
        <v>1072115.9300000002</v>
      </c>
      <c r="P50" s="319"/>
      <c r="Q50" s="319">
        <v>1048824.77</v>
      </c>
      <c r="R50" s="319">
        <v>1275377.1099999999</v>
      </c>
      <c r="S50" s="362">
        <v>1388840.85</v>
      </c>
      <c r="T50" s="362">
        <v>1529183.69</v>
      </c>
      <c r="U50" s="362">
        <v>1550545.22</v>
      </c>
      <c r="V50" s="362">
        <v>1556716.83</v>
      </c>
      <c r="W50" s="362">
        <v>1560540.4900000002</v>
      </c>
      <c r="X50" s="6"/>
      <c r="Y50" s="43" t="s">
        <v>34</v>
      </c>
      <c r="Z50" s="319">
        <v>152312</v>
      </c>
      <c r="AA50" s="319">
        <v>166210.68</v>
      </c>
      <c r="AB50" s="319">
        <v>189293.39</v>
      </c>
      <c r="AC50" s="319">
        <v>198170.28</v>
      </c>
      <c r="AD50" s="319">
        <v>214696.68</v>
      </c>
      <c r="AE50" s="319">
        <v>218495.34</v>
      </c>
      <c r="AF50" s="319">
        <v>227800.25</v>
      </c>
      <c r="AG50" s="319">
        <v>242199.36</v>
      </c>
      <c r="AH50" s="319">
        <v>246253.85</v>
      </c>
      <c r="AI50" s="319">
        <v>264017.91999999998</v>
      </c>
      <c r="AJ50" s="319">
        <v>264199.05</v>
      </c>
      <c r="AK50" s="319">
        <v>364046.1</v>
      </c>
      <c r="AL50" s="319">
        <v>276653.92</v>
      </c>
      <c r="AM50" s="319">
        <v>295592.15000000002</v>
      </c>
      <c r="AN50" s="319"/>
      <c r="AO50" s="319">
        <v>307051.36</v>
      </c>
      <c r="AP50" s="319">
        <v>329663.46999999997</v>
      </c>
      <c r="AQ50" s="362">
        <v>318728.77</v>
      </c>
      <c r="AR50" s="753">
        <v>327799.84999999998</v>
      </c>
      <c r="AS50" s="753">
        <v>336570.45</v>
      </c>
      <c r="AT50" s="753">
        <v>355420.54</v>
      </c>
      <c r="AU50" s="753">
        <v>330000</v>
      </c>
      <c r="AV50" s="39"/>
      <c r="AW50" s="43" t="s">
        <v>34</v>
      </c>
      <c r="AX50" s="319">
        <v>218948.5</v>
      </c>
      <c r="AY50" s="319">
        <v>221614.24</v>
      </c>
      <c r="AZ50" s="319">
        <v>229144.63</v>
      </c>
      <c r="BA50" s="319">
        <v>235917</v>
      </c>
      <c r="BB50" s="319">
        <v>243973.5</v>
      </c>
      <c r="BC50" s="319">
        <v>258957.44</v>
      </c>
      <c r="BD50" s="319">
        <v>255136.28</v>
      </c>
      <c r="BE50" s="319">
        <v>262382.64</v>
      </c>
      <c r="BF50" s="319">
        <v>267576.64</v>
      </c>
      <c r="BG50" s="319">
        <v>293482.39</v>
      </c>
      <c r="BH50" s="319">
        <v>286805.44</v>
      </c>
      <c r="BI50" s="319">
        <v>309811.38</v>
      </c>
      <c r="BJ50" s="319">
        <v>293790.5</v>
      </c>
      <c r="BK50" s="319">
        <v>277206.08</v>
      </c>
      <c r="BL50" s="319"/>
      <c r="BM50" s="319">
        <v>293202.15000000002</v>
      </c>
      <c r="BN50" s="319">
        <v>520848.6</v>
      </c>
      <c r="BO50" s="362">
        <v>626269.77</v>
      </c>
      <c r="BP50" s="753">
        <v>762321.13</v>
      </c>
      <c r="BQ50" s="753">
        <v>763166.03</v>
      </c>
      <c r="BR50" s="753">
        <v>737286.91</v>
      </c>
      <c r="BS50" s="753">
        <v>754258.02000000014</v>
      </c>
      <c r="BT50" s="286"/>
      <c r="BU50" s="43" t="s">
        <v>34</v>
      </c>
      <c r="BV50" s="319">
        <v>314143.5</v>
      </c>
      <c r="BW50" s="319">
        <v>304719.58</v>
      </c>
      <c r="BX50" s="319">
        <v>239107.44</v>
      </c>
      <c r="BY50" s="319">
        <v>150986.88</v>
      </c>
      <c r="BZ50" s="319">
        <v>156143.04000000001</v>
      </c>
      <c r="CA50" s="319">
        <v>153755.98000000001</v>
      </c>
      <c r="CB50" s="319">
        <v>154904.17000000001</v>
      </c>
      <c r="CC50" s="319">
        <v>0</v>
      </c>
      <c r="CD50" s="319">
        <v>6400</v>
      </c>
      <c r="CE50" s="319">
        <v>26637.16</v>
      </c>
      <c r="CF50" s="319">
        <v>135960</v>
      </c>
      <c r="CG50" s="319">
        <v>2746</v>
      </c>
      <c r="CH50" s="319">
        <v>33130</v>
      </c>
      <c r="CI50" s="319">
        <v>16181.64</v>
      </c>
      <c r="CJ50" s="319"/>
      <c r="CK50" s="319">
        <v>12836.65</v>
      </c>
      <c r="CL50" s="319">
        <v>4248.08</v>
      </c>
      <c r="CM50" s="362">
        <v>5977.13</v>
      </c>
      <c r="CN50" s="753">
        <v>14553</v>
      </c>
      <c r="CO50" s="753">
        <v>149966.74</v>
      </c>
      <c r="CP50" s="753">
        <v>145543.41</v>
      </c>
      <c r="CQ50" s="753">
        <v>174332.47</v>
      </c>
      <c r="CR50" s="39"/>
      <c r="CS50" s="43" t="s">
        <v>34</v>
      </c>
      <c r="CT50" s="319">
        <v>180870.5</v>
      </c>
      <c r="CU50" s="319">
        <v>152359.79</v>
      </c>
      <c r="CV50" s="319">
        <v>169367.77</v>
      </c>
      <c r="CW50" s="319">
        <v>141550.20000000001</v>
      </c>
      <c r="CX50" s="319">
        <v>146384.1</v>
      </c>
      <c r="CY50" s="319">
        <v>113293.88</v>
      </c>
      <c r="CZ50" s="319">
        <v>164016.18</v>
      </c>
      <c r="DA50" s="319">
        <v>191741.16</v>
      </c>
      <c r="DB50" s="319">
        <v>206515.83000000002</v>
      </c>
      <c r="DC50" s="319">
        <v>174523.16999999998</v>
      </c>
      <c r="DD50" s="319">
        <v>179172.1</v>
      </c>
      <c r="DE50" s="319">
        <v>355291.68000000005</v>
      </c>
      <c r="DF50" s="319">
        <v>349848.70999999996</v>
      </c>
      <c r="DG50" s="319">
        <v>356814.16000000003</v>
      </c>
      <c r="DH50" s="319"/>
      <c r="DI50" s="319">
        <v>362656.03</v>
      </c>
      <c r="DJ50" s="319">
        <v>335742.45</v>
      </c>
      <c r="DK50" s="362">
        <v>388897.74</v>
      </c>
      <c r="DL50" s="753">
        <v>364972.23</v>
      </c>
      <c r="DM50" s="753">
        <v>235916.95</v>
      </c>
      <c r="DN50" s="753">
        <v>250448.05</v>
      </c>
      <c r="DO50" s="753">
        <v>209050</v>
      </c>
      <c r="DP50" s="39"/>
      <c r="DQ50" s="43" t="s">
        <v>34</v>
      </c>
      <c r="DR50" s="319">
        <v>9519.5</v>
      </c>
      <c r="DS50" s="319">
        <v>27701.78</v>
      </c>
      <c r="DT50" s="319">
        <v>29888.43</v>
      </c>
      <c r="DU50" s="319">
        <v>28310.04</v>
      </c>
      <c r="DV50" s="319">
        <v>29276.82</v>
      </c>
      <c r="DW50" s="319">
        <v>16184.84</v>
      </c>
      <c r="DX50" s="319">
        <v>9112.01</v>
      </c>
      <c r="DY50" s="319">
        <v>0</v>
      </c>
      <c r="DZ50" s="319">
        <v>5044.01</v>
      </c>
      <c r="EA50" s="319">
        <v>13817.64</v>
      </c>
      <c r="EB50" s="319">
        <v>18756.39</v>
      </c>
      <c r="EC50" s="319">
        <v>14396.27</v>
      </c>
      <c r="ED50" s="319">
        <v>2998.08</v>
      </c>
      <c r="EE50" s="319">
        <v>838.26</v>
      </c>
      <c r="EF50" s="319"/>
      <c r="EG50" s="319">
        <v>2654.48</v>
      </c>
      <c r="EH50" s="319">
        <v>4918.8100000000004</v>
      </c>
      <c r="EI50" s="362">
        <v>7586.59</v>
      </c>
      <c r="EJ50" s="753">
        <v>10871.81</v>
      </c>
      <c r="EK50" s="753">
        <v>14525.42</v>
      </c>
      <c r="EL50" s="753">
        <v>16781.87</v>
      </c>
      <c r="EM50" s="753">
        <v>15000</v>
      </c>
      <c r="EN50" s="39"/>
      <c r="EO50" s="43" t="s">
        <v>34</v>
      </c>
      <c r="EP50" s="319">
        <v>76156</v>
      </c>
      <c r="EQ50" s="319">
        <v>512482.93</v>
      </c>
      <c r="ER50" s="319">
        <v>139479.34</v>
      </c>
      <c r="ES50" s="319">
        <v>188733.6</v>
      </c>
      <c r="ET50" s="319">
        <v>185419.86</v>
      </c>
      <c r="EU50" s="319">
        <v>48554.52</v>
      </c>
      <c r="EV50" s="319">
        <v>100232.11</v>
      </c>
      <c r="EW50" s="319">
        <v>312840.84000000003</v>
      </c>
      <c r="EX50" s="319">
        <v>191213.62</v>
      </c>
      <c r="EY50" s="319">
        <v>222311.88999999996</v>
      </c>
      <c r="EZ50" s="319">
        <v>216162.72000000003</v>
      </c>
      <c r="FA50" s="319">
        <v>86033.9</v>
      </c>
      <c r="FB50" s="319">
        <v>39106.1</v>
      </c>
      <c r="FC50" s="319">
        <v>45616.14</v>
      </c>
      <c r="FD50" s="319"/>
      <c r="FE50" s="319">
        <v>53195.7</v>
      </c>
      <c r="FF50" s="319">
        <v>73793.700000000012</v>
      </c>
      <c r="FG50" s="362">
        <v>41380.85</v>
      </c>
      <c r="FH50" s="362">
        <v>48665.67</v>
      </c>
      <c r="FI50" s="362">
        <v>50399.63</v>
      </c>
      <c r="FJ50" s="362">
        <v>51236.049999999996</v>
      </c>
      <c r="FK50" s="362">
        <v>70400</v>
      </c>
      <c r="FM50" s="43" t="s">
        <v>34</v>
      </c>
      <c r="FN50" s="319">
        <v>139148</v>
      </c>
      <c r="FO50" s="319">
        <v>599675</v>
      </c>
      <c r="FP50" s="319">
        <v>554404</v>
      </c>
      <c r="FQ50" s="319">
        <v>514014</v>
      </c>
      <c r="FR50" s="319">
        <v>388688</v>
      </c>
      <c r="FS50" s="319">
        <v>193665</v>
      </c>
      <c r="FT50" s="319">
        <v>82129</v>
      </c>
      <c r="FU50" s="319">
        <v>153823</v>
      </c>
      <c r="FV50" s="319">
        <v>189836.79999999993</v>
      </c>
      <c r="FW50" s="319">
        <v>281368.89</v>
      </c>
      <c r="FX50" s="319">
        <v>157683.43</v>
      </c>
      <c r="FY50" s="319">
        <v>53472.37</v>
      </c>
      <c r="FZ50" s="319">
        <v>3776.84</v>
      </c>
      <c r="GA50" s="319">
        <v>25533.439999999999</v>
      </c>
      <c r="GB50" s="319"/>
      <c r="GC50" s="319">
        <v>38218.519999999997</v>
      </c>
      <c r="GD50" s="319">
        <v>176058.25</v>
      </c>
      <c r="GE50" s="319">
        <v>401806.91</v>
      </c>
      <c r="GF50" s="756">
        <v>612473.28</v>
      </c>
      <c r="GG50" s="756">
        <v>866824.73</v>
      </c>
      <c r="GH50" s="756">
        <v>925242.55000000028</v>
      </c>
      <c r="GI50" s="756">
        <v>561694.15000000014</v>
      </c>
      <c r="GJ50" s="42"/>
      <c r="GK50" s="570" t="s">
        <v>34</v>
      </c>
      <c r="GL50" s="571">
        <f>FN50/'4GF Expenditures'!B51</f>
        <v>0.13781314190748412</v>
      </c>
      <c r="GM50" s="571">
        <f>FO50/'4GF Expenditures'!C51</f>
        <v>0.6486044202552127</v>
      </c>
      <c r="GN50" s="571">
        <f>FP50/'4GF Expenditures'!D51</f>
        <v>0.53228643409066467</v>
      </c>
      <c r="GO50" s="571">
        <f>FQ50/'4GF Expenditures'!E51</f>
        <v>0.52234116281763876</v>
      </c>
      <c r="GP50" s="571">
        <f>FR50/'4GF Expenditures'!F51</f>
        <v>0.35296126114672816</v>
      </c>
      <c r="GQ50" s="571">
        <f>FS50/'4GF Expenditures'!G51</f>
        <v>0.19284252662394885</v>
      </c>
      <c r="GR50" s="571">
        <f>FT50/'4GF Expenditures'!H51</f>
        <v>8.0303147338954203E-2</v>
      </c>
      <c r="GS50" s="571">
        <f>FU50/'4GF Expenditures'!I51</f>
        <v>0.16408311732642111</v>
      </c>
      <c r="GT50" s="571">
        <f>FV50/'4GF Expenditures'!J51</f>
        <v>0.19822235696223539</v>
      </c>
      <c r="GU50" s="571">
        <f>FW50/'4GF Expenditures'!K51</f>
        <v>0.29771972581743023</v>
      </c>
      <c r="GV50" s="571">
        <f>FX50/'4GF Expenditures'!L51</f>
        <v>0.12289099962873198</v>
      </c>
      <c r="GW50" s="571">
        <f>FY50/'4GF Expenditures'!M51</f>
        <v>4.6463215116324286E-2</v>
      </c>
      <c r="GX50" s="571">
        <f>FZ50/'4GF Expenditures'!N51</f>
        <v>3.2372577610907134E-3</v>
      </c>
      <c r="GY50" s="571">
        <f>GA50/'4GF Expenditures'!O51</f>
        <v>2.4302107384605788E-2</v>
      </c>
      <c r="GZ50" s="571" t="e">
        <f>GB50/'4GF Expenditures'!P51</f>
        <v>#DIV/0!</v>
      </c>
      <c r="HA50" s="571">
        <f>GC50/'4GF Expenditures'!Q51</f>
        <v>3.7781399409806377E-2</v>
      </c>
      <c r="HB50" s="571">
        <f>GD50/'4GF Expenditures'!R51</f>
        <v>0.15446244879739576</v>
      </c>
      <c r="HC50" s="571">
        <f>GE50/'4GF Expenditures'!S51</f>
        <v>0.34546436942371689</v>
      </c>
      <c r="HD50" s="571">
        <f>GF50/'4GF Expenditures'!T51</f>
        <v>0.46451667392583057</v>
      </c>
      <c r="HE50" s="571">
        <f>GG50/'4GF Expenditures'!U51</f>
        <v>0.66862036158619376</v>
      </c>
      <c r="HF50" s="571">
        <f>GH50/'4GF Expenditures'!V51</f>
        <v>0.61762924651061724</v>
      </c>
      <c r="HG50" s="571">
        <f>GI50/'4GF Expenditures'!W51</f>
        <v>0.2919273391781812</v>
      </c>
      <c r="HH50" s="571"/>
      <c r="HI50" s="571"/>
      <c r="HJ50" s="571"/>
      <c r="HK50" s="568"/>
      <c r="HL50" s="567" t="s">
        <v>34</v>
      </c>
      <c r="HM50" s="571">
        <f>B50/'4GF Expenditures'!B51</f>
        <v>0.94281786614848573</v>
      </c>
      <c r="HN50" s="571">
        <f>C50/'4GF Expenditures'!C51</f>
        <v>1.4981028854744192</v>
      </c>
      <c r="HO50" s="571">
        <f>D50/'4GF Expenditures'!D51</f>
        <v>0.95653505537889616</v>
      </c>
      <c r="HP50" s="571">
        <f>E50/'4GF Expenditures'!E51</f>
        <v>0.95895567131205683</v>
      </c>
      <c r="HQ50" s="571">
        <f>F50/'4GF Expenditures'!F51</f>
        <v>0.88619349448793161</v>
      </c>
      <c r="HR50" s="571">
        <f>G50/'4GF Expenditures'!G51</f>
        <v>0.80580524064863357</v>
      </c>
      <c r="HS50" s="571">
        <f>H50/'4GF Expenditures'!H51</f>
        <v>0.89094361502517261</v>
      </c>
      <c r="HT50" s="571">
        <f>I50/'4GF Expenditures'!I51</f>
        <v>1.0764760472335115</v>
      </c>
      <c r="HU50" s="571">
        <f>J50/'4GF Expenditures'!J51</f>
        <v>1.0374687501373741</v>
      </c>
      <c r="HV50" s="571">
        <f>K50/'4GF Expenditures'!K51</f>
        <v>1.0968303553889425</v>
      </c>
      <c r="HW50" s="571">
        <f>L50/'4GF Expenditures'!L51</f>
        <v>0.85811068176227057</v>
      </c>
      <c r="HX50" s="571">
        <f>M50/'4GF Expenditures'!M51</f>
        <v>0.98390019723182054</v>
      </c>
      <c r="HY50" s="571">
        <f>N50/'4GF Expenditures'!N51</f>
        <v>0.85330024853455788</v>
      </c>
      <c r="HZ50" s="571">
        <f>O50/'4GF Expenditures'!O51</f>
        <v>1.0204138752791048</v>
      </c>
      <c r="IA50" s="571" t="e">
        <f>P50/'4GF Expenditures'!P51</f>
        <v>#DIV/0!</v>
      </c>
      <c r="IB50" s="571">
        <f>Q50/'4GF Expenditures'!Q51</f>
        <v>1.0368289391182159</v>
      </c>
      <c r="IC50" s="571">
        <f>R50/'4GF Expenditures'!R51</f>
        <v>1.1189357587658948</v>
      </c>
      <c r="ID50" s="573">
        <f>S50/'4GF Expenditures'!S51</f>
        <v>1.1940935223716014</v>
      </c>
      <c r="IE50" s="572">
        <f>T50/'4GF Expenditures'!T51</f>
        <v>1.1597752011327389</v>
      </c>
      <c r="IF50" s="572">
        <f>U50/'4GF Expenditures'!U51</f>
        <v>1.1960043014141328</v>
      </c>
      <c r="IG50" s="572">
        <f>V50/'4GF Expenditures'!V51</f>
        <v>1.0391586970825071</v>
      </c>
      <c r="IH50" s="572">
        <f>W50/'4GF Expenditures'!W51</f>
        <v>0.81105425955658439</v>
      </c>
    </row>
    <row r="51" spans="1:242" ht="14">
      <c r="A51" s="43" t="s">
        <v>35</v>
      </c>
      <c r="B51" s="319">
        <v>2124009</v>
      </c>
      <c r="C51" s="319">
        <v>2229214</v>
      </c>
      <c r="D51" s="319">
        <v>2498775</v>
      </c>
      <c r="E51" s="319">
        <v>2686274</v>
      </c>
      <c r="F51" s="319">
        <v>2748192</v>
      </c>
      <c r="G51" s="319">
        <v>2788725</v>
      </c>
      <c r="H51" s="319">
        <v>2830523</v>
      </c>
      <c r="I51" s="319">
        <v>2788866</v>
      </c>
      <c r="J51" s="319">
        <v>3019478.82</v>
      </c>
      <c r="K51" s="319">
        <v>3216642.1700000004</v>
      </c>
      <c r="L51" s="319">
        <v>3275480.32</v>
      </c>
      <c r="M51" s="319">
        <v>3707603.8400000003</v>
      </c>
      <c r="N51" s="319">
        <v>3659942.2399999998</v>
      </c>
      <c r="O51" s="319">
        <v>3501324.9199999995</v>
      </c>
      <c r="P51" s="319">
        <v>3432586.0200000005</v>
      </c>
      <c r="Q51" s="319">
        <v>3671248.52</v>
      </c>
      <c r="R51" s="319">
        <v>3719779.7800000003</v>
      </c>
      <c r="S51" s="362">
        <v>3543878.07</v>
      </c>
      <c r="T51" s="362">
        <v>3762402.5900000003</v>
      </c>
      <c r="U51" s="362">
        <v>4051466.6399999997</v>
      </c>
      <c r="V51" s="362">
        <v>3955782.9300000006</v>
      </c>
      <c r="W51" s="362">
        <v>4169587.71</v>
      </c>
      <c r="X51" s="6"/>
      <c r="Y51" s="43" t="s">
        <v>35</v>
      </c>
      <c r="Z51" s="319">
        <v>21240.09</v>
      </c>
      <c r="AA51" s="319">
        <v>22292.14</v>
      </c>
      <c r="AB51" s="319">
        <v>24987.75</v>
      </c>
      <c r="AC51" s="319">
        <v>26862.74</v>
      </c>
      <c r="AD51" s="319">
        <v>27481.919999999998</v>
      </c>
      <c r="AE51" s="319">
        <v>27887.25</v>
      </c>
      <c r="AF51" s="319">
        <v>28305.23</v>
      </c>
      <c r="AG51" s="319">
        <v>55777.32</v>
      </c>
      <c r="AH51" s="319">
        <v>46502.46</v>
      </c>
      <c r="AI51" s="319">
        <v>44775.89</v>
      </c>
      <c r="AJ51" s="319">
        <v>45636.63</v>
      </c>
      <c r="AK51" s="319">
        <v>48971.61</v>
      </c>
      <c r="AL51" s="319">
        <v>51576.81</v>
      </c>
      <c r="AM51" s="319">
        <v>52947.03</v>
      </c>
      <c r="AN51" s="319">
        <v>55425.74</v>
      </c>
      <c r="AO51" s="319">
        <v>56252.14</v>
      </c>
      <c r="AP51" s="319">
        <v>74220.259999999995</v>
      </c>
      <c r="AQ51" s="362">
        <v>74029.83</v>
      </c>
      <c r="AR51" s="753">
        <v>77600.14</v>
      </c>
      <c r="AS51" s="753">
        <v>81091.63</v>
      </c>
      <c r="AT51" s="753">
        <v>77858.490000000005</v>
      </c>
      <c r="AU51" s="753">
        <v>77845</v>
      </c>
      <c r="AV51" s="39"/>
      <c r="AW51" s="43" t="s">
        <v>35</v>
      </c>
      <c r="AX51" s="319">
        <v>1210685.1299999999</v>
      </c>
      <c r="AY51" s="319">
        <v>1315236.26</v>
      </c>
      <c r="AZ51" s="319">
        <v>1349338.5</v>
      </c>
      <c r="BA51" s="319">
        <v>1450587.96</v>
      </c>
      <c r="BB51" s="319">
        <v>1484023.68</v>
      </c>
      <c r="BC51" s="319">
        <v>1561686</v>
      </c>
      <c r="BD51" s="319">
        <v>1613398.11</v>
      </c>
      <c r="BE51" s="319">
        <v>1561764.96</v>
      </c>
      <c r="BF51" s="319">
        <v>1676087.92</v>
      </c>
      <c r="BG51" s="319">
        <v>1725539.31</v>
      </c>
      <c r="BH51" s="319">
        <v>1845134.43</v>
      </c>
      <c r="BI51" s="319">
        <v>1909888.5</v>
      </c>
      <c r="BJ51" s="319">
        <v>1940638.82</v>
      </c>
      <c r="BK51" s="319">
        <v>1936747.65</v>
      </c>
      <c r="BL51" s="319">
        <v>1979014.11</v>
      </c>
      <c r="BM51" s="319">
        <v>2035163.04</v>
      </c>
      <c r="BN51" s="319">
        <v>2165361.12</v>
      </c>
      <c r="BO51" s="362">
        <v>2141536.59</v>
      </c>
      <c r="BP51" s="753">
        <v>2321392.58</v>
      </c>
      <c r="BQ51" s="753">
        <v>2688000.61</v>
      </c>
      <c r="BR51" s="753">
        <v>2611503.2400000002</v>
      </c>
      <c r="BS51" s="753">
        <v>2700000</v>
      </c>
      <c r="BT51" s="286"/>
      <c r="BU51" s="43" t="s">
        <v>35</v>
      </c>
      <c r="BV51" s="319">
        <v>382321.62</v>
      </c>
      <c r="BW51" s="319">
        <v>445842.8</v>
      </c>
      <c r="BX51" s="319">
        <v>599706</v>
      </c>
      <c r="BY51" s="319">
        <v>698431.24</v>
      </c>
      <c r="BZ51" s="319">
        <v>714529.92</v>
      </c>
      <c r="CA51" s="319">
        <v>641406.75</v>
      </c>
      <c r="CB51" s="319">
        <v>651020.29</v>
      </c>
      <c r="CC51" s="319">
        <v>613550.52</v>
      </c>
      <c r="CD51" s="319">
        <v>711105.67</v>
      </c>
      <c r="CE51" s="319">
        <v>681457.71</v>
      </c>
      <c r="CF51" s="319">
        <v>564887.90999999992</v>
      </c>
      <c r="CG51" s="319">
        <v>792910.57000000007</v>
      </c>
      <c r="CH51" s="319">
        <v>792408.69</v>
      </c>
      <c r="CI51" s="319">
        <v>718714.2</v>
      </c>
      <c r="CJ51" s="319">
        <v>637846.91</v>
      </c>
      <c r="CK51" s="319">
        <v>800654.61999999988</v>
      </c>
      <c r="CL51" s="319">
        <v>763106.3600000001</v>
      </c>
      <c r="CM51" s="362">
        <v>639101.06999999995</v>
      </c>
      <c r="CN51" s="753">
        <v>686265.51</v>
      </c>
      <c r="CO51" s="753">
        <v>626983.28</v>
      </c>
      <c r="CP51" s="753">
        <v>601485.45000000007</v>
      </c>
      <c r="CQ51" s="753">
        <v>648879.84000000008</v>
      </c>
      <c r="CR51" s="39"/>
      <c r="CS51" s="43" t="s">
        <v>35</v>
      </c>
      <c r="CT51" s="319">
        <v>339841.44</v>
      </c>
      <c r="CU51" s="319">
        <v>401258.52</v>
      </c>
      <c r="CV51" s="319">
        <v>399804</v>
      </c>
      <c r="CW51" s="319">
        <v>429803.84</v>
      </c>
      <c r="CX51" s="319">
        <v>439710.71999999997</v>
      </c>
      <c r="CY51" s="319">
        <v>446196</v>
      </c>
      <c r="CZ51" s="319">
        <v>452883.68</v>
      </c>
      <c r="DA51" s="319">
        <v>501995.88</v>
      </c>
      <c r="DB51" s="319">
        <v>489207.31</v>
      </c>
      <c r="DC51" s="319">
        <v>490590.18000000005</v>
      </c>
      <c r="DD51" s="319">
        <v>518535.4</v>
      </c>
      <c r="DE51" s="319">
        <v>580130.10000000009</v>
      </c>
      <c r="DF51" s="319">
        <v>502074.32</v>
      </c>
      <c r="DG51" s="319">
        <v>531809.09</v>
      </c>
      <c r="DH51" s="319">
        <v>498105.64</v>
      </c>
      <c r="DI51" s="319">
        <v>507434.06999999995</v>
      </c>
      <c r="DJ51" s="319">
        <v>556068.82000000007</v>
      </c>
      <c r="DK51" s="362">
        <v>569713.18000000005</v>
      </c>
      <c r="DL51" s="753">
        <v>517111.72</v>
      </c>
      <c r="DM51" s="753">
        <v>525903.53</v>
      </c>
      <c r="DN51" s="753">
        <v>532706.19999999995</v>
      </c>
      <c r="DO51" s="753">
        <v>530850</v>
      </c>
      <c r="DP51" s="39"/>
      <c r="DQ51" s="43" t="s">
        <v>35</v>
      </c>
      <c r="DR51" s="319">
        <v>42480.18</v>
      </c>
      <c r="DS51" s="319">
        <v>22292.14</v>
      </c>
      <c r="DT51" s="319">
        <v>24987.75</v>
      </c>
      <c r="DU51" s="319">
        <v>26862.74</v>
      </c>
      <c r="DV51" s="319">
        <v>27481.919999999998</v>
      </c>
      <c r="DW51" s="319">
        <v>27887.25</v>
      </c>
      <c r="DX51" s="319">
        <v>28305.23</v>
      </c>
      <c r="DY51" s="319">
        <v>0</v>
      </c>
      <c r="DZ51" s="319">
        <v>11836.91</v>
      </c>
      <c r="EA51" s="319">
        <v>24123.82</v>
      </c>
      <c r="EB51" s="319">
        <v>41369.379999999997</v>
      </c>
      <c r="EC51" s="319">
        <v>32704.02</v>
      </c>
      <c r="ED51" s="319">
        <v>14720.35</v>
      </c>
      <c r="EE51" s="319">
        <v>2978.92</v>
      </c>
      <c r="EF51" s="319">
        <v>2306.0100000000002</v>
      </c>
      <c r="EG51" s="319">
        <v>1194.22</v>
      </c>
      <c r="EH51" s="319">
        <v>1817.82</v>
      </c>
      <c r="EI51" s="362">
        <v>1840.2</v>
      </c>
      <c r="EJ51" s="753">
        <v>1768.57</v>
      </c>
      <c r="EK51" s="753">
        <v>2228.5300000000002</v>
      </c>
      <c r="EL51" s="753">
        <v>3072.79</v>
      </c>
      <c r="EM51" s="753">
        <v>3026</v>
      </c>
      <c r="EN51" s="39"/>
      <c r="EO51" s="43" t="s">
        <v>35</v>
      </c>
      <c r="EP51" s="319">
        <v>127440.54</v>
      </c>
      <c r="EQ51" s="319">
        <v>22292.14</v>
      </c>
      <c r="ER51" s="319">
        <v>99951</v>
      </c>
      <c r="ES51" s="319">
        <v>53725.48</v>
      </c>
      <c r="ET51" s="319">
        <v>54963.839999999997</v>
      </c>
      <c r="EU51" s="319">
        <v>83661.75</v>
      </c>
      <c r="EV51" s="319">
        <v>56610.46</v>
      </c>
      <c r="EW51" s="319">
        <v>55777.32</v>
      </c>
      <c r="EX51" s="319">
        <v>70982.700000000012</v>
      </c>
      <c r="EY51" s="319">
        <v>239826.47999999998</v>
      </c>
      <c r="EZ51" s="319">
        <v>246850.18000000002</v>
      </c>
      <c r="FA51" s="319">
        <v>233922.53999999998</v>
      </c>
      <c r="FB51" s="319">
        <v>250463.06</v>
      </c>
      <c r="FC51" s="319">
        <v>254591.44</v>
      </c>
      <c r="FD51" s="319">
        <v>236976.35000000003</v>
      </c>
      <c r="FE51" s="319">
        <v>258347.14</v>
      </c>
      <c r="FF51" s="319">
        <v>146611.01</v>
      </c>
      <c r="FG51" s="362">
        <v>108809.84000000001</v>
      </c>
      <c r="FH51" s="362">
        <v>103638.17000000001</v>
      </c>
      <c r="FI51" s="362">
        <v>110160.09999999999</v>
      </c>
      <c r="FJ51" s="362">
        <v>119074.53000000001</v>
      </c>
      <c r="FK51" s="362">
        <v>98986.87</v>
      </c>
      <c r="FM51" s="43" t="s">
        <v>35</v>
      </c>
      <c r="FN51" s="319">
        <v>300877</v>
      </c>
      <c r="FO51" s="319">
        <v>271498</v>
      </c>
      <c r="FP51" s="319">
        <v>258908</v>
      </c>
      <c r="FQ51" s="319">
        <v>278548</v>
      </c>
      <c r="FR51" s="319">
        <v>328215</v>
      </c>
      <c r="FS51" s="319">
        <v>452022</v>
      </c>
      <c r="FT51" s="319">
        <v>432904</v>
      </c>
      <c r="FU51" s="319">
        <v>319764</v>
      </c>
      <c r="FV51" s="319">
        <v>299121.33000000007</v>
      </c>
      <c r="FW51" s="319">
        <v>303553.21999999997</v>
      </c>
      <c r="FX51" s="319">
        <v>85070.04</v>
      </c>
      <c r="FY51" s="319">
        <v>260549.9</v>
      </c>
      <c r="FZ51" s="319">
        <v>122522.73</v>
      </c>
      <c r="GA51" s="319">
        <v>183490.98</v>
      </c>
      <c r="GB51" s="319">
        <v>35068.879999999997</v>
      </c>
      <c r="GC51" s="319">
        <v>152087.10999999999</v>
      </c>
      <c r="GD51" s="319">
        <v>128649.72</v>
      </c>
      <c r="GE51" s="319">
        <v>173553.26</v>
      </c>
      <c r="GF51" s="756">
        <v>175977.33</v>
      </c>
      <c r="GG51" s="756">
        <v>384158.86</v>
      </c>
      <c r="GH51" s="756">
        <v>498542.23000000138</v>
      </c>
      <c r="GI51" s="756">
        <v>512810.24000000022</v>
      </c>
      <c r="GJ51" s="42"/>
      <c r="GK51" s="570" t="s">
        <v>35</v>
      </c>
      <c r="GL51" s="571">
        <f>FN51/'4GF Expenditures'!B52</f>
        <v>0.13286275098583838</v>
      </c>
      <c r="GM51" s="571">
        <f>FO51/'4GF Expenditures'!C52</f>
        <v>0.12020669505307065</v>
      </c>
      <c r="GN51" s="571">
        <f>FP51/'4GF Expenditures'!D52</f>
        <v>0.10309453225636257</v>
      </c>
      <c r="GO51" s="571">
        <f>FQ51/'4GF Expenditures'!E52</f>
        <v>0.10445677959555004</v>
      </c>
      <c r="GP51" s="571">
        <f>FR51/'4GF Expenditures'!F52</f>
        <v>0.12162755579436915</v>
      </c>
      <c r="GQ51" s="571">
        <f>FS51/'4GF Expenditures'!G52</f>
        <v>0.16961954162174656</v>
      </c>
      <c r="GR51" s="571">
        <f>FT51/'4GF Expenditures'!H52</f>
        <v>0.15191527634533614</v>
      </c>
      <c r="GS51" s="571">
        <f>FU51/'4GF Expenditures'!I52</f>
        <v>0.11018719114047623</v>
      </c>
      <c r="GT51" s="571">
        <f>FV51/'4GF Expenditures'!J52</f>
        <v>9.8391242252624619E-2</v>
      </c>
      <c r="GU51" s="571">
        <f>FW51/'4GF Expenditures'!K52</f>
        <v>9.4499797192604693E-2</v>
      </c>
      <c r="GV51" s="571">
        <f>FX51/'4GF Expenditures'!L52</f>
        <v>2.4347718572331964E-2</v>
      </c>
      <c r="GW51" s="571">
        <f>FY51/'4GF Expenditures'!M52</f>
        <v>7.3765785537346862E-2</v>
      </c>
      <c r="GX51" s="571">
        <f>FZ51/'4GF Expenditures'!N52</f>
        <v>3.2260062357900875E-2</v>
      </c>
      <c r="GY51" s="571">
        <f>GA51/'4GF Expenditures'!O52</f>
        <v>5.3334871235894275E-2</v>
      </c>
      <c r="GZ51" s="571">
        <f>GB51/'4GF Expenditures'!P52</f>
        <v>9.7930188440901941E-3</v>
      </c>
      <c r="HA51" s="571">
        <f>GC51/'4GF Expenditures'!Q52</f>
        <v>4.2790449011676161E-2</v>
      </c>
      <c r="HB51" s="571">
        <f>GD51/'4GF Expenditures'!R52</f>
        <v>3.4368756648976366E-2</v>
      </c>
      <c r="HC51" s="571">
        <f>GE51/'4GF Expenditures'!S52</f>
        <v>4.9601178434414035E-2</v>
      </c>
      <c r="HD51" s="571">
        <f>GF51/'4GF Expenditures'!T52</f>
        <v>4.6802748756128526E-2</v>
      </c>
      <c r="HE51" s="571">
        <f>GG51/'4GF Expenditures'!U52</f>
        <v>9.9955857815607133E-2</v>
      </c>
      <c r="HF51" s="571">
        <f>GH51/'4GF Expenditures'!V52</f>
        <v>0.1297814044629092</v>
      </c>
      <c r="HG51" s="571">
        <f>GI51/'4GF Expenditures'!W52</f>
        <v>0.12341053806281144</v>
      </c>
      <c r="HH51" s="571"/>
      <c r="HI51" s="571"/>
      <c r="HJ51" s="571"/>
      <c r="HK51" s="568"/>
      <c r="HL51" s="567" t="s">
        <v>35</v>
      </c>
      <c r="HM51" s="571">
        <f>B51/'4GF Expenditures'!B52</f>
        <v>0.93793037971888704</v>
      </c>
      <c r="HN51" s="571">
        <f>C51/'4GF Expenditures'!C52</f>
        <v>0.98699234434889327</v>
      </c>
      <c r="HO51" s="571">
        <f>D51/'4GF Expenditures'!D52</f>
        <v>0.99498679005242174</v>
      </c>
      <c r="HP51" s="571">
        <f>E51/'4GF Expenditures'!E52</f>
        <v>1.0073650902223552</v>
      </c>
      <c r="HQ51" s="571">
        <f>F51/'4GF Expenditures'!F52</f>
        <v>1.0184052398995749</v>
      </c>
      <c r="HR51" s="571">
        <f>G51/'4GF Expenditures'!G52</f>
        <v>1.0464584825718775</v>
      </c>
      <c r="HS51" s="571">
        <f>H51/'4GF Expenditures'!H52</f>
        <v>0.99329108473663874</v>
      </c>
      <c r="HT51" s="571">
        <f>I51/'4GF Expenditures'!I52</f>
        <v>0.96101284386977703</v>
      </c>
      <c r="HU51" s="571">
        <f>J51/'4GF Expenditures'!J52</f>
        <v>0.99320991938384673</v>
      </c>
      <c r="HV51" s="571">
        <f>K51/'4GF Expenditures'!K52</f>
        <v>1.001379701082334</v>
      </c>
      <c r="HW51" s="571">
        <f>L51/'4GF Expenditures'!L52</f>
        <v>0.93746838511621544</v>
      </c>
      <c r="HX51" s="571">
        <f>M51/'4GF Expenditures'!M52</f>
        <v>1.0496811156668404</v>
      </c>
      <c r="HY51" s="571">
        <f>N51/'4GF Expenditures'!N52</f>
        <v>0.96365764041264346</v>
      </c>
      <c r="HZ51" s="571">
        <f>O51/'4GF Expenditures'!O52</f>
        <v>1.0177214910685408</v>
      </c>
      <c r="IA51" s="571">
        <f>P51/'4GF Expenditures'!P52</f>
        <v>0.95855298423618218</v>
      </c>
      <c r="IB51" s="571">
        <f>Q51/'4GF Expenditures'!Q52</f>
        <v>1.0329236488500018</v>
      </c>
      <c r="IC51" s="571">
        <f>R51/'4GF Expenditures'!R52</f>
        <v>0.99373870418530919</v>
      </c>
      <c r="ID51" s="573">
        <f>S51/'4GF Expenditures'!S52</f>
        <v>1.0128333429166172</v>
      </c>
      <c r="IE51" s="572">
        <f>T51/'4GF Expenditures'!T52</f>
        <v>1.0006447031511234</v>
      </c>
      <c r="IF51" s="572">
        <f>U51/'4GF Expenditures'!U52</f>
        <v>1.0541675998635449</v>
      </c>
      <c r="IG51" s="572">
        <f>V51/'4GF Expenditures'!V52</f>
        <v>1.029776483339838</v>
      </c>
      <c r="IH51" s="572">
        <f>W51/'4GF Expenditures'!W52</f>
        <v>1.003433673226154</v>
      </c>
    </row>
    <row r="52" spans="1:242" ht="14">
      <c r="A52" s="43" t="s">
        <v>36</v>
      </c>
      <c r="B52" s="319">
        <v>1052203</v>
      </c>
      <c r="C52" s="319">
        <v>1100870</v>
      </c>
      <c r="D52" s="319">
        <v>1180850</v>
      </c>
      <c r="E52" s="319">
        <v>1220961</v>
      </c>
      <c r="F52" s="319">
        <v>1216017</v>
      </c>
      <c r="G52" s="319">
        <v>1350757</v>
      </c>
      <c r="H52" s="319">
        <v>1199260</v>
      </c>
      <c r="I52" s="319">
        <v>1340896</v>
      </c>
      <c r="J52" s="319">
        <v>1327930.24</v>
      </c>
      <c r="K52" s="319">
        <v>1761210.45</v>
      </c>
      <c r="L52" s="319">
        <v>1593751.5</v>
      </c>
      <c r="M52" s="319">
        <v>1610398.6</v>
      </c>
      <c r="N52" s="319">
        <v>1594082.53</v>
      </c>
      <c r="O52" s="319">
        <v>1815416.7800000003</v>
      </c>
      <c r="P52" s="319">
        <v>1860244.29</v>
      </c>
      <c r="Q52" s="319">
        <v>1687618.7800000003</v>
      </c>
      <c r="R52" s="319">
        <v>1671769.7399999998</v>
      </c>
      <c r="S52" s="362">
        <v>1887496.81</v>
      </c>
      <c r="T52" s="362">
        <v>1812043.9</v>
      </c>
      <c r="U52" s="362">
        <v>1734753.2699999998</v>
      </c>
      <c r="V52" s="362">
        <v>1763531.3599999999</v>
      </c>
      <c r="W52" s="362">
        <v>1797990</v>
      </c>
      <c r="X52" s="6"/>
      <c r="Y52" s="43" t="s">
        <v>36</v>
      </c>
      <c r="Z52" s="319">
        <v>357749.02</v>
      </c>
      <c r="AA52" s="319">
        <v>341269.7</v>
      </c>
      <c r="AB52" s="319">
        <v>377872</v>
      </c>
      <c r="AC52" s="319">
        <v>439545.96</v>
      </c>
      <c r="AD52" s="319">
        <v>401285.61</v>
      </c>
      <c r="AE52" s="319">
        <v>472764.95</v>
      </c>
      <c r="AF52" s="319">
        <v>419741</v>
      </c>
      <c r="AG52" s="319">
        <v>482722.56</v>
      </c>
      <c r="AH52" s="319">
        <v>451315.11000000004</v>
      </c>
      <c r="AI52" s="319">
        <v>462021.23</v>
      </c>
      <c r="AJ52" s="319">
        <v>495656.96000000002</v>
      </c>
      <c r="AK52" s="319">
        <v>514594.25</v>
      </c>
      <c r="AL52" s="319">
        <v>514382.00999999995</v>
      </c>
      <c r="AM52" s="319">
        <v>558935.22000000009</v>
      </c>
      <c r="AN52" s="319">
        <v>558601.87</v>
      </c>
      <c r="AO52" s="319">
        <v>558673.43000000005</v>
      </c>
      <c r="AP52" s="319">
        <v>587346.19000000006</v>
      </c>
      <c r="AQ52" s="362">
        <v>603188</v>
      </c>
      <c r="AR52" s="753">
        <v>625824</v>
      </c>
      <c r="AS52" s="753">
        <v>654608.99</v>
      </c>
      <c r="AT52" s="753">
        <v>594620.62</v>
      </c>
      <c r="AU52" s="753">
        <v>654000</v>
      </c>
      <c r="AV52" s="39"/>
      <c r="AW52" s="43" t="s">
        <v>36</v>
      </c>
      <c r="AX52" s="319">
        <v>305138.87</v>
      </c>
      <c r="AY52" s="319">
        <v>308243.59999999998</v>
      </c>
      <c r="AZ52" s="319">
        <v>307021</v>
      </c>
      <c r="BA52" s="319">
        <v>305240.25</v>
      </c>
      <c r="BB52" s="319">
        <v>304004.25</v>
      </c>
      <c r="BC52" s="319">
        <v>310674.11</v>
      </c>
      <c r="BD52" s="319">
        <v>311807.59999999998</v>
      </c>
      <c r="BE52" s="319">
        <v>308406.08</v>
      </c>
      <c r="BF52" s="319">
        <v>320041.74</v>
      </c>
      <c r="BG52" s="319">
        <v>413199.91</v>
      </c>
      <c r="BH52" s="319">
        <v>330952.23</v>
      </c>
      <c r="BI52" s="319">
        <v>358683.96</v>
      </c>
      <c r="BJ52" s="319">
        <v>386134.81</v>
      </c>
      <c r="BK52" s="319">
        <v>318592.69</v>
      </c>
      <c r="BL52" s="319">
        <v>323993.90999999997</v>
      </c>
      <c r="BM52" s="319">
        <v>348491.45</v>
      </c>
      <c r="BN52" s="319">
        <v>339821.19</v>
      </c>
      <c r="BO52" s="362">
        <v>361347.95</v>
      </c>
      <c r="BP52" s="753">
        <v>397236</v>
      </c>
      <c r="BQ52" s="753">
        <v>413354.49</v>
      </c>
      <c r="BR52" s="753">
        <v>429962.07</v>
      </c>
      <c r="BS52" s="753">
        <v>455000</v>
      </c>
      <c r="BT52" s="286"/>
      <c r="BU52" s="43" t="s">
        <v>36</v>
      </c>
      <c r="BV52" s="319">
        <v>157830.45000000001</v>
      </c>
      <c r="BW52" s="319">
        <v>209165.3</v>
      </c>
      <c r="BX52" s="319">
        <v>200744.5</v>
      </c>
      <c r="BY52" s="319">
        <v>219772.98</v>
      </c>
      <c r="BZ52" s="319">
        <v>133761.87</v>
      </c>
      <c r="CA52" s="319">
        <v>229628.69</v>
      </c>
      <c r="CB52" s="319">
        <v>179889</v>
      </c>
      <c r="CC52" s="319">
        <v>214543.35999999999</v>
      </c>
      <c r="CD52" s="319">
        <v>223582.43</v>
      </c>
      <c r="CE52" s="319">
        <v>284049.07</v>
      </c>
      <c r="CF52" s="319">
        <v>342138.77</v>
      </c>
      <c r="CG52" s="319">
        <v>370203.31000000006</v>
      </c>
      <c r="CH52" s="319">
        <v>246305.14</v>
      </c>
      <c r="CI52" s="319">
        <v>406076.29</v>
      </c>
      <c r="CJ52" s="319">
        <v>337296.86</v>
      </c>
      <c r="CK52" s="319">
        <v>244507.66</v>
      </c>
      <c r="CL52" s="319">
        <v>270021.08999999997</v>
      </c>
      <c r="CM52" s="362">
        <v>340777.51</v>
      </c>
      <c r="CN52" s="753">
        <v>306309.03000000003</v>
      </c>
      <c r="CO52" s="753">
        <v>339529.84999999992</v>
      </c>
      <c r="CP52" s="753">
        <v>412543.35</v>
      </c>
      <c r="CQ52" s="753">
        <v>362590</v>
      </c>
      <c r="CR52" s="39"/>
      <c r="CS52" s="43" t="s">
        <v>36</v>
      </c>
      <c r="CT52" s="319">
        <v>178874.51</v>
      </c>
      <c r="CU52" s="319">
        <v>187147.9</v>
      </c>
      <c r="CV52" s="319">
        <v>200744.5</v>
      </c>
      <c r="CW52" s="319">
        <v>195353.76</v>
      </c>
      <c r="CX52" s="319">
        <v>194562.72</v>
      </c>
      <c r="CY52" s="319">
        <v>216121.12</v>
      </c>
      <c r="CZ52" s="319">
        <v>203874.2</v>
      </c>
      <c r="DA52" s="319">
        <v>227952.32</v>
      </c>
      <c r="DB52" s="319">
        <v>235632.57</v>
      </c>
      <c r="DC52" s="319">
        <v>249450.39</v>
      </c>
      <c r="DD52" s="319">
        <v>252805.07</v>
      </c>
      <c r="DE52" s="319">
        <v>234573.72</v>
      </c>
      <c r="DF52" s="319">
        <v>207374.19</v>
      </c>
      <c r="DG52" s="319">
        <v>273729.64</v>
      </c>
      <c r="DH52" s="319">
        <v>267977.30000000005</v>
      </c>
      <c r="DI52" s="319">
        <v>252623.75999999998</v>
      </c>
      <c r="DJ52" s="319">
        <v>265936.77999999997</v>
      </c>
      <c r="DK52" s="362">
        <v>248449.48000000004</v>
      </c>
      <c r="DL52" s="753">
        <v>263351.09999999998</v>
      </c>
      <c r="DM52" s="753">
        <v>259086.92</v>
      </c>
      <c r="DN52" s="753">
        <v>271966.81000000006</v>
      </c>
      <c r="DO52" s="753">
        <v>265000</v>
      </c>
      <c r="DP52" s="39"/>
      <c r="DQ52" s="43" t="s">
        <v>36</v>
      </c>
      <c r="DR52" s="319">
        <v>10522.03</v>
      </c>
      <c r="DS52" s="319">
        <v>22017.4</v>
      </c>
      <c r="DT52" s="319">
        <v>23617</v>
      </c>
      <c r="DU52" s="319">
        <v>24419.22</v>
      </c>
      <c r="DV52" s="319">
        <v>24320.34</v>
      </c>
      <c r="DW52" s="319">
        <v>27015.14</v>
      </c>
      <c r="DX52" s="319">
        <v>11992.6</v>
      </c>
      <c r="DY52" s="319">
        <v>13408.96</v>
      </c>
      <c r="DZ52" s="319">
        <v>9965.5499999999993</v>
      </c>
      <c r="EA52" s="319">
        <v>5467.12</v>
      </c>
      <c r="EB52" s="319">
        <v>10710.65</v>
      </c>
      <c r="EC52" s="319">
        <v>5043.3599999999997</v>
      </c>
      <c r="ED52" s="319">
        <v>3793.55</v>
      </c>
      <c r="EE52" s="319">
        <v>1216.19</v>
      </c>
      <c r="EF52" s="319">
        <v>707.31</v>
      </c>
      <c r="EG52" s="319">
        <v>922.48</v>
      </c>
      <c r="EH52" s="319">
        <v>693.37</v>
      </c>
      <c r="EI52" s="362">
        <v>833.87</v>
      </c>
      <c r="EJ52" s="753">
        <v>442.24</v>
      </c>
      <c r="EK52" s="753">
        <v>773.02</v>
      </c>
      <c r="EL52" s="753">
        <v>1038.51</v>
      </c>
      <c r="EM52" s="753">
        <v>1000</v>
      </c>
      <c r="EN52" s="39"/>
      <c r="EO52" s="43" t="s">
        <v>36</v>
      </c>
      <c r="EP52" s="319">
        <v>42088.12</v>
      </c>
      <c r="EQ52" s="319">
        <v>33026.1</v>
      </c>
      <c r="ER52" s="319">
        <v>70851</v>
      </c>
      <c r="ES52" s="319">
        <v>36628.83</v>
      </c>
      <c r="ET52" s="319">
        <v>158082.21</v>
      </c>
      <c r="EU52" s="319">
        <v>94552.99</v>
      </c>
      <c r="EV52" s="319">
        <v>71955.600000000006</v>
      </c>
      <c r="EW52" s="319">
        <v>93862.720000000001</v>
      </c>
      <c r="EX52" s="319">
        <v>39247.25</v>
      </c>
      <c r="EY52" s="319">
        <v>286673.86</v>
      </c>
      <c r="EZ52" s="319">
        <v>119487.82</v>
      </c>
      <c r="FA52" s="319">
        <v>82300</v>
      </c>
      <c r="FB52" s="319">
        <v>145400</v>
      </c>
      <c r="FC52" s="319">
        <v>194400</v>
      </c>
      <c r="FD52" s="319">
        <v>309988.65000000002</v>
      </c>
      <c r="FE52" s="319">
        <v>232400</v>
      </c>
      <c r="FF52" s="319">
        <v>127951.12</v>
      </c>
      <c r="FG52" s="362">
        <v>267900</v>
      </c>
      <c r="FH52" s="362">
        <v>158881.53</v>
      </c>
      <c r="FI52" s="362">
        <v>5400</v>
      </c>
      <c r="FJ52" s="362">
        <v>5400</v>
      </c>
      <c r="FK52" s="362">
        <v>5400</v>
      </c>
      <c r="FM52" s="43" t="s">
        <v>36</v>
      </c>
      <c r="FN52" s="319">
        <v>267942</v>
      </c>
      <c r="FO52" s="319">
        <v>254955</v>
      </c>
      <c r="FP52" s="319">
        <v>304562</v>
      </c>
      <c r="FQ52" s="319">
        <v>363981</v>
      </c>
      <c r="FR52" s="319">
        <v>375649</v>
      </c>
      <c r="FS52" s="319">
        <v>460910</v>
      </c>
      <c r="FT52" s="319">
        <v>318919</v>
      </c>
      <c r="FU52" s="319">
        <v>270376</v>
      </c>
      <c r="FV52" s="319">
        <v>89193.959999999963</v>
      </c>
      <c r="FW52" s="319">
        <v>160365.17000000001</v>
      </c>
      <c r="FX52" s="319">
        <v>67193.72</v>
      </c>
      <c r="FY52" s="319">
        <v>65754.98</v>
      </c>
      <c r="FZ52" s="319">
        <v>3096.39</v>
      </c>
      <c r="GA52" s="319">
        <v>39591.56</v>
      </c>
      <c r="GB52" s="319">
        <v>51335.25</v>
      </c>
      <c r="GC52" s="319">
        <v>29754.01</v>
      </c>
      <c r="GD52" s="319">
        <v>4986.2700000000004</v>
      </c>
      <c r="GE52" s="319">
        <v>43081.8</v>
      </c>
      <c r="GF52" s="756">
        <v>8494.61</v>
      </c>
      <c r="GG52" s="756">
        <v>11922.73</v>
      </c>
      <c r="GH52" s="756">
        <v>6378.309999999823</v>
      </c>
      <c r="GI52" s="756">
        <v>13686.310000000056</v>
      </c>
      <c r="GJ52" s="42"/>
      <c r="GK52" s="570" t="s">
        <v>36</v>
      </c>
      <c r="GL52" s="571">
        <f>FN52/'4GF Expenditures'!B53</f>
        <v>0.28288392913701726</v>
      </c>
      <c r="GM52" s="571">
        <f>FO52/'4GF Expenditures'!C53</f>
        <v>0.22889383466638896</v>
      </c>
      <c r="GN52" s="571">
        <f>FP52/'4GF Expenditures'!D53</f>
        <v>0.26922774328769328</v>
      </c>
      <c r="GO52" s="571">
        <f>FQ52/'4GF Expenditures'!E53</f>
        <v>0.31336017122067045</v>
      </c>
      <c r="GP52" s="571">
        <f>FR52/'4GF Expenditures'!F53</f>
        <v>0.31191041799345537</v>
      </c>
      <c r="GQ52" s="571">
        <f>FS52/'4GF Expenditures'!G53</f>
        <v>0.36421292520877191</v>
      </c>
      <c r="GR52" s="571">
        <f>FT52/'4GF Expenditures'!H53</f>
        <v>0.23777709185149398</v>
      </c>
      <c r="GS52" s="571">
        <f>FU52/'4GF Expenditures'!I53</f>
        <v>0.19459364534895018</v>
      </c>
      <c r="GT52" s="571">
        <f>FV52/'4GF Expenditures'!J53</f>
        <v>5.9103559868234103E-2</v>
      </c>
      <c r="GU52" s="571">
        <f>FW52/'4GF Expenditures'!K53</f>
        <v>9.4888429927816348E-2</v>
      </c>
      <c r="GV52" s="571">
        <f>FX52/'4GF Expenditures'!L53</f>
        <v>4.2209153401551243E-2</v>
      </c>
      <c r="GW52" s="571">
        <f>FY52/'4GF Expenditures'!M53</f>
        <v>4.0795046974156826E-2</v>
      </c>
      <c r="GX52" s="571">
        <f>FZ52/'4GF Expenditures'!N53</f>
        <v>1.8689642953993923E-3</v>
      </c>
      <c r="GY52" s="571">
        <f>GA52/'4GF Expenditures'!O53</f>
        <v>2.2255932907577641E-2</v>
      </c>
      <c r="GZ52" s="571">
        <f>GB52/'4GF Expenditures'!P53</f>
        <v>2.7771292040695037E-2</v>
      </c>
      <c r="HA52" s="571">
        <f>GC52/'4GF Expenditures'!Q53</f>
        <v>1.7408149808001989E-2</v>
      </c>
      <c r="HB52" s="571">
        <f>GD52/'4GF Expenditures'!R53</f>
        <v>2.9390862617429477E-3</v>
      </c>
      <c r="HC52" s="571">
        <f>GE52/'4GF Expenditures'!S53</f>
        <v>2.3294998476479912E-2</v>
      </c>
      <c r="HD52" s="571">
        <f>GF52/'4GF Expenditures'!T53</f>
        <v>4.5999956602639528E-3</v>
      </c>
      <c r="HE52" s="571">
        <f>GG52/'4GF Expenditures'!U53</f>
        <v>6.886476523488381E-3</v>
      </c>
      <c r="HF52" s="571">
        <f>GH52/'4GF Expenditures'!V53</f>
        <v>3.6054475857443613E-3</v>
      </c>
      <c r="HG52" s="571">
        <f>GI52/'4GF Expenditures'!W53</f>
        <v>7.6430711874023727E-3</v>
      </c>
      <c r="HH52" s="571"/>
      <c r="HI52" s="571"/>
      <c r="HJ52" s="571"/>
      <c r="HK52" s="568"/>
      <c r="HL52" s="567" t="s">
        <v>36</v>
      </c>
      <c r="HM52" s="571">
        <f>B52/'4GF Expenditures'!B53</f>
        <v>1.1108796638442535</v>
      </c>
      <c r="HN52" s="571">
        <f>C52/'4GF Expenditures'!C53</f>
        <v>0.98834051408753543</v>
      </c>
      <c r="HO52" s="571">
        <f>D52/'4GF Expenditures'!D53</f>
        <v>1.0438517630606332</v>
      </c>
      <c r="HP52" s="571">
        <f>E52/'4GF Expenditures'!E53</f>
        <v>1.0511552746263157</v>
      </c>
      <c r="HQ52" s="571">
        <f>F52/'4GF Expenditures'!F53</f>
        <v>1.0096882216035385</v>
      </c>
      <c r="HR52" s="571">
        <f>G52/'4GF Expenditures'!G53</f>
        <v>1.0673735831642297</v>
      </c>
      <c r="HS52" s="571">
        <f>H52/'4GF Expenditures'!H53</f>
        <v>0.89413473381586761</v>
      </c>
      <c r="HT52" s="571">
        <f>I52/'4GF Expenditures'!I53</f>
        <v>0.96506287789532319</v>
      </c>
      <c r="HU52" s="571">
        <f>J52/'4GF Expenditures'!J53</f>
        <v>0.87994079913795187</v>
      </c>
      <c r="HV52" s="571">
        <f>K52/'4GF Expenditures'!K53</f>
        <v>1.0421121642122344</v>
      </c>
      <c r="HW52" s="571">
        <f>L52/'4GF Expenditures'!L53</f>
        <v>1.0011486422756828</v>
      </c>
      <c r="HX52" s="571">
        <f>M52/'4GF Expenditures'!M53</f>
        <v>0.99910739132026805</v>
      </c>
      <c r="HY52" s="571">
        <f>N52/'4GF Expenditures'!N53</f>
        <v>0.96217961319146839</v>
      </c>
      <c r="HZ52" s="571">
        <f>O52/'4GF Expenditures'!O53</f>
        <v>1.0205153334440635</v>
      </c>
      <c r="IA52" s="571">
        <f>P52/'4GF Expenditures'!P53</f>
        <v>1.0063530896338362</v>
      </c>
      <c r="IB52" s="571">
        <f>Q52/'4GF Expenditures'!Q53</f>
        <v>0.98737348481893905</v>
      </c>
      <c r="IC52" s="571">
        <f>R52/'4GF Expenditures'!R53</f>
        <v>0.98540100628958682</v>
      </c>
      <c r="ID52" s="573">
        <f>S52/'4GF Expenditures'!S53</f>
        <v>1.0205988448326369</v>
      </c>
      <c r="IE52" s="572">
        <f>T52/'4GF Expenditures'!T53</f>
        <v>0.98125682947277937</v>
      </c>
      <c r="IF52" s="572">
        <f>U52/'4GF Expenditures'!U53</f>
        <v>1.0019800555661078</v>
      </c>
      <c r="IG52" s="572">
        <f>V52/'4GF Expenditures'!V53</f>
        <v>0.99686592283796904</v>
      </c>
      <c r="IH52" s="572">
        <f>W52/'4GF Expenditures'!W53</f>
        <v>1.0040811266321994</v>
      </c>
    </row>
    <row r="53" spans="1:242" ht="14">
      <c r="A53" s="43" t="s">
        <v>37</v>
      </c>
      <c r="B53" s="319">
        <v>486849</v>
      </c>
      <c r="C53" s="319">
        <v>481678</v>
      </c>
      <c r="D53" s="319">
        <v>500489</v>
      </c>
      <c r="E53" s="319">
        <v>460318</v>
      </c>
      <c r="F53" s="319">
        <v>518858</v>
      </c>
      <c r="G53" s="319">
        <v>586129</v>
      </c>
      <c r="H53" s="319">
        <v>557394</v>
      </c>
      <c r="I53" s="319">
        <v>591168</v>
      </c>
      <c r="J53" s="319">
        <v>625786.89</v>
      </c>
      <c r="K53" s="319">
        <v>732954.73</v>
      </c>
      <c r="L53" s="319">
        <v>679366.33000000007</v>
      </c>
      <c r="M53" s="319">
        <v>673594.49</v>
      </c>
      <c r="N53" s="319">
        <v>675973.27999999991</v>
      </c>
      <c r="O53" s="319">
        <v>660412.34000000008</v>
      </c>
      <c r="P53" s="319">
        <v>709479.74</v>
      </c>
      <c r="Q53" s="319">
        <v>801142.84000000008</v>
      </c>
      <c r="R53" s="319">
        <v>706617.38</v>
      </c>
      <c r="S53" s="362">
        <v>453376.74</v>
      </c>
      <c r="T53" s="362">
        <v>701890.96000000008</v>
      </c>
      <c r="U53" s="362">
        <v>849683.16999999993</v>
      </c>
      <c r="V53" s="362">
        <v>806921.5199999999</v>
      </c>
      <c r="W53" s="362">
        <v>826489.95000000007</v>
      </c>
      <c r="X53" s="6"/>
      <c r="Y53" s="43" t="s">
        <v>37</v>
      </c>
      <c r="Z53" s="319">
        <v>107106.78</v>
      </c>
      <c r="AA53" s="319">
        <v>120419.5</v>
      </c>
      <c r="AB53" s="319">
        <v>135132.03</v>
      </c>
      <c r="AC53" s="319">
        <v>105873.14</v>
      </c>
      <c r="AD53" s="319">
        <v>145280.24</v>
      </c>
      <c r="AE53" s="319">
        <v>152393.54</v>
      </c>
      <c r="AF53" s="319">
        <v>139348.5</v>
      </c>
      <c r="AG53" s="319">
        <v>153703.67999999999</v>
      </c>
      <c r="AH53" s="319">
        <v>146684.26999999999</v>
      </c>
      <c r="AI53" s="319">
        <v>153788.66999999998</v>
      </c>
      <c r="AJ53" s="319">
        <v>151961.76</v>
      </c>
      <c r="AK53" s="319">
        <v>174598.33</v>
      </c>
      <c r="AL53" s="319">
        <v>183324.34</v>
      </c>
      <c r="AM53" s="319">
        <v>196998.07</v>
      </c>
      <c r="AN53" s="319">
        <v>199587.67</v>
      </c>
      <c r="AO53" s="319">
        <v>199797.23</v>
      </c>
      <c r="AP53" s="319">
        <v>207562.82</v>
      </c>
      <c r="AQ53" s="362">
        <v>65313.97</v>
      </c>
      <c r="AR53" s="753">
        <v>26387.14</v>
      </c>
      <c r="AS53" s="753">
        <v>188852.05</v>
      </c>
      <c r="AT53" s="753">
        <v>187781.34</v>
      </c>
      <c r="AU53" s="753">
        <v>187957.16</v>
      </c>
      <c r="AV53" s="39"/>
      <c r="AW53" s="43" t="s">
        <v>37</v>
      </c>
      <c r="AX53" s="319">
        <v>214213.56</v>
      </c>
      <c r="AY53" s="319">
        <v>226388.66</v>
      </c>
      <c r="AZ53" s="319">
        <v>205200.49</v>
      </c>
      <c r="BA53" s="319">
        <v>207143.1</v>
      </c>
      <c r="BB53" s="319">
        <v>233486.1</v>
      </c>
      <c r="BC53" s="319">
        <v>281341.92</v>
      </c>
      <c r="BD53" s="319">
        <v>256401.24</v>
      </c>
      <c r="BE53" s="319">
        <v>271937.28000000003</v>
      </c>
      <c r="BF53" s="319">
        <v>260493.44</v>
      </c>
      <c r="BG53" s="319">
        <v>274902.2</v>
      </c>
      <c r="BH53" s="319">
        <v>254427.1</v>
      </c>
      <c r="BI53" s="319">
        <v>263755.57</v>
      </c>
      <c r="BJ53" s="319">
        <v>270416.86</v>
      </c>
      <c r="BK53" s="319">
        <v>266353.55</v>
      </c>
      <c r="BL53" s="319">
        <v>278864.7</v>
      </c>
      <c r="BM53" s="319">
        <v>290981.17</v>
      </c>
      <c r="BN53" s="319">
        <v>278351.95</v>
      </c>
      <c r="BO53" s="362">
        <v>150944.64000000001</v>
      </c>
      <c r="BP53" s="753">
        <v>311807.59999999998</v>
      </c>
      <c r="BQ53" s="753">
        <v>374492.91000000003</v>
      </c>
      <c r="BR53" s="753">
        <v>373737.98</v>
      </c>
      <c r="BS53" s="753">
        <v>383868.4</v>
      </c>
      <c r="BT53" s="286"/>
      <c r="BU53" s="43" t="s">
        <v>37</v>
      </c>
      <c r="BV53" s="319">
        <v>14605.47</v>
      </c>
      <c r="BW53" s="319">
        <v>0</v>
      </c>
      <c r="BX53" s="319">
        <v>10009.780000000001</v>
      </c>
      <c r="BY53" s="319">
        <v>9206.36</v>
      </c>
      <c r="BZ53" s="319">
        <v>0</v>
      </c>
      <c r="CA53" s="319">
        <v>0</v>
      </c>
      <c r="CB53" s="319">
        <v>0</v>
      </c>
      <c r="CC53" s="319">
        <v>17735.04</v>
      </c>
      <c r="CD53" s="319">
        <v>66295.179999999993</v>
      </c>
      <c r="CE53" s="319">
        <v>30325.68</v>
      </c>
      <c r="CF53" s="319">
        <v>10777.96</v>
      </c>
      <c r="CG53" s="319">
        <v>9700.4500000000007</v>
      </c>
      <c r="CH53" s="319">
        <v>10745.099999999999</v>
      </c>
      <c r="CI53" s="319">
        <v>9834.4700000000012</v>
      </c>
      <c r="CJ53" s="319">
        <v>68800.98</v>
      </c>
      <c r="CK53" s="319">
        <v>65011.95</v>
      </c>
      <c r="CL53" s="319">
        <v>54853.25</v>
      </c>
      <c r="CM53" s="362">
        <v>57272.729999999996</v>
      </c>
      <c r="CN53" s="753">
        <v>56314.69</v>
      </c>
      <c r="CO53" s="753">
        <v>54836.19</v>
      </c>
      <c r="CP53" s="753">
        <v>59681.25</v>
      </c>
      <c r="CQ53" s="753">
        <v>58506.23</v>
      </c>
      <c r="CR53" s="39"/>
      <c r="CS53" s="43" t="s">
        <v>37</v>
      </c>
      <c r="CT53" s="319">
        <v>77895.839999999997</v>
      </c>
      <c r="CU53" s="319">
        <v>86702.04</v>
      </c>
      <c r="CV53" s="319">
        <v>90088.02</v>
      </c>
      <c r="CW53" s="319">
        <v>82857.240000000005</v>
      </c>
      <c r="CX53" s="319">
        <v>88205.86</v>
      </c>
      <c r="CY53" s="319">
        <v>99641.93</v>
      </c>
      <c r="CZ53" s="319">
        <v>94756.98</v>
      </c>
      <c r="DA53" s="319">
        <v>88675.199999999997</v>
      </c>
      <c r="DB53" s="319">
        <v>88190.92</v>
      </c>
      <c r="DC53" s="319">
        <v>85846.440000000017</v>
      </c>
      <c r="DD53" s="319">
        <v>89470.209999999992</v>
      </c>
      <c r="DE53" s="319">
        <v>143975.43</v>
      </c>
      <c r="DF53" s="319">
        <v>143377.16999999998</v>
      </c>
      <c r="DG53" s="319">
        <v>140528.32000000001</v>
      </c>
      <c r="DH53" s="319">
        <v>88129.31</v>
      </c>
      <c r="DI53" s="319">
        <v>91845.71</v>
      </c>
      <c r="DJ53" s="319">
        <v>95632.53</v>
      </c>
      <c r="DK53" s="362">
        <v>108296.09</v>
      </c>
      <c r="DL53" s="753">
        <v>134275.20000000001</v>
      </c>
      <c r="DM53" s="753">
        <v>128055.60999999999</v>
      </c>
      <c r="DN53" s="753">
        <v>136154.57</v>
      </c>
      <c r="DO53" s="753">
        <v>129236.7</v>
      </c>
      <c r="DP53" s="39"/>
      <c r="DQ53" s="43" t="s">
        <v>37</v>
      </c>
      <c r="DR53" s="319">
        <v>4868.49</v>
      </c>
      <c r="DS53" s="319">
        <v>4816.78</v>
      </c>
      <c r="DT53" s="319">
        <v>5004.8900000000003</v>
      </c>
      <c r="DU53" s="319">
        <v>4603.18</v>
      </c>
      <c r="DV53" s="319">
        <v>5188.58</v>
      </c>
      <c r="DW53" s="319">
        <v>5861.29</v>
      </c>
      <c r="DX53" s="319">
        <v>5573.94</v>
      </c>
      <c r="DY53" s="319">
        <v>5911.68</v>
      </c>
      <c r="DZ53" s="319">
        <v>1892.88</v>
      </c>
      <c r="EA53" s="319">
        <v>6225.89</v>
      </c>
      <c r="EB53" s="319">
        <v>15041.86</v>
      </c>
      <c r="EC53" s="319">
        <v>12164.12</v>
      </c>
      <c r="ED53" s="319">
        <v>7455.89</v>
      </c>
      <c r="EE53" s="319">
        <v>2902.91</v>
      </c>
      <c r="EF53" s="319">
        <v>2441.31</v>
      </c>
      <c r="EG53" s="319">
        <v>2119.64</v>
      </c>
      <c r="EH53" s="319">
        <v>4284.83</v>
      </c>
      <c r="EI53" s="362">
        <v>2004.13</v>
      </c>
      <c r="EJ53" s="753">
        <v>2552.09</v>
      </c>
      <c r="EK53" s="753">
        <v>3783.1</v>
      </c>
      <c r="EL53" s="753">
        <v>4588.99</v>
      </c>
      <c r="EM53" s="753">
        <v>4186.05</v>
      </c>
      <c r="EN53" s="39"/>
      <c r="EO53" s="43" t="s">
        <v>37</v>
      </c>
      <c r="EP53" s="319">
        <v>68158.86</v>
      </c>
      <c r="EQ53" s="319">
        <v>43351.02</v>
      </c>
      <c r="ER53" s="319">
        <v>55053.79</v>
      </c>
      <c r="ES53" s="319">
        <v>50634.98</v>
      </c>
      <c r="ET53" s="319">
        <v>46697.22</v>
      </c>
      <c r="EU53" s="319">
        <v>46890.32</v>
      </c>
      <c r="EV53" s="319">
        <v>61313.34</v>
      </c>
      <c r="EW53" s="319">
        <v>53205.120000000003</v>
      </c>
      <c r="EX53" s="319">
        <v>15299.09</v>
      </c>
      <c r="EY53" s="319">
        <v>97255.680000000008</v>
      </c>
      <c r="EZ53" s="319">
        <v>58993.19</v>
      </c>
      <c r="FA53" s="319">
        <v>24785.02</v>
      </c>
      <c r="FB53" s="319">
        <v>17059.11</v>
      </c>
      <c r="FC53" s="319">
        <v>17490.09</v>
      </c>
      <c r="FD53" s="319">
        <v>21567.559999999998</v>
      </c>
      <c r="FE53" s="319">
        <v>62796.57</v>
      </c>
      <c r="FF53" s="319">
        <v>21597.7</v>
      </c>
      <c r="FG53" s="362">
        <v>8512.35</v>
      </c>
      <c r="FH53" s="362">
        <v>20803.219999999998</v>
      </c>
      <c r="FI53" s="362">
        <v>47663.31</v>
      </c>
      <c r="FJ53" s="362">
        <v>14977.39</v>
      </c>
      <c r="FK53" s="362">
        <v>12255.54</v>
      </c>
      <c r="FM53" s="43" t="s">
        <v>37</v>
      </c>
      <c r="FN53" s="319">
        <v>43153</v>
      </c>
      <c r="FO53" s="319">
        <v>2068</v>
      </c>
      <c r="FP53" s="319">
        <v>1455</v>
      </c>
      <c r="FQ53" s="319">
        <v>14185</v>
      </c>
      <c r="FR53" s="319">
        <v>59001</v>
      </c>
      <c r="FS53" s="319">
        <v>166613</v>
      </c>
      <c r="FT53" s="319">
        <v>189796</v>
      </c>
      <c r="FU53" s="319">
        <v>197694</v>
      </c>
      <c r="FV53" s="319">
        <v>105320.87</v>
      </c>
      <c r="FW53" s="319">
        <v>202342.19</v>
      </c>
      <c r="FX53" s="319">
        <v>183286.79</v>
      </c>
      <c r="FY53" s="319">
        <v>138583.29999999999</v>
      </c>
      <c r="FZ53" s="319">
        <v>76708.08</v>
      </c>
      <c r="GA53" s="319">
        <v>49705.41</v>
      </c>
      <c r="GB53" s="319">
        <v>7728.27</v>
      </c>
      <c r="GC53" s="319">
        <v>141720.56</v>
      </c>
      <c r="GD53" s="319">
        <v>140562.85</v>
      </c>
      <c r="GE53" s="319">
        <v>8708.98</v>
      </c>
      <c r="GF53" s="756">
        <v>108253.47</v>
      </c>
      <c r="GG53" s="756">
        <v>211896.44</v>
      </c>
      <c r="GH53" s="756">
        <v>206173.19999999995</v>
      </c>
      <c r="GI53" s="756">
        <v>102007.47999999998</v>
      </c>
      <c r="GJ53" s="42"/>
      <c r="GK53" s="570" t="s">
        <v>37</v>
      </c>
      <c r="GL53" s="571">
        <f>FN53/'4GF Expenditures'!B54</f>
        <v>9.602315966551106E-2</v>
      </c>
      <c r="GM53" s="571">
        <f>FO53/'4GF Expenditures'!C54</f>
        <v>3.9559035356366082E-3</v>
      </c>
      <c r="GN53" s="571">
        <f>FP53/'4GF Expenditures'!D54</f>
        <v>2.9036004645760743E-3</v>
      </c>
      <c r="GO53" s="571">
        <f>FQ53/'4GF Expenditures'!E54</f>
        <v>3.16920918344549E-2</v>
      </c>
      <c r="GP53" s="571">
        <f>FR53/'4GF Expenditures'!F54</f>
        <v>0.12446365511916666</v>
      </c>
      <c r="GQ53" s="571">
        <f>FS53/'4GF Expenditures'!G54</f>
        <v>0.34818762212260851</v>
      </c>
      <c r="GR53" s="571">
        <f>FT53/'4GF Expenditures'!H54</f>
        <v>0.35528283768024244</v>
      </c>
      <c r="GS53" s="571">
        <f>FU53/'4GF Expenditures'!I54</f>
        <v>0.33894138039223753</v>
      </c>
      <c r="GT53" s="571">
        <f>FV53/'4GF Expenditures'!J54</f>
        <v>0.15330025935214464</v>
      </c>
      <c r="GU53" s="571">
        <f>FW53/'4GF Expenditures'!K54</f>
        <v>0.31691756041338109</v>
      </c>
      <c r="GV53" s="571">
        <f>FX53/'4GF Expenditures'!L54</f>
        <v>0.25553848481302571</v>
      </c>
      <c r="GW53" s="571">
        <f>FY53/'4GF Expenditures'!M54</f>
        <v>0.19293288281278473</v>
      </c>
      <c r="GX53" s="571">
        <f>FZ53/'4GF Expenditures'!N54</f>
        <v>0.10381046870943426</v>
      </c>
      <c r="GY53" s="571">
        <f>GA53/'4GF Expenditures'!O54</f>
        <v>7.1944772229549883E-2</v>
      </c>
      <c r="GZ53" s="571">
        <f>GB53/'4GF Expenditures'!P54</f>
        <v>1.0284382518395465E-2</v>
      </c>
      <c r="HA53" s="571">
        <f>GC53/'4GF Expenditures'!Q54</f>
        <v>0.210965280539545</v>
      </c>
      <c r="HB53" s="571">
        <f>GD53/'4GF Expenditures'!R54</f>
        <v>0.19859818745528329</v>
      </c>
      <c r="HC53" s="571">
        <f>GE53/'4GF Expenditures'!S54</f>
        <v>1.2227909778851376E-2</v>
      </c>
      <c r="HD53" s="571">
        <f>GF53/'4GF Expenditures'!T54</f>
        <v>0.13968776366026728</v>
      </c>
      <c r="HE53" s="571">
        <f>GG53/'4GF Expenditures'!U54</f>
        <v>0.30155314003494998</v>
      </c>
      <c r="HF53" s="571">
        <f>GH53/'4GF Expenditures'!V54</f>
        <v>0.2537064288705928</v>
      </c>
      <c r="HG53" s="571">
        <f>GI53/'4GF Expenditures'!W54</f>
        <v>0.1096081862371289</v>
      </c>
      <c r="HH53" s="571"/>
      <c r="HI53" s="571"/>
      <c r="HJ53" s="571"/>
      <c r="HK53" s="568"/>
      <c r="HL53" s="567" t="s">
        <v>37</v>
      </c>
      <c r="HM53" s="571">
        <f>B53/'4GF Expenditures'!B54</f>
        <v>1.0833262869324125</v>
      </c>
      <c r="HN53" s="571">
        <f>C53/'4GF Expenditures'!C54</f>
        <v>0.92140798028934723</v>
      </c>
      <c r="HO53" s="571">
        <f>D53/'4GF Expenditures'!D54</f>
        <v>0.99877669616165965</v>
      </c>
      <c r="HP53" s="571">
        <f>E53/'4GF Expenditures'!E54</f>
        <v>1.0284413344414953</v>
      </c>
      <c r="HQ53" s="571">
        <f>F53/'4GF Expenditures'!F54</f>
        <v>1.0945401462317685</v>
      </c>
      <c r="HR53" s="571">
        <f>G53/'4GF Expenditures'!G54</f>
        <v>1.2248915916951402</v>
      </c>
      <c r="HS53" s="571">
        <f>H53/'4GF Expenditures'!H54</f>
        <v>1.0433967102886312</v>
      </c>
      <c r="HT53" s="571">
        <f>I53/'4GF Expenditures'!I54</f>
        <v>1.0135426364164735</v>
      </c>
      <c r="HU53" s="571">
        <f>J53/'4GF Expenditures'!J54</f>
        <v>0.91086688266221139</v>
      </c>
      <c r="HV53" s="571">
        <f>K53/'4GF Expenditures'!K54</f>
        <v>1.1479871050375032</v>
      </c>
      <c r="HW53" s="571">
        <f>L53/'4GF Expenditures'!L54</f>
        <v>0.94717269368504964</v>
      </c>
      <c r="HX53" s="571">
        <f>M53/'4GF Expenditures'!M54</f>
        <v>0.93776470038242343</v>
      </c>
      <c r="HY53" s="571">
        <f>N53/'4GF Expenditures'!N54</f>
        <v>0.91480718891482671</v>
      </c>
      <c r="HZ53" s="571">
        <f>O53/'4GF Expenditures'!O54</f>
        <v>0.95589625714553128</v>
      </c>
      <c r="IA53" s="571">
        <f>P53/'4GF Expenditures'!P54</f>
        <v>0.9441389903835864</v>
      </c>
      <c r="IB53" s="571">
        <f>Q53/'4GF Expenditures'!Q54</f>
        <v>1.1925815421054491</v>
      </c>
      <c r="IC53" s="571">
        <f>R53/'4GF Expenditures'!R54</f>
        <v>0.99836429677116789</v>
      </c>
      <c r="ID53" s="573">
        <f>S53/'4GF Expenditures'!S54</f>
        <v>0.63656706899657112</v>
      </c>
      <c r="IE53" s="572">
        <f>T53/'4GF Expenditures'!T54</f>
        <v>0.90570379439807458</v>
      </c>
      <c r="IF53" s="572">
        <f>U53/'4GF Expenditures'!U54</f>
        <v>1.2091974171361737</v>
      </c>
      <c r="IG53" s="572">
        <f>V53/'4GF Expenditures'!V54</f>
        <v>0.9929572670843283</v>
      </c>
      <c r="IH53" s="572">
        <f>W53/'4GF Expenditures'!W54</f>
        <v>0.88807276057319895</v>
      </c>
    </row>
    <row r="54" spans="1:242" ht="14">
      <c r="A54" s="43" t="s">
        <v>38</v>
      </c>
      <c r="B54" s="319">
        <v>2442269</v>
      </c>
      <c r="C54" s="319">
        <v>2203579</v>
      </c>
      <c r="D54" s="319">
        <v>2787769</v>
      </c>
      <c r="E54" s="319">
        <v>3064205</v>
      </c>
      <c r="F54" s="319">
        <v>3466627</v>
      </c>
      <c r="G54" s="319">
        <v>3227054</v>
      </c>
      <c r="H54" s="319">
        <v>3416944</v>
      </c>
      <c r="I54" s="319">
        <v>3527524</v>
      </c>
      <c r="J54" s="319">
        <v>3877453.8499999996</v>
      </c>
      <c r="K54" s="319">
        <v>4766745.6899999995</v>
      </c>
      <c r="L54" s="319">
        <v>4628776.99</v>
      </c>
      <c r="M54" s="319">
        <v>4868702.12</v>
      </c>
      <c r="N54" s="319">
        <v>4699369.2699999996</v>
      </c>
      <c r="O54" s="319">
        <v>4486564.6500000004</v>
      </c>
      <c r="P54" s="319">
        <v>4843236.24</v>
      </c>
      <c r="Q54" s="319">
        <v>4999803.63</v>
      </c>
      <c r="R54" s="319">
        <v>4795531.9499999993</v>
      </c>
      <c r="S54" s="362">
        <v>4732352.43</v>
      </c>
      <c r="T54" s="362">
        <v>4989513.5699999994</v>
      </c>
      <c r="U54" s="362"/>
      <c r="V54" s="362"/>
      <c r="W54" s="362"/>
      <c r="X54" s="6"/>
      <c r="Y54" s="43" t="s">
        <v>38</v>
      </c>
      <c r="Z54" s="319">
        <v>48845.38</v>
      </c>
      <c r="AA54" s="319">
        <v>88143.16</v>
      </c>
      <c r="AB54" s="319">
        <v>223021.52</v>
      </c>
      <c r="AC54" s="319">
        <v>245136.4</v>
      </c>
      <c r="AD54" s="319">
        <v>277330.15999999997</v>
      </c>
      <c r="AE54" s="319">
        <v>193623.24</v>
      </c>
      <c r="AF54" s="319">
        <v>307524.96000000002</v>
      </c>
      <c r="AG54" s="319">
        <v>317477.15999999997</v>
      </c>
      <c r="AH54" s="319">
        <v>320661.12</v>
      </c>
      <c r="AI54" s="319">
        <v>275119.67</v>
      </c>
      <c r="AJ54" s="319">
        <v>299258.77</v>
      </c>
      <c r="AK54" s="319">
        <v>228185.32</v>
      </c>
      <c r="AL54" s="319">
        <v>362355.92</v>
      </c>
      <c r="AM54" s="319">
        <v>465020.48000000004</v>
      </c>
      <c r="AN54" s="319">
        <v>549367.63</v>
      </c>
      <c r="AO54" s="319">
        <v>660121.87</v>
      </c>
      <c r="AP54" s="319">
        <v>579458.77</v>
      </c>
      <c r="AQ54" s="362">
        <v>526554.76</v>
      </c>
      <c r="AR54" s="753">
        <v>722701.22000000009</v>
      </c>
      <c r="AS54" s="753"/>
      <c r="AT54" s="753"/>
      <c r="AU54" s="753"/>
      <c r="AV54" s="39"/>
      <c r="AW54" s="43" t="s">
        <v>38</v>
      </c>
      <c r="AX54" s="319">
        <v>1318825.26</v>
      </c>
      <c r="AY54" s="319">
        <v>1366218.98</v>
      </c>
      <c r="AZ54" s="319">
        <v>1449639.88</v>
      </c>
      <c r="BA54" s="319">
        <v>1532102.5</v>
      </c>
      <c r="BB54" s="319">
        <v>1663980.96</v>
      </c>
      <c r="BC54" s="319">
        <v>1645797.54</v>
      </c>
      <c r="BD54" s="319">
        <v>1640133.12</v>
      </c>
      <c r="BE54" s="319">
        <v>1693211.52</v>
      </c>
      <c r="BF54" s="319">
        <v>1821818.13</v>
      </c>
      <c r="BG54" s="319">
        <v>1921102.58</v>
      </c>
      <c r="BH54" s="319">
        <v>2043027.53</v>
      </c>
      <c r="BI54" s="319">
        <v>2025001.38</v>
      </c>
      <c r="BJ54" s="319">
        <v>1867502.58</v>
      </c>
      <c r="BK54" s="319">
        <v>1777813.43</v>
      </c>
      <c r="BL54" s="319">
        <v>1839006.47</v>
      </c>
      <c r="BM54" s="319">
        <v>1928292.91</v>
      </c>
      <c r="BN54" s="319">
        <v>1913409.84</v>
      </c>
      <c r="BO54" s="362">
        <v>1902216.54</v>
      </c>
      <c r="BP54" s="753">
        <v>1993123.9</v>
      </c>
      <c r="BQ54" s="753"/>
      <c r="BR54" s="753"/>
      <c r="BS54" s="753"/>
      <c r="BT54" s="286"/>
      <c r="BU54" s="43" t="s">
        <v>38</v>
      </c>
      <c r="BV54" s="319">
        <v>170958.83</v>
      </c>
      <c r="BW54" s="319">
        <v>154250.53</v>
      </c>
      <c r="BX54" s="319">
        <v>223021.52</v>
      </c>
      <c r="BY54" s="319">
        <v>306420.5</v>
      </c>
      <c r="BZ54" s="319">
        <v>311996.43</v>
      </c>
      <c r="CA54" s="319">
        <v>484058.1</v>
      </c>
      <c r="CB54" s="319">
        <v>512541.6</v>
      </c>
      <c r="CC54" s="319">
        <v>282201.92</v>
      </c>
      <c r="CD54" s="319">
        <v>282670.71999999997</v>
      </c>
      <c r="CE54" s="319">
        <v>412500.5</v>
      </c>
      <c r="CF54" s="319">
        <v>269937.67000000004</v>
      </c>
      <c r="CG54" s="319">
        <v>303156.54000000004</v>
      </c>
      <c r="CH54" s="319">
        <v>249913.05000000002</v>
      </c>
      <c r="CI54" s="319">
        <v>236870.53000000003</v>
      </c>
      <c r="CJ54" s="319">
        <v>268514.83</v>
      </c>
      <c r="CK54" s="319">
        <v>304778.86</v>
      </c>
      <c r="CL54" s="319">
        <v>269710.31</v>
      </c>
      <c r="CM54" s="362">
        <v>391154.75999999995</v>
      </c>
      <c r="CN54" s="753">
        <v>222148.15999999997</v>
      </c>
      <c r="CO54" s="753"/>
      <c r="CP54" s="753"/>
      <c r="CQ54" s="753"/>
      <c r="CR54" s="39"/>
      <c r="CS54" s="43" t="s">
        <v>38</v>
      </c>
      <c r="CT54" s="319">
        <v>390763.04</v>
      </c>
      <c r="CU54" s="319">
        <v>396644.22</v>
      </c>
      <c r="CV54" s="319">
        <v>696942.25</v>
      </c>
      <c r="CW54" s="319">
        <v>735409.2</v>
      </c>
      <c r="CX54" s="319">
        <v>762657.94</v>
      </c>
      <c r="CY54" s="319">
        <v>774492.96</v>
      </c>
      <c r="CZ54" s="319">
        <v>820066.56</v>
      </c>
      <c r="DA54" s="319">
        <v>634954.31999999995</v>
      </c>
      <c r="DB54" s="319">
        <v>711130.01</v>
      </c>
      <c r="DC54" s="319">
        <v>671949.82</v>
      </c>
      <c r="DD54" s="319">
        <v>711843.73</v>
      </c>
      <c r="DE54" s="319">
        <v>732310.45</v>
      </c>
      <c r="DF54" s="319">
        <v>744285.6</v>
      </c>
      <c r="DG54" s="319">
        <v>836867.54999999993</v>
      </c>
      <c r="DH54" s="319">
        <v>753572.13000000012</v>
      </c>
      <c r="DI54" s="319">
        <v>719905.56</v>
      </c>
      <c r="DJ54" s="319">
        <v>768443.29999999981</v>
      </c>
      <c r="DK54" s="362">
        <v>708556.54000000015</v>
      </c>
      <c r="DL54" s="753">
        <v>796217.24000000011</v>
      </c>
      <c r="DM54" s="753"/>
      <c r="DN54" s="753"/>
      <c r="DO54" s="753"/>
      <c r="DP54" s="39"/>
      <c r="DQ54" s="43" t="s">
        <v>38</v>
      </c>
      <c r="DR54" s="319">
        <v>48845.38</v>
      </c>
      <c r="DS54" s="319">
        <v>44071.58</v>
      </c>
      <c r="DT54" s="319">
        <v>55755.38</v>
      </c>
      <c r="DU54" s="319">
        <v>30642.05</v>
      </c>
      <c r="DV54" s="319">
        <v>69332.539999999994</v>
      </c>
      <c r="DW54" s="319">
        <v>32270.54</v>
      </c>
      <c r="DX54" s="319">
        <v>0</v>
      </c>
      <c r="DY54" s="319">
        <v>35275.24</v>
      </c>
      <c r="DZ54" s="319">
        <v>16352.23</v>
      </c>
      <c r="EA54" s="319">
        <v>33728.19</v>
      </c>
      <c r="EB54" s="319">
        <v>105074.81</v>
      </c>
      <c r="EC54" s="319">
        <v>121772.08</v>
      </c>
      <c r="ED54" s="319">
        <v>69875.539999999994</v>
      </c>
      <c r="EE54" s="319">
        <v>4778.7</v>
      </c>
      <c r="EF54" s="319">
        <v>30360.02</v>
      </c>
      <c r="EG54" s="319">
        <v>22059.3</v>
      </c>
      <c r="EH54" s="319">
        <v>24592.97</v>
      </c>
      <c r="EI54" s="362">
        <v>14357.83</v>
      </c>
      <c r="EJ54" s="753">
        <v>45.4</v>
      </c>
      <c r="EK54" s="753"/>
      <c r="EL54" s="753"/>
      <c r="EM54" s="753"/>
      <c r="EN54" s="39"/>
      <c r="EO54" s="43" t="s">
        <v>38</v>
      </c>
      <c r="EP54" s="319">
        <v>464031.11</v>
      </c>
      <c r="EQ54" s="319">
        <v>154250.53</v>
      </c>
      <c r="ER54" s="319">
        <v>139388.45000000001</v>
      </c>
      <c r="ES54" s="319">
        <v>214494.35</v>
      </c>
      <c r="ET54" s="319">
        <v>381328.97</v>
      </c>
      <c r="EU54" s="319">
        <v>96811.62</v>
      </c>
      <c r="EV54" s="319">
        <v>136677.76000000001</v>
      </c>
      <c r="EW54" s="319">
        <v>564403.84</v>
      </c>
      <c r="EX54" s="319">
        <v>677280.64</v>
      </c>
      <c r="EY54" s="319">
        <v>871001.65999999992</v>
      </c>
      <c r="EZ54" s="319">
        <v>627678.11</v>
      </c>
      <c r="FA54" s="319">
        <v>819602.86</v>
      </c>
      <c r="FB54" s="319">
        <v>774762.70000000007</v>
      </c>
      <c r="FC54" s="319">
        <v>531327.94000000006</v>
      </c>
      <c r="FD54" s="319">
        <v>772470.33</v>
      </c>
      <c r="FE54" s="319">
        <v>726018.85</v>
      </c>
      <c r="FF54" s="319">
        <v>622066.76</v>
      </c>
      <c r="FG54" s="362">
        <v>580620</v>
      </c>
      <c r="FH54" s="362">
        <v>695277.65</v>
      </c>
      <c r="FI54" s="362"/>
      <c r="FJ54" s="362"/>
      <c r="FK54" s="362"/>
      <c r="FM54" s="43" t="s">
        <v>38</v>
      </c>
      <c r="FN54" s="319">
        <v>420254</v>
      </c>
      <c r="FO54" s="319">
        <v>292431</v>
      </c>
      <c r="FP54" s="319">
        <v>497663</v>
      </c>
      <c r="FQ54" s="319">
        <v>818055</v>
      </c>
      <c r="FR54" s="319">
        <v>966231</v>
      </c>
      <c r="FS54" s="319">
        <v>836298</v>
      </c>
      <c r="FT54" s="319">
        <v>847433</v>
      </c>
      <c r="FU54" s="319">
        <v>772465</v>
      </c>
      <c r="FV54" s="319">
        <v>964513.29</v>
      </c>
      <c r="FW54" s="319">
        <v>1515769.51</v>
      </c>
      <c r="FX54" s="319">
        <v>1770881.06</v>
      </c>
      <c r="FY54" s="319">
        <v>2258449.06</v>
      </c>
      <c r="FZ54" s="319">
        <v>1929157.3</v>
      </c>
      <c r="GA54" s="319">
        <v>1690293.22</v>
      </c>
      <c r="GB54" s="319">
        <v>1855890.94</v>
      </c>
      <c r="GC54" s="319">
        <v>2194075.1</v>
      </c>
      <c r="GD54" s="319">
        <v>2282151.41</v>
      </c>
      <c r="GE54" s="319">
        <v>2185105.7999999998</v>
      </c>
      <c r="GF54" s="756">
        <v>2224242.14</v>
      </c>
      <c r="GG54" s="756"/>
      <c r="GH54" s="756"/>
      <c r="GI54" s="756"/>
      <c r="GJ54" s="42"/>
      <c r="GK54" s="570" t="s">
        <v>38</v>
      </c>
      <c r="GL54" s="571">
        <f>FN54/'4GF Expenditures'!B55</f>
        <v>0.16117315296941209</v>
      </c>
      <c r="GM54" s="571">
        <f>FO54/'4GF Expenditures'!C55</f>
        <v>0.125431392784256</v>
      </c>
      <c r="GN54" s="571">
        <f>FP54/'4GF Expenditures'!D55</f>
        <v>0.19270314423375154</v>
      </c>
      <c r="GO54" s="571">
        <f>FQ54/'4GF Expenditures'!E55</f>
        <v>0.29814531821228341</v>
      </c>
      <c r="GP54" s="571">
        <f>FR54/'4GF Expenditures'!F55</f>
        <v>0.29116928350004262</v>
      </c>
      <c r="GQ54" s="571">
        <f>FS54/'4GF Expenditures'!G55</f>
        <v>0.24912160815636164</v>
      </c>
      <c r="GR54" s="571">
        <f>FT54/'4GF Expenditures'!H55</f>
        <v>0.2488198839101077</v>
      </c>
      <c r="GS54" s="571">
        <f>FU54/'4GF Expenditures'!I55</f>
        <v>0.21442518123565577</v>
      </c>
      <c r="GT54" s="571">
        <f>FV54/'4GF Expenditures'!J55</f>
        <v>0.26171155342362096</v>
      </c>
      <c r="GU54" s="571">
        <f>FW54/'4GF Expenditures'!K55</f>
        <v>0.35953610436910693</v>
      </c>
      <c r="GV54" s="571">
        <f>FX54/'4GF Expenditures'!L55</f>
        <v>0.40489632421450139</v>
      </c>
      <c r="GW54" s="571">
        <f>FY54/'4GF Expenditures'!M55</f>
        <v>0.51161266775013203</v>
      </c>
      <c r="GX54" s="571">
        <f>FZ54/'4GF Expenditures'!N55</f>
        <v>0.37966520352990968</v>
      </c>
      <c r="GY54" s="571">
        <f>GA54/'4GF Expenditures'!O55</f>
        <v>0.35226240892556293</v>
      </c>
      <c r="GZ54" s="571">
        <f>GB54/'4GF Expenditures'!P55</f>
        <v>0.39128663017552623</v>
      </c>
      <c r="HA54" s="571">
        <f>GC54/'4GF Expenditures'!Q55</f>
        <v>0.47066799727434633</v>
      </c>
      <c r="HB54" s="571">
        <f>GD54/'4GF Expenditures'!R55</f>
        <v>0.48480610130511592</v>
      </c>
      <c r="HC54" s="571">
        <f>GE54/'4GF Expenditures'!S55</f>
        <v>0.4524291317539248</v>
      </c>
      <c r="HD54" s="571">
        <f>GF54/'4GF Expenditures'!T55</f>
        <v>0.44942973767049643</v>
      </c>
      <c r="HE54" s="571" t="e">
        <f>GG54/'4GF Expenditures'!U55</f>
        <v>#DIV/0!</v>
      </c>
      <c r="HF54" s="571" t="e">
        <f>GH54/'4GF Expenditures'!V55</f>
        <v>#DIV/0!</v>
      </c>
      <c r="HG54" s="571" t="e">
        <f>GI54/'4GF Expenditures'!W55</f>
        <v>#DIV/0!</v>
      </c>
      <c r="HH54" s="571"/>
      <c r="HI54" s="571"/>
      <c r="HJ54" s="571"/>
      <c r="HK54" s="568"/>
      <c r="HL54" s="567" t="s">
        <v>38</v>
      </c>
      <c r="HM54" s="571">
        <f>B54/'4GF Expenditures'!B55</f>
        <v>0.93664354207087408</v>
      </c>
      <c r="HN54" s="571">
        <f>C54/'4GF Expenditures'!C55</f>
        <v>0.94517333347058985</v>
      </c>
      <c r="HO54" s="571">
        <f>D54/'4GF Expenditures'!D55</f>
        <v>1.0794691421652429</v>
      </c>
      <c r="HP54" s="571">
        <f>E54/'4GF Expenditures'!E55</f>
        <v>1.1167688905913049</v>
      </c>
      <c r="HQ54" s="571">
        <f>F54/'4GF Expenditures'!F55</f>
        <v>1.0446521584920194</v>
      </c>
      <c r="HR54" s="571">
        <f>G54/'4GF Expenditures'!G55</f>
        <v>0.96129475627996175</v>
      </c>
      <c r="HS54" s="571">
        <f>H54/'4GF Expenditures'!H55</f>
        <v>1.0032694141098342</v>
      </c>
      <c r="HT54" s="571">
        <f>I54/'4GF Expenditures'!I55</f>
        <v>0.97918996072718556</v>
      </c>
      <c r="HU54" s="571">
        <f>J54/'4GF Expenditures'!J55</f>
        <v>1.0521104073246099</v>
      </c>
      <c r="HV54" s="571">
        <f>K54/'4GF Expenditures'!K55</f>
        <v>1.1306581670855951</v>
      </c>
      <c r="HW54" s="571">
        <f>L54/'4GF Expenditures'!L55</f>
        <v>1.0583290042413487</v>
      </c>
      <c r="HX54" s="571">
        <f>M54/'4GF Expenditures'!M55</f>
        <v>1.1029204617499424</v>
      </c>
      <c r="HY54" s="571">
        <f>N54/'4GF Expenditures'!N55</f>
        <v>0.92485303834827404</v>
      </c>
      <c r="HZ54" s="571">
        <f>O54/'4GF Expenditures'!O55</f>
        <v>0.93501414589432907</v>
      </c>
      <c r="IA54" s="571">
        <f>P54/'4GF Expenditures'!P55</f>
        <v>1.0211233573313236</v>
      </c>
      <c r="IB54" s="571">
        <f>Q54/'4GF Expenditures'!Q55</f>
        <v>1.0725464963788645</v>
      </c>
      <c r="IC54" s="571">
        <f>R54/'4GF Expenditures'!R55</f>
        <v>1.0187330858839114</v>
      </c>
      <c r="ID54" s="573">
        <f>S54/'4GF Expenditures'!S55</f>
        <v>0.97984001555369826</v>
      </c>
      <c r="IE54" s="572">
        <f>T54/'4GF Expenditures'!T55</f>
        <v>1.0081797006455788</v>
      </c>
      <c r="IF54" s="572" t="e">
        <f>U54/'4GF Expenditures'!U55</f>
        <v>#DIV/0!</v>
      </c>
      <c r="IG54" s="572" t="e">
        <f>V54/'4GF Expenditures'!V55</f>
        <v>#DIV/0!</v>
      </c>
      <c r="IH54" s="572" t="e">
        <f>W54/'4GF Expenditures'!W55</f>
        <v>#DIV/0!</v>
      </c>
    </row>
    <row r="55" spans="1:242" ht="14">
      <c r="A55" s="43" t="s">
        <v>39</v>
      </c>
      <c r="B55" s="319">
        <v>2173304</v>
      </c>
      <c r="C55" s="319">
        <v>2457002</v>
      </c>
      <c r="D55" s="319">
        <v>2478119</v>
      </c>
      <c r="E55" s="319">
        <v>2631194</v>
      </c>
      <c r="F55" s="319">
        <v>2793030</v>
      </c>
      <c r="G55" s="319">
        <v>2923573</v>
      </c>
      <c r="H55" s="319">
        <v>3052345</v>
      </c>
      <c r="I55" s="319">
        <v>3238181</v>
      </c>
      <c r="J55" s="319">
        <v>3315857.4299999997</v>
      </c>
      <c r="K55" s="319">
        <v>3558757.45</v>
      </c>
      <c r="L55" s="319">
        <v>4470086.33</v>
      </c>
      <c r="M55" s="319">
        <v>4035925.8800000004</v>
      </c>
      <c r="N55" s="319">
        <v>4480801.3500000006</v>
      </c>
      <c r="O55" s="319">
        <v>4278060.53</v>
      </c>
      <c r="P55" s="319">
        <v>4225790.8899999997</v>
      </c>
      <c r="Q55" s="319">
        <v>4162116.2300000004</v>
      </c>
      <c r="R55" s="319">
        <v>4197208.6400000006</v>
      </c>
      <c r="S55" s="362">
        <v>4303134.22</v>
      </c>
      <c r="T55" s="362">
        <v>4260076.4400000004</v>
      </c>
      <c r="U55" s="362">
        <v>4548619.0200000005</v>
      </c>
      <c r="V55" s="362">
        <v>4272189.93</v>
      </c>
      <c r="W55" s="362">
        <v>4584394</v>
      </c>
      <c r="X55" s="6"/>
      <c r="Y55" s="43" t="s">
        <v>39</v>
      </c>
      <c r="Z55" s="319">
        <v>173864.32000000001</v>
      </c>
      <c r="AA55" s="319">
        <v>221130.18</v>
      </c>
      <c r="AB55" s="319">
        <v>247811.9</v>
      </c>
      <c r="AC55" s="319">
        <v>263119.40000000002</v>
      </c>
      <c r="AD55" s="319">
        <v>251372.7</v>
      </c>
      <c r="AE55" s="319">
        <v>263121.57</v>
      </c>
      <c r="AF55" s="319">
        <v>274711.05</v>
      </c>
      <c r="AG55" s="319">
        <v>291436.28999999998</v>
      </c>
      <c r="AH55" s="319">
        <v>300758.63</v>
      </c>
      <c r="AI55" s="319">
        <v>298482.03000000003</v>
      </c>
      <c r="AJ55" s="319">
        <v>352408.16</v>
      </c>
      <c r="AK55" s="319">
        <v>408052.94</v>
      </c>
      <c r="AL55" s="319">
        <v>511666.79</v>
      </c>
      <c r="AM55" s="319">
        <v>505469.83</v>
      </c>
      <c r="AN55" s="319">
        <v>526081.80000000005</v>
      </c>
      <c r="AO55" s="319">
        <v>597107.16999999993</v>
      </c>
      <c r="AP55" s="319">
        <v>625705.28000000014</v>
      </c>
      <c r="AQ55" s="362">
        <v>577739.53</v>
      </c>
      <c r="AR55" s="753">
        <v>648635.99</v>
      </c>
      <c r="AS55" s="753">
        <v>598998.74</v>
      </c>
      <c r="AT55" s="753">
        <v>561492.18000000005</v>
      </c>
      <c r="AU55" s="753">
        <v>569700</v>
      </c>
      <c r="AV55" s="39"/>
      <c r="AW55" s="43" t="s">
        <v>39</v>
      </c>
      <c r="AX55" s="319">
        <v>891054.64</v>
      </c>
      <c r="AY55" s="319">
        <v>933660.76</v>
      </c>
      <c r="AZ55" s="319">
        <v>966466.41</v>
      </c>
      <c r="BA55" s="319">
        <v>999853.72</v>
      </c>
      <c r="BB55" s="319">
        <v>1089281.7</v>
      </c>
      <c r="BC55" s="319">
        <v>1110957.74</v>
      </c>
      <c r="BD55" s="319">
        <v>1129367.6499999999</v>
      </c>
      <c r="BE55" s="319">
        <v>1198126.97</v>
      </c>
      <c r="BF55" s="319">
        <v>1341983.6999999997</v>
      </c>
      <c r="BG55" s="319">
        <v>1426499.5599999998</v>
      </c>
      <c r="BH55" s="319">
        <v>1494626.33</v>
      </c>
      <c r="BI55" s="319">
        <v>1613852.4300000002</v>
      </c>
      <c r="BJ55" s="319">
        <v>1627994.17</v>
      </c>
      <c r="BK55" s="319">
        <v>1532611.8299999998</v>
      </c>
      <c r="BL55" s="319">
        <v>1539357.85</v>
      </c>
      <c r="BM55" s="319">
        <v>1573616.7200000002</v>
      </c>
      <c r="BN55" s="319">
        <v>1631414.28</v>
      </c>
      <c r="BO55" s="362">
        <v>1737360.25</v>
      </c>
      <c r="BP55" s="753">
        <v>1732619.46</v>
      </c>
      <c r="BQ55" s="753">
        <v>1879063.73</v>
      </c>
      <c r="BR55" s="753">
        <v>1768546.3099999998</v>
      </c>
      <c r="BS55" s="753">
        <v>1790000</v>
      </c>
      <c r="BT55" s="286"/>
      <c r="BU55" s="43" t="s">
        <v>39</v>
      </c>
      <c r="BV55" s="319">
        <v>608525.12</v>
      </c>
      <c r="BW55" s="319">
        <v>712530.58</v>
      </c>
      <c r="BX55" s="319">
        <v>669092.13</v>
      </c>
      <c r="BY55" s="319">
        <v>710422.38</v>
      </c>
      <c r="BZ55" s="319">
        <v>754118.1</v>
      </c>
      <c r="CA55" s="319">
        <v>818600.44</v>
      </c>
      <c r="CB55" s="319">
        <v>793609.7</v>
      </c>
      <c r="CC55" s="319">
        <v>906690.68</v>
      </c>
      <c r="CD55" s="319">
        <v>815754.67000000016</v>
      </c>
      <c r="CE55" s="319">
        <v>868320.41</v>
      </c>
      <c r="CF55" s="319">
        <v>1029374.7799999999</v>
      </c>
      <c r="CG55" s="319">
        <v>960095.21000000008</v>
      </c>
      <c r="CH55" s="319">
        <v>1311098.0800000003</v>
      </c>
      <c r="CI55" s="319">
        <v>1290401.5599999998</v>
      </c>
      <c r="CJ55" s="319">
        <v>1152882.0799999998</v>
      </c>
      <c r="CK55" s="319">
        <v>1075856.05</v>
      </c>
      <c r="CL55" s="319">
        <v>1025075.5</v>
      </c>
      <c r="CM55" s="362">
        <v>1104901.0699999998</v>
      </c>
      <c r="CN55" s="753">
        <v>1007771.1000000001</v>
      </c>
      <c r="CO55" s="753">
        <v>1144035.6200000003</v>
      </c>
      <c r="CP55" s="753">
        <v>1080841.1200000001</v>
      </c>
      <c r="CQ55" s="753">
        <v>1167286</v>
      </c>
      <c r="CR55" s="39"/>
      <c r="CS55" s="43" t="s">
        <v>39</v>
      </c>
      <c r="CT55" s="319">
        <v>325995.59999999998</v>
      </c>
      <c r="CU55" s="319">
        <v>442260.36</v>
      </c>
      <c r="CV55" s="319">
        <v>470842.61</v>
      </c>
      <c r="CW55" s="319">
        <v>526238.80000000005</v>
      </c>
      <c r="CX55" s="319">
        <v>586536.30000000005</v>
      </c>
      <c r="CY55" s="319">
        <v>584714.6</v>
      </c>
      <c r="CZ55" s="319">
        <v>702039.35</v>
      </c>
      <c r="DA55" s="319">
        <v>712399.82</v>
      </c>
      <c r="DB55" s="319">
        <v>744339.07</v>
      </c>
      <c r="DC55" s="319">
        <v>815082.87000000011</v>
      </c>
      <c r="DD55" s="319">
        <v>844582.55</v>
      </c>
      <c r="DE55" s="319">
        <v>835690.76</v>
      </c>
      <c r="DF55" s="319">
        <v>799654.2300000001</v>
      </c>
      <c r="DG55" s="319">
        <v>781234.9</v>
      </c>
      <c r="DH55" s="319">
        <v>760487.65999999992</v>
      </c>
      <c r="DI55" s="319">
        <v>740161.09000000008</v>
      </c>
      <c r="DJ55" s="319">
        <v>757328.78999999992</v>
      </c>
      <c r="DK55" s="362">
        <v>749926.35</v>
      </c>
      <c r="DL55" s="753">
        <v>731672.50000000012</v>
      </c>
      <c r="DM55" s="753">
        <v>747653.61</v>
      </c>
      <c r="DN55" s="753">
        <v>751363.03</v>
      </c>
      <c r="DO55" s="753">
        <v>787400</v>
      </c>
      <c r="DP55" s="39"/>
      <c r="DQ55" s="43" t="s">
        <v>39</v>
      </c>
      <c r="DR55" s="319">
        <v>43466.080000000002</v>
      </c>
      <c r="DS55" s="319">
        <v>49140.04</v>
      </c>
      <c r="DT55" s="319">
        <v>49562.38</v>
      </c>
      <c r="DU55" s="319">
        <v>52623.88</v>
      </c>
      <c r="DV55" s="319">
        <v>83790.899999999994</v>
      </c>
      <c r="DW55" s="319">
        <v>87707.19</v>
      </c>
      <c r="DX55" s="319">
        <v>61046.9</v>
      </c>
      <c r="DY55" s="319">
        <v>32381.81</v>
      </c>
      <c r="DZ55" s="319">
        <v>26300.35</v>
      </c>
      <c r="EA55" s="319">
        <v>37210.22</v>
      </c>
      <c r="EB55" s="319">
        <v>98506.13</v>
      </c>
      <c r="EC55" s="319">
        <v>104011.8</v>
      </c>
      <c r="ED55" s="319">
        <v>58971.43</v>
      </c>
      <c r="EE55" s="319">
        <v>48165.91</v>
      </c>
      <c r="EF55" s="319">
        <v>38991.83</v>
      </c>
      <c r="EG55" s="319">
        <v>27937.279999999999</v>
      </c>
      <c r="EH55" s="319">
        <v>12854.17</v>
      </c>
      <c r="EI55" s="362">
        <v>14039.31</v>
      </c>
      <c r="EJ55" s="753">
        <v>14632.62</v>
      </c>
      <c r="EK55" s="753">
        <v>17411.21</v>
      </c>
      <c r="EL55" s="753">
        <v>12066.27</v>
      </c>
      <c r="EM55" s="753">
        <v>13125</v>
      </c>
      <c r="EN55" s="39"/>
      <c r="EO55" s="43" t="s">
        <v>39</v>
      </c>
      <c r="EP55" s="319">
        <v>130398.24</v>
      </c>
      <c r="EQ55" s="319">
        <v>98280.08</v>
      </c>
      <c r="ER55" s="319">
        <v>74343.570000000007</v>
      </c>
      <c r="ES55" s="319">
        <v>78935.820000000007</v>
      </c>
      <c r="ET55" s="319">
        <v>27930.3</v>
      </c>
      <c r="EU55" s="319">
        <v>58471.46</v>
      </c>
      <c r="EV55" s="319">
        <v>91570.35</v>
      </c>
      <c r="EW55" s="319">
        <v>97145.43</v>
      </c>
      <c r="EX55" s="319">
        <v>63281.1</v>
      </c>
      <c r="EY55" s="319">
        <v>88356.549999999988</v>
      </c>
      <c r="EZ55" s="319">
        <v>83979.349999999991</v>
      </c>
      <c r="FA55" s="319">
        <v>66049.960000000006</v>
      </c>
      <c r="FB55" s="319">
        <v>123413.07000000002</v>
      </c>
      <c r="FC55" s="319">
        <v>94039.250000000015</v>
      </c>
      <c r="FD55" s="319">
        <v>167910.66</v>
      </c>
      <c r="FE55" s="319">
        <v>86810.45</v>
      </c>
      <c r="FF55" s="319">
        <v>78027.67</v>
      </c>
      <c r="FG55" s="362">
        <v>91721.18</v>
      </c>
      <c r="FH55" s="362">
        <v>80987.11</v>
      </c>
      <c r="FI55" s="362">
        <v>128630.66999999998</v>
      </c>
      <c r="FJ55" s="362">
        <v>65319.090000000004</v>
      </c>
      <c r="FK55" s="362">
        <v>73683</v>
      </c>
      <c r="FM55" s="43" t="s">
        <v>39</v>
      </c>
      <c r="FN55" s="319">
        <v>180747</v>
      </c>
      <c r="FO55" s="319">
        <v>432023</v>
      </c>
      <c r="FP55" s="319">
        <v>538154</v>
      </c>
      <c r="FQ55" s="319">
        <v>549757</v>
      </c>
      <c r="FR55" s="319">
        <v>638346</v>
      </c>
      <c r="FS55" s="319">
        <v>743846</v>
      </c>
      <c r="FT55" s="319">
        <v>647317</v>
      </c>
      <c r="FU55" s="319">
        <v>547532</v>
      </c>
      <c r="FV55" s="319">
        <v>518118.46999999974</v>
      </c>
      <c r="FW55" s="319">
        <v>267343.49</v>
      </c>
      <c r="FX55" s="319">
        <v>565372.76</v>
      </c>
      <c r="FY55" s="319">
        <v>705082.6</v>
      </c>
      <c r="FZ55" s="319">
        <v>852795.32</v>
      </c>
      <c r="GA55" s="319">
        <v>1041297.15</v>
      </c>
      <c r="GB55" s="319">
        <v>466295.84</v>
      </c>
      <c r="GC55" s="319">
        <v>602388.42000000004</v>
      </c>
      <c r="GD55" s="319">
        <v>674912.98</v>
      </c>
      <c r="GE55" s="319">
        <v>902885.26</v>
      </c>
      <c r="GF55" s="756">
        <v>797272.46</v>
      </c>
      <c r="GG55" s="756">
        <v>828373.49</v>
      </c>
      <c r="GH55" s="756">
        <v>350909.91000000015</v>
      </c>
      <c r="GI55" s="756">
        <v>187550.0700000003</v>
      </c>
      <c r="GJ55" s="42"/>
      <c r="GK55" s="570" t="s">
        <v>39</v>
      </c>
      <c r="GL55" s="571">
        <f>FN55/'4GF Expenditures'!B56</f>
        <v>8.7736449408357703E-2</v>
      </c>
      <c r="GM55" s="571">
        <f>FO55/'4GF Expenditures'!C56</f>
        <v>0.19586430952892608</v>
      </c>
      <c r="GN55" s="571">
        <f>FP55/'4GF Expenditures'!D56</f>
        <v>0.2268788880888099</v>
      </c>
      <c r="GO55" s="571">
        <f>FQ55/'4GF Expenditures'!E56</f>
        <v>0.2098636771923556</v>
      </c>
      <c r="GP55" s="571">
        <f>FR55/'4GF Expenditures'!F56</f>
        <v>0.23603620859172006</v>
      </c>
      <c r="GQ55" s="571">
        <f>FS55/'4GF Expenditures'!G56</f>
        <v>0.26395554692869916</v>
      </c>
      <c r="GR55" s="571">
        <f>FT55/'4GF Expenditures'!H56</f>
        <v>0.20557094377228177</v>
      </c>
      <c r="GS55" s="571">
        <f>FU55/'4GF Expenditures'!I56</f>
        <v>0.16403157970105756</v>
      </c>
      <c r="GT55" s="571">
        <f>FV55/'4GF Expenditures'!J56</f>
        <v>0.15488089254416415</v>
      </c>
      <c r="GU55" s="571">
        <f>FW55/'4GF Expenditures'!K56</f>
        <v>7.0180587541090148E-2</v>
      </c>
      <c r="GV55" s="571">
        <f>FX55/'4GF Expenditures'!L56</f>
        <v>0.13551414850495835</v>
      </c>
      <c r="GW55" s="571">
        <f>FY55/'4GF Expenditures'!M56</f>
        <v>0.18096599181394468</v>
      </c>
      <c r="GX55" s="571">
        <f>FZ55/'4GF Expenditures'!N56</f>
        <v>0.19681003386261217</v>
      </c>
      <c r="GY55" s="571">
        <f>GA55/'4GF Expenditures'!O56</f>
        <v>0.25462335337062164</v>
      </c>
      <c r="GZ55" s="571">
        <f>GB55/'4GF Expenditures'!P56</f>
        <v>9.7128936345130729E-2</v>
      </c>
      <c r="HA55" s="571">
        <f>GC55/'4GF Expenditures'!Q56</f>
        <v>0.14962366651770662</v>
      </c>
      <c r="HB55" s="571">
        <f>GD55/'4GF Expenditures'!R56</f>
        <v>0.16434795576759559</v>
      </c>
      <c r="HC55" s="571">
        <f>GE55/'4GF Expenditures'!S56</f>
        <v>0.22155813027641302</v>
      </c>
      <c r="HD55" s="571">
        <f>GF55/'4GF Expenditures'!T56</f>
        <v>0.18262235724318296</v>
      </c>
      <c r="HE55" s="571">
        <f>GG55/'4GF Expenditures'!U56</f>
        <v>0.18336916241035267</v>
      </c>
      <c r="HF55" s="571">
        <f>GH55/'4GF Expenditures'!V56</f>
        <v>7.3881159806960348E-2</v>
      </c>
      <c r="HG55" s="571">
        <f>GI55/'4GF Expenditures'!W56</f>
        <v>3.9502905230655409E-2</v>
      </c>
      <c r="HH55" s="571"/>
      <c r="HI55" s="571"/>
      <c r="HJ55" s="571"/>
      <c r="HK55" s="568"/>
      <c r="HL55" s="567" t="s">
        <v>39</v>
      </c>
      <c r="HM55" s="571">
        <f>B55/'4GF Expenditures'!B56</f>
        <v>1.0549440734561648</v>
      </c>
      <c r="HN55" s="571">
        <f>C55/'4GF Expenditures'!C56</f>
        <v>1.1139198613064361</v>
      </c>
      <c r="HO55" s="571">
        <f>D55/'4GF Expenditures'!D56</f>
        <v>1.0447434809956879</v>
      </c>
      <c r="HP55" s="571">
        <f>E55/'4GF Expenditures'!E56</f>
        <v>1.0044293174010752</v>
      </c>
      <c r="HQ55" s="571">
        <f>F55/'4GF Expenditures'!F56</f>
        <v>1.032756861769216</v>
      </c>
      <c r="HR55" s="571">
        <f>G55/'4GF Expenditures'!G56</f>
        <v>1.0374369294195005</v>
      </c>
      <c r="HS55" s="571">
        <f>H55/'4GF Expenditures'!H56</f>
        <v>0.96934491503947129</v>
      </c>
      <c r="HT55" s="571">
        <f>I55/'4GF Expenditures'!I56</f>
        <v>0.97010575598860027</v>
      </c>
      <c r="HU55" s="571">
        <f>J55/'4GF Expenditures'!J56</f>
        <v>0.99120758676601217</v>
      </c>
      <c r="HV55" s="571">
        <f>K55/'4GF Expenditures'!K56</f>
        <v>0.93421271921463944</v>
      </c>
      <c r="HW55" s="571">
        <f>L55/'4GF Expenditures'!L56</f>
        <v>1.0714346102447601</v>
      </c>
      <c r="HX55" s="571">
        <f>M55/'4GF Expenditures'!M56</f>
        <v>1.0358578268159895</v>
      </c>
      <c r="HY55" s="571">
        <f>N55/'4GF Expenditures'!N56</f>
        <v>1.0340894758019292</v>
      </c>
      <c r="HZ55" s="571">
        <f>O55/'4GF Expenditures'!O56</f>
        <v>1.0460934403509115</v>
      </c>
      <c r="IA55" s="571">
        <f>P55/'4GF Expenditures'!P56</f>
        <v>0.88022782781558428</v>
      </c>
      <c r="IB55" s="571">
        <f>Q55/'4GF Expenditures'!Q56</f>
        <v>1.0338032241812589</v>
      </c>
      <c r="IC55" s="571">
        <f>R55/'4GF Expenditures'!R56</f>
        <v>1.0220616292104654</v>
      </c>
      <c r="ID55" s="573">
        <f>S55/'4GF Expenditures'!S56</f>
        <v>1.0559418946673809</v>
      </c>
      <c r="IE55" s="572">
        <f>T55/'4GF Expenditures'!T56</f>
        <v>0.97580844760265162</v>
      </c>
      <c r="IF55" s="572">
        <f>U55/'4GF Expenditures'!U56</f>
        <v>1.0068845392688741</v>
      </c>
      <c r="IG55" s="572">
        <f>V55/'4GF Expenditures'!V56</f>
        <v>0.89947401868478616</v>
      </c>
      <c r="IH55" s="572">
        <f>W55/'4GF Expenditures'!W56</f>
        <v>0.96559218411374081</v>
      </c>
    </row>
    <row r="56" spans="1:242" ht="14">
      <c r="A56" s="43" t="s">
        <v>40</v>
      </c>
      <c r="B56" s="319">
        <v>931816</v>
      </c>
      <c r="C56" s="319">
        <v>1083825</v>
      </c>
      <c r="D56" s="319">
        <v>1081316</v>
      </c>
      <c r="E56" s="319">
        <v>975325</v>
      </c>
      <c r="F56" s="319">
        <v>1150556</v>
      </c>
      <c r="G56" s="319">
        <v>1257784</v>
      </c>
      <c r="H56" s="319">
        <v>1302739</v>
      </c>
      <c r="I56" s="319">
        <v>1381647</v>
      </c>
      <c r="J56" s="319">
        <v>1280117.3700000001</v>
      </c>
      <c r="K56" s="319">
        <v>1512988.32</v>
      </c>
      <c r="L56" s="319">
        <v>1412256.94</v>
      </c>
      <c r="M56" s="319">
        <v>1441737.4600000002</v>
      </c>
      <c r="N56" s="319">
        <v>1443255.5899999999</v>
      </c>
      <c r="O56" s="319">
        <v>1489389.46</v>
      </c>
      <c r="P56" s="319">
        <v>1549631.4499999997</v>
      </c>
      <c r="Q56" s="319">
        <v>1688492.4</v>
      </c>
      <c r="R56" s="319">
        <v>1862956.3200000003</v>
      </c>
      <c r="S56" s="362">
        <v>1730986.5000000002</v>
      </c>
      <c r="T56" s="362">
        <v>1717049.51</v>
      </c>
      <c r="U56" s="362">
        <v>1808887.1099999999</v>
      </c>
      <c r="V56" s="362">
        <v>1712185.74</v>
      </c>
      <c r="W56" s="362">
        <v>1694763.5099999998</v>
      </c>
      <c r="X56" s="6"/>
      <c r="Y56" s="43" t="s">
        <v>40</v>
      </c>
      <c r="Z56" s="319">
        <v>139772.4</v>
      </c>
      <c r="AA56" s="319">
        <v>173412</v>
      </c>
      <c r="AB56" s="319">
        <v>194636.88</v>
      </c>
      <c r="AC56" s="319">
        <v>146298.75</v>
      </c>
      <c r="AD56" s="319">
        <v>218605.64</v>
      </c>
      <c r="AE56" s="319">
        <v>226401.12</v>
      </c>
      <c r="AF56" s="319">
        <v>221465.63</v>
      </c>
      <c r="AG56" s="319">
        <v>276329.40000000002</v>
      </c>
      <c r="AH56" s="319">
        <v>203614.1</v>
      </c>
      <c r="AI56" s="319">
        <v>250097.55000000002</v>
      </c>
      <c r="AJ56" s="319">
        <v>253204.75</v>
      </c>
      <c r="AK56" s="319">
        <v>256700.78</v>
      </c>
      <c r="AL56" s="319">
        <v>273840.32999999996</v>
      </c>
      <c r="AM56" s="319">
        <v>287580.74</v>
      </c>
      <c r="AN56" s="319">
        <v>297677.69000000006</v>
      </c>
      <c r="AO56" s="319">
        <v>313939.82999999996</v>
      </c>
      <c r="AP56" s="319">
        <v>322606.10000000003</v>
      </c>
      <c r="AQ56" s="362">
        <v>341195.07</v>
      </c>
      <c r="AR56" s="753">
        <v>356715.76</v>
      </c>
      <c r="AS56" s="753">
        <v>323216.08999999997</v>
      </c>
      <c r="AT56" s="753">
        <v>302922.46000000002</v>
      </c>
      <c r="AU56" s="753">
        <v>305784.19</v>
      </c>
      <c r="AV56" s="39"/>
      <c r="AW56" s="43" t="s">
        <v>40</v>
      </c>
      <c r="AX56" s="319">
        <v>391362.72</v>
      </c>
      <c r="AY56" s="319">
        <v>487721.25</v>
      </c>
      <c r="AZ56" s="319">
        <v>464965.88</v>
      </c>
      <c r="BA56" s="319">
        <v>487662.5</v>
      </c>
      <c r="BB56" s="319">
        <v>517750.2</v>
      </c>
      <c r="BC56" s="319">
        <v>666625.52</v>
      </c>
      <c r="BD56" s="319">
        <v>664396.89</v>
      </c>
      <c r="BE56" s="319">
        <v>607924.68000000005</v>
      </c>
      <c r="BF56" s="319">
        <v>593321.71000000008</v>
      </c>
      <c r="BG56" s="319">
        <v>736472.29</v>
      </c>
      <c r="BH56" s="319">
        <v>690975.71</v>
      </c>
      <c r="BI56" s="319">
        <v>719147.54</v>
      </c>
      <c r="BJ56" s="319">
        <v>715620.2</v>
      </c>
      <c r="BK56" s="319">
        <v>688074.69</v>
      </c>
      <c r="BL56" s="319">
        <v>695732.44</v>
      </c>
      <c r="BM56" s="319">
        <v>777344.01</v>
      </c>
      <c r="BN56" s="319">
        <v>925640.65</v>
      </c>
      <c r="BO56" s="362">
        <v>919785.92</v>
      </c>
      <c r="BP56" s="753">
        <v>875348.5199999999</v>
      </c>
      <c r="BQ56" s="753">
        <v>930237.36999999988</v>
      </c>
      <c r="BR56" s="753">
        <v>889901.25</v>
      </c>
      <c r="BS56" s="753">
        <v>910069.32</v>
      </c>
      <c r="BT56" s="286"/>
      <c r="BU56" s="43" t="s">
        <v>40</v>
      </c>
      <c r="BV56" s="319">
        <v>83863.44</v>
      </c>
      <c r="BW56" s="319">
        <v>97544.25</v>
      </c>
      <c r="BX56" s="319">
        <v>54065.8</v>
      </c>
      <c r="BY56" s="319">
        <v>29259.75</v>
      </c>
      <c r="BZ56" s="319">
        <v>23011.119999999999</v>
      </c>
      <c r="CA56" s="319">
        <v>25155.68</v>
      </c>
      <c r="CB56" s="319">
        <v>52109.56</v>
      </c>
      <c r="CC56" s="319">
        <v>13816.47</v>
      </c>
      <c r="CD56" s="319">
        <v>17686.809999999998</v>
      </c>
      <c r="CE56" s="319">
        <v>65725.899999999994</v>
      </c>
      <c r="CF56" s="319">
        <v>107456.34999999999</v>
      </c>
      <c r="CG56" s="319">
        <v>73921.78</v>
      </c>
      <c r="CH56" s="319">
        <v>83746.829999999987</v>
      </c>
      <c r="CI56" s="319">
        <v>90462.12000000001</v>
      </c>
      <c r="CJ56" s="319">
        <v>127166.02</v>
      </c>
      <c r="CK56" s="319">
        <v>163637.43999999994</v>
      </c>
      <c r="CL56" s="319">
        <v>171142.81</v>
      </c>
      <c r="CM56" s="362">
        <v>123906.88</v>
      </c>
      <c r="CN56" s="753">
        <v>99618.11</v>
      </c>
      <c r="CO56" s="753">
        <v>168176.44000000003</v>
      </c>
      <c r="CP56" s="753">
        <v>118603.26999999997</v>
      </c>
      <c r="CQ56" s="753">
        <v>75010</v>
      </c>
      <c r="CR56" s="39"/>
      <c r="CS56" s="43" t="s">
        <v>40</v>
      </c>
      <c r="CT56" s="319">
        <v>158408.72</v>
      </c>
      <c r="CU56" s="319">
        <v>162573.75</v>
      </c>
      <c r="CV56" s="319">
        <v>183823.72</v>
      </c>
      <c r="CW56" s="319">
        <v>156052</v>
      </c>
      <c r="CX56" s="319">
        <v>172583.4</v>
      </c>
      <c r="CY56" s="319">
        <v>176089.76</v>
      </c>
      <c r="CZ56" s="319">
        <v>182383.46</v>
      </c>
      <c r="DA56" s="319">
        <v>207247.05</v>
      </c>
      <c r="DB56" s="319">
        <v>195370.57</v>
      </c>
      <c r="DC56" s="319">
        <v>208917.15</v>
      </c>
      <c r="DD56" s="319">
        <v>199068.37</v>
      </c>
      <c r="DE56" s="319">
        <v>238264.22999999998</v>
      </c>
      <c r="DF56" s="319">
        <v>227032.01999999996</v>
      </c>
      <c r="DG56" s="319">
        <v>221131.91999999998</v>
      </c>
      <c r="DH56" s="319">
        <v>236390.11</v>
      </c>
      <c r="DI56" s="319">
        <v>202313.18</v>
      </c>
      <c r="DJ56" s="319">
        <v>246213.16</v>
      </c>
      <c r="DK56" s="362">
        <v>228477.80000000002</v>
      </c>
      <c r="DL56" s="753">
        <v>233062.31</v>
      </c>
      <c r="DM56" s="753">
        <v>254365.23000000004</v>
      </c>
      <c r="DN56" s="753">
        <v>251275.43999999997</v>
      </c>
      <c r="DO56" s="753">
        <v>252650</v>
      </c>
      <c r="DP56" s="39"/>
      <c r="DQ56" s="43" t="s">
        <v>40</v>
      </c>
      <c r="DR56" s="319">
        <v>0</v>
      </c>
      <c r="DS56" s="319">
        <v>10838.25</v>
      </c>
      <c r="DT56" s="319">
        <v>10813.16</v>
      </c>
      <c r="DU56" s="319">
        <v>9753.25</v>
      </c>
      <c r="DV56" s="319">
        <v>11505.56</v>
      </c>
      <c r="DW56" s="319">
        <v>12577.84</v>
      </c>
      <c r="DX56" s="319">
        <v>13027.39</v>
      </c>
      <c r="DY56" s="319">
        <v>13816.47</v>
      </c>
      <c r="DZ56" s="319">
        <v>6496.01</v>
      </c>
      <c r="EA56" s="319">
        <v>6637.86</v>
      </c>
      <c r="EB56" s="319">
        <v>14239.42</v>
      </c>
      <c r="EC56" s="319">
        <v>15490.19</v>
      </c>
      <c r="ED56" s="319">
        <v>13528.48</v>
      </c>
      <c r="EE56" s="319">
        <v>8077.04</v>
      </c>
      <c r="EF56" s="319">
        <v>8823.5400000000009</v>
      </c>
      <c r="EG56" s="319">
        <v>7524.78</v>
      </c>
      <c r="EH56" s="319">
        <v>6295.44</v>
      </c>
      <c r="EI56" s="362">
        <v>6587.5</v>
      </c>
      <c r="EJ56" s="753">
        <v>7441.16</v>
      </c>
      <c r="EK56" s="753">
        <v>8177.15</v>
      </c>
      <c r="EL56" s="753">
        <v>8473.7800000000007</v>
      </c>
      <c r="EM56" s="753">
        <v>8150</v>
      </c>
      <c r="EN56" s="39"/>
      <c r="EO56" s="43" t="s">
        <v>40</v>
      </c>
      <c r="EP56" s="319">
        <v>158408.72</v>
      </c>
      <c r="EQ56" s="319">
        <v>151735.5</v>
      </c>
      <c r="ER56" s="319">
        <v>173010.56</v>
      </c>
      <c r="ES56" s="319">
        <v>146298.75</v>
      </c>
      <c r="ET56" s="319">
        <v>207100.08</v>
      </c>
      <c r="EU56" s="319">
        <v>150934.07999999999</v>
      </c>
      <c r="EV56" s="319">
        <v>169356.07</v>
      </c>
      <c r="EW56" s="319">
        <v>262512.93</v>
      </c>
      <c r="EX56" s="319">
        <v>246925.36</v>
      </c>
      <c r="EY56" s="319">
        <v>229191.02000000002</v>
      </c>
      <c r="EZ56" s="319">
        <v>125403.03</v>
      </c>
      <c r="FA56" s="319">
        <v>116293.4</v>
      </c>
      <c r="FB56" s="319">
        <v>123696.38</v>
      </c>
      <c r="FC56" s="319">
        <v>139456.04999999999</v>
      </c>
      <c r="FD56" s="319">
        <v>171522.15</v>
      </c>
      <c r="FE56" s="319">
        <v>214097.17</v>
      </c>
      <c r="FF56" s="319">
        <v>187662.75</v>
      </c>
      <c r="FG56" s="362">
        <v>107679.93</v>
      </c>
      <c r="FH56" s="362">
        <v>107346.33</v>
      </c>
      <c r="FI56" s="362">
        <v>89714.83</v>
      </c>
      <c r="FJ56" s="362">
        <v>100475.49</v>
      </c>
      <c r="FK56" s="362">
        <v>95100</v>
      </c>
      <c r="FM56" s="43" t="s">
        <v>40</v>
      </c>
      <c r="FN56" s="319">
        <v>26653</v>
      </c>
      <c r="FO56" s="319">
        <v>161545</v>
      </c>
      <c r="FP56" s="319">
        <v>218722</v>
      </c>
      <c r="FQ56" s="319">
        <v>124178</v>
      </c>
      <c r="FR56" s="319">
        <v>201163</v>
      </c>
      <c r="FS56" s="319">
        <v>338621</v>
      </c>
      <c r="FT56" s="319">
        <v>366989</v>
      </c>
      <c r="FU56" s="319">
        <v>225540</v>
      </c>
      <c r="FV56" s="319">
        <v>132408.31000000006</v>
      </c>
      <c r="FW56" s="319">
        <v>295508.96999999997</v>
      </c>
      <c r="FX56" s="319">
        <v>319158.59999999998</v>
      </c>
      <c r="FY56" s="319">
        <v>317586.33</v>
      </c>
      <c r="FZ56" s="319">
        <v>306429.58</v>
      </c>
      <c r="GA56" s="319">
        <v>183377.18</v>
      </c>
      <c r="GB56" s="319">
        <v>180598.87</v>
      </c>
      <c r="GC56" s="319">
        <v>241197.78</v>
      </c>
      <c r="GD56" s="319">
        <v>417746.44</v>
      </c>
      <c r="GE56" s="319">
        <v>480557.02</v>
      </c>
      <c r="GF56" s="756">
        <v>550436.46</v>
      </c>
      <c r="GG56" s="756">
        <v>741610.31</v>
      </c>
      <c r="GH56" s="756">
        <v>672135.55999999994</v>
      </c>
      <c r="GI56" s="756">
        <v>3565.25</v>
      </c>
      <c r="GJ56" s="42"/>
      <c r="GK56" s="570" t="s">
        <v>40</v>
      </c>
      <c r="GL56" s="571">
        <f>FN56/'4GF Expenditures'!B57</f>
        <v>2.6959039010851182E-2</v>
      </c>
      <c r="GM56" s="571">
        <f>FO56/'4GF Expenditures'!C57</f>
        <v>0.17023857321855179</v>
      </c>
      <c r="GN56" s="571">
        <f>FP56/'4GF Expenditures'!D57</f>
        <v>0.21356671311218497</v>
      </c>
      <c r="GO56" s="571">
        <f>FQ56/'4GF Expenditures'!E57</f>
        <v>0.11606841585278198</v>
      </c>
      <c r="GP56" s="571">
        <f>FR56/'4GF Expenditures'!F57</f>
        <v>0.18737745337755957</v>
      </c>
      <c r="GQ56" s="571">
        <f>FS56/'4GF Expenditures'!G57</f>
        <v>0.30225220159132254</v>
      </c>
      <c r="GR56" s="571">
        <f>FT56/'4GF Expenditures'!H57</f>
        <v>0.28797657824919115</v>
      </c>
      <c r="GS56" s="571">
        <f>FU56/'4GF Expenditures'!I57</f>
        <v>0.14807996344288213</v>
      </c>
      <c r="GT56" s="571">
        <f>FV56/'4GF Expenditures'!J57</f>
        <v>9.6419747307567472E-2</v>
      </c>
      <c r="GU56" s="571">
        <f>FW56/'4GF Expenditures'!K57</f>
        <v>0.21891375020051665</v>
      </c>
      <c r="GV56" s="571">
        <f>FX56/'4GF Expenditures'!L57</f>
        <v>0.22988163823956506</v>
      </c>
      <c r="GW56" s="571">
        <f>FY56/'4GF Expenditures'!M57</f>
        <v>0.22000270623289161</v>
      </c>
      <c r="GX56" s="571">
        <f>FZ56/'4GF Expenditures'!N57</f>
        <v>0.21076143023811855</v>
      </c>
      <c r="GY56" s="571">
        <f>GA56/'4GF Expenditures'!O57</f>
        <v>0.11372574789659014</v>
      </c>
      <c r="GZ56" s="571">
        <f>GB56/'4GF Expenditures'!P57</f>
        <v>0.11633453679716856</v>
      </c>
      <c r="HA56" s="571">
        <f>GC56/'4GF Expenditures'!Q57</f>
        <v>0.14816548706421387</v>
      </c>
      <c r="HB56" s="571">
        <f>GD56/'4GF Expenditures'!R57</f>
        <v>0.24772305584681178</v>
      </c>
      <c r="HC56" s="571">
        <f>GE56/'4GF Expenditures'!S57</f>
        <v>0.28806245906124595</v>
      </c>
      <c r="HD56" s="571">
        <f>GF56/'4GF Expenditures'!T57</f>
        <v>0.33434854809011028</v>
      </c>
      <c r="HE56" s="571">
        <f>GG56/'4GF Expenditures'!U57</f>
        <v>0.45672868990126614</v>
      </c>
      <c r="HF56" s="571">
        <f>GH56/'4GF Expenditures'!V57</f>
        <v>0.37718634167662862</v>
      </c>
      <c r="HG56" s="571">
        <f>GI56/'4GF Expenditures'!W57</f>
        <v>1.5085680955557942E-3</v>
      </c>
      <c r="HH56" s="571"/>
      <c r="HI56" s="571"/>
      <c r="HJ56" s="571"/>
      <c r="HK56" s="568"/>
      <c r="HL56" s="567" t="s">
        <v>40</v>
      </c>
      <c r="HM56" s="571">
        <f>B56/'4GF Expenditures'!B57</f>
        <v>0.94251543522062453</v>
      </c>
      <c r="HN56" s="571">
        <f>C56/'4GF Expenditures'!C57</f>
        <v>1.1421512372317117</v>
      </c>
      <c r="HO56" s="571">
        <f>D56/'4GF Expenditures'!D57</f>
        <v>1.05582933566635</v>
      </c>
      <c r="HP56" s="571">
        <f>E56/'4GF Expenditures'!E57</f>
        <v>0.911630302401509</v>
      </c>
      <c r="HQ56" s="571">
        <f>F56/'4GF Expenditures'!F57</f>
        <v>1.0717092767967837</v>
      </c>
      <c r="HR56" s="571">
        <f>G56/'4GF Expenditures'!G57</f>
        <v>1.1226946442374808</v>
      </c>
      <c r="HS56" s="571">
        <f>H56/'4GF Expenditures'!H57</f>
        <v>1.0222603935588617</v>
      </c>
      <c r="HT56" s="571">
        <f>I56/'4GF Expenditures'!I57</f>
        <v>0.90713060765703546</v>
      </c>
      <c r="HU56" s="571">
        <f>J56/'4GF Expenditures'!J57</f>
        <v>0.93218162318836184</v>
      </c>
      <c r="HV56" s="571">
        <f>K56/'4GF Expenditures'!K57</f>
        <v>1.1208253581635081</v>
      </c>
      <c r="HW56" s="571">
        <f>L56/'4GF Expenditures'!L57</f>
        <v>1.0172119409672657</v>
      </c>
      <c r="HX56" s="571">
        <f>M56/'4GF Expenditures'!M57</f>
        <v>0.9987399107428061</v>
      </c>
      <c r="HY56" s="571">
        <f>N56/'4GF Expenditures'!N57</f>
        <v>0.99266726256505522</v>
      </c>
      <c r="HZ56" s="571">
        <f>O56/'4GF Expenditures'!O57</f>
        <v>0.92368052692160785</v>
      </c>
      <c r="IA56" s="571">
        <f>P56/'4GF Expenditures'!P57</f>
        <v>0.99821032624442574</v>
      </c>
      <c r="IB56" s="571">
        <f>Q56/'4GF Expenditures'!Q57</f>
        <v>1.0372247159580963</v>
      </c>
      <c r="IC56" s="571">
        <f>R56/'4GF Expenditures'!R57</f>
        <v>1.1047304975226864</v>
      </c>
      <c r="ID56" s="573">
        <f>S56/'4GF Expenditures'!S57</f>
        <v>1.0376130345402497</v>
      </c>
      <c r="IE56" s="572">
        <f>T56/'4GF Expenditures'!T57</f>
        <v>1.0429778046812803</v>
      </c>
      <c r="IF56" s="572">
        <f>U56/'4GF Expenditures'!U57</f>
        <v>1.1140225921745712</v>
      </c>
      <c r="IG56" s="572">
        <f>V56/'4GF Expenditures'!V57</f>
        <v>0.9608375363170657</v>
      </c>
      <c r="IH56" s="572">
        <f>W56/'4GF Expenditures'!W57</f>
        <v>0.71710712031362545</v>
      </c>
    </row>
    <row r="57" spans="1:242" ht="14">
      <c r="A57" s="43" t="s">
        <v>41</v>
      </c>
      <c r="B57" s="319">
        <v>930880</v>
      </c>
      <c r="C57" s="319">
        <v>892495</v>
      </c>
      <c r="D57" s="319">
        <v>1144677</v>
      </c>
      <c r="E57" s="319">
        <v>1060044</v>
      </c>
      <c r="F57" s="319">
        <v>1213868</v>
      </c>
      <c r="G57" s="319">
        <v>1211258</v>
      </c>
      <c r="H57" s="319">
        <v>1132339</v>
      </c>
      <c r="I57" s="319">
        <v>1175445</v>
      </c>
      <c r="J57" s="319">
        <v>1344489.81</v>
      </c>
      <c r="K57" s="319">
        <v>1411810.08</v>
      </c>
      <c r="L57" s="319">
        <v>1357122.8900000001</v>
      </c>
      <c r="M57" s="319">
        <v>1442459.75</v>
      </c>
      <c r="N57" s="319">
        <v>1689640.51</v>
      </c>
      <c r="O57" s="319">
        <v>1406165.6</v>
      </c>
      <c r="P57" s="319">
        <v>1442072.34</v>
      </c>
      <c r="Q57" s="319">
        <v>1635267.7599999998</v>
      </c>
      <c r="R57" s="319">
        <v>1582457.15</v>
      </c>
      <c r="S57" s="362">
        <v>1679290.2299999997</v>
      </c>
      <c r="T57" s="362">
        <v>1740290.2699999998</v>
      </c>
      <c r="U57" s="362">
        <v>1783650.52</v>
      </c>
      <c r="V57" s="362">
        <v>1836688.9</v>
      </c>
      <c r="W57" s="362">
        <v>1749540</v>
      </c>
      <c r="X57" s="6"/>
      <c r="Y57" s="43" t="s">
        <v>41</v>
      </c>
      <c r="Z57" s="319">
        <v>65161.599999999999</v>
      </c>
      <c r="AA57" s="319">
        <v>80324.55</v>
      </c>
      <c r="AB57" s="319">
        <v>91574.16</v>
      </c>
      <c r="AC57" s="319">
        <v>95403.96</v>
      </c>
      <c r="AD57" s="319">
        <v>109248.12</v>
      </c>
      <c r="AE57" s="319">
        <v>145350.96</v>
      </c>
      <c r="AF57" s="319">
        <v>113233.9</v>
      </c>
      <c r="AG57" s="319">
        <v>94035.6</v>
      </c>
      <c r="AH57" s="319">
        <v>109759.53</v>
      </c>
      <c r="AI57" s="319">
        <v>110081.06</v>
      </c>
      <c r="AJ57" s="319">
        <v>110427.63</v>
      </c>
      <c r="AK57" s="319">
        <v>114705.52</v>
      </c>
      <c r="AL57" s="319">
        <v>115692.23</v>
      </c>
      <c r="AM57" s="319">
        <v>112138.21</v>
      </c>
      <c r="AN57" s="319">
        <v>131548.22</v>
      </c>
      <c r="AO57" s="319">
        <v>120390.92</v>
      </c>
      <c r="AP57" s="319">
        <v>126222.44</v>
      </c>
      <c r="AQ57" s="362">
        <v>124910.95</v>
      </c>
      <c r="AR57" s="753">
        <v>132939.95000000001</v>
      </c>
      <c r="AS57" s="753">
        <v>131440.19</v>
      </c>
      <c r="AT57" s="753">
        <v>132124.81</v>
      </c>
      <c r="AU57" s="753">
        <v>135000</v>
      </c>
      <c r="AV57" s="39"/>
      <c r="AW57" s="43" t="s">
        <v>41</v>
      </c>
      <c r="AX57" s="319">
        <v>474748.8</v>
      </c>
      <c r="AY57" s="319">
        <v>473022.35</v>
      </c>
      <c r="AZ57" s="319">
        <v>583785.27</v>
      </c>
      <c r="BA57" s="319">
        <v>593624.64</v>
      </c>
      <c r="BB57" s="319">
        <v>631211.36</v>
      </c>
      <c r="BC57" s="319">
        <v>557178.68000000005</v>
      </c>
      <c r="BD57" s="319">
        <v>679403.4</v>
      </c>
      <c r="BE57" s="319">
        <v>658249.19999999995</v>
      </c>
      <c r="BF57" s="319">
        <v>577954.64</v>
      </c>
      <c r="BG57" s="319">
        <v>581530.38</v>
      </c>
      <c r="BH57" s="319">
        <v>582765.54</v>
      </c>
      <c r="BI57" s="319">
        <v>612427.98</v>
      </c>
      <c r="BJ57" s="319">
        <v>597791.28</v>
      </c>
      <c r="BK57" s="319">
        <v>588166.07999999996</v>
      </c>
      <c r="BL57" s="319">
        <v>595236.22</v>
      </c>
      <c r="BM57" s="319">
        <v>623271.34</v>
      </c>
      <c r="BN57" s="319">
        <v>613046.23</v>
      </c>
      <c r="BO57" s="362">
        <v>635817.85</v>
      </c>
      <c r="BP57" s="753">
        <v>672878.14</v>
      </c>
      <c r="BQ57" s="753">
        <v>686800.89</v>
      </c>
      <c r="BR57" s="753">
        <v>667414.71</v>
      </c>
      <c r="BS57" s="753">
        <v>670000</v>
      </c>
      <c r="BT57" s="286"/>
      <c r="BU57" s="43" t="s">
        <v>41</v>
      </c>
      <c r="BV57" s="319">
        <v>148940.79999999999</v>
      </c>
      <c r="BW57" s="319">
        <v>116024.35</v>
      </c>
      <c r="BX57" s="319">
        <v>125914.47</v>
      </c>
      <c r="BY57" s="319">
        <v>116604.84</v>
      </c>
      <c r="BZ57" s="319">
        <v>169941.52</v>
      </c>
      <c r="CA57" s="319">
        <v>266476.76</v>
      </c>
      <c r="CB57" s="319">
        <v>101910.51</v>
      </c>
      <c r="CC57" s="319">
        <v>129298.95</v>
      </c>
      <c r="CD57" s="319">
        <v>327626.90000000002</v>
      </c>
      <c r="CE57" s="319">
        <v>338024.94999999995</v>
      </c>
      <c r="CF57" s="319">
        <v>306048.08999999997</v>
      </c>
      <c r="CG57" s="319">
        <v>314317.71000000002</v>
      </c>
      <c r="CH57" s="319">
        <v>333308.58</v>
      </c>
      <c r="CI57" s="319">
        <v>296309.18</v>
      </c>
      <c r="CJ57" s="319">
        <v>265876.34000000008</v>
      </c>
      <c r="CK57" s="319">
        <v>363848.02</v>
      </c>
      <c r="CL57" s="319">
        <v>332796.59000000003</v>
      </c>
      <c r="CM57" s="362">
        <v>377970.22000000003</v>
      </c>
      <c r="CN57" s="753">
        <v>367199.92</v>
      </c>
      <c r="CO57" s="753">
        <v>377797.66000000003</v>
      </c>
      <c r="CP57" s="753">
        <v>409791.35</v>
      </c>
      <c r="CQ57" s="753">
        <v>374700</v>
      </c>
      <c r="CR57" s="39"/>
      <c r="CS57" s="43" t="s">
        <v>41</v>
      </c>
      <c r="CT57" s="319">
        <v>130323.2</v>
      </c>
      <c r="CU57" s="319">
        <v>151724.15</v>
      </c>
      <c r="CV57" s="319">
        <v>171701.55</v>
      </c>
      <c r="CW57" s="319">
        <v>169607.04000000001</v>
      </c>
      <c r="CX57" s="319">
        <v>182080.2</v>
      </c>
      <c r="CY57" s="319">
        <v>133238.38</v>
      </c>
      <c r="CZ57" s="319">
        <v>169850.85</v>
      </c>
      <c r="DA57" s="319">
        <v>188071.2</v>
      </c>
      <c r="DB57" s="319">
        <v>196841.97999999998</v>
      </c>
      <c r="DC57" s="319">
        <v>187338.37</v>
      </c>
      <c r="DD57" s="319">
        <v>196757.65000000002</v>
      </c>
      <c r="DE57" s="319">
        <v>221665.74</v>
      </c>
      <c r="DF57" s="319">
        <v>342556.43000000005</v>
      </c>
      <c r="DG57" s="319">
        <v>341047.92</v>
      </c>
      <c r="DH57" s="319">
        <v>358105.33</v>
      </c>
      <c r="DI57" s="319">
        <v>368628.58</v>
      </c>
      <c r="DJ57" s="319">
        <v>374455.38</v>
      </c>
      <c r="DK57" s="362">
        <v>373556.71</v>
      </c>
      <c r="DL57" s="753">
        <v>404583.22</v>
      </c>
      <c r="DM57" s="753">
        <v>401698.39</v>
      </c>
      <c r="DN57" s="753">
        <v>427882.33000000007</v>
      </c>
      <c r="DO57" s="753">
        <v>407000</v>
      </c>
      <c r="DP57" s="39"/>
      <c r="DQ57" s="43" t="s">
        <v>41</v>
      </c>
      <c r="DR57" s="319">
        <v>18617.599999999999</v>
      </c>
      <c r="DS57" s="319">
        <v>17849.900000000001</v>
      </c>
      <c r="DT57" s="319">
        <v>22893.54</v>
      </c>
      <c r="DU57" s="319">
        <v>21200.880000000001</v>
      </c>
      <c r="DV57" s="319">
        <v>36416.04</v>
      </c>
      <c r="DW57" s="319">
        <v>24225.16</v>
      </c>
      <c r="DX57" s="319">
        <v>11323.39</v>
      </c>
      <c r="DY57" s="319">
        <v>11754.45</v>
      </c>
      <c r="DZ57" s="319">
        <v>8810.4699999999993</v>
      </c>
      <c r="EA57" s="319">
        <v>16007.81</v>
      </c>
      <c r="EB57" s="319">
        <v>28190.85</v>
      </c>
      <c r="EC57" s="319">
        <v>32077.43</v>
      </c>
      <c r="ED57" s="319">
        <v>46491.25</v>
      </c>
      <c r="EE57" s="319">
        <v>5506.08</v>
      </c>
      <c r="EF57" s="319">
        <v>4187.4399999999996</v>
      </c>
      <c r="EG57" s="319">
        <v>3849.53</v>
      </c>
      <c r="EH57" s="319">
        <v>4238.03</v>
      </c>
      <c r="EI57" s="362">
        <v>2530.1799999999998</v>
      </c>
      <c r="EJ57" s="753">
        <v>647.17999999999995</v>
      </c>
      <c r="EK57" s="753">
        <v>972.89</v>
      </c>
      <c r="EL57" s="753">
        <v>5478.06</v>
      </c>
      <c r="EM57" s="753">
        <v>1000</v>
      </c>
      <c r="EN57" s="39"/>
      <c r="EO57" s="43" t="s">
        <v>41</v>
      </c>
      <c r="EP57" s="319">
        <v>93088</v>
      </c>
      <c r="EQ57" s="319">
        <v>53549.7</v>
      </c>
      <c r="ER57" s="319">
        <v>148808.01</v>
      </c>
      <c r="ES57" s="319">
        <v>63602.64</v>
      </c>
      <c r="ET57" s="319">
        <v>84970.76</v>
      </c>
      <c r="EU57" s="319">
        <v>84788.06</v>
      </c>
      <c r="EV57" s="319">
        <v>56616.95</v>
      </c>
      <c r="EW57" s="319">
        <v>94035.6</v>
      </c>
      <c r="EX57" s="319">
        <v>62446.240000000005</v>
      </c>
      <c r="EY57" s="319">
        <v>59593.57</v>
      </c>
      <c r="EZ57" s="319">
        <v>30849.329999999998</v>
      </c>
      <c r="FA57" s="319">
        <v>44837.049999999996</v>
      </c>
      <c r="FB57" s="319">
        <v>134213.09999999998</v>
      </c>
      <c r="FC57" s="319">
        <v>62998.130000000005</v>
      </c>
      <c r="FD57" s="319">
        <v>87118.790000000008</v>
      </c>
      <c r="FE57" s="319">
        <v>86997.000000000015</v>
      </c>
      <c r="FF57" s="319">
        <v>76744.36</v>
      </c>
      <c r="FG57" s="362">
        <v>85686.569999999992</v>
      </c>
      <c r="FH57" s="362">
        <v>101622.23999999999</v>
      </c>
      <c r="FI57" s="362">
        <v>93140.239999999991</v>
      </c>
      <c r="FJ57" s="362">
        <v>108882.35999999999</v>
      </c>
      <c r="FK57" s="362">
        <v>91840</v>
      </c>
      <c r="FM57" s="43" t="s">
        <v>41</v>
      </c>
      <c r="FN57" s="319">
        <v>193123</v>
      </c>
      <c r="FO57" s="319">
        <v>215702</v>
      </c>
      <c r="FP57" s="319">
        <v>316903</v>
      </c>
      <c r="FQ57" s="319">
        <v>365783</v>
      </c>
      <c r="FR57" s="319">
        <v>466278</v>
      </c>
      <c r="FS57" s="319">
        <v>490143</v>
      </c>
      <c r="FT57" s="319">
        <v>398856</v>
      </c>
      <c r="FU57" s="319">
        <v>356124</v>
      </c>
      <c r="FV57" s="319">
        <v>456512.24000000022</v>
      </c>
      <c r="FW57" s="319">
        <v>580000.68000000005</v>
      </c>
      <c r="FX57" s="319">
        <v>666511.56000000006</v>
      </c>
      <c r="FY57" s="319">
        <v>766108.21</v>
      </c>
      <c r="FZ57" s="319">
        <v>996710.2</v>
      </c>
      <c r="GA57" s="319">
        <v>948390.55</v>
      </c>
      <c r="GB57" s="319">
        <v>868673.31</v>
      </c>
      <c r="GC57" s="319">
        <v>1045028.56</v>
      </c>
      <c r="GD57" s="319">
        <v>1077649.31</v>
      </c>
      <c r="GE57" s="319">
        <v>1179181</v>
      </c>
      <c r="GF57" s="756">
        <v>1196959.75</v>
      </c>
      <c r="GG57" s="756">
        <v>1255521.3899999999</v>
      </c>
      <c r="GH57" s="756">
        <v>1117463.1900000002</v>
      </c>
      <c r="GI57" s="756">
        <v>7556.1899999999441</v>
      </c>
      <c r="GJ57" s="42"/>
      <c r="GK57" s="570" t="s">
        <v>41</v>
      </c>
      <c r="GL57" s="571">
        <f>FN57/'4GF Expenditures'!B58</f>
        <v>0.20697567494863736</v>
      </c>
      <c r="GM57" s="571">
        <f>FO57/'4GF Expenditures'!C58</f>
        <v>0.24795727403565401</v>
      </c>
      <c r="GN57" s="571">
        <f>FP57/'4GF Expenditures'!D58</f>
        <v>0.3036993663486271</v>
      </c>
      <c r="GO57" s="571">
        <f>FQ57/'4GF Expenditures'!E58</f>
        <v>0.36174448457421349</v>
      </c>
      <c r="GP57" s="571">
        <f>FR57/'4GF Expenditures'!F58</f>
        <v>0.41879765361653282</v>
      </c>
      <c r="GQ57" s="571">
        <f>FS57/'4GF Expenditures'!G58</f>
        <v>0.41278780391057079</v>
      </c>
      <c r="GR57" s="571">
        <f>FT57/'4GF Expenditures'!H58</f>
        <v>0.32596207831308072</v>
      </c>
      <c r="GS57" s="571">
        <f>FU57/'4GF Expenditures'!I58</f>
        <v>0.29234175329200929</v>
      </c>
      <c r="GT57" s="571">
        <f>FV57/'4GF Expenditures'!J58</f>
        <v>0.36694122029336818</v>
      </c>
      <c r="GU57" s="571">
        <f>FW57/'4GF Expenditures'!K58</f>
        <v>0.45019866312266554</v>
      </c>
      <c r="GV57" s="571">
        <f>FX57/'4GF Expenditures'!L58</f>
        <v>0.52455946799999165</v>
      </c>
      <c r="GW57" s="571">
        <f>FY57/'4GF Expenditures'!M58</f>
        <v>0.57050358297878612</v>
      </c>
      <c r="GX57" s="571">
        <f>FZ57/'4GF Expenditures'!N58</f>
        <v>0.68312797941022485</v>
      </c>
      <c r="GY57" s="571">
        <f>GA57/'4GF Expenditures'!O58</f>
        <v>0.65204549169542969</v>
      </c>
      <c r="GZ57" s="571">
        <f>GB57/'4GF Expenditures'!P58</f>
        <v>0.5708235515930804</v>
      </c>
      <c r="HA57" s="571">
        <f>GC57/'4GF Expenditures'!Q58</f>
        <v>0.71630653163704783</v>
      </c>
      <c r="HB57" s="571">
        <f>GD57/'4GF Expenditures'!R58</f>
        <v>0.69533101042148704</v>
      </c>
      <c r="HC57" s="571">
        <f>GE57/'4GF Expenditures'!S58</f>
        <v>0.74737735217709544</v>
      </c>
      <c r="HD57" s="571">
        <f>GF57/'4GF Expenditures'!T58</f>
        <v>0.69489215956012884</v>
      </c>
      <c r="HE57" s="571">
        <f>GG57/'4GF Expenditures'!U58</f>
        <v>0.72780098727434839</v>
      </c>
      <c r="HF57" s="571">
        <f>GH57/'4GF Expenditures'!V58</f>
        <v>0.56587660769320802</v>
      </c>
      <c r="HG57" s="571">
        <f>GI57/'4GF Expenditures'!W58</f>
        <v>2.6425354273046306E-3</v>
      </c>
      <c r="HH57" s="571"/>
      <c r="HI57" s="571"/>
      <c r="HJ57" s="571"/>
      <c r="HK57" s="568"/>
      <c r="HL57" s="567" t="s">
        <v>41</v>
      </c>
      <c r="HM57" s="571">
        <f>B57/'4GF Expenditures'!B58</f>
        <v>0.99765183999931406</v>
      </c>
      <c r="HN57" s="571">
        <f>C57/'4GF Expenditures'!C58</f>
        <v>1.0259553795998695</v>
      </c>
      <c r="HO57" s="571">
        <f>D57/'4GF Expenditures'!D58</f>
        <v>1.0969845017997539</v>
      </c>
      <c r="HP57" s="571">
        <f>E57/'4GF Expenditures'!E58</f>
        <v>1.0483403285718242</v>
      </c>
      <c r="HQ57" s="571">
        <f>F57/'4GF Expenditures'!F58</f>
        <v>1.0902617541470827</v>
      </c>
      <c r="HR57" s="571">
        <f>G57/'4GF Expenditures'!G58</f>
        <v>1.0200952166798467</v>
      </c>
      <c r="HS57" s="571">
        <f>H57/'4GF Expenditures'!H58</f>
        <v>0.92539556580559268</v>
      </c>
      <c r="HT57" s="571">
        <f>I57/'4GF Expenditures'!I58</f>
        <v>0.96492135379341426</v>
      </c>
      <c r="HU57" s="571">
        <f>J57/'4GF Expenditures'!J58</f>
        <v>1.0806911366788292</v>
      </c>
      <c r="HV57" s="571">
        <f>K57/'4GF Expenditures'!K58</f>
        <v>1.0958521817579654</v>
      </c>
      <c r="HW57" s="571">
        <f>L57/'4GF Expenditures'!L58</f>
        <v>1.0680859926705715</v>
      </c>
      <c r="HX57" s="571">
        <f>M57/'4GF Expenditures'!M58</f>
        <v>1.0741673890659442</v>
      </c>
      <c r="HY57" s="571">
        <f>N57/'4GF Expenditures'!N58</f>
        <v>1.1580504619356378</v>
      </c>
      <c r="HZ57" s="571">
        <f>O57/'4GF Expenditures'!O58</f>
        <v>0.96677886558148329</v>
      </c>
      <c r="IA57" s="571">
        <f>P57/'4GF Expenditures'!P58</f>
        <v>0.94761614671106231</v>
      </c>
      <c r="IB57" s="571">
        <f>Q57/'4GF Expenditures'!Q58</f>
        <v>1.1208813063094507</v>
      </c>
      <c r="IC57" s="571">
        <f>R57/'4GF Expenditures'!R58</f>
        <v>1.0210478667296754</v>
      </c>
      <c r="ID57" s="573">
        <f>S57/'4GF Expenditures'!S58</f>
        <v>1.0643518557662186</v>
      </c>
      <c r="IE57" s="572">
        <f>T57/'4GF Expenditures'!T58</f>
        <v>1.0103214113772661</v>
      </c>
      <c r="IF57" s="572">
        <f>U57/'4GF Expenditures'!U58</f>
        <v>1.0339470277032916</v>
      </c>
      <c r="IG57" s="572">
        <f>V57/'4GF Expenditures'!V58</f>
        <v>0.9300881616689044</v>
      </c>
      <c r="IH57" s="572">
        <f>W57/'4GF Expenditures'!W58</f>
        <v>0.61184557713431997</v>
      </c>
    </row>
    <row r="58" spans="1:242" ht="14">
      <c r="A58" s="43" t="s">
        <v>42</v>
      </c>
      <c r="B58" s="319">
        <v>1229787</v>
      </c>
      <c r="C58" s="319">
        <v>1403904</v>
      </c>
      <c r="D58" s="319">
        <v>1399296</v>
      </c>
      <c r="E58" s="319">
        <v>1493188</v>
      </c>
      <c r="F58" s="319">
        <v>1645849</v>
      </c>
      <c r="G58" s="319">
        <v>1535685</v>
      </c>
      <c r="H58" s="319">
        <v>1465238</v>
      </c>
      <c r="I58" s="319">
        <v>1483111</v>
      </c>
      <c r="J58" s="319">
        <v>1496487</v>
      </c>
      <c r="K58" s="319">
        <v>1511410</v>
      </c>
      <c r="L58" s="319">
        <v>1643140</v>
      </c>
      <c r="M58" s="319">
        <v>1685645</v>
      </c>
      <c r="N58" s="319">
        <v>1933083</v>
      </c>
      <c r="O58" s="319">
        <v>1899303</v>
      </c>
      <c r="P58" s="319">
        <v>2264221</v>
      </c>
      <c r="Q58" s="319">
        <v>1956368.0039850001</v>
      </c>
      <c r="R58" s="319">
        <v>1950373</v>
      </c>
      <c r="S58" s="362"/>
      <c r="T58" s="877"/>
      <c r="U58" s="362">
        <v>2467113</v>
      </c>
      <c r="V58" s="362">
        <v>2211855</v>
      </c>
      <c r="W58" s="362">
        <v>2188595</v>
      </c>
      <c r="X58" s="6"/>
      <c r="Y58" s="43" t="s">
        <v>42</v>
      </c>
      <c r="Z58" s="319">
        <v>0</v>
      </c>
      <c r="AA58" s="319">
        <v>0</v>
      </c>
      <c r="AB58" s="319">
        <v>0</v>
      </c>
      <c r="AC58" s="319">
        <v>0</v>
      </c>
      <c r="AD58" s="319">
        <v>0</v>
      </c>
      <c r="AE58" s="319">
        <v>15356.85</v>
      </c>
      <c r="AF58" s="319">
        <v>14652.38</v>
      </c>
      <c r="AG58" s="319">
        <v>29662.22</v>
      </c>
      <c r="AH58" s="319">
        <v>23328</v>
      </c>
      <c r="AI58" s="319">
        <v>14077</v>
      </c>
      <c r="AJ58" s="319">
        <v>13836</v>
      </c>
      <c r="AK58" s="319">
        <v>15079</v>
      </c>
      <c r="AL58" s="319">
        <v>17210</v>
      </c>
      <c r="AM58" s="319">
        <v>16201</v>
      </c>
      <c r="AN58" s="319">
        <v>17902</v>
      </c>
      <c r="AO58" s="319">
        <v>14418</v>
      </c>
      <c r="AP58" s="319">
        <v>23288</v>
      </c>
      <c r="AQ58" s="362"/>
      <c r="AR58" s="753"/>
      <c r="AS58" s="753">
        <v>68667</v>
      </c>
      <c r="AT58" s="753">
        <v>51757</v>
      </c>
      <c r="AU58" s="753">
        <v>70000</v>
      </c>
      <c r="AV58" s="39"/>
      <c r="AW58" s="43" t="s">
        <v>42</v>
      </c>
      <c r="AX58" s="319">
        <v>750170.07</v>
      </c>
      <c r="AY58" s="319">
        <v>772147.19999999995</v>
      </c>
      <c r="AZ58" s="319">
        <v>727633.92000000004</v>
      </c>
      <c r="BA58" s="319">
        <v>746594</v>
      </c>
      <c r="BB58" s="319">
        <v>822924.5</v>
      </c>
      <c r="BC58" s="319">
        <v>813913.05</v>
      </c>
      <c r="BD58" s="319">
        <v>791228.52</v>
      </c>
      <c r="BE58" s="319">
        <v>771217.72</v>
      </c>
      <c r="BF58" s="319">
        <v>789724</v>
      </c>
      <c r="BG58" s="319">
        <v>850537</v>
      </c>
      <c r="BH58" s="319">
        <v>909967</v>
      </c>
      <c r="BI58" s="319">
        <v>1002505</v>
      </c>
      <c r="BJ58" s="319">
        <v>997124</v>
      </c>
      <c r="BK58" s="319">
        <v>955736</v>
      </c>
      <c r="BL58" s="319">
        <v>953488</v>
      </c>
      <c r="BM58" s="319">
        <v>987303</v>
      </c>
      <c r="BN58" s="319">
        <v>969067</v>
      </c>
      <c r="BO58" s="362"/>
      <c r="BP58" s="753"/>
      <c r="BQ58" s="753">
        <v>1075122</v>
      </c>
      <c r="BR58" s="753">
        <v>1057907</v>
      </c>
      <c r="BS58" s="753">
        <v>1026170</v>
      </c>
      <c r="BT58" s="286"/>
      <c r="BU58" s="43" t="s">
        <v>42</v>
      </c>
      <c r="BV58" s="319">
        <v>196765.92</v>
      </c>
      <c r="BW58" s="319">
        <v>322897.91999999998</v>
      </c>
      <c r="BX58" s="319">
        <v>363816.96000000002</v>
      </c>
      <c r="BY58" s="319">
        <v>403160.76</v>
      </c>
      <c r="BZ58" s="319">
        <v>444379.23</v>
      </c>
      <c r="CA58" s="319">
        <v>291780.15000000002</v>
      </c>
      <c r="CB58" s="319">
        <v>351657.12</v>
      </c>
      <c r="CC58" s="319">
        <v>385608.86</v>
      </c>
      <c r="CD58" s="319">
        <v>361154</v>
      </c>
      <c r="CE58" s="319">
        <v>390774</v>
      </c>
      <c r="CF58" s="319">
        <v>432524</v>
      </c>
      <c r="CG58" s="319">
        <v>365560</v>
      </c>
      <c r="CH58" s="319">
        <v>394601</v>
      </c>
      <c r="CI58" s="319">
        <v>454711</v>
      </c>
      <c r="CJ58" s="319">
        <v>537558</v>
      </c>
      <c r="CK58" s="319">
        <v>497219</v>
      </c>
      <c r="CL58" s="319">
        <v>455567</v>
      </c>
      <c r="CM58" s="362"/>
      <c r="CN58" s="753"/>
      <c r="CO58" s="753">
        <v>486687</v>
      </c>
      <c r="CP58" s="753">
        <v>455770</v>
      </c>
      <c r="CQ58" s="753">
        <v>443425</v>
      </c>
      <c r="CR58" s="39"/>
      <c r="CS58" s="43" t="s">
        <v>42</v>
      </c>
      <c r="CT58" s="319">
        <v>209063.79</v>
      </c>
      <c r="CU58" s="319">
        <v>196546.56</v>
      </c>
      <c r="CV58" s="319">
        <v>209894.39999999999</v>
      </c>
      <c r="CW58" s="319">
        <v>194114.44</v>
      </c>
      <c r="CX58" s="319">
        <v>197501.88</v>
      </c>
      <c r="CY58" s="319">
        <v>230352.75</v>
      </c>
      <c r="CZ58" s="319">
        <v>249090.46</v>
      </c>
      <c r="DA58" s="319">
        <v>252128.87</v>
      </c>
      <c r="DB58" s="319">
        <v>218080</v>
      </c>
      <c r="DC58" s="319">
        <v>185168</v>
      </c>
      <c r="DD58" s="319">
        <v>205628</v>
      </c>
      <c r="DE58" s="319">
        <v>231669</v>
      </c>
      <c r="DF58" s="319">
        <v>431887</v>
      </c>
      <c r="DG58" s="319">
        <v>423372</v>
      </c>
      <c r="DH58" s="319">
        <v>455106</v>
      </c>
      <c r="DI58" s="319">
        <v>422992</v>
      </c>
      <c r="DJ58" s="319">
        <v>463287</v>
      </c>
      <c r="DK58" s="362"/>
      <c r="DL58" s="753"/>
      <c r="DM58" s="753">
        <v>792665</v>
      </c>
      <c r="DN58" s="753">
        <v>479708</v>
      </c>
      <c r="DO58" s="753">
        <v>474000</v>
      </c>
      <c r="DP58" s="39"/>
      <c r="DQ58" s="43" t="s">
        <v>42</v>
      </c>
      <c r="DR58" s="319">
        <v>24595.74</v>
      </c>
      <c r="DS58" s="319">
        <v>28078.080000000002</v>
      </c>
      <c r="DT58" s="319">
        <v>13992.96</v>
      </c>
      <c r="DU58" s="319">
        <v>14931.88</v>
      </c>
      <c r="DV58" s="319">
        <v>16458.490000000002</v>
      </c>
      <c r="DW58" s="319">
        <v>15356.85</v>
      </c>
      <c r="DX58" s="319">
        <v>0</v>
      </c>
      <c r="DY58" s="319">
        <v>0</v>
      </c>
      <c r="DZ58" s="319">
        <v>3146</v>
      </c>
      <c r="EA58" s="319">
        <v>5838</v>
      </c>
      <c r="EB58" s="319">
        <v>4788</v>
      </c>
      <c r="EC58" s="319">
        <v>12545</v>
      </c>
      <c r="ED58" s="319">
        <v>11200</v>
      </c>
      <c r="EE58" s="319">
        <v>1545</v>
      </c>
      <c r="EF58" s="319">
        <v>5482</v>
      </c>
      <c r="EG58" s="319">
        <v>2985.0039849999998</v>
      </c>
      <c r="EH58" s="319">
        <v>2452</v>
      </c>
      <c r="EI58" s="362"/>
      <c r="EJ58" s="753"/>
      <c r="EK58" s="753">
        <v>3073</v>
      </c>
      <c r="EL58" s="753">
        <v>2114</v>
      </c>
      <c r="EM58" s="753">
        <v>2000</v>
      </c>
      <c r="EN58" s="39"/>
      <c r="EO58" s="43" t="s">
        <v>42</v>
      </c>
      <c r="EP58" s="319">
        <v>49191.48</v>
      </c>
      <c r="EQ58" s="319">
        <v>84234.240000000005</v>
      </c>
      <c r="ER58" s="319">
        <v>83957.759999999995</v>
      </c>
      <c r="ES58" s="319">
        <v>134386.92000000001</v>
      </c>
      <c r="ET58" s="319">
        <v>164584.9</v>
      </c>
      <c r="EU58" s="319">
        <v>168925.35</v>
      </c>
      <c r="EV58" s="319">
        <v>58609.52</v>
      </c>
      <c r="EW58" s="319">
        <v>44493.33</v>
      </c>
      <c r="EX58" s="319">
        <v>74239</v>
      </c>
      <c r="EY58" s="319">
        <v>35841</v>
      </c>
      <c r="EZ58" s="319">
        <v>26170</v>
      </c>
      <c r="FA58" s="319">
        <v>43661</v>
      </c>
      <c r="FB58" s="319">
        <v>31293</v>
      </c>
      <c r="FC58" s="319">
        <v>47683</v>
      </c>
      <c r="FD58" s="319">
        <v>234685</v>
      </c>
      <c r="FE58" s="319">
        <v>31451</v>
      </c>
      <c r="FF58" s="319">
        <v>36712</v>
      </c>
      <c r="FG58" s="362"/>
      <c r="FH58" s="362"/>
      <c r="FI58" s="362">
        <v>20899</v>
      </c>
      <c r="FJ58" s="362">
        <v>16262</v>
      </c>
      <c r="FK58" s="362">
        <v>14000</v>
      </c>
      <c r="FM58" s="43" t="s">
        <v>42</v>
      </c>
      <c r="FN58" s="319">
        <v>278953</v>
      </c>
      <c r="FO58" s="319">
        <v>340716</v>
      </c>
      <c r="FP58" s="319">
        <v>196197</v>
      </c>
      <c r="FQ58" s="319">
        <v>132813</v>
      </c>
      <c r="FR58" s="319">
        <v>277741</v>
      </c>
      <c r="FS58" s="319">
        <v>222396</v>
      </c>
      <c r="FT58" s="319">
        <v>219201</v>
      </c>
      <c r="FU58" s="319">
        <v>170647</v>
      </c>
      <c r="FV58" s="319">
        <v>117243</v>
      </c>
      <c r="FW58" s="319">
        <v>83673</v>
      </c>
      <c r="FX58" s="319">
        <v>187118</v>
      </c>
      <c r="FY58" s="319">
        <v>282221</v>
      </c>
      <c r="FZ58" s="319">
        <v>99260</v>
      </c>
      <c r="GA58" s="319">
        <v>247907</v>
      </c>
      <c r="GB58" s="319">
        <v>374128</v>
      </c>
      <c r="GC58" s="319">
        <v>360870</v>
      </c>
      <c r="GD58" s="319">
        <v>299829</v>
      </c>
      <c r="GE58" s="319"/>
      <c r="GF58" s="756"/>
      <c r="GG58" s="756">
        <v>317930</v>
      </c>
      <c r="GH58" s="756">
        <v>302547</v>
      </c>
      <c r="GI58" s="756">
        <v>15666</v>
      </c>
      <c r="GJ58" s="42"/>
      <c r="GK58" s="570" t="s">
        <v>42</v>
      </c>
      <c r="GL58" s="571">
        <f>FN58/'4GF Expenditures'!B59</f>
        <v>0.2075998824146669</v>
      </c>
      <c r="GM58" s="571">
        <f>FO58/'4GF Expenditures'!C59</f>
        <v>0.25386006388300486</v>
      </c>
      <c r="GN58" s="571">
        <f>FP58/'4GF Expenditures'!D59</f>
        <v>0.12708582310704328</v>
      </c>
      <c r="GO58" s="571">
        <f>FQ58/'4GF Expenditures'!E59</f>
        <v>8.5324032553585699E-2</v>
      </c>
      <c r="GP58" s="571">
        <f>FR58/'4GF Expenditures'!F59</f>
        <v>0.18504704777933015</v>
      </c>
      <c r="GQ58" s="571">
        <f>FS58/'4GF Expenditures'!G59</f>
        <v>0.13978106020561509</v>
      </c>
      <c r="GR58" s="571">
        <f>FT58/'4GF Expenditures'!H59</f>
        <v>0.14927545213162602</v>
      </c>
      <c r="GS58" s="571">
        <f>FU58/'4GF Expenditures'!I59</f>
        <v>0.11141274364825207</v>
      </c>
      <c r="GT58" s="571">
        <f>FV58/'4GF Expenditures'!J59</f>
        <v>7.563278911029242E-2</v>
      </c>
      <c r="GU58" s="571">
        <f>FW58/'4GF Expenditures'!K59</f>
        <v>5.4165169684905569E-2</v>
      </c>
      <c r="GV58" s="571">
        <f>FX58/'4GF Expenditures'!L59</f>
        <v>0.12152950070533587</v>
      </c>
      <c r="GW58" s="571">
        <f>FY58/'4GF Expenditures'!M59</f>
        <v>0.1773887081820896</v>
      </c>
      <c r="GX58" s="571">
        <f>FZ58/'4GF Expenditures'!N59</f>
        <v>4.6909728310158084E-2</v>
      </c>
      <c r="GY58" s="571">
        <f>GA58/'4GF Expenditures'!O59</f>
        <v>0.14157158871502426</v>
      </c>
      <c r="GZ58" s="571">
        <f>GB58/'4GF Expenditures'!P59</f>
        <v>0.17504571153727386</v>
      </c>
      <c r="HA58" s="571">
        <f>GC58/'4GF Expenditures'!Q59</f>
        <v>0.18321640829431601</v>
      </c>
      <c r="HB58" s="571">
        <f>GD58/'4GF Expenditures'!R59</f>
        <v>0.14906357060718886</v>
      </c>
      <c r="HC58" s="571" t="e">
        <f>GE58/'4GF Expenditures'!S59</f>
        <v>#DIV/0!</v>
      </c>
      <c r="HD58" s="571" t="e">
        <f>GF58/'4GF Expenditures'!T59</f>
        <v>#DIV/0!</v>
      </c>
      <c r="HE58" s="571">
        <f>GG58/'4GF Expenditures'!U59</f>
        <v>0.12418970834383124</v>
      </c>
      <c r="HF58" s="571">
        <f>GH58/'4GF Expenditures'!V59</f>
        <v>0.13583954655946065</v>
      </c>
      <c r="HG58" s="571">
        <f>GI58/'4GF Expenditures'!W59</f>
        <v>6.3284798559953724E-3</v>
      </c>
      <c r="HH58" s="571"/>
      <c r="HI58" s="571"/>
      <c r="HJ58" s="571"/>
      <c r="HK58" s="568"/>
      <c r="HL58" s="567" t="s">
        <v>42</v>
      </c>
      <c r="HM58" s="571">
        <f>B58/'4GF Expenditures'!B59</f>
        <v>0.9152209748419482</v>
      </c>
      <c r="HN58" s="571">
        <f>C58/'4GF Expenditures'!C59</f>
        <v>1.0460182648469871</v>
      </c>
      <c r="HO58" s="571">
        <f>D58/'4GF Expenditures'!D59</f>
        <v>0.90638839498255941</v>
      </c>
      <c r="HP58" s="571">
        <f>E58/'4GF Expenditures'!E59</f>
        <v>0.95927975063151594</v>
      </c>
      <c r="HQ58" s="571">
        <f>F58/'4GF Expenditures'!F59</f>
        <v>1.096559379207833</v>
      </c>
      <c r="HR58" s="571">
        <f>G58/'4GF Expenditures'!G59</f>
        <v>0.96521375133482623</v>
      </c>
      <c r="HS58" s="571">
        <f>H58/'4GF Expenditures'!H59</f>
        <v>0.99782421125104104</v>
      </c>
      <c r="HT58" s="571">
        <f>I58/'4GF Expenditures'!I59</f>
        <v>0.96829985669190066</v>
      </c>
      <c r="HU58" s="571">
        <f>J58/'4GF Expenditures'!J59</f>
        <v>0.96537520941373189</v>
      </c>
      <c r="HV58" s="571">
        <f>K58/'4GF Expenditures'!K59</f>
        <v>0.97840138531501353</v>
      </c>
      <c r="HW58" s="571">
        <f>L58/'4GF Expenditures'!L59</f>
        <v>1.0671874634667193</v>
      </c>
      <c r="HX58" s="571">
        <f>M58/'4GF Expenditures'!M59</f>
        <v>1.0595043919609044</v>
      </c>
      <c r="HY58" s="571">
        <f>N58/'4GF Expenditures'!N59</f>
        <v>0.91356435957067628</v>
      </c>
      <c r="HZ58" s="571">
        <f>O58/'4GF Expenditures'!O59</f>
        <v>1.0846298941184063</v>
      </c>
      <c r="IA58" s="571">
        <f>P58/'4GF Expenditures'!P59</f>
        <v>1.0593758714200427</v>
      </c>
      <c r="IB58" s="571">
        <f>Q58/'4GF Expenditures'!Q59</f>
        <v>0.99326272339638044</v>
      </c>
      <c r="IC58" s="571">
        <f>R58/'4GF Expenditures'!R59</f>
        <v>0.96965124586299112</v>
      </c>
      <c r="ID58" s="573" t="e">
        <f>S58/'4GF Expenditures'!S59</f>
        <v>#DIV/0!</v>
      </c>
      <c r="IE58" s="572" t="e">
        <f>T58/'4GF Expenditures'!T59</f>
        <v>#DIV/0!</v>
      </c>
      <c r="IF58" s="572">
        <f>U58/'4GF Expenditures'!U59</f>
        <v>0.96370284000023432</v>
      </c>
      <c r="IG58" s="572">
        <f>V58/'4GF Expenditures'!V59</f>
        <v>0.99309323924968951</v>
      </c>
      <c r="IH58" s="572">
        <f>W58/'4GF Expenditures'!W59</f>
        <v>0.88411077303920538</v>
      </c>
    </row>
    <row r="59" spans="1:242" ht="14">
      <c r="A59" s="43" t="s">
        <v>43</v>
      </c>
      <c r="B59" s="319">
        <v>1255639</v>
      </c>
      <c r="C59" s="319">
        <v>1233011</v>
      </c>
      <c r="D59" s="319">
        <v>1280965</v>
      </c>
      <c r="E59" s="319">
        <v>1387983</v>
      </c>
      <c r="F59" s="319">
        <v>1787156</v>
      </c>
      <c r="G59" s="319">
        <v>1415630</v>
      </c>
      <c r="H59" s="319">
        <v>1528216</v>
      </c>
      <c r="I59" s="319">
        <v>1528053</v>
      </c>
      <c r="J59" s="319">
        <v>1635902.66</v>
      </c>
      <c r="K59" s="319">
        <v>1650133.17</v>
      </c>
      <c r="L59" s="319">
        <v>1708257.43</v>
      </c>
      <c r="M59" s="319">
        <v>1680395.9100000001</v>
      </c>
      <c r="N59" s="319">
        <v>1771600.7900000003</v>
      </c>
      <c r="O59" s="319">
        <v>1819843.9199999997</v>
      </c>
      <c r="P59" s="319"/>
      <c r="Q59" s="319"/>
      <c r="R59" s="319"/>
      <c r="S59" s="362"/>
      <c r="T59" s="362"/>
      <c r="U59" s="362"/>
      <c r="V59" s="362"/>
      <c r="W59" s="362"/>
      <c r="X59" s="6"/>
      <c r="Y59" s="43" t="s">
        <v>43</v>
      </c>
      <c r="Z59" s="319">
        <v>213458.63</v>
      </c>
      <c r="AA59" s="319">
        <v>234272.09</v>
      </c>
      <c r="AB59" s="319">
        <v>230573.7</v>
      </c>
      <c r="AC59" s="319">
        <v>249836.94</v>
      </c>
      <c r="AD59" s="319">
        <v>268073.40000000002</v>
      </c>
      <c r="AE59" s="319">
        <v>283126</v>
      </c>
      <c r="AF59" s="319">
        <v>305643.2</v>
      </c>
      <c r="AG59" s="319">
        <v>351452.19</v>
      </c>
      <c r="AH59" s="319">
        <v>345276.63999999996</v>
      </c>
      <c r="AI59" s="319">
        <v>315439.5</v>
      </c>
      <c r="AJ59" s="319">
        <v>361332.92</v>
      </c>
      <c r="AK59" s="319">
        <v>363113.13</v>
      </c>
      <c r="AL59" s="319">
        <v>400372.55000000005</v>
      </c>
      <c r="AM59" s="319">
        <v>429845.19999999995</v>
      </c>
      <c r="AN59" s="319"/>
      <c r="AO59" s="319"/>
      <c r="AP59" s="319"/>
      <c r="AQ59" s="362"/>
      <c r="AR59" s="753"/>
      <c r="AS59" s="753"/>
      <c r="AT59" s="753"/>
      <c r="AU59" s="753"/>
      <c r="AV59" s="39"/>
      <c r="AW59" s="43" t="s">
        <v>43</v>
      </c>
      <c r="AX59" s="319">
        <v>477142.82</v>
      </c>
      <c r="AY59" s="319">
        <v>480874.29</v>
      </c>
      <c r="AZ59" s="319">
        <v>486766.7</v>
      </c>
      <c r="BA59" s="319">
        <v>499673.88</v>
      </c>
      <c r="BB59" s="319">
        <v>536146.80000000005</v>
      </c>
      <c r="BC59" s="319">
        <v>566252</v>
      </c>
      <c r="BD59" s="319">
        <v>596004.24</v>
      </c>
      <c r="BE59" s="319">
        <v>595940.67000000004</v>
      </c>
      <c r="BF59" s="319">
        <v>640578.81999999995</v>
      </c>
      <c r="BG59" s="319">
        <v>709618.37</v>
      </c>
      <c r="BH59" s="319">
        <v>704473.26</v>
      </c>
      <c r="BI59" s="319">
        <v>695195.62</v>
      </c>
      <c r="BJ59" s="319">
        <v>662724.4</v>
      </c>
      <c r="BK59" s="319">
        <v>609533.88</v>
      </c>
      <c r="BL59" s="319"/>
      <c r="BM59" s="319"/>
      <c r="BN59" s="319"/>
      <c r="BO59" s="362"/>
      <c r="BP59" s="753"/>
      <c r="BQ59" s="753"/>
      <c r="BR59" s="753"/>
      <c r="BS59" s="753"/>
      <c r="BT59" s="286"/>
      <c r="BU59" s="43" t="s">
        <v>43</v>
      </c>
      <c r="BV59" s="319">
        <v>200902.24</v>
      </c>
      <c r="BW59" s="319">
        <v>184951.65</v>
      </c>
      <c r="BX59" s="319">
        <v>230573.7</v>
      </c>
      <c r="BY59" s="319">
        <v>222077.28</v>
      </c>
      <c r="BZ59" s="319">
        <v>554018.36</v>
      </c>
      <c r="CA59" s="319">
        <v>184031.9</v>
      </c>
      <c r="CB59" s="319">
        <v>213950.24</v>
      </c>
      <c r="CC59" s="319">
        <v>152805.29999999999</v>
      </c>
      <c r="CD59" s="319">
        <v>208979.02000000005</v>
      </c>
      <c r="CE59" s="319">
        <v>150428.32</v>
      </c>
      <c r="CF59" s="319">
        <v>122272.99</v>
      </c>
      <c r="CG59" s="319">
        <v>97332.26</v>
      </c>
      <c r="CH59" s="319">
        <v>162171.51</v>
      </c>
      <c r="CI59" s="319">
        <v>93816.459999999977</v>
      </c>
      <c r="CJ59" s="319"/>
      <c r="CK59" s="319"/>
      <c r="CL59" s="319"/>
      <c r="CM59" s="362"/>
      <c r="CN59" s="753"/>
      <c r="CO59" s="753"/>
      <c r="CP59" s="753"/>
      <c r="CQ59" s="753"/>
      <c r="CR59" s="39"/>
      <c r="CS59" s="43" t="s">
        <v>43</v>
      </c>
      <c r="CT59" s="319">
        <v>251127.8</v>
      </c>
      <c r="CU59" s="319">
        <v>246602.2</v>
      </c>
      <c r="CV59" s="319">
        <v>243383.35</v>
      </c>
      <c r="CW59" s="319">
        <v>249836.94</v>
      </c>
      <c r="CX59" s="319">
        <v>268073.40000000002</v>
      </c>
      <c r="CY59" s="319">
        <v>240657.1</v>
      </c>
      <c r="CZ59" s="319">
        <v>275078.88</v>
      </c>
      <c r="DA59" s="319">
        <v>320891.13</v>
      </c>
      <c r="DB59" s="319">
        <v>306146.45</v>
      </c>
      <c r="DC59" s="319">
        <v>282628.44999999995</v>
      </c>
      <c r="DD59" s="319">
        <v>317552.41000000003</v>
      </c>
      <c r="DE59" s="319">
        <v>310924.01</v>
      </c>
      <c r="DF59" s="319">
        <v>305011.31</v>
      </c>
      <c r="DG59" s="319">
        <v>302487.32</v>
      </c>
      <c r="DH59" s="319"/>
      <c r="DI59" s="319"/>
      <c r="DJ59" s="319"/>
      <c r="DK59" s="362"/>
      <c r="DL59" s="753"/>
      <c r="DM59" s="753"/>
      <c r="DN59" s="753"/>
      <c r="DO59" s="753"/>
      <c r="DP59" s="39"/>
      <c r="DQ59" s="43" t="s">
        <v>43</v>
      </c>
      <c r="DR59" s="319">
        <v>12556.39</v>
      </c>
      <c r="DS59" s="319">
        <v>12330.11</v>
      </c>
      <c r="DT59" s="319">
        <v>12809.65</v>
      </c>
      <c r="DU59" s="319">
        <v>13879.83</v>
      </c>
      <c r="DV59" s="319">
        <v>17871.560000000001</v>
      </c>
      <c r="DW59" s="319">
        <v>14156.3</v>
      </c>
      <c r="DX59" s="319">
        <v>15282.16</v>
      </c>
      <c r="DY59" s="319">
        <v>0</v>
      </c>
      <c r="DZ59" s="319">
        <v>5323.47</v>
      </c>
      <c r="EA59" s="319">
        <v>10142.879999999999</v>
      </c>
      <c r="EB59" s="319">
        <v>22147.38</v>
      </c>
      <c r="EC59" s="319">
        <v>29610.66</v>
      </c>
      <c r="ED59" s="319">
        <v>28070.91</v>
      </c>
      <c r="EE59" s="319">
        <v>15003.47</v>
      </c>
      <c r="EF59" s="319"/>
      <c r="EG59" s="319"/>
      <c r="EH59" s="319"/>
      <c r="EI59" s="362"/>
      <c r="EJ59" s="753"/>
      <c r="EK59" s="753"/>
      <c r="EL59" s="753"/>
      <c r="EM59" s="753"/>
      <c r="EN59" s="39"/>
      <c r="EO59" s="43" t="s">
        <v>43</v>
      </c>
      <c r="EP59" s="319">
        <v>100451.12</v>
      </c>
      <c r="EQ59" s="319">
        <v>73980.66</v>
      </c>
      <c r="ER59" s="319">
        <v>76857.899999999994</v>
      </c>
      <c r="ES59" s="319">
        <v>152678.13</v>
      </c>
      <c r="ET59" s="319">
        <v>142972.48000000001</v>
      </c>
      <c r="EU59" s="319">
        <v>127406.7</v>
      </c>
      <c r="EV59" s="319">
        <v>122257.28</v>
      </c>
      <c r="EW59" s="319">
        <v>106963.71</v>
      </c>
      <c r="EX59" s="319">
        <v>98253.260000000009</v>
      </c>
      <c r="EY59" s="319">
        <v>136875.65</v>
      </c>
      <c r="EZ59" s="319">
        <v>135478.47</v>
      </c>
      <c r="FA59" s="319">
        <v>139220.23000000001</v>
      </c>
      <c r="FB59" s="319">
        <v>132950.11000000002</v>
      </c>
      <c r="FC59" s="319">
        <v>161897.46999999997</v>
      </c>
      <c r="FD59" s="319"/>
      <c r="FE59" s="319"/>
      <c r="FF59" s="319"/>
      <c r="FG59" s="362"/>
      <c r="FH59" s="362"/>
      <c r="FI59" s="362"/>
      <c r="FJ59" s="362"/>
      <c r="FK59" s="362"/>
      <c r="FM59" s="43" t="s">
        <v>43</v>
      </c>
      <c r="FN59" s="319">
        <v>158499</v>
      </c>
      <c r="FO59" s="319">
        <v>153319</v>
      </c>
      <c r="FP59" s="319">
        <v>59273</v>
      </c>
      <c r="FQ59" s="319">
        <v>125264</v>
      </c>
      <c r="FR59" s="319">
        <v>214341</v>
      </c>
      <c r="FS59" s="319">
        <v>176011</v>
      </c>
      <c r="FT59" s="319">
        <v>153152</v>
      </c>
      <c r="FU59" s="319">
        <v>125982</v>
      </c>
      <c r="FV59" s="319">
        <v>201370.94999999972</v>
      </c>
      <c r="FW59" s="319">
        <v>270544.02</v>
      </c>
      <c r="FX59" s="319">
        <v>410630.56</v>
      </c>
      <c r="FY59" s="319">
        <v>431844.3</v>
      </c>
      <c r="FZ59" s="319">
        <v>375985.78</v>
      </c>
      <c r="GA59" s="319">
        <v>477575.01</v>
      </c>
      <c r="GB59" s="319"/>
      <c r="GC59" s="319"/>
      <c r="GD59" s="319"/>
      <c r="GE59" s="319"/>
      <c r="GF59" s="756"/>
      <c r="GG59" s="756"/>
      <c r="GH59" s="756"/>
      <c r="GI59" s="756"/>
      <c r="GJ59" s="42"/>
      <c r="GK59" s="570" t="s">
        <v>43</v>
      </c>
      <c r="GL59" s="571">
        <f>FN59/'4GF Expenditures'!B60</f>
        <v>0.13051103833919744</v>
      </c>
      <c r="GM59" s="571">
        <f>FO59/'4GF Expenditures'!C60</f>
        <v>0.12382499953561284</v>
      </c>
      <c r="GN59" s="571">
        <f>FP59/'4GF Expenditures'!D60</f>
        <v>4.3107291505304318E-2</v>
      </c>
      <c r="GO59" s="571">
        <f>FQ59/'4GF Expenditures'!E60</f>
        <v>9.4753977331179004E-2</v>
      </c>
      <c r="GP59" s="571">
        <f>FR59/'4GF Expenditures'!F60</f>
        <v>0.12622557607743809</v>
      </c>
      <c r="GQ59" s="571">
        <f>FS59/'4GF Expenditures'!G60</f>
        <v>0.12105628765578146</v>
      </c>
      <c r="GR59" s="571">
        <f>FT59/'4GF Expenditures'!H60</f>
        <v>9.8739261479941332E-2</v>
      </c>
      <c r="GS59" s="571">
        <f>FU59/'4GF Expenditures'!I60</f>
        <v>8.1005694356568569E-2</v>
      </c>
      <c r="GT59" s="571">
        <f>FV59/'4GF Expenditures'!J60</f>
        <v>0.12904154223479553</v>
      </c>
      <c r="GU59" s="571">
        <f>FW59/'4GF Expenditures'!K60</f>
        <v>0.1711264060364332</v>
      </c>
      <c r="GV59" s="571">
        <f>FX59/'4GF Expenditures'!L60</f>
        <v>0.26185319636943394</v>
      </c>
      <c r="GW59" s="571">
        <f>FY59/'4GF Expenditures'!M60</f>
        <v>0.26027539821019169</v>
      </c>
      <c r="GX59" s="571">
        <f>FZ59/'4GF Expenditures'!N60</f>
        <v>0.20574235384753931</v>
      </c>
      <c r="GY59" s="571">
        <f>GA59/'4GF Expenditures'!O60</f>
        <v>0.27794192140398</v>
      </c>
      <c r="GZ59" s="571" t="e">
        <f>GB59/'4GF Expenditures'!P60</f>
        <v>#DIV/0!</v>
      </c>
      <c r="HA59" s="571" t="e">
        <f>GC59/'4GF Expenditures'!Q60</f>
        <v>#DIV/0!</v>
      </c>
      <c r="HB59" s="571" t="e">
        <f>GD59/'4GF Expenditures'!R60</f>
        <v>#DIV/0!</v>
      </c>
      <c r="HC59" s="571" t="e">
        <f>GE59/'4GF Expenditures'!S60</f>
        <v>#DIV/0!</v>
      </c>
      <c r="HD59" s="571" t="e">
        <f>GF59/'4GF Expenditures'!T60</f>
        <v>#DIV/0!</v>
      </c>
      <c r="HE59" s="571" t="e">
        <f>GG59/'4GF Expenditures'!U60</f>
        <v>#DIV/0!</v>
      </c>
      <c r="HF59" s="571" t="e">
        <f>GH59/'4GF Expenditures'!V60</f>
        <v>#DIV/0!</v>
      </c>
      <c r="HG59" s="571" t="e">
        <f>GI59/'4GF Expenditures'!W60</f>
        <v>#DIV/0!</v>
      </c>
      <c r="HH59" s="571"/>
      <c r="HI59" s="571"/>
      <c r="HJ59" s="571"/>
      <c r="HK59" s="568"/>
      <c r="HL59" s="567" t="s">
        <v>43</v>
      </c>
      <c r="HM59" s="571">
        <f>B59/'4GF Expenditures'!B60</f>
        <v>1.0339166156833264</v>
      </c>
      <c r="HN59" s="571">
        <f>C59/'4GF Expenditures'!C60</f>
        <v>0.99581647742553447</v>
      </c>
      <c r="HO59" s="571">
        <f>D59/'4GF Expenditures'!D60</f>
        <v>0.93160345626325902</v>
      </c>
      <c r="HP59" s="571">
        <f>E59/'4GF Expenditures'!E60</f>
        <v>1.0499178512426701</v>
      </c>
      <c r="HQ59" s="571">
        <f>F59/'4GF Expenditures'!F60</f>
        <v>1.0524575122829973</v>
      </c>
      <c r="HR59" s="571">
        <f>G59/'4GF Expenditures'!G60</f>
        <v>0.97363751409942501</v>
      </c>
      <c r="HS59" s="571">
        <f>H59/'4GF Expenditures'!H60</f>
        <v>0.98526247924826327</v>
      </c>
      <c r="HT59" s="571">
        <f>I59/'4GF Expenditures'!I60</f>
        <v>0.9825292047962223</v>
      </c>
      <c r="HU59" s="571">
        <f>J59/'4GF Expenditures'!J60</f>
        <v>1.0483111004462391</v>
      </c>
      <c r="HV59" s="571">
        <f>K59/'4GF Expenditures'!K60</f>
        <v>1.0437538366717793</v>
      </c>
      <c r="HW59" s="571">
        <f>L59/'4GF Expenditures'!L60</f>
        <v>1.089331169768111</v>
      </c>
      <c r="HX59" s="571">
        <f>M59/'4GF Expenditures'!M60</f>
        <v>1.0127856605402166</v>
      </c>
      <c r="HY59" s="571">
        <f>N59/'4GF Expenditures'!N60</f>
        <v>0.96943378181153605</v>
      </c>
      <c r="HZ59" s="571">
        <f>O59/'4GF Expenditures'!O60</f>
        <v>1.0591234993224432</v>
      </c>
      <c r="IA59" s="571" t="e">
        <f>P59/'4GF Expenditures'!P60</f>
        <v>#DIV/0!</v>
      </c>
      <c r="IB59" s="571" t="e">
        <f>Q59/'4GF Expenditures'!Q60</f>
        <v>#DIV/0!</v>
      </c>
      <c r="IC59" s="571" t="e">
        <f>R59/'4GF Expenditures'!R60</f>
        <v>#DIV/0!</v>
      </c>
      <c r="ID59" s="573" t="e">
        <f>S59/'4GF Expenditures'!S60</f>
        <v>#DIV/0!</v>
      </c>
      <c r="IE59" s="572" t="e">
        <f>T59/'4GF Expenditures'!T60</f>
        <v>#DIV/0!</v>
      </c>
      <c r="IF59" s="572" t="e">
        <f>U59/'4GF Expenditures'!U60</f>
        <v>#DIV/0!</v>
      </c>
      <c r="IG59" s="572" t="e">
        <f>V59/'4GF Expenditures'!V60</f>
        <v>#DIV/0!</v>
      </c>
      <c r="IH59" s="572" t="e">
        <f>W59/'4GF Expenditures'!W60</f>
        <v>#DIV/0!</v>
      </c>
    </row>
    <row r="60" spans="1:242" ht="14">
      <c r="A60" s="43" t="s">
        <v>44</v>
      </c>
      <c r="B60" s="319">
        <v>939602</v>
      </c>
      <c r="C60" s="319">
        <v>993378</v>
      </c>
      <c r="D60" s="319">
        <v>1118475</v>
      </c>
      <c r="E60" s="319">
        <v>1100694</v>
      </c>
      <c r="F60" s="319">
        <v>1177622</v>
      </c>
      <c r="G60" s="319">
        <v>1127946</v>
      </c>
      <c r="H60" s="319">
        <v>1192932</v>
      </c>
      <c r="I60" s="319">
        <v>1118802</v>
      </c>
      <c r="J60" s="319">
        <v>1220320.3399999999</v>
      </c>
      <c r="K60" s="319">
        <v>1187992.98</v>
      </c>
      <c r="L60" s="319">
        <v>1143469.3899999999</v>
      </c>
      <c r="M60" s="319">
        <v>1055086.71</v>
      </c>
      <c r="N60" s="319">
        <v>1258566.49</v>
      </c>
      <c r="O60" s="319">
        <v>1124825.1300000001</v>
      </c>
      <c r="P60" s="319"/>
      <c r="Q60" s="319">
        <v>1107332.42</v>
      </c>
      <c r="R60" s="319"/>
      <c r="S60" s="362"/>
      <c r="T60" s="362">
        <v>1317299.2899999998</v>
      </c>
      <c r="U60" s="362"/>
      <c r="V60" s="362"/>
      <c r="W60" s="362"/>
      <c r="X60" s="6"/>
      <c r="Y60" s="43" t="s">
        <v>44</v>
      </c>
      <c r="Z60" s="319">
        <v>75168.160000000003</v>
      </c>
      <c r="AA60" s="319">
        <v>109271.58</v>
      </c>
      <c r="AB60" s="319">
        <v>67108.5</v>
      </c>
      <c r="AC60" s="319">
        <v>143090.22</v>
      </c>
      <c r="AD60" s="319">
        <v>153090.85999999999</v>
      </c>
      <c r="AE60" s="319">
        <v>157912.44</v>
      </c>
      <c r="AF60" s="319">
        <v>107363.88</v>
      </c>
      <c r="AG60" s="319">
        <v>134256.24</v>
      </c>
      <c r="AH60" s="319">
        <v>179545.38</v>
      </c>
      <c r="AI60" s="319">
        <v>187499.6</v>
      </c>
      <c r="AJ60" s="319">
        <v>189519.92</v>
      </c>
      <c r="AK60" s="319">
        <v>167776.63</v>
      </c>
      <c r="AL60" s="319">
        <v>189164.82</v>
      </c>
      <c r="AM60" s="319">
        <v>200709.57</v>
      </c>
      <c r="AN60" s="319"/>
      <c r="AO60" s="319">
        <v>203002.27000000002</v>
      </c>
      <c r="AP60" s="319"/>
      <c r="AQ60" s="362"/>
      <c r="AR60" s="753">
        <v>207810.78</v>
      </c>
      <c r="AS60" s="753"/>
      <c r="AT60" s="753"/>
      <c r="AU60" s="753"/>
      <c r="AV60" s="39"/>
      <c r="AW60" s="43" t="s">
        <v>44</v>
      </c>
      <c r="AX60" s="319">
        <v>328860.7</v>
      </c>
      <c r="AY60" s="319">
        <v>337748.52</v>
      </c>
      <c r="AZ60" s="319">
        <v>324357.75</v>
      </c>
      <c r="BA60" s="319">
        <v>363229.02</v>
      </c>
      <c r="BB60" s="319">
        <v>376839.04</v>
      </c>
      <c r="BC60" s="319">
        <v>383501.64</v>
      </c>
      <c r="BD60" s="319">
        <v>405596.88</v>
      </c>
      <c r="BE60" s="319">
        <v>402768.72</v>
      </c>
      <c r="BF60" s="319">
        <v>408292.07</v>
      </c>
      <c r="BG60" s="319">
        <v>427487.74</v>
      </c>
      <c r="BH60" s="319">
        <v>488730.36</v>
      </c>
      <c r="BI60" s="319">
        <v>508008.87</v>
      </c>
      <c r="BJ60" s="319">
        <v>523705.05</v>
      </c>
      <c r="BK60" s="319">
        <v>507485.3</v>
      </c>
      <c r="BL60" s="319"/>
      <c r="BM60" s="319">
        <v>490824.12</v>
      </c>
      <c r="BN60" s="319"/>
      <c r="BO60" s="362"/>
      <c r="BP60" s="753">
        <v>555256.69999999995</v>
      </c>
      <c r="BQ60" s="753"/>
      <c r="BR60" s="753"/>
      <c r="BS60" s="753"/>
      <c r="BT60" s="286"/>
      <c r="BU60" s="43" t="s">
        <v>44</v>
      </c>
      <c r="BV60" s="319">
        <v>197316.42</v>
      </c>
      <c r="BW60" s="319">
        <v>158940.48000000001</v>
      </c>
      <c r="BX60" s="319">
        <v>178956</v>
      </c>
      <c r="BY60" s="319">
        <v>154097.16</v>
      </c>
      <c r="BZ60" s="319">
        <v>141314.64000000001</v>
      </c>
      <c r="CA60" s="319">
        <v>191750.82</v>
      </c>
      <c r="CB60" s="319">
        <v>310162.32</v>
      </c>
      <c r="CC60" s="319">
        <v>156632.28</v>
      </c>
      <c r="CD60" s="319">
        <v>132499.12</v>
      </c>
      <c r="CE60" s="319">
        <v>172025.02000000002</v>
      </c>
      <c r="CF60" s="319">
        <v>254029.76</v>
      </c>
      <c r="CG60" s="319">
        <v>204888.83</v>
      </c>
      <c r="CH60" s="319">
        <v>178741.69999999998</v>
      </c>
      <c r="CI60" s="319">
        <v>185156.91999999998</v>
      </c>
      <c r="CJ60" s="319"/>
      <c r="CK60" s="319">
        <v>204911.19999999998</v>
      </c>
      <c r="CL60" s="319"/>
      <c r="CM60" s="362"/>
      <c r="CN60" s="753">
        <v>53457.46</v>
      </c>
      <c r="CO60" s="753"/>
      <c r="CP60" s="753"/>
      <c r="CQ60" s="753"/>
      <c r="CR60" s="39"/>
      <c r="CS60" s="43" t="s">
        <v>44</v>
      </c>
      <c r="CT60" s="319">
        <v>178524.38</v>
      </c>
      <c r="CU60" s="319">
        <v>248344.5</v>
      </c>
      <c r="CV60" s="319">
        <v>369096.75</v>
      </c>
      <c r="CW60" s="319">
        <v>253159.62</v>
      </c>
      <c r="CX60" s="319">
        <v>259076.84</v>
      </c>
      <c r="CY60" s="319">
        <v>191750.82</v>
      </c>
      <c r="CZ60" s="319">
        <v>190869.12</v>
      </c>
      <c r="DA60" s="319">
        <v>313264.56</v>
      </c>
      <c r="DB60" s="319">
        <v>243738.79</v>
      </c>
      <c r="DC60" s="319">
        <v>237697.18</v>
      </c>
      <c r="DD60" s="319">
        <v>164980.10999999999</v>
      </c>
      <c r="DE60" s="319">
        <v>165936.01</v>
      </c>
      <c r="DF60" s="319">
        <v>261758.26</v>
      </c>
      <c r="DG60" s="319">
        <v>228337.83000000002</v>
      </c>
      <c r="DH60" s="319"/>
      <c r="DI60" s="319">
        <v>182976.32</v>
      </c>
      <c r="DJ60" s="319"/>
      <c r="DK60" s="362"/>
      <c r="DL60" s="753">
        <v>207046.84000000003</v>
      </c>
      <c r="DM60" s="753"/>
      <c r="DN60" s="753"/>
      <c r="DO60" s="753"/>
      <c r="DP60" s="39"/>
      <c r="DQ60" s="43" t="s">
        <v>44</v>
      </c>
      <c r="DR60" s="319">
        <v>0</v>
      </c>
      <c r="DS60" s="319">
        <v>0</v>
      </c>
      <c r="DT60" s="319">
        <v>0</v>
      </c>
      <c r="DU60" s="319">
        <v>0</v>
      </c>
      <c r="DV60" s="319">
        <v>0</v>
      </c>
      <c r="DW60" s="319">
        <v>0</v>
      </c>
      <c r="DX60" s="319">
        <v>0</v>
      </c>
      <c r="DY60" s="319">
        <v>0</v>
      </c>
      <c r="DZ60" s="319">
        <v>1684.13</v>
      </c>
      <c r="EA60" s="319">
        <v>5229.21</v>
      </c>
      <c r="EB60" s="319">
        <v>7907.04</v>
      </c>
      <c r="EC60" s="319">
        <v>6870.37</v>
      </c>
      <c r="ED60" s="319">
        <v>5196.66</v>
      </c>
      <c r="EE60" s="319">
        <v>3135.51</v>
      </c>
      <c r="EF60" s="319"/>
      <c r="EG60" s="319">
        <v>618.51</v>
      </c>
      <c r="EH60" s="319"/>
      <c r="EI60" s="362"/>
      <c r="EJ60" s="753">
        <v>40.42</v>
      </c>
      <c r="EK60" s="753"/>
      <c r="EL60" s="753"/>
      <c r="EM60" s="753"/>
      <c r="EN60" s="39"/>
      <c r="EO60" s="43" t="s">
        <v>44</v>
      </c>
      <c r="EP60" s="319">
        <v>159732.34</v>
      </c>
      <c r="EQ60" s="319">
        <v>139072.92000000001</v>
      </c>
      <c r="ER60" s="319">
        <v>178956</v>
      </c>
      <c r="ES60" s="319">
        <v>187117.98</v>
      </c>
      <c r="ET60" s="319">
        <v>247300.62</v>
      </c>
      <c r="EU60" s="319">
        <v>203030.28</v>
      </c>
      <c r="EV60" s="319">
        <v>178939.8</v>
      </c>
      <c r="EW60" s="319">
        <v>111880.2</v>
      </c>
      <c r="EX60" s="319">
        <v>249565.84999999998</v>
      </c>
      <c r="EY60" s="319">
        <v>158054.22999999998</v>
      </c>
      <c r="EZ60" s="319">
        <v>32694.12</v>
      </c>
      <c r="FA60" s="319">
        <v>1606</v>
      </c>
      <c r="FB60" s="319">
        <v>0</v>
      </c>
      <c r="FC60" s="319">
        <v>0</v>
      </c>
      <c r="FD60" s="319"/>
      <c r="FE60" s="319">
        <v>25000</v>
      </c>
      <c r="FF60" s="319"/>
      <c r="FG60" s="362"/>
      <c r="FH60" s="362">
        <v>214820.91</v>
      </c>
      <c r="FI60" s="362"/>
      <c r="FJ60" s="362"/>
      <c r="FK60" s="362"/>
      <c r="FM60" s="43" t="s">
        <v>44</v>
      </c>
      <c r="FN60" s="319">
        <v>27257</v>
      </c>
      <c r="FO60" s="319">
        <v>19814</v>
      </c>
      <c r="FP60" s="319">
        <v>16493</v>
      </c>
      <c r="FQ60" s="319">
        <v>24851</v>
      </c>
      <c r="FR60" s="319">
        <v>15315</v>
      </c>
      <c r="FS60" s="319">
        <v>34296</v>
      </c>
      <c r="FT60" s="319">
        <v>16091</v>
      </c>
      <c r="FU60" s="319">
        <v>109460</v>
      </c>
      <c r="FV60" s="319">
        <v>161571.09999999986</v>
      </c>
      <c r="FW60" s="319">
        <v>311673.42</v>
      </c>
      <c r="FX60" s="319">
        <v>255522.96</v>
      </c>
      <c r="FY60" s="319">
        <v>35940.06</v>
      </c>
      <c r="FZ60" s="319">
        <v>149362.76</v>
      </c>
      <c r="GA60" s="319">
        <v>138378.64000000001</v>
      </c>
      <c r="GB60" s="319"/>
      <c r="GC60" s="319">
        <v>69599.58</v>
      </c>
      <c r="GD60" s="319"/>
      <c r="GE60" s="319"/>
      <c r="GF60" s="756">
        <v>26113.57</v>
      </c>
      <c r="GG60" s="756"/>
      <c r="GH60" s="756"/>
      <c r="GI60" s="756"/>
      <c r="GJ60" s="42"/>
      <c r="GK60" s="570" t="s">
        <v>44</v>
      </c>
      <c r="GL60" s="571">
        <f>FN60/'4GF Expenditures'!B61</f>
        <v>2.8518486742570879E-2</v>
      </c>
      <c r="GM60" s="571">
        <f>FO60/'4GF Expenditures'!C61</f>
        <v>1.9797746050492546E-2</v>
      </c>
      <c r="GN60" s="571">
        <f>FP60/'4GF Expenditures'!D61</f>
        <v>1.4702316642241548E-2</v>
      </c>
      <c r="GO60" s="571">
        <f>FQ60/'4GF Expenditures'!E61</f>
        <v>2.2750325907046915E-2</v>
      </c>
      <c r="GP60" s="571">
        <f>FR60/'4GF Expenditures'!F61</f>
        <v>1.2900557465813312E-2</v>
      </c>
      <c r="GQ60" s="571">
        <f>FS60/'4GF Expenditures'!G61</f>
        <v>3.0926133827487792E-2</v>
      </c>
      <c r="GR60" s="571">
        <f>FT60/'4GF Expenditures'!H61</f>
        <v>1.3285862788437642E-2</v>
      </c>
      <c r="GS60" s="571">
        <f>FU60/'4GF Expenditures'!I61</f>
        <v>0.10674504648763353</v>
      </c>
      <c r="GT60" s="571">
        <f>FV60/'4GF Expenditures'!J61</f>
        <v>0.13830637451683395</v>
      </c>
      <c r="GU60" s="571">
        <f>FW60/'4GF Expenditures'!K61</f>
        <v>0.35123239838384152</v>
      </c>
      <c r="GV60" s="571">
        <f>FX60/'4GF Expenditures'!L61</f>
        <v>0.18157388369062605</v>
      </c>
      <c r="GW60" s="571">
        <f>FY60/'4GF Expenditures'!M61</f>
        <v>3.1956104868877885E-2</v>
      </c>
      <c r="GX60" s="571">
        <f>FZ60/'4GF Expenditures'!N61</f>
        <v>0.12672090700900271</v>
      </c>
      <c r="GY60" s="571">
        <f>GA60/'4GF Expenditures'!O61</f>
        <v>0.12183264047198067</v>
      </c>
      <c r="GZ60" s="571" t="e">
        <f>GB60/'4GF Expenditures'!P61</f>
        <v>#DIV/0!</v>
      </c>
      <c r="HA60" s="571">
        <f>GC60/'4GF Expenditures'!Q61</f>
        <v>6.2816680109758008E-2</v>
      </c>
      <c r="HB60" s="571" t="e">
        <f>GD60/'4GF Expenditures'!R61</f>
        <v>#DIV/0!</v>
      </c>
      <c r="HC60" s="571" t="e">
        <f>GE60/'4GF Expenditures'!S61</f>
        <v>#DIV/0!</v>
      </c>
      <c r="HD60" s="571">
        <f>GF60/'4GF Expenditures'!T61</f>
        <v>1.982949120806448E-2</v>
      </c>
      <c r="HE60" s="571" t="e">
        <f>GG60/'4GF Expenditures'!U61</f>
        <v>#DIV/0!</v>
      </c>
      <c r="HF60" s="571" t="e">
        <f>GH60/'4GF Expenditures'!V61</f>
        <v>#DIV/0!</v>
      </c>
      <c r="HG60" s="571" t="e">
        <f>GI60/'4GF Expenditures'!W61</f>
        <v>#DIV/0!</v>
      </c>
      <c r="HH60" s="571"/>
      <c r="HI60" s="571"/>
      <c r="HJ60" s="571"/>
      <c r="HK60" s="568"/>
      <c r="HL60" s="567" t="s">
        <v>44</v>
      </c>
      <c r="HM60" s="571">
        <f>B60/'4GF Expenditures'!B61</f>
        <v>0.98308791063921508</v>
      </c>
      <c r="HN60" s="571">
        <f>C60/'4GF Expenditures'!C61</f>
        <v>0.99256310569022832</v>
      </c>
      <c r="HO60" s="571">
        <f>D60/'4GF Expenditures'!D61</f>
        <v>0.99703956869163379</v>
      </c>
      <c r="HP60" s="571">
        <f>E60/'4GF Expenditures'!E61</f>
        <v>1.0076514918486619</v>
      </c>
      <c r="HQ60" s="571">
        <f>F60/'4GF Expenditures'!F61</f>
        <v>0.99196737081332054</v>
      </c>
      <c r="HR60" s="571">
        <f>G60/'4GF Expenditures'!G61</f>
        <v>1.0171159594757273</v>
      </c>
      <c r="HS60" s="571">
        <f>H60/'4GF Expenditures'!H61</f>
        <v>0.98496866993577115</v>
      </c>
      <c r="HT60" s="571">
        <f>I60/'4GF Expenditures'!I61</f>
        <v>1.0910521788823073</v>
      </c>
      <c r="HU60" s="571">
        <f>J60/'4GF Expenditures'!J61</f>
        <v>1.0446056378557196</v>
      </c>
      <c r="HV60" s="571">
        <f>K60/'4GF Expenditures'!K61</f>
        <v>1.3387783392904247</v>
      </c>
      <c r="HW60" s="571">
        <f>L60/'4GF Expenditures'!L61</f>
        <v>0.81254607423008529</v>
      </c>
      <c r="HX60" s="571">
        <f>M60/'4GF Expenditures'!M61</f>
        <v>0.93813036345847367</v>
      </c>
      <c r="HY60" s="571">
        <f>N60/'4GF Expenditures'!N61</f>
        <v>1.0677807985332952</v>
      </c>
      <c r="HZ60" s="571">
        <f>O60/'4GF Expenditures'!O61</f>
        <v>0.99032925643104253</v>
      </c>
      <c r="IA60" s="571" t="e">
        <f>P60/'4GF Expenditures'!P61</f>
        <v>#DIV/0!</v>
      </c>
      <c r="IB60" s="571">
        <f>Q60/'4GF Expenditures'!Q61</f>
        <v>0.99941618041810298</v>
      </c>
      <c r="IC60" s="571" t="e">
        <f>R60/'4GF Expenditures'!R61</f>
        <v>#DIV/0!</v>
      </c>
      <c r="ID60" s="573" t="e">
        <f>S60/'4GF Expenditures'!S61</f>
        <v>#DIV/0!</v>
      </c>
      <c r="IE60" s="572">
        <f>T60/'4GF Expenditures'!T61</f>
        <v>1.0002988748548964</v>
      </c>
      <c r="IF60" s="572" t="e">
        <f>U60/'4GF Expenditures'!U61</f>
        <v>#DIV/0!</v>
      </c>
      <c r="IG60" s="572" t="e">
        <f>V60/'4GF Expenditures'!V61</f>
        <v>#DIV/0!</v>
      </c>
      <c r="IH60" s="572" t="e">
        <f>W60/'4GF Expenditures'!W61</f>
        <v>#DIV/0!</v>
      </c>
    </row>
    <row r="61" spans="1:242" ht="14">
      <c r="A61" s="43" t="s">
        <v>45</v>
      </c>
      <c r="B61" s="319">
        <v>744008</v>
      </c>
      <c r="C61" s="319">
        <v>792438</v>
      </c>
      <c r="D61" s="319">
        <v>864070</v>
      </c>
      <c r="E61" s="319">
        <v>875251</v>
      </c>
      <c r="F61" s="319">
        <v>1014926</v>
      </c>
      <c r="G61" s="319">
        <v>1008153</v>
      </c>
      <c r="H61" s="319">
        <v>1145863</v>
      </c>
      <c r="I61" s="319">
        <v>1049950</v>
      </c>
      <c r="J61" s="319">
        <v>1247015</v>
      </c>
      <c r="K61" s="319">
        <v>1198466</v>
      </c>
      <c r="L61" s="319">
        <v>1179078</v>
      </c>
      <c r="M61" s="319">
        <v>1198692</v>
      </c>
      <c r="N61" s="319">
        <v>1106940</v>
      </c>
      <c r="O61" s="319">
        <v>1227791</v>
      </c>
      <c r="P61" s="319">
        <v>1078940</v>
      </c>
      <c r="Q61" s="321">
        <v>1043100</v>
      </c>
      <c r="R61" s="321"/>
      <c r="S61" s="364"/>
      <c r="T61" s="364"/>
      <c r="U61" s="364"/>
      <c r="V61" s="364"/>
      <c r="W61" s="364"/>
      <c r="X61" s="6"/>
      <c r="Y61" s="43" t="s">
        <v>45</v>
      </c>
      <c r="Z61" s="319">
        <v>215762.32</v>
      </c>
      <c r="AA61" s="319">
        <v>213958.26</v>
      </c>
      <c r="AB61" s="319">
        <v>224658.2</v>
      </c>
      <c r="AC61" s="319">
        <v>236317.77</v>
      </c>
      <c r="AD61" s="319">
        <v>253731.5</v>
      </c>
      <c r="AE61" s="319">
        <v>252038.25</v>
      </c>
      <c r="AF61" s="319">
        <v>263548.49</v>
      </c>
      <c r="AG61" s="319">
        <v>283486.5</v>
      </c>
      <c r="AH61" s="319">
        <v>306170</v>
      </c>
      <c r="AI61" s="319">
        <v>296549</v>
      </c>
      <c r="AJ61" s="319">
        <v>312900</v>
      </c>
      <c r="AK61" s="319">
        <v>342323</v>
      </c>
      <c r="AL61" s="319">
        <v>364338</v>
      </c>
      <c r="AM61" s="319">
        <v>383260</v>
      </c>
      <c r="AN61" s="319">
        <v>389116</v>
      </c>
      <c r="AO61" s="319">
        <v>410900</v>
      </c>
      <c r="AP61" s="319"/>
      <c r="AQ61" s="362"/>
      <c r="AR61" s="753"/>
      <c r="AS61" s="753"/>
      <c r="AT61" s="753"/>
      <c r="AU61" s="753"/>
      <c r="AV61" s="39"/>
      <c r="AW61" s="43" t="s">
        <v>45</v>
      </c>
      <c r="AX61" s="319">
        <v>305043.28000000003</v>
      </c>
      <c r="AY61" s="319">
        <v>340748.34</v>
      </c>
      <c r="AZ61" s="319">
        <v>354268.7</v>
      </c>
      <c r="BA61" s="319">
        <v>385110.44</v>
      </c>
      <c r="BB61" s="319">
        <v>436418.18</v>
      </c>
      <c r="BC61" s="319">
        <v>393179.67</v>
      </c>
      <c r="BD61" s="319">
        <v>343758.9</v>
      </c>
      <c r="BE61" s="319">
        <v>283486.5</v>
      </c>
      <c r="BF61" s="319">
        <v>472870</v>
      </c>
      <c r="BG61" s="319">
        <v>484409</v>
      </c>
      <c r="BH61" s="319">
        <v>476948</v>
      </c>
      <c r="BI61" s="319">
        <v>494027</v>
      </c>
      <c r="BJ61" s="319">
        <v>316689</v>
      </c>
      <c r="BK61" s="319">
        <v>327204</v>
      </c>
      <c r="BL61" s="319">
        <v>358746</v>
      </c>
      <c r="BM61" s="319">
        <v>351194</v>
      </c>
      <c r="BN61" s="319"/>
      <c r="BO61" s="362"/>
      <c r="BP61" s="753"/>
      <c r="BQ61" s="753"/>
      <c r="BR61" s="753"/>
      <c r="BS61" s="753"/>
      <c r="BT61" s="286"/>
      <c r="BU61" s="43" t="s">
        <v>45</v>
      </c>
      <c r="BV61" s="319">
        <v>44640.480000000003</v>
      </c>
      <c r="BW61" s="319">
        <v>31697.52</v>
      </c>
      <c r="BX61" s="319">
        <v>34562.800000000003</v>
      </c>
      <c r="BY61" s="319">
        <v>35010.04</v>
      </c>
      <c r="BZ61" s="319">
        <v>40597.040000000001</v>
      </c>
      <c r="CA61" s="319">
        <v>20163.060000000001</v>
      </c>
      <c r="CB61" s="319">
        <v>114586.3</v>
      </c>
      <c r="CC61" s="319">
        <v>188991</v>
      </c>
      <c r="CD61" s="319">
        <v>74925</v>
      </c>
      <c r="CE61" s="319">
        <v>121453</v>
      </c>
      <c r="CF61" s="319">
        <v>105631</v>
      </c>
      <c r="CG61" s="319">
        <v>134912</v>
      </c>
      <c r="CH61" s="319">
        <v>131485</v>
      </c>
      <c r="CI61" s="319">
        <v>132913</v>
      </c>
      <c r="CJ61" s="319">
        <v>75441</v>
      </c>
      <c r="CK61" s="319">
        <v>83536</v>
      </c>
      <c r="CL61" s="319"/>
      <c r="CM61" s="362"/>
      <c r="CN61" s="753"/>
      <c r="CO61" s="753"/>
      <c r="CP61" s="753"/>
      <c r="CQ61" s="753"/>
      <c r="CR61" s="39"/>
      <c r="CS61" s="43" t="s">
        <v>45</v>
      </c>
      <c r="CT61" s="319">
        <v>141361.51999999999</v>
      </c>
      <c r="CU61" s="319">
        <v>126790.08</v>
      </c>
      <c r="CV61" s="319">
        <v>129610.5</v>
      </c>
      <c r="CW61" s="319">
        <v>131287.65</v>
      </c>
      <c r="CX61" s="319">
        <v>131940.38</v>
      </c>
      <c r="CY61" s="319">
        <v>151222.95000000001</v>
      </c>
      <c r="CZ61" s="319">
        <v>171879.45</v>
      </c>
      <c r="DA61" s="319">
        <v>178491.5</v>
      </c>
      <c r="DB61" s="319">
        <v>182837</v>
      </c>
      <c r="DC61" s="319">
        <v>168985</v>
      </c>
      <c r="DD61" s="319">
        <v>187479</v>
      </c>
      <c r="DE61" s="319">
        <v>187015</v>
      </c>
      <c r="DF61" s="319">
        <v>189687</v>
      </c>
      <c r="DG61" s="319">
        <v>210906</v>
      </c>
      <c r="DH61" s="319">
        <v>182601</v>
      </c>
      <c r="DI61" s="319">
        <v>173873</v>
      </c>
      <c r="DJ61" s="319"/>
      <c r="DK61" s="362"/>
      <c r="DL61" s="753"/>
      <c r="DM61" s="753"/>
      <c r="DN61" s="753"/>
      <c r="DO61" s="753"/>
      <c r="DP61" s="39"/>
      <c r="DQ61" s="43" t="s">
        <v>45</v>
      </c>
      <c r="DR61" s="319">
        <v>7440.08</v>
      </c>
      <c r="DS61" s="319">
        <v>7924.38</v>
      </c>
      <c r="DT61" s="319">
        <v>8640.7000000000007</v>
      </c>
      <c r="DU61" s="319">
        <v>8752.51</v>
      </c>
      <c r="DV61" s="319">
        <v>10149.26</v>
      </c>
      <c r="DW61" s="319">
        <v>0</v>
      </c>
      <c r="DX61" s="319">
        <v>0</v>
      </c>
      <c r="DY61" s="319">
        <v>0</v>
      </c>
      <c r="DZ61" s="319">
        <v>1587</v>
      </c>
      <c r="EA61" s="319">
        <v>1606</v>
      </c>
      <c r="EB61" s="319">
        <v>764</v>
      </c>
      <c r="EC61" s="319">
        <v>1070</v>
      </c>
      <c r="ED61" s="319">
        <v>1109</v>
      </c>
      <c r="EE61" s="319">
        <v>583</v>
      </c>
      <c r="EF61" s="319">
        <v>801</v>
      </c>
      <c r="EG61" s="319">
        <v>1166</v>
      </c>
      <c r="EH61" s="319"/>
      <c r="EI61" s="362"/>
      <c r="EJ61" s="753"/>
      <c r="EK61" s="753"/>
      <c r="EL61" s="753"/>
      <c r="EM61" s="753"/>
      <c r="EN61" s="39"/>
      <c r="EO61" s="43" t="s">
        <v>45</v>
      </c>
      <c r="EP61" s="319">
        <v>29760.32</v>
      </c>
      <c r="EQ61" s="319">
        <v>71319.42</v>
      </c>
      <c r="ER61" s="319">
        <v>112329.1</v>
      </c>
      <c r="ES61" s="319">
        <v>78772.59</v>
      </c>
      <c r="ET61" s="319">
        <v>142089.64000000001</v>
      </c>
      <c r="EU61" s="319">
        <v>191549.07</v>
      </c>
      <c r="EV61" s="319">
        <v>252089.86</v>
      </c>
      <c r="EW61" s="319">
        <v>115494.5</v>
      </c>
      <c r="EX61" s="319">
        <v>93906</v>
      </c>
      <c r="EY61" s="319">
        <v>75464</v>
      </c>
      <c r="EZ61" s="319">
        <v>43556</v>
      </c>
      <c r="FA61" s="319">
        <v>39345</v>
      </c>
      <c r="FB61" s="319">
        <v>36844</v>
      </c>
      <c r="FC61" s="319">
        <v>79499</v>
      </c>
      <c r="FD61" s="319">
        <v>11659</v>
      </c>
      <c r="FE61" s="319">
        <v>22431</v>
      </c>
      <c r="FF61" s="319"/>
      <c r="FG61" s="362"/>
      <c r="FH61" s="362"/>
      <c r="FI61" s="362"/>
      <c r="FJ61" s="362"/>
      <c r="FK61" s="362"/>
      <c r="FM61" s="43" t="s">
        <v>45</v>
      </c>
      <c r="FN61" s="319">
        <v>65187</v>
      </c>
      <c r="FO61" s="319">
        <v>60684</v>
      </c>
      <c r="FP61" s="319">
        <v>68339</v>
      </c>
      <c r="FQ61" s="319">
        <v>92563</v>
      </c>
      <c r="FR61" s="319">
        <v>82389</v>
      </c>
      <c r="FS61" s="319">
        <v>10261</v>
      </c>
      <c r="FT61" s="319">
        <v>68959</v>
      </c>
      <c r="FU61" s="319">
        <v>154162</v>
      </c>
      <c r="FV61" s="319">
        <v>95309</v>
      </c>
      <c r="FW61" s="319">
        <v>235854</v>
      </c>
      <c r="FX61" s="319">
        <v>163770</v>
      </c>
      <c r="FY61" s="319">
        <v>142513</v>
      </c>
      <c r="FZ61" s="319">
        <v>98735</v>
      </c>
      <c r="GA61" s="319">
        <v>63986</v>
      </c>
      <c r="GB61" s="319">
        <v>55661</v>
      </c>
      <c r="GC61" s="319">
        <v>109245</v>
      </c>
      <c r="GD61" s="319"/>
      <c r="GE61" s="319"/>
      <c r="GF61" s="756"/>
      <c r="GG61" s="756"/>
      <c r="GH61" s="756"/>
      <c r="GI61" s="756"/>
      <c r="GJ61" s="42"/>
      <c r="GK61" s="570" t="s">
        <v>45</v>
      </c>
      <c r="GL61" s="571">
        <f>FN61/'4GF Expenditures'!B62</f>
        <v>8.1091974398686345E-2</v>
      </c>
      <c r="GM61" s="571">
        <f>FO61/'4GF Expenditures'!C62</f>
        <v>7.6146163894190405E-2</v>
      </c>
      <c r="GN61" s="571">
        <f>FP61/'4GF Expenditures'!D62</f>
        <v>7.9796593941021579E-2</v>
      </c>
      <c r="GO61" s="571">
        <f>FQ61/'4GF Expenditures'!E62</f>
        <v>0.10876623185868368</v>
      </c>
      <c r="GP61" s="571">
        <f>FR61/'4GF Expenditures'!F62</f>
        <v>8.0371671056482297E-2</v>
      </c>
      <c r="GQ61" s="571">
        <f>FS61/'4GF Expenditures'!G62</f>
        <v>9.4984545687649795E-3</v>
      </c>
      <c r="GR61" s="571">
        <f>FT61/'4GF Expenditures'!H62</f>
        <v>6.3430114104114838E-2</v>
      </c>
      <c r="GS61" s="571">
        <f>FU61/'4GF Expenditures'!I62</f>
        <v>0.15979526238485323</v>
      </c>
      <c r="GT61" s="571">
        <f>FV61/'4GF Expenditures'!J62</f>
        <v>7.5080804683087296E-2</v>
      </c>
      <c r="GU61" s="571">
        <f>FW61/'4GF Expenditures'!K62</f>
        <v>0.18530705372674175</v>
      </c>
      <c r="GV61" s="571">
        <f>FX61/'4GF Expenditures'!L62</f>
        <v>0.13406770267537801</v>
      </c>
      <c r="GW61" s="571">
        <f>FY61/'4GF Expenditures'!M62</f>
        <v>0.11749163000025557</v>
      </c>
      <c r="GX61" s="571">
        <f>FZ61/'4GF Expenditures'!N62</f>
        <v>8.578252498714152E-2</v>
      </c>
      <c r="GY61" s="571">
        <f>GA61/'4GF Expenditures'!O62</f>
        <v>5.5102961743288027E-2</v>
      </c>
      <c r="GZ61" s="571">
        <f>GB61/'4GF Expenditures'!P62</f>
        <v>5.1171894392521643E-2</v>
      </c>
      <c r="HA61" s="571">
        <f>GC61/'4GF Expenditures'!Q62</f>
        <v>0.11003150519916362</v>
      </c>
      <c r="HB61" s="571" t="e">
        <f>GD61/'4GF Expenditures'!R62</f>
        <v>#DIV/0!</v>
      </c>
      <c r="HC61" s="571" t="e">
        <f>GE61/'4GF Expenditures'!S62</f>
        <v>#DIV/0!</v>
      </c>
      <c r="HD61" s="571" t="e">
        <f>GF61/'4GF Expenditures'!T62</f>
        <v>#DIV/0!</v>
      </c>
      <c r="HE61" s="571" t="e">
        <f>GG61/'4GF Expenditures'!U62</f>
        <v>#DIV/0!</v>
      </c>
      <c r="HF61" s="571" t="e">
        <f>GH61/'4GF Expenditures'!V62</f>
        <v>#DIV/0!</v>
      </c>
      <c r="HG61" s="571" t="e">
        <f>GI61/'4GF Expenditures'!W62</f>
        <v>#DIV/0!</v>
      </c>
      <c r="HH61" s="571"/>
      <c r="HI61" s="571"/>
      <c r="HJ61" s="571"/>
      <c r="HK61" s="568"/>
      <c r="HL61" s="567" t="s">
        <v>45</v>
      </c>
      <c r="HM61" s="571">
        <f>B61/'4GF Expenditures'!B62</f>
        <v>0.92553849215975315</v>
      </c>
      <c r="HN61" s="571">
        <f>C61/'4GF Expenditures'!C62</f>
        <v>0.99434964445297702</v>
      </c>
      <c r="HO61" s="571">
        <f>D61/'4GF Expenditures'!D62</f>
        <v>1.0089384235446599</v>
      </c>
      <c r="HP61" s="571">
        <f>E61/'4GF Expenditures'!E62</f>
        <v>1.0284644317982861</v>
      </c>
      <c r="HQ61" s="571">
        <f>F61/'4GF Expenditures'!F62</f>
        <v>0.9900751146229636</v>
      </c>
      <c r="HR61" s="571">
        <f>G61/'4GF Expenditures'!G62</f>
        <v>0.9332321868106539</v>
      </c>
      <c r="HS61" s="571">
        <f>H61/'4GF Expenditures'!H62</f>
        <v>1.0539918043719214</v>
      </c>
      <c r="HT61" s="571">
        <f>I61/'4GF Expenditures'!I62</f>
        <v>1.0883164187087391</v>
      </c>
      <c r="HU61" s="571">
        <f>J61/'4GF Expenditures'!J62</f>
        <v>0.98235098103935736</v>
      </c>
      <c r="HV61" s="571">
        <f>K61/'4GF Expenditures'!K62</f>
        <v>0.94161728633677311</v>
      </c>
      <c r="HW61" s="571">
        <f>L61/'4GF Expenditures'!L62</f>
        <v>0.96523342941368606</v>
      </c>
      <c r="HX61" s="571">
        <f>M61/'4GF Expenditures'!M62</f>
        <v>0.98823459577909634</v>
      </c>
      <c r="HY61" s="571">
        <f>N61/'4GF Expenditures'!N62</f>
        <v>0.96172692772842905</v>
      </c>
      <c r="HZ61" s="571">
        <f>O61/'4GF Expenditures'!O62</f>
        <v>1.0573394258392983</v>
      </c>
      <c r="IA61" s="571">
        <f>P61/'4GF Expenditures'!P62</f>
        <v>0.99192259815431461</v>
      </c>
      <c r="IB61" s="571">
        <f>Q61/'4GF Expenditures'!Q62</f>
        <v>1.050609758554145</v>
      </c>
      <c r="IC61" s="571" t="e">
        <f>R61/'4GF Expenditures'!R62</f>
        <v>#DIV/0!</v>
      </c>
      <c r="ID61" s="573" t="e">
        <f>S61/'4GF Expenditures'!S62</f>
        <v>#DIV/0!</v>
      </c>
      <c r="IE61" s="572" t="e">
        <f>T61/'4GF Expenditures'!T62</f>
        <v>#DIV/0!</v>
      </c>
      <c r="IF61" s="572" t="e">
        <f>U61/'4GF Expenditures'!U62</f>
        <v>#DIV/0!</v>
      </c>
      <c r="IG61" s="572" t="e">
        <f>V61/'4GF Expenditures'!V62</f>
        <v>#DIV/0!</v>
      </c>
      <c r="IH61" s="572" t="e">
        <f>W61/'4GF Expenditures'!W62</f>
        <v>#DIV/0!</v>
      </c>
    </row>
    <row r="62" spans="1:242" ht="14">
      <c r="A62" s="43" t="s">
        <v>46</v>
      </c>
      <c r="B62" s="319">
        <v>2639465</v>
      </c>
      <c r="C62" s="319">
        <v>2916008</v>
      </c>
      <c r="D62" s="319">
        <v>3035275</v>
      </c>
      <c r="E62" s="319">
        <v>3310574</v>
      </c>
      <c r="F62" s="319">
        <v>3338550</v>
      </c>
      <c r="G62" s="319">
        <v>2996108</v>
      </c>
      <c r="H62" s="319">
        <v>3578679</v>
      </c>
      <c r="I62" s="319">
        <v>3916684</v>
      </c>
      <c r="J62" s="319">
        <v>3925808.21</v>
      </c>
      <c r="K62" s="319">
        <v>4241973.67</v>
      </c>
      <c r="L62" s="319">
        <v>4742242.7499999991</v>
      </c>
      <c r="M62" s="319">
        <v>4768739.47</v>
      </c>
      <c r="N62" s="319">
        <v>4845857.49</v>
      </c>
      <c r="O62" s="319"/>
      <c r="P62" s="319"/>
      <c r="Q62" s="319"/>
      <c r="R62" s="319"/>
      <c r="S62" s="319"/>
      <c r="T62" s="319"/>
      <c r="U62" s="319"/>
      <c r="V62" s="319"/>
      <c r="W62" s="319"/>
      <c r="X62" s="6"/>
      <c r="Y62" s="43" t="s">
        <v>46</v>
      </c>
      <c r="Z62" s="319">
        <v>0</v>
      </c>
      <c r="AA62" s="319">
        <v>0</v>
      </c>
      <c r="AB62" s="319">
        <v>60705.5</v>
      </c>
      <c r="AC62" s="319">
        <v>66211.48</v>
      </c>
      <c r="AD62" s="319">
        <v>66771</v>
      </c>
      <c r="AE62" s="319">
        <v>89883.24</v>
      </c>
      <c r="AF62" s="319">
        <v>71573.58</v>
      </c>
      <c r="AG62" s="319">
        <v>195834.2</v>
      </c>
      <c r="AH62" s="319">
        <v>197884.74</v>
      </c>
      <c r="AI62" s="319">
        <v>212464.39</v>
      </c>
      <c r="AJ62" s="319">
        <v>308176.71999999997</v>
      </c>
      <c r="AK62" s="319">
        <v>378028.87</v>
      </c>
      <c r="AL62" s="319">
        <v>316161</v>
      </c>
      <c r="AM62" s="319"/>
      <c r="AN62" s="319"/>
      <c r="AO62" s="319"/>
      <c r="AP62" s="319"/>
      <c r="AQ62" s="362"/>
      <c r="AR62" s="753"/>
      <c r="AS62" s="753"/>
      <c r="AT62" s="753"/>
      <c r="AU62" s="753"/>
      <c r="AV62" s="39"/>
      <c r="AW62" s="43" t="s">
        <v>46</v>
      </c>
      <c r="AX62" s="319">
        <v>1240548.55</v>
      </c>
      <c r="AY62" s="319">
        <v>1341363.68</v>
      </c>
      <c r="AZ62" s="319">
        <v>1396226.5</v>
      </c>
      <c r="BA62" s="319">
        <v>1423546.82</v>
      </c>
      <c r="BB62" s="319">
        <v>1435576.5</v>
      </c>
      <c r="BC62" s="319">
        <v>1438131.84</v>
      </c>
      <c r="BD62" s="319">
        <v>1503045.18</v>
      </c>
      <c r="BE62" s="319">
        <v>1527506.76</v>
      </c>
      <c r="BF62" s="319">
        <v>1562106.66</v>
      </c>
      <c r="BG62" s="319">
        <v>1710492.3699999999</v>
      </c>
      <c r="BH62" s="319">
        <v>2075225.38</v>
      </c>
      <c r="BI62" s="319">
        <v>2243721.9500000002</v>
      </c>
      <c r="BJ62" s="319">
        <v>2256696.83</v>
      </c>
      <c r="BK62" s="319"/>
      <c r="BL62" s="319"/>
      <c r="BM62" s="319"/>
      <c r="BN62" s="319"/>
      <c r="BO62" s="362"/>
      <c r="BP62" s="753"/>
      <c r="BQ62" s="753"/>
      <c r="BR62" s="753"/>
      <c r="BS62" s="753"/>
      <c r="BT62" s="286"/>
      <c r="BU62" s="43" t="s">
        <v>46</v>
      </c>
      <c r="BV62" s="319">
        <v>712655.55</v>
      </c>
      <c r="BW62" s="319">
        <v>729002</v>
      </c>
      <c r="BX62" s="319">
        <v>728466</v>
      </c>
      <c r="BY62" s="319">
        <v>860749.24</v>
      </c>
      <c r="BZ62" s="319">
        <v>968179.5</v>
      </c>
      <c r="CA62" s="319">
        <v>539299.43999999994</v>
      </c>
      <c r="CB62" s="319">
        <v>1002030.12</v>
      </c>
      <c r="CC62" s="319">
        <v>1018337.84</v>
      </c>
      <c r="CD62" s="319">
        <v>873743.99000000011</v>
      </c>
      <c r="CE62" s="319">
        <v>842732.5</v>
      </c>
      <c r="CF62" s="319">
        <v>981093.72</v>
      </c>
      <c r="CG62" s="319">
        <v>819337.36999999988</v>
      </c>
      <c r="CH62" s="319">
        <v>889644.21000000008</v>
      </c>
      <c r="CI62" s="319"/>
      <c r="CJ62" s="319"/>
      <c r="CK62" s="319"/>
      <c r="CL62" s="319"/>
      <c r="CM62" s="362"/>
      <c r="CN62" s="753"/>
      <c r="CO62" s="753"/>
      <c r="CP62" s="753"/>
      <c r="CQ62" s="753"/>
      <c r="CR62" s="39"/>
      <c r="CS62" s="43" t="s">
        <v>46</v>
      </c>
      <c r="CT62" s="319">
        <v>501498.35</v>
      </c>
      <c r="CU62" s="319">
        <v>554041.52</v>
      </c>
      <c r="CV62" s="319">
        <v>607055</v>
      </c>
      <c r="CW62" s="319">
        <v>595903.31999999995</v>
      </c>
      <c r="CX62" s="319">
        <v>634324.5</v>
      </c>
      <c r="CY62" s="319">
        <v>599221.6</v>
      </c>
      <c r="CZ62" s="319">
        <v>679949.01</v>
      </c>
      <c r="DA62" s="319">
        <v>744169.96</v>
      </c>
      <c r="DB62" s="319">
        <v>693344.29999999993</v>
      </c>
      <c r="DC62" s="319">
        <v>695371.14</v>
      </c>
      <c r="DD62" s="319">
        <v>782408.1399999999</v>
      </c>
      <c r="DE62" s="319">
        <v>865463.33000000007</v>
      </c>
      <c r="DF62" s="319">
        <v>777388.51000000013</v>
      </c>
      <c r="DG62" s="319"/>
      <c r="DH62" s="319"/>
      <c r="DI62" s="319"/>
      <c r="DJ62" s="319"/>
      <c r="DK62" s="362"/>
      <c r="DL62" s="753"/>
      <c r="DM62" s="753"/>
      <c r="DN62" s="753"/>
      <c r="DO62" s="753"/>
      <c r="DP62" s="39"/>
      <c r="DQ62" s="43" t="s">
        <v>46</v>
      </c>
      <c r="DR62" s="319">
        <v>26394.65</v>
      </c>
      <c r="DS62" s="319">
        <v>0</v>
      </c>
      <c r="DT62" s="319">
        <v>0</v>
      </c>
      <c r="DU62" s="319">
        <v>33105.74</v>
      </c>
      <c r="DV62" s="319">
        <v>33385.5</v>
      </c>
      <c r="DW62" s="319">
        <v>29961.08</v>
      </c>
      <c r="DX62" s="319">
        <v>0</v>
      </c>
      <c r="DY62" s="319">
        <v>0</v>
      </c>
      <c r="DZ62" s="319">
        <v>137823.31</v>
      </c>
      <c r="EA62" s="319">
        <v>3789.64</v>
      </c>
      <c r="EB62" s="319">
        <v>10206.92</v>
      </c>
      <c r="EC62" s="319">
        <v>27217.48</v>
      </c>
      <c r="ED62" s="319">
        <v>21417.91</v>
      </c>
      <c r="EE62" s="319"/>
      <c r="EF62" s="319"/>
      <c r="EG62" s="319"/>
      <c r="EH62" s="319"/>
      <c r="EI62" s="362"/>
      <c r="EJ62" s="753"/>
      <c r="EK62" s="753"/>
      <c r="EL62" s="753"/>
      <c r="EM62" s="753"/>
      <c r="EN62" s="39"/>
      <c r="EO62" s="43" t="s">
        <v>46</v>
      </c>
      <c r="EP62" s="319">
        <v>158367.9</v>
      </c>
      <c r="EQ62" s="319">
        <v>291600.8</v>
      </c>
      <c r="ER62" s="319">
        <v>242822</v>
      </c>
      <c r="ES62" s="319">
        <v>331057.40000000002</v>
      </c>
      <c r="ET62" s="319">
        <v>200313</v>
      </c>
      <c r="EU62" s="319">
        <v>299610.8</v>
      </c>
      <c r="EV62" s="319">
        <v>322081.11</v>
      </c>
      <c r="EW62" s="319">
        <v>430835.24</v>
      </c>
      <c r="EX62" s="319">
        <v>259821.83000000002</v>
      </c>
      <c r="EY62" s="319">
        <v>135572.90000000002</v>
      </c>
      <c r="EZ62" s="319">
        <v>160741.57</v>
      </c>
      <c r="FA62" s="319">
        <v>73189.219999999987</v>
      </c>
      <c r="FB62" s="319">
        <v>117729.33000000002</v>
      </c>
      <c r="FC62" s="319"/>
      <c r="FD62" s="319"/>
      <c r="FE62" s="319"/>
      <c r="FF62" s="319"/>
      <c r="FG62" s="362"/>
      <c r="FH62" s="362"/>
      <c r="FI62" s="362"/>
      <c r="FJ62" s="362"/>
      <c r="FK62" s="362"/>
      <c r="FM62" s="43" t="s">
        <v>46</v>
      </c>
      <c r="FN62" s="319">
        <v>235992</v>
      </c>
      <c r="FO62" s="319">
        <v>257039</v>
      </c>
      <c r="FP62" s="319">
        <v>296798</v>
      </c>
      <c r="FQ62" s="319">
        <v>611459</v>
      </c>
      <c r="FR62" s="319">
        <v>668646</v>
      </c>
      <c r="FS62" s="319">
        <v>191884</v>
      </c>
      <c r="FT62" s="319">
        <v>418965</v>
      </c>
      <c r="FU62" s="319">
        <v>246324</v>
      </c>
      <c r="FV62" s="319">
        <v>58020.830000001006</v>
      </c>
      <c r="FW62" s="319">
        <v>111976.43</v>
      </c>
      <c r="FX62" s="319">
        <v>526670.67000000004</v>
      </c>
      <c r="FY62" s="319">
        <v>635904.23</v>
      </c>
      <c r="FZ62" s="319">
        <v>235573.59</v>
      </c>
      <c r="GA62" s="319"/>
      <c r="GB62" s="319"/>
      <c r="GC62" s="319"/>
      <c r="GD62" s="319"/>
      <c r="GE62" s="319"/>
      <c r="GF62" s="756"/>
      <c r="GG62" s="756"/>
      <c r="GH62" s="756"/>
      <c r="GI62" s="756"/>
      <c r="GJ62" s="42"/>
      <c r="GK62" s="570" t="s">
        <v>46</v>
      </c>
      <c r="GL62" s="571">
        <f>FN62/'4GF Expenditures'!B63</f>
        <v>8.3492097523490905E-2</v>
      </c>
      <c r="GM62" s="571">
        <f>FO62/'4GF Expenditures'!C63</f>
        <v>8.8788415457064881E-2</v>
      </c>
      <c r="GN62" s="571">
        <f>FP62/'4GF Expenditures'!D63</f>
        <v>9.9080759375012525E-2</v>
      </c>
      <c r="GO62" s="571">
        <f>FQ62/'4GF Expenditures'!E63</f>
        <v>0.20409771578814204</v>
      </c>
      <c r="GP62" s="571">
        <f>FR62/'4GF Expenditures'!F63</f>
        <v>0.20377081109282941</v>
      </c>
      <c r="GQ62" s="571">
        <f>FS62/'4GF Expenditures'!G63</f>
        <v>5.5252284133871982E-2</v>
      </c>
      <c r="GR62" s="571">
        <f>FT62/'4GF Expenditures'!H63</f>
        <v>0.12500455006835545</v>
      </c>
      <c r="GS62" s="571">
        <f>FU62/'4GF Expenditures'!I63</f>
        <v>6.0235857996124055E-2</v>
      </c>
      <c r="GT62" s="571">
        <f>FV62/'4GF Expenditures'!J63</f>
        <v>1.4102886660394307E-2</v>
      </c>
      <c r="GU62" s="571">
        <f>FW62/'4GF Expenditures'!K63</f>
        <v>2.6597812446641007E-2</v>
      </c>
      <c r="GV62" s="571">
        <f>FX62/'4GF Expenditures'!L63</f>
        <v>0.12167120649675135</v>
      </c>
      <c r="GW62" s="571">
        <f>FY62/'4GF Expenditures'!M63</f>
        <v>0.13647943180326871</v>
      </c>
      <c r="GX62" s="571">
        <f>FZ62/'4GF Expenditures'!N63</f>
        <v>4.4903763296799661E-2</v>
      </c>
      <c r="GY62" s="571" t="e">
        <f>GA62/'4GF Expenditures'!O63</f>
        <v>#DIV/0!</v>
      </c>
      <c r="GZ62" s="571" t="e">
        <f>GB62/'4GF Expenditures'!P63</f>
        <v>#DIV/0!</v>
      </c>
      <c r="HA62" s="571" t="e">
        <f>GC62/'4GF Expenditures'!Q63</f>
        <v>#DIV/0!</v>
      </c>
      <c r="HB62" s="571" t="e">
        <f>GD62/'4GF Expenditures'!R63</f>
        <v>#DIV/0!</v>
      </c>
      <c r="HC62" s="571" t="e">
        <f>GE62/'4GF Expenditures'!S63</f>
        <v>#DIV/0!</v>
      </c>
      <c r="HD62" s="571" t="e">
        <f>GF62/'4GF Expenditures'!T63</f>
        <v>#DIV/0!</v>
      </c>
      <c r="HE62" s="571" t="e">
        <f>GG62/'4GF Expenditures'!U63</f>
        <v>#DIV/0!</v>
      </c>
      <c r="HF62" s="571" t="e">
        <f>GH62/'4GF Expenditures'!V63</f>
        <v>#DIV/0!</v>
      </c>
      <c r="HG62" s="571" t="e">
        <f>GI62/'4GF Expenditures'!W63</f>
        <v>#DIV/0!</v>
      </c>
      <c r="HH62" s="571"/>
      <c r="HI62" s="571"/>
      <c r="HJ62" s="571"/>
      <c r="HK62" s="568"/>
      <c r="HL62" s="567" t="s">
        <v>46</v>
      </c>
      <c r="HM62" s="571">
        <f>B62/'4GF Expenditures'!B63</f>
        <v>0.93382177866131455</v>
      </c>
      <c r="HN62" s="571">
        <f>C62/'4GF Expenditures'!C63</f>
        <v>1.007270218838872</v>
      </c>
      <c r="HO62" s="571">
        <f>D62/'4GF Expenditures'!D63</f>
        <v>1.013272838469232</v>
      </c>
      <c r="HP62" s="571">
        <f>E62/'4GF Expenditures'!E63</f>
        <v>1.1050300859871431</v>
      </c>
      <c r="HQ62" s="571">
        <f>F62/'4GF Expenditures'!F63</f>
        <v>1.0174278188667332</v>
      </c>
      <c r="HR62" s="571">
        <f>G62/'4GF Expenditures'!G63</f>
        <v>0.86271815530094709</v>
      </c>
      <c r="HS62" s="571">
        <f>H62/'4GF Expenditures'!H63</f>
        <v>1.0677530539163707</v>
      </c>
      <c r="HT62" s="571">
        <f>I62/'4GF Expenditures'!I63</f>
        <v>0.95778251911990364</v>
      </c>
      <c r="HU62" s="571">
        <f>J62/'4GF Expenditures'!J63</f>
        <v>0.95423020036208528</v>
      </c>
      <c r="HV62" s="571">
        <f>K62/'4GF Expenditures'!K63</f>
        <v>1.007597938943485</v>
      </c>
      <c r="HW62" s="571">
        <f>L62/'4GF Expenditures'!L63</f>
        <v>1.0955506538706092</v>
      </c>
      <c r="HX62" s="571">
        <f>M62/'4GF Expenditures'!M63</f>
        <v>1.0234793583357997</v>
      </c>
      <c r="HY62" s="571">
        <f>N62/'4GF Expenditures'!N63</f>
        <v>0.92369113915097079</v>
      </c>
      <c r="HZ62" s="571" t="e">
        <f>O62/'4GF Expenditures'!O63</f>
        <v>#DIV/0!</v>
      </c>
      <c r="IA62" s="571" t="e">
        <f>P62/'4GF Expenditures'!P63</f>
        <v>#DIV/0!</v>
      </c>
      <c r="IB62" s="571" t="e">
        <f>Q62/'4GF Expenditures'!Q63</f>
        <v>#DIV/0!</v>
      </c>
      <c r="IC62" s="571" t="e">
        <f>R62/'4GF Expenditures'!R63</f>
        <v>#DIV/0!</v>
      </c>
      <c r="ID62" s="573" t="e">
        <f>S62/'4GF Expenditures'!S63</f>
        <v>#DIV/0!</v>
      </c>
      <c r="IE62" s="572" t="e">
        <f>T62/'4GF Expenditures'!T63</f>
        <v>#DIV/0!</v>
      </c>
      <c r="IF62" s="572" t="e">
        <f>U62/'4GF Expenditures'!U63</f>
        <v>#DIV/0!</v>
      </c>
      <c r="IG62" s="572" t="e">
        <f>V62/'4GF Expenditures'!V63</f>
        <v>#DIV/0!</v>
      </c>
      <c r="IH62" s="572" t="e">
        <f>W62/'4GF Expenditures'!W63</f>
        <v>#DIV/0!</v>
      </c>
    </row>
    <row r="63" spans="1:242" ht="14">
      <c r="A63" s="43" t="s">
        <v>47</v>
      </c>
      <c r="B63" s="319">
        <v>1192007</v>
      </c>
      <c r="C63" s="319">
        <v>1344694</v>
      </c>
      <c r="D63" s="319">
        <v>1583147</v>
      </c>
      <c r="E63" s="319">
        <v>1384169</v>
      </c>
      <c r="F63" s="319">
        <v>1688644</v>
      </c>
      <c r="G63" s="319">
        <v>1692698</v>
      </c>
      <c r="H63" s="319">
        <v>1655832</v>
      </c>
      <c r="I63" s="319">
        <v>1393545</v>
      </c>
      <c r="J63" s="319">
        <v>1173815.1300000001</v>
      </c>
      <c r="K63" s="319">
        <v>1480767.68</v>
      </c>
      <c r="L63" s="319">
        <v>1638928.27</v>
      </c>
      <c r="M63" s="319">
        <v>1666664.5899999999</v>
      </c>
      <c r="N63" s="319">
        <v>1818117.7500000002</v>
      </c>
      <c r="O63" s="319">
        <v>2014427.92</v>
      </c>
      <c r="P63" s="319">
        <v>1917741.92</v>
      </c>
      <c r="Q63" s="325">
        <v>2131408.7800000003</v>
      </c>
      <c r="R63" s="325">
        <v>1694700.0999999999</v>
      </c>
      <c r="S63" s="363">
        <v>1644462.03</v>
      </c>
      <c r="T63" s="363">
        <v>1722708.69</v>
      </c>
      <c r="U63" s="363">
        <v>1786649.7200000002</v>
      </c>
      <c r="V63" s="363">
        <v>2710749</v>
      </c>
      <c r="W63" s="363">
        <v>1775652</v>
      </c>
      <c r="X63" s="6"/>
      <c r="Y63" s="43" t="s">
        <v>47</v>
      </c>
      <c r="Z63" s="319">
        <v>238401.4</v>
      </c>
      <c r="AA63" s="319">
        <v>309279.62</v>
      </c>
      <c r="AB63" s="319">
        <v>316629.40000000002</v>
      </c>
      <c r="AC63" s="319">
        <v>318358.87</v>
      </c>
      <c r="AD63" s="319">
        <v>388388.12</v>
      </c>
      <c r="AE63" s="319">
        <v>457028.46</v>
      </c>
      <c r="AF63" s="319">
        <v>447074.64</v>
      </c>
      <c r="AG63" s="319">
        <v>376257.15</v>
      </c>
      <c r="AH63" s="319">
        <v>28625.769999999997</v>
      </c>
      <c r="AI63" s="319">
        <v>16342.230000000001</v>
      </c>
      <c r="AJ63" s="319">
        <v>1582.42</v>
      </c>
      <c r="AK63" s="319">
        <v>1582.42</v>
      </c>
      <c r="AL63" s="319">
        <v>1603.8000000000002</v>
      </c>
      <c r="AM63" s="319">
        <v>1602.15</v>
      </c>
      <c r="AN63" s="319">
        <v>1638.48</v>
      </c>
      <c r="AO63" s="319">
        <v>1582.43</v>
      </c>
      <c r="AP63" s="319">
        <v>1582.43</v>
      </c>
      <c r="AQ63" s="362">
        <v>0</v>
      </c>
      <c r="AR63" s="753">
        <v>3164.86</v>
      </c>
      <c r="AS63" s="753">
        <v>0</v>
      </c>
      <c r="AT63" s="753">
        <v>0</v>
      </c>
      <c r="AU63" s="753">
        <v>0</v>
      </c>
      <c r="AV63" s="39"/>
      <c r="AW63" s="43" t="s">
        <v>47</v>
      </c>
      <c r="AX63" s="319">
        <v>524483.07999999996</v>
      </c>
      <c r="AY63" s="319">
        <v>537877.6</v>
      </c>
      <c r="AZ63" s="319">
        <v>506607.04</v>
      </c>
      <c r="BA63" s="319">
        <v>553667.6</v>
      </c>
      <c r="BB63" s="319">
        <v>624798.28</v>
      </c>
      <c r="BC63" s="319">
        <v>609371.28</v>
      </c>
      <c r="BD63" s="319">
        <v>645774.48</v>
      </c>
      <c r="BE63" s="319">
        <v>710707.95</v>
      </c>
      <c r="BF63" s="319">
        <v>710273.15</v>
      </c>
      <c r="BG63" s="319">
        <v>989263.96</v>
      </c>
      <c r="BH63" s="319">
        <v>1131220.47</v>
      </c>
      <c r="BI63" s="319">
        <v>1251790.92</v>
      </c>
      <c r="BJ63" s="319">
        <v>1225649.04</v>
      </c>
      <c r="BK63" s="319">
        <v>1271651.67</v>
      </c>
      <c r="BL63" s="319">
        <v>1197730.3</v>
      </c>
      <c r="BM63" s="319">
        <v>1116102.83</v>
      </c>
      <c r="BN63" s="319">
        <v>1203334.3899999999</v>
      </c>
      <c r="BO63" s="362">
        <v>1191848.72</v>
      </c>
      <c r="BP63" s="753">
        <v>1253836.47</v>
      </c>
      <c r="BQ63" s="753">
        <v>1333211.81</v>
      </c>
      <c r="BR63" s="753">
        <v>1367971.63</v>
      </c>
      <c r="BS63" s="753">
        <v>1368000</v>
      </c>
      <c r="BT63" s="286"/>
      <c r="BU63" s="43" t="s">
        <v>47</v>
      </c>
      <c r="BV63" s="319">
        <v>154960.91</v>
      </c>
      <c r="BW63" s="319">
        <v>188257.16</v>
      </c>
      <c r="BX63" s="319">
        <v>221640.58</v>
      </c>
      <c r="BY63" s="319">
        <v>221467.04</v>
      </c>
      <c r="BZ63" s="319">
        <v>219523.72</v>
      </c>
      <c r="CA63" s="319">
        <v>220050.74</v>
      </c>
      <c r="CB63" s="319">
        <v>182141.52</v>
      </c>
      <c r="CC63" s="319">
        <v>55741.8</v>
      </c>
      <c r="CD63" s="319">
        <v>159525.64000000001</v>
      </c>
      <c r="CE63" s="319">
        <v>66415.17</v>
      </c>
      <c r="CF63" s="319">
        <v>91635.9</v>
      </c>
      <c r="CG63" s="319">
        <v>97781.89</v>
      </c>
      <c r="CH63" s="319">
        <v>160486.36999999997</v>
      </c>
      <c r="CI63" s="319">
        <v>148915.17000000001</v>
      </c>
      <c r="CJ63" s="319">
        <v>135973.87000000002</v>
      </c>
      <c r="CK63" s="319">
        <v>129990.75</v>
      </c>
      <c r="CL63" s="319">
        <v>150261.42000000001</v>
      </c>
      <c r="CM63" s="362">
        <v>107405.84000000001</v>
      </c>
      <c r="CN63" s="753">
        <v>124349.5</v>
      </c>
      <c r="CO63" s="753">
        <v>92415.39</v>
      </c>
      <c r="CP63" s="753">
        <v>78134.73</v>
      </c>
      <c r="CQ63" s="753">
        <v>67652</v>
      </c>
      <c r="CR63" s="39"/>
      <c r="CS63" s="43" t="s">
        <v>47</v>
      </c>
      <c r="CT63" s="319">
        <v>214561.26</v>
      </c>
      <c r="CU63" s="319">
        <v>242044.92</v>
      </c>
      <c r="CV63" s="319">
        <v>253303.52</v>
      </c>
      <c r="CW63" s="319">
        <v>249150.42</v>
      </c>
      <c r="CX63" s="319">
        <v>253296.6</v>
      </c>
      <c r="CY63" s="319">
        <v>304685.64</v>
      </c>
      <c r="CZ63" s="319">
        <v>331166.40000000002</v>
      </c>
      <c r="DA63" s="319">
        <v>250838.1</v>
      </c>
      <c r="DB63" s="319">
        <v>248026.36</v>
      </c>
      <c r="DC63" s="319">
        <v>288176.24</v>
      </c>
      <c r="DD63" s="319">
        <v>281444.56</v>
      </c>
      <c r="DE63" s="319">
        <v>273369.54000000004</v>
      </c>
      <c r="DF63" s="319">
        <v>375834.98000000004</v>
      </c>
      <c r="DG63" s="319">
        <v>284082.76</v>
      </c>
      <c r="DH63" s="319">
        <v>288987.84000000003</v>
      </c>
      <c r="DI63" s="319">
        <v>296097.08</v>
      </c>
      <c r="DJ63" s="319">
        <v>309667.53000000003</v>
      </c>
      <c r="DK63" s="362">
        <v>297814.98000000004</v>
      </c>
      <c r="DL63" s="753">
        <v>312720.18999999994</v>
      </c>
      <c r="DM63" s="753">
        <v>334407.15000000002</v>
      </c>
      <c r="DN63" s="753">
        <v>328095.42</v>
      </c>
      <c r="DO63" s="753">
        <v>315000</v>
      </c>
      <c r="DP63" s="39"/>
      <c r="DQ63" s="43" t="s">
        <v>47</v>
      </c>
      <c r="DR63" s="319">
        <v>23840.14</v>
      </c>
      <c r="DS63" s="319">
        <v>26893.88</v>
      </c>
      <c r="DT63" s="319">
        <v>15831.47</v>
      </c>
      <c r="DU63" s="319">
        <v>13841.69</v>
      </c>
      <c r="DV63" s="319">
        <v>16886.439999999999</v>
      </c>
      <c r="DW63" s="319">
        <v>16926.98</v>
      </c>
      <c r="DX63" s="319">
        <v>0</v>
      </c>
      <c r="DY63" s="319">
        <v>0</v>
      </c>
      <c r="DZ63" s="319">
        <v>5799.2</v>
      </c>
      <c r="EA63" s="319">
        <v>14319.09</v>
      </c>
      <c r="EB63" s="319">
        <v>21944.82</v>
      </c>
      <c r="EC63" s="319">
        <v>20375.03</v>
      </c>
      <c r="ED63" s="319">
        <v>16262.2</v>
      </c>
      <c r="EE63" s="319">
        <v>1440</v>
      </c>
      <c r="EF63" s="319">
        <v>0</v>
      </c>
      <c r="EG63" s="319">
        <v>0</v>
      </c>
      <c r="EH63" s="319">
        <v>0</v>
      </c>
      <c r="EI63" s="362">
        <v>0</v>
      </c>
      <c r="EJ63" s="753">
        <v>0</v>
      </c>
      <c r="EK63" s="753">
        <v>357.52</v>
      </c>
      <c r="EL63" s="753">
        <v>957.85</v>
      </c>
      <c r="EM63" s="753">
        <v>0</v>
      </c>
      <c r="EN63" s="39"/>
      <c r="EO63" s="43" t="s">
        <v>47</v>
      </c>
      <c r="EP63" s="319">
        <v>35760.21</v>
      </c>
      <c r="EQ63" s="319">
        <v>40340.82</v>
      </c>
      <c r="ER63" s="319">
        <v>269134.99</v>
      </c>
      <c r="ES63" s="319">
        <v>27683.38</v>
      </c>
      <c r="ET63" s="319">
        <v>185750.84</v>
      </c>
      <c r="EU63" s="319">
        <v>84634.9</v>
      </c>
      <c r="EV63" s="319">
        <v>49674.96</v>
      </c>
      <c r="EW63" s="319">
        <v>0</v>
      </c>
      <c r="EX63" s="319">
        <v>21565.010000000002</v>
      </c>
      <c r="EY63" s="319">
        <v>5585.99</v>
      </c>
      <c r="EZ63" s="319">
        <v>111100.1</v>
      </c>
      <c r="FA63" s="319">
        <v>11949.67</v>
      </c>
      <c r="FB63" s="319">
        <v>10413.959999999999</v>
      </c>
      <c r="FC63" s="319">
        <v>4667.1699999999992</v>
      </c>
      <c r="FD63" s="319">
        <v>17667.66</v>
      </c>
      <c r="FE63" s="319">
        <v>26891.919999999998</v>
      </c>
      <c r="FF63" s="319">
        <v>29854.329999999998</v>
      </c>
      <c r="FG63" s="362">
        <v>47392.490000000005</v>
      </c>
      <c r="FH63" s="362">
        <v>28637.670000000002</v>
      </c>
      <c r="FI63" s="362">
        <v>26257.850000000002</v>
      </c>
      <c r="FJ63" s="362">
        <v>35589.369999999995</v>
      </c>
      <c r="FK63" s="362">
        <v>25000</v>
      </c>
      <c r="FM63" s="43" t="s">
        <v>47</v>
      </c>
      <c r="FN63" s="319">
        <v>228591</v>
      </c>
      <c r="FO63" s="319">
        <v>343378</v>
      </c>
      <c r="FP63" s="319">
        <v>88270</v>
      </c>
      <c r="FQ63" s="319">
        <v>36134</v>
      </c>
      <c r="FR63" s="319">
        <v>130781</v>
      </c>
      <c r="FS63" s="319">
        <v>160547</v>
      </c>
      <c r="FT63" s="319">
        <v>106427</v>
      </c>
      <c r="FU63" s="319">
        <v>559730</v>
      </c>
      <c r="FV63" s="319">
        <v>478989.44999999995</v>
      </c>
      <c r="FW63" s="319">
        <v>450896.88</v>
      </c>
      <c r="FX63" s="319">
        <v>438376.05</v>
      </c>
      <c r="FY63" s="319">
        <v>549622.86</v>
      </c>
      <c r="FZ63" s="319">
        <v>243295.33</v>
      </c>
      <c r="GA63" s="319">
        <v>770868.8</v>
      </c>
      <c r="GB63" s="319">
        <v>190470.37</v>
      </c>
      <c r="GC63" s="319">
        <v>266988.83</v>
      </c>
      <c r="GD63" s="319">
        <v>148759.4</v>
      </c>
      <c r="GE63" s="319">
        <v>419080.73</v>
      </c>
      <c r="GF63" s="756">
        <v>616707.01</v>
      </c>
      <c r="GG63" s="756">
        <v>593949.4</v>
      </c>
      <c r="GH63" s="756">
        <v>925202.81</v>
      </c>
      <c r="GI63" s="756">
        <v>279099.81000000006</v>
      </c>
      <c r="GJ63" s="42"/>
      <c r="GK63" s="570" t="s">
        <v>47</v>
      </c>
      <c r="GL63" s="571">
        <f>FN63/'4GF Expenditures'!B64</f>
        <v>0.20132673021420211</v>
      </c>
      <c r="GM63" s="571">
        <f>FO63/'4GF Expenditures'!C64</f>
        <v>0.27919021519513265</v>
      </c>
      <c r="GN63" s="571">
        <f>FP63/'4GF Expenditures'!D64</f>
        <v>4.801836524312459E-2</v>
      </c>
      <c r="GO63" s="571">
        <f>FQ63/'4GF Expenditures'!E64</f>
        <v>2.5157609282151074E-2</v>
      </c>
      <c r="GP63" s="571">
        <f>FR63/'4GF Expenditures'!F64</f>
        <v>8.2045951152982091E-2</v>
      </c>
      <c r="GQ63" s="571">
        <f>FS63/'4GF Expenditures'!G64</f>
        <v>9.6620883981757541E-2</v>
      </c>
      <c r="GR63" s="571">
        <f>FT63/'4GF Expenditures'!H64</f>
        <v>6.2239758776854552E-2</v>
      </c>
      <c r="GS63" s="571">
        <f>FU63/'4GF Expenditures'!I64</f>
        <v>0.59530418764530835</v>
      </c>
      <c r="GT63" s="571">
        <f>FV63/'4GF Expenditures'!J64</f>
        <v>0.38133805570279095</v>
      </c>
      <c r="GU63" s="571">
        <f>FW63/'4GF Expenditures'!K64</f>
        <v>0.29866285548411853</v>
      </c>
      <c r="GV63" s="571">
        <f>FX63/'4GF Expenditures'!L64</f>
        <v>0.26629922614829987</v>
      </c>
      <c r="GW63" s="571">
        <f>FY63/'4GF Expenditures'!M64</f>
        <v>0.27212092146768319</v>
      </c>
      <c r="GX63" s="571">
        <f>FZ63/'4GF Expenditures'!N64</f>
        <v>0.11525584987486281</v>
      </c>
      <c r="GY63" s="571">
        <f>GA63/'4GF Expenditures'!O64</f>
        <v>0.43115087753213727</v>
      </c>
      <c r="GZ63" s="571">
        <f>GB63/'4GF Expenditures'!P64</f>
        <v>9.8310858899741602E-2</v>
      </c>
      <c r="HA63" s="571">
        <f>GC63/'4GF Expenditures'!Q64</f>
        <v>0.17943350244830791</v>
      </c>
      <c r="HB63" s="571">
        <f>GD63/'4GF Expenditures'!R64</f>
        <v>8.2050614854520657E-2</v>
      </c>
      <c r="HC63" s="571">
        <f>GE63/'4GF Expenditures'!S64</f>
        <v>0.30497657918144772</v>
      </c>
      <c r="HD63" s="571">
        <f>GF63/'4GF Expenditures'!T64</f>
        <v>0.40522081563143442</v>
      </c>
      <c r="HE63" s="571">
        <f>GG63/'4GF Expenditures'!U64</f>
        <v>0.32883753458334064</v>
      </c>
      <c r="HF63" s="571">
        <f>GH63/'4GF Expenditures'!V64</f>
        <v>0.38882166246828526</v>
      </c>
      <c r="HG63" s="571">
        <f>GI63/'4GF Expenditures'!W64</f>
        <v>0.11524692217007916</v>
      </c>
      <c r="HH63" s="571"/>
      <c r="HI63" s="571"/>
      <c r="HJ63" s="571"/>
      <c r="HK63" s="568"/>
      <c r="HL63" s="567" t="s">
        <v>47</v>
      </c>
      <c r="HM63" s="571">
        <f>B63/'4GF Expenditures'!B64</f>
        <v>1.0498351715616119</v>
      </c>
      <c r="HN63" s="571">
        <f>C63/'4GF Expenditures'!C64</f>
        <v>1.0933298208726352</v>
      </c>
      <c r="HO63" s="571">
        <f>D63/'4GF Expenditures'!D64</f>
        <v>0.86122273569227337</v>
      </c>
      <c r="HP63" s="571">
        <f>E63/'4GF Expenditures'!E64</f>
        <v>0.96370130299622991</v>
      </c>
      <c r="HQ63" s="571">
        <f>F63/'4GF Expenditures'!F64</f>
        <v>1.0593771506470839</v>
      </c>
      <c r="HR63" s="571">
        <f>G63/'4GF Expenditures'!G64</f>
        <v>1.0187046601565461</v>
      </c>
      <c r="HS63" s="571">
        <f>H63/'4GF Expenditures'!H64</f>
        <v>0.9683499887716146</v>
      </c>
      <c r="HT63" s="571">
        <f>I63/'4GF Expenditures'!I64</f>
        <v>1.4821131155596112</v>
      </c>
      <c r="HU63" s="571">
        <f>J63/'4GF Expenditures'!J64</f>
        <v>0.93450989250122085</v>
      </c>
      <c r="HV63" s="571">
        <f>K63/'4GF Expenditures'!K64</f>
        <v>0.98082360564879811</v>
      </c>
      <c r="HW63" s="571">
        <f>L63/'4GF Expenditures'!L64</f>
        <v>0.99559574482586777</v>
      </c>
      <c r="HX63" s="571">
        <f>M63/'4GF Expenditures'!M64</f>
        <v>0.82517365454624347</v>
      </c>
      <c r="HY63" s="571">
        <f>N63/'4GF Expenditures'!N64</f>
        <v>0.86129358277786672</v>
      </c>
      <c r="HZ63" s="571">
        <f>O63/'4GF Expenditures'!O64</f>
        <v>1.1266798778640903</v>
      </c>
      <c r="IA63" s="571">
        <f>P63/'4GF Expenditures'!P64</f>
        <v>0.9898382373239446</v>
      </c>
      <c r="IB63" s="571">
        <f>Q63/'4GF Expenditures'!Q64</f>
        <v>1.4324424828726916</v>
      </c>
      <c r="IC63" s="571">
        <f>R63/'4GF Expenditures'!R64</f>
        <v>0.934738814481758</v>
      </c>
      <c r="ID63" s="573">
        <f>S63/'4GF Expenditures'!S64</f>
        <v>1.1967202703478619</v>
      </c>
      <c r="IE63" s="572">
        <f>T63/'4GF Expenditures'!T64</f>
        <v>1.131943385007347</v>
      </c>
      <c r="IF63" s="572">
        <f>U63/'4GF Expenditures'!U64</f>
        <v>0.98917094467780575</v>
      </c>
      <c r="IG63" s="572">
        <f>V63/'4GF Expenditures'!V64</f>
        <v>1.1392074487043999</v>
      </c>
      <c r="IH63" s="572">
        <f>W63/'4GF Expenditures'!W64</f>
        <v>0.73320876802153812</v>
      </c>
    </row>
    <row r="64" spans="1:242" ht="12.75" customHeight="1">
      <c r="A64" s="43" t="s">
        <v>48</v>
      </c>
      <c r="B64" s="319">
        <v>505599</v>
      </c>
      <c r="C64" s="319">
        <v>537194</v>
      </c>
      <c r="D64" s="319">
        <v>570614</v>
      </c>
      <c r="E64" s="319">
        <v>564795</v>
      </c>
      <c r="F64" s="319">
        <v>591629</v>
      </c>
      <c r="G64" s="319">
        <v>701201</v>
      </c>
      <c r="H64" s="319">
        <v>593356</v>
      </c>
      <c r="I64" s="319">
        <v>622050</v>
      </c>
      <c r="J64" s="319">
        <v>657513.27</v>
      </c>
      <c r="K64" s="319">
        <v>615733.59000000008</v>
      </c>
      <c r="L64" s="319">
        <v>538754.87</v>
      </c>
      <c r="M64" s="319">
        <v>678579.28</v>
      </c>
      <c r="N64" s="319">
        <v>803901.14</v>
      </c>
      <c r="O64" s="319">
        <v>832067.58</v>
      </c>
      <c r="P64" s="319">
        <v>857655.54999999993</v>
      </c>
      <c r="Q64" s="319">
        <v>840130.72</v>
      </c>
      <c r="R64" s="319">
        <v>874389.21</v>
      </c>
      <c r="S64" s="362">
        <v>853904.23</v>
      </c>
      <c r="T64" s="362">
        <v>857452.13</v>
      </c>
      <c r="U64" s="362">
        <v>893195.69</v>
      </c>
      <c r="V64" s="362">
        <v>907798.75</v>
      </c>
      <c r="W64" s="362">
        <v>902710</v>
      </c>
      <c r="X64" s="6"/>
      <c r="Y64" s="43" t="s">
        <v>48</v>
      </c>
      <c r="Z64" s="319">
        <v>106175.79</v>
      </c>
      <c r="AA64" s="319">
        <v>139670.44</v>
      </c>
      <c r="AB64" s="319">
        <v>165478.06</v>
      </c>
      <c r="AC64" s="319">
        <v>169438.5</v>
      </c>
      <c r="AD64" s="319">
        <v>171572.41</v>
      </c>
      <c r="AE64" s="319">
        <v>203348.29</v>
      </c>
      <c r="AF64" s="319">
        <v>166139.68</v>
      </c>
      <c r="AG64" s="319">
        <v>167953.5</v>
      </c>
      <c r="AH64" s="319">
        <v>177051.44</v>
      </c>
      <c r="AI64" s="319">
        <v>163321.81</v>
      </c>
      <c r="AJ64" s="319">
        <v>100724.53</v>
      </c>
      <c r="AK64" s="319">
        <v>195859.94</v>
      </c>
      <c r="AL64" s="319">
        <v>341747.09</v>
      </c>
      <c r="AM64" s="319">
        <v>296195.71999999997</v>
      </c>
      <c r="AN64" s="319">
        <v>134667.85</v>
      </c>
      <c r="AO64" s="319">
        <v>135372.82</v>
      </c>
      <c r="AP64" s="319">
        <v>128211.1</v>
      </c>
      <c r="AQ64" s="362">
        <v>129938.78</v>
      </c>
      <c r="AR64" s="753">
        <v>146305.34</v>
      </c>
      <c r="AS64" s="753">
        <v>138391.45000000001</v>
      </c>
      <c r="AT64" s="753">
        <v>140002.24000000002</v>
      </c>
      <c r="AU64" s="753">
        <v>141000</v>
      </c>
      <c r="AV64" s="39"/>
      <c r="AW64" s="43" t="s">
        <v>48</v>
      </c>
      <c r="AX64" s="319">
        <v>212351.58</v>
      </c>
      <c r="AY64" s="319">
        <v>214877.6</v>
      </c>
      <c r="AZ64" s="319">
        <v>233951.74</v>
      </c>
      <c r="BA64" s="319">
        <v>214622.1</v>
      </c>
      <c r="BB64" s="319">
        <v>248484.18</v>
      </c>
      <c r="BC64" s="319">
        <v>280480.40000000002</v>
      </c>
      <c r="BD64" s="319">
        <v>272943.76</v>
      </c>
      <c r="BE64" s="319">
        <v>248820</v>
      </c>
      <c r="BF64" s="319">
        <v>295805.45</v>
      </c>
      <c r="BG64" s="319">
        <v>277343.89</v>
      </c>
      <c r="BH64" s="319">
        <v>269159.49</v>
      </c>
      <c r="BI64" s="319">
        <v>308311.24</v>
      </c>
      <c r="BJ64" s="319">
        <v>294124.28000000003</v>
      </c>
      <c r="BK64" s="319">
        <v>269929.15999999997</v>
      </c>
      <c r="BL64" s="319">
        <v>290140.56</v>
      </c>
      <c r="BM64" s="319">
        <v>303983.27</v>
      </c>
      <c r="BN64" s="319">
        <v>291530.28999999998</v>
      </c>
      <c r="BO64" s="362">
        <v>272526.25</v>
      </c>
      <c r="BP64" s="753">
        <v>325917.05</v>
      </c>
      <c r="BQ64" s="753">
        <v>338411.27</v>
      </c>
      <c r="BR64" s="753">
        <v>310426.82</v>
      </c>
      <c r="BS64" s="753">
        <v>315000</v>
      </c>
      <c r="BT64" s="286"/>
      <c r="BU64" s="43" t="s">
        <v>48</v>
      </c>
      <c r="BV64" s="319">
        <v>65727.87</v>
      </c>
      <c r="BW64" s="319">
        <v>69835.22</v>
      </c>
      <c r="BX64" s="319">
        <v>79885.960000000006</v>
      </c>
      <c r="BY64" s="319">
        <v>56479.5</v>
      </c>
      <c r="BZ64" s="319">
        <v>65079.19</v>
      </c>
      <c r="CA64" s="319">
        <v>77132.11</v>
      </c>
      <c r="CB64" s="319">
        <v>71202.720000000001</v>
      </c>
      <c r="CC64" s="319">
        <v>99528</v>
      </c>
      <c r="CD64" s="319">
        <v>84314.12999999999</v>
      </c>
      <c r="CE64" s="319">
        <v>0</v>
      </c>
      <c r="CF64" s="319">
        <v>0</v>
      </c>
      <c r="CG64" s="319">
        <v>0</v>
      </c>
      <c r="CH64" s="319">
        <v>0</v>
      </c>
      <c r="CI64" s="319">
        <v>24324.66</v>
      </c>
      <c r="CJ64" s="319">
        <v>208405.77</v>
      </c>
      <c r="CK64" s="319">
        <v>218464.36999999997</v>
      </c>
      <c r="CL64" s="319">
        <v>218023.30999999997</v>
      </c>
      <c r="CM64" s="362">
        <v>227843.09</v>
      </c>
      <c r="CN64" s="753">
        <v>244312.55</v>
      </c>
      <c r="CO64" s="753">
        <v>245541.53</v>
      </c>
      <c r="CP64" s="753">
        <v>259398.84</v>
      </c>
      <c r="CQ64" s="753">
        <v>259800</v>
      </c>
      <c r="CR64" s="39"/>
      <c r="CS64" s="43" t="s">
        <v>48</v>
      </c>
      <c r="CT64" s="319">
        <v>65727.87</v>
      </c>
      <c r="CU64" s="319">
        <v>42975.519999999997</v>
      </c>
      <c r="CV64" s="319">
        <v>45649.120000000003</v>
      </c>
      <c r="CW64" s="319">
        <v>56479.5</v>
      </c>
      <c r="CX64" s="319">
        <v>47330.32</v>
      </c>
      <c r="CY64" s="319">
        <v>42072.06</v>
      </c>
      <c r="CZ64" s="319">
        <v>35601.360000000001</v>
      </c>
      <c r="DA64" s="319">
        <v>49764</v>
      </c>
      <c r="DB64" s="319">
        <v>41557.93</v>
      </c>
      <c r="DC64" s="319">
        <v>88423.96</v>
      </c>
      <c r="DD64" s="319">
        <v>73293.51999999999</v>
      </c>
      <c r="DE64" s="319">
        <v>79418.75</v>
      </c>
      <c r="DF64" s="319">
        <v>79242.98</v>
      </c>
      <c r="DG64" s="319">
        <v>78461.350000000006</v>
      </c>
      <c r="DH64" s="319">
        <v>74535.14</v>
      </c>
      <c r="DI64" s="319">
        <v>76148.78</v>
      </c>
      <c r="DJ64" s="319">
        <v>75401.950000000012</v>
      </c>
      <c r="DK64" s="362">
        <v>82069.790000000008</v>
      </c>
      <c r="DL64" s="753">
        <v>71789</v>
      </c>
      <c r="DM64" s="753">
        <v>67519.72</v>
      </c>
      <c r="DN64" s="753">
        <v>57278.630000000005</v>
      </c>
      <c r="DO64" s="753">
        <v>57875</v>
      </c>
      <c r="DP64" s="39"/>
      <c r="DQ64" s="43" t="s">
        <v>48</v>
      </c>
      <c r="DR64" s="319">
        <v>5055.99</v>
      </c>
      <c r="DS64" s="319">
        <v>5371.94</v>
      </c>
      <c r="DT64" s="319">
        <v>5706.14</v>
      </c>
      <c r="DU64" s="319">
        <v>5647.95</v>
      </c>
      <c r="DV64" s="319">
        <v>5916.29</v>
      </c>
      <c r="DW64" s="319">
        <v>7012.01</v>
      </c>
      <c r="DX64" s="319">
        <v>5933.56</v>
      </c>
      <c r="DY64" s="319">
        <v>0</v>
      </c>
      <c r="DZ64" s="319">
        <v>15174.79</v>
      </c>
      <c r="EA64" s="319">
        <v>4224.01</v>
      </c>
      <c r="EB64" s="319">
        <v>6118.79</v>
      </c>
      <c r="EC64" s="319">
        <v>7673.42</v>
      </c>
      <c r="ED64" s="319">
        <v>12070.71</v>
      </c>
      <c r="EE64" s="319">
        <v>18920.38</v>
      </c>
      <c r="EF64" s="319">
        <v>15512.96</v>
      </c>
      <c r="EG64" s="319">
        <v>23466.400000000001</v>
      </c>
      <c r="EH64" s="319">
        <v>22857.91</v>
      </c>
      <c r="EI64" s="362">
        <v>25321.21</v>
      </c>
      <c r="EJ64" s="753">
        <v>4111.43</v>
      </c>
      <c r="EK64" s="753">
        <v>4710.6000000000004</v>
      </c>
      <c r="EL64" s="753">
        <v>4743.68</v>
      </c>
      <c r="EM64" s="753">
        <v>4800</v>
      </c>
      <c r="EN64" s="39"/>
      <c r="EO64" s="43" t="s">
        <v>48</v>
      </c>
      <c r="EP64" s="319">
        <v>50559.9</v>
      </c>
      <c r="EQ64" s="319">
        <v>64463.28</v>
      </c>
      <c r="ER64" s="319">
        <v>39942.980000000003</v>
      </c>
      <c r="ES64" s="319">
        <v>62127.45</v>
      </c>
      <c r="ET64" s="319">
        <v>53246.61</v>
      </c>
      <c r="EU64" s="319">
        <v>91156.13</v>
      </c>
      <c r="EV64" s="319">
        <v>41534.92</v>
      </c>
      <c r="EW64" s="319">
        <v>55984.5</v>
      </c>
      <c r="EX64" s="319">
        <v>20753.310000000001</v>
      </c>
      <c r="EY64" s="319">
        <v>57999.77</v>
      </c>
      <c r="EZ64" s="319">
        <v>59105.46</v>
      </c>
      <c r="FA64" s="319">
        <v>35290.57</v>
      </c>
      <c r="FB64" s="319">
        <v>47537.939999999995</v>
      </c>
      <c r="FC64" s="319">
        <v>101784.1</v>
      </c>
      <c r="FD64" s="319">
        <v>66946.7</v>
      </c>
      <c r="FE64" s="319">
        <v>42695.08</v>
      </c>
      <c r="FF64" s="319">
        <v>98364.650000000009</v>
      </c>
      <c r="FG64" s="362">
        <v>76205.110000000015</v>
      </c>
      <c r="FH64" s="362">
        <v>65016.760000000009</v>
      </c>
      <c r="FI64" s="362">
        <v>53495.810000000005</v>
      </c>
      <c r="FJ64" s="362">
        <v>63308.78</v>
      </c>
      <c r="FK64" s="362">
        <v>59235</v>
      </c>
      <c r="FM64" s="43" t="s">
        <v>48</v>
      </c>
      <c r="FN64" s="319">
        <v>91370</v>
      </c>
      <c r="FO64" s="319">
        <v>111873</v>
      </c>
      <c r="FP64" s="319">
        <v>125130</v>
      </c>
      <c r="FQ64" s="319">
        <v>150242</v>
      </c>
      <c r="FR64" s="319">
        <v>135074</v>
      </c>
      <c r="FS64" s="319">
        <v>129280</v>
      </c>
      <c r="FT64" s="319">
        <v>65643</v>
      </c>
      <c r="FU64" s="319">
        <v>35622</v>
      </c>
      <c r="FV64" s="319">
        <v>64510.84999999986</v>
      </c>
      <c r="FW64" s="319">
        <v>118898.85</v>
      </c>
      <c r="FX64" s="319">
        <v>146407.74</v>
      </c>
      <c r="FY64" s="319">
        <v>197995.51999999999</v>
      </c>
      <c r="FZ64" s="319">
        <v>291728.15000000002</v>
      </c>
      <c r="GA64" s="319">
        <v>322150.12</v>
      </c>
      <c r="GB64" s="319">
        <v>431720.1</v>
      </c>
      <c r="GC64" s="319">
        <v>532612.27</v>
      </c>
      <c r="GD64" s="319">
        <v>663660.37</v>
      </c>
      <c r="GE64" s="319">
        <v>805899.74</v>
      </c>
      <c r="GF64" s="756">
        <v>911909.93</v>
      </c>
      <c r="GG64" s="756">
        <v>1029924.84</v>
      </c>
      <c r="GH64" s="756">
        <v>1074813.3699999999</v>
      </c>
      <c r="GI64" s="756">
        <v>946326.84000000008</v>
      </c>
      <c r="GJ64" s="42"/>
      <c r="GK64" s="570" t="s">
        <v>48</v>
      </c>
      <c r="GL64" s="571">
        <f>FN64/'4GF Expenditures'!B65</f>
        <v>0.18317448989001914</v>
      </c>
      <c r="GM64" s="571">
        <f>FO64/'4GF Expenditures'!C65</f>
        <v>0.21651818978848092</v>
      </c>
      <c r="GN64" s="571">
        <f>FP64/'4GF Expenditures'!D65</f>
        <v>0.22450601678995688</v>
      </c>
      <c r="GO64" s="571">
        <f>FQ64/'4GF Expenditures'!E65</f>
        <v>0.27838935078555377</v>
      </c>
      <c r="GP64" s="571">
        <f>FR64/'4GF Expenditures'!F65</f>
        <v>0.22260162789202978</v>
      </c>
      <c r="GQ64" s="571">
        <f>FS64/'4GF Expenditures'!G65</f>
        <v>0.18285843605683208</v>
      </c>
      <c r="GR64" s="571">
        <f>FT64/'4GF Expenditures'!H65</f>
        <v>9.9914306545123011E-2</v>
      </c>
      <c r="GS64" s="571">
        <f>FU64/'4GF Expenditures'!I65</f>
        <v>5.4629020459428496E-2</v>
      </c>
      <c r="GT64" s="571">
        <f>FV64/'4GF Expenditures'!J65</f>
        <v>0.10261948084357646</v>
      </c>
      <c r="GU64" s="571">
        <f>FW64/'4GF Expenditures'!K65</f>
        <v>0.21181042858108137</v>
      </c>
      <c r="GV64" s="571">
        <f>FX64/'4GF Expenditures'!L65</f>
        <v>0.24816435042465892</v>
      </c>
      <c r="GW64" s="571">
        <f>FY64/'4GF Expenditures'!M65</f>
        <v>0.30919611594666951</v>
      </c>
      <c r="GX64" s="571">
        <f>FZ64/'4GF Expenditures'!N65</f>
        <v>0.41070717711718202</v>
      </c>
      <c r="GY64" s="571">
        <f>GA64/'4GF Expenditures'!O65</f>
        <v>0.40186101686504588</v>
      </c>
      <c r="GZ64" s="571">
        <f>GB64/'4GF Expenditures'!P65</f>
        <v>0.57708446148850345</v>
      </c>
      <c r="HA64" s="571">
        <f>GC64/'4GF Expenditures'!Q65</f>
        <v>0.72048768290019505</v>
      </c>
      <c r="HB64" s="571">
        <f>GD64/'4GF Expenditures'!R65</f>
        <v>0.89280730080971826</v>
      </c>
      <c r="HC64" s="571">
        <f>GE64/'4GF Expenditures'!S65</f>
        <v>1.1324146874415015</v>
      </c>
      <c r="HD64" s="571">
        <f>GF64/'4GF Expenditures'!T65</f>
        <v>1.2135467578506467</v>
      </c>
      <c r="HE64" s="571">
        <f>GG64/'4GF Expenditures'!U65</f>
        <v>1.328625356268508</v>
      </c>
      <c r="HF64" s="571">
        <f>GH64/'4GF Expenditures'!V65</f>
        <v>1.2455680151754374</v>
      </c>
      <c r="HG64" s="571">
        <f>GI64/'4GF Expenditures'!W65</f>
        <v>0.91769785144641636</v>
      </c>
      <c r="HH64" s="571"/>
      <c r="HI64" s="571"/>
      <c r="HJ64" s="571"/>
      <c r="HK64" s="568"/>
      <c r="HL64" s="567" t="s">
        <v>48</v>
      </c>
      <c r="HM64" s="571">
        <f>B64/'4GF Expenditures'!B65</f>
        <v>1.0136022645715637</v>
      </c>
      <c r="HN64" s="571">
        <f>C64/'4GF Expenditures'!C65</f>
        <v>1.039681356942544</v>
      </c>
      <c r="HO64" s="571">
        <f>D64/'4GF Expenditures'!D65</f>
        <v>1.0237854732245222</v>
      </c>
      <c r="HP64" s="571">
        <f>E64/'4GF Expenditures'!E65</f>
        <v>1.0465310191353072</v>
      </c>
      <c r="HQ64" s="571">
        <f>F64/'4GF Expenditures'!F65</f>
        <v>0.97500317239538103</v>
      </c>
      <c r="HR64" s="571">
        <f>G64/'4GF Expenditures'!G65</f>
        <v>0.99180475109442079</v>
      </c>
      <c r="HS64" s="571">
        <f>H64/'4GF Expenditures'!H65</f>
        <v>0.90313899843681744</v>
      </c>
      <c r="HT64" s="571">
        <f>I64/'4GF Expenditures'!I65</f>
        <v>0.95396053497241862</v>
      </c>
      <c r="HU64" s="571">
        <f>J64/'4GF Expenditures'!J65</f>
        <v>1.0459274744506151</v>
      </c>
      <c r="HV64" s="571">
        <f>K64/'4GF Expenditures'!K65</f>
        <v>1.0968886207870627</v>
      </c>
      <c r="HW64" s="571">
        <f>L64/'4GF Expenditures'!L65</f>
        <v>0.91320139462347805</v>
      </c>
      <c r="HX64" s="571">
        <f>M64/'4GF Expenditures'!M65</f>
        <v>1.0596910361299463</v>
      </c>
      <c r="HY64" s="571">
        <f>N64/'4GF Expenditures'!N65</f>
        <v>1.1317658850909127</v>
      </c>
      <c r="HZ64" s="571">
        <f>O64/'4GF Expenditures'!O65</f>
        <v>1.037949400109607</v>
      </c>
      <c r="IA64" s="571">
        <f>P64/'4GF Expenditures'!P65</f>
        <v>1.1464365249947275</v>
      </c>
      <c r="IB64" s="571">
        <f>Q64/'4GF Expenditures'!Q65</f>
        <v>1.1364812075885382</v>
      </c>
      <c r="IC64" s="571">
        <f>R64/'4GF Expenditures'!R65</f>
        <v>1.176296047987982</v>
      </c>
      <c r="ID64" s="573">
        <f>S64/'4GF Expenditures'!S65</f>
        <v>1.1998684746075561</v>
      </c>
      <c r="IE64" s="572">
        <f>T64/'4GF Expenditures'!T65</f>
        <v>1.1410756897598771</v>
      </c>
      <c r="IF64" s="572">
        <f>U64/'4GF Expenditures'!U65</f>
        <v>1.1522417906181832</v>
      </c>
      <c r="IG64" s="572">
        <f>V64/'4GF Expenditures'!V65</f>
        <v>1.0520199308799472</v>
      </c>
      <c r="IH64" s="572">
        <f>W64/'4GF Expenditures'!W65</f>
        <v>0.8754005407679174</v>
      </c>
    </row>
    <row r="65" spans="1:458" ht="14">
      <c r="A65" s="43" t="s">
        <v>49</v>
      </c>
      <c r="B65" s="319">
        <v>1705550</v>
      </c>
      <c r="C65" s="319">
        <v>1776018</v>
      </c>
      <c r="D65" s="319">
        <v>1935004</v>
      </c>
      <c r="E65" s="319">
        <v>2136519</v>
      </c>
      <c r="F65" s="319">
        <v>2338235</v>
      </c>
      <c r="G65" s="319">
        <v>2347426</v>
      </c>
      <c r="H65" s="319">
        <v>2420870</v>
      </c>
      <c r="I65" s="319">
        <v>2460419</v>
      </c>
      <c r="J65" s="319">
        <v>2594590</v>
      </c>
      <c r="K65" s="319"/>
      <c r="L65" s="319"/>
      <c r="M65" s="319"/>
      <c r="N65" s="319"/>
      <c r="O65" s="319"/>
      <c r="P65" s="319"/>
      <c r="Q65" s="319"/>
      <c r="R65" s="319"/>
      <c r="S65" s="362"/>
      <c r="T65" s="362"/>
      <c r="U65" s="362"/>
      <c r="V65" s="362"/>
      <c r="W65" s="362"/>
      <c r="X65" s="6"/>
      <c r="Y65" s="43" t="s">
        <v>49</v>
      </c>
      <c r="Z65" s="319">
        <v>85277.5</v>
      </c>
      <c r="AA65" s="319">
        <v>71040.72</v>
      </c>
      <c r="AB65" s="319">
        <v>96750.2</v>
      </c>
      <c r="AC65" s="319">
        <v>149556.32999999999</v>
      </c>
      <c r="AD65" s="319">
        <v>163676.45000000001</v>
      </c>
      <c r="AE65" s="319">
        <v>140845.56</v>
      </c>
      <c r="AF65" s="319">
        <v>96834.8</v>
      </c>
      <c r="AG65" s="319">
        <v>123020.95</v>
      </c>
      <c r="AH65" s="319">
        <v>103783.6</v>
      </c>
      <c r="AI65" s="319"/>
      <c r="AJ65" s="319"/>
      <c r="AK65" s="319"/>
      <c r="AL65" s="319"/>
      <c r="AM65" s="319"/>
      <c r="AN65" s="319"/>
      <c r="AO65" s="319"/>
      <c r="AP65" s="319"/>
      <c r="AQ65" s="362"/>
      <c r="AR65" s="753"/>
      <c r="AS65" s="753"/>
      <c r="AT65" s="753"/>
      <c r="AU65" s="753"/>
      <c r="AV65" s="39"/>
      <c r="AW65" s="43" t="s">
        <v>49</v>
      </c>
      <c r="AX65" s="319">
        <v>903941.5</v>
      </c>
      <c r="AY65" s="319">
        <v>905769.18</v>
      </c>
      <c r="AZ65" s="319">
        <v>928801.92</v>
      </c>
      <c r="BA65" s="319">
        <v>961433.55</v>
      </c>
      <c r="BB65" s="319">
        <v>1075588.1000000001</v>
      </c>
      <c r="BC65" s="319">
        <v>1150238.74</v>
      </c>
      <c r="BD65" s="319">
        <v>1283061.1000000001</v>
      </c>
      <c r="BE65" s="319">
        <v>1205605.31</v>
      </c>
      <c r="BF65" s="319">
        <v>1297295</v>
      </c>
      <c r="BG65" s="319"/>
      <c r="BH65" s="319"/>
      <c r="BI65" s="319"/>
      <c r="BJ65" s="319"/>
      <c r="BK65" s="319"/>
      <c r="BL65" s="319"/>
      <c r="BM65" s="319"/>
      <c r="BN65" s="319"/>
      <c r="BO65" s="362"/>
      <c r="BP65" s="753"/>
      <c r="BQ65" s="753"/>
      <c r="BR65" s="753"/>
      <c r="BS65" s="753"/>
      <c r="BT65" s="286"/>
      <c r="BU65" s="43" t="s">
        <v>49</v>
      </c>
      <c r="BV65" s="319">
        <v>306999</v>
      </c>
      <c r="BW65" s="319">
        <v>337443.42</v>
      </c>
      <c r="BX65" s="319">
        <v>406350.84</v>
      </c>
      <c r="BY65" s="319">
        <v>405938.61</v>
      </c>
      <c r="BZ65" s="319">
        <v>350735.25</v>
      </c>
      <c r="CA65" s="319">
        <v>328639.64</v>
      </c>
      <c r="CB65" s="319">
        <v>290504.40000000002</v>
      </c>
      <c r="CC65" s="319">
        <v>344458.66</v>
      </c>
      <c r="CD65" s="319">
        <v>337296.7</v>
      </c>
      <c r="CE65" s="319"/>
      <c r="CF65" s="319"/>
      <c r="CG65" s="319"/>
      <c r="CH65" s="319"/>
      <c r="CI65" s="319"/>
      <c r="CJ65" s="319"/>
      <c r="CK65" s="319"/>
      <c r="CL65" s="319"/>
      <c r="CM65" s="362"/>
      <c r="CN65" s="753"/>
      <c r="CO65" s="753"/>
      <c r="CP65" s="753"/>
      <c r="CQ65" s="753"/>
      <c r="CR65" s="39"/>
      <c r="CS65" s="43" t="s">
        <v>49</v>
      </c>
      <c r="CT65" s="319">
        <v>341110</v>
      </c>
      <c r="CU65" s="319">
        <v>408484.14</v>
      </c>
      <c r="CV65" s="319">
        <v>425700.88</v>
      </c>
      <c r="CW65" s="319">
        <v>470034.18</v>
      </c>
      <c r="CX65" s="319">
        <v>491029.35</v>
      </c>
      <c r="CY65" s="319">
        <v>516433.72</v>
      </c>
      <c r="CZ65" s="319">
        <v>556800.1</v>
      </c>
      <c r="DA65" s="319">
        <v>615104.75</v>
      </c>
      <c r="DB65" s="319">
        <v>596755.69999999995</v>
      </c>
      <c r="DC65" s="319"/>
      <c r="DD65" s="319"/>
      <c r="DE65" s="319"/>
      <c r="DF65" s="319"/>
      <c r="DG65" s="319"/>
      <c r="DH65" s="319"/>
      <c r="DI65" s="319"/>
      <c r="DJ65" s="319"/>
      <c r="DK65" s="362"/>
      <c r="DL65" s="753"/>
      <c r="DM65" s="753"/>
      <c r="DN65" s="753"/>
      <c r="DO65" s="753"/>
      <c r="DP65" s="39"/>
      <c r="DQ65" s="43" t="s">
        <v>49</v>
      </c>
      <c r="DR65" s="319">
        <v>17055.5</v>
      </c>
      <c r="DS65" s="319">
        <v>0</v>
      </c>
      <c r="DT65" s="319">
        <v>19350.04</v>
      </c>
      <c r="DU65" s="319">
        <v>21365.19</v>
      </c>
      <c r="DV65" s="319">
        <v>46764.7</v>
      </c>
      <c r="DW65" s="319">
        <v>46948.52</v>
      </c>
      <c r="DX65" s="319">
        <v>24208.7</v>
      </c>
      <c r="DY65" s="319">
        <v>0</v>
      </c>
      <c r="DZ65" s="319">
        <v>0</v>
      </c>
      <c r="EA65" s="319"/>
      <c r="EB65" s="319"/>
      <c r="EC65" s="319"/>
      <c r="ED65" s="319"/>
      <c r="EE65" s="319"/>
      <c r="EF65" s="319"/>
      <c r="EG65" s="319"/>
      <c r="EH65" s="319"/>
      <c r="EI65" s="362"/>
      <c r="EJ65" s="753"/>
      <c r="EK65" s="753"/>
      <c r="EL65" s="753"/>
      <c r="EM65" s="753"/>
      <c r="EN65" s="39"/>
      <c r="EO65" s="43" t="s">
        <v>49</v>
      </c>
      <c r="EP65" s="319">
        <v>51166.5</v>
      </c>
      <c r="EQ65" s="319">
        <v>53280.54</v>
      </c>
      <c r="ER65" s="319">
        <v>58050.12</v>
      </c>
      <c r="ES65" s="319">
        <v>128191.14</v>
      </c>
      <c r="ET65" s="319">
        <v>210441.15</v>
      </c>
      <c r="EU65" s="319">
        <v>164319.82</v>
      </c>
      <c r="EV65" s="319">
        <v>169460.9</v>
      </c>
      <c r="EW65" s="319">
        <v>172229.33</v>
      </c>
      <c r="EX65" s="319">
        <v>259459</v>
      </c>
      <c r="EY65" s="319"/>
      <c r="EZ65" s="319"/>
      <c r="FA65" s="319"/>
      <c r="FB65" s="319"/>
      <c r="FC65" s="319"/>
      <c r="FD65" s="319"/>
      <c r="FE65" s="319"/>
      <c r="FF65" s="319"/>
      <c r="FG65" s="362"/>
      <c r="FH65" s="362"/>
      <c r="FI65" s="362"/>
      <c r="FJ65" s="362"/>
      <c r="FK65" s="362"/>
      <c r="FM65" s="43" t="s">
        <v>49</v>
      </c>
      <c r="FN65" s="319">
        <v>5158</v>
      </c>
      <c r="FO65" s="319">
        <v>48496</v>
      </c>
      <c r="FP65" s="319">
        <v>298211</v>
      </c>
      <c r="FQ65" s="319">
        <v>467776</v>
      </c>
      <c r="FR65" s="319">
        <v>521931</v>
      </c>
      <c r="FS65" s="319">
        <v>925401</v>
      </c>
      <c r="FT65" s="319">
        <v>188003</v>
      </c>
      <c r="FU65" s="319">
        <v>395860</v>
      </c>
      <c r="FV65" s="319">
        <v>150564</v>
      </c>
      <c r="FW65" s="319"/>
      <c r="FX65" s="319"/>
      <c r="FY65" s="319"/>
      <c r="FZ65" s="319"/>
      <c r="GA65" s="319"/>
      <c r="GB65" s="319"/>
      <c r="GC65" s="319"/>
      <c r="GD65" s="319"/>
      <c r="GE65" s="319"/>
      <c r="GF65" s="756"/>
      <c r="GG65" s="756"/>
      <c r="GH65" s="756"/>
      <c r="GI65" s="756"/>
      <c r="GJ65" s="42"/>
      <c r="GK65" s="570" t="s">
        <v>49</v>
      </c>
      <c r="GL65" s="571">
        <f>FN65/'4GF Expenditures'!B66</f>
        <v>2.9033638042058811E-3</v>
      </c>
      <c r="GM65" s="571">
        <f>FO65/'4GF Expenditures'!C66</f>
        <v>2.7989011242699171E-2</v>
      </c>
      <c r="GN65" s="571">
        <f>FP65/'4GF Expenditures'!D66</f>
        <v>0.17694947276105166</v>
      </c>
      <c r="GO65" s="571">
        <f>FQ65/'4GF Expenditures'!E66</f>
        <v>0.23781745785615729</v>
      </c>
      <c r="GP65" s="571">
        <f>FR65/'4GF Expenditures'!F66</f>
        <v>0.22850819586003993</v>
      </c>
      <c r="GQ65" s="571">
        <f>FS65/'4GF Expenditures'!G66</f>
        <v>0.47629760590456044</v>
      </c>
      <c r="GR65" s="571">
        <f>FT65/'4GF Expenditures'!H66</f>
        <v>5.9621636981062189E-2</v>
      </c>
      <c r="GS65" s="571">
        <f>FU65/'4GF Expenditures'!I66</f>
        <v>0.17573767114956215</v>
      </c>
      <c r="GT65" s="571">
        <f>FV65/'4GF Expenditures'!J66</f>
        <v>5.3017621129862254E-2</v>
      </c>
      <c r="GU65" s="571" t="e">
        <f>FW65/'4GF Expenditures'!K66</f>
        <v>#DIV/0!</v>
      </c>
      <c r="GV65" s="571" t="e">
        <f>FX65/'4GF Expenditures'!L66</f>
        <v>#DIV/0!</v>
      </c>
      <c r="GW65" s="571" t="e">
        <f>FY65/'4GF Expenditures'!M66</f>
        <v>#DIV/0!</v>
      </c>
      <c r="GX65" s="571" t="e">
        <f>FZ65/'4GF Expenditures'!N66</f>
        <v>#DIV/0!</v>
      </c>
      <c r="GY65" s="571" t="e">
        <f>GA65/'4GF Expenditures'!O66</f>
        <v>#DIV/0!</v>
      </c>
      <c r="GZ65" s="571" t="e">
        <f>GB65/'4GF Expenditures'!P66</f>
        <v>#DIV/0!</v>
      </c>
      <c r="HA65" s="571" t="e">
        <f>GC65/'4GF Expenditures'!Q66</f>
        <v>#DIV/0!</v>
      </c>
      <c r="HB65" s="571" t="e">
        <f>GD65/'4GF Expenditures'!R66</f>
        <v>#DIV/0!</v>
      </c>
      <c r="HC65" s="571" t="e">
        <f>GE65/'4GF Expenditures'!S66</f>
        <v>#DIV/0!</v>
      </c>
      <c r="HD65" s="571" t="e">
        <f>GF65/'4GF Expenditures'!T66</f>
        <v>#DIV/0!</v>
      </c>
      <c r="HE65" s="571" t="e">
        <f>GG65/'4GF Expenditures'!U66</f>
        <v>#DIV/0!</v>
      </c>
      <c r="HF65" s="571" t="e">
        <f>GH65/'4GF Expenditures'!V66</f>
        <v>#DIV/0!</v>
      </c>
      <c r="HG65" s="571" t="e">
        <f>GI65/'4GF Expenditures'!W66</f>
        <v>#DIV/0!</v>
      </c>
      <c r="HH65" s="571"/>
      <c r="HI65" s="571"/>
      <c r="HJ65" s="571"/>
      <c r="HK65" s="568"/>
      <c r="HL65" s="567" t="s">
        <v>49</v>
      </c>
      <c r="HM65" s="571">
        <f>B65/'4GF Expenditures'!B66</f>
        <v>0.96002949520421488</v>
      </c>
      <c r="HN65" s="571">
        <f>C65/'4GF Expenditures'!C66</f>
        <v>1.0250121199529054</v>
      </c>
      <c r="HO65" s="571">
        <f>D65/'4GF Expenditures'!D66</f>
        <v>1.1481733993398164</v>
      </c>
      <c r="HP65" s="571">
        <f>E65/'4GF Expenditures'!E66</f>
        <v>1.0862068965517242</v>
      </c>
      <c r="HQ65" s="571">
        <f>F65/'4GF Expenditures'!F66</f>
        <v>1.0237097649819622</v>
      </c>
      <c r="HR65" s="571">
        <f>G65/'4GF Expenditures'!G66</f>
        <v>1.2082042096757175</v>
      </c>
      <c r="HS65" s="571">
        <f>H65/'4GF Expenditures'!H66</f>
        <v>0.76773366551780564</v>
      </c>
      <c r="HT65" s="571">
        <f>I65/'4GF Expenditures'!I66</f>
        <v>1.092275817491372</v>
      </c>
      <c r="HU65" s="571">
        <f>J65/'4GF Expenditures'!J66</f>
        <v>0.91362470183662303</v>
      </c>
      <c r="HV65" s="571" t="e">
        <f>K65/'4GF Expenditures'!K66</f>
        <v>#DIV/0!</v>
      </c>
      <c r="HW65" s="571" t="e">
        <f>L65/'4GF Expenditures'!L66</f>
        <v>#DIV/0!</v>
      </c>
      <c r="HX65" s="571" t="e">
        <f>M65/'4GF Expenditures'!M66</f>
        <v>#DIV/0!</v>
      </c>
      <c r="HY65" s="571" t="e">
        <f>N65/'4GF Expenditures'!N66</f>
        <v>#DIV/0!</v>
      </c>
      <c r="HZ65" s="571" t="e">
        <f>O65/'4GF Expenditures'!O66</f>
        <v>#DIV/0!</v>
      </c>
      <c r="IA65" s="571" t="e">
        <f>P65/'4GF Expenditures'!P66</f>
        <v>#DIV/0!</v>
      </c>
      <c r="IB65" s="571" t="e">
        <f>Q65/'4GF Expenditures'!Q66</f>
        <v>#DIV/0!</v>
      </c>
      <c r="IC65" s="571" t="e">
        <f>R65/'4GF Expenditures'!R66</f>
        <v>#DIV/0!</v>
      </c>
      <c r="ID65" s="573" t="e">
        <f>S65/'4GF Expenditures'!S66</f>
        <v>#DIV/0!</v>
      </c>
      <c r="IE65" s="572" t="e">
        <f>T65/'4GF Expenditures'!T66</f>
        <v>#DIV/0!</v>
      </c>
      <c r="IF65" s="572" t="e">
        <f>U65/'4GF Expenditures'!U66</f>
        <v>#DIV/0!</v>
      </c>
      <c r="IG65" s="572" t="e">
        <f>V65/'4GF Expenditures'!V66</f>
        <v>#DIV/0!</v>
      </c>
      <c r="IH65" s="572" t="e">
        <f>W65/'4GF Expenditures'!W66</f>
        <v>#DIV/0!</v>
      </c>
    </row>
    <row r="66" spans="1:458" s="498" customFormat="1" ht="15" customHeight="1">
      <c r="A66" s="773" t="s">
        <v>50</v>
      </c>
      <c r="B66" s="774">
        <v>1359458</v>
      </c>
      <c r="C66" s="774">
        <v>1378998</v>
      </c>
      <c r="D66" s="774">
        <v>1646426</v>
      </c>
      <c r="E66" s="774">
        <v>1582139</v>
      </c>
      <c r="F66" s="774">
        <v>1915483</v>
      </c>
      <c r="G66" s="774">
        <v>1860406</v>
      </c>
      <c r="H66" s="774">
        <v>1807064</v>
      </c>
      <c r="I66" s="774">
        <v>1646716</v>
      </c>
      <c r="J66" s="774">
        <v>1623747.5100000002</v>
      </c>
      <c r="K66" s="774">
        <v>1523937.15</v>
      </c>
      <c r="L66" s="774">
        <v>1595158.2899999998</v>
      </c>
      <c r="M66" s="774">
        <v>1711404.7300000002</v>
      </c>
      <c r="N66" s="774">
        <v>1689750.52</v>
      </c>
      <c r="O66" s="774">
        <v>1677405.1199999999</v>
      </c>
      <c r="P66" s="774">
        <v>1795583.2000000002</v>
      </c>
      <c r="Q66" s="774">
        <v>1783997.33</v>
      </c>
      <c r="R66" s="774">
        <v>1785533.51</v>
      </c>
      <c r="S66" s="774">
        <v>1793113.9400000002</v>
      </c>
      <c r="T66" s="774">
        <v>1863458.9400000002</v>
      </c>
      <c r="U66" s="774">
        <v>2042249.23</v>
      </c>
      <c r="V66" s="774">
        <v>1928736.1600000001</v>
      </c>
      <c r="W66" s="774">
        <v>1858675</v>
      </c>
      <c r="X66" s="775"/>
      <c r="Y66" s="773" t="s">
        <v>50</v>
      </c>
      <c r="Z66" s="774">
        <v>190324.12</v>
      </c>
      <c r="AA66" s="774">
        <v>206849.7</v>
      </c>
      <c r="AB66" s="774">
        <v>214035.38</v>
      </c>
      <c r="AC66" s="774">
        <v>205678.07</v>
      </c>
      <c r="AD66" s="774">
        <v>325632.11</v>
      </c>
      <c r="AE66" s="774">
        <v>334873.08</v>
      </c>
      <c r="AF66" s="774">
        <v>307200.88</v>
      </c>
      <c r="AG66" s="774">
        <v>312876.03999999998</v>
      </c>
      <c r="AH66" s="774">
        <v>350443.4</v>
      </c>
      <c r="AI66" s="774">
        <v>350153.44</v>
      </c>
      <c r="AJ66" s="774">
        <v>399696.26</v>
      </c>
      <c r="AK66" s="774">
        <v>433078.07</v>
      </c>
      <c r="AL66" s="774">
        <v>408860.41</v>
      </c>
      <c r="AM66" s="774">
        <v>457137.55</v>
      </c>
      <c r="AN66" s="774">
        <v>468578.01</v>
      </c>
      <c r="AO66" s="774">
        <v>460430.9</v>
      </c>
      <c r="AP66" s="774">
        <v>488357.06</v>
      </c>
      <c r="AQ66" s="774">
        <v>422365.07</v>
      </c>
      <c r="AR66" s="776">
        <v>514348.25</v>
      </c>
      <c r="AS66" s="776">
        <v>594346.54</v>
      </c>
      <c r="AT66" s="753">
        <v>532224.57999999996</v>
      </c>
      <c r="AU66" s="753">
        <v>520000</v>
      </c>
      <c r="AV66" s="777"/>
      <c r="AW66" s="773" t="s">
        <v>50</v>
      </c>
      <c r="AX66" s="774">
        <v>570972.36</v>
      </c>
      <c r="AY66" s="774">
        <v>620549.1</v>
      </c>
      <c r="AZ66" s="774">
        <v>757355.96</v>
      </c>
      <c r="BA66" s="774">
        <v>822712.28</v>
      </c>
      <c r="BB66" s="774">
        <v>881122.18</v>
      </c>
      <c r="BC66" s="774">
        <v>855786.76</v>
      </c>
      <c r="BD66" s="774">
        <v>813178.8</v>
      </c>
      <c r="BE66" s="774">
        <v>790423.68</v>
      </c>
      <c r="BF66" s="774">
        <v>827522.8600000001</v>
      </c>
      <c r="BG66" s="774">
        <v>817483.41</v>
      </c>
      <c r="BH66" s="774">
        <v>844497.42999999993</v>
      </c>
      <c r="BI66" s="774">
        <v>909217.03</v>
      </c>
      <c r="BJ66" s="774">
        <v>941450.17</v>
      </c>
      <c r="BK66" s="774">
        <v>876151.97</v>
      </c>
      <c r="BL66" s="774">
        <v>950180.60000000009</v>
      </c>
      <c r="BM66" s="774">
        <v>957944.45</v>
      </c>
      <c r="BN66" s="774">
        <v>916918.17</v>
      </c>
      <c r="BO66" s="774">
        <v>943349.53</v>
      </c>
      <c r="BP66" s="776">
        <v>988287.9800000001</v>
      </c>
      <c r="BQ66" s="776">
        <v>1012806.18</v>
      </c>
      <c r="BR66" s="753">
        <v>989616.00000000012</v>
      </c>
      <c r="BS66" s="753">
        <v>970000</v>
      </c>
      <c r="BT66" s="778"/>
      <c r="BU66" s="773" t="s">
        <v>50</v>
      </c>
      <c r="BV66" s="774">
        <v>231107.86</v>
      </c>
      <c r="BW66" s="774">
        <v>220639.68</v>
      </c>
      <c r="BX66" s="774">
        <v>378677.98</v>
      </c>
      <c r="BY66" s="774">
        <v>300606.40999999997</v>
      </c>
      <c r="BZ66" s="774">
        <v>95774.15</v>
      </c>
      <c r="CA66" s="774">
        <v>55812.18</v>
      </c>
      <c r="CB66" s="774">
        <v>433695.36</v>
      </c>
      <c r="CC66" s="774">
        <v>296408.88</v>
      </c>
      <c r="CD66" s="774">
        <v>138074.62</v>
      </c>
      <c r="CE66" s="774">
        <v>127086.68000000001</v>
      </c>
      <c r="CF66" s="774">
        <v>105566.23</v>
      </c>
      <c r="CG66" s="774">
        <v>97298.170000000013</v>
      </c>
      <c r="CH66" s="774">
        <v>87169.989999999991</v>
      </c>
      <c r="CI66" s="774">
        <v>86948.06</v>
      </c>
      <c r="CJ66" s="774">
        <v>93382.76</v>
      </c>
      <c r="CK66" s="774">
        <v>91986.709999999977</v>
      </c>
      <c r="CL66" s="774">
        <v>86509.83</v>
      </c>
      <c r="CM66" s="774">
        <v>79230.91</v>
      </c>
      <c r="CN66" s="776">
        <v>86917.95</v>
      </c>
      <c r="CO66" s="776">
        <v>86520.12</v>
      </c>
      <c r="CP66" s="753">
        <v>94454.87</v>
      </c>
      <c r="CQ66" s="753">
        <v>93700</v>
      </c>
      <c r="CR66" s="777"/>
      <c r="CS66" s="773" t="s">
        <v>50</v>
      </c>
      <c r="CT66" s="774">
        <v>190324.12</v>
      </c>
      <c r="CU66" s="774">
        <v>179269.74</v>
      </c>
      <c r="CV66" s="774">
        <v>214035.38</v>
      </c>
      <c r="CW66" s="774">
        <v>174035.29</v>
      </c>
      <c r="CX66" s="774">
        <v>153238.64000000001</v>
      </c>
      <c r="CY66" s="774">
        <v>167436.54</v>
      </c>
      <c r="CZ66" s="774">
        <v>180706.4</v>
      </c>
      <c r="DA66" s="774">
        <v>181138.76</v>
      </c>
      <c r="DB66" s="774">
        <v>187394.78</v>
      </c>
      <c r="DC66" s="774">
        <v>176322.54</v>
      </c>
      <c r="DD66" s="774">
        <v>188387.58</v>
      </c>
      <c r="DE66" s="774">
        <v>197012.00999999998</v>
      </c>
      <c r="DF66" s="774">
        <v>183906.9</v>
      </c>
      <c r="DG66" s="774">
        <v>190192.87</v>
      </c>
      <c r="DH66" s="774">
        <v>196715.23</v>
      </c>
      <c r="DI66" s="774">
        <v>218653.23</v>
      </c>
      <c r="DJ66" s="774">
        <v>230271.44999999998</v>
      </c>
      <c r="DK66" s="774">
        <v>309666.29000000004</v>
      </c>
      <c r="DL66" s="776">
        <v>232148.62000000002</v>
      </c>
      <c r="DM66" s="776">
        <v>270469.94</v>
      </c>
      <c r="DN66" s="753">
        <v>262246.52</v>
      </c>
      <c r="DO66" s="753">
        <v>242000</v>
      </c>
      <c r="DP66" s="777"/>
      <c r="DQ66" s="773" t="s">
        <v>50</v>
      </c>
      <c r="DR66" s="774">
        <v>13594.58</v>
      </c>
      <c r="DS66" s="774">
        <v>13789.98</v>
      </c>
      <c r="DT66" s="774">
        <v>32928.519999999997</v>
      </c>
      <c r="DU66" s="774">
        <v>31642.78</v>
      </c>
      <c r="DV66" s="774">
        <v>38309.660000000003</v>
      </c>
      <c r="DW66" s="774">
        <v>37208.120000000003</v>
      </c>
      <c r="DX66" s="774">
        <v>18070.64</v>
      </c>
      <c r="DY66" s="774">
        <v>16467.16</v>
      </c>
      <c r="DZ66" s="774">
        <v>13931.61</v>
      </c>
      <c r="EA66" s="774">
        <v>16726.13</v>
      </c>
      <c r="EB66" s="774">
        <v>24332.82</v>
      </c>
      <c r="EC66" s="774">
        <v>38904.550000000003</v>
      </c>
      <c r="ED66" s="774">
        <v>35792.25</v>
      </c>
      <c r="EE66" s="774">
        <v>35266.620000000003</v>
      </c>
      <c r="EF66" s="774">
        <v>22309.38</v>
      </c>
      <c r="EG66" s="774">
        <v>12270.61</v>
      </c>
      <c r="EH66" s="774">
        <v>9757.84</v>
      </c>
      <c r="EI66" s="774">
        <v>7267.04</v>
      </c>
      <c r="EJ66" s="776">
        <v>8090.61</v>
      </c>
      <c r="EK66" s="776">
        <v>10348.85</v>
      </c>
      <c r="EL66" s="753">
        <v>12558.84</v>
      </c>
      <c r="EM66" s="753">
        <v>7500</v>
      </c>
      <c r="EN66" s="777"/>
      <c r="EO66" s="773" t="s">
        <v>50</v>
      </c>
      <c r="EP66" s="774">
        <v>163134.96</v>
      </c>
      <c r="EQ66" s="774">
        <v>137899.79999999999</v>
      </c>
      <c r="ER66" s="774">
        <v>49392.78</v>
      </c>
      <c r="ES66" s="774">
        <v>47464.17</v>
      </c>
      <c r="ET66" s="774">
        <v>421406.26</v>
      </c>
      <c r="EU66" s="774">
        <v>409289.32</v>
      </c>
      <c r="EV66" s="774">
        <v>54211.92</v>
      </c>
      <c r="EW66" s="774">
        <v>49401.48</v>
      </c>
      <c r="EX66" s="774">
        <v>106380.23999999999</v>
      </c>
      <c r="EY66" s="774">
        <v>36164.949999999997</v>
      </c>
      <c r="EZ66" s="774">
        <v>32677.97</v>
      </c>
      <c r="FA66" s="774">
        <v>35894.9</v>
      </c>
      <c r="FB66" s="774">
        <v>32570.799999999999</v>
      </c>
      <c r="FC66" s="774">
        <v>31708.05</v>
      </c>
      <c r="FD66" s="774">
        <v>64417.22</v>
      </c>
      <c r="FE66" s="774">
        <v>42711.43</v>
      </c>
      <c r="FF66" s="774">
        <v>53719.16</v>
      </c>
      <c r="FG66" s="774">
        <v>31235.1</v>
      </c>
      <c r="FH66" s="774">
        <v>33665.53</v>
      </c>
      <c r="FI66" s="774">
        <v>67757.600000000006</v>
      </c>
      <c r="FJ66" s="362">
        <v>37635.35</v>
      </c>
      <c r="FK66" s="362">
        <v>25475</v>
      </c>
      <c r="FM66" s="773" t="s">
        <v>50</v>
      </c>
      <c r="FN66" s="774">
        <v>256936</v>
      </c>
      <c r="FO66" s="774">
        <v>323090</v>
      </c>
      <c r="FP66" s="774">
        <v>444268</v>
      </c>
      <c r="FQ66" s="774">
        <v>502922</v>
      </c>
      <c r="FR66" s="774">
        <v>677291</v>
      </c>
      <c r="FS66" s="774">
        <v>562765</v>
      </c>
      <c r="FT66" s="774">
        <v>689021</v>
      </c>
      <c r="FU66" s="774">
        <v>678083</v>
      </c>
      <c r="FV66" s="774">
        <v>594710.47000000044</v>
      </c>
      <c r="FW66" s="774">
        <v>703632.44</v>
      </c>
      <c r="FX66" s="774">
        <v>710541.31</v>
      </c>
      <c r="FY66" s="774">
        <v>788146.95</v>
      </c>
      <c r="FZ66" s="774">
        <v>777268.76</v>
      </c>
      <c r="GA66" s="774">
        <v>871484.26</v>
      </c>
      <c r="GB66" s="774">
        <v>810972.13</v>
      </c>
      <c r="GC66" s="774">
        <v>729472.38</v>
      </c>
      <c r="GD66" s="774">
        <v>591132.89</v>
      </c>
      <c r="GE66" s="774">
        <v>662209.93999999994</v>
      </c>
      <c r="GF66" s="776">
        <v>786981.1</v>
      </c>
      <c r="GG66" s="776">
        <v>1042521.83</v>
      </c>
      <c r="GH66" s="776">
        <v>1141238.0100000002</v>
      </c>
      <c r="GI66" s="776">
        <v>957812.7899999998</v>
      </c>
      <c r="GJ66" s="779"/>
      <c r="GK66" s="570" t="s">
        <v>50</v>
      </c>
      <c r="GL66" s="571">
        <f>FN66/'4GF Expenditures'!B67</f>
        <v>0.2243343816520362</v>
      </c>
      <c r="GM66" s="571">
        <f>FO66/'4GF Expenditures'!C67</f>
        <v>0.24609930806706662</v>
      </c>
      <c r="GN66" s="571">
        <f>FP66/'4GF Expenditures'!D67</f>
        <v>0.29127591054044982</v>
      </c>
      <c r="GO66" s="571">
        <f>FQ66/'4GF Expenditures'!E67</f>
        <v>0.33011286622447872</v>
      </c>
      <c r="GP66" s="571">
        <f>FR66/'4GF Expenditures'!F67</f>
        <v>0.38899865258679212</v>
      </c>
      <c r="GQ66" s="571">
        <f>FS66/'4GF Expenditures'!G67</f>
        <v>0.28495425916145933</v>
      </c>
      <c r="GR66" s="571">
        <f>FT66/'4GF Expenditures'!H67</f>
        <v>0.40993438869876869</v>
      </c>
      <c r="GS66" s="571">
        <f>FU66/'4GF Expenditures'!I67</f>
        <v>0.40906159604984149</v>
      </c>
      <c r="GT66" s="571">
        <f>FV66/'4GF Expenditures'!J67</f>
        <v>0.34672638308873527</v>
      </c>
      <c r="GU66" s="571">
        <f>FW66/'4GF Expenditures'!K67</f>
        <v>0.49726140747126119</v>
      </c>
      <c r="GV66" s="571">
        <f>FX66/'4GF Expenditures'!L67</f>
        <v>0.44737388287539881</v>
      </c>
      <c r="GW66" s="571">
        <f>FY66/'4GF Expenditures'!M67</f>
        <v>0.48742558343426146</v>
      </c>
      <c r="GX66" s="571">
        <f>FZ66/'4GF Expenditures'!N67</f>
        <v>0.45704788789553014</v>
      </c>
      <c r="GY66" s="571">
        <f>GA66/'4GF Expenditures'!O67</f>
        <v>0.5504610749027018</v>
      </c>
      <c r="GZ66" s="571">
        <f>GB66/'4GF Expenditures'!P67</f>
        <v>0.43692374895420921</v>
      </c>
      <c r="HA66" s="571">
        <f>GC66/'4GF Expenditures'!Q67</f>
        <v>0.39103378280281204</v>
      </c>
      <c r="HB66" s="571">
        <f>GD66/'4GF Expenditures'!R67</f>
        <v>0.30726190866029102</v>
      </c>
      <c r="HC66" s="571">
        <f>GE66/'4GF Expenditures'!S67</f>
        <v>0.3845503797540597</v>
      </c>
      <c r="HD66" s="571">
        <f>GF66/'4GF Expenditures'!T67</f>
        <v>0.45262933866136684</v>
      </c>
      <c r="HE66" s="571">
        <f>GG66/'4GF Expenditures'!U67</f>
        <v>0.58335652161923801</v>
      </c>
      <c r="HF66" s="571">
        <f>GH66/'4GF Expenditures'!V67</f>
        <v>0.62374742481154788</v>
      </c>
      <c r="HG66" s="571">
        <f>GI66/'4GF Expenditures'!W67</f>
        <v>0.46903319465878113</v>
      </c>
      <c r="HH66" s="571"/>
      <c r="HI66" s="571"/>
      <c r="HJ66" s="571"/>
      <c r="HK66" s="782"/>
      <c r="HL66" s="783" t="s">
        <v>50</v>
      </c>
      <c r="HM66" s="780">
        <f>B66/'4GF Expenditures'!B67</f>
        <v>1.1869616161686716</v>
      </c>
      <c r="HN66" s="780">
        <f>C66/'4GF Expenditures'!C67</f>
        <v>1.0503898406817564</v>
      </c>
      <c r="HO66" s="780">
        <f>D66/'4GF Expenditures'!D67</f>
        <v>1.0794480635280295</v>
      </c>
      <c r="HP66" s="780">
        <f>E66/'4GF Expenditures'!E67</f>
        <v>1.0384998867727611</v>
      </c>
      <c r="HQ66" s="780">
        <f>F66/'4GF Expenditures'!F67</f>
        <v>1.100147951254197</v>
      </c>
      <c r="HR66" s="780">
        <f>G66/'4GF Expenditures'!G67</f>
        <v>0.94201063227019066</v>
      </c>
      <c r="HS66" s="780">
        <f>H66/'4GF Expenditures'!H67</f>
        <v>1.0751162536113583</v>
      </c>
      <c r="HT66" s="780">
        <f>I66/'4GF Expenditures'!I67</f>
        <v>0.99340091876777736</v>
      </c>
      <c r="HU66" s="780">
        <f>J66/'4GF Expenditures'!J67</f>
        <v>0.94667259043150809</v>
      </c>
      <c r="HV66" s="571">
        <f>K66/'4GF Expenditures'!K67</f>
        <v>1.0769758314536244</v>
      </c>
      <c r="HW66" s="571">
        <f>L66/'4GF Expenditures'!L67</f>
        <v>1.0043499905701208</v>
      </c>
      <c r="HX66" s="571">
        <f>M66/'4GF Expenditures'!M67</f>
        <v>1.0584097914892709</v>
      </c>
      <c r="HY66" s="571">
        <f>N66/'4GF Expenditures'!N67</f>
        <v>0.99360343034547505</v>
      </c>
      <c r="HZ66" s="571">
        <f>O66/'4GF Expenditures'!O67</f>
        <v>1.0595099278126898</v>
      </c>
      <c r="IA66" s="571">
        <f>P66/'4GF Expenditures'!P67</f>
        <v>0.96739815621431491</v>
      </c>
      <c r="IB66" s="571">
        <f>Q66/'4GF Expenditures'!Q67</f>
        <v>0.95631204633137257</v>
      </c>
      <c r="IC66" s="571">
        <f>R66/'4GF Expenditures'!R67</f>
        <v>0.92809323172579483</v>
      </c>
      <c r="ID66" s="573">
        <f>S66/'4GF Expenditures'!S67</f>
        <v>1.0412749868558275</v>
      </c>
      <c r="IE66" s="572">
        <f>T66/'4GF Expenditures'!T67</f>
        <v>1.0717616822498175</v>
      </c>
      <c r="IF66" s="781">
        <f>U66/'4GF Expenditures'!U67</f>
        <v>1.1427668685770995</v>
      </c>
      <c r="IG66" s="781">
        <f>V66/'4GF Expenditures'!V67</f>
        <v>1.0541571542477046</v>
      </c>
      <c r="IH66" s="781">
        <f>W66/'4GF Expenditures'!W67</f>
        <v>0.91017814982655454</v>
      </c>
    </row>
    <row r="67" spans="1:458" ht="12.75" customHeight="1">
      <c r="A67" s="43" t="s">
        <v>51</v>
      </c>
      <c r="B67" s="319">
        <v>946109</v>
      </c>
      <c r="C67" s="319">
        <v>841029</v>
      </c>
      <c r="D67" s="319">
        <v>891820</v>
      </c>
      <c r="E67" s="319">
        <v>980256</v>
      </c>
      <c r="F67" s="319">
        <v>1054835</v>
      </c>
      <c r="G67" s="319">
        <v>1130466</v>
      </c>
      <c r="H67" s="319">
        <v>1266109</v>
      </c>
      <c r="I67" s="319">
        <v>1480867</v>
      </c>
      <c r="J67" s="319">
        <v>1552164.0799999998</v>
      </c>
      <c r="K67" s="319">
        <v>1739046.37</v>
      </c>
      <c r="L67" s="319">
        <v>1467739.33</v>
      </c>
      <c r="M67" s="319">
        <v>1327716.01</v>
      </c>
      <c r="N67" s="319">
        <v>1253654.9300000002</v>
      </c>
      <c r="O67" s="319">
        <v>1321068.72</v>
      </c>
      <c r="P67" s="319">
        <v>1397290.9400000002</v>
      </c>
      <c r="Q67" s="319">
        <v>1379904.98</v>
      </c>
      <c r="R67" s="319">
        <v>1539738.41</v>
      </c>
      <c r="S67" s="362">
        <v>1432084.85</v>
      </c>
      <c r="T67" s="362">
        <v>1753162.06</v>
      </c>
      <c r="U67" s="362">
        <v>1697552.23</v>
      </c>
      <c r="V67" s="362">
        <v>1816259.31</v>
      </c>
      <c r="W67" s="362">
        <v>2092430</v>
      </c>
      <c r="X67" s="6"/>
      <c r="Y67" s="43" t="s">
        <v>51</v>
      </c>
      <c r="Z67" s="319">
        <v>170299.62</v>
      </c>
      <c r="AA67" s="319">
        <v>168205.8</v>
      </c>
      <c r="AB67" s="319">
        <v>196200.4</v>
      </c>
      <c r="AC67" s="319">
        <v>205853.76</v>
      </c>
      <c r="AD67" s="319">
        <v>242612.05</v>
      </c>
      <c r="AE67" s="319">
        <v>260007.18</v>
      </c>
      <c r="AF67" s="319">
        <v>202577.44</v>
      </c>
      <c r="AG67" s="319">
        <v>266556.06</v>
      </c>
      <c r="AH67" s="319">
        <v>277263.95</v>
      </c>
      <c r="AI67" s="319">
        <v>272463.46000000002</v>
      </c>
      <c r="AJ67" s="319">
        <v>283970.3</v>
      </c>
      <c r="AK67" s="319">
        <v>295598.94</v>
      </c>
      <c r="AL67" s="319">
        <v>298449.56</v>
      </c>
      <c r="AM67" s="319">
        <v>315635.58</v>
      </c>
      <c r="AN67" s="319">
        <v>327534.54000000004</v>
      </c>
      <c r="AO67" s="319">
        <v>352048.04000000004</v>
      </c>
      <c r="AP67" s="319">
        <v>347409.67</v>
      </c>
      <c r="AQ67" s="362">
        <v>346621.14</v>
      </c>
      <c r="AR67" s="753">
        <v>363665.5</v>
      </c>
      <c r="AS67" s="753">
        <v>369946.56</v>
      </c>
      <c r="AT67" s="753">
        <v>360013.87</v>
      </c>
      <c r="AU67" s="753">
        <v>369000</v>
      </c>
      <c r="AV67" s="39"/>
      <c r="AW67" s="43" t="s">
        <v>51</v>
      </c>
      <c r="AX67" s="319">
        <v>331138.15000000002</v>
      </c>
      <c r="AY67" s="319">
        <v>344821.89</v>
      </c>
      <c r="AZ67" s="319">
        <v>338891.6</v>
      </c>
      <c r="BA67" s="319">
        <v>372497.28</v>
      </c>
      <c r="BB67" s="319">
        <v>432482.35</v>
      </c>
      <c r="BC67" s="319">
        <v>452186.4</v>
      </c>
      <c r="BD67" s="319">
        <v>493782.51</v>
      </c>
      <c r="BE67" s="319">
        <v>459068.77</v>
      </c>
      <c r="BF67" s="319">
        <v>468981.73</v>
      </c>
      <c r="BG67" s="319">
        <v>479337.72</v>
      </c>
      <c r="BH67" s="319">
        <v>485096.73</v>
      </c>
      <c r="BI67" s="319">
        <v>527952.89</v>
      </c>
      <c r="BJ67" s="319">
        <v>511931.59</v>
      </c>
      <c r="BK67" s="319">
        <v>472701.31</v>
      </c>
      <c r="BL67" s="319">
        <v>509442.59</v>
      </c>
      <c r="BM67" s="319">
        <v>529816.59</v>
      </c>
      <c r="BN67" s="319">
        <v>520523.7</v>
      </c>
      <c r="BO67" s="362">
        <v>581000.74</v>
      </c>
      <c r="BP67" s="753">
        <v>750744.06</v>
      </c>
      <c r="BQ67" s="753">
        <v>756068.82</v>
      </c>
      <c r="BR67" s="753">
        <v>733753.74</v>
      </c>
      <c r="BS67" s="753">
        <v>744000</v>
      </c>
      <c r="BT67" s="286"/>
      <c r="BU67" s="43" t="s">
        <v>51</v>
      </c>
      <c r="BV67" s="319">
        <v>170299.62</v>
      </c>
      <c r="BW67" s="319">
        <v>134564.64000000001</v>
      </c>
      <c r="BX67" s="319">
        <v>142691.20000000001</v>
      </c>
      <c r="BY67" s="319">
        <v>196051.20000000001</v>
      </c>
      <c r="BZ67" s="319">
        <v>158225.25</v>
      </c>
      <c r="CA67" s="319">
        <v>146960.57999999999</v>
      </c>
      <c r="CB67" s="319">
        <v>215238.53</v>
      </c>
      <c r="CC67" s="319">
        <v>444260.1</v>
      </c>
      <c r="CD67" s="319">
        <v>512874.83</v>
      </c>
      <c r="CE67" s="319">
        <v>575519.9800000001</v>
      </c>
      <c r="CF67" s="319">
        <v>367058.37000000005</v>
      </c>
      <c r="CG67" s="319">
        <v>182774.89</v>
      </c>
      <c r="CH67" s="319">
        <v>154761.91</v>
      </c>
      <c r="CI67" s="319">
        <v>111533.81999999999</v>
      </c>
      <c r="CJ67" s="319">
        <v>150663.81000000003</v>
      </c>
      <c r="CK67" s="319">
        <v>115633.28</v>
      </c>
      <c r="CL67" s="319">
        <v>170569.48</v>
      </c>
      <c r="CM67" s="362">
        <v>149815.65000000002</v>
      </c>
      <c r="CN67" s="753">
        <v>195466.87</v>
      </c>
      <c r="CO67" s="753">
        <v>180028.93</v>
      </c>
      <c r="CP67" s="753">
        <v>188386.81</v>
      </c>
      <c r="CQ67" s="753">
        <v>268760</v>
      </c>
      <c r="CR67" s="39"/>
      <c r="CS67" s="43" t="s">
        <v>51</v>
      </c>
      <c r="CT67" s="319">
        <v>151377.44</v>
      </c>
      <c r="CU67" s="319">
        <v>151385.22</v>
      </c>
      <c r="CV67" s="319">
        <v>160527.6</v>
      </c>
      <c r="CW67" s="319">
        <v>166643.51999999999</v>
      </c>
      <c r="CX67" s="319">
        <v>179321.95</v>
      </c>
      <c r="CY67" s="319">
        <v>214788.54</v>
      </c>
      <c r="CZ67" s="319">
        <v>240560.71</v>
      </c>
      <c r="DA67" s="319">
        <v>236938.72</v>
      </c>
      <c r="DB67" s="319">
        <v>226373.55</v>
      </c>
      <c r="DC67" s="319">
        <v>261302.37000000002</v>
      </c>
      <c r="DD67" s="319">
        <v>256423.49</v>
      </c>
      <c r="DE67" s="319">
        <v>232010.34000000003</v>
      </c>
      <c r="DF67" s="319">
        <v>228115.93</v>
      </c>
      <c r="DG67" s="319">
        <v>241261.5</v>
      </c>
      <c r="DH67" s="319">
        <v>237121.44</v>
      </c>
      <c r="DI67" s="319">
        <v>249120.75</v>
      </c>
      <c r="DJ67" s="319">
        <v>272972.33</v>
      </c>
      <c r="DK67" s="362">
        <v>265034.02</v>
      </c>
      <c r="DL67" s="753">
        <v>261129.42</v>
      </c>
      <c r="DM67" s="753">
        <v>286583.89999999997</v>
      </c>
      <c r="DN67" s="753">
        <v>304194.42</v>
      </c>
      <c r="DO67" s="753">
        <v>306120</v>
      </c>
      <c r="DP67" s="39"/>
      <c r="DQ67" s="43" t="s">
        <v>51</v>
      </c>
      <c r="DR67" s="319">
        <v>9461.09</v>
      </c>
      <c r="DS67" s="319">
        <v>8410.2900000000009</v>
      </c>
      <c r="DT67" s="319">
        <v>8918.2000000000007</v>
      </c>
      <c r="DU67" s="319">
        <v>9802.56</v>
      </c>
      <c r="DV67" s="319">
        <v>10548.35</v>
      </c>
      <c r="DW67" s="319">
        <v>11304.66</v>
      </c>
      <c r="DX67" s="319">
        <v>0</v>
      </c>
      <c r="DY67" s="319">
        <v>0</v>
      </c>
      <c r="DZ67" s="319">
        <v>2953.44</v>
      </c>
      <c r="EA67" s="319">
        <v>6901.66</v>
      </c>
      <c r="EB67" s="319">
        <v>8697.15</v>
      </c>
      <c r="EC67" s="319">
        <v>8071.35</v>
      </c>
      <c r="ED67" s="319">
        <v>4035.16</v>
      </c>
      <c r="EE67" s="319">
        <v>5164.71</v>
      </c>
      <c r="EF67" s="319">
        <v>5853.23</v>
      </c>
      <c r="EG67" s="319">
        <v>2759.99</v>
      </c>
      <c r="EH67" s="319">
        <v>3077.12</v>
      </c>
      <c r="EI67" s="362">
        <v>2841.87</v>
      </c>
      <c r="EJ67" s="753">
        <v>2106.34</v>
      </c>
      <c r="EK67" s="753">
        <v>2778.84</v>
      </c>
      <c r="EL67" s="753">
        <v>1780.75</v>
      </c>
      <c r="EM67" s="753">
        <v>1800</v>
      </c>
      <c r="EN67" s="39"/>
      <c r="EO67" s="43" t="s">
        <v>51</v>
      </c>
      <c r="EP67" s="319">
        <v>113533.08</v>
      </c>
      <c r="EQ67" s="319">
        <v>33641.160000000003</v>
      </c>
      <c r="ER67" s="319">
        <v>44591</v>
      </c>
      <c r="ES67" s="319">
        <v>29407.68</v>
      </c>
      <c r="ET67" s="319">
        <v>31645.05</v>
      </c>
      <c r="EU67" s="319">
        <v>45218.64</v>
      </c>
      <c r="EV67" s="319">
        <v>113949.81</v>
      </c>
      <c r="EW67" s="319">
        <v>74043.350000000006</v>
      </c>
      <c r="EX67" s="319">
        <v>51366.58</v>
      </c>
      <c r="EY67" s="319">
        <v>143521.18</v>
      </c>
      <c r="EZ67" s="319">
        <v>66493.290000000008</v>
      </c>
      <c r="FA67" s="319">
        <v>81307.600000000006</v>
      </c>
      <c r="FB67" s="319">
        <v>56360.78</v>
      </c>
      <c r="FC67" s="319">
        <v>52429.799999999996</v>
      </c>
      <c r="FD67" s="319">
        <v>53264.21</v>
      </c>
      <c r="FE67" s="319">
        <v>61276.33</v>
      </c>
      <c r="FF67" s="319">
        <v>100186.11</v>
      </c>
      <c r="FG67" s="362">
        <v>86771.430000000008</v>
      </c>
      <c r="FH67" s="362">
        <v>60049.869999999995</v>
      </c>
      <c r="FI67" s="362">
        <v>62145.179999999993</v>
      </c>
      <c r="FJ67" s="362">
        <v>52394.720000000001</v>
      </c>
      <c r="FK67" s="362">
        <v>52750</v>
      </c>
      <c r="FM67" s="43" t="s">
        <v>51</v>
      </c>
      <c r="FN67" s="319">
        <v>145459</v>
      </c>
      <c r="FO67" s="319">
        <v>105535</v>
      </c>
      <c r="FP67" s="319">
        <v>44997</v>
      </c>
      <c r="FQ67" s="319">
        <v>34186</v>
      </c>
      <c r="FR67" s="319">
        <v>42222</v>
      </c>
      <c r="FS67" s="319">
        <v>1357</v>
      </c>
      <c r="FT67" s="319">
        <v>30046</v>
      </c>
      <c r="FU67" s="319">
        <v>4222</v>
      </c>
      <c r="FV67" s="319">
        <v>69740.009999999776</v>
      </c>
      <c r="FW67" s="319">
        <v>104074.38</v>
      </c>
      <c r="FX67" s="319">
        <v>26582.86</v>
      </c>
      <c r="FY67" s="319">
        <v>15963.16</v>
      </c>
      <c r="FZ67" s="319">
        <v>16863.61</v>
      </c>
      <c r="GA67" s="319">
        <v>2538.02</v>
      </c>
      <c r="GB67" s="319">
        <v>34841.019999999997</v>
      </c>
      <c r="GC67" s="319">
        <v>9519.2000000000007</v>
      </c>
      <c r="GD67" s="319">
        <v>24524.73</v>
      </c>
      <c r="GE67" s="319">
        <v>54393.62</v>
      </c>
      <c r="GF67" s="756">
        <v>55758.97</v>
      </c>
      <c r="GG67" s="756">
        <v>48642.59</v>
      </c>
      <c r="GH67" s="756">
        <v>7500.6300000001211</v>
      </c>
      <c r="GI67" s="756">
        <v>20023.429999999935</v>
      </c>
      <c r="GJ67" s="42"/>
      <c r="GK67" s="570" t="s">
        <v>51</v>
      </c>
      <c r="GL67" s="571">
        <f>FN67/'4GF Expenditures'!B68</f>
        <v>0.17565708834238031</v>
      </c>
      <c r="GM67" s="571">
        <f>FO67/'4GF Expenditures'!C68</f>
        <v>0.11979640230523081</v>
      </c>
      <c r="GN67" s="571">
        <f>FP67/'4GF Expenditures'!D68</f>
        <v>4.7247988676527103E-2</v>
      </c>
      <c r="GO67" s="571">
        <f>FQ67/'4GF Expenditures'!E68</f>
        <v>3.4494136117941575E-2</v>
      </c>
      <c r="GP67" s="571">
        <f>FR67/'4GF Expenditures'!F68</f>
        <v>4.0334390842941194E-2</v>
      </c>
      <c r="GQ67" s="571">
        <f>FS67/'4GF Expenditures'!G68</f>
        <v>1.1585111296465304E-3</v>
      </c>
      <c r="GR67" s="571">
        <f>FT67/'4GF Expenditures'!H68</f>
        <v>2.4281165651112799E-2</v>
      </c>
      <c r="GS67" s="571">
        <f>FU67/'4GF Expenditures'!I68</f>
        <v>2.8021671331414336E-3</v>
      </c>
      <c r="GT67" s="571">
        <f>FV67/'4GF Expenditures'!J68</f>
        <v>4.6910951611656163E-2</v>
      </c>
      <c r="GU67" s="571">
        <f>FW67/'4GF Expenditures'!K68</f>
        <v>6.0744975919894396E-2</v>
      </c>
      <c r="GV67" s="571">
        <f>FX67/'4GF Expenditures'!L68</f>
        <v>1.7173412930838561E-2</v>
      </c>
      <c r="GW67" s="571">
        <f>FY67/'4GF Expenditures'!M68</f>
        <v>1.1473015243418641E-2</v>
      </c>
      <c r="GX67" s="571">
        <f>FZ67/'4GF Expenditures'!N68</f>
        <v>1.1454635713510981E-2</v>
      </c>
      <c r="GY67" s="571">
        <f>GA67/'4GF Expenditures'!O68</f>
        <v>1.9055599755072154E-3</v>
      </c>
      <c r="GZ67" s="571">
        <f>GB67/'4GF Expenditures'!P68</f>
        <v>2.5524782292215709E-2</v>
      </c>
      <c r="HA67" s="571">
        <f>GC67/'4GF Expenditures'!Q68</f>
        <v>6.7932543766186454E-3</v>
      </c>
      <c r="HB67" s="571">
        <f>GD67/'4GF Expenditures'!R68</f>
        <v>1.6084607554340928E-2</v>
      </c>
      <c r="HC67" s="571">
        <f>GE67/'4GF Expenditures'!S68</f>
        <v>3.5004174061656311E-2</v>
      </c>
      <c r="HD67" s="571">
        <f>GF67/'4GF Expenditures'!T68</f>
        <v>3.1829589404811703E-2</v>
      </c>
      <c r="HE67" s="571">
        <f>GG67/'4GF Expenditures'!U68</f>
        <v>2.8583941774837224E-2</v>
      </c>
      <c r="HF67" s="571">
        <f>GH67/'4GF Expenditures'!V68</f>
        <v>4.0382388669305269E-3</v>
      </c>
      <c r="HG67" s="571">
        <f>GI67/'4GF Expenditures'!W68</f>
        <v>9.6270785542739296E-3</v>
      </c>
      <c r="HH67" s="571"/>
      <c r="HI67" s="571"/>
      <c r="HJ67" s="571"/>
      <c r="HK67" s="568"/>
      <c r="HL67" s="567" t="s">
        <v>51</v>
      </c>
      <c r="HM67" s="571">
        <f>B67/'4GF Expenditures'!B68</f>
        <v>1.1425264314653689</v>
      </c>
      <c r="HN67" s="571">
        <f>C67/'4GF Expenditures'!C68</f>
        <v>0.95468089671072121</v>
      </c>
      <c r="HO67" s="571">
        <f>D67/'4GF Expenditures'!D68</f>
        <v>0.93643356804899003</v>
      </c>
      <c r="HP67" s="571">
        <f>E67/'4GF Expenditures'!E68</f>
        <v>0.98909155485956046</v>
      </c>
      <c r="HQ67" s="571">
        <f>F67/'4GF Expenditures'!F68</f>
        <v>1.0076767364126256</v>
      </c>
      <c r="HR67" s="571">
        <f>G67/'4GF Expenditures'!G68</f>
        <v>0.96511233801547125</v>
      </c>
      <c r="HS67" s="571">
        <f>H67/'4GF Expenditures'!H68</f>
        <v>1.0231845291008712</v>
      </c>
      <c r="HT67" s="571">
        <f>I67/'4GF Expenditures'!I68</f>
        <v>0.98286045380240539</v>
      </c>
      <c r="HU67" s="571">
        <f>J67/'4GF Expenditures'!J68</f>
        <v>1.0440705995056645</v>
      </c>
      <c r="HV67" s="571">
        <f>K67/'4GF Expenditures'!K68</f>
        <v>1.0150272321509843</v>
      </c>
      <c r="HW67" s="571">
        <f>L67/'4GF Expenditures'!L68</f>
        <v>0.94820849182226175</v>
      </c>
      <c r="HX67" s="571">
        <f>M67/'4GF Expenditures'!M68</f>
        <v>0.95425379571845281</v>
      </c>
      <c r="HY67" s="571">
        <f>N67/'4GF Expenditures'!N68</f>
        <v>0.85154723891249329</v>
      </c>
      <c r="HZ67" s="571">
        <f>O67/'4GF Expenditures'!O68</f>
        <v>0.99186597336764415</v>
      </c>
      <c r="IA67" s="571">
        <f>P67/'4GF Expenditures'!P68</f>
        <v>1.0236654105530048</v>
      </c>
      <c r="IB67" s="571">
        <f>Q67/'4GF Expenditures'!Q68</f>
        <v>0.98475140187230692</v>
      </c>
      <c r="IC67" s="571">
        <f>R67/'4GF Expenditures'!R68</f>
        <v>1.0098414156320943</v>
      </c>
      <c r="ID67" s="573">
        <f>S67/'4GF Expenditures'!S68</f>
        <v>0.92159608719664132</v>
      </c>
      <c r="IE67" s="572">
        <f>T67/'4GF Expenditures'!T68</f>
        <v>1.0007793997969092</v>
      </c>
      <c r="IF67" s="572">
        <f>U67/'4GF Expenditures'!U68</f>
        <v>0.99753598856609182</v>
      </c>
      <c r="IG67" s="572">
        <f>V67/'4GF Expenditures'!V68</f>
        <v>0.97784971903244156</v>
      </c>
      <c r="IH67" s="572">
        <f>W67/'4GF Expenditures'!W68</f>
        <v>1.0060208455454167</v>
      </c>
    </row>
    <row r="68" spans="1:458" ht="14">
      <c r="A68" s="43" t="s">
        <v>52</v>
      </c>
      <c r="B68" s="319">
        <v>934605</v>
      </c>
      <c r="C68" s="319">
        <v>1055951</v>
      </c>
      <c r="D68" s="319">
        <v>1104390</v>
      </c>
      <c r="E68" s="319">
        <v>1189235</v>
      </c>
      <c r="F68" s="319">
        <v>1237746</v>
      </c>
      <c r="G68" s="319">
        <v>1226639</v>
      </c>
      <c r="H68" s="319">
        <v>1263248</v>
      </c>
      <c r="I68" s="319">
        <v>1334522</v>
      </c>
      <c r="J68" s="319">
        <v>1449012.17</v>
      </c>
      <c r="K68" s="319">
        <v>1486734.9200000002</v>
      </c>
      <c r="L68" s="319">
        <v>1573949.88</v>
      </c>
      <c r="M68" s="319">
        <v>1730087.24</v>
      </c>
      <c r="N68" s="319">
        <v>1731631.69</v>
      </c>
      <c r="O68" s="319"/>
      <c r="P68" s="319">
        <v>1683144.21</v>
      </c>
      <c r="Q68" s="319">
        <v>1739298.4300000002</v>
      </c>
      <c r="R68" s="319">
        <v>1664899.21</v>
      </c>
      <c r="S68" s="362">
        <v>1781221.1199999999</v>
      </c>
      <c r="T68" s="362">
        <v>1653782.9300000002</v>
      </c>
      <c r="U68" s="362">
        <v>1811923.6</v>
      </c>
      <c r="V68" s="362">
        <v>1918541.85</v>
      </c>
      <c r="W68" s="362">
        <v>1860465.41</v>
      </c>
      <c r="X68" s="6"/>
      <c r="Y68" s="43" t="s">
        <v>52</v>
      </c>
      <c r="Z68" s="319">
        <v>130844.7</v>
      </c>
      <c r="AA68" s="319">
        <v>147833.14000000001</v>
      </c>
      <c r="AB68" s="319">
        <v>165658.5</v>
      </c>
      <c r="AC68" s="319">
        <v>202169.95</v>
      </c>
      <c r="AD68" s="319">
        <v>235171.74</v>
      </c>
      <c r="AE68" s="319">
        <v>257594.19</v>
      </c>
      <c r="AF68" s="319">
        <v>265282.08</v>
      </c>
      <c r="AG68" s="319">
        <v>280249.62</v>
      </c>
      <c r="AH68" s="319">
        <v>286941.38</v>
      </c>
      <c r="AI68" s="319">
        <v>300502.09000000003</v>
      </c>
      <c r="AJ68" s="319">
        <v>313638.95999999996</v>
      </c>
      <c r="AK68" s="319">
        <v>277480.84000000003</v>
      </c>
      <c r="AL68" s="319">
        <v>273912.73000000004</v>
      </c>
      <c r="AM68" s="319"/>
      <c r="AN68" s="319">
        <v>286858.14</v>
      </c>
      <c r="AO68" s="319">
        <v>289030.63</v>
      </c>
      <c r="AP68" s="319">
        <v>319023.23</v>
      </c>
      <c r="AQ68" s="362">
        <v>330071.98</v>
      </c>
      <c r="AR68" s="753">
        <v>326414.08000000002</v>
      </c>
      <c r="AS68" s="753">
        <v>366011.75</v>
      </c>
      <c r="AT68" s="753">
        <v>375201.91000000003</v>
      </c>
      <c r="AU68" s="753">
        <v>372000</v>
      </c>
      <c r="AV68" s="39"/>
      <c r="AW68" s="43" t="s">
        <v>52</v>
      </c>
      <c r="AX68" s="319">
        <v>457956.45</v>
      </c>
      <c r="AY68" s="319">
        <v>485737.46</v>
      </c>
      <c r="AZ68" s="319">
        <v>452799.9</v>
      </c>
      <c r="BA68" s="319">
        <v>475694</v>
      </c>
      <c r="BB68" s="319">
        <v>519853.32</v>
      </c>
      <c r="BC68" s="319">
        <v>478389.21</v>
      </c>
      <c r="BD68" s="319">
        <v>429504.32</v>
      </c>
      <c r="BE68" s="319">
        <v>413701.82</v>
      </c>
      <c r="BF68" s="319">
        <v>521423.35999999999</v>
      </c>
      <c r="BG68" s="319">
        <v>518087.43</v>
      </c>
      <c r="BH68" s="319">
        <v>552383.22</v>
      </c>
      <c r="BI68" s="319">
        <v>558083.06000000006</v>
      </c>
      <c r="BJ68" s="319">
        <v>568681.61</v>
      </c>
      <c r="BK68" s="319"/>
      <c r="BL68" s="319">
        <v>527811.19999999995</v>
      </c>
      <c r="BM68" s="319">
        <v>528163.08000000007</v>
      </c>
      <c r="BN68" s="319">
        <v>433103.94</v>
      </c>
      <c r="BO68" s="362">
        <v>437635.06</v>
      </c>
      <c r="BP68" s="753">
        <v>549368.96</v>
      </c>
      <c r="BQ68" s="753">
        <v>545646.86</v>
      </c>
      <c r="BR68" s="753">
        <v>540098.73</v>
      </c>
      <c r="BS68" s="753">
        <v>539000</v>
      </c>
      <c r="BT68" s="286"/>
      <c r="BU68" s="43" t="s">
        <v>52</v>
      </c>
      <c r="BV68" s="319">
        <v>102806.55</v>
      </c>
      <c r="BW68" s="319">
        <v>179511.67</v>
      </c>
      <c r="BX68" s="319">
        <v>187746.3</v>
      </c>
      <c r="BY68" s="319">
        <v>178385.25</v>
      </c>
      <c r="BZ68" s="319">
        <v>160906.98000000001</v>
      </c>
      <c r="CA68" s="319">
        <v>220795.02</v>
      </c>
      <c r="CB68" s="319">
        <v>240017.12</v>
      </c>
      <c r="CC68" s="319">
        <v>280249.62</v>
      </c>
      <c r="CD68" s="319">
        <v>270813.76</v>
      </c>
      <c r="CE68" s="319">
        <v>303197.66000000003</v>
      </c>
      <c r="CF68" s="319">
        <v>289806.09999999998</v>
      </c>
      <c r="CG68" s="319">
        <v>489001.63999999996</v>
      </c>
      <c r="CH68" s="319">
        <v>492393.86</v>
      </c>
      <c r="CI68" s="319"/>
      <c r="CJ68" s="319">
        <v>444729.59000000008</v>
      </c>
      <c r="CK68" s="319">
        <v>451740.56000000006</v>
      </c>
      <c r="CL68" s="319">
        <v>502974.58000000007</v>
      </c>
      <c r="CM68" s="362">
        <v>536667.88</v>
      </c>
      <c r="CN68" s="753">
        <v>372667.28</v>
      </c>
      <c r="CO68" s="753">
        <v>475170.67000000004</v>
      </c>
      <c r="CP68" s="753">
        <v>507674.12</v>
      </c>
      <c r="CQ68" s="753">
        <v>502855</v>
      </c>
      <c r="CR68" s="39"/>
      <c r="CS68" s="43" t="s">
        <v>52</v>
      </c>
      <c r="CT68" s="319">
        <v>186921</v>
      </c>
      <c r="CU68" s="319">
        <v>200630.69</v>
      </c>
      <c r="CV68" s="319">
        <v>209834.1</v>
      </c>
      <c r="CW68" s="319">
        <v>202169.95</v>
      </c>
      <c r="CX68" s="319">
        <v>222794.28</v>
      </c>
      <c r="CY68" s="319">
        <v>208528.63</v>
      </c>
      <c r="CZ68" s="319">
        <v>164222.24</v>
      </c>
      <c r="DA68" s="319">
        <v>240213.96</v>
      </c>
      <c r="DB68" s="319">
        <v>230258.87</v>
      </c>
      <c r="DC68" s="319">
        <v>241379.02000000002</v>
      </c>
      <c r="DD68" s="319">
        <v>247427.3</v>
      </c>
      <c r="DE68" s="319">
        <v>232271.21000000002</v>
      </c>
      <c r="DF68" s="319">
        <v>223511.84</v>
      </c>
      <c r="DG68" s="319"/>
      <c r="DH68" s="319">
        <v>224782.82</v>
      </c>
      <c r="DI68" s="319">
        <v>212399.78999999998</v>
      </c>
      <c r="DJ68" s="319">
        <v>226019.59</v>
      </c>
      <c r="DK68" s="362">
        <v>227370.03999999998</v>
      </c>
      <c r="DL68" s="753">
        <v>224085.63</v>
      </c>
      <c r="DM68" s="753">
        <v>241764.01</v>
      </c>
      <c r="DN68" s="753">
        <v>244344.93000000002</v>
      </c>
      <c r="DO68" s="753">
        <v>242530</v>
      </c>
      <c r="DP68" s="39"/>
      <c r="DQ68" s="43" t="s">
        <v>52</v>
      </c>
      <c r="DR68" s="319">
        <v>9346.0499999999993</v>
      </c>
      <c r="DS68" s="319">
        <v>10559.51</v>
      </c>
      <c r="DT68" s="319">
        <v>11043.9</v>
      </c>
      <c r="DU68" s="319">
        <v>11892.35</v>
      </c>
      <c r="DV68" s="319">
        <v>12377.46</v>
      </c>
      <c r="DW68" s="319">
        <v>12266.39</v>
      </c>
      <c r="DX68" s="319">
        <v>12632.48</v>
      </c>
      <c r="DY68" s="319">
        <v>0</v>
      </c>
      <c r="DZ68" s="319">
        <v>5781.49</v>
      </c>
      <c r="EA68" s="319">
        <v>11678.92</v>
      </c>
      <c r="EB68" s="319">
        <v>24155.42</v>
      </c>
      <c r="EC68" s="319">
        <v>24920.21</v>
      </c>
      <c r="ED68" s="319">
        <v>13189.66</v>
      </c>
      <c r="EE68" s="319"/>
      <c r="EF68" s="319">
        <v>2529.89</v>
      </c>
      <c r="EG68" s="319">
        <v>1343.27</v>
      </c>
      <c r="EH68" s="319">
        <v>829.52</v>
      </c>
      <c r="EI68" s="362">
        <v>654.65</v>
      </c>
      <c r="EJ68" s="753">
        <v>739.17</v>
      </c>
      <c r="EK68" s="753">
        <v>506.57</v>
      </c>
      <c r="EL68" s="753">
        <v>1431.86</v>
      </c>
      <c r="EM68" s="753">
        <v>1400</v>
      </c>
      <c r="EN68" s="39"/>
      <c r="EO68" s="43" t="s">
        <v>52</v>
      </c>
      <c r="EP68" s="319">
        <v>46730.25</v>
      </c>
      <c r="EQ68" s="319">
        <v>31678.53</v>
      </c>
      <c r="ER68" s="319">
        <v>77307.3</v>
      </c>
      <c r="ES68" s="319">
        <v>118923.5</v>
      </c>
      <c r="ET68" s="319">
        <v>86642.22</v>
      </c>
      <c r="EU68" s="319">
        <v>49065.56</v>
      </c>
      <c r="EV68" s="319">
        <v>151589.76000000001</v>
      </c>
      <c r="EW68" s="319">
        <v>120106.98</v>
      </c>
      <c r="EX68" s="319">
        <v>104715.31</v>
      </c>
      <c r="EY68" s="319">
        <v>83797.52</v>
      </c>
      <c r="EZ68" s="319">
        <v>116245.51999999999</v>
      </c>
      <c r="FA68" s="319">
        <v>113308.40000000001</v>
      </c>
      <c r="FB68" s="319">
        <v>125625.98999999999</v>
      </c>
      <c r="FC68" s="319"/>
      <c r="FD68" s="319">
        <v>126738.54999999999</v>
      </c>
      <c r="FE68" s="319">
        <v>196872.65</v>
      </c>
      <c r="FF68" s="319">
        <v>145700.81</v>
      </c>
      <c r="FG68" s="362">
        <v>187850.02</v>
      </c>
      <c r="FH68" s="362">
        <v>119323.66</v>
      </c>
      <c r="FI68" s="362">
        <v>129736.74000000002</v>
      </c>
      <c r="FJ68" s="362">
        <v>209449.60000000001</v>
      </c>
      <c r="FK68" s="362">
        <v>111340</v>
      </c>
      <c r="FM68" s="43" t="s">
        <v>52</v>
      </c>
      <c r="FN68" s="319">
        <v>89365</v>
      </c>
      <c r="FO68" s="319">
        <v>124005</v>
      </c>
      <c r="FP68" s="319">
        <v>76768</v>
      </c>
      <c r="FQ68" s="319">
        <v>58099</v>
      </c>
      <c r="FR68" s="319">
        <v>142881</v>
      </c>
      <c r="FS68" s="319">
        <v>170430</v>
      </c>
      <c r="FT68" s="319">
        <v>73355</v>
      </c>
      <c r="FU68" s="319">
        <v>181445</v>
      </c>
      <c r="FV68" s="319">
        <v>221132.66000000018</v>
      </c>
      <c r="FW68" s="319">
        <v>242719.98</v>
      </c>
      <c r="FX68" s="319">
        <v>238422.27</v>
      </c>
      <c r="FY68" s="319">
        <v>232204.33</v>
      </c>
      <c r="FZ68" s="319">
        <v>242733.40999999997</v>
      </c>
      <c r="GA68" s="319"/>
      <c r="GB68" s="319">
        <v>194491.33</v>
      </c>
      <c r="GC68" s="319">
        <v>135989.06</v>
      </c>
      <c r="GD68" s="319">
        <v>208692.97</v>
      </c>
      <c r="GE68" s="319">
        <v>338345.63</v>
      </c>
      <c r="GF68" s="756">
        <v>221189.33</v>
      </c>
      <c r="GG68" s="756">
        <v>239197.44</v>
      </c>
      <c r="GH68" s="756">
        <v>148439.02000000002</v>
      </c>
      <c r="GI68" s="756">
        <v>21321.659999999916</v>
      </c>
      <c r="GJ68" s="42"/>
      <c r="GK68" s="570" t="s">
        <v>52</v>
      </c>
      <c r="GL68" s="571">
        <f>FN68/'4GF Expenditures'!B69</f>
        <v>9.6314059384598805E-2</v>
      </c>
      <c r="GM68" s="571">
        <f>FO68/'4GF Expenditures'!C69</f>
        <v>0.12141747224890362</v>
      </c>
      <c r="GN68" s="571">
        <f>FP68/'4GF Expenditures'!D69</f>
        <v>6.6660472531470699E-2</v>
      </c>
      <c r="GO68" s="571">
        <f>FQ68/'4GF Expenditures'!E69</f>
        <v>4.8099021114260739E-2</v>
      </c>
      <c r="GP68" s="571">
        <f>FR68/'4GF Expenditures'!F69</f>
        <v>0.1239249447510937</v>
      </c>
      <c r="GQ68" s="571">
        <f>FS68/'4GF Expenditures'!G69</f>
        <v>0.14091272886019685</v>
      </c>
      <c r="GR68" s="571">
        <f>FT68/'4GF Expenditures'!H69</f>
        <v>5.5877007359875198E-2</v>
      </c>
      <c r="GS68" s="571">
        <f>FU68/'4GF Expenditures'!I69</f>
        <v>0.14794542216771905</v>
      </c>
      <c r="GT68" s="571">
        <f>FV68/'4GF Expenditures'!J69</f>
        <v>0.1521744094154894</v>
      </c>
      <c r="GU68" s="571">
        <f>FW68/'4GF Expenditures'!K69</f>
        <v>0.17077083309353278</v>
      </c>
      <c r="GV68" s="571">
        <f>FX68/'4GF Expenditures'!L69</f>
        <v>0.15106772315742928</v>
      </c>
      <c r="GW68" s="571">
        <f>FY68/'4GF Expenditures'!M69</f>
        <v>0.13373474471809152</v>
      </c>
      <c r="GX68" s="571">
        <f>FZ68/'4GF Expenditures'!N69</f>
        <v>0.14103366562206304</v>
      </c>
      <c r="GY68" s="571" t="e">
        <f>GA68/'4GF Expenditures'!O69</f>
        <v>#DIV/0!</v>
      </c>
      <c r="GZ68" s="571">
        <f>GB68/'4GF Expenditures'!P69</f>
        <v>0.11536803947288488</v>
      </c>
      <c r="HA68" s="571">
        <f>GC68/'4GF Expenditures'!Q69</f>
        <v>7.5641899572071583E-2</v>
      </c>
      <c r="HB68" s="571">
        <f>GD68/'4GF Expenditures'!R69</f>
        <v>0.1310724695645063</v>
      </c>
      <c r="HC68" s="571">
        <f>GE68/'4GF Expenditures'!S69</f>
        <v>0.20486321832520343</v>
      </c>
      <c r="HD68" s="571">
        <f>GF68/'4GF Expenditures'!T69</f>
        <v>0.11807578182042658</v>
      </c>
      <c r="HE68" s="571">
        <f>GG68/'4GF Expenditures'!U69</f>
        <v>0.13325731419872269</v>
      </c>
      <c r="HF68" s="571">
        <f>GH68/'4GF Expenditures'!V69</f>
        <v>7.3875976734925741E-2</v>
      </c>
      <c r="HG68" s="571">
        <f>GI68/'4GF Expenditures'!W69</f>
        <v>1.0727432498320519E-2</v>
      </c>
      <c r="HH68" s="571"/>
      <c r="HI68" s="571"/>
      <c r="HJ68" s="571"/>
      <c r="HK68" s="568"/>
      <c r="HL68" s="567" t="s">
        <v>52</v>
      </c>
      <c r="HM68" s="571">
        <f>B68/'4GF Expenditures'!B69</f>
        <v>1.0072802715956244</v>
      </c>
      <c r="HN68" s="571">
        <f>C68/'4GF Expenditures'!C69</f>
        <v>1.0339171907479701</v>
      </c>
      <c r="HO68" s="571">
        <f>D68/'4GF Expenditures'!D69</f>
        <v>0.95898237884314974</v>
      </c>
      <c r="HP68" s="571">
        <f>E68/'4GF Expenditures'!E69</f>
        <v>0.98454430153389672</v>
      </c>
      <c r="HQ68" s="571">
        <f>F68/'4GF Expenditures'!F69</f>
        <v>1.0735339524911445</v>
      </c>
      <c r="HR68" s="571">
        <f>G68/'4GF Expenditures'!G69</f>
        <v>1.0141937969626416</v>
      </c>
      <c r="HS68" s="571">
        <f>H68/'4GF Expenditures'!H69</f>
        <v>0.96225912062364694</v>
      </c>
      <c r="HT68" s="571">
        <f>I68/'4GF Expenditures'!I69</f>
        <v>1.0881337081876532</v>
      </c>
      <c r="HU68" s="571">
        <f>J68/'4GF Expenditures'!J69</f>
        <v>0.99715062987804037</v>
      </c>
      <c r="HV68" s="571">
        <f>K68/'4GF Expenditures'!K69</f>
        <v>1.046024150453732</v>
      </c>
      <c r="HW68" s="571">
        <f>L68/'4GF Expenditures'!L69</f>
        <v>0.99727691014563791</v>
      </c>
      <c r="HX68" s="571">
        <f>M68/'4GF Expenditures'!M69</f>
        <v>0.99641886687223946</v>
      </c>
      <c r="HY68" s="571">
        <f>N68/'4GF Expenditures'!N69</f>
        <v>1.0061176364144844</v>
      </c>
      <c r="HZ68" s="571" t="e">
        <f>O68/'4GF Expenditures'!O69</f>
        <v>#DIV/0!</v>
      </c>
      <c r="IA68" s="571">
        <f>P68/'4GF Expenditures'!P69</f>
        <v>0.99840464692095865</v>
      </c>
      <c r="IB68" s="571">
        <f>Q68/'4GF Expenditures'!Q69</f>
        <v>0.96745897918495638</v>
      </c>
      <c r="IC68" s="571">
        <f>R68/'4GF Expenditures'!R69</f>
        <v>1.0456626834660294</v>
      </c>
      <c r="ID68" s="573">
        <f>S68/'4GF Expenditures'!S69</f>
        <v>1.0785027464135515</v>
      </c>
      <c r="IE68" s="572">
        <f>T68/'4GF Expenditures'!T69</f>
        <v>0.8828260948257578</v>
      </c>
      <c r="IF68" s="572">
        <f>U68/'4GF Expenditures'!U69</f>
        <v>1.0094258219037826</v>
      </c>
      <c r="IG68" s="572">
        <f>V68/'4GF Expenditures'!V69</f>
        <v>0.95483083272566327</v>
      </c>
      <c r="IH68" s="572">
        <f>W68/'4GF Expenditures'!W69</f>
        <v>0.93604424332980096</v>
      </c>
    </row>
    <row r="69" spans="1:458" ht="15" customHeight="1">
      <c r="A69" s="43" t="s">
        <v>53</v>
      </c>
      <c r="B69" s="319">
        <v>1207207</v>
      </c>
      <c r="C69" s="319">
        <v>1207104</v>
      </c>
      <c r="D69" s="319">
        <v>1737378</v>
      </c>
      <c r="E69" s="319">
        <v>1704121</v>
      </c>
      <c r="F69" s="319">
        <v>1772166</v>
      </c>
      <c r="G69" s="319">
        <v>1880183</v>
      </c>
      <c r="H69" s="319">
        <v>2244717</v>
      </c>
      <c r="I69" s="319">
        <v>2508992</v>
      </c>
      <c r="J69" s="319">
        <v>2844595.18</v>
      </c>
      <c r="K69" s="319">
        <v>3155292.5999999996</v>
      </c>
      <c r="L69" s="319">
        <v>2997681.0400000005</v>
      </c>
      <c r="M69" s="319">
        <v>3166702.86</v>
      </c>
      <c r="N69" s="319">
        <v>3215026.8200000003</v>
      </c>
      <c r="O69" s="319">
        <v>3109265.7700000005</v>
      </c>
      <c r="P69" s="319"/>
      <c r="Q69" s="319">
        <v>3331230.2300000004</v>
      </c>
      <c r="R69" s="319">
        <v>3384899.5300000003</v>
      </c>
      <c r="S69" s="362">
        <v>3097885.82</v>
      </c>
      <c r="T69" s="362">
        <v>3303291.0300000003</v>
      </c>
      <c r="U69" s="362">
        <v>3602276.7199999997</v>
      </c>
      <c r="V69" s="362">
        <v>3777296.29</v>
      </c>
      <c r="W69" s="362">
        <v>4204385</v>
      </c>
      <c r="X69" s="6"/>
      <c r="Y69" s="43" t="s">
        <v>53</v>
      </c>
      <c r="Z69" s="319">
        <v>193153.12</v>
      </c>
      <c r="AA69" s="319">
        <v>205207.67999999999</v>
      </c>
      <c r="AB69" s="319">
        <v>225859.14</v>
      </c>
      <c r="AC69" s="319">
        <v>289700.57</v>
      </c>
      <c r="AD69" s="319">
        <v>301268.21999999997</v>
      </c>
      <c r="AE69" s="319">
        <v>357234.77</v>
      </c>
      <c r="AF69" s="319">
        <v>381601.89</v>
      </c>
      <c r="AG69" s="319">
        <v>376348.8</v>
      </c>
      <c r="AH69" s="319">
        <v>403262.66</v>
      </c>
      <c r="AI69" s="319">
        <v>409033.76</v>
      </c>
      <c r="AJ69" s="319">
        <v>430052.27</v>
      </c>
      <c r="AK69" s="319">
        <v>419594.68</v>
      </c>
      <c r="AL69" s="319">
        <v>462813.44</v>
      </c>
      <c r="AM69" s="319">
        <v>522334.16</v>
      </c>
      <c r="AN69" s="319"/>
      <c r="AO69" s="319">
        <v>575755.75</v>
      </c>
      <c r="AP69" s="319">
        <v>568361.12</v>
      </c>
      <c r="AQ69" s="362">
        <v>567144.48</v>
      </c>
      <c r="AR69" s="753">
        <v>559240.49</v>
      </c>
      <c r="AS69" s="753">
        <v>620128.71000000008</v>
      </c>
      <c r="AT69" s="753">
        <v>573234.25</v>
      </c>
      <c r="AU69" s="753">
        <v>482000</v>
      </c>
      <c r="AV69" s="39"/>
      <c r="AW69" s="43" t="s">
        <v>53</v>
      </c>
      <c r="AX69" s="319">
        <v>543243.15</v>
      </c>
      <c r="AY69" s="319">
        <v>531125.76000000001</v>
      </c>
      <c r="AZ69" s="319">
        <v>555960.96</v>
      </c>
      <c r="BA69" s="319">
        <v>562359.93000000005</v>
      </c>
      <c r="BB69" s="319">
        <v>531649.80000000005</v>
      </c>
      <c r="BC69" s="319">
        <v>582856.73</v>
      </c>
      <c r="BD69" s="319">
        <v>920333.97</v>
      </c>
      <c r="BE69" s="319">
        <v>953416.96</v>
      </c>
      <c r="BF69" s="319">
        <v>1049651.6000000001</v>
      </c>
      <c r="BG69" s="319">
        <v>1078404.7</v>
      </c>
      <c r="BH69" s="319">
        <v>1065535.74</v>
      </c>
      <c r="BI69" s="319">
        <v>1098096.55</v>
      </c>
      <c r="BJ69" s="319">
        <v>1139246.02</v>
      </c>
      <c r="BK69" s="319">
        <v>1018919.54</v>
      </c>
      <c r="BL69" s="319"/>
      <c r="BM69" s="319">
        <v>1175077.03</v>
      </c>
      <c r="BN69" s="319">
        <v>1173466.04</v>
      </c>
      <c r="BO69" s="362">
        <v>1194368.8500000001</v>
      </c>
      <c r="BP69" s="753">
        <v>1269738.1200000001</v>
      </c>
      <c r="BQ69" s="753">
        <v>1324524.08</v>
      </c>
      <c r="BR69" s="753">
        <v>1335212.42</v>
      </c>
      <c r="BS69" s="753">
        <v>1363000</v>
      </c>
      <c r="BT69" s="286"/>
      <c r="BU69" s="43" t="s">
        <v>53</v>
      </c>
      <c r="BV69" s="319">
        <v>217297.26</v>
      </c>
      <c r="BW69" s="319">
        <v>144852.48000000001</v>
      </c>
      <c r="BX69" s="319">
        <v>486465.84</v>
      </c>
      <c r="BY69" s="319">
        <v>579401.14</v>
      </c>
      <c r="BZ69" s="319">
        <v>531649.80000000005</v>
      </c>
      <c r="CA69" s="319">
        <v>507649.41</v>
      </c>
      <c r="CB69" s="319">
        <v>112235.85</v>
      </c>
      <c r="CC69" s="319">
        <v>100359.67999999999</v>
      </c>
      <c r="CD69" s="319">
        <v>930772</v>
      </c>
      <c r="CE69" s="319">
        <v>1096336.02</v>
      </c>
      <c r="CF69" s="319">
        <v>950722.69000000018</v>
      </c>
      <c r="CG69" s="319">
        <v>943744.15</v>
      </c>
      <c r="CH69" s="319">
        <v>1093898.7200000002</v>
      </c>
      <c r="CI69" s="319">
        <v>967068.37</v>
      </c>
      <c r="CJ69" s="319"/>
      <c r="CK69" s="319">
        <v>1031590.1000000001</v>
      </c>
      <c r="CL69" s="319">
        <v>724675.79999999993</v>
      </c>
      <c r="CM69" s="362">
        <v>579101.5</v>
      </c>
      <c r="CN69" s="753">
        <v>668456.04999999993</v>
      </c>
      <c r="CO69" s="753">
        <v>624715.76</v>
      </c>
      <c r="CP69" s="753">
        <v>834351.53</v>
      </c>
      <c r="CQ69" s="753">
        <v>860785</v>
      </c>
      <c r="CR69" s="39"/>
      <c r="CS69" s="43" t="s">
        <v>53</v>
      </c>
      <c r="CT69" s="319">
        <v>217297.26</v>
      </c>
      <c r="CU69" s="319">
        <v>205207.67999999999</v>
      </c>
      <c r="CV69" s="319">
        <v>208485.36</v>
      </c>
      <c r="CW69" s="319">
        <v>221535.73</v>
      </c>
      <c r="CX69" s="319">
        <v>248103.24</v>
      </c>
      <c r="CY69" s="319">
        <v>300829.28000000003</v>
      </c>
      <c r="CZ69" s="319">
        <v>785650.95</v>
      </c>
      <c r="DA69" s="319">
        <v>1003596.8</v>
      </c>
      <c r="DB69" s="319">
        <v>337991.38</v>
      </c>
      <c r="DC69" s="319">
        <v>350525.35000000003</v>
      </c>
      <c r="DD69" s="319">
        <v>363805.73</v>
      </c>
      <c r="DE69" s="319">
        <v>365371.97</v>
      </c>
      <c r="DF69" s="319">
        <v>341289.07</v>
      </c>
      <c r="DG69" s="319">
        <v>394999.4</v>
      </c>
      <c r="DH69" s="319"/>
      <c r="DI69" s="319">
        <v>365019.35</v>
      </c>
      <c r="DJ69" s="319">
        <v>384872.80999999994</v>
      </c>
      <c r="DK69" s="362">
        <v>353436.57</v>
      </c>
      <c r="DL69" s="753">
        <v>357353.2</v>
      </c>
      <c r="DM69" s="753">
        <v>384582.07</v>
      </c>
      <c r="DN69" s="753">
        <v>371815.57</v>
      </c>
      <c r="DO69" s="753">
        <v>375100</v>
      </c>
      <c r="DP69" s="39"/>
      <c r="DQ69" s="43" t="s">
        <v>53</v>
      </c>
      <c r="DR69" s="319">
        <v>12072.07</v>
      </c>
      <c r="DS69" s="319">
        <v>12071.04</v>
      </c>
      <c r="DT69" s="319">
        <v>17373.78</v>
      </c>
      <c r="DU69" s="319">
        <v>17041.21</v>
      </c>
      <c r="DV69" s="319">
        <v>17721.66</v>
      </c>
      <c r="DW69" s="319">
        <v>0</v>
      </c>
      <c r="DX69" s="319">
        <v>0</v>
      </c>
      <c r="DY69" s="319">
        <v>0</v>
      </c>
      <c r="DZ69" s="319">
        <v>4823.74</v>
      </c>
      <c r="EA69" s="319">
        <v>12480.86</v>
      </c>
      <c r="EB69" s="319">
        <v>15292.22</v>
      </c>
      <c r="EC69" s="319">
        <v>7184.88</v>
      </c>
      <c r="ED69" s="319">
        <v>7116.78</v>
      </c>
      <c r="EE69" s="319">
        <v>3362.45</v>
      </c>
      <c r="EF69" s="319"/>
      <c r="EG69" s="319">
        <v>2030.49</v>
      </c>
      <c r="EH69" s="319">
        <v>1472.69</v>
      </c>
      <c r="EI69" s="362">
        <v>2104.36</v>
      </c>
      <c r="EJ69" s="753">
        <v>2346.56</v>
      </c>
      <c r="EK69" s="753">
        <v>3269.53</v>
      </c>
      <c r="EL69" s="753">
        <v>3834.86</v>
      </c>
      <c r="EM69" s="753">
        <v>4000</v>
      </c>
      <c r="EN69" s="39"/>
      <c r="EO69" s="43" t="s">
        <v>53</v>
      </c>
      <c r="EP69" s="319">
        <v>24144.14</v>
      </c>
      <c r="EQ69" s="319">
        <v>108639.36</v>
      </c>
      <c r="ER69" s="319">
        <v>243232.92</v>
      </c>
      <c r="ES69" s="319">
        <v>34082.42</v>
      </c>
      <c r="ET69" s="319">
        <v>141773.28</v>
      </c>
      <c r="EU69" s="319">
        <v>131612.81</v>
      </c>
      <c r="EV69" s="319">
        <v>44894.34</v>
      </c>
      <c r="EW69" s="319">
        <v>75269.759999999995</v>
      </c>
      <c r="EX69" s="319">
        <v>118093.79999999999</v>
      </c>
      <c r="EY69" s="319">
        <v>208511.91</v>
      </c>
      <c r="EZ69" s="319">
        <v>172272.38999999998</v>
      </c>
      <c r="FA69" s="319">
        <v>332710.63</v>
      </c>
      <c r="FB69" s="319">
        <v>162979.79</v>
      </c>
      <c r="FC69" s="319">
        <v>181321.61000000002</v>
      </c>
      <c r="FD69" s="319"/>
      <c r="FE69" s="319">
        <v>99351.43</v>
      </c>
      <c r="FF69" s="319">
        <v>216753.65999999997</v>
      </c>
      <c r="FG69" s="362">
        <v>121836.02000000002</v>
      </c>
      <c r="FH69" s="362">
        <v>145935.97000000003</v>
      </c>
      <c r="FI69" s="362">
        <v>49735.540000000008</v>
      </c>
      <c r="FJ69" s="362">
        <v>60594.61</v>
      </c>
      <c r="FK69" s="362">
        <v>50500</v>
      </c>
      <c r="FM69" s="43" t="s">
        <v>53</v>
      </c>
      <c r="FN69" s="319">
        <v>147698</v>
      </c>
      <c r="FO69" s="319">
        <v>6911</v>
      </c>
      <c r="FP69" s="319">
        <v>76704</v>
      </c>
      <c r="FQ69" s="319">
        <v>27810</v>
      </c>
      <c r="FR69" s="319">
        <v>-5494</v>
      </c>
      <c r="FS69" s="319">
        <v>22863</v>
      </c>
      <c r="FT69" s="319">
        <v>160647</v>
      </c>
      <c r="FU69" s="319">
        <v>254214</v>
      </c>
      <c r="FV69" s="319">
        <v>289263.56000000052</v>
      </c>
      <c r="FW69" s="319">
        <v>367270.83</v>
      </c>
      <c r="FX69" s="319">
        <v>50323.5</v>
      </c>
      <c r="FY69" s="319">
        <v>50940.67</v>
      </c>
      <c r="FZ69" s="319">
        <v>80589.81</v>
      </c>
      <c r="GA69" s="319">
        <v>592.95000000000005</v>
      </c>
      <c r="GB69" s="319"/>
      <c r="GC69" s="319">
        <v>16549.79</v>
      </c>
      <c r="GD69" s="319">
        <v>843.9</v>
      </c>
      <c r="GE69" s="319">
        <v>53834.45</v>
      </c>
      <c r="GF69" s="756">
        <v>172155.99</v>
      </c>
      <c r="GG69" s="756">
        <v>195270.77</v>
      </c>
      <c r="GH69" s="756">
        <v>51016.060000000522</v>
      </c>
      <c r="GI69" s="756">
        <v>13886.05999999959</v>
      </c>
      <c r="GJ69" s="42"/>
      <c r="GK69" s="570" t="s">
        <v>53</v>
      </c>
      <c r="GL69" s="571">
        <f>FN69/'4GF Expenditures'!B70</f>
        <v>0.12149264412537684</v>
      </c>
      <c r="GM69" s="571">
        <f>FO69/'4GF Expenditures'!C70</f>
        <v>5.1272691931320852E-3</v>
      </c>
      <c r="GN69" s="571">
        <f>FP69/'4GF Expenditures'!D70</f>
        <v>4.5997055622352082E-2</v>
      </c>
      <c r="GO69" s="571">
        <f>FQ69/'4GF Expenditures'!E70</f>
        <v>1.5864096998599555E-2</v>
      </c>
      <c r="GP69" s="571">
        <f>FR69/'4GF Expenditures'!F70</f>
        <v>-3.0429749594288466E-3</v>
      </c>
      <c r="GQ69" s="571">
        <f>FS69/'4GF Expenditures'!G70</f>
        <v>1.2291281270513021E-2</v>
      </c>
      <c r="GR69" s="571">
        <f>FT69/'4GF Expenditures'!H70</f>
        <v>7.62468117178801E-2</v>
      </c>
      <c r="GS69" s="571">
        <f>FU69/'4GF Expenditures'!I70</f>
        <v>0.10524607470734963</v>
      </c>
      <c r="GT69" s="571">
        <f>FV69/'4GF Expenditures'!J70</f>
        <v>0.1029560659028739</v>
      </c>
      <c r="GU69" s="571">
        <f>FW69/'4GF Expenditures'!K70</f>
        <v>0.11918604078539242</v>
      </c>
      <c r="GV69" s="571">
        <f>FX69/'4GF Expenditures'!L70</f>
        <v>1.518209765154413E-2</v>
      </c>
      <c r="GW69" s="571">
        <f>FY69/'4GF Expenditures'!M70</f>
        <v>1.6089795290527693E-2</v>
      </c>
      <c r="GX69" s="571">
        <f>FZ69/'4GF Expenditures'!N70</f>
        <v>2.5299922990607508E-2</v>
      </c>
      <c r="GY69" s="571">
        <f>GA69/'4GF Expenditures'!O70</f>
        <v>1.8592071860823833E-4</v>
      </c>
      <c r="GZ69" s="571" t="e">
        <f>GB69/'4GF Expenditures'!P70</f>
        <v>#DIV/0!</v>
      </c>
      <c r="HA69" s="571">
        <f>GC69/'4GF Expenditures'!Q70</f>
        <v>4.9931246968373047E-3</v>
      </c>
      <c r="HB69" s="571">
        <f>GD69/'4GF Expenditures'!R70</f>
        <v>2.4818139852803109E-4</v>
      </c>
      <c r="HC69" s="571">
        <f>GE69/'4GF Expenditures'!S70</f>
        <v>1.7679475205943606E-2</v>
      </c>
      <c r="HD69" s="571">
        <f>GF69/'4GF Expenditures'!T70</f>
        <v>5.4052350028691805E-2</v>
      </c>
      <c r="HE69" s="571">
        <f>GG69/'4GF Expenditures'!U70</f>
        <v>5.4568616970745012E-2</v>
      </c>
      <c r="HF69" s="571">
        <f>GH69/'4GF Expenditures'!V70</f>
        <v>1.3009153776146358E-2</v>
      </c>
      <c r="HG69" s="571">
        <f>GI69/'4GF Expenditures'!W70</f>
        <v>3.2738443692877641E-3</v>
      </c>
      <c r="HH69" s="571"/>
      <c r="HI69" s="571"/>
      <c r="HJ69" s="571"/>
      <c r="HK69" s="568"/>
      <c r="HL69" s="567" t="s">
        <v>53</v>
      </c>
      <c r="HM69" s="571">
        <f>B69/'4GF Expenditures'!B70</f>
        <v>0.99301798559671628</v>
      </c>
      <c r="HN69" s="571">
        <f>C69/'4GF Expenditures'!C70</f>
        <v>0.89555015947135186</v>
      </c>
      <c r="HO69" s="571">
        <f>D69/'4GF Expenditures'!D70</f>
        <v>1.0418527391407335</v>
      </c>
      <c r="HP69" s="571">
        <f>E69/'4GF Expenditures'!E70</f>
        <v>0.97210862428444711</v>
      </c>
      <c r="HQ69" s="571">
        <f>F69/'4GF Expenditures'!F70</f>
        <v>0.98155383362780879</v>
      </c>
      <c r="HR69" s="571">
        <f>G69/'4GF Expenditures'!G70</f>
        <v>1.0107972747687086</v>
      </c>
      <c r="HS69" s="571">
        <f>H69/'4GF Expenditures'!H70</f>
        <v>1.0653950242390127</v>
      </c>
      <c r="HT69" s="571">
        <f>I69/'4GF Expenditures'!I70</f>
        <v>1.0387372822588157</v>
      </c>
      <c r="HU69" s="571">
        <f>J69/'4GF Expenditures'!J70</f>
        <v>1.0124618836160246</v>
      </c>
      <c r="HV69" s="571">
        <f>K69/'4GF Expenditures'!K70</f>
        <v>1.0239496355140614</v>
      </c>
      <c r="HW69" s="571">
        <f>L69/'4GF Expenditures'!L70</f>
        <v>0.90437044874586181</v>
      </c>
      <c r="HX69" s="571">
        <f>M69/'4GF Expenditures'!M70</f>
        <v>1.0002145783188279</v>
      </c>
      <c r="HY69" s="571">
        <f>N69/'4GF Expenditures'!N70</f>
        <v>1.0093078884134081</v>
      </c>
      <c r="HZ69" s="571">
        <f>O69/'4GF Expenditures'!O70</f>
        <v>0.97491681643038619</v>
      </c>
      <c r="IA69" s="571" t="e">
        <f>P69/'4GF Expenditures'!P70</f>
        <v>#DIV/0!</v>
      </c>
      <c r="IB69" s="571">
        <f>Q69/'4GF Expenditures'!Q70</f>
        <v>1.0050428393510744</v>
      </c>
      <c r="IC69" s="571">
        <f>R69/'4GF Expenditures'!R70</f>
        <v>0.99546048018992206</v>
      </c>
      <c r="ID69" s="573">
        <f>S69/'4GF Expenditures'!S70</f>
        <v>1.0173596190828416</v>
      </c>
      <c r="IE69" s="572">
        <f>T69/'4GF Expenditures'!T70</f>
        <v>1.0371445280538767</v>
      </c>
      <c r="IF69" s="572">
        <f>U69/'4GF Expenditures'!U70</f>
        <v>1.0066599243517689</v>
      </c>
      <c r="IG69" s="572">
        <f>V69/'4GF Expenditures'!V70</f>
        <v>0.96321488360090191</v>
      </c>
      <c r="IH69" s="572">
        <f>W69/'4GF Expenditures'!W70</f>
        <v>0.99124605241287611</v>
      </c>
    </row>
    <row r="70" spans="1:458" ht="12.75" customHeight="1">
      <c r="A70" s="43" t="s">
        <v>54</v>
      </c>
      <c r="B70" s="321">
        <v>1386053</v>
      </c>
      <c r="C70" s="319">
        <v>1438937</v>
      </c>
      <c r="D70" s="319">
        <v>1552878</v>
      </c>
      <c r="E70" s="319">
        <v>1598029</v>
      </c>
      <c r="F70" s="319">
        <v>1750652</v>
      </c>
      <c r="G70" s="319">
        <v>1772106</v>
      </c>
      <c r="H70" s="319">
        <v>1814927</v>
      </c>
      <c r="I70" s="319">
        <v>2154364</v>
      </c>
      <c r="J70" s="319">
        <v>2818361.9300000006</v>
      </c>
      <c r="K70" s="319">
        <v>3242708.0599999996</v>
      </c>
      <c r="L70" s="319">
        <v>3057766.35</v>
      </c>
      <c r="M70" s="319">
        <v>3565383.75</v>
      </c>
      <c r="N70" s="319">
        <v>3489951.33</v>
      </c>
      <c r="O70" s="319">
        <v>3145783.72</v>
      </c>
      <c r="P70" s="319">
        <v>2535255.42</v>
      </c>
      <c r="Q70" s="319">
        <v>2192128.16</v>
      </c>
      <c r="R70" s="319"/>
      <c r="S70" s="362">
        <v>2432323.1700000004</v>
      </c>
      <c r="T70" s="362">
        <v>2379740.56</v>
      </c>
      <c r="U70" s="362">
        <v>2767131.46</v>
      </c>
      <c r="V70" s="362">
        <v>2872446.62</v>
      </c>
      <c r="W70" s="362">
        <v>2945850</v>
      </c>
      <c r="X70" s="6"/>
      <c r="Y70" s="43" t="s">
        <v>54</v>
      </c>
      <c r="Z70" s="319">
        <v>180186.89</v>
      </c>
      <c r="AA70" s="319">
        <v>215840.55</v>
      </c>
      <c r="AB70" s="319">
        <v>248460.48</v>
      </c>
      <c r="AC70" s="319">
        <v>271664.93</v>
      </c>
      <c r="AD70" s="319">
        <v>280104.32000000001</v>
      </c>
      <c r="AE70" s="319">
        <v>265815.90000000002</v>
      </c>
      <c r="AF70" s="319">
        <v>272239.05</v>
      </c>
      <c r="AG70" s="319">
        <v>301610.96000000002</v>
      </c>
      <c r="AH70" s="319">
        <v>324316.78000000003</v>
      </c>
      <c r="AI70" s="319">
        <v>361765.47</v>
      </c>
      <c r="AJ70" s="319">
        <v>351757.66</v>
      </c>
      <c r="AK70" s="319">
        <v>385476.29</v>
      </c>
      <c r="AL70" s="319">
        <v>410790.94</v>
      </c>
      <c r="AM70" s="319">
        <v>354094.85</v>
      </c>
      <c r="AN70" s="319">
        <v>384044.37</v>
      </c>
      <c r="AO70" s="319">
        <v>352746.5</v>
      </c>
      <c r="AP70" s="319"/>
      <c r="AQ70" s="362">
        <v>353557.91</v>
      </c>
      <c r="AR70" s="753">
        <v>394600.71</v>
      </c>
      <c r="AS70" s="753">
        <v>714674.57</v>
      </c>
      <c r="AT70" s="753">
        <v>569507.98</v>
      </c>
      <c r="AU70" s="753">
        <v>600000</v>
      </c>
      <c r="AV70" s="39"/>
      <c r="AW70" s="43" t="s">
        <v>54</v>
      </c>
      <c r="AX70" s="319">
        <v>679165.97</v>
      </c>
      <c r="AY70" s="319">
        <v>690689.76</v>
      </c>
      <c r="AZ70" s="319">
        <v>698795.1</v>
      </c>
      <c r="BA70" s="319">
        <v>767053.92</v>
      </c>
      <c r="BB70" s="319">
        <v>840312.96</v>
      </c>
      <c r="BC70" s="319">
        <v>832889.82</v>
      </c>
      <c r="BD70" s="319">
        <v>871164.96</v>
      </c>
      <c r="BE70" s="319">
        <v>861745.6</v>
      </c>
      <c r="BF70" s="319">
        <v>904736.55</v>
      </c>
      <c r="BG70" s="319">
        <v>935807.98</v>
      </c>
      <c r="BH70" s="319">
        <v>950750.35</v>
      </c>
      <c r="BI70" s="319">
        <v>1089892.1200000001</v>
      </c>
      <c r="BJ70" s="319">
        <v>1039064.43</v>
      </c>
      <c r="BK70" s="319">
        <v>943038.15</v>
      </c>
      <c r="BL70" s="319">
        <v>965179.79</v>
      </c>
      <c r="BM70" s="319">
        <v>983365.58</v>
      </c>
      <c r="BN70" s="319"/>
      <c r="BO70" s="362">
        <v>1013379.13</v>
      </c>
      <c r="BP70" s="753">
        <v>1160204.8799999999</v>
      </c>
      <c r="BQ70" s="753">
        <v>1215826.07</v>
      </c>
      <c r="BR70" s="753">
        <v>1288832.29</v>
      </c>
      <c r="BS70" s="753">
        <v>1305000</v>
      </c>
      <c r="BT70" s="286"/>
      <c r="BU70" s="43" t="s">
        <v>54</v>
      </c>
      <c r="BV70" s="319">
        <v>13860.53</v>
      </c>
      <c r="BW70" s="319">
        <v>28778.74</v>
      </c>
      <c r="BX70" s="319">
        <v>15528.78</v>
      </c>
      <c r="BY70" s="319">
        <v>15980.29</v>
      </c>
      <c r="BZ70" s="319">
        <v>35013.040000000001</v>
      </c>
      <c r="CA70" s="319">
        <v>17721.060000000001</v>
      </c>
      <c r="CB70" s="319">
        <v>18149.27</v>
      </c>
      <c r="CC70" s="319">
        <v>21543.64</v>
      </c>
      <c r="CD70" s="319">
        <v>2836.6</v>
      </c>
      <c r="CE70" s="319">
        <v>3529.45</v>
      </c>
      <c r="CF70" s="319">
        <v>0</v>
      </c>
      <c r="CG70" s="319">
        <v>17.5</v>
      </c>
      <c r="CH70" s="319">
        <v>62</v>
      </c>
      <c r="CI70" s="319">
        <v>0</v>
      </c>
      <c r="CJ70" s="319">
        <v>0</v>
      </c>
      <c r="CK70" s="319">
        <v>0</v>
      </c>
      <c r="CL70" s="319"/>
      <c r="CM70" s="362">
        <v>0</v>
      </c>
      <c r="CN70" s="753">
        <v>0</v>
      </c>
      <c r="CO70" s="753">
        <v>0</v>
      </c>
      <c r="CP70" s="753">
        <v>0</v>
      </c>
      <c r="CQ70" s="753">
        <v>0</v>
      </c>
      <c r="CR70" s="39"/>
      <c r="CS70" s="43" t="s">
        <v>54</v>
      </c>
      <c r="CT70" s="319">
        <v>304931.65999999997</v>
      </c>
      <c r="CU70" s="319">
        <v>345344.88</v>
      </c>
      <c r="CV70" s="319">
        <v>341633.16</v>
      </c>
      <c r="CW70" s="319">
        <v>447448.12</v>
      </c>
      <c r="CX70" s="319">
        <v>490182.56</v>
      </c>
      <c r="CY70" s="319">
        <v>372142.26</v>
      </c>
      <c r="CZ70" s="319">
        <v>471881.02</v>
      </c>
      <c r="DA70" s="319">
        <v>517047.36</v>
      </c>
      <c r="DB70" s="319">
        <v>485338.26999999996</v>
      </c>
      <c r="DC70" s="319">
        <v>507187.78</v>
      </c>
      <c r="DD70" s="319">
        <v>515636.66</v>
      </c>
      <c r="DE70" s="319">
        <v>562284.19999999984</v>
      </c>
      <c r="DF70" s="319">
        <v>539296.86</v>
      </c>
      <c r="DG70" s="319">
        <v>582969.62</v>
      </c>
      <c r="DH70" s="319">
        <v>580752.41999999993</v>
      </c>
      <c r="DI70" s="319">
        <v>559472.47000000009</v>
      </c>
      <c r="DJ70" s="319"/>
      <c r="DK70" s="362">
        <v>597472.76</v>
      </c>
      <c r="DL70" s="753">
        <v>565530.50999999989</v>
      </c>
      <c r="DM70" s="753">
        <v>624964.07000000007</v>
      </c>
      <c r="DN70" s="753">
        <v>603677.78</v>
      </c>
      <c r="DO70" s="753">
        <v>579200</v>
      </c>
      <c r="DP70" s="39"/>
      <c r="DQ70" s="43" t="s">
        <v>54</v>
      </c>
      <c r="DR70" s="319">
        <v>41581.589999999997</v>
      </c>
      <c r="DS70" s="319">
        <v>43168.11</v>
      </c>
      <c r="DT70" s="319">
        <v>31057.56</v>
      </c>
      <c r="DU70" s="319">
        <v>47940.87</v>
      </c>
      <c r="DV70" s="319">
        <v>35013.040000000001</v>
      </c>
      <c r="DW70" s="319">
        <v>53163.18</v>
      </c>
      <c r="DX70" s="319">
        <v>18149.27</v>
      </c>
      <c r="DY70" s="319">
        <v>21543.64</v>
      </c>
      <c r="DZ70" s="319">
        <v>27297.74</v>
      </c>
      <c r="EA70" s="319">
        <v>35424.93</v>
      </c>
      <c r="EB70" s="319">
        <v>67533.210000000006</v>
      </c>
      <c r="EC70" s="319">
        <v>96907.64</v>
      </c>
      <c r="ED70" s="319">
        <v>115620.4</v>
      </c>
      <c r="EE70" s="319">
        <v>83493.83</v>
      </c>
      <c r="EF70" s="319">
        <v>53961.84</v>
      </c>
      <c r="EG70" s="319">
        <v>44528.01</v>
      </c>
      <c r="EH70" s="319"/>
      <c r="EI70" s="362">
        <v>16221.03</v>
      </c>
      <c r="EJ70" s="753">
        <v>5711.93</v>
      </c>
      <c r="EK70" s="753">
        <v>5795.74</v>
      </c>
      <c r="EL70" s="753">
        <v>6325.64</v>
      </c>
      <c r="EM70" s="753">
        <v>6000</v>
      </c>
      <c r="EN70" s="39"/>
      <c r="EO70" s="43" t="s">
        <v>54</v>
      </c>
      <c r="EP70" s="319">
        <v>166326.35999999999</v>
      </c>
      <c r="EQ70" s="319">
        <v>115114.96</v>
      </c>
      <c r="ER70" s="319">
        <v>217402.92</v>
      </c>
      <c r="ES70" s="319">
        <v>47940.87</v>
      </c>
      <c r="ET70" s="319">
        <v>70026.080000000002</v>
      </c>
      <c r="EU70" s="319">
        <v>230373.78</v>
      </c>
      <c r="EV70" s="319">
        <v>163343.43</v>
      </c>
      <c r="EW70" s="319">
        <v>430872.8</v>
      </c>
      <c r="EX70" s="319">
        <v>935852.26000000013</v>
      </c>
      <c r="EY70" s="319">
        <v>1243331.94</v>
      </c>
      <c r="EZ70" s="319">
        <v>1002052.0499999999</v>
      </c>
      <c r="FA70" s="319">
        <v>1270079.77</v>
      </c>
      <c r="FB70" s="319">
        <v>1273236.03</v>
      </c>
      <c r="FC70" s="319">
        <v>987479.59</v>
      </c>
      <c r="FD70" s="319">
        <v>331190.96000000008</v>
      </c>
      <c r="FE70" s="319">
        <v>144943.43999999997</v>
      </c>
      <c r="FF70" s="319"/>
      <c r="FG70" s="362">
        <v>266722.27</v>
      </c>
      <c r="FH70" s="362">
        <v>196236.08000000002</v>
      </c>
      <c r="FI70" s="362">
        <v>146763.03</v>
      </c>
      <c r="FJ70" s="362">
        <v>339663.95999999996</v>
      </c>
      <c r="FK70" s="362">
        <v>391600</v>
      </c>
      <c r="FM70" s="43" t="s">
        <v>54</v>
      </c>
      <c r="FN70" s="321">
        <v>599410</v>
      </c>
      <c r="FO70" s="321">
        <v>574014</v>
      </c>
      <c r="FP70" s="319">
        <v>663235</v>
      </c>
      <c r="FQ70" s="319">
        <v>844321</v>
      </c>
      <c r="FR70" s="319">
        <v>1037116</v>
      </c>
      <c r="FS70" s="319">
        <v>857389</v>
      </c>
      <c r="FT70" s="319">
        <v>748887</v>
      </c>
      <c r="FU70" s="319">
        <v>832470</v>
      </c>
      <c r="FV70" s="319">
        <v>1060738.0300000005</v>
      </c>
      <c r="FW70" s="319">
        <v>1221436.3</v>
      </c>
      <c r="FX70" s="319">
        <v>1517388.57</v>
      </c>
      <c r="FY70" s="319">
        <v>2097562.17</v>
      </c>
      <c r="FZ70" s="319">
        <v>1831749.3</v>
      </c>
      <c r="GA70" s="319">
        <v>1817398.08</v>
      </c>
      <c r="GB70" s="319">
        <v>2286914.89</v>
      </c>
      <c r="GC70" s="319">
        <v>2430962.0099999998</v>
      </c>
      <c r="GD70" s="319"/>
      <c r="GE70" s="319">
        <v>1994044.55</v>
      </c>
      <c r="GF70" s="756">
        <v>1471421.38</v>
      </c>
      <c r="GG70" s="756">
        <v>1707603.55</v>
      </c>
      <c r="GH70" s="756">
        <v>1947295.1099999999</v>
      </c>
      <c r="GI70" s="756">
        <v>1893440.5600000005</v>
      </c>
      <c r="GJ70" s="42"/>
      <c r="GK70" s="570" t="s">
        <v>54</v>
      </c>
      <c r="GL70" s="571">
        <f>FN70/'4GF Expenditures'!B71</f>
        <v>0.41866455638292149</v>
      </c>
      <c r="GM70" s="571">
        <f>FO70/'4GF Expenditures'!C71</f>
        <v>0.39199690234393408</v>
      </c>
      <c r="GN70" s="571">
        <f>FP70/'4GF Expenditures'!D71</f>
        <v>0.45313553653622402</v>
      </c>
      <c r="GO70" s="571">
        <f>FQ70/'4GF Expenditures'!E71</f>
        <v>0.59587506342880414</v>
      </c>
      <c r="GP70" s="571">
        <f>FR70/'4GF Expenditures'!F71</f>
        <v>0.66573247737115793</v>
      </c>
      <c r="GQ70" s="571">
        <f>FS70/'4GF Expenditures'!G71</f>
        <v>0.43927374934228491</v>
      </c>
      <c r="GR70" s="571">
        <f>FT70/'4GF Expenditures'!H71</f>
        <v>0.3893499578097242</v>
      </c>
      <c r="GS70" s="571">
        <f>FU70/'4GF Expenditures'!I71</f>
        <v>0.40200793903746412</v>
      </c>
      <c r="GT70" s="571">
        <f>FV70/'4GF Expenditures'!J71</f>
        <v>0.4133182416603392</v>
      </c>
      <c r="GU70" s="571">
        <f>FW70/'4GF Expenditures'!K71</f>
        <v>0.39709325194535533</v>
      </c>
      <c r="GV70" s="571">
        <f>FX70/'4GF Expenditures'!L71</f>
        <v>0.54867192136623855</v>
      </c>
      <c r="GW70" s="571">
        <f>FY70/'4GF Expenditures'!M71</f>
        <v>0.70477970655603472</v>
      </c>
      <c r="GX70" s="571">
        <f>FZ70/'4GF Expenditures'!N71</f>
        <v>0.48814579554848919</v>
      </c>
      <c r="GY70" s="571">
        <f>GA70/'4GF Expenditures'!O71</f>
        <v>0.57336705330809623</v>
      </c>
      <c r="GZ70" s="571">
        <f>GB70/'4GF Expenditures'!P71</f>
        <v>0.8016567261155404</v>
      </c>
      <c r="HA70" s="571">
        <f>GC70/'4GF Expenditures'!Q71</f>
        <v>1.1888692952516227</v>
      </c>
      <c r="HB70" s="571" t="e">
        <f>GD70/'4GF Expenditures'!R71</f>
        <v>#DIV/0!</v>
      </c>
      <c r="HC70" s="571">
        <f>GE70/'4GF Expenditures'!S71</f>
        <v>0.72245689812104574</v>
      </c>
      <c r="HD70" s="571">
        <f>GF70/'4GF Expenditures'!T71</f>
        <v>0.50697345918114811</v>
      </c>
      <c r="HE70" s="571">
        <f>GG70/'4GF Expenditures'!U71</f>
        <v>0.67468896225890007</v>
      </c>
      <c r="HF70" s="571">
        <f>GH70/'4GF Expenditures'!V71</f>
        <v>0.7395825867890552</v>
      </c>
      <c r="HG70" s="571">
        <f>GI70/'4GF Expenditures'!W71</f>
        <v>0.63120901690134801</v>
      </c>
      <c r="HH70" s="571"/>
      <c r="HI70" s="571"/>
      <c r="HJ70" s="571"/>
      <c r="HK70" s="568"/>
      <c r="HL70" s="567" t="s">
        <v>54</v>
      </c>
      <c r="HM70" s="571">
        <f>B70/'4GF Expenditures'!B71</f>
        <v>0.96810407628871309</v>
      </c>
      <c r="HN70" s="571">
        <f>C70/'4GF Expenditures'!C71</f>
        <v>0.98265695029750744</v>
      </c>
      <c r="HO70" s="571">
        <f>D70/'4GF Expenditures'!D71</f>
        <v>1.0609575877408437</v>
      </c>
      <c r="HP70" s="571">
        <f>E70/'4GF Expenditures'!E71</f>
        <v>1.1278004831528157</v>
      </c>
      <c r="HQ70" s="571">
        <f>F70/'4GF Expenditures'!F71</f>
        <v>1.1237565450487432</v>
      </c>
      <c r="HR70" s="571">
        <f>G70/'4GF Expenditures'!G71</f>
        <v>0.90791886396018506</v>
      </c>
      <c r="HS70" s="571">
        <f>H70/'4GF Expenditures'!H71</f>
        <v>0.94358928767321282</v>
      </c>
      <c r="HT70" s="571">
        <f>I70/'4GF Expenditures'!I71</f>
        <v>1.0403635345135649</v>
      </c>
      <c r="HU70" s="571">
        <f>J70/'4GF Expenditures'!J71</f>
        <v>1.0981791585902125</v>
      </c>
      <c r="HV70" s="571">
        <f>K70/'4GF Expenditures'!K71</f>
        <v>1.0542158347961446</v>
      </c>
      <c r="HW70" s="571">
        <f>L70/'4GF Expenditures'!L71</f>
        <v>1.1056565019094156</v>
      </c>
      <c r="HX70" s="571">
        <f>M70/'4GF Expenditures'!M71</f>
        <v>1.1979669299073288</v>
      </c>
      <c r="HY70" s="571">
        <f>N70/'4GF Expenditures'!N71</f>
        <v>0.93004270202715944</v>
      </c>
      <c r="HZ70" s="571">
        <f>O70/'4GF Expenditures'!O71</f>
        <v>0.99245661241205951</v>
      </c>
      <c r="IA70" s="571">
        <f>P70/'4GF Expenditures'!P71</f>
        <v>0.88871018713944316</v>
      </c>
      <c r="IB70" s="571">
        <f>Q70/'4GF Expenditures'!Q71</f>
        <v>1.0720668813250755</v>
      </c>
      <c r="IC70" s="571" t="e">
        <f>R70/'4GF Expenditures'!R71</f>
        <v>#DIV/0!</v>
      </c>
      <c r="ID70" s="573">
        <f>S70/'4GF Expenditures'!S71</f>
        <v>0.88124844182952133</v>
      </c>
      <c r="IE70" s="572">
        <f>T70/'4GF Expenditures'!T71</f>
        <v>0.81993188358924263</v>
      </c>
      <c r="IF70" s="572">
        <f>U70/'4GF Expenditures'!U71</f>
        <v>1.0933176223376644</v>
      </c>
      <c r="IG70" s="572">
        <f>V70/'4GF Expenditures'!V71</f>
        <v>1.0909550846831215</v>
      </c>
      <c r="IH70" s="572">
        <f>W70/'4GF Expenditures'!W71</f>
        <v>0.98204671523400533</v>
      </c>
    </row>
    <row r="71" spans="1:458" s="797" customFormat="1" ht="15">
      <c r="A71" s="784" t="s">
        <v>513</v>
      </c>
      <c r="B71" s="785">
        <v>2297256</v>
      </c>
      <c r="C71" s="785">
        <v>2402348</v>
      </c>
      <c r="D71" s="786"/>
      <c r="E71" s="786"/>
      <c r="F71" s="786"/>
      <c r="G71" s="787"/>
      <c r="H71" s="786"/>
      <c r="I71" s="786"/>
      <c r="J71" s="786"/>
      <c r="K71" s="786"/>
      <c r="L71" s="786"/>
      <c r="M71" s="786">
        <v>4521747.16</v>
      </c>
      <c r="N71" s="788"/>
      <c r="O71" s="788">
        <v>4456441.68</v>
      </c>
      <c r="P71" s="642"/>
      <c r="Q71" s="643">
        <v>4693059.51</v>
      </c>
      <c r="R71" s="643"/>
      <c r="S71" s="644">
        <v>5027666.0599999996</v>
      </c>
      <c r="T71" s="644">
        <v>5583390.3700000001</v>
      </c>
      <c r="U71" s="644">
        <v>5158892.1500000004</v>
      </c>
      <c r="V71" s="644">
        <v>4791060.9800000004</v>
      </c>
      <c r="W71" s="644">
        <v>5217010</v>
      </c>
      <c r="X71" s="789"/>
      <c r="Y71" s="790" t="s">
        <v>513</v>
      </c>
      <c r="Z71" s="798">
        <v>459451.2</v>
      </c>
      <c r="AA71" s="798">
        <v>504493.08</v>
      </c>
      <c r="AB71" s="642"/>
      <c r="AC71" s="642"/>
      <c r="AD71" s="642"/>
      <c r="AE71" s="642"/>
      <c r="AF71" s="642"/>
      <c r="AG71" s="642"/>
      <c r="AH71" s="642"/>
      <c r="AI71" s="642"/>
      <c r="AJ71" s="642"/>
      <c r="AK71" s="642">
        <v>558556.66</v>
      </c>
      <c r="AL71" s="642"/>
      <c r="AM71" s="642">
        <v>572420.43000000005</v>
      </c>
      <c r="AN71" s="642"/>
      <c r="AO71" s="643">
        <v>647725.31999999995</v>
      </c>
      <c r="AP71" s="643"/>
      <c r="AQ71" s="644">
        <v>672360</v>
      </c>
      <c r="AR71" s="644">
        <v>695328.8</v>
      </c>
      <c r="AS71" s="644">
        <v>823641.41</v>
      </c>
      <c r="AT71" s="644">
        <v>637601.52</v>
      </c>
      <c r="AU71" s="644">
        <v>650000</v>
      </c>
      <c r="AV71" s="791"/>
      <c r="AW71" s="790" t="s">
        <v>513</v>
      </c>
      <c r="AX71" s="642">
        <v>1033765.2</v>
      </c>
      <c r="AY71" s="642">
        <v>984962.68</v>
      </c>
      <c r="AZ71" s="642"/>
      <c r="BA71" s="642"/>
      <c r="BB71" s="642"/>
      <c r="BC71" s="642"/>
      <c r="BD71" s="642"/>
      <c r="BE71" s="642"/>
      <c r="BF71" s="642"/>
      <c r="BG71" s="642"/>
      <c r="BH71" s="642"/>
      <c r="BI71" s="642">
        <v>2825423.51</v>
      </c>
      <c r="BJ71" s="642"/>
      <c r="BK71" s="642">
        <v>2788204.11</v>
      </c>
      <c r="BL71" s="642"/>
      <c r="BM71" s="643">
        <v>2992466.84</v>
      </c>
      <c r="BN71" s="643"/>
      <c r="BO71" s="644">
        <v>2892216.88</v>
      </c>
      <c r="BP71" s="644">
        <v>3050232.43</v>
      </c>
      <c r="BQ71" s="644">
        <v>3131481.4</v>
      </c>
      <c r="BR71" s="644">
        <v>3005541.23</v>
      </c>
      <c r="BS71" s="644">
        <v>3000000</v>
      </c>
      <c r="BT71" s="286"/>
      <c r="BU71" s="790" t="s">
        <v>513</v>
      </c>
      <c r="BV71" s="642">
        <v>367560.96000000002</v>
      </c>
      <c r="BW71" s="642">
        <v>456446.12</v>
      </c>
      <c r="BX71" s="642"/>
      <c r="BY71" s="642"/>
      <c r="BZ71" s="642"/>
      <c r="CA71" s="642"/>
      <c r="CB71" s="642"/>
      <c r="CC71" s="642"/>
      <c r="CD71" s="642"/>
      <c r="CE71" s="642"/>
      <c r="CF71" s="642"/>
      <c r="CG71" s="642">
        <v>573197.4</v>
      </c>
      <c r="CH71" s="642"/>
      <c r="CI71" s="642">
        <v>548959.15000000014</v>
      </c>
      <c r="CJ71" s="642"/>
      <c r="CK71" s="643">
        <v>431751.17</v>
      </c>
      <c r="CL71" s="643"/>
      <c r="CM71" s="644">
        <v>636325.11</v>
      </c>
      <c r="CN71" s="644">
        <v>1096985.1900000002</v>
      </c>
      <c r="CO71" s="644">
        <v>471051.19</v>
      </c>
      <c r="CP71" s="644">
        <v>518688.81</v>
      </c>
      <c r="CQ71" s="644">
        <v>973000</v>
      </c>
      <c r="CR71" s="791"/>
      <c r="CS71" s="790" t="s">
        <v>513</v>
      </c>
      <c r="CT71" s="642">
        <v>298643.28000000003</v>
      </c>
      <c r="CU71" s="642">
        <v>288281.76</v>
      </c>
      <c r="CV71" s="642"/>
      <c r="CW71" s="642"/>
      <c r="CX71" s="642"/>
      <c r="CY71" s="642"/>
      <c r="CZ71" s="642"/>
      <c r="DA71" s="642"/>
      <c r="DB71" s="642"/>
      <c r="DC71" s="642"/>
      <c r="DD71" s="642"/>
      <c r="DE71" s="642">
        <v>426216.08</v>
      </c>
      <c r="DF71" s="642"/>
      <c r="DG71" s="642">
        <v>439067.54</v>
      </c>
      <c r="DH71" s="642"/>
      <c r="DI71" s="643">
        <v>434628.43999999994</v>
      </c>
      <c r="DJ71" s="643"/>
      <c r="DK71" s="644">
        <v>548561.41999999993</v>
      </c>
      <c r="DL71" s="644">
        <v>577527.93999999994</v>
      </c>
      <c r="DM71" s="644">
        <v>605664.33999999985</v>
      </c>
      <c r="DN71" s="644">
        <v>523280.85000000003</v>
      </c>
      <c r="DO71" s="644">
        <v>529000</v>
      </c>
      <c r="DP71" s="791"/>
      <c r="DQ71" s="790" t="s">
        <v>513</v>
      </c>
      <c r="DR71" s="642">
        <v>91890.240000000005</v>
      </c>
      <c r="DS71" s="642">
        <v>96093.92</v>
      </c>
      <c r="DT71" s="642"/>
      <c r="DU71" s="642"/>
      <c r="DV71" s="642"/>
      <c r="DW71" s="642"/>
      <c r="DX71" s="642"/>
      <c r="DY71" s="642"/>
      <c r="DZ71" s="642"/>
      <c r="EA71" s="642"/>
      <c r="EB71" s="642"/>
      <c r="EC71" s="642">
        <v>83107.37</v>
      </c>
      <c r="ED71" s="642"/>
      <c r="EE71" s="642">
        <v>37814.559999999998</v>
      </c>
      <c r="EF71" s="642"/>
      <c r="EG71" s="643">
        <v>10734.47</v>
      </c>
      <c r="EH71" s="643"/>
      <c r="EI71" s="644">
        <v>2652.43</v>
      </c>
      <c r="EJ71" s="644">
        <v>0</v>
      </c>
      <c r="EK71" s="644">
        <v>0</v>
      </c>
      <c r="EL71" s="644">
        <v>6.74</v>
      </c>
      <c r="EM71" s="644">
        <v>1500</v>
      </c>
      <c r="EN71" s="791"/>
      <c r="EO71" s="790" t="s">
        <v>513</v>
      </c>
      <c r="EP71" s="642">
        <v>45945.120000000003</v>
      </c>
      <c r="EQ71" s="642">
        <v>72070.44</v>
      </c>
      <c r="ER71" s="642"/>
      <c r="ES71" s="642"/>
      <c r="ET71" s="642"/>
      <c r="EU71" s="642"/>
      <c r="EV71" s="642"/>
      <c r="EW71" s="642"/>
      <c r="EX71" s="642"/>
      <c r="EY71" s="642"/>
      <c r="EZ71" s="642"/>
      <c r="FA71" s="642">
        <v>48800.22</v>
      </c>
      <c r="FB71" s="642"/>
      <c r="FC71" s="642">
        <v>53225.89</v>
      </c>
      <c r="FD71" s="642"/>
      <c r="FE71" s="642">
        <v>126753.26999999999</v>
      </c>
      <c r="FF71" s="642"/>
      <c r="FG71" s="642">
        <v>190550.22000000003</v>
      </c>
      <c r="FH71" s="642">
        <v>16119.21</v>
      </c>
      <c r="FI71" s="642">
        <v>20293.809999999998</v>
      </c>
      <c r="FJ71" s="642">
        <v>19473.830000000002</v>
      </c>
      <c r="FK71" s="642">
        <v>26900</v>
      </c>
      <c r="FL71" s="792"/>
      <c r="FM71" s="793" t="s">
        <v>513</v>
      </c>
      <c r="FN71" s="785">
        <v>1619920</v>
      </c>
      <c r="FO71" s="785">
        <v>1827898</v>
      </c>
      <c r="FP71" s="786"/>
      <c r="FQ71" s="786"/>
      <c r="FR71" s="786"/>
      <c r="FS71" s="787"/>
      <c r="FT71" s="786"/>
      <c r="FU71" s="786"/>
      <c r="FV71" s="786"/>
      <c r="FW71" s="786"/>
      <c r="FX71" s="786"/>
      <c r="FY71" s="786">
        <v>2637743.79</v>
      </c>
      <c r="FZ71" s="786"/>
      <c r="GA71" s="642">
        <v>3293992.82</v>
      </c>
      <c r="GB71" s="642"/>
      <c r="GC71" s="643">
        <v>3343220.74</v>
      </c>
      <c r="GD71" s="643"/>
      <c r="GE71" s="644">
        <v>3718909.48</v>
      </c>
      <c r="GF71" s="644">
        <v>3670986.78</v>
      </c>
      <c r="GG71" s="644">
        <v>4287418.3</v>
      </c>
      <c r="GH71" s="644">
        <v>3627525.9500000011</v>
      </c>
      <c r="GI71" s="644">
        <v>2093129.0999999996</v>
      </c>
      <c r="GJ71" s="794"/>
      <c r="GK71" s="795" t="s">
        <v>513</v>
      </c>
      <c r="GL71" s="571">
        <f>FN71/'4GF Expenditures'!B72</f>
        <v>0.80005808115854127</v>
      </c>
      <c r="GM71" s="571">
        <f>FO71/'4GF Expenditures'!C72</f>
        <v>0.8329944357606055</v>
      </c>
      <c r="GN71" s="571" t="e">
        <f>FP71/'4GF Expenditures'!D72</f>
        <v>#DIV/0!</v>
      </c>
      <c r="GO71" s="571" t="e">
        <f>FQ71/'4GF Expenditures'!E72</f>
        <v>#DIV/0!</v>
      </c>
      <c r="GP71" s="571" t="e">
        <f>FR71/'4GF Expenditures'!F72</f>
        <v>#DIV/0!</v>
      </c>
      <c r="GQ71" s="571" t="e">
        <f>FS71/'4GF Expenditures'!G72</f>
        <v>#DIV/0!</v>
      </c>
      <c r="GR71" s="571" t="e">
        <f>FT71/'4GF Expenditures'!H72</f>
        <v>#DIV/0!</v>
      </c>
      <c r="GS71" s="571" t="e">
        <f>FU71/'4GF Expenditures'!I72</f>
        <v>#DIV/0!</v>
      </c>
      <c r="GT71" s="571" t="e">
        <f>FV71/'4GF Expenditures'!J72</f>
        <v>#DIV/0!</v>
      </c>
      <c r="GU71" s="571" t="e">
        <f>FW71/'4GF Expenditures'!K72</f>
        <v>#DIV/0!</v>
      </c>
      <c r="GV71" s="571" t="e">
        <f>FX71/'4GF Expenditures'!L72</f>
        <v>#DIV/0!</v>
      </c>
      <c r="GW71" s="571">
        <f>FY71/'4GF Expenditures'!M72</f>
        <v>0.66874288062233667</v>
      </c>
      <c r="GX71" s="571" t="e">
        <f>FZ71/'4GF Expenditures'!N72</f>
        <v>#DIV/0!</v>
      </c>
      <c r="GY71" s="571">
        <f>GA71/'4GF Expenditures'!O72</f>
        <v>0.80261680646853251</v>
      </c>
      <c r="GZ71" s="571" t="e">
        <f>GB71/'4GF Expenditures'!P72</f>
        <v>#DIV/0!</v>
      </c>
      <c r="HA71" s="571">
        <f>GC71/'4GF Expenditures'!Q72</f>
        <v>0.72611787506657821</v>
      </c>
      <c r="HB71" s="571" t="e">
        <f>GD71/'4GF Expenditures'!R72</f>
        <v>#DIV/0!</v>
      </c>
      <c r="HC71" s="571">
        <f>GE71/'4GF Expenditures'!S72</f>
        <v>0.79642384099237773</v>
      </c>
      <c r="HD71" s="571">
        <f>GF71/'4GF Expenditures'!T72</f>
        <v>0.65188824246988641</v>
      </c>
      <c r="HE71" s="571">
        <f>GG71/'4GF Expenditures'!U72</f>
        <v>0.93501781094029701</v>
      </c>
      <c r="HF71" s="571">
        <f>GH71/'4GF Expenditures'!V72</f>
        <v>0.65949123339620686</v>
      </c>
      <c r="HG71" s="571">
        <f>GI71/'4GF Expenditures'!W72</f>
        <v>0.31002858315374665</v>
      </c>
      <c r="HH71" s="571"/>
      <c r="HI71" s="571"/>
      <c r="HJ71" s="571"/>
      <c r="HK71" s="794"/>
      <c r="HL71" s="795" t="s">
        <v>513</v>
      </c>
      <c r="HM71" s="796">
        <f>B71/'4GF Expenditures'!B72</f>
        <v>1.1345857988604042</v>
      </c>
      <c r="HN71" s="796">
        <f>C71/'4GF Expenditures'!C72</f>
        <v>1.0947780000637997</v>
      </c>
      <c r="HO71" s="796" t="e">
        <f>D71/'4GF Expenditures'!D72</f>
        <v>#DIV/0!</v>
      </c>
      <c r="HP71" s="796" t="e">
        <f>E71/'4GF Expenditures'!E72</f>
        <v>#DIV/0!</v>
      </c>
      <c r="HQ71" s="796" t="e">
        <f>F71/'4GF Expenditures'!F72</f>
        <v>#DIV/0!</v>
      </c>
      <c r="HR71" s="796" t="e">
        <f>G71/'4GF Expenditures'!G72</f>
        <v>#DIV/0!</v>
      </c>
      <c r="HS71" s="796" t="e">
        <f>H71/'4GF Expenditures'!H72</f>
        <v>#DIV/0!</v>
      </c>
      <c r="HT71" s="796" t="e">
        <f>I71/'4GF Expenditures'!I72</f>
        <v>#DIV/0!</v>
      </c>
      <c r="HU71" s="796" t="e">
        <f>J71/'4GF Expenditures'!J72</f>
        <v>#DIV/0!</v>
      </c>
      <c r="HV71" s="571" t="e">
        <f>K71/'4GF Expenditures'!K72</f>
        <v>#DIV/0!</v>
      </c>
      <c r="HW71" s="571" t="e">
        <f>L71/'4GF Expenditures'!L72</f>
        <v>#DIV/0!</v>
      </c>
      <c r="HX71" s="571">
        <f>M71/'4GF Expenditures'!M72</f>
        <v>1.14639118199735</v>
      </c>
      <c r="HY71" s="571" t="e">
        <f>N71/'4GF Expenditures'!N72</f>
        <v>#DIV/0!</v>
      </c>
      <c r="HZ71" s="571">
        <f>O71/'4GF Expenditures'!O72</f>
        <v>1.0858599835730247</v>
      </c>
      <c r="IA71" s="571" t="e">
        <f>P71/'4GF Expenditures'!P72</f>
        <v>#DIV/0!</v>
      </c>
      <c r="IB71" s="571">
        <f>Q71/'4GF Expenditures'!Q72</f>
        <v>1.0192908766658932</v>
      </c>
      <c r="IC71" s="571" t="e">
        <f>R71/'4GF Expenditures'!R72</f>
        <v>#DIV/0!</v>
      </c>
      <c r="ID71" s="573">
        <f>S71/'4GF Expenditures'!S72</f>
        <v>1.0767008813379921</v>
      </c>
      <c r="IE71" s="572">
        <f>T71/'4GF Expenditures'!T72</f>
        <v>0.99148995990734368</v>
      </c>
      <c r="IF71" s="884">
        <f>U71/'4GF Expenditures'!U72</f>
        <v>1.1250724112853843</v>
      </c>
      <c r="IG71" s="884">
        <f>V71/'4GF Expenditures'!V72</f>
        <v>0.8710241521433193</v>
      </c>
      <c r="IH71" s="884">
        <f>W71/'4GF Expenditures'!W72</f>
        <v>0.77272931640906817</v>
      </c>
      <c r="II71" s="795"/>
      <c r="IJ71" s="795"/>
      <c r="IK71" s="795"/>
      <c r="IL71" s="795"/>
      <c r="IM71" s="795"/>
      <c r="IN71" s="795"/>
      <c r="IO71" s="795"/>
      <c r="IP71" s="795"/>
      <c r="IQ71" s="795"/>
      <c r="IR71" s="795"/>
      <c r="IS71" s="795"/>
      <c r="IT71" s="795"/>
      <c r="IU71" s="795"/>
      <c r="IV71" s="795"/>
      <c r="IW71" s="795"/>
      <c r="IX71" s="795"/>
      <c r="IY71" s="794"/>
      <c r="IZ71" s="795"/>
      <c r="JA71" s="795"/>
      <c r="JB71" s="795"/>
      <c r="JC71" s="795"/>
      <c r="JD71" s="795"/>
      <c r="JE71" s="795"/>
      <c r="JF71" s="795"/>
      <c r="JG71" s="795"/>
      <c r="JH71" s="795"/>
      <c r="JI71" s="795"/>
      <c r="JJ71" s="795"/>
      <c r="JK71" s="795"/>
      <c r="JL71" s="795"/>
      <c r="JM71" s="795"/>
      <c r="JN71" s="795"/>
      <c r="JO71" s="795"/>
      <c r="JP71" s="795"/>
      <c r="JQ71" s="795"/>
      <c r="JR71" s="795"/>
      <c r="JS71" s="794"/>
      <c r="JT71" s="795"/>
      <c r="JU71" s="795"/>
      <c r="JV71" s="795"/>
      <c r="JW71" s="795"/>
      <c r="JX71" s="795"/>
      <c r="JY71" s="795"/>
      <c r="JZ71" s="795"/>
      <c r="KA71" s="795"/>
      <c r="KB71" s="795"/>
      <c r="KC71" s="795"/>
      <c r="KD71" s="795"/>
      <c r="KE71" s="795"/>
      <c r="KF71" s="795"/>
      <c r="KG71" s="795"/>
      <c r="KH71" s="795"/>
      <c r="KI71" s="795"/>
      <c r="KJ71" s="795"/>
      <c r="KK71" s="795"/>
      <c r="KL71" s="795"/>
      <c r="KM71" s="794"/>
      <c r="KN71" s="795"/>
      <c r="KO71" s="795"/>
      <c r="KP71" s="795"/>
      <c r="KQ71" s="795"/>
      <c r="KR71" s="795"/>
      <c r="KS71" s="795"/>
      <c r="KT71" s="795"/>
      <c r="KU71" s="795"/>
      <c r="KV71" s="795"/>
      <c r="KW71" s="795"/>
      <c r="KX71" s="795"/>
      <c r="KY71" s="795"/>
      <c r="KZ71" s="795"/>
      <c r="LA71" s="795"/>
      <c r="LB71" s="795"/>
      <c r="LC71" s="795"/>
      <c r="LD71" s="795"/>
      <c r="LE71" s="795"/>
      <c r="LF71" s="795"/>
      <c r="LG71" s="794"/>
      <c r="LH71" s="795"/>
      <c r="LI71" s="795"/>
      <c r="LJ71" s="795"/>
      <c r="LK71" s="795"/>
      <c r="LL71" s="795"/>
      <c r="LM71" s="795"/>
      <c r="LN71" s="795"/>
      <c r="LO71" s="795"/>
      <c r="LP71" s="795"/>
      <c r="LQ71" s="795"/>
      <c r="LR71" s="795"/>
      <c r="LS71" s="795"/>
      <c r="LT71" s="795"/>
      <c r="LU71" s="795"/>
      <c r="LV71" s="795"/>
      <c r="LW71" s="795"/>
      <c r="LX71" s="795"/>
      <c r="LY71" s="795"/>
      <c r="LZ71" s="795"/>
      <c r="MA71" s="794"/>
      <c r="MB71" s="795"/>
      <c r="MC71" s="795"/>
      <c r="MD71" s="795"/>
      <c r="ME71" s="795"/>
      <c r="MF71" s="795"/>
      <c r="MG71" s="795"/>
      <c r="MH71" s="795"/>
      <c r="MI71" s="795"/>
      <c r="MJ71" s="795"/>
      <c r="MK71" s="795"/>
      <c r="ML71" s="795"/>
      <c r="MM71" s="795"/>
      <c r="MN71" s="795"/>
      <c r="MO71" s="795"/>
      <c r="MP71" s="795"/>
      <c r="MQ71" s="795"/>
      <c r="MR71" s="795"/>
      <c r="MS71" s="795"/>
      <c r="MT71" s="795"/>
      <c r="MU71" s="794"/>
      <c r="MV71" s="795"/>
      <c r="MW71" s="795"/>
      <c r="MX71" s="795"/>
      <c r="MY71" s="795"/>
      <c r="MZ71" s="795"/>
      <c r="NA71" s="795"/>
      <c r="NB71" s="795"/>
      <c r="NC71" s="795"/>
      <c r="ND71" s="795"/>
      <c r="NE71" s="795"/>
      <c r="NF71" s="795"/>
      <c r="NG71" s="795"/>
      <c r="NH71" s="795"/>
      <c r="NI71" s="795"/>
      <c r="NJ71" s="795"/>
      <c r="NK71" s="795"/>
      <c r="NL71" s="795"/>
      <c r="NM71" s="795"/>
      <c r="NN71" s="795"/>
      <c r="NO71" s="794"/>
      <c r="NP71" s="795"/>
      <c r="NQ71" s="795"/>
      <c r="NR71" s="795"/>
      <c r="NS71" s="795"/>
      <c r="NT71" s="795"/>
      <c r="NU71" s="795"/>
      <c r="NV71" s="795"/>
      <c r="NW71" s="795"/>
      <c r="NX71" s="795"/>
      <c r="NY71" s="795"/>
      <c r="NZ71" s="795"/>
      <c r="OA71" s="795"/>
      <c r="OB71" s="795"/>
      <c r="OC71" s="795"/>
      <c r="OD71" s="795"/>
      <c r="OE71" s="795"/>
      <c r="OF71" s="795"/>
      <c r="OG71" s="795"/>
      <c r="OH71" s="795"/>
      <c r="OI71" s="794"/>
      <c r="OJ71" s="795"/>
      <c r="OK71" s="795"/>
      <c r="OL71" s="795"/>
      <c r="OM71" s="795"/>
      <c r="ON71" s="795"/>
      <c r="OO71" s="795"/>
      <c r="OP71" s="795"/>
      <c r="OQ71" s="795"/>
      <c r="OR71" s="795"/>
      <c r="OS71" s="795"/>
      <c r="OT71" s="795"/>
      <c r="OU71" s="795"/>
      <c r="OV71" s="795"/>
      <c r="OW71" s="795"/>
      <c r="OX71" s="795"/>
      <c r="OY71" s="795"/>
      <c r="OZ71" s="795"/>
      <c r="PA71" s="795"/>
      <c r="PB71" s="795"/>
      <c r="PC71" s="794"/>
      <c r="PD71" s="795"/>
      <c r="PE71" s="795"/>
      <c r="PF71" s="795"/>
      <c r="PG71" s="795"/>
      <c r="PH71" s="795"/>
      <c r="PI71" s="795"/>
      <c r="PJ71" s="795"/>
      <c r="PK71" s="795"/>
      <c r="PL71" s="795"/>
      <c r="PM71" s="795"/>
      <c r="PN71" s="795"/>
      <c r="PO71" s="795"/>
      <c r="PP71" s="795"/>
      <c r="PQ71" s="795"/>
      <c r="PR71" s="795"/>
      <c r="PS71" s="795"/>
      <c r="PT71" s="795"/>
      <c r="PU71" s="795"/>
      <c r="PV71" s="795"/>
      <c r="PW71" s="794"/>
      <c r="PX71" s="795"/>
      <c r="PY71" s="795"/>
      <c r="PZ71" s="795"/>
      <c r="QA71" s="795"/>
      <c r="QB71" s="795"/>
      <c r="QC71" s="795"/>
      <c r="QD71" s="795"/>
      <c r="QE71" s="795"/>
      <c r="QF71" s="795"/>
      <c r="QG71" s="795"/>
      <c r="QH71" s="795"/>
      <c r="QI71" s="795"/>
      <c r="QJ71" s="795"/>
      <c r="QK71" s="795"/>
      <c r="QL71" s="795"/>
      <c r="QM71" s="795"/>
      <c r="QN71" s="795"/>
      <c r="QO71" s="795"/>
      <c r="QP71" s="795"/>
    </row>
    <row r="72" spans="1:458" ht="14">
      <c r="A72" s="43" t="s">
        <v>55</v>
      </c>
      <c r="B72" s="325">
        <v>2127260</v>
      </c>
      <c r="C72" s="319">
        <v>2144924</v>
      </c>
      <c r="D72" s="319">
        <v>2130055</v>
      </c>
      <c r="E72" s="319">
        <v>2219432</v>
      </c>
      <c r="F72" s="319">
        <v>2351818</v>
      </c>
      <c r="G72" s="319">
        <v>2489252</v>
      </c>
      <c r="H72" s="319">
        <v>2560230</v>
      </c>
      <c r="I72" s="319">
        <v>2386297</v>
      </c>
      <c r="J72" s="319">
        <v>2612918.0900000003</v>
      </c>
      <c r="K72" s="319">
        <v>2685195.55</v>
      </c>
      <c r="L72" s="319">
        <v>2969920.62</v>
      </c>
      <c r="M72" s="319">
        <v>3580560.25</v>
      </c>
      <c r="N72" s="319">
        <v>3240660.99</v>
      </c>
      <c r="O72" s="319">
        <v>3589852.1500000004</v>
      </c>
      <c r="P72" s="319">
        <v>3222257.92</v>
      </c>
      <c r="Q72" s="319">
        <v>3726556.4000000004</v>
      </c>
      <c r="R72" s="319">
        <v>3836723.96</v>
      </c>
      <c r="S72" s="362">
        <v>3735695.78</v>
      </c>
      <c r="T72" s="362">
        <v>3605515.4000000004</v>
      </c>
      <c r="U72" s="362"/>
      <c r="V72" s="362"/>
      <c r="W72" s="362"/>
      <c r="X72" s="6"/>
      <c r="Y72" s="43" t="s">
        <v>55</v>
      </c>
      <c r="Z72" s="319">
        <v>21272.6</v>
      </c>
      <c r="AA72" s="319">
        <v>21449.24</v>
      </c>
      <c r="AB72" s="319">
        <v>21300.55</v>
      </c>
      <c r="AC72" s="319">
        <v>0</v>
      </c>
      <c r="AD72" s="319">
        <v>23518.18</v>
      </c>
      <c r="AE72" s="319">
        <v>0</v>
      </c>
      <c r="AF72" s="319">
        <v>25602.3</v>
      </c>
      <c r="AG72" s="319">
        <v>0</v>
      </c>
      <c r="AH72" s="319">
        <v>716.91</v>
      </c>
      <c r="AI72" s="319">
        <v>18611.02</v>
      </c>
      <c r="AJ72" s="319">
        <v>20099.740000000002</v>
      </c>
      <c r="AK72" s="319">
        <v>18440.5</v>
      </c>
      <c r="AL72" s="319">
        <v>0</v>
      </c>
      <c r="AM72" s="319">
        <v>0</v>
      </c>
      <c r="AN72" s="319">
        <v>0</v>
      </c>
      <c r="AO72" s="319">
        <v>0</v>
      </c>
      <c r="AP72" s="319">
        <v>0</v>
      </c>
      <c r="AQ72" s="362">
        <v>0</v>
      </c>
      <c r="AR72" s="753">
        <v>0</v>
      </c>
      <c r="AS72" s="753"/>
      <c r="AT72" s="753"/>
      <c r="AU72" s="753"/>
      <c r="AV72" s="443"/>
      <c r="AW72" s="43" t="s">
        <v>55</v>
      </c>
      <c r="AX72" s="319">
        <v>1446536.8</v>
      </c>
      <c r="AY72" s="319">
        <v>1479997.56</v>
      </c>
      <c r="AZ72" s="319">
        <v>1491038.5</v>
      </c>
      <c r="BA72" s="319">
        <v>1575796.72</v>
      </c>
      <c r="BB72" s="319">
        <v>1716827.14</v>
      </c>
      <c r="BC72" s="319">
        <v>1742476.4</v>
      </c>
      <c r="BD72" s="319">
        <v>1843365.6</v>
      </c>
      <c r="BE72" s="319">
        <v>1813585.72</v>
      </c>
      <c r="BF72" s="319">
        <v>1948135.86</v>
      </c>
      <c r="BG72" s="319">
        <v>1964318.89</v>
      </c>
      <c r="BH72" s="319">
        <v>1928909.35</v>
      </c>
      <c r="BI72" s="319">
        <v>2025476.19</v>
      </c>
      <c r="BJ72" s="319">
        <v>2023536.8800000001</v>
      </c>
      <c r="BK72" s="319">
        <v>1968666.34</v>
      </c>
      <c r="BL72" s="319">
        <v>2022236.4</v>
      </c>
      <c r="BM72" s="319">
        <v>2139396.9500000002</v>
      </c>
      <c r="BN72" s="319">
        <v>2268413.91</v>
      </c>
      <c r="BO72" s="362">
        <v>2128158.75</v>
      </c>
      <c r="BP72" s="753">
        <v>2265506.14</v>
      </c>
      <c r="BQ72" s="753"/>
      <c r="BR72" s="753"/>
      <c r="BS72" s="753"/>
      <c r="BT72" s="286"/>
      <c r="BU72" s="43" t="s">
        <v>55</v>
      </c>
      <c r="BV72" s="319">
        <v>106363</v>
      </c>
      <c r="BW72" s="319">
        <v>107246.2</v>
      </c>
      <c r="BX72" s="319">
        <v>149103.85</v>
      </c>
      <c r="BY72" s="319">
        <v>110971.6</v>
      </c>
      <c r="BZ72" s="319">
        <v>70554.539999999994</v>
      </c>
      <c r="CA72" s="319">
        <v>149355.12</v>
      </c>
      <c r="CB72" s="319">
        <v>179216.1</v>
      </c>
      <c r="CC72" s="319">
        <v>119314.85</v>
      </c>
      <c r="CD72" s="319">
        <v>173688.32000000001</v>
      </c>
      <c r="CE72" s="319">
        <v>158492.18</v>
      </c>
      <c r="CF72" s="319">
        <v>382300.88999999996</v>
      </c>
      <c r="CG72" s="319">
        <v>417190.67</v>
      </c>
      <c r="CH72" s="319">
        <v>361467.13</v>
      </c>
      <c r="CI72" s="319">
        <v>748365.65</v>
      </c>
      <c r="CJ72" s="319">
        <v>150000.98000000001</v>
      </c>
      <c r="CK72" s="319">
        <v>397864.01000000007</v>
      </c>
      <c r="CL72" s="319">
        <v>530575.33000000007</v>
      </c>
      <c r="CM72" s="362">
        <v>584090.31999999995</v>
      </c>
      <c r="CN72" s="753">
        <v>326706.53000000003</v>
      </c>
      <c r="CO72" s="753"/>
      <c r="CP72" s="753"/>
      <c r="CQ72" s="753"/>
      <c r="CR72" s="39"/>
      <c r="CS72" s="43" t="s">
        <v>55</v>
      </c>
      <c r="CT72" s="319">
        <v>148908.20000000001</v>
      </c>
      <c r="CU72" s="319">
        <v>235941.64</v>
      </c>
      <c r="CV72" s="319">
        <v>191704.95</v>
      </c>
      <c r="CW72" s="319">
        <v>244137.52</v>
      </c>
      <c r="CX72" s="319">
        <v>211663.62</v>
      </c>
      <c r="CY72" s="319">
        <v>423172.84</v>
      </c>
      <c r="CZ72" s="319">
        <v>409636.8</v>
      </c>
      <c r="DA72" s="319">
        <v>262492.67</v>
      </c>
      <c r="DB72" s="319">
        <v>257824.35</v>
      </c>
      <c r="DC72" s="319">
        <v>239733.77000000002</v>
      </c>
      <c r="DD72" s="319">
        <v>283024.98000000004</v>
      </c>
      <c r="DE72" s="319">
        <v>288317.80000000005</v>
      </c>
      <c r="DF72" s="319">
        <v>599417.6100000001</v>
      </c>
      <c r="DG72" s="319">
        <v>598302.83000000007</v>
      </c>
      <c r="DH72" s="319">
        <v>735316.53</v>
      </c>
      <c r="DI72" s="319">
        <v>682214.42</v>
      </c>
      <c r="DJ72" s="319">
        <v>793686.72</v>
      </c>
      <c r="DK72" s="362">
        <v>771126.4</v>
      </c>
      <c r="DL72" s="753">
        <v>856906.20000000007</v>
      </c>
      <c r="DM72" s="753"/>
      <c r="DN72" s="753"/>
      <c r="DO72" s="753"/>
      <c r="DP72" s="39"/>
      <c r="DQ72" s="43" t="s">
        <v>55</v>
      </c>
      <c r="DR72" s="319">
        <v>63817.8</v>
      </c>
      <c r="DS72" s="319">
        <v>107246.2</v>
      </c>
      <c r="DT72" s="319">
        <v>85202.2</v>
      </c>
      <c r="DU72" s="319">
        <v>66582.960000000006</v>
      </c>
      <c r="DV72" s="319">
        <v>117590.9</v>
      </c>
      <c r="DW72" s="319">
        <v>124462.6</v>
      </c>
      <c r="DX72" s="319">
        <v>76806.899999999994</v>
      </c>
      <c r="DY72" s="319">
        <v>47725.94</v>
      </c>
      <c r="DZ72" s="319">
        <v>64752.68</v>
      </c>
      <c r="EA72" s="319">
        <v>119881.13</v>
      </c>
      <c r="EB72" s="319">
        <v>169884.19</v>
      </c>
      <c r="EC72" s="319">
        <v>515757.32</v>
      </c>
      <c r="ED72" s="319">
        <v>58019.29</v>
      </c>
      <c r="EE72" s="319">
        <v>22404.47</v>
      </c>
      <c r="EF72" s="319">
        <v>12824.53</v>
      </c>
      <c r="EG72" s="319">
        <v>5689.97</v>
      </c>
      <c r="EH72" s="319">
        <v>4810.5200000000004</v>
      </c>
      <c r="EI72" s="362">
        <v>4660.17</v>
      </c>
      <c r="EJ72" s="753">
        <v>6263.66</v>
      </c>
      <c r="EK72" s="753"/>
      <c r="EL72" s="753"/>
      <c r="EM72" s="753"/>
      <c r="EN72" s="39"/>
      <c r="EO72" s="43" t="s">
        <v>55</v>
      </c>
      <c r="EP72" s="319">
        <v>340361.6</v>
      </c>
      <c r="EQ72" s="319">
        <v>193043.16</v>
      </c>
      <c r="ER72" s="319">
        <v>191704.95</v>
      </c>
      <c r="ES72" s="319">
        <v>221943.2</v>
      </c>
      <c r="ET72" s="319">
        <v>211663.62</v>
      </c>
      <c r="EU72" s="319">
        <v>49785.04</v>
      </c>
      <c r="EV72" s="319">
        <v>25602.3</v>
      </c>
      <c r="EW72" s="319">
        <v>143177.82</v>
      </c>
      <c r="EX72" s="319">
        <v>164602.24000000002</v>
      </c>
      <c r="EY72" s="319">
        <v>177481.88999999998</v>
      </c>
      <c r="EZ72" s="319">
        <v>173969.63999999998</v>
      </c>
      <c r="FA72" s="319">
        <v>204893.53999999998</v>
      </c>
      <c r="FB72" s="319">
        <v>181525.16000000003</v>
      </c>
      <c r="FC72" s="319">
        <v>236569.44999999998</v>
      </c>
      <c r="FD72" s="319">
        <v>297907.36000000004</v>
      </c>
      <c r="FE72" s="319">
        <v>493565.99</v>
      </c>
      <c r="FF72" s="319">
        <v>237895.83</v>
      </c>
      <c r="FG72" s="362">
        <v>245127.41999999998</v>
      </c>
      <c r="FH72" s="362">
        <v>150132.87</v>
      </c>
      <c r="FI72" s="362"/>
      <c r="FJ72" s="362"/>
      <c r="FK72" s="362"/>
      <c r="FM72" s="43" t="s">
        <v>55</v>
      </c>
      <c r="FN72" s="325">
        <v>1299563</v>
      </c>
      <c r="FO72" s="325">
        <v>1572315</v>
      </c>
      <c r="FP72" s="319">
        <v>1540994</v>
      </c>
      <c r="FQ72" s="319">
        <v>1570484</v>
      </c>
      <c r="FR72" s="319">
        <v>2177311</v>
      </c>
      <c r="FS72" s="319">
        <v>2692412</v>
      </c>
      <c r="FT72" s="319">
        <v>3126753</v>
      </c>
      <c r="FU72" s="319">
        <v>3378953</v>
      </c>
      <c r="FV72" s="319">
        <v>3596123.99</v>
      </c>
      <c r="FW72" s="319">
        <v>3329448.4</v>
      </c>
      <c r="FX72" s="319">
        <v>3380641.88</v>
      </c>
      <c r="FY72" s="319">
        <v>1893974.08</v>
      </c>
      <c r="FZ72" s="319">
        <v>2089734.09</v>
      </c>
      <c r="GA72" s="319">
        <v>2182812.73</v>
      </c>
      <c r="GB72" s="319">
        <v>1833235.04</v>
      </c>
      <c r="GC72" s="319">
        <v>2308635.7599999998</v>
      </c>
      <c r="GD72" s="319">
        <v>2834464.33</v>
      </c>
      <c r="GE72" s="319"/>
      <c r="GF72" s="756">
        <v>3285636.3</v>
      </c>
      <c r="GG72" s="756"/>
      <c r="GH72" s="756"/>
      <c r="GI72" s="756"/>
      <c r="GJ72" s="42"/>
      <c r="GK72" s="570" t="s">
        <v>55</v>
      </c>
      <c r="GL72" s="571">
        <f>FN72/'4GF Expenditures'!B73</f>
        <v>0.82646059255528337</v>
      </c>
      <c r="GM72" s="571">
        <f>FO72/'4GF Expenditures'!C73</f>
        <v>0.83983469467548921</v>
      </c>
      <c r="GN72" s="571">
        <f>FP72/'4GF Expenditures'!D73</f>
        <v>0.7129689605140429</v>
      </c>
      <c r="GO72" s="571">
        <f>FQ72/'4GF Expenditures'!E73</f>
        <v>0.71713464688350337</v>
      </c>
      <c r="GP72" s="571">
        <f>FR72/'4GF Expenditures'!F73</f>
        <v>1.2477491287920683</v>
      </c>
      <c r="GQ72" s="571">
        <f>FS72/'4GF Expenditures'!G73</f>
        <v>1.3638328577702516</v>
      </c>
      <c r="GR72" s="571">
        <f>FT72/'4GF Expenditures'!H73</f>
        <v>1.470797863858367</v>
      </c>
      <c r="GS72" s="571">
        <f>FU72/'4GF Expenditures'!I73</f>
        <v>1.5833174405849406</v>
      </c>
      <c r="GT72" s="571">
        <f>FV72/'4GF Expenditures'!J73</f>
        <v>1.5011163270275709</v>
      </c>
      <c r="GU72" s="571">
        <f>FW72/'4GF Expenditures'!K73</f>
        <v>1.1279111594281854</v>
      </c>
      <c r="GV72" s="571">
        <f>FX72/'4GF Expenditures'!L73</f>
        <v>1.1582836579952454</v>
      </c>
      <c r="GW72" s="571">
        <f>FY72/'4GF Expenditures'!M73</f>
        <v>0.37376926029607049</v>
      </c>
      <c r="GX72" s="571">
        <f>FZ72/'4GF Expenditures'!N73</f>
        <v>0.68733715992030953</v>
      </c>
      <c r="GY72" s="571">
        <f>GA72/'4GF Expenditures'!O73</f>
        <v>0.6207008403557337</v>
      </c>
      <c r="GZ72" s="571">
        <f>GB72/'4GF Expenditures'!P73</f>
        <v>0.51620947732742306</v>
      </c>
      <c r="HA72" s="571">
        <f>GC72/'4GF Expenditures'!Q73</f>
        <v>0.71009695850676702</v>
      </c>
      <c r="HB72" s="571">
        <f>GD72/'4GF Expenditures'!R73</f>
        <v>0.85610204978418236</v>
      </c>
      <c r="HC72" s="571">
        <f>GE72/'4GF Expenditures'!S73</f>
        <v>0</v>
      </c>
      <c r="HD72" s="571">
        <f>GF72/'4GF Expenditures'!T73</f>
        <v>0.91743749114467321</v>
      </c>
      <c r="HE72" s="571" t="e">
        <f>GG72/'4GF Expenditures'!U73</f>
        <v>#DIV/0!</v>
      </c>
      <c r="HF72" s="571" t="e">
        <f>GH72/'4GF Expenditures'!V73</f>
        <v>#DIV/0!</v>
      </c>
      <c r="HG72" s="571" t="e">
        <f>GI72/'4GF Expenditures'!W73</f>
        <v>#DIV/0!</v>
      </c>
      <c r="HH72" s="571"/>
      <c r="HI72" s="571"/>
      <c r="HJ72" s="571"/>
      <c r="HK72" s="568"/>
      <c r="HL72" s="567" t="s">
        <v>55</v>
      </c>
      <c r="HM72" s="571">
        <f>B72/'4GF Expenditures'!B73</f>
        <v>1.3528367305926317</v>
      </c>
      <c r="HN72" s="571">
        <f>C72/'4GF Expenditures'!C73</f>
        <v>1.1456874688864058</v>
      </c>
      <c r="HO72" s="571">
        <f>D72/'4GF Expenditures'!D73</f>
        <v>0.98550876848822233</v>
      </c>
      <c r="HP72" s="571">
        <f>E72/'4GF Expenditures'!E73</f>
        <v>1.0134656472794041</v>
      </c>
      <c r="HQ72" s="571">
        <f>F72/'4GF Expenditures'!F73</f>
        <v>1.3477536560360484</v>
      </c>
      <c r="HR72" s="571">
        <f>G72/'4GF Expenditures'!G73</f>
        <v>1.2609227966857652</v>
      </c>
      <c r="HS72" s="571">
        <f>H72/'4GF Expenditures'!H73</f>
        <v>1.2043102908947738</v>
      </c>
      <c r="HT72" s="571">
        <f>I72/'4GF Expenditures'!I73</f>
        <v>1.118176446525158</v>
      </c>
      <c r="HU72" s="571">
        <f>J72/'4GF Expenditures'!J73</f>
        <v>1.090700436634471</v>
      </c>
      <c r="HV72" s="571">
        <f>K72/'4GF Expenditures'!K73</f>
        <v>0.90965879696225482</v>
      </c>
      <c r="HW72" s="571">
        <f>L72/'4GF Expenditures'!L73</f>
        <v>1.0175613513044177</v>
      </c>
      <c r="HX72" s="571">
        <f>M72/'4GF Expenditures'!M73</f>
        <v>0.70661123096680034</v>
      </c>
      <c r="HY72" s="571">
        <f>N72/'4GF Expenditures'!N73</f>
        <v>1.065890024855334</v>
      </c>
      <c r="HZ72" s="571">
        <f>O72/'4GF Expenditures'!O73</f>
        <v>1.0208041283769853</v>
      </c>
      <c r="IA72" s="571">
        <f>P72/'4GF Expenditures'!P73</f>
        <v>0.90733596096731239</v>
      </c>
      <c r="IB72" s="571">
        <f>Q72/'4GF Expenditures'!Q73</f>
        <v>1.1462251478526555</v>
      </c>
      <c r="IC72" s="571">
        <f>R72/'4GF Expenditures'!R73</f>
        <v>1.1588176333170104</v>
      </c>
      <c r="ID72" s="573">
        <f>S72/'4GF Expenditures'!S73</f>
        <v>1.1290455282766532</v>
      </c>
      <c r="IE72" s="572">
        <f>T72/'4GF Expenditures'!T73</f>
        <v>1.0067562873162448</v>
      </c>
      <c r="IF72" s="572" t="e">
        <f>U72/'4GF Expenditures'!U73</f>
        <v>#DIV/0!</v>
      </c>
      <c r="IG72" s="572" t="e">
        <f>V72/'4GF Expenditures'!V73</f>
        <v>#DIV/0!</v>
      </c>
      <c r="IH72" s="572" t="e">
        <f>W72/'4GF Expenditures'!W73</f>
        <v>#DIV/0!</v>
      </c>
    </row>
    <row r="73" spans="1:458" ht="14">
      <c r="A73" s="43" t="s">
        <v>56</v>
      </c>
      <c r="B73" s="319">
        <v>916394</v>
      </c>
      <c r="C73" s="319">
        <v>920006</v>
      </c>
      <c r="D73" s="319">
        <v>1035613</v>
      </c>
      <c r="E73" s="319">
        <v>988517</v>
      </c>
      <c r="F73" s="319">
        <v>1050437</v>
      </c>
      <c r="G73" s="319">
        <v>1082879</v>
      </c>
      <c r="H73" s="319">
        <v>1129873</v>
      </c>
      <c r="I73" s="319">
        <v>1125659</v>
      </c>
      <c r="J73" s="319">
        <v>1196806.3</v>
      </c>
      <c r="K73" s="319">
        <v>1227560.93</v>
      </c>
      <c r="L73" s="319">
        <v>1227181.29</v>
      </c>
      <c r="M73" s="319">
        <v>1331593.5499999998</v>
      </c>
      <c r="N73" s="319">
        <v>1276044.8700000001</v>
      </c>
      <c r="O73" s="319">
        <v>1242291.76</v>
      </c>
      <c r="P73" s="319">
        <v>1263251.75</v>
      </c>
      <c r="Q73" s="319">
        <v>1372967.6700000002</v>
      </c>
      <c r="R73" s="319">
        <v>1350070.89</v>
      </c>
      <c r="S73" s="362">
        <v>1363184.8</v>
      </c>
      <c r="T73" s="362">
        <v>1441678.32</v>
      </c>
      <c r="U73" s="362">
        <v>1468387.28</v>
      </c>
      <c r="V73" s="362">
        <v>1485415.07</v>
      </c>
      <c r="W73" s="362">
        <v>1354134.01</v>
      </c>
      <c r="X73" s="6"/>
      <c r="Y73" s="43" t="s">
        <v>56</v>
      </c>
      <c r="Z73" s="319">
        <v>18327.88</v>
      </c>
      <c r="AA73" s="319">
        <v>27600.18</v>
      </c>
      <c r="AB73" s="319">
        <v>31068.39</v>
      </c>
      <c r="AC73" s="319">
        <v>39540.68</v>
      </c>
      <c r="AD73" s="319">
        <v>42017.48</v>
      </c>
      <c r="AE73" s="319">
        <v>54143.95</v>
      </c>
      <c r="AF73" s="319">
        <v>67792.38</v>
      </c>
      <c r="AG73" s="319">
        <v>67539.539999999994</v>
      </c>
      <c r="AH73" s="319">
        <v>66581.97</v>
      </c>
      <c r="AI73" s="319">
        <v>54203.32</v>
      </c>
      <c r="AJ73" s="319">
        <v>53851.630000000005</v>
      </c>
      <c r="AK73" s="319">
        <v>56822.9</v>
      </c>
      <c r="AL73" s="319">
        <v>63137.58</v>
      </c>
      <c r="AM73" s="319">
        <v>83834.740000000005</v>
      </c>
      <c r="AN73" s="319">
        <v>92557.19</v>
      </c>
      <c r="AO73" s="319">
        <v>103383.56999999999</v>
      </c>
      <c r="AP73" s="319">
        <v>100498.69</v>
      </c>
      <c r="AQ73" s="362">
        <v>103592.55</v>
      </c>
      <c r="AR73" s="753">
        <v>115446.07999999999</v>
      </c>
      <c r="AS73" s="753">
        <v>129173.04000000001</v>
      </c>
      <c r="AT73" s="753">
        <v>122290.07</v>
      </c>
      <c r="AU73" s="753">
        <v>114700</v>
      </c>
      <c r="AV73" s="39"/>
      <c r="AW73" s="43" t="s">
        <v>56</v>
      </c>
      <c r="AX73" s="319">
        <v>586492.16000000003</v>
      </c>
      <c r="AY73" s="319">
        <v>588803.83999999997</v>
      </c>
      <c r="AZ73" s="319">
        <v>631723.93000000005</v>
      </c>
      <c r="BA73" s="319">
        <v>632650.88</v>
      </c>
      <c r="BB73" s="319">
        <v>651270.93999999994</v>
      </c>
      <c r="BC73" s="319">
        <v>671384.98</v>
      </c>
      <c r="BD73" s="319">
        <v>711819.99</v>
      </c>
      <c r="BE73" s="319">
        <v>731678.35</v>
      </c>
      <c r="BF73" s="319">
        <v>773765.91</v>
      </c>
      <c r="BG73" s="319">
        <v>791362.48</v>
      </c>
      <c r="BH73" s="319">
        <v>831410.53</v>
      </c>
      <c r="BI73" s="319">
        <v>853842.8</v>
      </c>
      <c r="BJ73" s="319">
        <v>839721</v>
      </c>
      <c r="BK73" s="319">
        <v>834119.92</v>
      </c>
      <c r="BL73" s="319">
        <v>852150.62</v>
      </c>
      <c r="BM73" s="319">
        <v>884080.09</v>
      </c>
      <c r="BN73" s="319">
        <v>873816.61</v>
      </c>
      <c r="BO73" s="362">
        <v>834511.45</v>
      </c>
      <c r="BP73" s="753">
        <v>914852.43</v>
      </c>
      <c r="BQ73" s="753">
        <v>924370.76</v>
      </c>
      <c r="BR73" s="753">
        <v>929993.83</v>
      </c>
      <c r="BS73" s="753">
        <v>890000</v>
      </c>
      <c r="BT73" s="286"/>
      <c r="BU73" s="43" t="s">
        <v>56</v>
      </c>
      <c r="BV73" s="319">
        <v>155786.98000000001</v>
      </c>
      <c r="BW73" s="319">
        <v>128800.84</v>
      </c>
      <c r="BX73" s="319">
        <v>196766.47</v>
      </c>
      <c r="BY73" s="319">
        <v>158162.72</v>
      </c>
      <c r="BZ73" s="319">
        <v>168069.92</v>
      </c>
      <c r="CA73" s="319">
        <v>173260.64</v>
      </c>
      <c r="CB73" s="319">
        <v>180779.68</v>
      </c>
      <c r="CC73" s="319">
        <v>157592.26</v>
      </c>
      <c r="CD73" s="319">
        <v>161788.74000000002</v>
      </c>
      <c r="CE73" s="319">
        <v>171646.13999999996</v>
      </c>
      <c r="CF73" s="319">
        <v>141881.76999999999</v>
      </c>
      <c r="CG73" s="319">
        <v>166298.96</v>
      </c>
      <c r="CH73" s="319">
        <v>163382.25</v>
      </c>
      <c r="CI73" s="319">
        <v>157529.93000000002</v>
      </c>
      <c r="CJ73" s="319">
        <v>153932.04999999999</v>
      </c>
      <c r="CK73" s="319">
        <v>217020.24</v>
      </c>
      <c r="CL73" s="319">
        <v>213201.88000000003</v>
      </c>
      <c r="CM73" s="362">
        <v>247499.52000000002</v>
      </c>
      <c r="CN73" s="753">
        <v>268863.89</v>
      </c>
      <c r="CO73" s="753">
        <v>273913.62999999995</v>
      </c>
      <c r="CP73" s="753">
        <v>287091.18</v>
      </c>
      <c r="CQ73" s="753">
        <v>202425</v>
      </c>
      <c r="CR73" s="39"/>
      <c r="CS73" s="43" t="s">
        <v>56</v>
      </c>
      <c r="CT73" s="319">
        <v>91639.4</v>
      </c>
      <c r="CU73" s="319">
        <v>92000.6</v>
      </c>
      <c r="CV73" s="319">
        <v>103561.3</v>
      </c>
      <c r="CW73" s="319">
        <v>108736.87</v>
      </c>
      <c r="CX73" s="319">
        <v>105043.7</v>
      </c>
      <c r="CY73" s="319">
        <v>119116.69</v>
      </c>
      <c r="CZ73" s="319">
        <v>124286.03</v>
      </c>
      <c r="DA73" s="319">
        <v>123822.49</v>
      </c>
      <c r="DB73" s="319">
        <v>149849.53</v>
      </c>
      <c r="DC73" s="319">
        <v>138715.80000000002</v>
      </c>
      <c r="DD73" s="319">
        <v>146970.1</v>
      </c>
      <c r="DE73" s="319">
        <v>142317.53</v>
      </c>
      <c r="DF73" s="319">
        <v>140976.59</v>
      </c>
      <c r="DG73" s="319">
        <v>124402.47</v>
      </c>
      <c r="DH73" s="319">
        <v>120568.17000000001</v>
      </c>
      <c r="DI73" s="319">
        <v>127102.16</v>
      </c>
      <c r="DJ73" s="319">
        <v>129875.78</v>
      </c>
      <c r="DK73" s="362">
        <v>133803.22</v>
      </c>
      <c r="DL73" s="753">
        <v>116358.87</v>
      </c>
      <c r="DM73" s="753">
        <v>118538.41</v>
      </c>
      <c r="DN73" s="753">
        <v>122571.32</v>
      </c>
      <c r="DO73" s="753">
        <v>118641</v>
      </c>
      <c r="DP73" s="39"/>
      <c r="DQ73" s="43" t="s">
        <v>56</v>
      </c>
      <c r="DR73" s="319">
        <v>27491.82</v>
      </c>
      <c r="DS73" s="319">
        <v>27600.18</v>
      </c>
      <c r="DT73" s="319">
        <v>31068.39</v>
      </c>
      <c r="DU73" s="319">
        <v>19770.34</v>
      </c>
      <c r="DV73" s="319">
        <v>31513.11</v>
      </c>
      <c r="DW73" s="319">
        <v>43315.16</v>
      </c>
      <c r="DX73" s="319">
        <v>22597.46</v>
      </c>
      <c r="DY73" s="319">
        <v>22513.18</v>
      </c>
      <c r="DZ73" s="319">
        <v>14507.25</v>
      </c>
      <c r="EA73" s="319">
        <v>16814.400000000001</v>
      </c>
      <c r="EB73" s="319">
        <v>28507.43</v>
      </c>
      <c r="EC73" s="319">
        <v>28423.14</v>
      </c>
      <c r="ED73" s="319">
        <v>26034.89</v>
      </c>
      <c r="EE73" s="319">
        <v>17050.79</v>
      </c>
      <c r="EF73" s="319">
        <v>10777.86</v>
      </c>
      <c r="EG73" s="319">
        <v>8368.59</v>
      </c>
      <c r="EH73" s="319">
        <v>7262.57</v>
      </c>
      <c r="EI73" s="362">
        <v>5323.98</v>
      </c>
      <c r="EJ73" s="753">
        <v>6215.33</v>
      </c>
      <c r="EK73" s="753">
        <v>9696.39</v>
      </c>
      <c r="EL73" s="753">
        <v>11121.17</v>
      </c>
      <c r="EM73" s="753">
        <v>10000</v>
      </c>
      <c r="EN73" s="39"/>
      <c r="EO73" s="43" t="s">
        <v>56</v>
      </c>
      <c r="EP73" s="319">
        <v>36655.760000000002</v>
      </c>
      <c r="EQ73" s="319">
        <v>55200.36</v>
      </c>
      <c r="ER73" s="319">
        <v>41424.519999999997</v>
      </c>
      <c r="ES73" s="319">
        <v>29655.51</v>
      </c>
      <c r="ET73" s="319">
        <v>52521.85</v>
      </c>
      <c r="EU73" s="319">
        <v>21657.58</v>
      </c>
      <c r="EV73" s="319">
        <v>22597.46</v>
      </c>
      <c r="EW73" s="319">
        <v>22513.18</v>
      </c>
      <c r="EX73" s="319">
        <v>27745.47</v>
      </c>
      <c r="EY73" s="319">
        <v>24394.869999999995</v>
      </c>
      <c r="EZ73" s="319">
        <v>23754.22</v>
      </c>
      <c r="FA73" s="319">
        <v>82806.44</v>
      </c>
      <c r="FB73" s="319">
        <v>37671.630000000005</v>
      </c>
      <c r="FC73" s="319">
        <v>22349.809999999994</v>
      </c>
      <c r="FD73" s="319">
        <v>29995.430000000004</v>
      </c>
      <c r="FE73" s="319">
        <v>32520.14</v>
      </c>
      <c r="FF73" s="319">
        <v>23144.71</v>
      </c>
      <c r="FG73" s="362">
        <v>37250.410000000003</v>
      </c>
      <c r="FH73" s="362">
        <v>19494.53</v>
      </c>
      <c r="FI73" s="362">
        <v>11758.330000000002</v>
      </c>
      <c r="FJ73" s="362">
        <v>10766.56</v>
      </c>
      <c r="FK73" s="362">
        <v>18368.009999999998</v>
      </c>
      <c r="FM73" s="43" t="s">
        <v>56</v>
      </c>
      <c r="FN73" s="319">
        <v>622996</v>
      </c>
      <c r="FO73" s="319">
        <v>644429</v>
      </c>
      <c r="FP73" s="319">
        <v>648975</v>
      </c>
      <c r="FQ73" s="319">
        <v>624378</v>
      </c>
      <c r="FR73" s="319">
        <v>601221</v>
      </c>
      <c r="FS73" s="319">
        <v>644307</v>
      </c>
      <c r="FT73" s="319">
        <v>687037</v>
      </c>
      <c r="FU73" s="319">
        <v>706988</v>
      </c>
      <c r="FV73" s="319">
        <v>678653.79</v>
      </c>
      <c r="FW73" s="319">
        <v>682668.79</v>
      </c>
      <c r="FX73" s="319">
        <v>603315.1</v>
      </c>
      <c r="FY73" s="319">
        <v>491547.05</v>
      </c>
      <c r="FZ73" s="319">
        <v>389307.62</v>
      </c>
      <c r="GA73" s="319">
        <v>365975.17</v>
      </c>
      <c r="GB73" s="319">
        <v>389234.99</v>
      </c>
      <c r="GC73" s="319">
        <v>550879.34</v>
      </c>
      <c r="GD73" s="319">
        <v>615669.76000000001</v>
      </c>
      <c r="GE73" s="319">
        <v>654541.25</v>
      </c>
      <c r="GF73" s="756">
        <v>1039731.67</v>
      </c>
      <c r="GG73" s="756">
        <v>1411650.99</v>
      </c>
      <c r="GH73" s="756">
        <v>1595998.8800000001</v>
      </c>
      <c r="GI73" s="756">
        <v>1507405.4500000002</v>
      </c>
      <c r="GJ73" s="42"/>
      <c r="GK73" s="570" t="s">
        <v>56</v>
      </c>
      <c r="GL73" s="571">
        <f>FN73/'4GF Expenditures'!B74</f>
        <v>0.69209935188867677</v>
      </c>
      <c r="GM73" s="571">
        <f>FO73/'4GF Expenditures'!C74</f>
        <v>0.71716933404408989</v>
      </c>
      <c r="GN73" s="571">
        <f>FP73/'4GF Expenditures'!D74</f>
        <v>0.62942078448830197</v>
      </c>
      <c r="GO73" s="571">
        <f>FQ73/'4GF Expenditures'!E74</f>
        <v>0.61629589562477671</v>
      </c>
      <c r="GP73" s="571">
        <f>FR73/'4GF Expenditures'!F74</f>
        <v>0.56000778692876452</v>
      </c>
      <c r="GQ73" s="571">
        <f>FS73/'4GF Expenditures'!G74</f>
        <v>0.61964810371275103</v>
      </c>
      <c r="GR73" s="571">
        <f>FT73/'4GF Expenditures'!H74</f>
        <v>0.63196620128741232</v>
      </c>
      <c r="GS73" s="571">
        <f>FU73/'4GF Expenditures'!I74</f>
        <v>0.63939788859455793</v>
      </c>
      <c r="GT73" s="571">
        <f>FV73/'4GF Expenditures'!J74</f>
        <v>0.5539395423156922</v>
      </c>
      <c r="GU73" s="571">
        <f>FW73/'4GF Expenditures'!K74</f>
        <v>0.55794292086771102</v>
      </c>
      <c r="GV73" s="571">
        <f>FX73/'4GF Expenditures'!L74</f>
        <v>0.46176727698480752</v>
      </c>
      <c r="GW73" s="571">
        <f>FY73/'4GF Expenditures'!M74</f>
        <v>0.34090058576025539</v>
      </c>
      <c r="GX73" s="571">
        <f>FZ73/'4GF Expenditures'!N74</f>
        <v>0.28159851632530197</v>
      </c>
      <c r="GY73" s="571">
        <f>GA73/'4GF Expenditures'!O74</f>
        <v>0.28916574691629832</v>
      </c>
      <c r="GZ73" s="571">
        <f>GB73/'4GF Expenditures'!P74</f>
        <v>0.31390122837331685</v>
      </c>
      <c r="HA73" s="571">
        <f>GC73/'4GF Expenditures'!Q74</f>
        <v>0.45477481602517156</v>
      </c>
      <c r="HB73" s="571">
        <f>GD73/'4GF Expenditures'!R74</f>
        <v>0.47901588359154018</v>
      </c>
      <c r="HC73" s="571">
        <f>GE73/'4GF Expenditures'!S74</f>
        <v>0.49397673522996421</v>
      </c>
      <c r="HD73" s="571">
        <f>GF73/'4GF Expenditures'!T74</f>
        <v>0.98413968584022604</v>
      </c>
      <c r="HE73" s="571">
        <f>GG73/'4GF Expenditures'!U74</f>
        <v>1.287453023251131</v>
      </c>
      <c r="HF73" s="571">
        <f>GH73/'4GF Expenditures'!V74</f>
        <v>1.2266844514516155</v>
      </c>
      <c r="HG73" s="571">
        <f>GI73/'4GF Expenditures'!W74</f>
        <v>1.044830373504229</v>
      </c>
      <c r="HH73" s="571"/>
      <c r="HI73" s="571"/>
      <c r="HJ73" s="571"/>
      <c r="HK73" s="568"/>
      <c r="HL73" s="567" t="s">
        <v>56</v>
      </c>
      <c r="HM73" s="571">
        <f>B73/'4GF Expenditures'!B74</f>
        <v>1.0180413573677394</v>
      </c>
      <c r="HN73" s="571">
        <f>C73/'4GF Expenditures'!C74</f>
        <v>1.0238522635334024</v>
      </c>
      <c r="HO73" s="571">
        <f>D73/'4GF Expenditures'!D74</f>
        <v>1.0044090248257387</v>
      </c>
      <c r="HP73" s="571">
        <f>E73/'4GF Expenditures'!E74</f>
        <v>0.97572138969553279</v>
      </c>
      <c r="HQ73" s="571">
        <f>F73/'4GF Expenditures'!F74</f>
        <v>0.97843039361248296</v>
      </c>
      <c r="HR73" s="571">
        <f>G73/'4GF Expenditures'!G74</f>
        <v>1.0414350905707375</v>
      </c>
      <c r="HS73" s="571">
        <f>H73/'4GF Expenditures'!H74</f>
        <v>1.0393058128560941</v>
      </c>
      <c r="HT73" s="571">
        <f>I73/'4GF Expenditures'!I74</f>
        <v>1.0180427219096526</v>
      </c>
      <c r="HU73" s="571">
        <f>J73/'4GF Expenditures'!J74</f>
        <v>0.97687266148257568</v>
      </c>
      <c r="HV73" s="571">
        <f>K73/'4GF Expenditures'!K74</f>
        <v>1.0032814460835155</v>
      </c>
      <c r="HW73" s="571">
        <f>L73/'4GF Expenditures'!L74</f>
        <v>0.93926401419424688</v>
      </c>
      <c r="HX73" s="571">
        <f>M73/'4GF Expenditures'!M74</f>
        <v>0.92349454887294691</v>
      </c>
      <c r="HY73" s="571">
        <f>N73/'4GF Expenditures'!N74</f>
        <v>0.92300361898005723</v>
      </c>
      <c r="HZ73" s="571">
        <f>O73/'4GF Expenditures'!O74</f>
        <v>0.98156447244320655</v>
      </c>
      <c r="IA73" s="571">
        <f>P73/'4GF Expenditures'!P74</f>
        <v>1.0187580414333823</v>
      </c>
      <c r="IB73" s="571">
        <f>Q73/'4GF Expenditures'!Q74</f>
        <v>1.1334444300139457</v>
      </c>
      <c r="IC73" s="571">
        <f>R73/'4GF Expenditures'!R74</f>
        <v>1.0504095576897701</v>
      </c>
      <c r="ID73" s="573">
        <f>S73/'4GF Expenditures'!S74</f>
        <v>1.0287840178432019</v>
      </c>
      <c r="IE73" s="572">
        <f>T73/'4GF Expenditures'!T74</f>
        <v>1.3645952026521082</v>
      </c>
      <c r="IF73" s="572">
        <f>U73/'4GF Expenditures'!U74</f>
        <v>1.3391976177762641</v>
      </c>
      <c r="IG73" s="572">
        <f>V73/'4GF Expenditures'!V74</f>
        <v>1.1416897550209515</v>
      </c>
      <c r="IH73" s="572">
        <f>W73/'4GF Expenditures'!W74</f>
        <v>0.93859309281592374</v>
      </c>
    </row>
    <row r="74" spans="1:458" ht="14">
      <c r="A74" s="43" t="s">
        <v>57</v>
      </c>
      <c r="B74" s="319">
        <v>769917</v>
      </c>
      <c r="C74" s="319">
        <v>810851</v>
      </c>
      <c r="D74" s="319">
        <v>825958</v>
      </c>
      <c r="E74" s="319">
        <v>844302</v>
      </c>
      <c r="F74" s="319">
        <v>959158</v>
      </c>
      <c r="G74" s="319">
        <v>938937</v>
      </c>
      <c r="H74" s="319">
        <v>983727</v>
      </c>
      <c r="I74" s="319">
        <v>1084031</v>
      </c>
      <c r="J74" s="319">
        <v>1168999.1000000001</v>
      </c>
      <c r="K74" s="319">
        <v>1157963.08</v>
      </c>
      <c r="L74" s="319">
        <v>1030199.91</v>
      </c>
      <c r="M74" s="319">
        <v>1362701.74</v>
      </c>
      <c r="N74" s="319">
        <v>936493.33000000007</v>
      </c>
      <c r="O74" s="319">
        <v>1081318.5900000001</v>
      </c>
      <c r="P74" s="319">
        <v>1304811.44</v>
      </c>
      <c r="Q74" s="319">
        <v>1387634.11</v>
      </c>
      <c r="R74" s="319"/>
      <c r="S74" s="362">
        <v>1834326.2100000002</v>
      </c>
      <c r="T74" s="362">
        <v>0</v>
      </c>
      <c r="U74" s="362">
        <v>1930314.81</v>
      </c>
      <c r="V74" s="362">
        <v>1999211.12</v>
      </c>
      <c r="W74" s="362">
        <v>2067195.27</v>
      </c>
      <c r="X74" s="6"/>
      <c r="Y74" s="43" t="s">
        <v>57</v>
      </c>
      <c r="Z74" s="319">
        <v>161682.57</v>
      </c>
      <c r="AA74" s="319">
        <v>170278.71</v>
      </c>
      <c r="AB74" s="319">
        <v>173451.18</v>
      </c>
      <c r="AC74" s="319">
        <v>168860.4</v>
      </c>
      <c r="AD74" s="319">
        <v>172648.44</v>
      </c>
      <c r="AE74" s="319">
        <v>187787.4</v>
      </c>
      <c r="AF74" s="319">
        <v>255769.02</v>
      </c>
      <c r="AG74" s="319">
        <v>238486.82</v>
      </c>
      <c r="AH74" s="319">
        <v>264305.39</v>
      </c>
      <c r="AI74" s="319">
        <v>256297.63</v>
      </c>
      <c r="AJ74" s="319">
        <v>38566.71</v>
      </c>
      <c r="AK74" s="319">
        <v>284976.44</v>
      </c>
      <c r="AL74" s="319">
        <v>102069.67</v>
      </c>
      <c r="AM74" s="319">
        <v>38140.1</v>
      </c>
      <c r="AN74" s="319">
        <v>201020.37</v>
      </c>
      <c r="AO74" s="319">
        <v>95000</v>
      </c>
      <c r="AP74" s="319"/>
      <c r="AQ74" s="362">
        <v>85428.549999999988</v>
      </c>
      <c r="AR74" s="753">
        <v>0</v>
      </c>
      <c r="AS74" s="753">
        <v>282570.64</v>
      </c>
      <c r="AT74" s="753">
        <v>298795.40000000002</v>
      </c>
      <c r="AU74" s="753">
        <v>299900</v>
      </c>
      <c r="AV74" s="39"/>
      <c r="AW74" s="43" t="s">
        <v>57</v>
      </c>
      <c r="AX74" s="319">
        <v>315665.96999999997</v>
      </c>
      <c r="AY74" s="319">
        <v>348665.93</v>
      </c>
      <c r="AZ74" s="319">
        <v>338642.78</v>
      </c>
      <c r="BA74" s="319">
        <v>371492.88</v>
      </c>
      <c r="BB74" s="319">
        <v>412437.94</v>
      </c>
      <c r="BC74" s="319">
        <v>403742.91</v>
      </c>
      <c r="BD74" s="319">
        <v>432839.88</v>
      </c>
      <c r="BE74" s="319">
        <v>433612.4</v>
      </c>
      <c r="BF74" s="319">
        <v>457045.57</v>
      </c>
      <c r="BG74" s="319">
        <v>475774.87</v>
      </c>
      <c r="BH74" s="319">
        <v>471085.9</v>
      </c>
      <c r="BI74" s="319">
        <v>518189.54</v>
      </c>
      <c r="BJ74" s="319">
        <v>463791.86</v>
      </c>
      <c r="BK74" s="319">
        <v>422402.6</v>
      </c>
      <c r="BL74" s="319">
        <v>447360.93</v>
      </c>
      <c r="BM74" s="319">
        <v>464197.77</v>
      </c>
      <c r="BN74" s="319"/>
      <c r="BO74" s="362">
        <v>467586.39</v>
      </c>
      <c r="BP74" s="362">
        <v>0</v>
      </c>
      <c r="BQ74" s="753">
        <v>506328.63</v>
      </c>
      <c r="BR74" s="753">
        <v>507580.77</v>
      </c>
      <c r="BS74" s="753">
        <v>507580</v>
      </c>
      <c r="BT74" s="286"/>
      <c r="BU74" s="43" t="s">
        <v>57</v>
      </c>
      <c r="BV74" s="319">
        <v>69292.53</v>
      </c>
      <c r="BW74" s="319">
        <v>56759.57</v>
      </c>
      <c r="BX74" s="319">
        <v>66076.639999999999</v>
      </c>
      <c r="BY74" s="319">
        <v>59101.14</v>
      </c>
      <c r="BZ74" s="319">
        <v>86324.22</v>
      </c>
      <c r="CA74" s="319">
        <v>84504.33</v>
      </c>
      <c r="CB74" s="319">
        <v>19674.54</v>
      </c>
      <c r="CC74" s="319">
        <v>65041.86</v>
      </c>
      <c r="CD74" s="319">
        <v>62286.05</v>
      </c>
      <c r="CE74" s="319">
        <v>35978.979999999996</v>
      </c>
      <c r="CF74" s="319">
        <v>40954.89</v>
      </c>
      <c r="CG74" s="319">
        <v>22571.77</v>
      </c>
      <c r="CH74" s="319">
        <v>34160.720000000001</v>
      </c>
      <c r="CI74" s="319">
        <v>37498.75</v>
      </c>
      <c r="CJ74" s="319">
        <v>34457.839999999997</v>
      </c>
      <c r="CK74" s="319">
        <v>37603.770000000004</v>
      </c>
      <c r="CL74" s="319"/>
      <c r="CM74" s="362">
        <v>61170.33</v>
      </c>
      <c r="CN74" s="753">
        <v>0</v>
      </c>
      <c r="CO74" s="753">
        <v>147272.18</v>
      </c>
      <c r="CP74" s="753">
        <v>105451.20000000001</v>
      </c>
      <c r="CQ74" s="753">
        <v>104916.23</v>
      </c>
      <c r="CR74" s="39"/>
      <c r="CS74" s="43" t="s">
        <v>57</v>
      </c>
      <c r="CT74" s="319">
        <v>161682.57</v>
      </c>
      <c r="CU74" s="319">
        <v>170278.71</v>
      </c>
      <c r="CV74" s="319">
        <v>181710.76</v>
      </c>
      <c r="CW74" s="319">
        <v>177303.42</v>
      </c>
      <c r="CX74" s="319">
        <v>201423.18</v>
      </c>
      <c r="CY74" s="319">
        <v>197176.77</v>
      </c>
      <c r="CZ74" s="319">
        <v>216419.94</v>
      </c>
      <c r="DA74" s="319">
        <v>238486.82</v>
      </c>
      <c r="DB74" s="319">
        <v>232135.77000000002</v>
      </c>
      <c r="DC74" s="319">
        <v>227609.74</v>
      </c>
      <c r="DD74" s="319">
        <v>238848.94</v>
      </c>
      <c r="DE74" s="319">
        <v>243428.34999999998</v>
      </c>
      <c r="DF74" s="319">
        <v>100585.56</v>
      </c>
      <c r="DG74" s="319">
        <v>109987.76999999999</v>
      </c>
      <c r="DH74" s="319">
        <v>237137.26</v>
      </c>
      <c r="DI74" s="319">
        <v>274641.89</v>
      </c>
      <c r="DJ74" s="319"/>
      <c r="DK74" s="362">
        <v>447690.65</v>
      </c>
      <c r="DL74" s="753">
        <v>0</v>
      </c>
      <c r="DM74" s="753">
        <v>279954.66000000003</v>
      </c>
      <c r="DN74" s="753">
        <v>309257</v>
      </c>
      <c r="DO74" s="753">
        <v>281891.54000000004</v>
      </c>
      <c r="DP74" s="39"/>
      <c r="DQ74" s="43" t="s">
        <v>57</v>
      </c>
      <c r="DR74" s="319">
        <v>15398.34</v>
      </c>
      <c r="DS74" s="319">
        <v>16217.02</v>
      </c>
      <c r="DT74" s="319">
        <v>16519.16</v>
      </c>
      <c r="DU74" s="319">
        <v>16886.04</v>
      </c>
      <c r="DV74" s="319">
        <v>19183.16</v>
      </c>
      <c r="DW74" s="319">
        <v>9389.3700000000008</v>
      </c>
      <c r="DX74" s="319">
        <v>9837.27</v>
      </c>
      <c r="DY74" s="319">
        <v>0</v>
      </c>
      <c r="DZ74" s="319">
        <v>3063.43</v>
      </c>
      <c r="EA74" s="319">
        <v>10372.299999999999</v>
      </c>
      <c r="EB74" s="319">
        <v>19258.16</v>
      </c>
      <c r="EC74" s="319">
        <v>22960</v>
      </c>
      <c r="ED74" s="319">
        <v>9291.9500000000007</v>
      </c>
      <c r="EE74" s="319">
        <v>3976.49</v>
      </c>
      <c r="EF74" s="319">
        <v>3976.49</v>
      </c>
      <c r="EG74" s="319">
        <v>1805.53</v>
      </c>
      <c r="EH74" s="319"/>
      <c r="EI74" s="362">
        <v>1295.3399999999999</v>
      </c>
      <c r="EJ74" s="753">
        <v>0</v>
      </c>
      <c r="EK74" s="753">
        <v>1722.97</v>
      </c>
      <c r="EL74" s="753">
        <v>4542.08</v>
      </c>
      <c r="EM74" s="753">
        <v>4600</v>
      </c>
      <c r="EN74" s="39"/>
      <c r="EO74" s="43" t="s">
        <v>57</v>
      </c>
      <c r="EP74" s="319">
        <v>46195.02</v>
      </c>
      <c r="EQ74" s="319">
        <v>48651.06</v>
      </c>
      <c r="ER74" s="319">
        <v>49557.48</v>
      </c>
      <c r="ES74" s="319">
        <v>50658.12</v>
      </c>
      <c r="ET74" s="319">
        <v>67141.06</v>
      </c>
      <c r="EU74" s="319">
        <v>56336.22</v>
      </c>
      <c r="EV74" s="319">
        <v>49186.35</v>
      </c>
      <c r="EW74" s="319">
        <v>108403.1</v>
      </c>
      <c r="EX74" s="319">
        <v>53398.619999999995</v>
      </c>
      <c r="EY74" s="319">
        <v>41929.56</v>
      </c>
      <c r="EZ74" s="319">
        <v>28085.310000000005</v>
      </c>
      <c r="FA74" s="319">
        <v>93370.640000000014</v>
      </c>
      <c r="FB74" s="319">
        <v>31593.57</v>
      </c>
      <c r="FC74" s="319">
        <v>80767.88</v>
      </c>
      <c r="FD74" s="319">
        <v>70858.55</v>
      </c>
      <c r="FE74" s="319">
        <v>50885.15</v>
      </c>
      <c r="FF74" s="319"/>
      <c r="FG74" s="362">
        <v>210354.94999999998</v>
      </c>
      <c r="FH74" s="362">
        <v>0</v>
      </c>
      <c r="FI74" s="362">
        <v>107465.73</v>
      </c>
      <c r="FJ74" s="362">
        <v>88584.670000000027</v>
      </c>
      <c r="FK74" s="362">
        <v>165807.5</v>
      </c>
      <c r="FM74" s="43" t="s">
        <v>57</v>
      </c>
      <c r="FN74" s="319">
        <v>133390</v>
      </c>
      <c r="FO74" s="319">
        <v>135899</v>
      </c>
      <c r="FP74" s="319">
        <v>140085</v>
      </c>
      <c r="FQ74" s="319">
        <v>130789</v>
      </c>
      <c r="FR74" s="319">
        <v>153326</v>
      </c>
      <c r="FS74" s="319">
        <v>88205</v>
      </c>
      <c r="FT74" s="319">
        <v>119723</v>
      </c>
      <c r="FU74" s="319">
        <v>215984</v>
      </c>
      <c r="FV74" s="319">
        <v>173173.64000000004</v>
      </c>
      <c r="FW74" s="319">
        <v>75512.5</v>
      </c>
      <c r="FX74" s="319">
        <v>61721.3</v>
      </c>
      <c r="FY74" s="319">
        <v>195171.08</v>
      </c>
      <c r="FZ74" s="319">
        <v>22877.58</v>
      </c>
      <c r="GA74" s="319">
        <v>192095.8</v>
      </c>
      <c r="GB74" s="319">
        <v>28067.23</v>
      </c>
      <c r="GC74" s="319">
        <v>29176.74</v>
      </c>
      <c r="GD74" s="319"/>
      <c r="GE74" s="319">
        <v>113601.52</v>
      </c>
      <c r="GF74" s="756">
        <v>205260.16</v>
      </c>
      <c r="GG74" s="756">
        <v>185369.24</v>
      </c>
      <c r="GH74" s="756">
        <v>193482.09000000032</v>
      </c>
      <c r="GI74" s="756">
        <v>90264.790000000037</v>
      </c>
      <c r="GJ74" s="42"/>
      <c r="GK74" s="570" t="s">
        <v>57</v>
      </c>
      <c r="GL74" s="571">
        <f>FN74/'4GF Expenditures'!B75</f>
        <v>0.18127409638144887</v>
      </c>
      <c r="GM74" s="571">
        <f>FO74/'4GF Expenditures'!C75</f>
        <v>0.16812067169589109</v>
      </c>
      <c r="GN74" s="571">
        <f>FP74/'4GF Expenditures'!D75</f>
        <v>0.17046699084417577</v>
      </c>
      <c r="GO74" s="571">
        <f>FQ74/'4GF Expenditures'!E75</f>
        <v>0.15322083697478203</v>
      </c>
      <c r="GP74" s="571">
        <f>FR74/'4GF Expenditures'!F75</f>
        <v>0.16370121959682732</v>
      </c>
      <c r="GQ74" s="571">
        <f>FS74/'4GF Expenditures'!G75</f>
        <v>8.7643642469979785E-2</v>
      </c>
      <c r="GR74" s="571">
        <f>FT74/'4GF Expenditures'!H75</f>
        <v>0.1257318508856774</v>
      </c>
      <c r="GS74" s="571">
        <f>FU74/'4GF Expenditures'!I75</f>
        <v>0.21865818965953612</v>
      </c>
      <c r="GT74" s="571">
        <f>FV74/'4GF Expenditures'!J75</f>
        <v>0.14370915345909635</v>
      </c>
      <c r="GU74" s="571">
        <f>FW74/'4GF Expenditures'!K75</f>
        <v>6.0301751120528518E-2</v>
      </c>
      <c r="GV74" s="571">
        <f>FX74/'4GF Expenditures'!L75</f>
        <v>4.6159056915842572E-2</v>
      </c>
      <c r="GW74" s="571">
        <f>FY74/'4GF Expenditures'!M75</f>
        <v>0.1581656497277571</v>
      </c>
      <c r="GX74" s="571">
        <f>FZ74/'4GF Expenditures'!N75</f>
        <v>1.639966142299646E-2</v>
      </c>
      <c r="GY74" s="571">
        <f>GA74/'4GF Expenditures'!O75</f>
        <v>0.14126825365837989</v>
      </c>
      <c r="GZ74" s="571">
        <f>GB74/'4GF Expenditures'!P75</f>
        <v>1.9628759811729377E-2</v>
      </c>
      <c r="HA74" s="571">
        <f>GC74/'4GF Expenditures'!Q75</f>
        <v>1.8805689801517218E-2</v>
      </c>
      <c r="HB74" s="571" t="e">
        <f>GD74/'4GF Expenditures'!R75</f>
        <v>#DIV/0!</v>
      </c>
      <c r="HC74" s="571">
        <f>GE74/'4GF Expenditures'!S75</f>
        <v>6.2839540909086264E-2</v>
      </c>
      <c r="HD74" s="571">
        <f>GF74/'4GF Expenditures'!T75</f>
        <v>0.13198104066975921</v>
      </c>
      <c r="HE74" s="571">
        <f>GG74/'4GF Expenditures'!U75</f>
        <v>0.11386945053848792</v>
      </c>
      <c r="HF74" s="571">
        <f>GH74/'4GF Expenditures'!V75</f>
        <v>9.7173551358668162E-2</v>
      </c>
      <c r="HG74" s="571">
        <f>GI74/'4GF Expenditures'!W75</f>
        <v>4.1588770378343333E-2</v>
      </c>
      <c r="HH74" s="571"/>
      <c r="HI74" s="571"/>
      <c r="HJ74" s="571"/>
      <c r="HK74" s="568"/>
      <c r="HL74" s="567" t="s">
        <v>57</v>
      </c>
      <c r="HM74" s="571">
        <f>B74/'4GF Expenditures'!B75</f>
        <v>1.0463003858138988</v>
      </c>
      <c r="HN74" s="571">
        <f>C74/'4GF Expenditures'!C75</f>
        <v>1.0031038842470144</v>
      </c>
      <c r="HO74" s="571">
        <f>D74/'4GF Expenditures'!D75</f>
        <v>1.0050938703192613</v>
      </c>
      <c r="HP74" s="571">
        <f>E74/'4GF Expenditures'!E75</f>
        <v>0.98910962771702837</v>
      </c>
      <c r="HQ74" s="571">
        <f>F74/'4GF Expenditures'!F75</f>
        <v>1.0240620272233913</v>
      </c>
      <c r="HR74" s="571">
        <f>G74/'4GF Expenditures'!G75</f>
        <v>0.9329613823460734</v>
      </c>
      <c r="HS74" s="571">
        <f>H74/'4GF Expenditures'!H75</f>
        <v>1.0330998761826449</v>
      </c>
      <c r="HT74" s="571">
        <f>I74/'4GF Expenditures'!I75</f>
        <v>1.0974528483351387</v>
      </c>
      <c r="HU74" s="571">
        <f>J74/'4GF Expenditures'!J75</f>
        <v>0.97010070964290807</v>
      </c>
      <c r="HV74" s="571">
        <f>K74/'4GF Expenditures'!K75</f>
        <v>0.92471049769138436</v>
      </c>
      <c r="HW74" s="571">
        <f>L74/'4GF Expenditures'!L75</f>
        <v>0.77044806704307733</v>
      </c>
      <c r="HX74" s="571">
        <f>M74/'4GF Expenditures'!M75</f>
        <v>1.1043265533615183</v>
      </c>
      <c r="HY74" s="571">
        <f>N74/'4GF Expenditures'!N75</f>
        <v>0.6713198483797016</v>
      </c>
      <c r="HZ74" s="571">
        <f>O74/'4GF Expenditures'!O75</f>
        <v>0.79520733330786875</v>
      </c>
      <c r="IA74" s="571">
        <f>P74/'4GF Expenditures'!P75</f>
        <v>0.91251720798086378</v>
      </c>
      <c r="IB74" s="571">
        <f>Q74/'4GF Expenditures'!Q75</f>
        <v>0.8943911016331646</v>
      </c>
      <c r="IC74" s="571" t="e">
        <f>R74/'4GF Expenditures'!R75</f>
        <v>#DIV/0!</v>
      </c>
      <c r="ID74" s="573">
        <f>S74/'4GF Expenditures'!S75</f>
        <v>1.0146714314553553</v>
      </c>
      <c r="IE74" s="572">
        <f>T74/'4GF Expenditures'!T75</f>
        <v>0</v>
      </c>
      <c r="IF74" s="572">
        <f>U74/'4GF Expenditures'!U75</f>
        <v>1.185762464047464</v>
      </c>
      <c r="IG74" s="572">
        <f>V74/'4GF Expenditures'!V75</f>
        <v>1.0040745603179093</v>
      </c>
      <c r="IH74" s="572">
        <f>W74/'4GF Expenditures'!W75</f>
        <v>0.9524434656218379</v>
      </c>
    </row>
    <row r="75" spans="1:458" ht="14">
      <c r="A75" s="43" t="s">
        <v>58</v>
      </c>
      <c r="B75" s="319">
        <v>949235</v>
      </c>
      <c r="C75" s="319">
        <v>862843</v>
      </c>
      <c r="D75" s="319">
        <v>1026618</v>
      </c>
      <c r="E75" s="319">
        <v>994616</v>
      </c>
      <c r="F75" s="319">
        <v>1057380</v>
      </c>
      <c r="G75" s="319">
        <v>1261220</v>
      </c>
      <c r="H75" s="319">
        <v>947189</v>
      </c>
      <c r="I75" s="319">
        <v>983595</v>
      </c>
      <c r="J75" s="319">
        <v>1045296.9099999999</v>
      </c>
      <c r="K75" s="319">
        <v>1112172.8400000001</v>
      </c>
      <c r="L75" s="319">
        <v>1045797.58</v>
      </c>
      <c r="M75" s="319">
        <v>1200075.52</v>
      </c>
      <c r="N75" s="319">
        <v>1169395.3199999998</v>
      </c>
      <c r="O75" s="319">
        <v>1187415.5</v>
      </c>
      <c r="P75" s="319">
        <v>1304023.3300000003</v>
      </c>
      <c r="Q75" s="319">
        <v>1134816.2</v>
      </c>
      <c r="R75" s="319">
        <v>1120400.54</v>
      </c>
      <c r="S75" s="362">
        <v>1090592.76</v>
      </c>
      <c r="T75" s="362">
        <v>1285916.3600000001</v>
      </c>
      <c r="U75" s="362"/>
      <c r="V75" s="362"/>
      <c r="W75" s="362"/>
      <c r="X75" s="6"/>
      <c r="Y75" s="43" t="s">
        <v>58</v>
      </c>
      <c r="Z75" s="319">
        <v>85431.15</v>
      </c>
      <c r="AA75" s="319">
        <v>94912.73</v>
      </c>
      <c r="AB75" s="319">
        <v>102661.8</v>
      </c>
      <c r="AC75" s="319">
        <v>109407.76</v>
      </c>
      <c r="AD75" s="319">
        <v>105738</v>
      </c>
      <c r="AE75" s="319">
        <v>126122</v>
      </c>
      <c r="AF75" s="319">
        <v>132606.46</v>
      </c>
      <c r="AG75" s="319">
        <v>137703.29999999999</v>
      </c>
      <c r="AH75" s="319">
        <v>140360.04999999999</v>
      </c>
      <c r="AI75" s="319">
        <v>145362.47</v>
      </c>
      <c r="AJ75" s="319">
        <v>144079.35</v>
      </c>
      <c r="AK75" s="319">
        <v>154134.35</v>
      </c>
      <c r="AL75" s="319">
        <v>184166.02000000002</v>
      </c>
      <c r="AM75" s="319">
        <v>217152.18</v>
      </c>
      <c r="AN75" s="319">
        <v>168160.86000000002</v>
      </c>
      <c r="AO75" s="319">
        <v>226035.78</v>
      </c>
      <c r="AP75" s="319">
        <v>190341.68</v>
      </c>
      <c r="AQ75" s="362">
        <v>172531.32</v>
      </c>
      <c r="AR75" s="753">
        <v>189682.47</v>
      </c>
      <c r="AS75" s="753"/>
      <c r="AT75" s="753"/>
      <c r="AU75" s="753"/>
      <c r="AV75" s="39"/>
      <c r="AW75" s="43" t="s">
        <v>58</v>
      </c>
      <c r="AX75" s="319">
        <v>436648.1</v>
      </c>
      <c r="AY75" s="319">
        <v>440049.93</v>
      </c>
      <c r="AZ75" s="319">
        <v>420913.38</v>
      </c>
      <c r="BA75" s="319">
        <v>467469.52</v>
      </c>
      <c r="BB75" s="319">
        <v>465247.2</v>
      </c>
      <c r="BC75" s="319">
        <v>491875.8</v>
      </c>
      <c r="BD75" s="319">
        <v>502010.17</v>
      </c>
      <c r="BE75" s="319">
        <v>501633.45</v>
      </c>
      <c r="BF75" s="319">
        <v>522629.37</v>
      </c>
      <c r="BG75" s="319">
        <v>542246.09</v>
      </c>
      <c r="BH75" s="319">
        <v>558858.56999999995</v>
      </c>
      <c r="BI75" s="319">
        <v>581504.82999999996</v>
      </c>
      <c r="BJ75" s="319">
        <v>564193.46</v>
      </c>
      <c r="BK75" s="319">
        <v>550046.30000000005</v>
      </c>
      <c r="BL75" s="319">
        <v>553331.78</v>
      </c>
      <c r="BM75" s="319">
        <v>572189.59</v>
      </c>
      <c r="BN75" s="319">
        <v>559001.47</v>
      </c>
      <c r="BO75" s="362">
        <v>559311.57999999996</v>
      </c>
      <c r="BP75" s="753">
        <v>615302.82999999996</v>
      </c>
      <c r="BQ75" s="753"/>
      <c r="BR75" s="753"/>
      <c r="BS75" s="753"/>
      <c r="BT75" s="286"/>
      <c r="BU75" s="43" t="s">
        <v>58</v>
      </c>
      <c r="BV75" s="319">
        <v>113908.2</v>
      </c>
      <c r="BW75" s="319">
        <v>129426.45</v>
      </c>
      <c r="BX75" s="319">
        <v>112927.98</v>
      </c>
      <c r="BY75" s="319">
        <v>139246.24</v>
      </c>
      <c r="BZ75" s="319">
        <v>126885.6</v>
      </c>
      <c r="CA75" s="319">
        <v>315305</v>
      </c>
      <c r="CB75" s="319">
        <v>85247.01</v>
      </c>
      <c r="CC75" s="319">
        <v>137703.29999999999</v>
      </c>
      <c r="CD75" s="319">
        <v>148174.87</v>
      </c>
      <c r="CE75" s="319">
        <v>184118.59000000003</v>
      </c>
      <c r="CF75" s="319">
        <v>104616.29000000001</v>
      </c>
      <c r="CG75" s="319">
        <v>224277.76000000001</v>
      </c>
      <c r="CH75" s="319">
        <v>176421.23</v>
      </c>
      <c r="CI75" s="319">
        <v>179013.71000000002</v>
      </c>
      <c r="CJ75" s="319">
        <v>125612.64000000001</v>
      </c>
      <c r="CK75" s="319">
        <v>124998.13</v>
      </c>
      <c r="CL75" s="319">
        <v>136139.35999999999</v>
      </c>
      <c r="CM75" s="362">
        <v>130630.19000000002</v>
      </c>
      <c r="CN75" s="753">
        <v>165122.78</v>
      </c>
      <c r="CO75" s="753"/>
      <c r="CP75" s="753"/>
      <c r="CQ75" s="753"/>
      <c r="CR75" s="39"/>
      <c r="CS75" s="43" t="s">
        <v>58</v>
      </c>
      <c r="CT75" s="319">
        <v>123400.55</v>
      </c>
      <c r="CU75" s="319">
        <v>129426.45</v>
      </c>
      <c r="CV75" s="319">
        <v>123194.16</v>
      </c>
      <c r="CW75" s="319">
        <v>129300.08</v>
      </c>
      <c r="CX75" s="319">
        <v>179754.6</v>
      </c>
      <c r="CY75" s="319">
        <v>163958.6</v>
      </c>
      <c r="CZ75" s="319">
        <v>161022.13</v>
      </c>
      <c r="DA75" s="319">
        <v>167211.15</v>
      </c>
      <c r="DB75" s="319">
        <v>177456.93</v>
      </c>
      <c r="DC75" s="319">
        <v>177733.96</v>
      </c>
      <c r="DD75" s="319">
        <v>180620.97</v>
      </c>
      <c r="DE75" s="319">
        <v>170073.8</v>
      </c>
      <c r="DF75" s="319">
        <v>174630.36</v>
      </c>
      <c r="DG75" s="319">
        <v>187672.51</v>
      </c>
      <c r="DH75" s="319">
        <v>162633.03</v>
      </c>
      <c r="DI75" s="319">
        <v>153412.22</v>
      </c>
      <c r="DJ75" s="319">
        <v>158283.75</v>
      </c>
      <c r="DK75" s="362">
        <v>168061.07</v>
      </c>
      <c r="DL75" s="753">
        <v>153531.96</v>
      </c>
      <c r="DM75" s="753"/>
      <c r="DN75" s="753"/>
      <c r="DO75" s="753"/>
      <c r="DP75" s="39"/>
      <c r="DQ75" s="43" t="s">
        <v>58</v>
      </c>
      <c r="DR75" s="319">
        <v>0</v>
      </c>
      <c r="DS75" s="319">
        <v>0</v>
      </c>
      <c r="DT75" s="319">
        <v>0</v>
      </c>
      <c r="DU75" s="319">
        <v>0</v>
      </c>
      <c r="DV75" s="319">
        <v>0</v>
      </c>
      <c r="DW75" s="319">
        <v>0</v>
      </c>
      <c r="DX75" s="319">
        <v>0</v>
      </c>
      <c r="DY75" s="319">
        <v>0</v>
      </c>
      <c r="DZ75" s="319">
        <v>4203.1899999999996</v>
      </c>
      <c r="EA75" s="319">
        <v>3958.46</v>
      </c>
      <c r="EB75" s="319">
        <v>7237.51</v>
      </c>
      <c r="EC75" s="319">
        <v>7342.18</v>
      </c>
      <c r="ED75" s="319">
        <v>6089.46</v>
      </c>
      <c r="EE75" s="319">
        <v>3617.41</v>
      </c>
      <c r="EF75" s="319">
        <v>1496.79</v>
      </c>
      <c r="EG75" s="319">
        <v>686.25</v>
      </c>
      <c r="EH75" s="319">
        <v>718.14</v>
      </c>
      <c r="EI75" s="362">
        <v>539.97</v>
      </c>
      <c r="EJ75" s="753">
        <v>503.14</v>
      </c>
      <c r="EK75" s="753"/>
      <c r="EL75" s="753"/>
      <c r="EM75" s="753"/>
      <c r="EN75" s="39"/>
      <c r="EO75" s="43" t="s">
        <v>58</v>
      </c>
      <c r="EP75" s="319">
        <v>189847</v>
      </c>
      <c r="EQ75" s="319">
        <v>69027.44</v>
      </c>
      <c r="ER75" s="319">
        <v>266920.68</v>
      </c>
      <c r="ES75" s="319">
        <v>149192.4</v>
      </c>
      <c r="ET75" s="319">
        <v>179754.6</v>
      </c>
      <c r="EU75" s="319">
        <v>163958.6</v>
      </c>
      <c r="EV75" s="319">
        <v>66303.23</v>
      </c>
      <c r="EW75" s="319">
        <v>39343.800000000003</v>
      </c>
      <c r="EX75" s="319">
        <v>52472.5</v>
      </c>
      <c r="EY75" s="319">
        <v>58002.41</v>
      </c>
      <c r="EZ75" s="319">
        <v>45694.959999999992</v>
      </c>
      <c r="FA75" s="319">
        <v>56900.86</v>
      </c>
      <c r="FB75" s="319">
        <v>57844.480000000003</v>
      </c>
      <c r="FC75" s="319">
        <v>43262.42</v>
      </c>
      <c r="FD75" s="319">
        <v>81769.61</v>
      </c>
      <c r="FE75" s="319">
        <v>51108.060000000005</v>
      </c>
      <c r="FF75" s="319">
        <v>66490.760000000009</v>
      </c>
      <c r="FG75" s="362">
        <v>43362.900000000009</v>
      </c>
      <c r="FH75" s="362">
        <v>109763.16</v>
      </c>
      <c r="FI75" s="362"/>
      <c r="FJ75" s="362"/>
      <c r="FK75" s="362"/>
      <c r="FM75" s="43" t="s">
        <v>58</v>
      </c>
      <c r="FN75" s="319">
        <v>94893</v>
      </c>
      <c r="FO75" s="319">
        <v>1573</v>
      </c>
      <c r="FP75" s="319">
        <v>111</v>
      </c>
      <c r="FQ75" s="319">
        <v>21651</v>
      </c>
      <c r="FR75" s="319">
        <v>61767</v>
      </c>
      <c r="FS75" s="319">
        <v>243033</v>
      </c>
      <c r="FT75" s="319">
        <v>268294</v>
      </c>
      <c r="FU75" s="319">
        <v>240339</v>
      </c>
      <c r="FV75" s="319">
        <v>220731.25999999978</v>
      </c>
      <c r="FW75" s="319">
        <v>194909.67</v>
      </c>
      <c r="FX75" s="319">
        <v>232318.18</v>
      </c>
      <c r="FY75" s="319">
        <v>148729.4</v>
      </c>
      <c r="FZ75" s="319">
        <v>194615.17</v>
      </c>
      <c r="GA75" s="319">
        <v>140349.31</v>
      </c>
      <c r="GB75" s="319">
        <v>160804.64000000001</v>
      </c>
      <c r="GC75" s="319">
        <v>125381.83</v>
      </c>
      <c r="GD75" s="319"/>
      <c r="GE75" s="319"/>
      <c r="GF75" s="756">
        <v>127210.61</v>
      </c>
      <c r="GG75" s="756"/>
      <c r="GH75" s="756"/>
      <c r="GI75" s="756"/>
      <c r="GJ75" s="42"/>
      <c r="GK75" s="570" t="s">
        <v>58</v>
      </c>
      <c r="GL75" s="571">
        <f>FN75/'4GF Expenditures'!B76</f>
        <v>0.10345177200120358</v>
      </c>
      <c r="GM75" s="571">
        <f>FO75/'4GF Expenditures'!C76</f>
        <v>1.6451169936506642E-3</v>
      </c>
      <c r="GN75" s="571">
        <f>FP75/'4GF Expenditures'!D76</f>
        <v>1.0796825149793791E-4</v>
      </c>
      <c r="GO75" s="571">
        <f>FQ75/'4GF Expenditures'!E76</f>
        <v>2.2250060632468583E-2</v>
      </c>
      <c r="GP75" s="571">
        <f>FR75/'4GF Expenditures'!F76</f>
        <v>6.0718751474543482E-2</v>
      </c>
      <c r="GQ75" s="571">
        <f>FS75/'4GF Expenditures'!G76</f>
        <v>0.22504034897814998</v>
      </c>
      <c r="GR75" s="571">
        <f>FT75/'4GF Expenditures'!H76</f>
        <v>0.29101436447788165</v>
      </c>
      <c r="GS75" s="571">
        <f>FU75/'4GF Expenditures'!I76</f>
        <v>0.23759454540601513</v>
      </c>
      <c r="GT75" s="571">
        <f>FV75/'4GF Expenditures'!J76</f>
        <v>0.2072780190498425</v>
      </c>
      <c r="GU75" s="571">
        <f>FW75/'4GF Expenditures'!K76</f>
        <v>0.17127471353264884</v>
      </c>
      <c r="GV75" s="571">
        <f>FX75/'4GF Expenditures'!L76</f>
        <v>0.23038546024700565</v>
      </c>
      <c r="GW75" s="571">
        <f>FY75/'4GF Expenditures'!M76</f>
        <v>0.11586315830392727</v>
      </c>
      <c r="GX75" s="571">
        <f>FZ75/'4GF Expenditures'!N76</f>
        <v>0.17322075277419766</v>
      </c>
      <c r="GY75" s="571">
        <f>GA75/'4GF Expenditures'!O76</f>
        <v>0.11303166377564049</v>
      </c>
      <c r="GZ75" s="571">
        <f>GB75/'4GF Expenditures'!P76</f>
        <v>0.12527940864839263</v>
      </c>
      <c r="HA75" s="571">
        <f>GC75/'4GF Expenditures'!Q76</f>
        <v>0.10714207006310617</v>
      </c>
      <c r="HB75" s="571">
        <f>GD75/'4GF Expenditures'!R76</f>
        <v>0</v>
      </c>
      <c r="HC75" s="571">
        <f>GE75/'4GF Expenditures'!S76</f>
        <v>0</v>
      </c>
      <c r="HD75" s="571">
        <f>GF75/'4GF Expenditures'!T76</f>
        <v>0.10508546357960247</v>
      </c>
      <c r="HE75" s="571" t="e">
        <f>GG75/'4GF Expenditures'!U76</f>
        <v>#DIV/0!</v>
      </c>
      <c r="HF75" s="571" t="e">
        <f>GH75/'4GF Expenditures'!V76</f>
        <v>#DIV/0!</v>
      </c>
      <c r="HG75" s="571" t="e">
        <f>GI75/'4GF Expenditures'!W76</f>
        <v>#DIV/0!</v>
      </c>
      <c r="HH75" s="571"/>
      <c r="HI75" s="571"/>
      <c r="HJ75" s="571"/>
      <c r="HK75" s="568"/>
      <c r="HL75" s="567" t="s">
        <v>58</v>
      </c>
      <c r="HM75" s="571">
        <f>B75/'4GF Expenditures'!B76</f>
        <v>1.0348502291587627</v>
      </c>
      <c r="HN75" s="571">
        <f>C75/'4GF Expenditures'!C76</f>
        <v>0.90240157797362996</v>
      </c>
      <c r="HO75" s="571">
        <f>D75/'4GF Expenditures'!D76</f>
        <v>0.99857793167846864</v>
      </c>
      <c r="HP75" s="571">
        <f>E75/'4GF Expenditures'!E76</f>
        <v>1.0221359893780135</v>
      </c>
      <c r="HQ75" s="571">
        <f>F75/'4GF Expenditures'!F76</f>
        <v>1.0394351908649082</v>
      </c>
      <c r="HR75" s="571">
        <f>G75/'4GF Expenditures'!G76</f>
        <v>1.1678471192727831</v>
      </c>
      <c r="HS75" s="571">
        <f>H75/'4GF Expenditures'!H76</f>
        <v>1.0274013018384318</v>
      </c>
      <c r="HT75" s="571">
        <f>I75/'4GF Expenditures'!I76</f>
        <v>0.9723632323036604</v>
      </c>
      <c r="HU75" s="571">
        <f>J75/'4GF Expenditures'!J76</f>
        <v>0.98158762299332547</v>
      </c>
      <c r="HV75" s="571">
        <f>K75/'4GF Expenditures'!K76</f>
        <v>0.9773095638086734</v>
      </c>
      <c r="HW75" s="571">
        <f>L75/'4GF Expenditures'!L76</f>
        <v>1.0370972981688507</v>
      </c>
      <c r="HX75" s="571">
        <f>M75/'4GF Expenditures'!M76</f>
        <v>0.93488267921761159</v>
      </c>
      <c r="HY75" s="571">
        <f>N75/'4GF Expenditures'!N76</f>
        <v>1.0408414596920872</v>
      </c>
      <c r="HZ75" s="571">
        <f>O75/'4GF Expenditures'!O76</f>
        <v>0.95629646884608155</v>
      </c>
      <c r="IA75" s="571">
        <f>P75/'4GF Expenditures'!P76</f>
        <v>1.0159363041147802</v>
      </c>
      <c r="IB75" s="571">
        <f>Q75/'4GF Expenditures'!Q76</f>
        <v>0.96973027757808206</v>
      </c>
      <c r="IC75" s="571">
        <f>R75/'4GF Expenditures'!R76</f>
        <v>1.0060308304661978</v>
      </c>
      <c r="ID75" s="573">
        <f>S75/'4GF Expenditures'!S76</f>
        <v>0.93145190187795401</v>
      </c>
      <c r="IE75" s="572">
        <f>T75/'4GF Expenditures'!T76</f>
        <v>1.0622629418662091</v>
      </c>
      <c r="IF75" s="572" t="e">
        <f>U75/'4GF Expenditures'!U76</f>
        <v>#DIV/0!</v>
      </c>
      <c r="IG75" s="572" t="e">
        <f>V75/'4GF Expenditures'!V76</f>
        <v>#DIV/0!</v>
      </c>
      <c r="IH75" s="572" t="e">
        <f>W75/'4GF Expenditures'!W76</f>
        <v>#DIV/0!</v>
      </c>
    </row>
    <row r="76" spans="1:458" ht="14">
      <c r="A76" s="43" t="s">
        <v>59</v>
      </c>
      <c r="B76" s="319">
        <v>1657991</v>
      </c>
      <c r="C76" s="319">
        <v>1573280</v>
      </c>
      <c r="D76" s="319">
        <v>1807681</v>
      </c>
      <c r="E76" s="319">
        <v>2003547</v>
      </c>
      <c r="F76" s="319">
        <v>2140876</v>
      </c>
      <c r="G76" s="319">
        <v>2084654</v>
      </c>
      <c r="H76" s="319">
        <v>2938604</v>
      </c>
      <c r="I76" s="319">
        <v>3179515</v>
      </c>
      <c r="J76" s="319">
        <v>2677933.52</v>
      </c>
      <c r="K76" s="319">
        <v>2933340.94</v>
      </c>
      <c r="L76" s="319">
        <v>3142089.12</v>
      </c>
      <c r="M76" s="319">
        <v>3803965.06</v>
      </c>
      <c r="N76" s="319">
        <v>3494528.62</v>
      </c>
      <c r="O76" s="319">
        <v>4275901.68</v>
      </c>
      <c r="P76" s="319"/>
      <c r="Q76" s="319">
        <v>3212237.63</v>
      </c>
      <c r="R76" s="319"/>
      <c r="S76" s="362">
        <v>2819921.4000000004</v>
      </c>
      <c r="T76" s="362"/>
      <c r="U76" s="362"/>
      <c r="V76" s="362"/>
      <c r="W76" s="362"/>
      <c r="X76" s="6"/>
      <c r="Y76" s="43" t="s">
        <v>59</v>
      </c>
      <c r="Z76" s="319">
        <v>182379.01</v>
      </c>
      <c r="AA76" s="319">
        <v>220259.20000000001</v>
      </c>
      <c r="AB76" s="319">
        <v>253075.34</v>
      </c>
      <c r="AC76" s="319">
        <v>260461.11</v>
      </c>
      <c r="AD76" s="319">
        <v>321131.40000000002</v>
      </c>
      <c r="AE76" s="319">
        <v>271005.02</v>
      </c>
      <c r="AF76" s="319">
        <v>293860.40000000002</v>
      </c>
      <c r="AG76" s="319">
        <v>317951.5</v>
      </c>
      <c r="AH76" s="319">
        <v>321770.05</v>
      </c>
      <c r="AI76" s="319">
        <v>400345.88</v>
      </c>
      <c r="AJ76" s="319">
        <v>336619.6</v>
      </c>
      <c r="AK76" s="319">
        <v>404475.19</v>
      </c>
      <c r="AL76" s="319">
        <v>320206.01</v>
      </c>
      <c r="AM76" s="319">
        <v>1029701.69</v>
      </c>
      <c r="AN76" s="319"/>
      <c r="AO76" s="319">
        <v>351996.67</v>
      </c>
      <c r="AP76" s="319"/>
      <c r="AQ76" s="362">
        <v>383299.76</v>
      </c>
      <c r="AR76" s="753"/>
      <c r="AS76" s="753"/>
      <c r="AT76" s="753"/>
      <c r="AU76" s="753"/>
      <c r="AV76" s="39"/>
      <c r="AW76" s="43" t="s">
        <v>59</v>
      </c>
      <c r="AX76" s="319">
        <v>580296.85</v>
      </c>
      <c r="AY76" s="319">
        <v>566380.80000000005</v>
      </c>
      <c r="AZ76" s="319">
        <v>560381.11</v>
      </c>
      <c r="BA76" s="319">
        <v>581028.63</v>
      </c>
      <c r="BB76" s="319">
        <v>556627.76</v>
      </c>
      <c r="BC76" s="319">
        <v>583703.12</v>
      </c>
      <c r="BD76" s="319">
        <v>617106.84</v>
      </c>
      <c r="BE76" s="319">
        <v>572312.69999999995</v>
      </c>
      <c r="BF76" s="319">
        <v>602131.18000000005</v>
      </c>
      <c r="BG76" s="319">
        <v>629410.80000000005</v>
      </c>
      <c r="BH76" s="319">
        <v>685416.73</v>
      </c>
      <c r="BI76" s="319">
        <v>772490.6</v>
      </c>
      <c r="BJ76" s="319">
        <v>690904.37</v>
      </c>
      <c r="BK76" s="319">
        <v>664882.38</v>
      </c>
      <c r="BL76" s="319"/>
      <c r="BM76" s="319">
        <v>714781.74</v>
      </c>
      <c r="BN76" s="319"/>
      <c r="BO76" s="362">
        <v>698196.06</v>
      </c>
      <c r="BP76" s="753"/>
      <c r="BQ76" s="753"/>
      <c r="BR76" s="753"/>
      <c r="BS76" s="753"/>
      <c r="BT76" s="286"/>
      <c r="BU76" s="43" t="s">
        <v>59</v>
      </c>
      <c r="BV76" s="319">
        <v>431077.66</v>
      </c>
      <c r="BW76" s="319">
        <v>283190.40000000002</v>
      </c>
      <c r="BX76" s="319">
        <v>289228.96000000002</v>
      </c>
      <c r="BY76" s="319">
        <v>280496.58</v>
      </c>
      <c r="BZ76" s="319">
        <v>363948.92</v>
      </c>
      <c r="CA76" s="319">
        <v>437777.34</v>
      </c>
      <c r="CB76" s="319">
        <v>646492.88</v>
      </c>
      <c r="CC76" s="319">
        <v>953854.5</v>
      </c>
      <c r="CD76" s="319">
        <v>1143025.3</v>
      </c>
      <c r="CE76" s="319">
        <v>1508428.73</v>
      </c>
      <c r="CF76" s="319">
        <v>1382328.69</v>
      </c>
      <c r="CG76" s="319">
        <v>1510518.0899999999</v>
      </c>
      <c r="CH76" s="319">
        <v>1642658.4600000002</v>
      </c>
      <c r="CI76" s="319">
        <v>1771045.07</v>
      </c>
      <c r="CJ76" s="319"/>
      <c r="CK76" s="319">
        <v>1153793.8799999999</v>
      </c>
      <c r="CL76" s="319"/>
      <c r="CM76" s="362">
        <v>1067413.43</v>
      </c>
      <c r="CN76" s="753"/>
      <c r="CO76" s="753"/>
      <c r="CP76" s="753"/>
      <c r="CQ76" s="753"/>
      <c r="CR76" s="39"/>
      <c r="CS76" s="43" t="s">
        <v>59</v>
      </c>
      <c r="CT76" s="319">
        <v>315018.28999999998</v>
      </c>
      <c r="CU76" s="319">
        <v>361854.4</v>
      </c>
      <c r="CV76" s="319">
        <v>596534.73</v>
      </c>
      <c r="CW76" s="319">
        <v>601064.1</v>
      </c>
      <c r="CX76" s="319">
        <v>599445.28</v>
      </c>
      <c r="CY76" s="319">
        <v>458623.88</v>
      </c>
      <c r="CZ76" s="319">
        <v>352632.48</v>
      </c>
      <c r="DA76" s="319">
        <v>381541.8</v>
      </c>
      <c r="DB76" s="319">
        <v>412804.15</v>
      </c>
      <c r="DC76" s="319">
        <v>261445.31</v>
      </c>
      <c r="DD76" s="319">
        <v>260249.81</v>
      </c>
      <c r="DE76" s="319">
        <v>253455.02000000002</v>
      </c>
      <c r="DF76" s="319">
        <v>204407.97000000003</v>
      </c>
      <c r="DG76" s="319">
        <v>208697.02000000002</v>
      </c>
      <c r="DH76" s="319"/>
      <c r="DI76" s="319">
        <v>338066.36</v>
      </c>
      <c r="DJ76" s="319"/>
      <c r="DK76" s="362">
        <v>120628.11000000002</v>
      </c>
      <c r="DL76" s="753"/>
      <c r="DM76" s="753"/>
      <c r="DN76" s="753"/>
      <c r="DO76" s="753"/>
      <c r="DP76" s="39"/>
      <c r="DQ76" s="43" t="s">
        <v>59</v>
      </c>
      <c r="DR76" s="319">
        <v>49739.73</v>
      </c>
      <c r="DS76" s="319">
        <v>47198.400000000001</v>
      </c>
      <c r="DT76" s="319">
        <v>18076.810000000001</v>
      </c>
      <c r="DU76" s="319">
        <v>20035.47</v>
      </c>
      <c r="DV76" s="319">
        <v>21408.76</v>
      </c>
      <c r="DW76" s="319">
        <v>20846.54</v>
      </c>
      <c r="DX76" s="319">
        <v>29386.04</v>
      </c>
      <c r="DY76" s="319">
        <v>0</v>
      </c>
      <c r="DZ76" s="319">
        <v>287.31</v>
      </c>
      <c r="EA76" s="319">
        <v>0</v>
      </c>
      <c r="EB76" s="319">
        <v>0</v>
      </c>
      <c r="EC76" s="319">
        <v>0</v>
      </c>
      <c r="ED76" s="319">
        <v>0</v>
      </c>
      <c r="EE76" s="319">
        <v>0</v>
      </c>
      <c r="EF76" s="319"/>
      <c r="EG76" s="319">
        <v>0</v>
      </c>
      <c r="EH76" s="319"/>
      <c r="EI76" s="362">
        <v>3891.05</v>
      </c>
      <c r="EJ76" s="753"/>
      <c r="EK76" s="753"/>
      <c r="EL76" s="753"/>
      <c r="EM76" s="753"/>
      <c r="EN76" s="39"/>
      <c r="EO76" s="43" t="s">
        <v>59</v>
      </c>
      <c r="EP76" s="319">
        <v>99479.46</v>
      </c>
      <c r="EQ76" s="319">
        <v>94396.800000000003</v>
      </c>
      <c r="ER76" s="319">
        <v>90384.05</v>
      </c>
      <c r="ES76" s="319">
        <v>260461.11</v>
      </c>
      <c r="ET76" s="319">
        <v>278313.88</v>
      </c>
      <c r="EU76" s="319">
        <v>312698.09999999998</v>
      </c>
      <c r="EV76" s="319">
        <v>999125.36</v>
      </c>
      <c r="EW76" s="319">
        <v>953854.5</v>
      </c>
      <c r="EX76" s="319">
        <v>155915.52999999997</v>
      </c>
      <c r="EY76" s="319">
        <v>133710.21999999997</v>
      </c>
      <c r="EZ76" s="319">
        <v>175342.55000000002</v>
      </c>
      <c r="FA76" s="319">
        <v>411026.88</v>
      </c>
      <c r="FB76" s="319">
        <v>217431.9</v>
      </c>
      <c r="FC76" s="319">
        <v>268858.18</v>
      </c>
      <c r="FD76" s="319"/>
      <c r="FE76" s="319">
        <v>190163.48</v>
      </c>
      <c r="FF76" s="319"/>
      <c r="FG76" s="362">
        <v>144614.34</v>
      </c>
      <c r="FH76" s="362"/>
      <c r="FI76" s="362"/>
      <c r="FJ76" s="362"/>
      <c r="FK76" s="362"/>
      <c r="FM76" s="43" t="s">
        <v>59</v>
      </c>
      <c r="FN76" s="319">
        <v>605829</v>
      </c>
      <c r="FO76" s="319">
        <v>270914</v>
      </c>
      <c r="FP76" s="319">
        <v>198079</v>
      </c>
      <c r="FQ76" s="319">
        <v>114620</v>
      </c>
      <c r="FR76" s="319">
        <v>204159</v>
      </c>
      <c r="FS76" s="319">
        <v>50436</v>
      </c>
      <c r="FT76" s="319">
        <v>6522</v>
      </c>
      <c r="FU76" s="319">
        <v>1439</v>
      </c>
      <c r="FV76" s="319">
        <v>-376696.11999999965</v>
      </c>
      <c r="FW76" s="319">
        <v>-546633.37</v>
      </c>
      <c r="FX76" s="319">
        <v>-723007.5</v>
      </c>
      <c r="FY76" s="319">
        <v>-298029.40000000002</v>
      </c>
      <c r="FZ76" s="319">
        <v>-412322.72</v>
      </c>
      <c r="GA76" s="319">
        <v>-298637.17</v>
      </c>
      <c r="GB76" s="319"/>
      <c r="GC76" s="319">
        <v>-933872.42</v>
      </c>
      <c r="GD76" s="319"/>
      <c r="GE76" s="319">
        <v>-936829.84</v>
      </c>
      <c r="GF76" s="756"/>
      <c r="GG76" s="756"/>
      <c r="GH76" s="756"/>
      <c r="GI76" s="756"/>
      <c r="GJ76" s="42"/>
      <c r="GK76" s="570" t="s">
        <v>59</v>
      </c>
      <c r="GL76" s="571">
        <f>FN76/'4GF Expenditures'!B77</f>
        <v>0.40819298019840006</v>
      </c>
      <c r="GM76" s="571">
        <f>FO76/'4GF Expenditures'!C77</f>
        <v>0.14197395968441381</v>
      </c>
      <c r="GN76" s="571">
        <f>FP76/'4GF Expenditures'!D77</f>
        <v>0.10533225986909976</v>
      </c>
      <c r="GO76" s="571">
        <f>FQ76/'4GF Expenditures'!E77</f>
        <v>5.4920781253144459E-2</v>
      </c>
      <c r="GP76" s="571">
        <f>FR76/'4GF Expenditures'!F77</f>
        <v>9.9524846478174972E-2</v>
      </c>
      <c r="GQ76" s="571">
        <f>FS76/'4GF Expenditures'!G77</f>
        <v>2.253239735754969E-2</v>
      </c>
      <c r="GR76" s="571">
        <f>FT76/'4GF Expenditures'!H77</f>
        <v>2.1867428796741545E-3</v>
      </c>
      <c r="GS76" s="571">
        <f>FU76/'4GF Expenditures'!I77</f>
        <v>4.5186237006994288E-4</v>
      </c>
      <c r="GT76" s="571">
        <f>FV76/'4GF Expenditures'!J77</f>
        <v>-0.12326702836187881</v>
      </c>
      <c r="GU76" s="571">
        <f>FW76/'4GF Expenditures'!K77</f>
        <v>-0.17614593781592092</v>
      </c>
      <c r="GV76" s="571">
        <f>FX76/'4GF Expenditures'!L77</f>
        <v>-0.21801492952559584</v>
      </c>
      <c r="GW76" s="571">
        <f>FY76/'4GF Expenditures'!M77</f>
        <v>-8.8200813891273516E-2</v>
      </c>
      <c r="GX76" s="571">
        <f>FZ76/'4GF Expenditures'!N77</f>
        <v>-0.11425410476195451</v>
      </c>
      <c r="GY76" s="571">
        <f>GA76/'4GF Expenditures'!O77</f>
        <v>-7.1749558569895788E-2</v>
      </c>
      <c r="GZ76" s="571" t="e">
        <f>GB76/'4GF Expenditures'!P77</f>
        <v>#DIV/0!</v>
      </c>
      <c r="HA76" s="571">
        <f>GC76/'4GF Expenditures'!Q77</f>
        <v>-0.26683502199402404</v>
      </c>
      <c r="HB76" s="571" t="e">
        <f>GD76/'4GF Expenditures'!R77</f>
        <v>#DIV/0!</v>
      </c>
      <c r="HC76" s="571">
        <f>GE76/'4GF Expenditures'!S77</f>
        <v>-0.30903077146154384</v>
      </c>
      <c r="HD76" s="571" t="e">
        <f>GF76/'4GF Expenditures'!T77</f>
        <v>#DIV/0!</v>
      </c>
      <c r="HE76" s="571" t="e">
        <f>GG76/'4GF Expenditures'!U77</f>
        <v>#DIV/0!</v>
      </c>
      <c r="HF76" s="571" t="e">
        <f>GH76/'4GF Expenditures'!V77</f>
        <v>#DIV/0!</v>
      </c>
      <c r="HG76" s="571" t="e">
        <f>GI76/'4GF Expenditures'!W77</f>
        <v>#DIV/0!</v>
      </c>
      <c r="HH76" s="571"/>
      <c r="HI76" s="571"/>
      <c r="HJ76" s="571"/>
      <c r="HK76" s="568"/>
      <c r="HL76" s="567" t="s">
        <v>59</v>
      </c>
      <c r="HM76" s="571">
        <f>B76/'4GF Expenditures'!B77</f>
        <v>1.1171143795231417</v>
      </c>
      <c r="HN76" s="571">
        <f>C76/'4GF Expenditures'!C77</f>
        <v>0.82448596710503907</v>
      </c>
      <c r="HO76" s="571">
        <f>D76/'4GF Expenditures'!D77</f>
        <v>0.96126860925405577</v>
      </c>
      <c r="HP76" s="571">
        <f>E76/'4GF Expenditures'!E77</f>
        <v>0.96001017725871418</v>
      </c>
      <c r="HQ76" s="571">
        <f>F76/'4GF Expenditures'!F77</f>
        <v>1.0436490932499145</v>
      </c>
      <c r="HR76" s="571">
        <f>G76/'4GF Expenditures'!G77</f>
        <v>0.93132390120162956</v>
      </c>
      <c r="HS76" s="571">
        <f>H76/'4GF Expenditures'!H77</f>
        <v>0.9852761995065914</v>
      </c>
      <c r="HT76" s="571">
        <f>I76/'4GF Expenditures'!I77</f>
        <v>0.99840388017577097</v>
      </c>
      <c r="HU76" s="571">
        <f>J76/'4GF Expenditures'!J77</f>
        <v>0.8763055673657224</v>
      </c>
      <c r="HV76" s="571">
        <f>K76/'4GF Expenditures'!K77</f>
        <v>0.94523334865219621</v>
      </c>
      <c r="HW76" s="571">
        <f>L76/'4GF Expenditures'!L77</f>
        <v>0.94746228505228713</v>
      </c>
      <c r="HX76" s="571">
        <f>M76/'4GF Expenditures'!M77</f>
        <v>1.1257708612169373</v>
      </c>
      <c r="HY76" s="571">
        <f>N76/'4GF Expenditures'!N77</f>
        <v>0.96832946543214593</v>
      </c>
      <c r="HZ76" s="571">
        <f>O76/'4GF Expenditures'!O77</f>
        <v>1.0273137065566078</v>
      </c>
      <c r="IA76" s="571" t="e">
        <f>P76/'4GF Expenditures'!P77</f>
        <v>#DIV/0!</v>
      </c>
      <c r="IB76" s="571">
        <f>Q76/'4GF Expenditures'!Q77</f>
        <v>0.91783147279484023</v>
      </c>
      <c r="IC76" s="571" t="e">
        <f>R76/'4GF Expenditures'!R77</f>
        <v>#DIV/0!</v>
      </c>
      <c r="ID76" s="573">
        <f>S76/'4GF Expenditures'!S77</f>
        <v>0.93020359567423361</v>
      </c>
      <c r="IE76" s="572" t="e">
        <f>T76/'4GF Expenditures'!T77</f>
        <v>#DIV/0!</v>
      </c>
      <c r="IF76" s="572" t="e">
        <f>U76/'4GF Expenditures'!U77</f>
        <v>#DIV/0!</v>
      </c>
      <c r="IG76" s="572" t="e">
        <f>V76/'4GF Expenditures'!V77</f>
        <v>#DIV/0!</v>
      </c>
      <c r="IH76" s="572" t="e">
        <f>W76/'4GF Expenditures'!W77</f>
        <v>#DIV/0!</v>
      </c>
    </row>
    <row r="77" spans="1:458" ht="14">
      <c r="A77" s="43" t="s">
        <v>60</v>
      </c>
      <c r="B77" s="319">
        <v>1785929</v>
      </c>
      <c r="C77" s="319">
        <v>1778977</v>
      </c>
      <c r="D77" s="319">
        <v>1885954</v>
      </c>
      <c r="E77" s="319">
        <v>1951712</v>
      </c>
      <c r="F77" s="319">
        <v>2047768</v>
      </c>
      <c r="G77" s="319">
        <v>2068629</v>
      </c>
      <c r="H77" s="319">
        <v>2175333</v>
      </c>
      <c r="I77" s="319">
        <v>2378387</v>
      </c>
      <c r="J77" s="319">
        <v>2659097.7599999993</v>
      </c>
      <c r="K77" s="319">
        <v>2699192.8299999996</v>
      </c>
      <c r="L77" s="319">
        <v>2719032.7199999997</v>
      </c>
      <c r="M77" s="319">
        <v>2573316.96</v>
      </c>
      <c r="N77" s="319">
        <v>2640719.58</v>
      </c>
      <c r="O77" s="319">
        <v>2785269.23</v>
      </c>
      <c r="P77" s="319">
        <v>2787653.7600000002</v>
      </c>
      <c r="Q77" s="319">
        <v>3145616.6399999997</v>
      </c>
      <c r="R77" s="319">
        <v>3212852.09</v>
      </c>
      <c r="S77" s="362">
        <v>3187570.4</v>
      </c>
      <c r="T77" s="362">
        <v>3287903.8000000003</v>
      </c>
      <c r="U77" s="362">
        <v>3509864.92</v>
      </c>
      <c r="V77" s="362">
        <v>3678376.35</v>
      </c>
      <c r="W77" s="362">
        <v>3324006.56</v>
      </c>
      <c r="X77" s="6"/>
      <c r="Y77" s="43" t="s">
        <v>60</v>
      </c>
      <c r="Z77" s="319">
        <v>250030.06</v>
      </c>
      <c r="AA77" s="319">
        <v>249056.78</v>
      </c>
      <c r="AB77" s="319">
        <v>282893.09999999998</v>
      </c>
      <c r="AC77" s="319">
        <v>409859.52</v>
      </c>
      <c r="AD77" s="319">
        <v>389075.92</v>
      </c>
      <c r="AE77" s="319">
        <v>413725.8</v>
      </c>
      <c r="AF77" s="319">
        <v>435066.6</v>
      </c>
      <c r="AG77" s="319">
        <v>451893.53</v>
      </c>
      <c r="AH77" s="319">
        <v>444881.82</v>
      </c>
      <c r="AI77" s="319">
        <v>447458.4</v>
      </c>
      <c r="AJ77" s="319">
        <v>490173.66</v>
      </c>
      <c r="AK77" s="319">
        <v>512221.98</v>
      </c>
      <c r="AL77" s="319">
        <v>539026.4</v>
      </c>
      <c r="AM77" s="319">
        <v>570224.61</v>
      </c>
      <c r="AN77" s="319">
        <v>565776.65</v>
      </c>
      <c r="AO77" s="319">
        <v>604721.6100000001</v>
      </c>
      <c r="AP77" s="319">
        <v>579705.32999999996</v>
      </c>
      <c r="AQ77" s="362">
        <v>581597.43000000005</v>
      </c>
      <c r="AR77" s="753">
        <v>646681.98</v>
      </c>
      <c r="AS77" s="753">
        <v>761431.04000000004</v>
      </c>
      <c r="AT77" s="753">
        <v>829208.06</v>
      </c>
      <c r="AU77" s="753">
        <v>636000</v>
      </c>
      <c r="AV77" s="39"/>
      <c r="AW77" s="43" t="s">
        <v>60</v>
      </c>
      <c r="AX77" s="319">
        <v>750090.18</v>
      </c>
      <c r="AY77" s="319">
        <v>818329.42</v>
      </c>
      <c r="AZ77" s="319">
        <v>792100.68</v>
      </c>
      <c r="BA77" s="319">
        <v>897787.52</v>
      </c>
      <c r="BB77" s="319">
        <v>962450.96</v>
      </c>
      <c r="BC77" s="319">
        <v>972255.63</v>
      </c>
      <c r="BD77" s="319">
        <v>978899.85</v>
      </c>
      <c r="BE77" s="319">
        <v>1022706.41</v>
      </c>
      <c r="BF77" s="319">
        <v>1075532.68</v>
      </c>
      <c r="BG77" s="319">
        <v>1100519.57</v>
      </c>
      <c r="BH77" s="319">
        <v>1124133.97</v>
      </c>
      <c r="BI77" s="319">
        <v>1157637.98</v>
      </c>
      <c r="BJ77" s="319">
        <v>1155691.49</v>
      </c>
      <c r="BK77" s="319">
        <v>1127534.77</v>
      </c>
      <c r="BL77" s="319">
        <v>1148893.2</v>
      </c>
      <c r="BM77" s="319">
        <v>1155872.3999999999</v>
      </c>
      <c r="BN77" s="319">
        <v>1161109.48</v>
      </c>
      <c r="BO77" s="362">
        <v>1241114.3999999999</v>
      </c>
      <c r="BP77" s="753">
        <v>1379053.49</v>
      </c>
      <c r="BQ77" s="753">
        <v>1440507.57</v>
      </c>
      <c r="BR77" s="753">
        <v>1447068.9</v>
      </c>
      <c r="BS77" s="753">
        <v>1300000</v>
      </c>
      <c r="BT77" s="286"/>
      <c r="BU77" s="43" t="s">
        <v>60</v>
      </c>
      <c r="BV77" s="319">
        <v>357185.8</v>
      </c>
      <c r="BW77" s="319">
        <v>355795.4</v>
      </c>
      <c r="BX77" s="319">
        <v>358331.26</v>
      </c>
      <c r="BY77" s="319">
        <v>195171.20000000001</v>
      </c>
      <c r="BZ77" s="319">
        <v>204776.8</v>
      </c>
      <c r="CA77" s="319">
        <v>289608.06</v>
      </c>
      <c r="CB77" s="319">
        <v>282793.28999999998</v>
      </c>
      <c r="CC77" s="319">
        <v>380541.92</v>
      </c>
      <c r="CD77" s="319">
        <v>592016.46</v>
      </c>
      <c r="CE77" s="319">
        <v>526943.64</v>
      </c>
      <c r="CF77" s="319">
        <v>496996.42999999993</v>
      </c>
      <c r="CG77" s="319">
        <v>287119.06</v>
      </c>
      <c r="CH77" s="319">
        <v>281797.70000000007</v>
      </c>
      <c r="CI77" s="319">
        <v>288387.02</v>
      </c>
      <c r="CJ77" s="319">
        <v>341168.35</v>
      </c>
      <c r="CK77" s="319">
        <v>612527.53</v>
      </c>
      <c r="CL77" s="319">
        <v>615546.39</v>
      </c>
      <c r="CM77" s="362">
        <v>632443.67000000004</v>
      </c>
      <c r="CN77" s="753">
        <v>521254.2</v>
      </c>
      <c r="CO77" s="753">
        <v>531573.53</v>
      </c>
      <c r="CP77" s="753">
        <v>535722.73</v>
      </c>
      <c r="CQ77" s="753">
        <v>606500</v>
      </c>
      <c r="CR77" s="39"/>
      <c r="CS77" s="43" t="s">
        <v>60</v>
      </c>
      <c r="CT77" s="319">
        <v>250030.06</v>
      </c>
      <c r="CU77" s="319">
        <v>213477.24</v>
      </c>
      <c r="CV77" s="319">
        <v>245174.02</v>
      </c>
      <c r="CW77" s="319">
        <v>253722.56</v>
      </c>
      <c r="CX77" s="319">
        <v>245732.16</v>
      </c>
      <c r="CY77" s="319">
        <v>289608.06</v>
      </c>
      <c r="CZ77" s="319">
        <v>348053.28</v>
      </c>
      <c r="DA77" s="319">
        <v>356758.05</v>
      </c>
      <c r="DB77" s="319">
        <v>357921.72</v>
      </c>
      <c r="DC77" s="319">
        <v>368222.22</v>
      </c>
      <c r="DD77" s="319">
        <v>364593.99000000005</v>
      </c>
      <c r="DE77" s="319">
        <v>375223.05000000005</v>
      </c>
      <c r="DF77" s="319">
        <v>363504.89</v>
      </c>
      <c r="DG77" s="319">
        <v>397467.51</v>
      </c>
      <c r="DH77" s="319">
        <v>383345.07</v>
      </c>
      <c r="DI77" s="319">
        <v>380453.62999999995</v>
      </c>
      <c r="DJ77" s="319">
        <v>400198.48000000004</v>
      </c>
      <c r="DK77" s="362">
        <v>397196.56</v>
      </c>
      <c r="DL77" s="753">
        <v>397463.34</v>
      </c>
      <c r="DM77" s="753">
        <v>397174.62999999995</v>
      </c>
      <c r="DN77" s="753">
        <v>457666.63999999996</v>
      </c>
      <c r="DO77" s="753">
        <v>387500</v>
      </c>
      <c r="DP77" s="39"/>
      <c r="DQ77" s="43" t="s">
        <v>60</v>
      </c>
      <c r="DR77" s="319">
        <v>35718.58</v>
      </c>
      <c r="DS77" s="319">
        <v>35579.54</v>
      </c>
      <c r="DT77" s="319">
        <v>37719.08</v>
      </c>
      <c r="DU77" s="319">
        <v>39034.239999999998</v>
      </c>
      <c r="DV77" s="319">
        <v>40955.360000000001</v>
      </c>
      <c r="DW77" s="319">
        <v>20686.29</v>
      </c>
      <c r="DX77" s="319">
        <v>21753.33</v>
      </c>
      <c r="DY77" s="319">
        <v>0</v>
      </c>
      <c r="DZ77" s="319">
        <v>14991.87</v>
      </c>
      <c r="EA77" s="319">
        <v>33026.49</v>
      </c>
      <c r="EB77" s="319">
        <v>36653.620000000003</v>
      </c>
      <c r="EC77" s="319">
        <v>27909.39</v>
      </c>
      <c r="ED77" s="319">
        <v>14196.68</v>
      </c>
      <c r="EE77" s="319">
        <v>4113.32</v>
      </c>
      <c r="EF77" s="319">
        <v>2149.5100000000002</v>
      </c>
      <c r="EG77" s="319">
        <v>1918.29</v>
      </c>
      <c r="EH77" s="319">
        <v>2087.38</v>
      </c>
      <c r="EI77" s="362">
        <v>1362.97</v>
      </c>
      <c r="EJ77" s="753">
        <v>713.5</v>
      </c>
      <c r="EK77" s="753">
        <v>1464.86</v>
      </c>
      <c r="EL77" s="753">
        <v>2053.98</v>
      </c>
      <c r="EM77" s="753">
        <v>1500</v>
      </c>
      <c r="EN77" s="39"/>
      <c r="EO77" s="43" t="s">
        <v>60</v>
      </c>
      <c r="EP77" s="319">
        <v>142874.32</v>
      </c>
      <c r="EQ77" s="319">
        <v>106738.62</v>
      </c>
      <c r="ER77" s="319">
        <v>169735.86</v>
      </c>
      <c r="ES77" s="319">
        <v>156136.95999999999</v>
      </c>
      <c r="ET77" s="319">
        <v>204776.8</v>
      </c>
      <c r="EU77" s="319">
        <v>82745.16</v>
      </c>
      <c r="EV77" s="319">
        <v>108766.65</v>
      </c>
      <c r="EW77" s="319">
        <v>166487.09</v>
      </c>
      <c r="EX77" s="319">
        <v>44201.649999999994</v>
      </c>
      <c r="EY77" s="319">
        <v>59078.71</v>
      </c>
      <c r="EZ77" s="319">
        <v>50426.340000000004</v>
      </c>
      <c r="FA77" s="319">
        <v>61800.49</v>
      </c>
      <c r="FB77" s="319">
        <v>121368.72</v>
      </c>
      <c r="FC77" s="319">
        <v>209570.99</v>
      </c>
      <c r="FD77" s="319">
        <v>176841.34</v>
      </c>
      <c r="FE77" s="319">
        <v>231281.47</v>
      </c>
      <c r="FF77" s="319">
        <v>265673.59999999998</v>
      </c>
      <c r="FG77" s="362">
        <v>177371.46</v>
      </c>
      <c r="FH77" s="362">
        <v>197303.43</v>
      </c>
      <c r="FI77" s="362">
        <v>192364.08</v>
      </c>
      <c r="FJ77" s="362">
        <v>214782.61</v>
      </c>
      <c r="FK77" s="362">
        <v>207506.56</v>
      </c>
      <c r="FM77" s="43" t="s">
        <v>60</v>
      </c>
      <c r="FN77" s="319">
        <v>426952</v>
      </c>
      <c r="FO77" s="319">
        <v>468729</v>
      </c>
      <c r="FP77" s="319">
        <v>347061</v>
      </c>
      <c r="FQ77" s="319">
        <v>503917</v>
      </c>
      <c r="FR77" s="319">
        <v>516863</v>
      </c>
      <c r="FS77" s="319">
        <v>451028</v>
      </c>
      <c r="FT77" s="319">
        <v>535110</v>
      </c>
      <c r="FU77" s="319">
        <v>638276</v>
      </c>
      <c r="FV77" s="319">
        <v>766254.15999999933</v>
      </c>
      <c r="FW77" s="319">
        <v>761021.22</v>
      </c>
      <c r="FX77" s="319">
        <v>643892.13</v>
      </c>
      <c r="FY77" s="319">
        <v>350433.31</v>
      </c>
      <c r="FZ77" s="319">
        <v>27693.200000000001</v>
      </c>
      <c r="GA77" s="319">
        <v>49129.56</v>
      </c>
      <c r="GB77" s="319">
        <v>80427.7</v>
      </c>
      <c r="GC77" s="319">
        <v>190422.46</v>
      </c>
      <c r="GD77" s="319">
        <v>75100.52</v>
      </c>
      <c r="GE77" s="319">
        <v>77884.58</v>
      </c>
      <c r="GF77" s="756">
        <v>147774.18</v>
      </c>
      <c r="GG77" s="756">
        <v>637830.81000000006</v>
      </c>
      <c r="GH77" s="756">
        <v>884706.31000000052</v>
      </c>
      <c r="GI77" s="756">
        <v>117666.87000000011</v>
      </c>
      <c r="GJ77" s="42"/>
      <c r="GK77" s="570" t="s">
        <v>60</v>
      </c>
      <c r="GL77" s="571">
        <f>FN77/'4GF Expenditures'!B78</f>
        <v>0.23253149059094691</v>
      </c>
      <c r="GM77" s="571">
        <f>FO77/'4GF Expenditures'!C78</f>
        <v>0.26981867372783791</v>
      </c>
      <c r="GN77" s="571">
        <f>FP77/'4GF Expenditures'!D78</f>
        <v>0.17287168600463634</v>
      </c>
      <c r="GO77" s="571">
        <f>FQ77/'4GF Expenditures'!E78</f>
        <v>0.28075622779766174</v>
      </c>
      <c r="GP77" s="571">
        <f>FR77/'4GF Expenditures'!F78</f>
        <v>0.25400895016861424</v>
      </c>
      <c r="GQ77" s="571">
        <f>FS77/'4GF Expenditures'!G78</f>
        <v>0.21130738208749364</v>
      </c>
      <c r="GR77" s="571">
        <f>FT77/'4GF Expenditures'!H78</f>
        <v>0.25588033191615928</v>
      </c>
      <c r="GS77" s="571">
        <f>FU77/'4GF Expenditures'!I78</f>
        <v>0.28053350398334753</v>
      </c>
      <c r="GT77" s="571">
        <f>FV77/'4GF Expenditures'!J78</f>
        <v>0.3013556984232284</v>
      </c>
      <c r="GU77" s="571">
        <f>FW77/'4GF Expenditures'!K78</f>
        <v>0.28139845006727615</v>
      </c>
      <c r="GV77" s="571">
        <f>FX77/'4GF Expenditures'!L78</f>
        <v>0.22654401962779702</v>
      </c>
      <c r="GW77" s="571">
        <f>FY77/'4GF Expenditures'!M78</f>
        <v>0.12164828055131188</v>
      </c>
      <c r="GX77" s="571">
        <f>FZ77/'4GF Expenditures'!N78</f>
        <v>9.3448883726844293E-3</v>
      </c>
      <c r="GY77" s="571">
        <f>GA77/'4GF Expenditures'!O78</f>
        <v>1.7836611587651052E-2</v>
      </c>
      <c r="GZ77" s="571">
        <f>GB77/'4GF Expenditures'!P78</f>
        <v>2.9178999769267803E-2</v>
      </c>
      <c r="HA77" s="571">
        <f>GC77/'4GF Expenditures'!Q78</f>
        <v>6.2720532888792063E-2</v>
      </c>
      <c r="HB77" s="571">
        <f>GD77/'4GF Expenditures'!R78</f>
        <v>2.2564229679132717E-2</v>
      </c>
      <c r="HC77" s="571">
        <f>GE77/'4GF Expenditures'!S78</f>
        <v>2.4455197832831701E-2</v>
      </c>
      <c r="HD77" s="571">
        <f>GF77/'4GF Expenditures'!T78</f>
        <v>4.4536934169841703E-2</v>
      </c>
      <c r="HE77" s="571">
        <f>GG77/'4GF Expenditures'!U78</f>
        <v>0.21121770253442346</v>
      </c>
      <c r="HF77" s="571">
        <f>GH77/'4GF Expenditures'!V78</f>
        <v>0.25781905605531197</v>
      </c>
      <c r="HG77" s="571">
        <f>GI77/'4GF Expenditures'!W78</f>
        <v>2.8762050096723456E-2</v>
      </c>
      <c r="HH77" s="571"/>
      <c r="HI77" s="571"/>
      <c r="HJ77" s="571"/>
      <c r="HK77" s="568"/>
      <c r="HL77" s="567" t="s">
        <v>60</v>
      </c>
      <c r="HM77" s="571">
        <f>B77/'4GF Expenditures'!B78</f>
        <v>0.97267311655548927</v>
      </c>
      <c r="HN77" s="571">
        <f>C77/'4GF Expenditures'!C78</f>
        <v>1.0240484688003684</v>
      </c>
      <c r="HO77" s="571">
        <f>D77/'4GF Expenditures'!D78</f>
        <v>0.93939695819232905</v>
      </c>
      <c r="HP77" s="571">
        <f>E77/'4GF Expenditures'!E78</f>
        <v>1.0873919690493277</v>
      </c>
      <c r="HQ77" s="571">
        <f>F77/'4GF Expenditures'!F78</f>
        <v>1.0063622272611561</v>
      </c>
      <c r="HR77" s="571">
        <f>G77/'4GF Expenditures'!G78</f>
        <v>0.96915619096878658</v>
      </c>
      <c r="HS77" s="571">
        <f>H77/'4GF Expenditures'!H78</f>
        <v>1.0402065557888556</v>
      </c>
      <c r="HT77" s="571">
        <f>I77/'4GF Expenditures'!I78</f>
        <v>1.0453428280844683</v>
      </c>
      <c r="HU77" s="571">
        <f>J77/'4GF Expenditures'!J78</f>
        <v>1.0457812883396844</v>
      </c>
      <c r="HV77" s="571">
        <f>K77/'4GF Expenditures'!K78</f>
        <v>0.99806504580083155</v>
      </c>
      <c r="HW77" s="571">
        <f>L77/'4GF Expenditures'!L78</f>
        <v>0.95665185702503042</v>
      </c>
      <c r="HX77" s="571">
        <f>M77/'4GF Expenditures'!M78</f>
        <v>0.89329288787509675</v>
      </c>
      <c r="HY77" s="571">
        <f>N77/'4GF Expenditures'!N78</f>
        <v>0.89109347055096944</v>
      </c>
      <c r="HZ77" s="571">
        <f>O77/'4GF Expenditures'!O78</f>
        <v>1.0111990708352756</v>
      </c>
      <c r="IA77" s="571">
        <f>P77/'4GF Expenditures'!P78</f>
        <v>1.011354899118569</v>
      </c>
      <c r="IB77" s="571">
        <f>Q77/'4GF Expenditures'!Q78</f>
        <v>1.0360897129711042</v>
      </c>
      <c r="IC77" s="571">
        <f>R77/'4GF Expenditures'!R78</f>
        <v>0.96531332251549751</v>
      </c>
      <c r="ID77" s="573">
        <f>S77/'4GF Expenditures'!S78</f>
        <v>1.0008741748119907</v>
      </c>
      <c r="IE77" s="572">
        <f>T77/'4GF Expenditures'!T78</f>
        <v>0.9909251744612787</v>
      </c>
      <c r="IF77" s="572">
        <f>U77/'4GF Expenditures'!U78</f>
        <v>1.1622919322579728</v>
      </c>
      <c r="IG77" s="572">
        <f>V77/'4GF Expenditures'!V78</f>
        <v>1.0719438842627711</v>
      </c>
      <c r="IH77" s="572">
        <f>W77/'4GF Expenditures'!W78</f>
        <v>0.81250774496302414</v>
      </c>
    </row>
    <row r="78" spans="1:458" ht="14">
      <c r="A78" s="43" t="s">
        <v>61</v>
      </c>
      <c r="B78" s="319">
        <v>2840496</v>
      </c>
      <c r="C78" s="319">
        <v>3556859</v>
      </c>
      <c r="D78" s="319">
        <v>3891428</v>
      </c>
      <c r="E78" s="319">
        <v>3696142</v>
      </c>
      <c r="F78" s="319">
        <v>3775599</v>
      </c>
      <c r="G78" s="319">
        <v>3989351</v>
      </c>
      <c r="H78" s="319">
        <v>4170113</v>
      </c>
      <c r="I78" s="319">
        <v>4092679</v>
      </c>
      <c r="J78" s="319">
        <v>3882464</v>
      </c>
      <c r="K78" s="319">
        <v>4055268</v>
      </c>
      <c r="L78" s="319">
        <v>4142263</v>
      </c>
      <c r="M78" s="319">
        <v>4034484</v>
      </c>
      <c r="N78" s="319">
        <v>4352441</v>
      </c>
      <c r="O78" s="319">
        <v>4624882</v>
      </c>
      <c r="P78" s="319">
        <v>4899775</v>
      </c>
      <c r="Q78" s="319">
        <v>4257031</v>
      </c>
      <c r="R78" s="319">
        <v>4571258</v>
      </c>
      <c r="S78" s="362">
        <v>4331658</v>
      </c>
      <c r="T78" s="877">
        <v>4511834</v>
      </c>
      <c r="U78" s="362">
        <v>4400102</v>
      </c>
      <c r="V78" s="362">
        <v>4414429</v>
      </c>
      <c r="W78" s="362">
        <v>4388872</v>
      </c>
      <c r="X78" s="6"/>
      <c r="Y78" s="43" t="s">
        <v>61</v>
      </c>
      <c r="Z78" s="319">
        <v>284049.59999999998</v>
      </c>
      <c r="AA78" s="319">
        <v>320117.31</v>
      </c>
      <c r="AB78" s="319">
        <v>389142.8</v>
      </c>
      <c r="AC78" s="319">
        <v>406575.62</v>
      </c>
      <c r="AD78" s="319">
        <v>453071.88</v>
      </c>
      <c r="AE78" s="319">
        <v>478722.12</v>
      </c>
      <c r="AF78" s="319">
        <v>542114.68999999994</v>
      </c>
      <c r="AG78" s="319">
        <v>572975.06000000006</v>
      </c>
      <c r="AH78" s="319">
        <v>582075</v>
      </c>
      <c r="AI78" s="319">
        <v>562240</v>
      </c>
      <c r="AJ78" s="319">
        <v>576827</v>
      </c>
      <c r="AK78" s="319">
        <v>633368</v>
      </c>
      <c r="AL78" s="319">
        <v>775286</v>
      </c>
      <c r="AM78" s="319">
        <v>790468</v>
      </c>
      <c r="AN78" s="319">
        <v>830006</v>
      </c>
      <c r="AO78" s="319">
        <v>754209</v>
      </c>
      <c r="AP78" s="319">
        <v>873810</v>
      </c>
      <c r="AQ78" s="362">
        <v>822918</v>
      </c>
      <c r="AR78" s="753">
        <v>991392</v>
      </c>
      <c r="AS78" s="753">
        <v>791306</v>
      </c>
      <c r="AT78" s="753">
        <v>884680</v>
      </c>
      <c r="AU78" s="753">
        <v>884809</v>
      </c>
      <c r="AV78" s="39"/>
      <c r="AW78" s="43" t="s">
        <v>61</v>
      </c>
      <c r="AX78" s="319">
        <v>965768.64</v>
      </c>
      <c r="AY78" s="319">
        <v>889214.75</v>
      </c>
      <c r="AZ78" s="319">
        <v>972857</v>
      </c>
      <c r="BA78" s="319">
        <v>1256688.28</v>
      </c>
      <c r="BB78" s="319">
        <v>1321459.6499999999</v>
      </c>
      <c r="BC78" s="319">
        <v>1396272.85</v>
      </c>
      <c r="BD78" s="319">
        <v>1292735.03</v>
      </c>
      <c r="BE78" s="319">
        <v>1268730.49</v>
      </c>
      <c r="BF78" s="319">
        <v>1558040</v>
      </c>
      <c r="BG78" s="319">
        <v>1544512</v>
      </c>
      <c r="BH78" s="319">
        <v>1639561</v>
      </c>
      <c r="BI78" s="319">
        <v>1641021</v>
      </c>
      <c r="BJ78" s="319">
        <v>1592517</v>
      </c>
      <c r="BK78" s="319">
        <v>1542664</v>
      </c>
      <c r="BL78" s="319">
        <v>1585765</v>
      </c>
      <c r="BM78" s="319">
        <v>1607722</v>
      </c>
      <c r="BN78" s="319">
        <v>1638400</v>
      </c>
      <c r="BO78" s="362">
        <v>1626593</v>
      </c>
      <c r="BP78" s="753">
        <v>1727685</v>
      </c>
      <c r="BQ78" s="753">
        <v>1828088</v>
      </c>
      <c r="BR78" s="753">
        <v>1843525</v>
      </c>
      <c r="BS78" s="753">
        <v>1843525</v>
      </c>
      <c r="BT78" s="286"/>
      <c r="BU78" s="43" t="s">
        <v>61</v>
      </c>
      <c r="BV78" s="319">
        <v>624909.12</v>
      </c>
      <c r="BW78" s="319">
        <v>711371.8</v>
      </c>
      <c r="BX78" s="319">
        <v>1167428.3999999999</v>
      </c>
      <c r="BY78" s="319">
        <v>1034919.76</v>
      </c>
      <c r="BZ78" s="319">
        <v>906143.76</v>
      </c>
      <c r="CA78" s="319">
        <v>797870.2</v>
      </c>
      <c r="CB78" s="319">
        <v>834022.6</v>
      </c>
      <c r="CC78" s="319">
        <v>736682.22</v>
      </c>
      <c r="CD78" s="319">
        <v>625948</v>
      </c>
      <c r="CE78" s="319">
        <v>795420</v>
      </c>
      <c r="CF78" s="319">
        <v>894041</v>
      </c>
      <c r="CG78" s="319">
        <v>678873</v>
      </c>
      <c r="CH78" s="319">
        <v>879337</v>
      </c>
      <c r="CI78" s="319">
        <v>1121693</v>
      </c>
      <c r="CJ78" s="319">
        <v>1386716</v>
      </c>
      <c r="CK78" s="319">
        <v>925715</v>
      </c>
      <c r="CL78" s="319">
        <v>1009359</v>
      </c>
      <c r="CM78" s="362">
        <v>903755</v>
      </c>
      <c r="CN78" s="753">
        <v>915878</v>
      </c>
      <c r="CO78" s="753">
        <v>927405</v>
      </c>
      <c r="CP78" s="753">
        <v>804213</v>
      </c>
      <c r="CQ78" s="753">
        <v>754796</v>
      </c>
      <c r="CR78" s="39"/>
      <c r="CS78" s="43" t="s">
        <v>61</v>
      </c>
      <c r="CT78" s="319">
        <v>426074.4</v>
      </c>
      <c r="CU78" s="319">
        <v>426823.08</v>
      </c>
      <c r="CV78" s="319">
        <v>428057.08</v>
      </c>
      <c r="CW78" s="319">
        <v>443537.04</v>
      </c>
      <c r="CX78" s="319">
        <v>415315.89</v>
      </c>
      <c r="CY78" s="319">
        <v>518615.63</v>
      </c>
      <c r="CZ78" s="319">
        <v>583815.81999999995</v>
      </c>
      <c r="DA78" s="319">
        <v>695755.43</v>
      </c>
      <c r="DB78" s="319">
        <v>589724</v>
      </c>
      <c r="DC78" s="319">
        <v>632657</v>
      </c>
      <c r="DD78" s="319">
        <v>658499</v>
      </c>
      <c r="DE78" s="319">
        <v>681534</v>
      </c>
      <c r="DF78" s="319">
        <v>705716</v>
      </c>
      <c r="DG78" s="319">
        <v>738223</v>
      </c>
      <c r="DH78" s="319">
        <v>707115</v>
      </c>
      <c r="DI78" s="319">
        <v>649574</v>
      </c>
      <c r="DJ78" s="319">
        <v>717648</v>
      </c>
      <c r="DK78" s="362">
        <v>708376</v>
      </c>
      <c r="DL78" s="753">
        <v>708172</v>
      </c>
      <c r="DM78" s="753">
        <v>650104</v>
      </c>
      <c r="DN78" s="753">
        <v>725877</v>
      </c>
      <c r="DO78" s="753">
        <v>710603</v>
      </c>
      <c r="DP78" s="39"/>
      <c r="DQ78" s="43" t="s">
        <v>61</v>
      </c>
      <c r="DR78" s="319">
        <v>56809.919999999998</v>
      </c>
      <c r="DS78" s="319">
        <v>0</v>
      </c>
      <c r="DT78" s="319">
        <v>0</v>
      </c>
      <c r="DU78" s="319">
        <v>147845.68</v>
      </c>
      <c r="DV78" s="319">
        <v>151023.96</v>
      </c>
      <c r="DW78" s="319">
        <v>39893.51</v>
      </c>
      <c r="DX78" s="319">
        <v>41701.129999999997</v>
      </c>
      <c r="DY78" s="319">
        <v>122780.37</v>
      </c>
      <c r="DZ78" s="319">
        <v>37939</v>
      </c>
      <c r="EA78" s="319">
        <v>84201</v>
      </c>
      <c r="EB78" s="319">
        <v>82963</v>
      </c>
      <c r="EC78" s="319">
        <v>119271</v>
      </c>
      <c r="ED78" s="319">
        <v>104310</v>
      </c>
      <c r="EE78" s="319">
        <v>128569</v>
      </c>
      <c r="EF78" s="319">
        <v>85718</v>
      </c>
      <c r="EG78" s="319">
        <v>55184</v>
      </c>
      <c r="EH78" s="319">
        <v>24124</v>
      </c>
      <c r="EI78" s="362">
        <v>15294</v>
      </c>
      <c r="EJ78" s="753">
        <v>9922</v>
      </c>
      <c r="EK78" s="753">
        <v>10459</v>
      </c>
      <c r="EL78" s="753">
        <v>16736</v>
      </c>
      <c r="EM78" s="753">
        <v>15000</v>
      </c>
      <c r="EN78" s="39"/>
      <c r="EO78" s="43" t="s">
        <v>61</v>
      </c>
      <c r="EP78" s="319">
        <v>482884.32</v>
      </c>
      <c r="EQ78" s="319">
        <v>1209332.06</v>
      </c>
      <c r="ER78" s="319">
        <v>933942.72</v>
      </c>
      <c r="ES78" s="319">
        <v>406575.62</v>
      </c>
      <c r="ET78" s="319">
        <v>528583.86</v>
      </c>
      <c r="EU78" s="319">
        <v>757976.69</v>
      </c>
      <c r="EV78" s="319">
        <v>875723.73</v>
      </c>
      <c r="EW78" s="319">
        <v>695755.43</v>
      </c>
      <c r="EX78" s="319">
        <v>470738</v>
      </c>
      <c r="EY78" s="319">
        <v>216266</v>
      </c>
      <c r="EZ78" s="319">
        <v>253619</v>
      </c>
      <c r="FA78" s="319">
        <v>242959</v>
      </c>
      <c r="FB78" s="319">
        <v>245019</v>
      </c>
      <c r="FC78" s="319">
        <v>235646</v>
      </c>
      <c r="FD78" s="319">
        <v>235905</v>
      </c>
      <c r="FE78" s="319">
        <v>214537</v>
      </c>
      <c r="FF78" s="319">
        <v>215014</v>
      </c>
      <c r="FG78" s="362">
        <v>97506</v>
      </c>
      <c r="FH78" s="362">
        <v>84478</v>
      </c>
      <c r="FI78" s="362">
        <v>87283</v>
      </c>
      <c r="FJ78" s="362">
        <v>81859</v>
      </c>
      <c r="FK78" s="362">
        <v>92321</v>
      </c>
      <c r="FM78" s="43" t="s">
        <v>61</v>
      </c>
      <c r="FN78" s="319">
        <v>12963</v>
      </c>
      <c r="FO78" s="319">
        <v>6518</v>
      </c>
      <c r="FP78" s="319">
        <v>263484</v>
      </c>
      <c r="FQ78" s="319">
        <v>328152</v>
      </c>
      <c r="FR78" s="319">
        <v>402554</v>
      </c>
      <c r="FS78" s="319">
        <v>669593</v>
      </c>
      <c r="FT78" s="319">
        <v>607205</v>
      </c>
      <c r="FU78" s="319">
        <v>442069</v>
      </c>
      <c r="FV78" s="319">
        <v>615988</v>
      </c>
      <c r="FW78" s="319">
        <v>642871</v>
      </c>
      <c r="FX78" s="319">
        <v>657497</v>
      </c>
      <c r="FY78" s="319">
        <v>750289</v>
      </c>
      <c r="FZ78" s="319">
        <v>716491</v>
      </c>
      <c r="GA78" s="319">
        <v>881727</v>
      </c>
      <c r="GB78" s="319">
        <v>958276</v>
      </c>
      <c r="GC78" s="319">
        <v>854350</v>
      </c>
      <c r="GD78" s="319">
        <v>667986</v>
      </c>
      <c r="GE78" s="319">
        <v>663498</v>
      </c>
      <c r="GF78" s="756">
        <v>0</v>
      </c>
      <c r="GG78" s="756">
        <v>1089534</v>
      </c>
      <c r="GH78" s="756">
        <v>1211470</v>
      </c>
      <c r="GI78" s="756">
        <v>1143849</v>
      </c>
      <c r="GJ78" s="42"/>
      <c r="GK78" s="570" t="s">
        <v>61</v>
      </c>
      <c r="GL78" s="571">
        <f>FN78/'4GF Expenditures'!B79</f>
        <v>4.5614251154607434E-3</v>
      </c>
      <c r="GM78" s="571">
        <f>FO78/'4GF Expenditures'!C79</f>
        <v>1.8292012132560119E-3</v>
      </c>
      <c r="GN78" s="571">
        <f>FP78/'4GF Expenditures'!D79</f>
        <v>7.2496011789365253E-2</v>
      </c>
      <c r="GO78" s="571">
        <f>FQ78/'4GF Expenditures'!E79</f>
        <v>9.0363307020785502E-2</v>
      </c>
      <c r="GP78" s="571">
        <f>FR78/'4GF Expenditures'!F79</f>
        <v>0.10876319201598834</v>
      </c>
      <c r="GQ78" s="571">
        <f>FS78/'4GF Expenditures'!G79</f>
        <v>0.17988631796582338</v>
      </c>
      <c r="GR78" s="571">
        <f>FT78/'4GF Expenditures'!H79</f>
        <v>0.14346245872121471</v>
      </c>
      <c r="GS78" s="571">
        <f>FU78/'4GF Expenditures'!I79</f>
        <v>0.10382531885485866</v>
      </c>
      <c r="GT78" s="571">
        <f>FV78/'4GF Expenditures'!J79</f>
        <v>0.16609959806349983</v>
      </c>
      <c r="GU78" s="571">
        <f>FW78/'4GF Expenditures'!K79</f>
        <v>0.15958529286550319</v>
      </c>
      <c r="GV78" s="571">
        <f>FX78/'4GF Expenditures'!L79</f>
        <v>0.15929138148533895</v>
      </c>
      <c r="GW78" s="571">
        <f>FY78/'4GF Expenditures'!M79</f>
        <v>0.19034693730509639</v>
      </c>
      <c r="GX78" s="571">
        <f>FZ78/'4GF Expenditures'!N79</f>
        <v>0.16334973994805116</v>
      </c>
      <c r="GY78" s="571">
        <f>GA78/'4GF Expenditures'!O79</f>
        <v>0.19777747720649044</v>
      </c>
      <c r="GZ78" s="571">
        <f>GB78/'4GF Expenditures'!P79</f>
        <v>0.19867947303319397</v>
      </c>
      <c r="HA78" s="571">
        <f>GC78/'4GF Expenditures'!Q79</f>
        <v>0.19590883377203674</v>
      </c>
      <c r="HB78" s="571">
        <f>GD78/'4GF Expenditures'!R79</f>
        <v>0.14040333595228877</v>
      </c>
      <c r="HC78" s="571">
        <f>GE78/'4GF Expenditures'!S79</f>
        <v>0.15301560417937957</v>
      </c>
      <c r="HD78" s="571">
        <f>GF78/'4GF Expenditures'!T79</f>
        <v>0</v>
      </c>
      <c r="HE78" s="571">
        <f>GG78/'4GF Expenditures'!U79</f>
        <v>0.25142885362405093</v>
      </c>
      <c r="HF78" s="571">
        <f>GH78/'4GF Expenditures'!V79</f>
        <v>0.28222993025265269</v>
      </c>
      <c r="HG78" s="571">
        <f>GI78/'4GF Expenditures'!W79</f>
        <v>0.25667021130741147</v>
      </c>
      <c r="HH78" s="571"/>
      <c r="HI78" s="571"/>
      <c r="HJ78" s="571"/>
      <c r="HK78" s="568"/>
      <c r="HL78" s="567" t="s">
        <v>61</v>
      </c>
      <c r="HM78" s="571">
        <f>B78/'4GF Expenditures'!B79</f>
        <v>0.99951475698262593</v>
      </c>
      <c r="HN78" s="571">
        <f>C78/'4GF Expenditures'!C79</f>
        <v>0.99819128539131097</v>
      </c>
      <c r="HO78" s="571">
        <f>D78/'4GF Expenditures'!D79</f>
        <v>1.070702623937188</v>
      </c>
      <c r="HP78" s="571">
        <f>E78/'4GF Expenditures'!E79</f>
        <v>1.0178076450499163</v>
      </c>
      <c r="HQ78" s="571">
        <f>F78/'4GF Expenditures'!F79</f>
        <v>1.0201021453329828</v>
      </c>
      <c r="HR78" s="571">
        <f>G78/'4GF Expenditures'!G79</f>
        <v>1.0717400905673677</v>
      </c>
      <c r="HS78" s="571">
        <f>H78/'4GF Expenditures'!H79</f>
        <v>0.98525977902899486</v>
      </c>
      <c r="HT78" s="571">
        <f>I78/'4GF Expenditures'!I79</f>
        <v>0.96121578790999607</v>
      </c>
      <c r="HU78" s="571">
        <f>J78/'4GF Expenditures'!J79</f>
        <v>1.0468965465171525</v>
      </c>
      <c r="HV78" s="571">
        <f>K78/'4GF Expenditures'!K79</f>
        <v>1.0066733939283361</v>
      </c>
      <c r="HW78" s="571">
        <f>L78/'4GF Expenditures'!L79</f>
        <v>1.0035434317504179</v>
      </c>
      <c r="HX78" s="571">
        <f>M78/'4GF Expenditures'!M79</f>
        <v>1.0235411594817656</v>
      </c>
      <c r="HY78" s="571">
        <f>N78/'4GF Expenditures'!N79</f>
        <v>0.99229453752976071</v>
      </c>
      <c r="HZ78" s="571">
        <f>O78/'4GF Expenditures'!O79</f>
        <v>1.037393086905253</v>
      </c>
      <c r="IA78" s="571">
        <f>P78/'4GF Expenditures'!P79</f>
        <v>1.0158709129532806</v>
      </c>
      <c r="IB78" s="571">
        <f>Q78/'4GF Expenditures'!Q79</f>
        <v>0.97616899226477127</v>
      </c>
      <c r="IC78" s="571">
        <f>R78/'4GF Expenditures'!R79</f>
        <v>0.9608283297832404</v>
      </c>
      <c r="ID78" s="573">
        <f>S78/'4GF Expenditures'!S79</f>
        <v>0.998964979500229</v>
      </c>
      <c r="IE78" s="572">
        <f>T78/'4GF Expenditures'!T79</f>
        <v>1.0537125935198495</v>
      </c>
      <c r="IF78" s="572">
        <f>U78/'4GF Expenditures'!U79</f>
        <v>1.0153997963247534</v>
      </c>
      <c r="IG78" s="572">
        <f>V78/'4GF Expenditures'!V79</f>
        <v>1.0284068022941446</v>
      </c>
      <c r="IH78" s="572">
        <f>W78/'4GF Expenditures'!W79</f>
        <v>0.9848264094659186</v>
      </c>
    </row>
    <row r="79" spans="1:458" ht="14">
      <c r="A79" s="43" t="s">
        <v>62</v>
      </c>
      <c r="B79" s="319">
        <v>2128476</v>
      </c>
      <c r="C79" s="319">
        <v>2441181</v>
      </c>
      <c r="D79" s="319">
        <v>2324337</v>
      </c>
      <c r="E79" s="319">
        <v>2328420</v>
      </c>
      <c r="F79" s="319">
        <v>2501191</v>
      </c>
      <c r="G79" s="319">
        <v>2482919</v>
      </c>
      <c r="H79" s="319">
        <v>1532875</v>
      </c>
      <c r="I79" s="319">
        <v>1742874</v>
      </c>
      <c r="J79" s="319">
        <v>2022368.8800000001</v>
      </c>
      <c r="K79" s="319">
        <v>1647736.28</v>
      </c>
      <c r="L79" s="319">
        <v>1858004.46</v>
      </c>
      <c r="M79" s="319">
        <v>1808042.92</v>
      </c>
      <c r="N79" s="319">
        <v>1975308.38</v>
      </c>
      <c r="O79" s="319">
        <v>1275585.9099999999</v>
      </c>
      <c r="P79" s="319">
        <v>1901483.14</v>
      </c>
      <c r="Q79" s="319">
        <v>2109293.91</v>
      </c>
      <c r="R79" s="319"/>
      <c r="S79" s="362"/>
      <c r="T79" s="362"/>
      <c r="U79" s="362"/>
      <c r="V79" s="362"/>
      <c r="W79" s="362"/>
      <c r="X79" s="6"/>
      <c r="Y79" s="43" t="s">
        <v>62</v>
      </c>
      <c r="Z79" s="319">
        <v>361840.92</v>
      </c>
      <c r="AA79" s="319">
        <v>415000.77</v>
      </c>
      <c r="AB79" s="319">
        <v>418380.66</v>
      </c>
      <c r="AC79" s="319">
        <v>442399.8</v>
      </c>
      <c r="AD79" s="319">
        <v>425202.47</v>
      </c>
      <c r="AE79" s="319">
        <v>422096.23</v>
      </c>
      <c r="AF79" s="319">
        <v>459862.5</v>
      </c>
      <c r="AG79" s="319">
        <v>627434.64</v>
      </c>
      <c r="AH79" s="319">
        <v>536633.32000000007</v>
      </c>
      <c r="AI79" s="319">
        <v>497995.46</v>
      </c>
      <c r="AJ79" s="319">
        <v>571139.47</v>
      </c>
      <c r="AK79" s="319">
        <v>572919.5</v>
      </c>
      <c r="AL79" s="319">
        <v>623607.31000000006</v>
      </c>
      <c r="AM79" s="319">
        <v>0</v>
      </c>
      <c r="AN79" s="319">
        <v>573185.99</v>
      </c>
      <c r="AO79" s="319">
        <v>698479.32</v>
      </c>
      <c r="AP79" s="319"/>
      <c r="AQ79" s="362"/>
      <c r="AR79" s="753"/>
      <c r="AS79" s="753"/>
      <c r="AT79" s="753"/>
      <c r="AU79" s="753"/>
      <c r="AV79" s="39"/>
      <c r="AW79" s="43" t="s">
        <v>62</v>
      </c>
      <c r="AX79" s="319">
        <v>510834.24</v>
      </c>
      <c r="AY79" s="319">
        <v>537059.81999999995</v>
      </c>
      <c r="AZ79" s="319">
        <v>534597.51</v>
      </c>
      <c r="BA79" s="319">
        <v>535536.6</v>
      </c>
      <c r="BB79" s="319">
        <v>575273.93000000005</v>
      </c>
      <c r="BC79" s="319">
        <v>595900.56000000006</v>
      </c>
      <c r="BD79" s="319">
        <v>597821.25</v>
      </c>
      <c r="BE79" s="319">
        <v>592577.16</v>
      </c>
      <c r="BF79" s="319">
        <v>627614.57999999996</v>
      </c>
      <c r="BG79" s="319">
        <v>649269.24</v>
      </c>
      <c r="BH79" s="319">
        <v>656603.1</v>
      </c>
      <c r="BI79" s="319">
        <v>690670.74</v>
      </c>
      <c r="BJ79" s="319">
        <v>725620.33</v>
      </c>
      <c r="BK79" s="319">
        <v>691970.71</v>
      </c>
      <c r="BL79" s="319">
        <v>689218.35</v>
      </c>
      <c r="BM79" s="319">
        <v>732244.26</v>
      </c>
      <c r="BN79" s="319"/>
      <c r="BO79" s="362"/>
      <c r="BP79" s="753"/>
      <c r="BQ79" s="753"/>
      <c r="BR79" s="753"/>
      <c r="BS79" s="753"/>
      <c r="BT79" s="286"/>
      <c r="BU79" s="43" t="s">
        <v>62</v>
      </c>
      <c r="BV79" s="319">
        <v>872675.16</v>
      </c>
      <c r="BW79" s="319">
        <v>1122943.26</v>
      </c>
      <c r="BX79" s="319">
        <v>976221.54</v>
      </c>
      <c r="BY79" s="319">
        <v>908083.8</v>
      </c>
      <c r="BZ79" s="319">
        <v>925440.67</v>
      </c>
      <c r="CA79" s="319">
        <v>1017996.79</v>
      </c>
      <c r="CB79" s="319">
        <v>61315</v>
      </c>
      <c r="CC79" s="319">
        <v>52286.22</v>
      </c>
      <c r="CD79" s="319">
        <v>59733.86</v>
      </c>
      <c r="CE79" s="319">
        <v>80653.320000000007</v>
      </c>
      <c r="CF79" s="319">
        <v>92791.05</v>
      </c>
      <c r="CG79" s="319">
        <v>92657.540000000008</v>
      </c>
      <c r="CH79" s="319">
        <v>106557.87999999999</v>
      </c>
      <c r="CI79" s="319">
        <v>107819.01</v>
      </c>
      <c r="CJ79" s="319">
        <v>81802.48</v>
      </c>
      <c r="CK79" s="319">
        <v>72922.22</v>
      </c>
      <c r="CL79" s="319"/>
      <c r="CM79" s="362"/>
      <c r="CN79" s="753"/>
      <c r="CO79" s="753"/>
      <c r="CP79" s="753"/>
      <c r="CQ79" s="753"/>
      <c r="CR79" s="39"/>
      <c r="CS79" s="43" t="s">
        <v>62</v>
      </c>
      <c r="CT79" s="319">
        <v>212847.6</v>
      </c>
      <c r="CU79" s="319">
        <v>195294.48</v>
      </c>
      <c r="CV79" s="319">
        <v>185946.96</v>
      </c>
      <c r="CW79" s="319">
        <v>162989.4</v>
      </c>
      <c r="CX79" s="319">
        <v>175083.37</v>
      </c>
      <c r="CY79" s="319">
        <v>173804.33</v>
      </c>
      <c r="CZ79" s="319">
        <v>199273.75</v>
      </c>
      <c r="DA79" s="319">
        <v>261431.1</v>
      </c>
      <c r="DB79" s="319">
        <v>258722.03</v>
      </c>
      <c r="DC79" s="319">
        <v>254407.02000000002</v>
      </c>
      <c r="DD79" s="319">
        <v>272432.87</v>
      </c>
      <c r="DE79" s="319">
        <v>319642.27</v>
      </c>
      <c r="DF79" s="319">
        <v>336317.37</v>
      </c>
      <c r="DG79" s="319">
        <v>350835.88</v>
      </c>
      <c r="DH79" s="319">
        <v>353893.58999999997</v>
      </c>
      <c r="DI79" s="319">
        <v>370004.45</v>
      </c>
      <c r="DJ79" s="319"/>
      <c r="DK79" s="362"/>
      <c r="DL79" s="753"/>
      <c r="DM79" s="753"/>
      <c r="DN79" s="753"/>
      <c r="DO79" s="753"/>
      <c r="DP79" s="39"/>
      <c r="DQ79" s="43" t="s">
        <v>62</v>
      </c>
      <c r="DR79" s="319">
        <v>21284.76</v>
      </c>
      <c r="DS79" s="319">
        <v>24411.81</v>
      </c>
      <c r="DT79" s="319">
        <v>23243.37</v>
      </c>
      <c r="DU79" s="319">
        <v>23284.2</v>
      </c>
      <c r="DV79" s="319">
        <v>25011.91</v>
      </c>
      <c r="DW79" s="319">
        <v>24829.19</v>
      </c>
      <c r="DX79" s="319">
        <v>15328.75</v>
      </c>
      <c r="DY79" s="319">
        <v>0</v>
      </c>
      <c r="DZ79" s="319">
        <v>8494.56</v>
      </c>
      <c r="EA79" s="319">
        <v>0</v>
      </c>
      <c r="EB79" s="319">
        <v>0</v>
      </c>
      <c r="EC79" s="319">
        <v>0</v>
      </c>
      <c r="ED79" s="319">
        <v>0</v>
      </c>
      <c r="EE79" s="319">
        <v>0</v>
      </c>
      <c r="EF79" s="319">
        <v>0</v>
      </c>
      <c r="EG79" s="319">
        <v>5023.26</v>
      </c>
      <c r="EH79" s="319"/>
      <c r="EI79" s="362"/>
      <c r="EJ79" s="753"/>
      <c r="EK79" s="753"/>
      <c r="EL79" s="753"/>
      <c r="EM79" s="753"/>
      <c r="EN79" s="39"/>
      <c r="EO79" s="43" t="s">
        <v>62</v>
      </c>
      <c r="EP79" s="319">
        <v>148993.32</v>
      </c>
      <c r="EQ79" s="319">
        <v>146470.85999999999</v>
      </c>
      <c r="ER79" s="319">
        <v>185946.96</v>
      </c>
      <c r="ES79" s="319">
        <v>256126.2</v>
      </c>
      <c r="ET79" s="319">
        <v>375178.65</v>
      </c>
      <c r="EU79" s="319">
        <v>248291.9</v>
      </c>
      <c r="EV79" s="319">
        <v>199273.75</v>
      </c>
      <c r="EW79" s="319">
        <v>209144.88</v>
      </c>
      <c r="EX79" s="319">
        <v>475270.53</v>
      </c>
      <c r="EY79" s="319">
        <v>106511.24</v>
      </c>
      <c r="EZ79" s="319">
        <v>213337.96999999997</v>
      </c>
      <c r="FA79" s="319">
        <v>132152.87</v>
      </c>
      <c r="FB79" s="319">
        <v>125205.49</v>
      </c>
      <c r="FC79" s="319">
        <v>124960.31</v>
      </c>
      <c r="FD79" s="319">
        <v>203382.73</v>
      </c>
      <c r="FE79" s="319">
        <v>230620.40000000002</v>
      </c>
      <c r="FF79" s="319"/>
      <c r="FG79" s="362"/>
      <c r="FH79" s="362"/>
      <c r="FI79" s="362"/>
      <c r="FJ79" s="362"/>
      <c r="FK79" s="362"/>
      <c r="FM79" s="43" t="s">
        <v>62</v>
      </c>
      <c r="FN79" s="319">
        <v>474944</v>
      </c>
      <c r="FO79" s="319">
        <v>428973</v>
      </c>
      <c r="FP79" s="319">
        <v>212823</v>
      </c>
      <c r="FQ79" s="319">
        <v>91541</v>
      </c>
      <c r="FR79" s="319">
        <v>288908</v>
      </c>
      <c r="FS79" s="319">
        <v>375628</v>
      </c>
      <c r="FT79" s="319">
        <v>556973</v>
      </c>
      <c r="FU79" s="319">
        <v>696122</v>
      </c>
      <c r="FV79" s="319">
        <v>756106.47999999986</v>
      </c>
      <c r="FW79" s="319">
        <v>776960.88</v>
      </c>
      <c r="FX79" s="319">
        <v>942046.8</v>
      </c>
      <c r="FY79" s="319">
        <v>1048933.69</v>
      </c>
      <c r="FZ79" s="319">
        <v>1339564.6299999999</v>
      </c>
      <c r="GA79" s="319">
        <v>1252327.3700000001</v>
      </c>
      <c r="GB79" s="319">
        <v>1236627.52</v>
      </c>
      <c r="GC79" s="319">
        <v>1473290.91</v>
      </c>
      <c r="GD79" s="319"/>
      <c r="GE79" s="319"/>
      <c r="GF79" s="756"/>
      <c r="GG79" s="756"/>
      <c r="GH79" s="756"/>
      <c r="GI79" s="756"/>
      <c r="GJ79" s="42"/>
      <c r="GK79" s="570" t="s">
        <v>62</v>
      </c>
      <c r="GL79" s="571">
        <f>FN79/'4GF Expenditures'!B80</f>
        <v>0.21595028647478018</v>
      </c>
      <c r="GM79" s="571">
        <f>FO79/'4GF Expenditures'!C80</f>
        <v>0.17247558653431716</v>
      </c>
      <c r="GN79" s="571">
        <f>FP79/'4GF Expenditures'!D80</f>
        <v>8.3772520780464529E-2</v>
      </c>
      <c r="GO79" s="571">
        <f>FQ79/'4GF Expenditures'!E80</f>
        <v>3.7368218664964148E-2</v>
      </c>
      <c r="GP79" s="571">
        <f>FR79/'4GF Expenditures'!F80</f>
        <v>0.12540367666974561</v>
      </c>
      <c r="GQ79" s="571">
        <f>FS79/'4GF Expenditures'!G80</f>
        <v>0.15675993521406192</v>
      </c>
      <c r="GR79" s="571">
        <f>FT79/'4GF Expenditures'!H80</f>
        <v>0.40847902758210497</v>
      </c>
      <c r="GS79" s="571">
        <f>FU79/'4GF Expenditures'!I80</f>
        <v>0.43406569081357466</v>
      </c>
      <c r="GT79" s="571">
        <f>FV79/'4GF Expenditures'!J80</f>
        <v>0.38435109012696056</v>
      </c>
      <c r="GU79" s="571">
        <f>FW79/'4GF Expenditures'!K80</f>
        <v>0.48311663000267274</v>
      </c>
      <c r="GV79" s="571">
        <f>FX79/'4GF Expenditures'!L80</f>
        <v>0.55646315976904592</v>
      </c>
      <c r="GW79" s="571">
        <f>FY79/'4GF Expenditures'!M80</f>
        <v>0.61660462148455319</v>
      </c>
      <c r="GX79" s="571">
        <f>FZ79/'4GF Expenditures'!N80</f>
        <v>0.79514606072008653</v>
      </c>
      <c r="GY79" s="571">
        <f>GA79/'4GF Expenditures'!O80</f>
        <v>0.6233886920559174</v>
      </c>
      <c r="GZ79" s="571">
        <f>GB79/'4GF Expenditures'!P80</f>
        <v>0.64502320667887847</v>
      </c>
      <c r="HA79" s="571">
        <f>GC79/'4GF Expenditures'!Q80</f>
        <v>0.72735746027424075</v>
      </c>
      <c r="HB79" s="571" t="e">
        <f>GD79/'4GF Expenditures'!R80</f>
        <v>#DIV/0!</v>
      </c>
      <c r="HC79" s="571" t="e">
        <f>GE79/'4GF Expenditures'!S80</f>
        <v>#DIV/0!</v>
      </c>
      <c r="HD79" s="571" t="e">
        <f>GF79/'4GF Expenditures'!T80</f>
        <v>#DIV/0!</v>
      </c>
      <c r="HE79" s="571" t="e">
        <f>GG79/'4GF Expenditures'!U80</f>
        <v>#DIV/0!</v>
      </c>
      <c r="HF79" s="571" t="e">
        <f>GH79/'4GF Expenditures'!V80</f>
        <v>#DIV/0!</v>
      </c>
      <c r="HG79" s="571" t="e">
        <f>GI79/'4GF Expenditures'!W80</f>
        <v>#DIV/0!</v>
      </c>
      <c r="HH79" s="571"/>
      <c r="HI79" s="571"/>
      <c r="HJ79" s="571"/>
      <c r="HK79" s="568"/>
      <c r="HL79" s="567" t="s">
        <v>62</v>
      </c>
      <c r="HM79" s="571">
        <f>B79/'4GF Expenditures'!B80</f>
        <v>0.9677877854119521</v>
      </c>
      <c r="HN79" s="571">
        <f>C79/'4GF Expenditures'!C80</f>
        <v>0.98151661016294944</v>
      </c>
      <c r="HO79" s="571">
        <f>D79/'4GF Expenditures'!D80</f>
        <v>0.91491788779080552</v>
      </c>
      <c r="HP79" s="571">
        <f>E79/'4GF Expenditures'!E80</f>
        <v>0.95049112096083521</v>
      </c>
      <c r="HQ79" s="571">
        <f>F79/'4GF Expenditures'!F80</f>
        <v>1.0856693045996568</v>
      </c>
      <c r="HR79" s="571">
        <f>G79/'4GF Expenditures'!G80</f>
        <v>1.0361906502757074</v>
      </c>
      <c r="HS79" s="571">
        <f>H79/'4GF Expenditures'!H80</f>
        <v>1.1241968450982707</v>
      </c>
      <c r="HT79" s="571">
        <f>I79/'4GF Expenditures'!I80</f>
        <v>1.0867661226207734</v>
      </c>
      <c r="HU79" s="571">
        <f>J79/'4GF Expenditures'!J80</f>
        <v>1.0280293903404192</v>
      </c>
      <c r="HV79" s="571">
        <f>K79/'4GF Expenditures'!K80</f>
        <v>1.0245674128750735</v>
      </c>
      <c r="HW79" s="571">
        <f>L79/'4GF Expenditures'!L80</f>
        <v>1.0975155721314269</v>
      </c>
      <c r="HX79" s="571">
        <f>M79/'4GF Expenditures'!M80</f>
        <v>1.0628389868137673</v>
      </c>
      <c r="HY79" s="571">
        <f>N79/'4GF Expenditures'!N80</f>
        <v>1.1725142944871394</v>
      </c>
      <c r="HZ79" s="571">
        <f>O79/'4GF Expenditures'!O80</f>
        <v>0.63496642418655846</v>
      </c>
      <c r="IA79" s="571">
        <f>P79/'4GF Expenditures'!P80</f>
        <v>0.99181097992111866</v>
      </c>
      <c r="IB79" s="571">
        <f>Q79/'4GF Expenditures'!Q80</f>
        <v>1.0413494381428874</v>
      </c>
      <c r="IC79" s="571" t="e">
        <f>R79/'4GF Expenditures'!R80</f>
        <v>#DIV/0!</v>
      </c>
      <c r="ID79" s="573" t="e">
        <f>S79/'4GF Expenditures'!S80</f>
        <v>#DIV/0!</v>
      </c>
      <c r="IE79" s="572" t="e">
        <f>T79/'4GF Expenditures'!T80</f>
        <v>#DIV/0!</v>
      </c>
      <c r="IF79" s="572" t="e">
        <f>U79/'4GF Expenditures'!U80</f>
        <v>#DIV/0!</v>
      </c>
      <c r="IG79" s="572" t="e">
        <f>V79/'4GF Expenditures'!V80</f>
        <v>#DIV/0!</v>
      </c>
      <c r="IH79" s="572" t="e">
        <f>W79/'4GF Expenditures'!W80</f>
        <v>#DIV/0!</v>
      </c>
    </row>
    <row r="80" spans="1:458" ht="14">
      <c r="A80" s="43" t="s">
        <v>63</v>
      </c>
      <c r="B80" s="319">
        <v>764394</v>
      </c>
      <c r="C80" s="319">
        <v>760690</v>
      </c>
      <c r="D80" s="319">
        <v>845606</v>
      </c>
      <c r="E80" s="319">
        <v>911767</v>
      </c>
      <c r="F80" s="319">
        <v>1023328</v>
      </c>
      <c r="G80" s="319">
        <v>1108886</v>
      </c>
      <c r="H80" s="319">
        <v>1355114</v>
      </c>
      <c r="I80" s="319">
        <v>1193747</v>
      </c>
      <c r="J80" s="319">
        <v>1341200.08</v>
      </c>
      <c r="K80" s="319">
        <v>1468902.73</v>
      </c>
      <c r="L80" s="319">
        <v>1562275.8900000001</v>
      </c>
      <c r="M80" s="319">
        <v>1690617.93</v>
      </c>
      <c r="N80" s="319">
        <v>1521560.2000000002</v>
      </c>
      <c r="O80" s="319">
        <v>1619484.27</v>
      </c>
      <c r="P80" s="319">
        <v>1612136.01</v>
      </c>
      <c r="Q80" s="319">
        <v>1522996.75</v>
      </c>
      <c r="R80" s="319">
        <v>1602586.13</v>
      </c>
      <c r="S80" s="362">
        <v>1567107.5300000003</v>
      </c>
      <c r="T80" s="362">
        <v>1652676.81</v>
      </c>
      <c r="U80" s="362">
        <v>1610785.78</v>
      </c>
      <c r="V80" s="362">
        <v>1762703.98</v>
      </c>
      <c r="W80" s="362">
        <v>1736753.4</v>
      </c>
      <c r="X80" s="6"/>
      <c r="Y80" s="43" t="s">
        <v>63</v>
      </c>
      <c r="Z80" s="319">
        <v>343977.3</v>
      </c>
      <c r="AA80" s="319">
        <v>372738.1</v>
      </c>
      <c r="AB80" s="319">
        <v>439715.12</v>
      </c>
      <c r="AC80" s="319">
        <v>483236.51</v>
      </c>
      <c r="AD80" s="319">
        <v>532130.56000000006</v>
      </c>
      <c r="AE80" s="319">
        <v>587709.57999999996</v>
      </c>
      <c r="AF80" s="319">
        <v>636903.57999999996</v>
      </c>
      <c r="AG80" s="319">
        <v>644623.38</v>
      </c>
      <c r="AH80" s="319">
        <v>702731.42999999993</v>
      </c>
      <c r="AI80" s="319">
        <v>699949.25</v>
      </c>
      <c r="AJ80" s="319">
        <v>753260.69000000006</v>
      </c>
      <c r="AK80" s="319">
        <v>817126.99</v>
      </c>
      <c r="AL80" s="319">
        <v>804422.64</v>
      </c>
      <c r="AM80" s="319">
        <v>868704.88</v>
      </c>
      <c r="AN80" s="319">
        <v>877276.74</v>
      </c>
      <c r="AO80" s="319">
        <v>879315.98</v>
      </c>
      <c r="AP80" s="319">
        <v>903961.03</v>
      </c>
      <c r="AQ80" s="362">
        <v>900436.3600000001</v>
      </c>
      <c r="AR80" s="753">
        <v>950984.55999999994</v>
      </c>
      <c r="AS80" s="753">
        <v>955303.41999999993</v>
      </c>
      <c r="AT80" s="753">
        <v>999890.98</v>
      </c>
      <c r="AU80" s="753">
        <v>995000</v>
      </c>
      <c r="AV80" s="39"/>
      <c r="AW80" s="43" t="s">
        <v>63</v>
      </c>
      <c r="AX80" s="319">
        <v>0</v>
      </c>
      <c r="AY80" s="319">
        <v>0</v>
      </c>
      <c r="AZ80" s="319">
        <v>0</v>
      </c>
      <c r="BA80" s="319">
        <v>0</v>
      </c>
      <c r="BB80" s="319">
        <v>0</v>
      </c>
      <c r="BC80" s="319">
        <v>0</v>
      </c>
      <c r="BD80" s="319">
        <v>0</v>
      </c>
      <c r="BE80" s="319">
        <v>0</v>
      </c>
      <c r="BF80" s="319">
        <v>0</v>
      </c>
      <c r="BG80" s="319">
        <v>0</v>
      </c>
      <c r="BH80" s="319">
        <v>0</v>
      </c>
      <c r="BI80" s="319">
        <v>0</v>
      </c>
      <c r="BJ80" s="319">
        <v>0</v>
      </c>
      <c r="BK80" s="319">
        <v>0</v>
      </c>
      <c r="BL80" s="319">
        <v>0</v>
      </c>
      <c r="BM80" s="319">
        <v>0</v>
      </c>
      <c r="BN80" s="319">
        <v>0</v>
      </c>
      <c r="BO80" s="362">
        <v>0</v>
      </c>
      <c r="BP80" s="753">
        <v>0</v>
      </c>
      <c r="BQ80" s="753">
        <v>0</v>
      </c>
      <c r="BR80" s="753">
        <v>0</v>
      </c>
      <c r="BS80" s="753">
        <v>0</v>
      </c>
      <c r="BT80" s="286"/>
      <c r="BU80" s="43" t="s">
        <v>63</v>
      </c>
      <c r="BV80" s="319">
        <v>38219.699999999997</v>
      </c>
      <c r="BW80" s="319">
        <v>30427.599999999999</v>
      </c>
      <c r="BX80" s="319">
        <v>25368.18</v>
      </c>
      <c r="BY80" s="319">
        <v>27353.01</v>
      </c>
      <c r="BZ80" s="319">
        <v>30699.84</v>
      </c>
      <c r="CA80" s="319">
        <v>33266.58</v>
      </c>
      <c r="CB80" s="319">
        <v>230369.38</v>
      </c>
      <c r="CC80" s="319">
        <v>59687.35</v>
      </c>
      <c r="CD80" s="319">
        <v>59717.86</v>
      </c>
      <c r="CE80" s="319">
        <v>174440.95</v>
      </c>
      <c r="CF80" s="319">
        <v>48076.53</v>
      </c>
      <c r="CG80" s="319">
        <v>212826.78000000003</v>
      </c>
      <c r="CH80" s="319">
        <v>72297.040000000008</v>
      </c>
      <c r="CI80" s="319">
        <v>118251.59</v>
      </c>
      <c r="CJ80" s="319">
        <v>130365.26000000001</v>
      </c>
      <c r="CK80" s="319">
        <v>124304.44</v>
      </c>
      <c r="CL80" s="319">
        <v>95523.270000000019</v>
      </c>
      <c r="CM80" s="362">
        <v>118642.12</v>
      </c>
      <c r="CN80" s="753">
        <v>110091.26</v>
      </c>
      <c r="CO80" s="753">
        <v>115007.40000000001</v>
      </c>
      <c r="CP80" s="753">
        <v>147473.69</v>
      </c>
      <c r="CQ80" s="753">
        <v>163875</v>
      </c>
      <c r="CR80" s="39"/>
      <c r="CS80" s="43" t="s">
        <v>63</v>
      </c>
      <c r="CT80" s="319">
        <v>183454.56</v>
      </c>
      <c r="CU80" s="319">
        <v>212993.2</v>
      </c>
      <c r="CV80" s="319">
        <v>262137.86</v>
      </c>
      <c r="CW80" s="319">
        <v>255294.76</v>
      </c>
      <c r="CX80" s="319">
        <v>276298.56</v>
      </c>
      <c r="CY80" s="319">
        <v>299399.21999999997</v>
      </c>
      <c r="CZ80" s="319">
        <v>352329.64</v>
      </c>
      <c r="DA80" s="319">
        <v>381999.04</v>
      </c>
      <c r="DB80" s="319">
        <v>381888.61</v>
      </c>
      <c r="DC80" s="319">
        <v>407238.54</v>
      </c>
      <c r="DD80" s="319">
        <v>429624.5</v>
      </c>
      <c r="DE80" s="319">
        <v>423311.83999999997</v>
      </c>
      <c r="DF80" s="319">
        <v>414533.08</v>
      </c>
      <c r="DG80" s="319">
        <v>429883.02000000008</v>
      </c>
      <c r="DH80" s="319">
        <v>414089.95</v>
      </c>
      <c r="DI80" s="319">
        <v>405014.1</v>
      </c>
      <c r="DJ80" s="319">
        <v>425128.27999999997</v>
      </c>
      <c r="DK80" s="362">
        <v>460629.04</v>
      </c>
      <c r="DL80" s="753">
        <v>470779.91000000003</v>
      </c>
      <c r="DM80" s="753">
        <v>454026.79000000004</v>
      </c>
      <c r="DN80" s="753">
        <v>530068.75</v>
      </c>
      <c r="DO80" s="753">
        <v>498000</v>
      </c>
      <c r="DP80" s="39"/>
      <c r="DQ80" s="43" t="s">
        <v>63</v>
      </c>
      <c r="DR80" s="319">
        <v>38219.699999999997</v>
      </c>
      <c r="DS80" s="319">
        <v>38034.5</v>
      </c>
      <c r="DT80" s="319">
        <v>50736.36</v>
      </c>
      <c r="DU80" s="319">
        <v>63823.69</v>
      </c>
      <c r="DV80" s="319">
        <v>71632.960000000006</v>
      </c>
      <c r="DW80" s="319">
        <v>66533.16</v>
      </c>
      <c r="DX80" s="319">
        <v>40653.42</v>
      </c>
      <c r="DY80" s="319">
        <v>23874.94</v>
      </c>
      <c r="DZ80" s="319">
        <v>26800.59</v>
      </c>
      <c r="EA80" s="319">
        <v>44828.34</v>
      </c>
      <c r="EB80" s="319">
        <v>89885.24</v>
      </c>
      <c r="EC80" s="319">
        <v>125631.23</v>
      </c>
      <c r="ED80" s="319">
        <v>69197.210000000006</v>
      </c>
      <c r="EE80" s="319">
        <v>40770.31</v>
      </c>
      <c r="EF80" s="319">
        <v>19197.330000000002</v>
      </c>
      <c r="EG80" s="319">
        <v>11095.53</v>
      </c>
      <c r="EH80" s="319">
        <v>9626.27</v>
      </c>
      <c r="EI80" s="362">
        <v>10768.41</v>
      </c>
      <c r="EJ80" s="753">
        <v>8534.2800000000007</v>
      </c>
      <c r="EK80" s="753">
        <v>8703.73</v>
      </c>
      <c r="EL80" s="753">
        <v>11585.3</v>
      </c>
      <c r="EM80" s="753">
        <v>11000</v>
      </c>
      <c r="EN80" s="39"/>
      <c r="EO80" s="43" t="s">
        <v>63</v>
      </c>
      <c r="EP80" s="319">
        <v>160522.74</v>
      </c>
      <c r="EQ80" s="319">
        <v>106496.6</v>
      </c>
      <c r="ER80" s="319">
        <v>67648.479999999996</v>
      </c>
      <c r="ES80" s="319">
        <v>82059.03</v>
      </c>
      <c r="ET80" s="319">
        <v>112566.08</v>
      </c>
      <c r="EU80" s="319">
        <v>121977.46</v>
      </c>
      <c r="EV80" s="319">
        <v>94857.98</v>
      </c>
      <c r="EW80" s="319">
        <v>83562.289999999994</v>
      </c>
      <c r="EX80" s="319">
        <v>95090.39</v>
      </c>
      <c r="EY80" s="319">
        <v>86292.110000000015</v>
      </c>
      <c r="EZ80" s="319">
        <v>118381.19999999998</v>
      </c>
      <c r="FA80" s="319">
        <v>75665.09</v>
      </c>
      <c r="FB80" s="319">
        <v>85375.84</v>
      </c>
      <c r="FC80" s="319">
        <v>105271.46999999999</v>
      </c>
      <c r="FD80" s="319">
        <v>125583.79999999999</v>
      </c>
      <c r="FE80" s="319">
        <v>94706.709999999992</v>
      </c>
      <c r="FF80" s="319">
        <v>133784.76</v>
      </c>
      <c r="FG80" s="362">
        <v>67078.100000000006</v>
      </c>
      <c r="FH80" s="362">
        <v>103334.98000000001</v>
      </c>
      <c r="FI80" s="362">
        <v>69448.44</v>
      </c>
      <c r="FJ80" s="362">
        <v>64648.26</v>
      </c>
      <c r="FK80" s="362">
        <v>60218.400000000001</v>
      </c>
      <c r="FM80" s="43" t="s">
        <v>63</v>
      </c>
      <c r="FN80" s="319">
        <v>244914</v>
      </c>
      <c r="FO80" s="319">
        <v>427067</v>
      </c>
      <c r="FP80" s="319">
        <v>619008</v>
      </c>
      <c r="FQ80" s="319">
        <v>824231</v>
      </c>
      <c r="FR80" s="319">
        <v>896097</v>
      </c>
      <c r="FS80" s="319">
        <v>965255</v>
      </c>
      <c r="FT80" s="319">
        <v>1135963</v>
      </c>
      <c r="FU80" s="319">
        <v>1129176</v>
      </c>
      <c r="FV80" s="319">
        <v>1317646.0899999999</v>
      </c>
      <c r="FW80" s="319">
        <v>1282513.1299999999</v>
      </c>
      <c r="FX80" s="319">
        <v>1553594.83</v>
      </c>
      <c r="FY80" s="319">
        <v>1917665.83</v>
      </c>
      <c r="FZ80" s="319">
        <v>1703587.6</v>
      </c>
      <c r="GA80" s="319">
        <v>1558671.17</v>
      </c>
      <c r="GB80" s="319">
        <v>1097870.78</v>
      </c>
      <c r="GC80" s="319">
        <v>472745.28</v>
      </c>
      <c r="GD80" s="319">
        <v>737503.23</v>
      </c>
      <c r="GE80" s="319">
        <v>1153346.6399999999</v>
      </c>
      <c r="GF80" s="756">
        <v>1374051.48</v>
      </c>
      <c r="GG80" s="756">
        <v>1574214.02</v>
      </c>
      <c r="GH80" s="756">
        <v>1823033.51</v>
      </c>
      <c r="GI80" s="756">
        <v>1538017.37</v>
      </c>
      <c r="GJ80" s="42"/>
      <c r="GK80" s="570" t="s">
        <v>63</v>
      </c>
      <c r="GL80" s="571">
        <f>FN80/'4GF Expenditures'!B81</f>
        <v>0.23369188212831613</v>
      </c>
      <c r="GM80" s="571">
        <f>FO80/'4GF Expenditures'!C81</f>
        <v>0.73818442035686571</v>
      </c>
      <c r="GN80" s="571">
        <f>FP80/'4GF Expenditures'!D81</f>
        <v>0.94698048694667758</v>
      </c>
      <c r="GO80" s="571">
        <f>FQ80/'4GF Expenditures'!E81</f>
        <v>1.1665671210851696</v>
      </c>
      <c r="GP80" s="571">
        <f>FR80/'4GF Expenditures'!F81</f>
        <v>0.94181060305088382</v>
      </c>
      <c r="GQ80" s="571">
        <f>FS80/'4GF Expenditures'!G81</f>
        <v>0.92837171993856094</v>
      </c>
      <c r="GR80" s="571">
        <f>FT80/'4GF Expenditures'!H81</f>
        <v>0.95909932911518514</v>
      </c>
      <c r="GS80" s="571">
        <f>FU80/'4GF Expenditures'!I81</f>
        <v>0.94056145015468118</v>
      </c>
      <c r="GT80" s="571">
        <f>FV80/'4GF Expenditures'!J81</f>
        <v>1.1430660866705613</v>
      </c>
      <c r="GU80" s="571">
        <f>FW80/'4GF Expenditures'!K81</f>
        <v>0.85064058914744134</v>
      </c>
      <c r="GV80" s="571">
        <f>FX80/'4GF Expenditures'!L81</f>
        <v>1.203223213683033</v>
      </c>
      <c r="GW80" s="571">
        <f>FY80/'4GF Expenditures'!M81</f>
        <v>1.4456072277819827</v>
      </c>
      <c r="GX80" s="571">
        <f>FZ80/'4GF Expenditures'!N81</f>
        <v>0.98153369420380943</v>
      </c>
      <c r="GY80" s="571">
        <f>GA80/'4GF Expenditures'!O81</f>
        <v>0.88339976854463942</v>
      </c>
      <c r="GZ80" s="571">
        <f>GB80/'4GF Expenditures'!P81</f>
        <v>0.529621063145015</v>
      </c>
      <c r="HA80" s="571">
        <f>GC80/'4GF Expenditures'!Q81</f>
        <v>0.22007373183718945</v>
      </c>
      <c r="HB80" s="571">
        <f>GD80/'4GF Expenditures'!R81</f>
        <v>0.55126902021154911</v>
      </c>
      <c r="HC80" s="571">
        <f>GE80/'4GF Expenditures'!S81</f>
        <v>1.0016540301652332</v>
      </c>
      <c r="HD80" s="571">
        <f>GF80/'4GF Expenditures'!T81</f>
        <v>0.95955193670539807</v>
      </c>
      <c r="HE80" s="571">
        <f>GG80/'4GF Expenditures'!U81</f>
        <v>1.1159705691506969</v>
      </c>
      <c r="HF80" s="571">
        <f>GH80/'4GF Expenditures'!V81</f>
        <v>1.2042091203404826</v>
      </c>
      <c r="HG80" s="571">
        <f>GI80/'4GF Expenditures'!W81</f>
        <v>0.76072833207290291</v>
      </c>
      <c r="HH80" s="571"/>
      <c r="HI80" s="571"/>
      <c r="HJ80" s="571"/>
      <c r="HK80" s="568"/>
      <c r="HL80" s="567" t="s">
        <v>63</v>
      </c>
      <c r="HM80" s="571">
        <f>B80/'4GF Expenditures'!B81</f>
        <v>0.7293689725682978</v>
      </c>
      <c r="HN80" s="571">
        <f>C80/'4GF Expenditures'!C81</f>
        <v>1.3148510812618726</v>
      </c>
      <c r="HO80" s="571">
        <f>D80/'4GF Expenditures'!D81</f>
        <v>1.2936381785777118</v>
      </c>
      <c r="HP80" s="571">
        <f>E80/'4GF Expenditures'!E81</f>
        <v>1.2904603251885234</v>
      </c>
      <c r="HQ80" s="571">
        <f>F80/'4GF Expenditures'!F81</f>
        <v>1.0755321810014482</v>
      </c>
      <c r="HR80" s="571">
        <f>G80/'4GF Expenditures'!G81</f>
        <v>1.0665144475146888</v>
      </c>
      <c r="HS80" s="571">
        <f>H80/'4GF Expenditures'!H81</f>
        <v>1.144129631224428</v>
      </c>
      <c r="HT80" s="571">
        <f>I80/'4GF Expenditures'!I81</f>
        <v>0.99434668239300184</v>
      </c>
      <c r="HU80" s="571">
        <f>J80/'4GF Expenditures'!J81</f>
        <v>1.163499317853889</v>
      </c>
      <c r="HV80" s="571">
        <f>K80/'4GF Expenditures'!K81</f>
        <v>0.97426549048077582</v>
      </c>
      <c r="HW80" s="571">
        <f>L80/'4GF Expenditures'!L81</f>
        <v>1.2099464935946787</v>
      </c>
      <c r="HX80" s="571">
        <f>M80/'4GF Expenditures'!M81</f>
        <v>1.2744501470445526</v>
      </c>
      <c r="HY80" s="571">
        <f>N80/'4GF Expenditures'!N81</f>
        <v>0.87665735771937248</v>
      </c>
      <c r="HZ80" s="571">
        <f>O80/'4GF Expenditures'!O81</f>
        <v>0.91786648577049412</v>
      </c>
      <c r="IA80" s="571">
        <f>P80/'4GF Expenditures'!P81</f>
        <v>0.7777064506175877</v>
      </c>
      <c r="IB80" s="571">
        <f>Q80/'4GF Expenditures'!Q81</f>
        <v>0.70898979329505107</v>
      </c>
      <c r="IC80" s="571">
        <f>R80/'4GF Expenditures'!R81</f>
        <v>1.197901310465743</v>
      </c>
      <c r="ID80" s="573">
        <f>S80/'4GF Expenditures'!S81</f>
        <v>1.3609954879885759</v>
      </c>
      <c r="IE80" s="572">
        <f>T80/'4GF Expenditures'!T81</f>
        <v>1.1541265060779231</v>
      </c>
      <c r="IF80" s="572">
        <f>U80/'4GF Expenditures'!U81</f>
        <v>1.1418965279488802</v>
      </c>
      <c r="IG80" s="572">
        <f>V80/'4GF Expenditures'!V81</f>
        <v>1.1643583058308498</v>
      </c>
      <c r="IH80" s="572">
        <f>W80/'4GF Expenditures'!W81</f>
        <v>0.85902639526362623</v>
      </c>
    </row>
    <row r="81" spans="1:242" ht="14">
      <c r="A81" s="43" t="s">
        <v>64</v>
      </c>
      <c r="B81" s="319">
        <v>2514223</v>
      </c>
      <c r="C81" s="319">
        <v>1669865</v>
      </c>
      <c r="D81" s="319">
        <v>2312578</v>
      </c>
      <c r="E81" s="319">
        <v>2212057</v>
      </c>
      <c r="F81" s="319">
        <v>2244700</v>
      </c>
      <c r="G81" s="319">
        <v>2441214</v>
      </c>
      <c r="H81" s="319">
        <v>2698414</v>
      </c>
      <c r="I81" s="319">
        <v>2798323</v>
      </c>
      <c r="J81" s="319">
        <v>3062989</v>
      </c>
      <c r="K81" s="319">
        <v>2820587</v>
      </c>
      <c r="L81" s="319">
        <v>2942554</v>
      </c>
      <c r="M81" s="319">
        <v>3135137</v>
      </c>
      <c r="N81" s="319">
        <v>3325857</v>
      </c>
      <c r="O81" s="319">
        <v>3170399</v>
      </c>
      <c r="P81" s="319">
        <v>3276596</v>
      </c>
      <c r="Q81" s="319">
        <v>3502180</v>
      </c>
      <c r="R81" s="319">
        <v>3493428</v>
      </c>
      <c r="S81" s="362">
        <v>3676659</v>
      </c>
      <c r="T81" s="362">
        <v>3670462</v>
      </c>
      <c r="U81" s="362">
        <v>3632218</v>
      </c>
      <c r="V81" s="362">
        <v>3662227</v>
      </c>
      <c r="W81" s="362">
        <v>3546627</v>
      </c>
      <c r="X81" s="6"/>
      <c r="Y81" s="43" t="s">
        <v>64</v>
      </c>
      <c r="Z81" s="319">
        <v>25142.23</v>
      </c>
      <c r="AA81" s="319">
        <v>33397.300000000003</v>
      </c>
      <c r="AB81" s="319">
        <v>23125.78</v>
      </c>
      <c r="AC81" s="319">
        <v>22120.57</v>
      </c>
      <c r="AD81" s="319">
        <v>22447</v>
      </c>
      <c r="AE81" s="319">
        <v>0</v>
      </c>
      <c r="AF81" s="319">
        <v>0</v>
      </c>
      <c r="AG81" s="319">
        <v>27983.23</v>
      </c>
      <c r="AH81" s="319">
        <v>40398</v>
      </c>
      <c r="AI81" s="319">
        <v>43861</v>
      </c>
      <c r="AJ81" s="319">
        <v>43517</v>
      </c>
      <c r="AK81" s="319">
        <v>47375</v>
      </c>
      <c r="AL81" s="319">
        <v>50666</v>
      </c>
      <c r="AM81" s="319">
        <v>46253</v>
      </c>
      <c r="AN81" s="319">
        <v>70025</v>
      </c>
      <c r="AO81" s="319">
        <v>64355</v>
      </c>
      <c r="AP81" s="319">
        <v>66554</v>
      </c>
      <c r="AQ81" s="362">
        <v>72215</v>
      </c>
      <c r="AR81" s="753">
        <v>80076</v>
      </c>
      <c r="AS81" s="753">
        <v>81062</v>
      </c>
      <c r="AT81" s="753">
        <v>82035</v>
      </c>
      <c r="AU81" s="753">
        <v>80000</v>
      </c>
      <c r="AV81" s="39"/>
      <c r="AW81" s="43" t="s">
        <v>64</v>
      </c>
      <c r="AX81" s="319">
        <v>879978.05</v>
      </c>
      <c r="AY81" s="319">
        <v>918425.75</v>
      </c>
      <c r="AZ81" s="319">
        <v>878779.64</v>
      </c>
      <c r="BA81" s="319">
        <v>1017546.22</v>
      </c>
      <c r="BB81" s="319">
        <v>1144797</v>
      </c>
      <c r="BC81" s="319">
        <v>1196194.8600000001</v>
      </c>
      <c r="BD81" s="319">
        <v>1376191.14</v>
      </c>
      <c r="BE81" s="319">
        <v>1483111.19</v>
      </c>
      <c r="BF81" s="319">
        <v>1644164</v>
      </c>
      <c r="BG81" s="319">
        <v>1706583</v>
      </c>
      <c r="BH81" s="319">
        <v>1763726</v>
      </c>
      <c r="BI81" s="319">
        <v>1867174</v>
      </c>
      <c r="BJ81" s="319">
        <v>1891498</v>
      </c>
      <c r="BK81" s="319">
        <v>1983482</v>
      </c>
      <c r="BL81" s="319">
        <v>2083839</v>
      </c>
      <c r="BM81" s="319">
        <v>2129960</v>
      </c>
      <c r="BN81" s="319">
        <v>2102855</v>
      </c>
      <c r="BO81" s="362">
        <v>2133338</v>
      </c>
      <c r="BP81" s="753">
        <v>2163150</v>
      </c>
      <c r="BQ81" s="753">
        <v>2230171</v>
      </c>
      <c r="BR81" s="753">
        <v>2251473</v>
      </c>
      <c r="BS81" s="753">
        <v>2215000</v>
      </c>
      <c r="BT81" s="286"/>
      <c r="BU81" s="43" t="s">
        <v>64</v>
      </c>
      <c r="BV81" s="319">
        <v>100568.92</v>
      </c>
      <c r="BW81" s="319">
        <v>100191.9</v>
      </c>
      <c r="BX81" s="319">
        <v>231257.8</v>
      </c>
      <c r="BY81" s="319">
        <v>486652.54</v>
      </c>
      <c r="BZ81" s="319">
        <v>269364</v>
      </c>
      <c r="CA81" s="319">
        <v>268533.53999999998</v>
      </c>
      <c r="CB81" s="319">
        <v>242857.26</v>
      </c>
      <c r="CC81" s="319">
        <v>307815.53000000003</v>
      </c>
      <c r="CD81" s="319">
        <v>165123</v>
      </c>
      <c r="CE81" s="319">
        <v>100722</v>
      </c>
      <c r="CF81" s="319">
        <v>90361</v>
      </c>
      <c r="CG81" s="319">
        <v>143529</v>
      </c>
      <c r="CH81" s="319">
        <v>104195</v>
      </c>
      <c r="CI81" s="319">
        <v>96253</v>
      </c>
      <c r="CJ81" s="319">
        <v>82276</v>
      </c>
      <c r="CK81" s="319">
        <v>77278</v>
      </c>
      <c r="CL81" s="319">
        <v>81802</v>
      </c>
      <c r="CM81" s="362">
        <v>161666</v>
      </c>
      <c r="CN81" s="753">
        <v>124449</v>
      </c>
      <c r="CO81" s="753">
        <v>119972</v>
      </c>
      <c r="CP81" s="753">
        <v>128832</v>
      </c>
      <c r="CQ81" s="753">
        <v>123059</v>
      </c>
      <c r="CR81" s="39"/>
      <c r="CS81" s="43" t="s">
        <v>64</v>
      </c>
      <c r="CT81" s="319">
        <v>377133.45</v>
      </c>
      <c r="CU81" s="319">
        <v>367370.3</v>
      </c>
      <c r="CV81" s="319">
        <v>439389.82</v>
      </c>
      <c r="CW81" s="319">
        <v>420290.83</v>
      </c>
      <c r="CX81" s="319">
        <v>493834</v>
      </c>
      <c r="CY81" s="319">
        <v>537067.07999999996</v>
      </c>
      <c r="CZ81" s="319">
        <v>620635.22</v>
      </c>
      <c r="DA81" s="319">
        <v>811513.67</v>
      </c>
      <c r="DB81" s="319">
        <v>601619</v>
      </c>
      <c r="DC81" s="319">
        <v>522113</v>
      </c>
      <c r="DD81" s="319">
        <v>627038</v>
      </c>
      <c r="DE81" s="319">
        <v>589774</v>
      </c>
      <c r="DF81" s="319">
        <v>600461</v>
      </c>
      <c r="DG81" s="319">
        <v>625402</v>
      </c>
      <c r="DH81" s="319">
        <v>630376</v>
      </c>
      <c r="DI81" s="319">
        <v>767641</v>
      </c>
      <c r="DJ81" s="319">
        <v>714483</v>
      </c>
      <c r="DK81" s="362">
        <v>768191</v>
      </c>
      <c r="DL81" s="753">
        <v>678397</v>
      </c>
      <c r="DM81" s="753">
        <v>696916</v>
      </c>
      <c r="DN81" s="753">
        <v>740617</v>
      </c>
      <c r="DO81" s="753">
        <v>688821</v>
      </c>
      <c r="DP81" s="39"/>
      <c r="DQ81" s="43" t="s">
        <v>64</v>
      </c>
      <c r="DR81" s="319">
        <v>75426.69</v>
      </c>
      <c r="DS81" s="319">
        <v>66794.600000000006</v>
      </c>
      <c r="DT81" s="319">
        <v>46251.56</v>
      </c>
      <c r="DU81" s="319">
        <v>22120.57</v>
      </c>
      <c r="DV81" s="319">
        <v>22447</v>
      </c>
      <c r="DW81" s="319">
        <v>0</v>
      </c>
      <c r="DX81" s="319">
        <v>0</v>
      </c>
      <c r="DY81" s="319">
        <v>0</v>
      </c>
      <c r="DZ81" s="319">
        <v>7361</v>
      </c>
      <c r="EA81" s="319">
        <v>6642</v>
      </c>
      <c r="EB81" s="319">
        <v>6794</v>
      </c>
      <c r="EC81" s="319">
        <v>6891</v>
      </c>
      <c r="ED81" s="319">
        <v>10959</v>
      </c>
      <c r="EE81" s="319">
        <v>11671</v>
      </c>
      <c r="EF81" s="319">
        <v>11979</v>
      </c>
      <c r="EG81" s="319">
        <v>12852</v>
      </c>
      <c r="EH81" s="319">
        <v>3438</v>
      </c>
      <c r="EI81" s="362">
        <v>1869</v>
      </c>
      <c r="EJ81" s="753">
        <v>1455</v>
      </c>
      <c r="EK81" s="753">
        <v>1828</v>
      </c>
      <c r="EL81" s="753">
        <v>3103</v>
      </c>
      <c r="EM81" s="753">
        <v>2500</v>
      </c>
      <c r="EN81" s="39"/>
      <c r="EO81" s="43" t="s">
        <v>64</v>
      </c>
      <c r="EP81" s="319">
        <v>1055973.6599999999</v>
      </c>
      <c r="EQ81" s="319">
        <v>183685.15</v>
      </c>
      <c r="ER81" s="319">
        <v>693773.4</v>
      </c>
      <c r="ES81" s="319">
        <v>243326.27</v>
      </c>
      <c r="ET81" s="319">
        <v>291811</v>
      </c>
      <c r="EU81" s="319">
        <v>439418.52</v>
      </c>
      <c r="EV81" s="319">
        <v>458730.38</v>
      </c>
      <c r="EW81" s="319">
        <v>167899.38</v>
      </c>
      <c r="EX81" s="319">
        <v>555627</v>
      </c>
      <c r="EY81" s="319">
        <v>392095</v>
      </c>
      <c r="EZ81" s="319">
        <v>328343</v>
      </c>
      <c r="FA81" s="319">
        <v>396458</v>
      </c>
      <c r="FB81" s="319">
        <v>539685</v>
      </c>
      <c r="FC81" s="319">
        <v>285029</v>
      </c>
      <c r="FD81" s="319">
        <v>265340</v>
      </c>
      <c r="FE81" s="319">
        <v>322245</v>
      </c>
      <c r="FF81" s="319">
        <v>435805</v>
      </c>
      <c r="FG81" s="362">
        <v>445368</v>
      </c>
      <c r="FH81" s="362">
        <v>512988</v>
      </c>
      <c r="FI81" s="362">
        <v>400467</v>
      </c>
      <c r="FJ81" s="362">
        <v>351627</v>
      </c>
      <c r="FK81" s="362">
        <v>327650</v>
      </c>
      <c r="FM81" s="43" t="s">
        <v>64</v>
      </c>
      <c r="FN81" s="319">
        <v>1365156</v>
      </c>
      <c r="FO81" s="319">
        <v>500542</v>
      </c>
      <c r="FP81" s="319">
        <v>473745</v>
      </c>
      <c r="FQ81" s="319">
        <v>423242</v>
      </c>
      <c r="FR81" s="319">
        <v>332676</v>
      </c>
      <c r="FS81" s="319">
        <v>63259</v>
      </c>
      <c r="FT81" s="319">
        <v>232437</v>
      </c>
      <c r="FU81" s="319">
        <v>207423</v>
      </c>
      <c r="FV81" s="319">
        <v>131689</v>
      </c>
      <c r="FW81" s="319">
        <v>125274</v>
      </c>
      <c r="FX81" s="319">
        <v>5484</v>
      </c>
      <c r="FY81" s="319">
        <v>7752</v>
      </c>
      <c r="FZ81" s="319">
        <v>47902</v>
      </c>
      <c r="GA81" s="319">
        <v>99889</v>
      </c>
      <c r="GB81" s="319">
        <v>109454</v>
      </c>
      <c r="GC81" s="319">
        <v>297062</v>
      </c>
      <c r="GD81" s="319">
        <v>164098</v>
      </c>
      <c r="GE81" s="319">
        <v>159448</v>
      </c>
      <c r="GF81" s="756">
        <v>158452</v>
      </c>
      <c r="GG81" s="756">
        <v>293727</v>
      </c>
      <c r="GH81" s="756">
        <v>294107</v>
      </c>
      <c r="GI81" s="756">
        <v>0</v>
      </c>
      <c r="GJ81" s="42"/>
      <c r="GK81" s="570" t="s">
        <v>64</v>
      </c>
      <c r="GL81" s="571">
        <f>FN81/'4GF Expenditures'!B82</f>
        <v>0.74013897842131482</v>
      </c>
      <c r="GM81" s="571">
        <f>FO81/'4GF Expenditures'!C82</f>
        <v>0.19749305478561865</v>
      </c>
      <c r="GN81" s="571">
        <f>FP81/'4GF Expenditures'!D82</f>
        <v>0.20250921720545018</v>
      </c>
      <c r="GO81" s="571">
        <f>FQ81/'4GF Expenditures'!E82</f>
        <v>0.18706332649741886</v>
      </c>
      <c r="GP81" s="571">
        <f>FR81/'4GF Expenditures'!F82</f>
        <v>0.14245743311468587</v>
      </c>
      <c r="GQ81" s="571">
        <f>FS81/'4GF Expenditures'!G82</f>
        <v>2.3337370523689872E-2</v>
      </c>
      <c r="GR81" s="571">
        <f>FT81/'4GF Expenditures'!H82</f>
        <v>9.1900083661627469E-2</v>
      </c>
      <c r="GS81" s="571">
        <f>FU81/'4GF Expenditures'!I82</f>
        <v>7.3467318991675454E-2</v>
      </c>
      <c r="GT81" s="571">
        <f>FV81/'4GF Expenditures'!J82</f>
        <v>4.1954711251332898E-2</v>
      </c>
      <c r="GU81" s="571">
        <f>FW81/'4GF Expenditures'!K82</f>
        <v>4.431335941277742E-2</v>
      </c>
      <c r="GV81" s="571">
        <f>FX81/'4GF Expenditures'!L82</f>
        <v>1.7907839283999914E-3</v>
      </c>
      <c r="GW81" s="571">
        <f>FY81/'4GF Expenditures'!M82</f>
        <v>2.4729867982955789E-3</v>
      </c>
      <c r="GX81" s="571">
        <f>FZ81/'4GF Expenditures'!N82</f>
        <v>1.4398375906962121E-2</v>
      </c>
      <c r="GY81" s="571">
        <f>GA81/'4GF Expenditures'!O82</f>
        <v>3.2032388663967612E-2</v>
      </c>
      <c r="GZ81" s="571">
        <f>GB81/'4GF Expenditures'!P82</f>
        <v>3.3502589966241524E-2</v>
      </c>
      <c r="HA81" s="571">
        <f>GC81/'4GF Expenditures'!Q82</f>
        <v>8.789313242257181E-2</v>
      </c>
      <c r="HB81" s="571">
        <f>GD81/'4GF Expenditures'!R82</f>
        <v>4.5251037394743863E-2</v>
      </c>
      <c r="HC81" s="571">
        <f>GE81/'4GF Expenditures'!S82</f>
        <v>4.3312854204849413E-2</v>
      </c>
      <c r="HD81" s="571">
        <f>GF81/'4GF Expenditures'!T82</f>
        <v>4.3157786361712434E-2</v>
      </c>
      <c r="HE81" s="571">
        <f>GG81/'4GF Expenditures'!U82</f>
        <v>8.3995363950742113E-2</v>
      </c>
      <c r="HF81" s="571">
        <f>GH81/'4GF Expenditures'!V82</f>
        <v>8.0316572483776633E-2</v>
      </c>
      <c r="HG81" s="571">
        <f>GI81/'4GF Expenditures'!W82</f>
        <v>0</v>
      </c>
      <c r="HH81" s="571"/>
      <c r="HI81" s="571"/>
      <c r="HJ81" s="571"/>
      <c r="HK81" s="568"/>
      <c r="HL81" s="567" t="s">
        <v>64</v>
      </c>
      <c r="HM81" s="571">
        <f>B81/'4GF Expenditures'!B82</f>
        <v>1.3631221946381025</v>
      </c>
      <c r="HN81" s="571">
        <f>C81/'4GF Expenditures'!C82</f>
        <v>0.6588592764035528</v>
      </c>
      <c r="HO81" s="571">
        <f>D81/'4GF Expenditures'!D82</f>
        <v>0.9885452310980497</v>
      </c>
      <c r="HP81" s="571">
        <f>E81/'4GF Expenditures'!E82</f>
        <v>0.97767882398698824</v>
      </c>
      <c r="HQ81" s="571">
        <f>F81/'4GF Expenditures'!F82</f>
        <v>0.96121812247512706</v>
      </c>
      <c r="HR81" s="571">
        <f>G81/'4GF Expenditures'!G82</f>
        <v>0.90060727557531806</v>
      </c>
      <c r="HS81" s="571">
        <f>H81/'4GF Expenditures'!H82</f>
        <v>1.0668889735872809</v>
      </c>
      <c r="HT81" s="571">
        <f>I81/'4GF Expenditures'!I82</f>
        <v>0.99114027124640103</v>
      </c>
      <c r="HU81" s="571">
        <f>J81/'4GF Expenditures'!J82</f>
        <v>0.97583563593776934</v>
      </c>
      <c r="HV81" s="571">
        <f>K81/'4GF Expenditures'!K82</f>
        <v>0.99773045872254118</v>
      </c>
      <c r="HW81" s="571">
        <f>L81/'4GF Expenditures'!L82</f>
        <v>0.96088227783535896</v>
      </c>
      <c r="HX81" s="571">
        <f>M81/'4GF Expenditures'!M82</f>
        <v>1.0001486599391132</v>
      </c>
      <c r="HY81" s="571">
        <f>N81/'4GF Expenditures'!N82</f>
        <v>0.99968559347837915</v>
      </c>
      <c r="HZ81" s="571">
        <f>O81/'4GF Expenditures'!O82</f>
        <v>1.0166830480618911</v>
      </c>
      <c r="IA81" s="571">
        <f>P81/'4GF Expenditures'!P82</f>
        <v>1.002927734692447</v>
      </c>
      <c r="IB81" s="571">
        <f>Q81/'4GF Expenditures'!Q82</f>
        <v>1.0362064838575198</v>
      </c>
      <c r="IC81" s="571">
        <f>R81/'4GF Expenditures'!R82</f>
        <v>0.96333435546956869</v>
      </c>
      <c r="ID81" s="573">
        <f>S81/'4GF Expenditures'!S82</f>
        <v>0.99873686234977832</v>
      </c>
      <c r="IE81" s="572">
        <f>T81/'4GF Expenditures'!T82</f>
        <v>0.99972871812778463</v>
      </c>
      <c r="IF81" s="572">
        <f>U81/'4GF Expenditures'!U82</f>
        <v>1.0386837875252757</v>
      </c>
      <c r="IG81" s="572">
        <f>V81/'4GF Expenditures'!V82</f>
        <v>1.0001037727682232</v>
      </c>
      <c r="IH81" s="572">
        <f>W81/'4GF Expenditures'!W82</f>
        <v>0.9234242725479036</v>
      </c>
    </row>
    <row r="82" spans="1:242" ht="14">
      <c r="A82" s="43" t="s">
        <v>65</v>
      </c>
      <c r="B82" s="319">
        <v>366322</v>
      </c>
      <c r="C82" s="319">
        <v>393736</v>
      </c>
      <c r="D82" s="319">
        <v>382018</v>
      </c>
      <c r="E82" s="319">
        <v>407818</v>
      </c>
      <c r="F82" s="319">
        <v>417412</v>
      </c>
      <c r="G82" s="319">
        <v>537482</v>
      </c>
      <c r="H82" s="319">
        <v>816365</v>
      </c>
      <c r="I82" s="319">
        <v>588102</v>
      </c>
      <c r="J82" s="319">
        <v>709529.79</v>
      </c>
      <c r="K82" s="888">
        <v>713364.55999999994</v>
      </c>
      <c r="L82" s="319">
        <v>844595</v>
      </c>
      <c r="M82" s="319">
        <v>903169</v>
      </c>
      <c r="N82" s="319">
        <v>978381</v>
      </c>
      <c r="O82" s="319">
        <v>948996</v>
      </c>
      <c r="P82" s="319">
        <v>1041888</v>
      </c>
      <c r="Q82" s="319">
        <v>976424</v>
      </c>
      <c r="R82" s="319">
        <v>1644569</v>
      </c>
      <c r="S82" s="362">
        <v>968288</v>
      </c>
      <c r="T82" s="362">
        <v>1090863</v>
      </c>
      <c r="U82" s="362">
        <v>1071387</v>
      </c>
      <c r="V82" s="362">
        <v>1235589</v>
      </c>
      <c r="W82" s="362">
        <v>1199180</v>
      </c>
      <c r="X82" s="6"/>
      <c r="Y82" s="43" t="s">
        <v>65</v>
      </c>
      <c r="Z82" s="319">
        <v>161181.68</v>
      </c>
      <c r="AA82" s="319">
        <v>181118.56</v>
      </c>
      <c r="AB82" s="319">
        <v>179548.46</v>
      </c>
      <c r="AC82" s="319">
        <v>191674.46</v>
      </c>
      <c r="AD82" s="319">
        <v>187835.4</v>
      </c>
      <c r="AE82" s="319">
        <v>198868.34</v>
      </c>
      <c r="AF82" s="319">
        <v>195927.6</v>
      </c>
      <c r="AG82" s="319">
        <v>217597.74</v>
      </c>
      <c r="AH82" s="319">
        <v>217760.42</v>
      </c>
      <c r="AI82" s="319">
        <v>226445.33</v>
      </c>
      <c r="AJ82" s="319">
        <v>233372</v>
      </c>
      <c r="AK82" s="319">
        <v>260533</v>
      </c>
      <c r="AL82" s="319">
        <v>249615</v>
      </c>
      <c r="AM82" s="319">
        <v>271169</v>
      </c>
      <c r="AN82" s="319">
        <v>276414</v>
      </c>
      <c r="AO82" s="319">
        <v>266575</v>
      </c>
      <c r="AP82" s="319">
        <v>290208</v>
      </c>
      <c r="AQ82" s="362">
        <v>281343</v>
      </c>
      <c r="AR82" s="753">
        <v>306389</v>
      </c>
      <c r="AS82" s="753">
        <v>295142</v>
      </c>
      <c r="AT82" s="753">
        <v>326162</v>
      </c>
      <c r="AU82" s="753">
        <v>295000</v>
      </c>
      <c r="AV82" s="39"/>
      <c r="AW82" s="43" t="s">
        <v>65</v>
      </c>
      <c r="AX82" s="319">
        <v>117223.03999999999</v>
      </c>
      <c r="AY82" s="319">
        <v>125995.52</v>
      </c>
      <c r="AZ82" s="319">
        <v>110785.22</v>
      </c>
      <c r="BA82" s="319">
        <v>122345.4</v>
      </c>
      <c r="BB82" s="319">
        <v>137745.96</v>
      </c>
      <c r="BC82" s="319">
        <v>225742.44</v>
      </c>
      <c r="BD82" s="319">
        <v>285727.75</v>
      </c>
      <c r="BE82" s="319">
        <v>282288.96000000002</v>
      </c>
      <c r="BF82" s="319">
        <v>326857</v>
      </c>
      <c r="BG82" s="319">
        <v>334338.25</v>
      </c>
      <c r="BH82" s="319">
        <v>339167</v>
      </c>
      <c r="BI82" s="319">
        <v>368208</v>
      </c>
      <c r="BJ82" s="319">
        <v>374177</v>
      </c>
      <c r="BK82" s="319">
        <v>346618</v>
      </c>
      <c r="BL82" s="319">
        <v>347836</v>
      </c>
      <c r="BM82" s="319">
        <v>382174</v>
      </c>
      <c r="BN82" s="319">
        <v>373750</v>
      </c>
      <c r="BO82" s="362">
        <v>363293</v>
      </c>
      <c r="BP82" s="753">
        <v>460388</v>
      </c>
      <c r="BQ82" s="753">
        <v>457550</v>
      </c>
      <c r="BR82" s="753">
        <v>425950</v>
      </c>
      <c r="BS82" s="753">
        <v>420000</v>
      </c>
      <c r="BT82" s="286"/>
      <c r="BU82" s="43" t="s">
        <v>65</v>
      </c>
      <c r="BV82" s="319">
        <v>14652.88</v>
      </c>
      <c r="BW82" s="319">
        <v>11812.08</v>
      </c>
      <c r="BX82" s="319">
        <v>15280.72</v>
      </c>
      <c r="BY82" s="319">
        <v>12234.54</v>
      </c>
      <c r="BZ82" s="319">
        <v>4174.12</v>
      </c>
      <c r="CA82" s="319">
        <v>10749.64</v>
      </c>
      <c r="CB82" s="319">
        <v>253073.15</v>
      </c>
      <c r="CC82" s="319">
        <v>23524.080000000002</v>
      </c>
      <c r="CD82" s="319">
        <v>53819.7</v>
      </c>
      <c r="CE82" s="319">
        <v>61386.32</v>
      </c>
      <c r="CF82" s="319">
        <v>63013</v>
      </c>
      <c r="CG82" s="319">
        <v>42606</v>
      </c>
      <c r="CH82" s="319">
        <v>15724</v>
      </c>
      <c r="CI82" s="319">
        <v>30667</v>
      </c>
      <c r="CJ82" s="319">
        <v>13242</v>
      </c>
      <c r="CK82" s="319">
        <v>13192</v>
      </c>
      <c r="CL82" s="319">
        <v>13613</v>
      </c>
      <c r="CM82" s="362">
        <v>20454</v>
      </c>
      <c r="CN82" s="753">
        <v>35051</v>
      </c>
      <c r="CO82" s="753">
        <v>39076</v>
      </c>
      <c r="CP82" s="753">
        <v>42225</v>
      </c>
      <c r="CQ82" s="753">
        <v>39300</v>
      </c>
      <c r="CR82" s="39"/>
      <c r="CS82" s="43" t="s">
        <v>65</v>
      </c>
      <c r="CT82" s="319">
        <v>58611.519999999997</v>
      </c>
      <c r="CU82" s="319">
        <v>59060.4</v>
      </c>
      <c r="CV82" s="319">
        <v>57302.7</v>
      </c>
      <c r="CW82" s="319">
        <v>53016.34</v>
      </c>
      <c r="CX82" s="319">
        <v>50089.440000000002</v>
      </c>
      <c r="CY82" s="319">
        <v>53748.2</v>
      </c>
      <c r="CZ82" s="319">
        <v>57145.55</v>
      </c>
      <c r="DA82" s="319">
        <v>58810.2</v>
      </c>
      <c r="DB82" s="319">
        <v>58643.71</v>
      </c>
      <c r="DC82" s="319">
        <v>58758.61</v>
      </c>
      <c r="DD82" s="319">
        <v>56352</v>
      </c>
      <c r="DE82" s="319">
        <v>78523</v>
      </c>
      <c r="DF82" s="319">
        <v>185413</v>
      </c>
      <c r="DG82" s="319">
        <v>188159</v>
      </c>
      <c r="DH82" s="319">
        <v>195793</v>
      </c>
      <c r="DI82" s="319">
        <v>250739</v>
      </c>
      <c r="DJ82" s="319">
        <v>257879</v>
      </c>
      <c r="DK82" s="362">
        <v>240565</v>
      </c>
      <c r="DL82" s="753">
        <v>184253</v>
      </c>
      <c r="DM82" s="753">
        <v>182475</v>
      </c>
      <c r="DN82" s="753">
        <v>245563</v>
      </c>
      <c r="DO82" s="753">
        <v>229450</v>
      </c>
      <c r="DP82" s="39"/>
      <c r="DQ82" s="43" t="s">
        <v>65</v>
      </c>
      <c r="DR82" s="319">
        <v>7326.44</v>
      </c>
      <c r="DS82" s="319">
        <v>3937.36</v>
      </c>
      <c r="DT82" s="319">
        <v>7640.36</v>
      </c>
      <c r="DU82" s="319">
        <v>8156.36</v>
      </c>
      <c r="DV82" s="319">
        <v>8348.24</v>
      </c>
      <c r="DW82" s="319">
        <v>5374.82</v>
      </c>
      <c r="DX82" s="319">
        <v>8163.65</v>
      </c>
      <c r="DY82" s="319">
        <v>0</v>
      </c>
      <c r="DZ82" s="319">
        <v>2111.92</v>
      </c>
      <c r="EA82" s="319">
        <v>2671.5</v>
      </c>
      <c r="EB82" s="319">
        <v>6374</v>
      </c>
      <c r="EC82" s="319">
        <v>8294</v>
      </c>
      <c r="ED82" s="319">
        <v>11421</v>
      </c>
      <c r="EE82" s="319">
        <v>7776</v>
      </c>
      <c r="EF82" s="319">
        <v>12818</v>
      </c>
      <c r="EG82" s="319">
        <v>10446</v>
      </c>
      <c r="EH82" s="319">
        <v>8794</v>
      </c>
      <c r="EI82" s="362">
        <v>371</v>
      </c>
      <c r="EJ82" s="753">
        <v>239</v>
      </c>
      <c r="EK82" s="753">
        <v>638</v>
      </c>
      <c r="EL82" s="753">
        <v>2200</v>
      </c>
      <c r="EM82" s="753">
        <v>1500</v>
      </c>
      <c r="EN82" s="39"/>
      <c r="EO82" s="43" t="s">
        <v>65</v>
      </c>
      <c r="EP82" s="319">
        <v>7326.44</v>
      </c>
      <c r="EQ82" s="319">
        <v>11812.08</v>
      </c>
      <c r="ER82" s="319">
        <v>11460.54</v>
      </c>
      <c r="ES82" s="319">
        <v>20390.900000000001</v>
      </c>
      <c r="ET82" s="319">
        <v>29218.84</v>
      </c>
      <c r="EU82" s="319">
        <v>42998.559999999998</v>
      </c>
      <c r="EV82" s="319">
        <v>16327.3</v>
      </c>
      <c r="EW82" s="319">
        <v>5881.02</v>
      </c>
      <c r="EX82" s="319">
        <v>7383.3999999999987</v>
      </c>
      <c r="EY82" s="319">
        <v>14103.929999999998</v>
      </c>
      <c r="EZ82" s="319">
        <v>46317</v>
      </c>
      <c r="FA82" s="319">
        <v>85005</v>
      </c>
      <c r="FB82" s="319">
        <v>142031</v>
      </c>
      <c r="FC82" s="319">
        <v>104607</v>
      </c>
      <c r="FD82" s="319">
        <v>95785</v>
      </c>
      <c r="FE82" s="319">
        <v>53298</v>
      </c>
      <c r="FF82" s="319">
        <v>80325</v>
      </c>
      <c r="FG82" s="362">
        <v>62262</v>
      </c>
      <c r="FH82" s="362">
        <v>104543</v>
      </c>
      <c r="FI82" s="362">
        <v>96506</v>
      </c>
      <c r="FJ82" s="362">
        <v>193489</v>
      </c>
      <c r="FK82" s="362">
        <v>213930</v>
      </c>
      <c r="FM82" s="43" t="s">
        <v>65</v>
      </c>
      <c r="FN82" s="319">
        <v>96377</v>
      </c>
      <c r="FO82" s="319">
        <v>112903</v>
      </c>
      <c r="FP82" s="319">
        <v>83129</v>
      </c>
      <c r="FQ82" s="319">
        <v>84051</v>
      </c>
      <c r="FR82" s="319">
        <v>68841</v>
      </c>
      <c r="FS82" s="319">
        <v>92174</v>
      </c>
      <c r="FT82" s="319">
        <v>46146</v>
      </c>
      <c r="FU82" s="319">
        <v>45595</v>
      </c>
      <c r="FV82" s="319">
        <v>73688.800000000047</v>
      </c>
      <c r="FW82" s="319">
        <v>76269.48</v>
      </c>
      <c r="FX82" s="319">
        <v>43737</v>
      </c>
      <c r="FY82" s="319">
        <v>78437</v>
      </c>
      <c r="FZ82" s="319">
        <v>144486</v>
      </c>
      <c r="GA82" s="319">
        <v>97650</v>
      </c>
      <c r="GB82" s="319">
        <v>77669</v>
      </c>
      <c r="GC82" s="319">
        <v>45040</v>
      </c>
      <c r="GD82" s="319">
        <v>648617</v>
      </c>
      <c r="GE82" s="319">
        <v>479367</v>
      </c>
      <c r="GF82" s="756">
        <v>612375</v>
      </c>
      <c r="GG82" s="756">
        <v>695790</v>
      </c>
      <c r="GH82" s="756">
        <v>801401</v>
      </c>
      <c r="GI82" s="756">
        <v>599451</v>
      </c>
      <c r="GJ82" s="42"/>
      <c r="GK82" s="570" t="s">
        <v>65</v>
      </c>
      <c r="GL82" s="571">
        <f>FN82/'4GF Expenditures'!B83</f>
        <v>0.26468980783438106</v>
      </c>
      <c r="GM82" s="571">
        <f>FO82/'4GF Expenditures'!C83</f>
        <v>0.29931072877177167</v>
      </c>
      <c r="GN82" s="571">
        <f>FP82/'4GF Expenditures'!D83</f>
        <v>0.20187133310020594</v>
      </c>
      <c r="GO82" s="571">
        <f>FQ82/'4GF Expenditures'!E83</f>
        <v>0.20656629703904683</v>
      </c>
      <c r="GP82" s="571">
        <f>FR82/'4GF Expenditures'!F83</f>
        <v>0.15912505605355251</v>
      </c>
      <c r="GQ82" s="571">
        <f>FS82/'4GF Expenditures'!G83</f>
        <v>0.17927487946101228</v>
      </c>
      <c r="GR82" s="571">
        <f>FT82/'4GF Expenditures'!H83</f>
        <v>5.3509246944258591E-2</v>
      </c>
      <c r="GS82" s="571">
        <f>FU82/'4GF Expenditures'!I83</f>
        <v>7.7456498140670307E-2</v>
      </c>
      <c r="GT82" s="571">
        <f>FV82/'4GF Expenditures'!J83</f>
        <v>0.10788238207358856</v>
      </c>
      <c r="GU82" s="571">
        <f>FW82/'4GF Expenditures'!K83</f>
        <v>0.10730333389102746</v>
      </c>
      <c r="GV82" s="571">
        <f>FX82/'4GF Expenditures'!L83</f>
        <v>5.2246427969882776E-2</v>
      </c>
      <c r="GW82" s="571">
        <f>FY82/'4GF Expenditures'!M83</f>
        <v>9.0316407378962293E-2</v>
      </c>
      <c r="GX82" s="571">
        <f>FZ82/'4GF Expenditures'!N83</f>
        <v>0.15837015293791398</v>
      </c>
      <c r="GY82" s="571">
        <f>GA82/'4GF Expenditures'!O83</f>
        <v>9.8367393400066686E-2</v>
      </c>
      <c r="GZ82" s="571">
        <f>GB82/'4GF Expenditures'!P83</f>
        <v>7.3143467385899621E-2</v>
      </c>
      <c r="HA82" s="571">
        <f>GC82/'4GF Expenditures'!Q83</f>
        <v>4.463586686143655E-2</v>
      </c>
      <c r="HB82" s="571">
        <f>GD82/'4GF Expenditures'!R83</f>
        <v>0.6230734796291244</v>
      </c>
      <c r="HC82" s="571">
        <f>GE82/'4GF Expenditures'!S83</f>
        <v>0.42140560840337465</v>
      </c>
      <c r="HD82" s="571">
        <f>GF82/'4GF Expenditures'!T83</f>
        <v>0.63932043852240372</v>
      </c>
      <c r="HE82" s="571">
        <f>GG82/'4GF Expenditures'!U83</f>
        <v>0.70425942383099149</v>
      </c>
      <c r="HF82" s="571">
        <f>GH82/'4GF Expenditures'!V83</f>
        <v>0.70921760492894115</v>
      </c>
      <c r="HG82" s="571">
        <f>GI82/'4GF Expenditures'!W83</f>
        <v>0.42783396258734024</v>
      </c>
      <c r="HH82" s="571"/>
      <c r="HI82" s="571"/>
      <c r="HJ82" s="571"/>
      <c r="HK82" s="568"/>
      <c r="HL82" s="567" t="s">
        <v>65</v>
      </c>
      <c r="HM82" s="571">
        <f>B82/'4GF Expenditures'!B83</f>
        <v>1.0060667979445941</v>
      </c>
      <c r="HN82" s="571">
        <f>C82/'4GF Expenditures'!C83</f>
        <v>1.0438111396834655</v>
      </c>
      <c r="HO82" s="571">
        <f>D82/'4GF Expenditures'!D83</f>
        <v>0.92769650697439487</v>
      </c>
      <c r="HP82" s="571">
        <f>E82/'4GF Expenditures'!E83</f>
        <v>1.0022659352758445</v>
      </c>
      <c r="HQ82" s="571">
        <f>F82/'4GF Expenditures'!F83</f>
        <v>0.96484228726232135</v>
      </c>
      <c r="HR82" s="571">
        <f>G82/'4GF Expenditures'!G83</f>
        <v>1.045381786213724</v>
      </c>
      <c r="HS82" s="571">
        <f>H82/'4GF Expenditures'!H83</f>
        <v>0.94662758162461891</v>
      </c>
      <c r="HT82" s="571">
        <f>I82/'4GF Expenditures'!I83</f>
        <v>0.99906396467868164</v>
      </c>
      <c r="HU82" s="571">
        <f>J82/'4GF Expenditures'!J83</f>
        <v>1.0387706666056853</v>
      </c>
      <c r="HV82" s="571">
        <f>K82/'4GF Expenditures'!K83</f>
        <v>1.0036307520086132</v>
      </c>
      <c r="HW82" s="571">
        <f>L82/'4GF Expenditures'!L83</f>
        <v>1.008918577662463</v>
      </c>
      <c r="HX82" s="571">
        <f>M82/'4GF Expenditures'!M83</f>
        <v>1.0399553697368589</v>
      </c>
      <c r="HY82" s="571">
        <f>N82/'4GF Expenditures'!N83</f>
        <v>1.0723969699593678</v>
      </c>
      <c r="HZ82" s="571">
        <f>O82/'4GF Expenditures'!O83</f>
        <v>0.95596787370291536</v>
      </c>
      <c r="IA82" s="571">
        <f>P82/'4GF Expenditures'!P83</f>
        <v>0.98118040592463118</v>
      </c>
      <c r="IB82" s="571">
        <f>Q82/'4GF Expenditures'!Q83</f>
        <v>0.96766278117920346</v>
      </c>
      <c r="IC82" s="571">
        <f>R82/'4GF Expenditures'!R83</f>
        <v>1.579803380608571</v>
      </c>
      <c r="ID82" s="573">
        <f>S82/'4GF Expenditures'!S83</f>
        <v>0.85121002019264325</v>
      </c>
      <c r="IE82" s="572">
        <f>T82/'4GF Expenditures'!T83</f>
        <v>1.1388626438503611</v>
      </c>
      <c r="IF82" s="572">
        <f>U82/'4GF Expenditures'!U83</f>
        <v>1.0844283351586175</v>
      </c>
      <c r="IG82" s="572">
        <f>V82/'4GF Expenditures'!V83</f>
        <v>1.093461913893975</v>
      </c>
      <c r="IH82" s="572">
        <f>W82/'4GF Expenditures'!W83</f>
        <v>0.85586633645700261</v>
      </c>
    </row>
    <row r="83" spans="1:242" ht="14">
      <c r="A83" s="43" t="s">
        <v>66</v>
      </c>
      <c r="B83" s="319">
        <v>976284</v>
      </c>
      <c r="C83" s="319">
        <v>1159388</v>
      </c>
      <c r="D83" s="319">
        <v>1092702</v>
      </c>
      <c r="E83" s="319">
        <v>1197660</v>
      </c>
      <c r="F83" s="319">
        <v>1243887</v>
      </c>
      <c r="G83" s="319">
        <v>1258191</v>
      </c>
      <c r="H83" s="319">
        <v>1377973</v>
      </c>
      <c r="I83" s="319">
        <v>1390538</v>
      </c>
      <c r="J83" s="319">
        <v>1455829.99</v>
      </c>
      <c r="K83" s="888">
        <v>1520376.34</v>
      </c>
      <c r="L83" s="319">
        <v>1612043.48</v>
      </c>
      <c r="M83" s="319">
        <v>1626169.4</v>
      </c>
      <c r="N83" s="319">
        <v>1769998.79</v>
      </c>
      <c r="O83" s="319">
        <v>1774651.03</v>
      </c>
      <c r="P83" s="319">
        <v>1732636.15</v>
      </c>
      <c r="Q83" s="319">
        <v>1890699.68</v>
      </c>
      <c r="R83" s="319"/>
      <c r="S83" s="362">
        <v>1992568.69</v>
      </c>
      <c r="T83" s="362">
        <v>2092455.68</v>
      </c>
      <c r="U83" s="362"/>
      <c r="V83" s="362"/>
      <c r="W83" s="362"/>
      <c r="X83" s="6"/>
      <c r="Y83" s="43" t="s">
        <v>66</v>
      </c>
      <c r="Z83" s="319">
        <v>175731.12</v>
      </c>
      <c r="AA83" s="319">
        <v>173908.2</v>
      </c>
      <c r="AB83" s="319">
        <v>196686.36</v>
      </c>
      <c r="AC83" s="319">
        <v>239532</v>
      </c>
      <c r="AD83" s="319">
        <v>273655.14</v>
      </c>
      <c r="AE83" s="319">
        <v>289383.93</v>
      </c>
      <c r="AF83" s="319">
        <v>303154.06</v>
      </c>
      <c r="AG83" s="319">
        <v>333729.12</v>
      </c>
      <c r="AH83" s="319">
        <v>315377.01</v>
      </c>
      <c r="AI83" s="319">
        <v>373140.76</v>
      </c>
      <c r="AJ83" s="319">
        <v>403219.45</v>
      </c>
      <c r="AK83" s="319">
        <v>416425.02</v>
      </c>
      <c r="AL83" s="319">
        <v>456428.5</v>
      </c>
      <c r="AM83" s="319">
        <v>499575.31</v>
      </c>
      <c r="AN83" s="319">
        <v>525182.73</v>
      </c>
      <c r="AO83" s="319">
        <v>597378.74</v>
      </c>
      <c r="AP83" s="319"/>
      <c r="AQ83" s="362">
        <v>620574.54999999993</v>
      </c>
      <c r="AR83" s="753">
        <v>650798.97</v>
      </c>
      <c r="AS83" s="753"/>
      <c r="AT83" s="753"/>
      <c r="AU83" s="753"/>
      <c r="AV83" s="39"/>
      <c r="AW83" s="43" t="s">
        <v>66</v>
      </c>
      <c r="AX83" s="319">
        <v>458853.48</v>
      </c>
      <c r="AY83" s="319">
        <v>544912.36</v>
      </c>
      <c r="AZ83" s="319">
        <v>524496.96</v>
      </c>
      <c r="BA83" s="319">
        <v>586853.4</v>
      </c>
      <c r="BB83" s="319">
        <v>597065.76</v>
      </c>
      <c r="BC83" s="319">
        <v>603931.68000000005</v>
      </c>
      <c r="BD83" s="319">
        <v>620087.85</v>
      </c>
      <c r="BE83" s="319">
        <v>653552.86</v>
      </c>
      <c r="BF83" s="319">
        <v>663160.91999999993</v>
      </c>
      <c r="BG83" s="319">
        <v>652160.74</v>
      </c>
      <c r="BH83" s="319">
        <v>677010.77</v>
      </c>
      <c r="BI83" s="319">
        <v>754845.68</v>
      </c>
      <c r="BJ83" s="319">
        <v>872168.78999999992</v>
      </c>
      <c r="BK83" s="319">
        <v>804710.92999999993</v>
      </c>
      <c r="BL83" s="319">
        <v>776647.40999999992</v>
      </c>
      <c r="BM83" s="319">
        <v>844424.47000000009</v>
      </c>
      <c r="BN83" s="319"/>
      <c r="BO83" s="362">
        <v>837465.24</v>
      </c>
      <c r="BP83" s="753">
        <v>918086.41999999993</v>
      </c>
      <c r="BQ83" s="753"/>
      <c r="BR83" s="753"/>
      <c r="BS83" s="753"/>
      <c r="BT83" s="286"/>
      <c r="BU83" s="43" t="s">
        <v>66</v>
      </c>
      <c r="BV83" s="319">
        <v>117154.08</v>
      </c>
      <c r="BW83" s="319">
        <v>81157.16</v>
      </c>
      <c r="BX83" s="319">
        <v>87416.16</v>
      </c>
      <c r="BY83" s="319">
        <v>59883</v>
      </c>
      <c r="BZ83" s="319">
        <v>62194.35</v>
      </c>
      <c r="CA83" s="319">
        <v>50327.64</v>
      </c>
      <c r="CB83" s="319">
        <v>55118.92</v>
      </c>
      <c r="CC83" s="319">
        <v>69526.899999999994</v>
      </c>
      <c r="CD83" s="319">
        <v>77264.540000000008</v>
      </c>
      <c r="CE83" s="319">
        <v>60353.13</v>
      </c>
      <c r="CF83" s="319">
        <v>53555.99</v>
      </c>
      <c r="CG83" s="319">
        <v>57336.429999999993</v>
      </c>
      <c r="CH83" s="319">
        <v>69409.600000000006</v>
      </c>
      <c r="CI83" s="319">
        <v>87352.200000000012</v>
      </c>
      <c r="CJ83" s="319">
        <v>87756.37</v>
      </c>
      <c r="CK83" s="319">
        <v>88642.709999999992</v>
      </c>
      <c r="CL83" s="319"/>
      <c r="CM83" s="362">
        <v>95180.280000000013</v>
      </c>
      <c r="CN83" s="753">
        <v>97591.95</v>
      </c>
      <c r="CO83" s="753"/>
      <c r="CP83" s="753"/>
      <c r="CQ83" s="753"/>
      <c r="CR83" s="39"/>
      <c r="CS83" s="43" t="s">
        <v>66</v>
      </c>
      <c r="CT83" s="319">
        <v>156205.44</v>
      </c>
      <c r="CU83" s="319">
        <v>173908.2</v>
      </c>
      <c r="CV83" s="319">
        <v>174832.32</v>
      </c>
      <c r="CW83" s="319">
        <v>191625.60000000001</v>
      </c>
      <c r="CX83" s="319">
        <v>161705.31</v>
      </c>
      <c r="CY83" s="319">
        <v>188728.65</v>
      </c>
      <c r="CZ83" s="319">
        <v>206695.95</v>
      </c>
      <c r="DA83" s="319">
        <v>208580.7</v>
      </c>
      <c r="DB83" s="319">
        <v>203817.65</v>
      </c>
      <c r="DC83" s="319">
        <v>217106.17</v>
      </c>
      <c r="DD83" s="319">
        <v>214294.48</v>
      </c>
      <c r="DE83" s="319">
        <v>204852.55</v>
      </c>
      <c r="DF83" s="319">
        <v>204704.00999999998</v>
      </c>
      <c r="DG83" s="319">
        <v>204812.27999999997</v>
      </c>
      <c r="DH83" s="319">
        <v>207374.63000000003</v>
      </c>
      <c r="DI83" s="319">
        <v>207719.04000000001</v>
      </c>
      <c r="DJ83" s="319"/>
      <c r="DK83" s="362">
        <v>258990.36000000002</v>
      </c>
      <c r="DL83" s="753">
        <v>239131.2</v>
      </c>
      <c r="DM83" s="753"/>
      <c r="DN83" s="753"/>
      <c r="DO83" s="753"/>
      <c r="DP83" s="39"/>
      <c r="DQ83" s="43" t="s">
        <v>66</v>
      </c>
      <c r="DR83" s="319">
        <v>9762.84</v>
      </c>
      <c r="DS83" s="319">
        <v>0</v>
      </c>
      <c r="DT83" s="319">
        <v>0</v>
      </c>
      <c r="DU83" s="319">
        <v>0</v>
      </c>
      <c r="DV83" s="319">
        <v>12438.87</v>
      </c>
      <c r="DW83" s="319">
        <v>12581.91</v>
      </c>
      <c r="DX83" s="319">
        <v>0</v>
      </c>
      <c r="DY83" s="319">
        <v>0</v>
      </c>
      <c r="DZ83" s="319">
        <v>2223.5</v>
      </c>
      <c r="EA83" s="319">
        <v>3191.47</v>
      </c>
      <c r="EB83" s="319">
        <v>9872.8700000000008</v>
      </c>
      <c r="EC83" s="319">
        <v>10399.61</v>
      </c>
      <c r="ED83" s="319">
        <v>6380.69</v>
      </c>
      <c r="EE83" s="319">
        <v>2939.62</v>
      </c>
      <c r="EF83" s="319">
        <v>1391.88</v>
      </c>
      <c r="EG83" s="319">
        <v>2314.83</v>
      </c>
      <c r="EH83" s="319"/>
      <c r="EI83" s="362">
        <v>2235.91</v>
      </c>
      <c r="EJ83" s="753">
        <v>1106.94</v>
      </c>
      <c r="EK83" s="753"/>
      <c r="EL83" s="753"/>
      <c r="EM83" s="753"/>
      <c r="EN83" s="39"/>
      <c r="EO83" s="43" t="s">
        <v>66</v>
      </c>
      <c r="EP83" s="319">
        <v>58577.04</v>
      </c>
      <c r="EQ83" s="319">
        <v>185502.07999999999</v>
      </c>
      <c r="ER83" s="319">
        <v>109270.2</v>
      </c>
      <c r="ES83" s="319">
        <v>119766</v>
      </c>
      <c r="ET83" s="319">
        <v>136827.57</v>
      </c>
      <c r="EU83" s="319">
        <v>113237.19</v>
      </c>
      <c r="EV83" s="319">
        <v>192916.22</v>
      </c>
      <c r="EW83" s="319">
        <v>125148.42</v>
      </c>
      <c r="EX83" s="319">
        <v>136742.96</v>
      </c>
      <c r="EY83" s="319">
        <v>112684.21</v>
      </c>
      <c r="EZ83" s="319">
        <v>196843.94</v>
      </c>
      <c r="FA83" s="319">
        <v>114981.34</v>
      </c>
      <c r="FB83" s="319">
        <v>158442.74000000002</v>
      </c>
      <c r="FC83" s="319">
        <v>168142.65</v>
      </c>
      <c r="FD83" s="319">
        <v>131676.22000000003</v>
      </c>
      <c r="FE83" s="319">
        <v>148400.03</v>
      </c>
      <c r="FF83" s="319"/>
      <c r="FG83" s="362">
        <v>177918.34000000005</v>
      </c>
      <c r="FH83" s="362">
        <v>184365.53</v>
      </c>
      <c r="FI83" s="362"/>
      <c r="FJ83" s="362"/>
      <c r="FK83" s="362"/>
      <c r="FM83" s="43" t="s">
        <v>66</v>
      </c>
      <c r="FN83" s="319">
        <v>115169</v>
      </c>
      <c r="FO83" s="319">
        <v>102942</v>
      </c>
      <c r="FP83" s="319">
        <v>4229</v>
      </c>
      <c r="FQ83" s="319">
        <v>79109</v>
      </c>
      <c r="FR83" s="319">
        <v>96372</v>
      </c>
      <c r="FS83" s="319">
        <v>113249</v>
      </c>
      <c r="FT83" s="319">
        <v>120156</v>
      </c>
      <c r="FU83" s="319">
        <v>136947</v>
      </c>
      <c r="FV83" s="319">
        <v>30640.059999999983</v>
      </c>
      <c r="FW83" s="319">
        <v>60103.92</v>
      </c>
      <c r="FX83" s="319">
        <v>54201.96</v>
      </c>
      <c r="FY83" s="319">
        <v>122224.15</v>
      </c>
      <c r="FZ83" s="319">
        <v>288051.13</v>
      </c>
      <c r="GA83" s="319">
        <v>415566.22</v>
      </c>
      <c r="GB83" s="319">
        <v>275005.23</v>
      </c>
      <c r="GC83" s="319">
        <v>424870.69</v>
      </c>
      <c r="GD83" s="319"/>
      <c r="GE83" s="319">
        <v>257827.07</v>
      </c>
      <c r="GF83" s="756">
        <v>121305.33</v>
      </c>
      <c r="GG83" s="756"/>
      <c r="GH83" s="756"/>
      <c r="GI83" s="756"/>
      <c r="GJ83" s="42"/>
      <c r="GK83" s="570" t="s">
        <v>66</v>
      </c>
      <c r="GL83" s="571">
        <f>FN83/'4GF Expenditures'!B84</f>
        <v>0.10956444970427712</v>
      </c>
      <c r="GM83" s="571">
        <f>FO83/'4GF Expenditures'!C84</f>
        <v>8.7863333945024602E-2</v>
      </c>
      <c r="GN83" s="571">
        <f>FP83/'4GF Expenditures'!D84</f>
        <v>3.5495608163402339E-3</v>
      </c>
      <c r="GO83" s="571">
        <f>FQ83/'4GF Expenditures'!E84</f>
        <v>7.0458148524198863E-2</v>
      </c>
      <c r="GP83" s="571">
        <f>FR83/'4GF Expenditures'!F84</f>
        <v>7.8566863195241574E-2</v>
      </c>
      <c r="GQ83" s="571">
        <f>FS83/'4GF Expenditures'!G84</f>
        <v>9.1233160989080922E-2</v>
      </c>
      <c r="GR83" s="571">
        <f>FT83/'4GF Expenditures'!H84</f>
        <v>8.7636919010463388E-2</v>
      </c>
      <c r="GS83" s="571">
        <f>FU83/'4GF Expenditures'!I84</f>
        <v>9.9688661740480591E-2</v>
      </c>
      <c r="GT83" s="571">
        <f>FV83/'4GF Expenditures'!J84</f>
        <v>1.961331578687546E-2</v>
      </c>
      <c r="GU83" s="571">
        <f>FW83/'4GF Expenditures'!K84</f>
        <v>4.0315408525511541E-2</v>
      </c>
      <c r="GV83" s="571">
        <f>FX83/'4GF Expenditures'!L84</f>
        <v>3.3500486889100539E-2</v>
      </c>
      <c r="GW83" s="571">
        <f>FY83/'4GF Expenditures'!M84</f>
        <v>7.8441978534236179E-2</v>
      </c>
      <c r="GX83" s="571">
        <f>FZ83/'4GF Expenditures'!N84</f>
        <v>0.17951077588272557</v>
      </c>
      <c r="GY83" s="571">
        <f>GA83/'4GF Expenditures'!O84</f>
        <v>0.25229624945224616</v>
      </c>
      <c r="GZ83" s="571">
        <f>GB83/'4GF Expenditures'!P84</f>
        <v>0.14681061812853294</v>
      </c>
      <c r="HA83" s="571">
        <f>GC83/'4GF Expenditures'!Q84</f>
        <v>0.24406154538942829</v>
      </c>
      <c r="HB83" s="571" t="e">
        <f>GD83/'4GF Expenditures'!R84</f>
        <v>#DIV/0!</v>
      </c>
      <c r="HC83" s="571">
        <f>GE83/'4GF Expenditures'!S84</f>
        <v>0.11795571667991296</v>
      </c>
      <c r="HD83" s="571">
        <f>GF83/'4GF Expenditures'!T84</f>
        <v>5.4421964489887016E-2</v>
      </c>
      <c r="HE83" s="571" t="e">
        <f>GG83/'4GF Expenditures'!U84</f>
        <v>#DIV/0!</v>
      </c>
      <c r="HF83" s="571" t="e">
        <f>GH83/'4GF Expenditures'!V84</f>
        <v>#DIV/0!</v>
      </c>
      <c r="HG83" s="571" t="e">
        <f>GI83/'4GF Expenditures'!W84</f>
        <v>#DIV/0!</v>
      </c>
      <c r="HH83" s="571"/>
      <c r="HI83" s="571"/>
      <c r="HJ83" s="571"/>
      <c r="HK83" s="568"/>
      <c r="HL83" s="567" t="s">
        <v>66</v>
      </c>
      <c r="HM83" s="571">
        <f>B83/'4GF Expenditures'!B84</f>
        <v>0.92877440296512492</v>
      </c>
      <c r="HN83" s="571">
        <f>C83/'4GF Expenditures'!C84</f>
        <v>0.98956397792790296</v>
      </c>
      <c r="HO83" s="571">
        <f>D83/'4GF Expenditures'!D84</f>
        <v>0.91714641833450139</v>
      </c>
      <c r="HP83" s="571">
        <f>E83/'4GF Expenditures'!E84</f>
        <v>1.0666916047667396</v>
      </c>
      <c r="HQ83" s="571">
        <f>F83/'4GF Expenditures'!F84</f>
        <v>1.0140735873421685</v>
      </c>
      <c r="HR83" s="571">
        <f>G83/'4GF Expenditures'!G84</f>
        <v>1.0135960764157981</v>
      </c>
      <c r="HS83" s="571">
        <f>H83/'4GF Expenditures'!H84</f>
        <v>1.0050376860049042</v>
      </c>
      <c r="HT83" s="571">
        <f>I83/'4GF Expenditures'!I84</f>
        <v>1.0122227746448218</v>
      </c>
      <c r="HU83" s="571">
        <f>J83/'4GF Expenditures'!J84</f>
        <v>0.93190592074146583</v>
      </c>
      <c r="HV83" s="571">
        <f>K83/'4GF Expenditures'!K84</f>
        <v>1.0198102429861819</v>
      </c>
      <c r="HW83" s="571">
        <f>L83/'4GF Expenditures'!L84</f>
        <v>0.99635218848912488</v>
      </c>
      <c r="HX83" s="571">
        <f>M83/'4GF Expenditures'!M84</f>
        <v>1.0436558173473223</v>
      </c>
      <c r="HY83" s="571">
        <f>N83/'4GF Expenditures'!N84</f>
        <v>1.1030467268237603</v>
      </c>
      <c r="HZ83" s="571">
        <f>O83/'4GF Expenditures'!O84</f>
        <v>1.0774162513872414</v>
      </c>
      <c r="IA83" s="571">
        <f>P83/'4GF Expenditures'!P84</f>
        <v>0.92496198771689364</v>
      </c>
      <c r="IB83" s="571">
        <f>Q83/'4GF Expenditures'!Q84</f>
        <v>1.0860883008147668</v>
      </c>
      <c r="IC83" s="571" t="e">
        <f>R83/'4GF Expenditures'!R84</f>
        <v>#DIV/0!</v>
      </c>
      <c r="ID83" s="573">
        <f>S83/'4GF Expenditures'!S84</f>
        <v>0.9115988785153758</v>
      </c>
      <c r="IE83" s="572">
        <f>T83/'4GF Expenditures'!T84</f>
        <v>0.93875140287423797</v>
      </c>
      <c r="IF83" s="572" t="e">
        <f>U83/'4GF Expenditures'!U84</f>
        <v>#DIV/0!</v>
      </c>
      <c r="IG83" s="572" t="e">
        <f>V83/'4GF Expenditures'!V84</f>
        <v>#DIV/0!</v>
      </c>
      <c r="IH83" s="572" t="e">
        <f>W83/'4GF Expenditures'!W84</f>
        <v>#DIV/0!</v>
      </c>
    </row>
    <row r="84" spans="1:242" ht="14">
      <c r="A84" s="43" t="s">
        <v>67</v>
      </c>
      <c r="B84" s="319">
        <v>2303559</v>
      </c>
      <c r="C84" s="319">
        <v>2491400</v>
      </c>
      <c r="D84" s="319">
        <v>2610092</v>
      </c>
      <c r="E84" s="319">
        <v>2690320</v>
      </c>
      <c r="F84" s="319">
        <v>2765101</v>
      </c>
      <c r="G84" s="319">
        <v>2787434</v>
      </c>
      <c r="H84" s="319">
        <v>2811457</v>
      </c>
      <c r="I84" s="319">
        <v>2763026</v>
      </c>
      <c r="J84" s="319">
        <v>2846839</v>
      </c>
      <c r="K84" s="888">
        <v>2827207</v>
      </c>
      <c r="L84" s="319">
        <v>2848626</v>
      </c>
      <c r="M84" s="319">
        <v>2740238</v>
      </c>
      <c r="N84" s="319">
        <v>2802013</v>
      </c>
      <c r="O84" s="319">
        <v>2852103.57</v>
      </c>
      <c r="P84" s="319"/>
      <c r="Q84" s="319">
        <v>3100650</v>
      </c>
      <c r="R84" s="319"/>
      <c r="S84" s="362">
        <v>3435263</v>
      </c>
      <c r="T84" s="362"/>
      <c r="U84" s="362"/>
      <c r="V84" s="362"/>
      <c r="W84" s="362"/>
      <c r="X84" s="6"/>
      <c r="Y84" s="43" t="s">
        <v>67</v>
      </c>
      <c r="Z84" s="319">
        <v>414640.62</v>
      </c>
      <c r="AA84" s="319">
        <v>373710</v>
      </c>
      <c r="AB84" s="319">
        <v>391513.8</v>
      </c>
      <c r="AC84" s="319">
        <v>484257.6</v>
      </c>
      <c r="AD84" s="319">
        <v>470067.17</v>
      </c>
      <c r="AE84" s="319">
        <v>501738.12</v>
      </c>
      <c r="AF84" s="319">
        <v>421718.55</v>
      </c>
      <c r="AG84" s="319">
        <v>414453.9</v>
      </c>
      <c r="AH84" s="319">
        <v>493201</v>
      </c>
      <c r="AI84" s="319">
        <v>522525</v>
      </c>
      <c r="AJ84" s="319">
        <v>491607</v>
      </c>
      <c r="AK84" s="319">
        <v>533597</v>
      </c>
      <c r="AL84" s="319">
        <v>607846</v>
      </c>
      <c r="AM84" s="319">
        <v>706144.1</v>
      </c>
      <c r="AN84" s="319"/>
      <c r="AO84" s="319">
        <v>878531</v>
      </c>
      <c r="AP84" s="319"/>
      <c r="AQ84" s="362">
        <v>784420</v>
      </c>
      <c r="AR84" s="753"/>
      <c r="AS84" s="753"/>
      <c r="AT84" s="753"/>
      <c r="AU84" s="753"/>
      <c r="AV84" s="39"/>
      <c r="AW84" s="43" t="s">
        <v>67</v>
      </c>
      <c r="AX84" s="319">
        <v>944459.19</v>
      </c>
      <c r="AY84" s="319">
        <v>946732</v>
      </c>
      <c r="AZ84" s="319">
        <v>965734.04</v>
      </c>
      <c r="BA84" s="319">
        <v>1049224.8</v>
      </c>
      <c r="BB84" s="319">
        <v>1106040.3999999999</v>
      </c>
      <c r="BC84" s="319">
        <v>1114973.6000000001</v>
      </c>
      <c r="BD84" s="319">
        <v>1180811.94</v>
      </c>
      <c r="BE84" s="319">
        <v>1160470.92</v>
      </c>
      <c r="BF84" s="319">
        <v>1200825</v>
      </c>
      <c r="BG84" s="319">
        <v>1232406</v>
      </c>
      <c r="BH84" s="319">
        <v>1281409</v>
      </c>
      <c r="BI84" s="319">
        <v>1253875</v>
      </c>
      <c r="BJ84" s="319">
        <v>1286277</v>
      </c>
      <c r="BK84" s="319">
        <v>1223346.47</v>
      </c>
      <c r="BL84" s="319"/>
      <c r="BM84" s="319">
        <v>1257865</v>
      </c>
      <c r="BN84" s="319"/>
      <c r="BO84" s="362">
        <v>1380367</v>
      </c>
      <c r="BP84" s="753"/>
      <c r="BQ84" s="753"/>
      <c r="BR84" s="753"/>
      <c r="BS84" s="753"/>
      <c r="BT84" s="286"/>
      <c r="BU84" s="43" t="s">
        <v>67</v>
      </c>
      <c r="BV84" s="319">
        <v>230355.9</v>
      </c>
      <c r="BW84" s="319">
        <v>548108</v>
      </c>
      <c r="BX84" s="319">
        <v>600321.16</v>
      </c>
      <c r="BY84" s="319">
        <v>511160.8</v>
      </c>
      <c r="BZ84" s="319">
        <v>553020.19999999995</v>
      </c>
      <c r="CA84" s="319">
        <v>473863.78</v>
      </c>
      <c r="CB84" s="319">
        <v>534176.82999999996</v>
      </c>
      <c r="CC84" s="319">
        <v>414453.9</v>
      </c>
      <c r="CD84" s="319">
        <v>417069</v>
      </c>
      <c r="CE84" s="319">
        <v>352691</v>
      </c>
      <c r="CF84" s="319">
        <v>331529</v>
      </c>
      <c r="CG84" s="319">
        <v>272802</v>
      </c>
      <c r="CH84" s="319">
        <v>173768</v>
      </c>
      <c r="CI84" s="319">
        <v>216084</v>
      </c>
      <c r="CJ84" s="319"/>
      <c r="CK84" s="319">
        <v>198078</v>
      </c>
      <c r="CL84" s="319"/>
      <c r="CM84" s="362">
        <v>363144</v>
      </c>
      <c r="CN84" s="753"/>
      <c r="CO84" s="753"/>
      <c r="CP84" s="753"/>
      <c r="CQ84" s="753"/>
      <c r="CR84" s="39"/>
      <c r="CS84" s="43" t="s">
        <v>67</v>
      </c>
      <c r="CT84" s="319">
        <v>437676.21</v>
      </c>
      <c r="CU84" s="319">
        <v>473366</v>
      </c>
      <c r="CV84" s="319">
        <v>522018.4</v>
      </c>
      <c r="CW84" s="319">
        <v>538064</v>
      </c>
      <c r="CX84" s="319">
        <v>497718.18</v>
      </c>
      <c r="CY84" s="319">
        <v>529612.46</v>
      </c>
      <c r="CZ84" s="319">
        <v>562291.4</v>
      </c>
      <c r="DA84" s="319">
        <v>607865.72</v>
      </c>
      <c r="DB84" s="319">
        <v>598214</v>
      </c>
      <c r="DC84" s="319">
        <v>587749</v>
      </c>
      <c r="DD84" s="319">
        <v>587591</v>
      </c>
      <c r="DE84" s="319">
        <v>587001</v>
      </c>
      <c r="DF84" s="319">
        <v>593916</v>
      </c>
      <c r="DG84" s="319">
        <v>604612</v>
      </c>
      <c r="DH84" s="319"/>
      <c r="DI84" s="319">
        <v>660110</v>
      </c>
      <c r="DJ84" s="319"/>
      <c r="DK84" s="362">
        <v>687040</v>
      </c>
      <c r="DL84" s="753"/>
      <c r="DM84" s="753"/>
      <c r="DN84" s="753"/>
      <c r="DO84" s="753"/>
      <c r="DP84" s="39"/>
      <c r="DQ84" s="43" t="s">
        <v>67</v>
      </c>
      <c r="DR84" s="319">
        <v>23035.59</v>
      </c>
      <c r="DS84" s="319">
        <v>24914</v>
      </c>
      <c r="DT84" s="319">
        <v>26100.92</v>
      </c>
      <c r="DU84" s="319">
        <v>26903.200000000001</v>
      </c>
      <c r="DV84" s="319">
        <v>27651.01</v>
      </c>
      <c r="DW84" s="319">
        <v>27874.34</v>
      </c>
      <c r="DX84" s="319">
        <v>0</v>
      </c>
      <c r="DY84" s="319">
        <v>0</v>
      </c>
      <c r="DZ84" s="319">
        <v>728</v>
      </c>
      <c r="EA84" s="319">
        <v>1077</v>
      </c>
      <c r="EB84" s="319">
        <v>2143</v>
      </c>
      <c r="EC84" s="319">
        <v>7768</v>
      </c>
      <c r="ED84" s="319">
        <v>15658</v>
      </c>
      <c r="EE84" s="319">
        <v>3077</v>
      </c>
      <c r="EF84" s="319"/>
      <c r="EG84" s="319">
        <v>0</v>
      </c>
      <c r="EH84" s="319"/>
      <c r="EI84" s="362">
        <v>14391</v>
      </c>
      <c r="EJ84" s="753"/>
      <c r="EK84" s="753"/>
      <c r="EL84" s="753"/>
      <c r="EM84" s="753"/>
      <c r="EN84" s="39"/>
      <c r="EO84" s="43" t="s">
        <v>67</v>
      </c>
      <c r="EP84" s="319">
        <v>253391.49</v>
      </c>
      <c r="EQ84" s="319">
        <v>124570</v>
      </c>
      <c r="ER84" s="319">
        <v>104403.68</v>
      </c>
      <c r="ES84" s="319">
        <v>80709.600000000006</v>
      </c>
      <c r="ET84" s="319">
        <v>110604.04</v>
      </c>
      <c r="EU84" s="319">
        <v>139371.70000000001</v>
      </c>
      <c r="EV84" s="319">
        <v>112458.28</v>
      </c>
      <c r="EW84" s="319">
        <v>165781.56</v>
      </c>
      <c r="EX84" s="319">
        <v>66316</v>
      </c>
      <c r="EY84" s="319">
        <v>61111</v>
      </c>
      <c r="EZ84" s="319">
        <v>76602</v>
      </c>
      <c r="FA84" s="319">
        <v>25265</v>
      </c>
      <c r="FB84" s="319">
        <v>57770</v>
      </c>
      <c r="FC84" s="319">
        <v>61451</v>
      </c>
      <c r="FD84" s="319"/>
      <c r="FE84" s="319">
        <v>96066</v>
      </c>
      <c r="FF84" s="319"/>
      <c r="FG84" s="362">
        <v>205901</v>
      </c>
      <c r="FH84" s="362"/>
      <c r="FI84" s="362"/>
      <c r="FJ84" s="362"/>
      <c r="FK84" s="362"/>
      <c r="FM84" s="43" t="s">
        <v>67</v>
      </c>
      <c r="FN84" s="319">
        <v>28223</v>
      </c>
      <c r="FO84" s="319">
        <v>-10440</v>
      </c>
      <c r="FP84" s="319">
        <v>-88344</v>
      </c>
      <c r="FQ84" s="319">
        <v>-66073</v>
      </c>
      <c r="FR84" s="319">
        <v>-144636</v>
      </c>
      <c r="FS84" s="319">
        <v>-134688</v>
      </c>
      <c r="FT84" s="319">
        <v>-374760</v>
      </c>
      <c r="FU84" s="319">
        <v>-481413</v>
      </c>
      <c r="FV84" s="319">
        <v>-675701</v>
      </c>
      <c r="FW84" s="319">
        <v>-776006</v>
      </c>
      <c r="FX84" s="319">
        <v>-413105</v>
      </c>
      <c r="FY84" s="319">
        <v>2372</v>
      </c>
      <c r="FZ84" s="319">
        <v>251143</v>
      </c>
      <c r="GA84" s="319">
        <v>345455</v>
      </c>
      <c r="GB84" s="319"/>
      <c r="GC84" s="319">
        <v>565944</v>
      </c>
      <c r="GD84" s="319"/>
      <c r="GE84" s="319">
        <v>740032</v>
      </c>
      <c r="GF84" s="756"/>
      <c r="GG84" s="756"/>
      <c r="GH84" s="756"/>
      <c r="GI84" s="756"/>
      <c r="GJ84" s="42"/>
      <c r="GK84" s="570" t="s">
        <v>67</v>
      </c>
      <c r="GL84" s="571">
        <f>FN84/'4GF Expenditures'!B85</f>
        <v>9.9617772434647343E-3</v>
      </c>
      <c r="GM84" s="571">
        <f>FO84/'4GF Expenditures'!C85</f>
        <v>-4.126379461697199E-3</v>
      </c>
      <c r="GN84" s="571">
        <f>FP84/'4GF Expenditures'!D85</f>
        <v>-3.2866120336488593E-2</v>
      </c>
      <c r="GO84" s="571">
        <f>FQ84/'4GF Expenditures'!E85</f>
        <v>-2.4764537682778691E-2</v>
      </c>
      <c r="GP84" s="571">
        <f>FR84/'4GF Expenditures'!F85</f>
        <v>-5.0862549161926306E-2</v>
      </c>
      <c r="GQ84" s="571">
        <f>FS84/'4GF Expenditures'!G85</f>
        <v>-4.8492773680947447E-2</v>
      </c>
      <c r="GR84" s="571">
        <f>FT84/'4GF Expenditures'!H85</f>
        <v>-0.12281056480210413</v>
      </c>
      <c r="GS84" s="571">
        <f>FU84/'4GF Expenditures'!I85</f>
        <v>-0.16775848448554698</v>
      </c>
      <c r="GT84" s="571">
        <f>FV84/'4GF Expenditures'!J85</f>
        <v>-0.22218762248744545</v>
      </c>
      <c r="GU84" s="571">
        <f>FW84/'4GF Expenditures'!K85</f>
        <v>-0.26507074362357785</v>
      </c>
      <c r="GV84" s="571">
        <f>FX84/'4GF Expenditures'!L85</f>
        <v>-0.16619095032636352</v>
      </c>
      <c r="GW84" s="571">
        <f>FY84/'4GF Expenditures'!M85</f>
        <v>1.0199277192876847E-3</v>
      </c>
      <c r="GX84" s="571">
        <f>FZ84/'4GF Expenditures'!N85</f>
        <v>9.8394073075747726E-2</v>
      </c>
      <c r="GY84" s="571">
        <f>GA84/'4GF Expenditures'!O85</f>
        <v>0.1252650671261647</v>
      </c>
      <c r="GZ84" s="571" t="e">
        <f>GB84/'4GF Expenditures'!P85</f>
        <v>#DIV/0!</v>
      </c>
      <c r="HA84" s="571">
        <f>GC84/'4GF Expenditures'!Q85</f>
        <v>0.180188796687764</v>
      </c>
      <c r="HB84" s="571" t="e">
        <f>GD84/'4GF Expenditures'!R85</f>
        <v>#DIV/0!</v>
      </c>
      <c r="HC84" s="571">
        <f>GE84/'4GF Expenditures'!S85</f>
        <v>0.2189677007018499</v>
      </c>
      <c r="HD84" s="571" t="e">
        <f>GF84/'4GF Expenditures'!T85</f>
        <v>#DIV/0!</v>
      </c>
      <c r="HE84" s="571" t="e">
        <f>GG84/'4GF Expenditures'!U85</f>
        <v>#DIV/0!</v>
      </c>
      <c r="HF84" s="571" t="e">
        <f>GH84/'4GF Expenditures'!V85</f>
        <v>#DIV/0!</v>
      </c>
      <c r="HG84" s="571" t="e">
        <f>GI84/'4GF Expenditures'!W85</f>
        <v>#DIV/0!</v>
      </c>
      <c r="HH84" s="571"/>
      <c r="HI84" s="571"/>
      <c r="HJ84" s="571"/>
      <c r="HK84" s="568"/>
      <c r="HL84" s="567" t="s">
        <v>67</v>
      </c>
      <c r="HM84" s="571">
        <f>B84/'4GF Expenditures'!B85</f>
        <v>0.81307946090700423</v>
      </c>
      <c r="HN84" s="571">
        <f>C84/'4GF Expenditures'!C85</f>
        <v>0.98471856234409971</v>
      </c>
      <c r="HO84" s="571">
        <f>D84/'4GF Expenditures'!D85</f>
        <v>0.97101781401460419</v>
      </c>
      <c r="HP84" s="571">
        <f>E84/'4GF Expenditures'!E85</f>
        <v>1.008347297969415</v>
      </c>
      <c r="HQ84" s="571">
        <f>F84/'4GF Expenditures'!F85</f>
        <v>0.97237261504875405</v>
      </c>
      <c r="HR84" s="571">
        <f>G84/'4GF Expenditures'!G85</f>
        <v>1.0035816562171691</v>
      </c>
      <c r="HS84" s="571">
        <f>H84/'4GF Expenditures'!H85</f>
        <v>0.92132730837557175</v>
      </c>
      <c r="HT84" s="571">
        <f>I84/'4GF Expenditures'!I85</f>
        <v>0.96283451912217355</v>
      </c>
      <c r="HU84" s="571">
        <f>J84/'4GF Expenditures'!J85</f>
        <v>0.93611285023188762</v>
      </c>
      <c r="HV84" s="571">
        <f>K84/'4GF Expenditures'!K85</f>
        <v>0.96572689111654375</v>
      </c>
      <c r="HW84" s="571">
        <f>L84/'4GF Expenditures'!L85</f>
        <v>1.1459940258878194</v>
      </c>
      <c r="HX84" s="571">
        <f>M84/'4GF Expenditures'!M85</f>
        <v>1.1782650479112335</v>
      </c>
      <c r="HY84" s="571">
        <f>N84/'4GF Expenditures'!N85</f>
        <v>1.0977868062466209</v>
      </c>
      <c r="HZ84" s="571">
        <f>O84/'4GF Expenditures'!O85</f>
        <v>1.0341982172694677</v>
      </c>
      <c r="IA84" s="571" t="e">
        <f>P84/'4GF Expenditures'!P85</f>
        <v>#DIV/0!</v>
      </c>
      <c r="IB84" s="571">
        <f>Q84/'4GF Expenditures'!Q85</f>
        <v>0.98720437437258002</v>
      </c>
      <c r="IC84" s="571" t="e">
        <f>R84/'4GF Expenditures'!R85</f>
        <v>#DIV/0!</v>
      </c>
      <c r="ID84" s="573">
        <f>S84/'4GF Expenditures'!S85</f>
        <v>1.0164582618267035</v>
      </c>
      <c r="IE84" s="572" t="e">
        <f>T84/'4GF Expenditures'!T85</f>
        <v>#DIV/0!</v>
      </c>
      <c r="IF84" s="572" t="e">
        <f>U84/'4GF Expenditures'!U85</f>
        <v>#DIV/0!</v>
      </c>
      <c r="IG84" s="572" t="e">
        <f>V84/'4GF Expenditures'!V85</f>
        <v>#DIV/0!</v>
      </c>
      <c r="IH84" s="572" t="e">
        <f>W84/'4GF Expenditures'!W85</f>
        <v>#DIV/0!</v>
      </c>
    </row>
    <row r="85" spans="1:242" ht="14">
      <c r="A85" s="43" t="s">
        <v>68</v>
      </c>
      <c r="B85" s="319">
        <v>1720094</v>
      </c>
      <c r="C85" s="319">
        <v>1819418</v>
      </c>
      <c r="D85" s="319">
        <v>1875216</v>
      </c>
      <c r="E85" s="319">
        <v>2113634</v>
      </c>
      <c r="F85" s="319">
        <v>2050647</v>
      </c>
      <c r="G85" s="319">
        <v>2246324</v>
      </c>
      <c r="H85" s="319">
        <v>2810970</v>
      </c>
      <c r="I85" s="319">
        <v>2526797</v>
      </c>
      <c r="J85" s="319">
        <v>2635568.73</v>
      </c>
      <c r="K85" s="888">
        <v>3014726.75</v>
      </c>
      <c r="L85" s="319"/>
      <c r="M85" s="319"/>
      <c r="N85" s="319"/>
      <c r="O85" s="319"/>
      <c r="P85" s="319"/>
      <c r="Q85" s="319">
        <v>3982801.6199999996</v>
      </c>
      <c r="R85" s="319"/>
      <c r="S85" s="362"/>
      <c r="T85" s="362"/>
      <c r="U85" s="362"/>
      <c r="V85" s="362"/>
      <c r="W85" s="362"/>
      <c r="X85" s="6"/>
      <c r="Y85" s="43" t="s">
        <v>68</v>
      </c>
      <c r="Z85" s="319">
        <v>0</v>
      </c>
      <c r="AA85" s="319">
        <v>0</v>
      </c>
      <c r="AB85" s="319">
        <v>0</v>
      </c>
      <c r="AC85" s="319">
        <v>0</v>
      </c>
      <c r="AD85" s="319">
        <v>0</v>
      </c>
      <c r="AE85" s="319">
        <v>0</v>
      </c>
      <c r="AF85" s="319">
        <v>0</v>
      </c>
      <c r="AG85" s="319">
        <v>0</v>
      </c>
      <c r="AH85" s="319">
        <v>0</v>
      </c>
      <c r="AI85" s="319">
        <v>0</v>
      </c>
      <c r="AJ85" s="319"/>
      <c r="AK85" s="319"/>
      <c r="AL85" s="319"/>
      <c r="AM85" s="319"/>
      <c r="AN85" s="319"/>
      <c r="AO85" s="319">
        <v>0</v>
      </c>
      <c r="AP85" s="319"/>
      <c r="AQ85" s="319"/>
      <c r="AR85" s="753"/>
      <c r="AS85" s="753"/>
      <c r="AT85" s="753"/>
      <c r="AU85" s="753"/>
      <c r="AV85" s="39"/>
      <c r="AW85" s="43" t="s">
        <v>68</v>
      </c>
      <c r="AX85" s="319">
        <v>1049257.3400000001</v>
      </c>
      <c r="AY85" s="319">
        <v>1091650.8</v>
      </c>
      <c r="AZ85" s="319">
        <v>1143881.76</v>
      </c>
      <c r="BA85" s="319">
        <v>1225907.72</v>
      </c>
      <c r="BB85" s="319">
        <v>1291907.6100000001</v>
      </c>
      <c r="BC85" s="319">
        <v>1415184.12</v>
      </c>
      <c r="BD85" s="319">
        <v>1546033.5</v>
      </c>
      <c r="BE85" s="319">
        <v>1541346.17</v>
      </c>
      <c r="BF85" s="319">
        <v>1659291.88</v>
      </c>
      <c r="BG85" s="319">
        <v>1706879.88</v>
      </c>
      <c r="BH85" s="319"/>
      <c r="BI85" s="319"/>
      <c r="BJ85" s="319"/>
      <c r="BK85" s="319"/>
      <c r="BL85" s="319"/>
      <c r="BM85" s="319">
        <v>0</v>
      </c>
      <c r="BN85" s="319"/>
      <c r="BO85" s="319"/>
      <c r="BP85" s="753"/>
      <c r="BQ85" s="753"/>
      <c r="BR85" s="753"/>
      <c r="BS85" s="753"/>
      <c r="BT85" s="286"/>
      <c r="BU85" s="43" t="s">
        <v>68</v>
      </c>
      <c r="BV85" s="319">
        <v>172009.4</v>
      </c>
      <c r="BW85" s="319">
        <v>181941.8</v>
      </c>
      <c r="BX85" s="319">
        <v>150017.28</v>
      </c>
      <c r="BY85" s="319">
        <v>338181.44</v>
      </c>
      <c r="BZ85" s="319">
        <v>266584.11</v>
      </c>
      <c r="CA85" s="319">
        <v>112316.2</v>
      </c>
      <c r="CB85" s="319">
        <v>365426.1</v>
      </c>
      <c r="CC85" s="319">
        <v>227411.73</v>
      </c>
      <c r="CD85" s="319">
        <v>381118.61</v>
      </c>
      <c r="CE85" s="319">
        <v>8046.91</v>
      </c>
      <c r="CF85" s="319"/>
      <c r="CG85" s="319"/>
      <c r="CH85" s="319"/>
      <c r="CI85" s="319"/>
      <c r="CJ85" s="319"/>
      <c r="CK85" s="319">
        <v>3982801.6199999996</v>
      </c>
      <c r="CL85" s="319"/>
      <c r="CM85" s="362"/>
      <c r="CN85" s="753"/>
      <c r="CO85" s="753"/>
      <c r="CP85" s="753"/>
      <c r="CQ85" s="753"/>
      <c r="CR85" s="39"/>
      <c r="CS85" s="43" t="s">
        <v>68</v>
      </c>
      <c r="CT85" s="319">
        <v>344018.8</v>
      </c>
      <c r="CU85" s="319">
        <v>382077.78</v>
      </c>
      <c r="CV85" s="319">
        <v>375043.2</v>
      </c>
      <c r="CW85" s="319">
        <v>464999.48</v>
      </c>
      <c r="CX85" s="319">
        <v>410129.4</v>
      </c>
      <c r="CY85" s="319">
        <v>516654.52</v>
      </c>
      <c r="CZ85" s="319">
        <v>618413.4</v>
      </c>
      <c r="DA85" s="319">
        <v>606431.28</v>
      </c>
      <c r="DB85" s="319">
        <v>577932.64</v>
      </c>
      <c r="DC85" s="319">
        <v>1147148.8599999999</v>
      </c>
      <c r="DD85" s="319"/>
      <c r="DE85" s="319"/>
      <c r="DF85" s="319"/>
      <c r="DG85" s="319"/>
      <c r="DH85" s="319"/>
      <c r="DI85" s="319">
        <v>0</v>
      </c>
      <c r="DJ85" s="319"/>
      <c r="DK85" s="319"/>
      <c r="DL85" s="753"/>
      <c r="DM85" s="753"/>
      <c r="DN85" s="753"/>
      <c r="DO85" s="753"/>
      <c r="DP85" s="39"/>
      <c r="DQ85" s="43" t="s">
        <v>68</v>
      </c>
      <c r="DR85" s="319">
        <v>17200.939999999999</v>
      </c>
      <c r="DS85" s="319">
        <v>18194.18</v>
      </c>
      <c r="DT85" s="319">
        <v>18752.16</v>
      </c>
      <c r="DU85" s="319">
        <v>0</v>
      </c>
      <c r="DV85" s="319">
        <v>20506.47</v>
      </c>
      <c r="DW85" s="319">
        <v>0</v>
      </c>
      <c r="DX85" s="319">
        <v>0</v>
      </c>
      <c r="DY85" s="319">
        <v>0</v>
      </c>
      <c r="DZ85" s="319">
        <v>4456.68</v>
      </c>
      <c r="EA85" s="319">
        <v>7716.5</v>
      </c>
      <c r="EB85" s="319"/>
      <c r="EC85" s="319"/>
      <c r="ED85" s="319"/>
      <c r="EE85" s="319"/>
      <c r="EF85" s="319"/>
      <c r="EG85" s="319">
        <v>0</v>
      </c>
      <c r="EH85" s="319"/>
      <c r="EI85" s="319"/>
      <c r="EJ85" s="753"/>
      <c r="EK85" s="753"/>
      <c r="EL85" s="753"/>
      <c r="EM85" s="753"/>
      <c r="EN85" s="39"/>
      <c r="EO85" s="43" t="s">
        <v>68</v>
      </c>
      <c r="EP85" s="319">
        <v>137607.51999999999</v>
      </c>
      <c r="EQ85" s="319">
        <v>145553.44</v>
      </c>
      <c r="ER85" s="319">
        <v>187521.6</v>
      </c>
      <c r="ES85" s="319">
        <v>84545.36</v>
      </c>
      <c r="ET85" s="319">
        <v>61519.41</v>
      </c>
      <c r="EU85" s="319">
        <v>202169.16</v>
      </c>
      <c r="EV85" s="319">
        <v>281097</v>
      </c>
      <c r="EW85" s="319">
        <v>151607.82</v>
      </c>
      <c r="EX85" s="319">
        <v>10682.42</v>
      </c>
      <c r="EY85" s="319">
        <v>90468.450000000012</v>
      </c>
      <c r="EZ85" s="319"/>
      <c r="FA85" s="319"/>
      <c r="FB85" s="319"/>
      <c r="FC85" s="319"/>
      <c r="FD85" s="319"/>
      <c r="FE85" s="319">
        <v>0</v>
      </c>
      <c r="FF85" s="319"/>
      <c r="FG85" s="362"/>
      <c r="FH85" s="362"/>
      <c r="FI85" s="362"/>
      <c r="FJ85" s="362"/>
      <c r="FK85" s="362"/>
      <c r="FM85" s="43" t="s">
        <v>68</v>
      </c>
      <c r="FN85" s="319">
        <v>241613</v>
      </c>
      <c r="FO85" s="319">
        <v>135627</v>
      </c>
      <c r="FP85" s="319">
        <v>29467</v>
      </c>
      <c r="FQ85" s="319">
        <v>54451</v>
      </c>
      <c r="FR85" s="319">
        <v>44633</v>
      </c>
      <c r="FS85" s="319">
        <v>42728</v>
      </c>
      <c r="FT85" s="319">
        <v>151438</v>
      </c>
      <c r="FU85" s="319">
        <v>233066</v>
      </c>
      <c r="FV85" s="319">
        <v>202333.73999999979</v>
      </c>
      <c r="FW85" s="319">
        <v>92301.22</v>
      </c>
      <c r="FX85" s="319"/>
      <c r="FY85" s="319"/>
      <c r="FZ85" s="319"/>
      <c r="GA85" s="319"/>
      <c r="GB85" s="319"/>
      <c r="GC85" s="319">
        <v>77667.81</v>
      </c>
      <c r="GD85" s="319"/>
      <c r="GE85" s="319"/>
      <c r="GF85" s="756"/>
      <c r="GG85" s="756"/>
      <c r="GH85" s="756"/>
      <c r="GI85" s="756"/>
      <c r="GJ85" s="42"/>
      <c r="GK85" s="570" t="s">
        <v>68</v>
      </c>
      <c r="GL85" s="571">
        <f>FN85/'4GF Expenditures'!B86</f>
        <v>0.14779252904921178</v>
      </c>
      <c r="GM85" s="571">
        <f>FO85/'4GF Expenditures'!C86</f>
        <v>6.9991820431375487E-2</v>
      </c>
      <c r="GN85" s="571">
        <f>FP85/'4GF Expenditures'!D86</f>
        <v>1.4871987951807228E-2</v>
      </c>
      <c r="GO85" s="571">
        <f>FQ85/'4GF Expenditures'!E86</f>
        <v>2.6069949488904315E-2</v>
      </c>
      <c r="GP85" s="571">
        <f>FR85/'4GF Expenditures'!F86</f>
        <v>2.1661615217924108E-2</v>
      </c>
      <c r="GQ85" s="571">
        <f>FS85/'4GF Expenditures'!G86</f>
        <v>1.9005181411680037E-2</v>
      </c>
      <c r="GR85" s="571">
        <f>FT85/'4GF Expenditures'!H86</f>
        <v>5.6041239555039118E-2</v>
      </c>
      <c r="GS85" s="571">
        <f>FU85/'4GF Expenditures'!I86</f>
        <v>9.5316929013904567E-2</v>
      </c>
      <c r="GT85" s="571">
        <f>FV85/'4GF Expenditures'!J86</f>
        <v>7.5880886439183698E-2</v>
      </c>
      <c r="GU85" s="571">
        <f>FW85/'4GF Expenditures'!K86</f>
        <v>2.9538663979151007E-2</v>
      </c>
      <c r="GV85" s="571" t="e">
        <f>FX85/'4GF Expenditures'!L86</f>
        <v>#DIV/0!</v>
      </c>
      <c r="GW85" s="571" t="e">
        <f>FY85/'4GF Expenditures'!M86</f>
        <v>#DIV/0!</v>
      </c>
      <c r="GX85" s="571" t="e">
        <f>FZ85/'4GF Expenditures'!N86</f>
        <v>#DIV/0!</v>
      </c>
      <c r="GY85" s="571" t="e">
        <f>GA85/'4GF Expenditures'!O86</f>
        <v>#DIV/0!</v>
      </c>
      <c r="GZ85" s="571" t="e">
        <f>GB85/'4GF Expenditures'!P86</f>
        <v>#DIV/0!</v>
      </c>
      <c r="HA85" s="571">
        <f>GC85/'4GF Expenditures'!Q86</f>
        <v>1.9786995635080191E-2</v>
      </c>
      <c r="HB85" s="571" t="e">
        <f>GD85/'4GF Expenditures'!R86</f>
        <v>#DIV/0!</v>
      </c>
      <c r="HC85" s="571" t="e">
        <f>GE85/'4GF Expenditures'!S86</f>
        <v>#DIV/0!</v>
      </c>
      <c r="HD85" s="571" t="e">
        <f>GF85/'4GF Expenditures'!T86</f>
        <v>#DIV/0!</v>
      </c>
      <c r="HE85" s="571" t="e">
        <f>GG85/'4GF Expenditures'!U86</f>
        <v>#DIV/0!</v>
      </c>
      <c r="HF85" s="571" t="e">
        <f>GH85/'4GF Expenditures'!V86</f>
        <v>#DIV/0!</v>
      </c>
      <c r="HG85" s="571" t="e">
        <f>GI85/'4GF Expenditures'!W86</f>
        <v>#DIV/0!</v>
      </c>
      <c r="HH85" s="571"/>
      <c r="HI85" s="571"/>
      <c r="HJ85" s="571"/>
      <c r="HK85" s="568"/>
      <c r="HL85" s="567" t="s">
        <v>68</v>
      </c>
      <c r="HM85" s="571">
        <f>B85/'4GF Expenditures'!B86</f>
        <v>1.0521662429686105</v>
      </c>
      <c r="HN85" s="571">
        <f>C85/'4GF Expenditures'!C86</f>
        <v>0.93893087619435889</v>
      </c>
      <c r="HO85" s="571">
        <f>D85/'4GF Expenditures'!D86</f>
        <v>0.94642107303207468</v>
      </c>
      <c r="HP85" s="571">
        <f>E85/'4GF Expenditures'!E86</f>
        <v>1.0119617935029803</v>
      </c>
      <c r="HQ85" s="571">
        <f>F85/'4GF Expenditures'!F86</f>
        <v>0.99523505616450658</v>
      </c>
      <c r="HR85" s="571">
        <f>G85/'4GF Expenditures'!G86</f>
        <v>0.99915266638763223</v>
      </c>
      <c r="HS85" s="571">
        <f>H85/'4GF Expenditures'!H86</f>
        <v>1.0402292895576295</v>
      </c>
      <c r="HT85" s="571">
        <f>I85/'4GF Expenditures'!I86</f>
        <v>1.0333833775906696</v>
      </c>
      <c r="HU85" s="571">
        <f>J85/'4GF Expenditures'!J86</f>
        <v>0.98841296317556226</v>
      </c>
      <c r="HV85" s="571">
        <f>K85/'4GF Expenditures'!K86</f>
        <v>0.96478681925556331</v>
      </c>
      <c r="HW85" s="571" t="e">
        <f>L85/'4GF Expenditures'!L86</f>
        <v>#DIV/0!</v>
      </c>
      <c r="HX85" s="571" t="e">
        <f>M85/'4GF Expenditures'!M86</f>
        <v>#DIV/0!</v>
      </c>
      <c r="HY85" s="571" t="e">
        <f>N85/'4GF Expenditures'!N86</f>
        <v>#DIV/0!</v>
      </c>
      <c r="HZ85" s="571" t="e">
        <f>O85/'4GF Expenditures'!O86</f>
        <v>#DIV/0!</v>
      </c>
      <c r="IA85" s="571" t="e">
        <f>P85/'4GF Expenditures'!P86</f>
        <v>#DIV/0!</v>
      </c>
      <c r="IB85" s="571">
        <f>Q85/'4GF Expenditures'!Q86</f>
        <v>1.0146761994490421</v>
      </c>
      <c r="IC85" s="571" t="e">
        <f>R85/'4GF Expenditures'!R86</f>
        <v>#DIV/0!</v>
      </c>
      <c r="ID85" s="573" t="e">
        <f>S85/'4GF Expenditures'!S86</f>
        <v>#DIV/0!</v>
      </c>
      <c r="IE85" s="572" t="e">
        <f>T85/'4GF Expenditures'!T86</f>
        <v>#DIV/0!</v>
      </c>
      <c r="IF85" s="572" t="e">
        <f>U85/'4GF Expenditures'!U86</f>
        <v>#DIV/0!</v>
      </c>
      <c r="IG85" s="572" t="e">
        <f>V85/'4GF Expenditures'!V86</f>
        <v>#DIV/0!</v>
      </c>
      <c r="IH85" s="572" t="e">
        <f>W85/'4GF Expenditures'!W86</f>
        <v>#DIV/0!</v>
      </c>
    </row>
    <row r="86" spans="1:242" ht="14">
      <c r="A86" s="43" t="s">
        <v>69</v>
      </c>
      <c r="B86" s="319">
        <v>579310</v>
      </c>
      <c r="C86" s="319">
        <v>633186</v>
      </c>
      <c r="D86" s="319">
        <v>565307</v>
      </c>
      <c r="E86" s="319">
        <v>637050</v>
      </c>
      <c r="F86" s="319">
        <v>688292</v>
      </c>
      <c r="G86" s="319">
        <v>770104</v>
      </c>
      <c r="H86" s="319">
        <v>871338</v>
      </c>
      <c r="I86" s="319">
        <v>1041755</v>
      </c>
      <c r="J86" s="319">
        <v>1100058.69</v>
      </c>
      <c r="K86" s="888">
        <v>786388.51</v>
      </c>
      <c r="L86" s="319">
        <v>970372.30999999994</v>
      </c>
      <c r="M86" s="319">
        <v>1031419.8700000001</v>
      </c>
      <c r="N86" s="319">
        <v>1085222.3999999999</v>
      </c>
      <c r="O86" s="319">
        <v>1124695.0499999998</v>
      </c>
      <c r="P86" s="319"/>
      <c r="Q86" s="319"/>
      <c r="R86" s="319"/>
      <c r="S86" s="362"/>
      <c r="T86" s="362"/>
      <c r="U86" s="362"/>
      <c r="V86" s="362"/>
      <c r="W86" s="362"/>
      <c r="X86" s="6"/>
      <c r="Y86" s="43" t="s">
        <v>69</v>
      </c>
      <c r="Z86" s="319">
        <v>231724</v>
      </c>
      <c r="AA86" s="319">
        <v>246942.54</v>
      </c>
      <c r="AB86" s="319">
        <v>254388.15</v>
      </c>
      <c r="AC86" s="319">
        <v>267561</v>
      </c>
      <c r="AD86" s="319">
        <v>302848.48</v>
      </c>
      <c r="AE86" s="319">
        <v>300340.56</v>
      </c>
      <c r="AF86" s="319">
        <v>270114.78000000003</v>
      </c>
      <c r="AG86" s="319">
        <v>229186.1</v>
      </c>
      <c r="AH86" s="319">
        <v>193042.62</v>
      </c>
      <c r="AI86" s="319">
        <v>123172.93</v>
      </c>
      <c r="AJ86" s="319">
        <v>188591.58</v>
      </c>
      <c r="AK86" s="319">
        <v>156770.32</v>
      </c>
      <c r="AL86" s="319">
        <v>257024.39</v>
      </c>
      <c r="AM86" s="319">
        <v>434029.26</v>
      </c>
      <c r="AN86" s="319"/>
      <c r="AO86" s="319"/>
      <c r="AP86" s="319"/>
      <c r="AQ86" s="362"/>
      <c r="AR86" s="753"/>
      <c r="AS86" s="753"/>
      <c r="AT86" s="753"/>
      <c r="AU86" s="753"/>
      <c r="AV86" s="39"/>
      <c r="AW86" s="43" t="s">
        <v>69</v>
      </c>
      <c r="AX86" s="319">
        <v>0</v>
      </c>
      <c r="AY86" s="319">
        <v>0</v>
      </c>
      <c r="AZ86" s="319">
        <v>0</v>
      </c>
      <c r="BA86" s="319">
        <v>0</v>
      </c>
      <c r="BB86" s="319">
        <v>0</v>
      </c>
      <c r="BC86" s="319">
        <v>7701.04</v>
      </c>
      <c r="BD86" s="319">
        <v>165554.22</v>
      </c>
      <c r="BE86" s="319">
        <v>177098.35</v>
      </c>
      <c r="BF86" s="319">
        <v>183912.16</v>
      </c>
      <c r="BG86" s="319">
        <v>190862.91</v>
      </c>
      <c r="BH86" s="319">
        <v>212680.7</v>
      </c>
      <c r="BI86" s="319">
        <v>246580.73</v>
      </c>
      <c r="BJ86" s="319">
        <v>271318.63</v>
      </c>
      <c r="BK86" s="319">
        <v>182320.26</v>
      </c>
      <c r="BL86" s="319"/>
      <c r="BM86" s="319"/>
      <c r="BN86" s="319"/>
      <c r="BO86" s="362"/>
      <c r="BP86" s="753"/>
      <c r="BQ86" s="753"/>
      <c r="BR86" s="753"/>
      <c r="BS86" s="753"/>
      <c r="BT86" s="286"/>
      <c r="BU86" s="43" t="s">
        <v>69</v>
      </c>
      <c r="BV86" s="319">
        <v>179586.1</v>
      </c>
      <c r="BW86" s="319">
        <v>215283.24</v>
      </c>
      <c r="BX86" s="319">
        <v>141326.75</v>
      </c>
      <c r="BY86" s="319">
        <v>172003.5</v>
      </c>
      <c r="BZ86" s="319">
        <v>172073</v>
      </c>
      <c r="CA86" s="319">
        <v>269536.40000000002</v>
      </c>
      <c r="CB86" s="319">
        <v>130700.7</v>
      </c>
      <c r="CC86" s="319">
        <v>166680.79999999999</v>
      </c>
      <c r="CD86" s="319">
        <v>418598.37</v>
      </c>
      <c r="CE86" s="319">
        <v>183766.56</v>
      </c>
      <c r="CF86" s="319">
        <v>262090.81999999995</v>
      </c>
      <c r="CG86" s="319">
        <v>248151.93</v>
      </c>
      <c r="CH86" s="319">
        <v>203941.53999999998</v>
      </c>
      <c r="CI86" s="319">
        <v>183108.44999999998</v>
      </c>
      <c r="CJ86" s="319"/>
      <c r="CK86" s="319"/>
      <c r="CL86" s="319"/>
      <c r="CM86" s="362"/>
      <c r="CN86" s="753"/>
      <c r="CO86" s="753"/>
      <c r="CP86" s="753"/>
      <c r="CQ86" s="753"/>
      <c r="CR86" s="39"/>
      <c r="CS86" s="43" t="s">
        <v>69</v>
      </c>
      <c r="CT86" s="319">
        <v>110068.9</v>
      </c>
      <c r="CU86" s="319">
        <v>113973.48</v>
      </c>
      <c r="CV86" s="319">
        <v>118714.47</v>
      </c>
      <c r="CW86" s="319">
        <v>121039.5</v>
      </c>
      <c r="CX86" s="319">
        <v>123892.56</v>
      </c>
      <c r="CY86" s="319">
        <v>115515.6</v>
      </c>
      <c r="CZ86" s="319">
        <v>148127.46</v>
      </c>
      <c r="DA86" s="319">
        <v>156263.25</v>
      </c>
      <c r="DB86" s="319">
        <v>124642.28000000001</v>
      </c>
      <c r="DC86" s="319">
        <v>127154.83</v>
      </c>
      <c r="DD86" s="319">
        <v>131553.34000000003</v>
      </c>
      <c r="DE86" s="319">
        <v>135653.73000000001</v>
      </c>
      <c r="DF86" s="319">
        <v>127951.70999999999</v>
      </c>
      <c r="DG86" s="319">
        <v>154145.99</v>
      </c>
      <c r="DH86" s="319"/>
      <c r="DI86" s="319"/>
      <c r="DJ86" s="319"/>
      <c r="DK86" s="362"/>
      <c r="DL86" s="753"/>
      <c r="DM86" s="753"/>
      <c r="DN86" s="753"/>
      <c r="DO86" s="753"/>
      <c r="DP86" s="39"/>
      <c r="DQ86" s="43" t="s">
        <v>69</v>
      </c>
      <c r="DR86" s="319">
        <v>11586.2</v>
      </c>
      <c r="DS86" s="319">
        <v>12663.72</v>
      </c>
      <c r="DT86" s="319">
        <v>11306.14</v>
      </c>
      <c r="DU86" s="319">
        <v>6370.5</v>
      </c>
      <c r="DV86" s="319">
        <v>6882.92</v>
      </c>
      <c r="DW86" s="319">
        <v>15402.08</v>
      </c>
      <c r="DX86" s="319">
        <v>8713.3799999999992</v>
      </c>
      <c r="DY86" s="319">
        <v>10417.549999999999</v>
      </c>
      <c r="DZ86" s="319">
        <v>15958.84</v>
      </c>
      <c r="EA86" s="319">
        <v>12812.13</v>
      </c>
      <c r="EB86" s="319">
        <v>24409.79</v>
      </c>
      <c r="EC86" s="319">
        <v>12748.34</v>
      </c>
      <c r="ED86" s="319">
        <v>13225.41</v>
      </c>
      <c r="EE86" s="319">
        <v>15284.28</v>
      </c>
      <c r="EF86" s="319"/>
      <c r="EG86" s="319"/>
      <c r="EH86" s="319"/>
      <c r="EI86" s="362"/>
      <c r="EJ86" s="753"/>
      <c r="EK86" s="753"/>
      <c r="EL86" s="753"/>
      <c r="EM86" s="753"/>
      <c r="EN86" s="39"/>
      <c r="EO86" s="43" t="s">
        <v>69</v>
      </c>
      <c r="EP86" s="319">
        <v>46344.800000000003</v>
      </c>
      <c r="EQ86" s="319">
        <v>44323.02</v>
      </c>
      <c r="ER86" s="319">
        <v>39571.49</v>
      </c>
      <c r="ES86" s="319">
        <v>70075.5</v>
      </c>
      <c r="ET86" s="319">
        <v>82595.039999999994</v>
      </c>
      <c r="EU86" s="319">
        <v>61608.32</v>
      </c>
      <c r="EV86" s="319">
        <v>148127.46</v>
      </c>
      <c r="EW86" s="319">
        <v>302108.95</v>
      </c>
      <c r="EX86" s="319">
        <v>163904.41999999998</v>
      </c>
      <c r="EY86" s="319">
        <v>138619.15</v>
      </c>
      <c r="EZ86" s="319">
        <v>151046.07999999999</v>
      </c>
      <c r="FA86" s="319">
        <v>231514.81999999998</v>
      </c>
      <c r="FB86" s="319">
        <v>151060.72</v>
      </c>
      <c r="FC86" s="319">
        <v>131565.49</v>
      </c>
      <c r="FD86" s="319"/>
      <c r="FE86" s="319"/>
      <c r="FF86" s="319"/>
      <c r="FG86" s="362"/>
      <c r="FH86" s="362"/>
      <c r="FI86" s="362"/>
      <c r="FJ86" s="362"/>
      <c r="FK86" s="362"/>
      <c r="FM86" s="43" t="s">
        <v>69</v>
      </c>
      <c r="FN86" s="319">
        <v>96994</v>
      </c>
      <c r="FO86" s="319">
        <v>151967</v>
      </c>
      <c r="FP86" s="319">
        <v>99766</v>
      </c>
      <c r="FQ86" s="319">
        <v>71291</v>
      </c>
      <c r="FR86" s="319">
        <v>80053</v>
      </c>
      <c r="FS86" s="319">
        <v>116555</v>
      </c>
      <c r="FT86" s="319">
        <v>167940</v>
      </c>
      <c r="FU86" s="319">
        <v>293002</v>
      </c>
      <c r="FV86" s="319">
        <v>340828.51999999979</v>
      </c>
      <c r="FW86" s="319">
        <v>151010.76999999999</v>
      </c>
      <c r="FX86" s="319">
        <v>118750.77</v>
      </c>
      <c r="FY86" s="319">
        <v>24695.51</v>
      </c>
      <c r="FZ86" s="319">
        <v>33161.159999999916</v>
      </c>
      <c r="GA86" s="319">
        <v>75972.39</v>
      </c>
      <c r="GB86" s="319"/>
      <c r="GC86" s="319"/>
      <c r="GD86" s="319"/>
      <c r="GE86" s="319"/>
      <c r="GF86" s="756"/>
      <c r="GG86" s="756"/>
      <c r="GH86" s="756"/>
      <c r="GI86" s="756"/>
      <c r="GJ86" s="42"/>
      <c r="GK86" s="570" t="s">
        <v>69</v>
      </c>
      <c r="GL86" s="571">
        <f>FN86/'4GF Expenditures'!B87</f>
        <v>0.14563138865866695</v>
      </c>
      <c r="GM86" s="571">
        <f>FO86/'4GF Expenditures'!C87</f>
        <v>0.26282183209301763</v>
      </c>
      <c r="GN86" s="571">
        <f>FP86/'4GF Expenditures'!D87</f>
        <v>0.16156227935508527</v>
      </c>
      <c r="GO86" s="571">
        <f>FQ86/'4GF Expenditures'!E87</f>
        <v>0.10711994290222006</v>
      </c>
      <c r="GP86" s="571">
        <f>FR86/'4GF Expenditures'!F87</f>
        <v>0.1178064250290642</v>
      </c>
      <c r="GQ86" s="571">
        <f>FS86/'4GF Expenditures'!G87</f>
        <v>0.15888021177666939</v>
      </c>
      <c r="GR86" s="571">
        <f>FT86/'4GF Expenditures'!H87</f>
        <v>0.20481686732881924</v>
      </c>
      <c r="GS86" s="571">
        <f>FU86/'4GF Expenditures'!I87</f>
        <v>0.31962901469847083</v>
      </c>
      <c r="GT86" s="571">
        <f>FV86/'4GF Expenditures'!J87</f>
        <v>0.31936013230897625</v>
      </c>
      <c r="GU86" s="571">
        <f>FW86/'4GF Expenditures'!K87</f>
        <v>0.15710547910913522</v>
      </c>
      <c r="GV86" s="571">
        <f>FX86/'4GF Expenditures'!L87</f>
        <v>0.11729202897527938</v>
      </c>
      <c r="GW86" s="571">
        <f>FY86/'4GF Expenditures'!M87</f>
        <v>2.1372601935621061E-2</v>
      </c>
      <c r="GX86" s="571">
        <f>FZ86/'4GF Expenditures'!N87</f>
        <v>3.0797262241448606E-2</v>
      </c>
      <c r="GY86" s="571">
        <f>GA86/'4GF Expenditures'!O87</f>
        <v>7.0222318326195132E-2</v>
      </c>
      <c r="GZ86" s="571" t="e">
        <f>GB86/'4GF Expenditures'!P87</f>
        <v>#DIV/0!</v>
      </c>
      <c r="HA86" s="571" t="e">
        <f>GC86/'4GF Expenditures'!Q87</f>
        <v>#DIV/0!</v>
      </c>
      <c r="HB86" s="571" t="e">
        <f>GD86/'4GF Expenditures'!R87</f>
        <v>#DIV/0!</v>
      </c>
      <c r="HC86" s="571" t="e">
        <f>GE86/'4GF Expenditures'!S87</f>
        <v>#DIV/0!</v>
      </c>
      <c r="HD86" s="571" t="e">
        <f>GF86/'4GF Expenditures'!T87</f>
        <v>#DIV/0!</v>
      </c>
      <c r="HE86" s="571" t="e">
        <f>GG86/'4GF Expenditures'!U87</f>
        <v>#DIV/0!</v>
      </c>
      <c r="HF86" s="571" t="e">
        <f>GH86/'4GF Expenditures'!V87</f>
        <v>#DIV/0!</v>
      </c>
      <c r="HG86" s="571" t="e">
        <f>GI86/'4GF Expenditures'!W87</f>
        <v>#DIV/0!</v>
      </c>
      <c r="HH86" s="571"/>
      <c r="HI86" s="571"/>
      <c r="HJ86" s="571"/>
      <c r="HK86" s="568"/>
      <c r="HL86" s="567" t="s">
        <v>69</v>
      </c>
      <c r="HM86" s="571">
        <f>B86/'4GF Expenditures'!B87</f>
        <v>0.86980349056490458</v>
      </c>
      <c r="HN86" s="571">
        <f>C86/'4GF Expenditures'!C87</f>
        <v>1.095073960633884</v>
      </c>
      <c r="HO86" s="571">
        <f>D86/'4GF Expenditures'!D87</f>
        <v>0.91546506280080586</v>
      </c>
      <c r="HP86" s="571">
        <f>E86/'4GF Expenditures'!E87</f>
        <v>0.95721422936779232</v>
      </c>
      <c r="HQ86" s="571">
        <f>F86/'4GF Expenditures'!F87</f>
        <v>1.0128942062896413</v>
      </c>
      <c r="HR86" s="571">
        <f>G86/'4GF Expenditures'!G87</f>
        <v>1.0497557943465334</v>
      </c>
      <c r="HS86" s="571">
        <f>H86/'4GF Expenditures'!H87</f>
        <v>1.062669522118368</v>
      </c>
      <c r="HT86" s="571">
        <f>I86/'4GF Expenditures'!I87</f>
        <v>1.1364261138395146</v>
      </c>
      <c r="HU86" s="571">
        <f>J86/'4GF Expenditures'!J87</f>
        <v>1.0307672866872739</v>
      </c>
      <c r="HV86" s="571">
        <f>K86/'4GF Expenditures'!K87</f>
        <v>0.81812670466794502</v>
      </c>
      <c r="HW86" s="571">
        <f>L86/'4GF Expenditures'!L87</f>
        <v>0.95845220288953714</v>
      </c>
      <c r="HX86" s="571">
        <f>M86/'4GF Expenditures'!M87</f>
        <v>0.89263701417788199</v>
      </c>
      <c r="HY86" s="571">
        <f>N86/'4GF Expenditures'!N87</f>
        <v>1.007862174999135</v>
      </c>
      <c r="HZ86" s="571">
        <f>O86/'4GF Expenditures'!O87</f>
        <v>1.0395710049531934</v>
      </c>
      <c r="IA86" s="571" t="e">
        <f>P86/'4GF Expenditures'!P87</f>
        <v>#DIV/0!</v>
      </c>
      <c r="IB86" s="571" t="e">
        <f>Q86/'4GF Expenditures'!Q87</f>
        <v>#DIV/0!</v>
      </c>
      <c r="IC86" s="571" t="e">
        <f>R86/'4GF Expenditures'!R87</f>
        <v>#DIV/0!</v>
      </c>
      <c r="ID86" s="573" t="e">
        <f>S86/'4GF Expenditures'!S87</f>
        <v>#DIV/0!</v>
      </c>
      <c r="IE86" s="572" t="e">
        <f>T86/'4GF Expenditures'!T87</f>
        <v>#DIV/0!</v>
      </c>
      <c r="IF86" s="572" t="e">
        <f>U86/'4GF Expenditures'!U87</f>
        <v>#DIV/0!</v>
      </c>
      <c r="IG86" s="572" t="e">
        <f>V86/'4GF Expenditures'!V87</f>
        <v>#DIV/0!</v>
      </c>
      <c r="IH86" s="572" t="e">
        <f>W86/'4GF Expenditures'!W87</f>
        <v>#DIV/0!</v>
      </c>
    </row>
    <row r="87" spans="1:242" ht="14">
      <c r="A87" s="43" t="s">
        <v>70</v>
      </c>
      <c r="B87" s="319">
        <v>430039</v>
      </c>
      <c r="C87" s="319">
        <v>442551</v>
      </c>
      <c r="D87" s="319">
        <v>531531</v>
      </c>
      <c r="E87" s="319">
        <v>555443</v>
      </c>
      <c r="F87" s="319">
        <v>608779</v>
      </c>
      <c r="G87" s="319">
        <v>555309</v>
      </c>
      <c r="H87" s="319">
        <v>550221</v>
      </c>
      <c r="I87" s="319">
        <v>614924</v>
      </c>
      <c r="J87" s="319">
        <v>613733</v>
      </c>
      <c r="K87" s="888">
        <v>758917</v>
      </c>
      <c r="L87" s="319">
        <v>850591</v>
      </c>
      <c r="M87" s="319">
        <v>923227</v>
      </c>
      <c r="N87" s="319">
        <v>894939</v>
      </c>
      <c r="O87" s="319">
        <v>1020027</v>
      </c>
      <c r="P87" s="319">
        <v>805252</v>
      </c>
      <c r="Q87" s="319">
        <v>1069903</v>
      </c>
      <c r="R87" s="319">
        <v>1018174</v>
      </c>
      <c r="S87" s="362">
        <v>1054726</v>
      </c>
      <c r="T87" s="362">
        <v>1090443</v>
      </c>
      <c r="U87" s="362">
        <v>1050791</v>
      </c>
      <c r="V87" s="362">
        <v>1025225</v>
      </c>
      <c r="W87" s="362">
        <v>1018244</v>
      </c>
      <c r="X87" s="6"/>
      <c r="Y87" s="43" t="s">
        <v>70</v>
      </c>
      <c r="Z87" s="319">
        <v>163414.82</v>
      </c>
      <c r="AA87" s="319">
        <v>172594.89</v>
      </c>
      <c r="AB87" s="319">
        <v>196666.47</v>
      </c>
      <c r="AC87" s="319">
        <v>155524.04</v>
      </c>
      <c r="AD87" s="319">
        <v>213072.65</v>
      </c>
      <c r="AE87" s="319">
        <v>222123.6</v>
      </c>
      <c r="AF87" s="319">
        <v>220088.4</v>
      </c>
      <c r="AG87" s="319">
        <v>233671.12</v>
      </c>
      <c r="AH87" s="319">
        <v>226342</v>
      </c>
      <c r="AI87" s="319">
        <v>243608</v>
      </c>
      <c r="AJ87" s="319">
        <v>241176</v>
      </c>
      <c r="AK87" s="319">
        <v>244437</v>
      </c>
      <c r="AL87" s="319">
        <v>277296</v>
      </c>
      <c r="AM87" s="319">
        <v>256002</v>
      </c>
      <c r="AN87" s="319">
        <v>270316</v>
      </c>
      <c r="AO87" s="319">
        <v>229372</v>
      </c>
      <c r="AP87" s="319">
        <v>31916</v>
      </c>
      <c r="AQ87" s="362">
        <v>18882</v>
      </c>
      <c r="AR87" s="753">
        <v>13236</v>
      </c>
      <c r="AS87" s="753">
        <v>14189</v>
      </c>
      <c r="AT87" s="753">
        <v>14854</v>
      </c>
      <c r="AU87" s="753">
        <v>13800</v>
      </c>
      <c r="AV87" s="39"/>
      <c r="AW87" s="43" t="s">
        <v>70</v>
      </c>
      <c r="AX87" s="319">
        <v>0</v>
      </c>
      <c r="AY87" s="319">
        <v>0</v>
      </c>
      <c r="AZ87" s="319">
        <v>0</v>
      </c>
      <c r="BA87" s="319">
        <v>27772.15</v>
      </c>
      <c r="BB87" s="319">
        <v>0</v>
      </c>
      <c r="BC87" s="319">
        <v>0</v>
      </c>
      <c r="BD87" s="319">
        <v>0</v>
      </c>
      <c r="BE87" s="319">
        <v>0</v>
      </c>
      <c r="BF87" s="319">
        <v>0</v>
      </c>
      <c r="BG87" s="319">
        <v>0</v>
      </c>
      <c r="BH87" s="319">
        <v>0</v>
      </c>
      <c r="BI87" s="319">
        <v>0</v>
      </c>
      <c r="BJ87" s="319">
        <v>0</v>
      </c>
      <c r="BK87" s="319">
        <v>0</v>
      </c>
      <c r="BL87" s="319">
        <v>0</v>
      </c>
      <c r="BM87" s="319">
        <v>381499</v>
      </c>
      <c r="BN87" s="319">
        <v>473700</v>
      </c>
      <c r="BO87" s="362">
        <v>455512</v>
      </c>
      <c r="BP87" s="753">
        <v>501683</v>
      </c>
      <c r="BQ87" s="753">
        <v>498893</v>
      </c>
      <c r="BR87" s="753">
        <v>476385</v>
      </c>
      <c r="BS87" s="753">
        <v>480000</v>
      </c>
      <c r="BT87" s="286"/>
      <c r="BU87" s="43" t="s">
        <v>70</v>
      </c>
      <c r="BV87" s="319">
        <v>107509.75</v>
      </c>
      <c r="BW87" s="319">
        <v>97361.22</v>
      </c>
      <c r="BX87" s="319">
        <v>90360.27</v>
      </c>
      <c r="BY87" s="319">
        <v>88870.88</v>
      </c>
      <c r="BZ87" s="319">
        <v>109580.22</v>
      </c>
      <c r="CA87" s="319">
        <v>127721.07</v>
      </c>
      <c r="CB87" s="319">
        <v>115546.41</v>
      </c>
      <c r="CC87" s="319">
        <v>159880.24</v>
      </c>
      <c r="CD87" s="319">
        <v>155298</v>
      </c>
      <c r="CE87" s="319">
        <v>264411</v>
      </c>
      <c r="CF87" s="319">
        <v>322467</v>
      </c>
      <c r="CG87" s="319">
        <v>434167</v>
      </c>
      <c r="CH87" s="319">
        <v>361793</v>
      </c>
      <c r="CI87" s="319">
        <v>381009</v>
      </c>
      <c r="CJ87" s="319">
        <v>257542</v>
      </c>
      <c r="CK87" s="319">
        <v>227423</v>
      </c>
      <c r="CL87" s="319">
        <v>220564</v>
      </c>
      <c r="CM87" s="362">
        <v>290795</v>
      </c>
      <c r="CN87" s="753">
        <v>270511</v>
      </c>
      <c r="CO87" s="753">
        <v>301924</v>
      </c>
      <c r="CP87" s="753">
        <v>269008</v>
      </c>
      <c r="CQ87" s="753">
        <v>287219</v>
      </c>
      <c r="CR87" s="39"/>
      <c r="CS87" s="43" t="s">
        <v>70</v>
      </c>
      <c r="CT87" s="319">
        <v>111810.14</v>
      </c>
      <c r="CU87" s="319">
        <v>106212.24</v>
      </c>
      <c r="CV87" s="319">
        <v>106306.2</v>
      </c>
      <c r="CW87" s="319">
        <v>116643.03</v>
      </c>
      <c r="CX87" s="319">
        <v>109580.22</v>
      </c>
      <c r="CY87" s="319">
        <v>122167.98</v>
      </c>
      <c r="CZ87" s="319">
        <v>137555.25</v>
      </c>
      <c r="DA87" s="319">
        <v>141432.51999999999</v>
      </c>
      <c r="DB87" s="319">
        <v>131806</v>
      </c>
      <c r="DC87" s="319">
        <v>152338</v>
      </c>
      <c r="DD87" s="319">
        <v>160710</v>
      </c>
      <c r="DE87" s="319">
        <v>147224</v>
      </c>
      <c r="DF87" s="319">
        <v>152121</v>
      </c>
      <c r="DG87" s="319">
        <v>142628</v>
      </c>
      <c r="DH87" s="319">
        <v>145379</v>
      </c>
      <c r="DI87" s="319">
        <v>139662</v>
      </c>
      <c r="DJ87" s="319">
        <v>143220</v>
      </c>
      <c r="DK87" s="362">
        <v>152387</v>
      </c>
      <c r="DL87" s="753">
        <v>161026</v>
      </c>
      <c r="DM87" s="753">
        <v>158319</v>
      </c>
      <c r="DN87" s="753">
        <v>155843</v>
      </c>
      <c r="DO87" s="753">
        <v>159580</v>
      </c>
      <c r="DP87" s="39"/>
      <c r="DQ87" s="43" t="s">
        <v>70</v>
      </c>
      <c r="DR87" s="319">
        <v>12901.17</v>
      </c>
      <c r="DS87" s="319">
        <v>17702.04</v>
      </c>
      <c r="DT87" s="319">
        <v>21261.24</v>
      </c>
      <c r="DU87" s="319">
        <v>22217.72</v>
      </c>
      <c r="DV87" s="319">
        <v>24351.16</v>
      </c>
      <c r="DW87" s="319">
        <v>27765.45</v>
      </c>
      <c r="DX87" s="319">
        <v>27511.05</v>
      </c>
      <c r="DY87" s="319">
        <v>18447.72</v>
      </c>
      <c r="DZ87" s="319">
        <v>19292</v>
      </c>
      <c r="EA87" s="319">
        <v>21017</v>
      </c>
      <c r="EB87" s="319">
        <v>27440</v>
      </c>
      <c r="EC87" s="319">
        <v>24250</v>
      </c>
      <c r="ED87" s="319">
        <v>23638</v>
      </c>
      <c r="EE87" s="319">
        <v>23670</v>
      </c>
      <c r="EF87" s="319">
        <v>22167</v>
      </c>
      <c r="EG87" s="319">
        <v>17052</v>
      </c>
      <c r="EH87" s="319">
        <v>13439</v>
      </c>
      <c r="EI87" s="362">
        <v>12232</v>
      </c>
      <c r="EJ87" s="753">
        <v>12200</v>
      </c>
      <c r="EK87" s="753">
        <v>14635</v>
      </c>
      <c r="EL87" s="753">
        <v>14273</v>
      </c>
      <c r="EM87" s="753">
        <v>14500</v>
      </c>
      <c r="EN87" s="39"/>
      <c r="EO87" s="43" t="s">
        <v>70</v>
      </c>
      <c r="EP87" s="319">
        <v>34403.120000000003</v>
      </c>
      <c r="EQ87" s="319">
        <v>48680.61</v>
      </c>
      <c r="ER87" s="319">
        <v>116936.82</v>
      </c>
      <c r="ES87" s="319">
        <v>144415.18</v>
      </c>
      <c r="ET87" s="319">
        <v>152194.75</v>
      </c>
      <c r="EU87" s="319">
        <v>55530.9</v>
      </c>
      <c r="EV87" s="319">
        <v>49519.89</v>
      </c>
      <c r="EW87" s="319">
        <v>61492.4</v>
      </c>
      <c r="EX87" s="319">
        <v>57045</v>
      </c>
      <c r="EY87" s="319">
        <v>35066</v>
      </c>
      <c r="EZ87" s="319">
        <v>55021</v>
      </c>
      <c r="FA87" s="319">
        <v>34578</v>
      </c>
      <c r="FB87" s="319">
        <v>30245</v>
      </c>
      <c r="FC87" s="319">
        <v>41897</v>
      </c>
      <c r="FD87" s="319">
        <v>42460</v>
      </c>
      <c r="FE87" s="319">
        <v>20841</v>
      </c>
      <c r="FF87" s="319">
        <v>91259</v>
      </c>
      <c r="FG87" s="362">
        <v>72984</v>
      </c>
      <c r="FH87" s="362">
        <v>33285</v>
      </c>
      <c r="FI87" s="362">
        <v>34006</v>
      </c>
      <c r="FJ87" s="362">
        <v>63862</v>
      </c>
      <c r="FK87" s="362">
        <v>35145</v>
      </c>
      <c r="FM87" s="43" t="s">
        <v>70</v>
      </c>
      <c r="FN87" s="319">
        <v>238129</v>
      </c>
      <c r="FO87" s="319">
        <v>263267</v>
      </c>
      <c r="FP87" s="319">
        <v>359734</v>
      </c>
      <c r="FQ87" s="319">
        <v>430665</v>
      </c>
      <c r="FR87" s="319">
        <v>372202</v>
      </c>
      <c r="FS87" s="319">
        <v>418165</v>
      </c>
      <c r="FT87" s="319">
        <v>435533</v>
      </c>
      <c r="FU87" s="319">
        <v>499347</v>
      </c>
      <c r="FV87" s="319">
        <v>421324</v>
      </c>
      <c r="FW87" s="319">
        <v>457271</v>
      </c>
      <c r="FX87" s="319">
        <v>373400</v>
      </c>
      <c r="FY87" s="319">
        <v>266253</v>
      </c>
      <c r="FZ87" s="319">
        <v>277887</v>
      </c>
      <c r="GA87" s="319">
        <v>273371</v>
      </c>
      <c r="GB87" s="319">
        <v>248411</v>
      </c>
      <c r="GC87" s="319">
        <v>439670</v>
      </c>
      <c r="GD87" s="319">
        <v>511985</v>
      </c>
      <c r="GE87" s="319">
        <v>605592</v>
      </c>
      <c r="GF87" s="756">
        <v>752024</v>
      </c>
      <c r="GG87" s="756">
        <v>822085</v>
      </c>
      <c r="GH87" s="756">
        <v>714726</v>
      </c>
      <c r="GI87" s="756">
        <v>488880</v>
      </c>
      <c r="GJ87" s="42"/>
      <c r="GK87" s="570" t="s">
        <v>70</v>
      </c>
      <c r="GL87" s="571">
        <f>FN87/'4GF Expenditures'!B88</f>
        <v>0.58719571135484894</v>
      </c>
      <c r="GM87" s="571">
        <f>FO87/'4GF Expenditures'!C88</f>
        <v>0.63071107033082341</v>
      </c>
      <c r="GN87" s="571">
        <f>FP87/'4GF Expenditures'!D88</f>
        <v>0.82685306069911557</v>
      </c>
      <c r="GO87" s="571">
        <f>FQ87/'4GF Expenditures'!E88</f>
        <v>0.8888634337230038</v>
      </c>
      <c r="GP87" s="571">
        <f>FR87/'4GF Expenditures'!F88</f>
        <v>0.55782159995923519</v>
      </c>
      <c r="GQ87" s="571">
        <f>FS87/'4GF Expenditures'!G88</f>
        <v>0.82098416400639251</v>
      </c>
      <c r="GR87" s="571">
        <f>FT87/'4GF Expenditures'!H88</f>
        <v>0.81736051030959755</v>
      </c>
      <c r="GS87" s="571">
        <f>FU87/'4GF Expenditures'!I88</f>
        <v>0.90607501224800857</v>
      </c>
      <c r="GT87" s="571">
        <f>FV87/'4GF Expenditures'!J88</f>
        <v>0.60906622874605709</v>
      </c>
      <c r="GU87" s="571">
        <f>FW87/'4GF Expenditures'!K88</f>
        <v>0.63249046639620787</v>
      </c>
      <c r="GV87" s="571">
        <f>FX87/'4GF Expenditures'!L88</f>
        <v>0.39958821225475194</v>
      </c>
      <c r="GW87" s="571">
        <f>FY87/'4GF Expenditures'!M88</f>
        <v>0.25840422992039785</v>
      </c>
      <c r="GX87" s="571">
        <f>FZ87/'4GF Expenditures'!N88</f>
        <v>0.31459914751982609</v>
      </c>
      <c r="GY87" s="571">
        <f>GA87/'4GF Expenditures'!O88</f>
        <v>0.26682237836772105</v>
      </c>
      <c r="GZ87" s="571">
        <f>GB87/'4GF Expenditures'!P88</f>
        <v>0.29921393571762395</v>
      </c>
      <c r="HA87" s="571">
        <f>GC87/'4GF Expenditures'!Q88</f>
        <v>0.50039606484537535</v>
      </c>
      <c r="HB87" s="571">
        <f>GD87/'4GF Expenditures'!R88</f>
        <v>0.54129103809341561</v>
      </c>
      <c r="HC87" s="571">
        <f>GE87/'4GF Expenditures'!S88</f>
        <v>0.63009055070183817</v>
      </c>
      <c r="HD87" s="571">
        <f>GF87/'4GF Expenditures'!T88</f>
        <v>0.79662546662542422</v>
      </c>
      <c r="HE87" s="571">
        <f>GG87/'4GF Expenditures'!U88</f>
        <v>0.83823784323921979</v>
      </c>
      <c r="HF87" s="571">
        <f>GH87/'4GF Expenditures'!V88</f>
        <v>0.63105782882329253</v>
      </c>
      <c r="HG87" s="571">
        <f>GI87/'4GF Expenditures'!W88</f>
        <v>0.39296192397656116</v>
      </c>
      <c r="HH87" s="571"/>
      <c r="HI87" s="571"/>
      <c r="HJ87" s="571"/>
      <c r="HK87" s="568"/>
      <c r="HL87" s="567" t="s">
        <v>70</v>
      </c>
      <c r="HM87" s="571">
        <f>B87/'4GF Expenditures'!B88</f>
        <v>1.0604212696283437</v>
      </c>
      <c r="HN87" s="571">
        <f>C87/'4GF Expenditures'!C88</f>
        <v>1.0602233279749314</v>
      </c>
      <c r="HO87" s="571">
        <f>D87/'4GF Expenditures'!D88</f>
        <v>1.2217305959582958</v>
      </c>
      <c r="HP87" s="571">
        <f>E87/'4GF Expenditures'!E88</f>
        <v>1.1463967868700879</v>
      </c>
      <c r="HQ87" s="571">
        <f>F87/'4GF Expenditures'!F88</f>
        <v>0.91238111509767073</v>
      </c>
      <c r="HR87" s="571">
        <f>G87/'4GF Expenditures'!G88</f>
        <v>1.0902392479768173</v>
      </c>
      <c r="HS87" s="571">
        <f>H87/'4GF Expenditures'!H88</f>
        <v>1.0325943552912342</v>
      </c>
      <c r="HT87" s="571">
        <f>I87/'4GF Expenditures'!I88</f>
        <v>1.1157917657092051</v>
      </c>
      <c r="HU87" s="571">
        <f>J87/'4GF Expenditures'!J88</f>
        <v>0.88721279530006336</v>
      </c>
      <c r="HV87" s="571">
        <f>K87/'4GF Expenditures'!K88</f>
        <v>1.0497227405324434</v>
      </c>
      <c r="HW87" s="571">
        <f>L87/'4GF Expenditures'!L88</f>
        <v>0.9102467516068069</v>
      </c>
      <c r="HX87" s="571">
        <f>M87/'4GF Expenditures'!M88</f>
        <v>0.89601154532237803</v>
      </c>
      <c r="HY87" s="571">
        <f>N87/'4GF Expenditures'!N88</f>
        <v>1.0131709885034048</v>
      </c>
      <c r="HZ87" s="571">
        <f>O87/'4GF Expenditures'!O88</f>
        <v>0.99559218109928038</v>
      </c>
      <c r="IA87" s="571">
        <f>P87/'4GF Expenditures'!P88</f>
        <v>0.96993538999677187</v>
      </c>
      <c r="IB87" s="571">
        <f>Q87/'4GF Expenditures'!Q88</f>
        <v>1.2176751904070362</v>
      </c>
      <c r="IC87" s="571">
        <f>R87/'4GF Expenditures'!R88</f>
        <v>1.076454312957851</v>
      </c>
      <c r="ID87" s="573">
        <f>S87/'4GF Expenditures'!S88</f>
        <v>1.0973937670569409</v>
      </c>
      <c r="IE87" s="572">
        <f>T87/'4GF Expenditures'!T88</f>
        <v>1.1551156129371236</v>
      </c>
      <c r="IF87" s="572">
        <f>U87/'4GF Expenditures'!U88</f>
        <v>1.0714376026021433</v>
      </c>
      <c r="IG87" s="572">
        <f>V87/'4GF Expenditures'!V88</f>
        <v>0.90520879687511036</v>
      </c>
      <c r="IH87" s="572">
        <f>W87/'4GF Expenditures'!W88</f>
        <v>0.81846490205692513</v>
      </c>
    </row>
    <row r="88" spans="1:242">
      <c r="A88" s="42" t="s">
        <v>300</v>
      </c>
      <c r="B88" s="320">
        <v>1444324</v>
      </c>
      <c r="C88" s="320">
        <v>1474768</v>
      </c>
      <c r="D88" s="320">
        <v>1689879</v>
      </c>
      <c r="E88" s="320">
        <v>2667576</v>
      </c>
      <c r="F88" s="320">
        <v>3552629</v>
      </c>
      <c r="G88" s="320">
        <v>2786326</v>
      </c>
      <c r="H88" s="320">
        <v>3294661</v>
      </c>
      <c r="I88" s="320">
        <v>3597525</v>
      </c>
      <c r="J88" s="320">
        <v>3649472.4000000004</v>
      </c>
      <c r="K88" s="888">
        <v>3702459.65</v>
      </c>
      <c r="L88" s="320">
        <v>3541684.7900000005</v>
      </c>
      <c r="M88" s="320">
        <v>3499973.3999999994</v>
      </c>
      <c r="N88" s="320">
        <v>3705531.8600000003</v>
      </c>
      <c r="O88" s="320">
        <v>3560239.1900000004</v>
      </c>
      <c r="P88" s="320">
        <v>3675555.02</v>
      </c>
      <c r="Q88" s="320">
        <v>3561374.1300000004</v>
      </c>
      <c r="R88" s="320">
        <v>4206723.0199999996</v>
      </c>
      <c r="S88" s="362">
        <v>4370005.34</v>
      </c>
      <c r="T88" s="362">
        <v>4383080.43</v>
      </c>
      <c r="U88" s="362">
        <v>4078858.8</v>
      </c>
      <c r="V88" s="362">
        <v>4784609.55</v>
      </c>
      <c r="W88" s="362">
        <v>4672533</v>
      </c>
      <c r="X88" s="6"/>
      <c r="Y88" s="42" t="s">
        <v>300</v>
      </c>
      <c r="Z88" s="320">
        <v>187762.12</v>
      </c>
      <c r="AA88" s="320">
        <v>235962.88</v>
      </c>
      <c r="AB88" s="320">
        <v>253481.85</v>
      </c>
      <c r="AC88" s="320">
        <v>266757.59999999998</v>
      </c>
      <c r="AD88" s="320">
        <v>248684.03</v>
      </c>
      <c r="AE88" s="320">
        <v>278632.59999999998</v>
      </c>
      <c r="AF88" s="320">
        <v>296519.49</v>
      </c>
      <c r="AG88" s="320">
        <v>323777.25</v>
      </c>
      <c r="AH88" s="320">
        <v>321082.56</v>
      </c>
      <c r="AI88" s="320">
        <v>341299.11</v>
      </c>
      <c r="AJ88" s="320">
        <v>334095.81</v>
      </c>
      <c r="AK88" s="320">
        <v>349496.3</v>
      </c>
      <c r="AL88" s="320">
        <v>410660.16</v>
      </c>
      <c r="AM88" s="320">
        <v>440053.09</v>
      </c>
      <c r="AN88" s="320">
        <v>424745.98</v>
      </c>
      <c r="AO88" s="320">
        <v>447150.06</v>
      </c>
      <c r="AP88" s="320">
        <v>453977.4</v>
      </c>
      <c r="AQ88" s="362">
        <v>456231.14</v>
      </c>
      <c r="AR88" s="753">
        <v>460665.33999999997</v>
      </c>
      <c r="AS88" s="753">
        <v>489626.25</v>
      </c>
      <c r="AT88" s="753">
        <v>463689.69</v>
      </c>
      <c r="AU88" s="753">
        <v>468500</v>
      </c>
      <c r="AV88" s="39"/>
      <c r="AW88" s="42" t="s">
        <v>300</v>
      </c>
      <c r="AX88" s="320">
        <v>202205.36</v>
      </c>
      <c r="AY88" s="320">
        <v>206467.52</v>
      </c>
      <c r="AZ88" s="320">
        <v>202785.48</v>
      </c>
      <c r="BA88" s="320">
        <v>213406.07999999999</v>
      </c>
      <c r="BB88" s="320">
        <v>248684.03</v>
      </c>
      <c r="BC88" s="320">
        <v>250769.34</v>
      </c>
      <c r="BD88" s="320">
        <v>263572.88</v>
      </c>
      <c r="BE88" s="320">
        <v>215851.5</v>
      </c>
      <c r="BF88" s="320">
        <v>266807.09999999998</v>
      </c>
      <c r="BG88" s="320">
        <v>270631.46000000002</v>
      </c>
      <c r="BH88" s="320">
        <v>266237.93</v>
      </c>
      <c r="BI88" s="320">
        <v>274840.76</v>
      </c>
      <c r="BJ88" s="320">
        <v>263950.18</v>
      </c>
      <c r="BK88" s="320">
        <v>248794.7</v>
      </c>
      <c r="BL88" s="320">
        <v>262178.32</v>
      </c>
      <c r="BM88" s="320">
        <v>265303.65999999997</v>
      </c>
      <c r="BN88" s="320">
        <v>261674.21</v>
      </c>
      <c r="BO88" s="362">
        <v>267713.27</v>
      </c>
      <c r="BP88" s="753">
        <v>301390.37</v>
      </c>
      <c r="BQ88" s="753">
        <v>330309.21999999997</v>
      </c>
      <c r="BR88" s="753">
        <v>335727.6</v>
      </c>
      <c r="BS88" s="753">
        <v>320000</v>
      </c>
      <c r="BT88" s="286"/>
      <c r="BU88" s="42" t="s">
        <v>300</v>
      </c>
      <c r="BV88" s="320">
        <v>129989.16</v>
      </c>
      <c r="BW88" s="320">
        <v>44243.040000000001</v>
      </c>
      <c r="BX88" s="320">
        <v>67595.16</v>
      </c>
      <c r="BY88" s="320">
        <v>1787275.92</v>
      </c>
      <c r="BZ88" s="320">
        <v>1989472.24</v>
      </c>
      <c r="CA88" s="320">
        <v>1838975.16</v>
      </c>
      <c r="CB88" s="320">
        <v>2405102.5299999998</v>
      </c>
      <c r="CC88" s="320">
        <v>2590218</v>
      </c>
      <c r="CD88" s="320">
        <v>191045.59999999998</v>
      </c>
      <c r="CE88" s="320">
        <v>220794.83</v>
      </c>
      <c r="CF88" s="320">
        <v>163869.47</v>
      </c>
      <c r="CG88" s="320">
        <v>267457.2</v>
      </c>
      <c r="CH88" s="320">
        <v>194072.87000000002</v>
      </c>
      <c r="CI88" s="320">
        <v>166583.24000000002</v>
      </c>
      <c r="CJ88" s="320">
        <v>199225.36</v>
      </c>
      <c r="CK88" s="320">
        <v>255231.9</v>
      </c>
      <c r="CL88" s="320">
        <v>164861.07</v>
      </c>
      <c r="CM88" s="362">
        <v>72373.600000000006</v>
      </c>
      <c r="CN88" s="753">
        <v>81130.86</v>
      </c>
      <c r="CO88" s="753">
        <v>83849.960000000006</v>
      </c>
      <c r="CP88" s="753">
        <v>133738.45000000001</v>
      </c>
      <c r="CQ88" s="753">
        <v>202794</v>
      </c>
      <c r="CR88" s="39"/>
      <c r="CS88" s="42" t="s">
        <v>300</v>
      </c>
      <c r="CT88" s="320">
        <v>881037.64</v>
      </c>
      <c r="CU88" s="320">
        <v>899608.48</v>
      </c>
      <c r="CV88" s="320">
        <v>1098421.3500000001</v>
      </c>
      <c r="CW88" s="320">
        <v>133378.79999999999</v>
      </c>
      <c r="CX88" s="320">
        <v>142105.16</v>
      </c>
      <c r="CY88" s="320">
        <v>195042.82</v>
      </c>
      <c r="CZ88" s="320">
        <v>230626.27</v>
      </c>
      <c r="DA88" s="320">
        <v>179876.25</v>
      </c>
      <c r="DB88" s="320">
        <v>2533914</v>
      </c>
      <c r="DC88" s="320">
        <v>2587789.94</v>
      </c>
      <c r="DD88" s="320">
        <v>2442104.36</v>
      </c>
      <c r="DE88" s="320">
        <v>2280508.11</v>
      </c>
      <c r="DF88" s="320">
        <v>2493233.17</v>
      </c>
      <c r="DG88" s="320">
        <v>2294078.2400000002</v>
      </c>
      <c r="DH88" s="320">
        <v>2395240.1900000004</v>
      </c>
      <c r="DI88" s="320">
        <v>2282975.81</v>
      </c>
      <c r="DJ88" s="320">
        <v>2815863.35</v>
      </c>
      <c r="DK88" s="362">
        <v>3188186.65</v>
      </c>
      <c r="DL88" s="753">
        <v>3230951.34</v>
      </c>
      <c r="DM88" s="753">
        <v>2884056.01</v>
      </c>
      <c r="DN88" s="753">
        <v>3483896.09</v>
      </c>
      <c r="DO88" s="753">
        <v>3404339</v>
      </c>
      <c r="DP88" s="39"/>
      <c r="DQ88" s="42" t="s">
        <v>300</v>
      </c>
      <c r="DR88" s="320">
        <v>14443.24</v>
      </c>
      <c r="DS88" s="320">
        <v>29495.360000000001</v>
      </c>
      <c r="DT88" s="320">
        <v>33797.58</v>
      </c>
      <c r="DU88" s="320">
        <v>26675.759999999998</v>
      </c>
      <c r="DV88" s="320">
        <v>35526.29</v>
      </c>
      <c r="DW88" s="320">
        <v>27863.26</v>
      </c>
      <c r="DX88" s="320">
        <v>32946.61</v>
      </c>
      <c r="DY88" s="320">
        <v>35975.25</v>
      </c>
      <c r="DZ88" s="320">
        <v>60446.45</v>
      </c>
      <c r="EA88" s="320">
        <v>59657.31</v>
      </c>
      <c r="EB88" s="320">
        <v>54199.37</v>
      </c>
      <c r="EC88" s="320">
        <v>44949.75</v>
      </c>
      <c r="ED88" s="320">
        <v>43661.65</v>
      </c>
      <c r="EE88" s="320">
        <v>34438.870000000003</v>
      </c>
      <c r="EF88" s="320">
        <v>32166.43</v>
      </c>
      <c r="EG88" s="320">
        <v>38416.879999999997</v>
      </c>
      <c r="EH88" s="320">
        <v>45620.32</v>
      </c>
      <c r="EI88" s="362">
        <v>49267.24</v>
      </c>
      <c r="EJ88" s="753">
        <v>40487.519999999997</v>
      </c>
      <c r="EK88" s="753">
        <v>45253.45</v>
      </c>
      <c r="EL88" s="753">
        <v>48726.49</v>
      </c>
      <c r="EM88" s="753">
        <v>31100</v>
      </c>
      <c r="EN88" s="39"/>
      <c r="EO88" s="42" t="s">
        <v>300</v>
      </c>
      <c r="EP88" s="320">
        <v>28886.48</v>
      </c>
      <c r="EQ88" s="320">
        <v>58990.720000000001</v>
      </c>
      <c r="ER88" s="320">
        <v>33797.58</v>
      </c>
      <c r="ES88" s="320">
        <v>240081.84</v>
      </c>
      <c r="ET88" s="320">
        <v>888157.25</v>
      </c>
      <c r="EU88" s="320">
        <v>195042.82</v>
      </c>
      <c r="EV88" s="320">
        <v>65893.22</v>
      </c>
      <c r="EW88" s="320">
        <v>251826.75</v>
      </c>
      <c r="EX88" s="320">
        <v>275962.88</v>
      </c>
      <c r="EY88" s="320">
        <v>221858.59</v>
      </c>
      <c r="EZ88" s="320">
        <v>254450.98000000004</v>
      </c>
      <c r="FA88" s="320">
        <v>282721.28000000003</v>
      </c>
      <c r="FB88" s="320">
        <v>299953.82999999996</v>
      </c>
      <c r="FC88" s="320">
        <v>366291.05</v>
      </c>
      <c r="FD88" s="320">
        <v>347463.64</v>
      </c>
      <c r="FE88" s="320">
        <v>267295.82</v>
      </c>
      <c r="FF88" s="320">
        <v>459726.67</v>
      </c>
      <c r="FG88" s="362">
        <v>331232.44</v>
      </c>
      <c r="FH88" s="362">
        <v>265955</v>
      </c>
      <c r="FI88" s="362">
        <v>242548.91</v>
      </c>
      <c r="FJ88" s="362">
        <v>318830.23</v>
      </c>
      <c r="FK88" s="362">
        <v>245800</v>
      </c>
      <c r="FM88" s="42" t="s">
        <v>300</v>
      </c>
      <c r="FN88" s="320">
        <v>373098</v>
      </c>
      <c r="FO88" s="320">
        <v>402850</v>
      </c>
      <c r="FP88" s="320">
        <v>345130</v>
      </c>
      <c r="FQ88" s="320">
        <v>55030</v>
      </c>
      <c r="FR88" s="320">
        <v>114970</v>
      </c>
      <c r="FS88" s="320">
        <v>223206</v>
      </c>
      <c r="FT88" s="320">
        <v>729566</v>
      </c>
      <c r="FU88" s="320">
        <v>1080756</v>
      </c>
      <c r="FV88" s="320">
        <v>1199854.92</v>
      </c>
      <c r="FW88" s="320">
        <v>1214049.03</v>
      </c>
      <c r="FX88" s="320">
        <v>1028547.97</v>
      </c>
      <c r="FY88" s="320">
        <v>647422.1</v>
      </c>
      <c r="FZ88" s="320">
        <v>598673.17000000004</v>
      </c>
      <c r="GA88" s="320">
        <v>718544.85</v>
      </c>
      <c r="GB88" s="320">
        <v>1059442.5</v>
      </c>
      <c r="GC88" s="320">
        <v>1202273.78</v>
      </c>
      <c r="GD88" s="320">
        <v>1848628.98</v>
      </c>
      <c r="GE88" s="320">
        <v>2525188.19</v>
      </c>
      <c r="GF88" s="757">
        <v>2885522.67</v>
      </c>
      <c r="GG88" s="757">
        <v>2743352.21</v>
      </c>
      <c r="GH88" s="757">
        <v>3201553.2899999991</v>
      </c>
      <c r="GI88" s="757">
        <v>2381564.29</v>
      </c>
      <c r="GJ88" s="42"/>
      <c r="GK88" s="566" t="s">
        <v>300</v>
      </c>
      <c r="GL88" s="571">
        <f>FN88/'4GF Expenditures'!B89</f>
        <v>0.27222263567791899</v>
      </c>
      <c r="GM88" s="571">
        <f>FO88/'4GF Expenditures'!C89</f>
        <v>0.27878584043360072</v>
      </c>
      <c r="GN88" s="571">
        <f>FP88/'4GF Expenditures'!D89</f>
        <v>0.19748809652557595</v>
      </c>
      <c r="GO88" s="571">
        <f>FQ88/'4GF Expenditures'!E89</f>
        <v>1.8605824302594335E-2</v>
      </c>
      <c r="GP88" s="571">
        <f>FR88/'4GF Expenditures'!F89</f>
        <v>3.291733103061853E-2</v>
      </c>
      <c r="GQ88" s="571">
        <f>FS88/'4GF Expenditures'!G89</f>
        <v>8.3345219914192581E-2</v>
      </c>
      <c r="GR88" s="571">
        <f>FT88/'4GF Expenditures'!H89</f>
        <v>0.26165252603646449</v>
      </c>
      <c r="GS88" s="571">
        <f>FU88/'4GF Expenditures'!I89</f>
        <v>0.3329157342048803</v>
      </c>
      <c r="GT88" s="571">
        <f>FV88/'4GF Expenditures'!J89</f>
        <v>0.33989005957843077</v>
      </c>
      <c r="GU88" s="571">
        <f>FW88/'4GF Expenditures'!K89</f>
        <v>0.32919458541137608</v>
      </c>
      <c r="GV88" s="571">
        <f>FX88/'4GF Expenditures'!L89</f>
        <v>0.27623787767073843</v>
      </c>
      <c r="GW88" s="571">
        <f>FY88/'4GF Expenditures'!M89</f>
        <v>0.16681410470595875</v>
      </c>
      <c r="GX88" s="571">
        <f>FZ88/'4GF Expenditures'!N89</f>
        <v>0.1594641433306325</v>
      </c>
      <c r="GY88" s="571">
        <f>GA88/'4GF Expenditures'!O89</f>
        <v>0.2088570037681817</v>
      </c>
      <c r="GZ88" s="571">
        <f>GB88/'4GF Expenditures'!P89</f>
        <v>0.31770655346219273</v>
      </c>
      <c r="HA88" s="571">
        <f>GC88/'4GF Expenditures'!Q89</f>
        <v>0.35169188533061679</v>
      </c>
      <c r="HB88" s="571">
        <f>GD88/'4GF Expenditures'!R89</f>
        <v>0.51922415701420421</v>
      </c>
      <c r="HC88" s="571">
        <f>GE88/'4GF Expenditures'!S89</f>
        <v>0.68369433345437736</v>
      </c>
      <c r="HD88" s="571">
        <f>GF88/'4GF Expenditures'!T89</f>
        <v>0.71730174012107317</v>
      </c>
      <c r="HE88" s="571">
        <f>GG88/'4GF Expenditures'!U89</f>
        <v>0.6499249450831811</v>
      </c>
      <c r="HF88" s="571">
        <f>GH88/'4GF Expenditures'!V89</f>
        <v>0.7400025476558848</v>
      </c>
      <c r="HG88" s="571">
        <f>GI88/'4GF Expenditures'!W89</f>
        <v>0.43360122908929633</v>
      </c>
      <c r="HH88" s="571"/>
      <c r="HI88" s="571"/>
      <c r="HJ88" s="571"/>
      <c r="HK88" s="568"/>
      <c r="HL88" s="566" t="s">
        <v>300</v>
      </c>
      <c r="HM88" s="571">
        <f>B88/'4GF Expenditures'!B89</f>
        <v>1.0538187984199183</v>
      </c>
      <c r="HN88" s="571">
        <f>C88/'4GF Expenditures'!C89</f>
        <v>1.0205893913977424</v>
      </c>
      <c r="HO88" s="571">
        <f>D88/'4GF Expenditures'!D89</f>
        <v>0.9669718282054407</v>
      </c>
      <c r="HP88" s="571">
        <f>E88/'4GF Expenditures'!E89</f>
        <v>0.90191623423255285</v>
      </c>
      <c r="HQ88" s="571">
        <f>F88/'4GF Expenditures'!F89</f>
        <v>1.0171615623377861</v>
      </c>
      <c r="HR88" s="571">
        <f>G88/'4GF Expenditures'!G89</f>
        <v>1.0404153706559525</v>
      </c>
      <c r="HS88" s="571">
        <f>H88/'4GF Expenditures'!H89</f>
        <v>1.181601627657846</v>
      </c>
      <c r="HT88" s="571">
        <f>I88/'4GF Expenditures'!I89</f>
        <v>1.1081804558063171</v>
      </c>
      <c r="HU88" s="571">
        <f>J88/'4GF Expenditures'!J89</f>
        <v>1.033807813586195</v>
      </c>
      <c r="HV88" s="571">
        <f>K88/'4GF Expenditures'!K89</f>
        <v>1.0039377647574073</v>
      </c>
      <c r="HW88" s="571">
        <f>L88/'4GF Expenditures'!L89</f>
        <v>0.95119286441091822</v>
      </c>
      <c r="HX88" s="571">
        <f>M88/'4GF Expenditures'!M89</f>
        <v>0.90179950486038452</v>
      </c>
      <c r="HY88" s="571">
        <f>N88/'4GF Expenditures'!N89</f>
        <v>0.98701510815870575</v>
      </c>
      <c r="HZ88" s="571">
        <f>O88/'4GF Expenditures'!O89</f>
        <v>1.0348426962095105</v>
      </c>
      <c r="IA88" s="571">
        <f>P88/'4GF Expenditures'!P89</f>
        <v>1.1022286886403565</v>
      </c>
      <c r="IB88" s="571">
        <f>Q88/'4GF Expenditures'!Q89</f>
        <v>1.0417813338218065</v>
      </c>
      <c r="IC88" s="571">
        <f>R88/'4GF Expenditures'!R89</f>
        <v>1.1815416925097362</v>
      </c>
      <c r="ID88" s="573">
        <f>S88/'4GF Expenditures'!S89</f>
        <v>1.1831783072466253</v>
      </c>
      <c r="IE88" s="572">
        <f>T88/'4GF Expenditures'!T89</f>
        <v>1.0895742571066411</v>
      </c>
      <c r="IF88" s="572">
        <f>U88/'4GF Expenditures'!U89</f>
        <v>0.96631853246144073</v>
      </c>
      <c r="IG88" s="572">
        <f>V88/'4GF Expenditures'!V89</f>
        <v>1.1059079564902938</v>
      </c>
      <c r="IH88" s="572">
        <f>W88/'4GF Expenditures'!W89</f>
        <v>0.85070810822423648</v>
      </c>
    </row>
    <row r="89" spans="1:242">
      <c r="A89" s="13" t="s">
        <v>301</v>
      </c>
      <c r="B89" s="320">
        <v>2697333</v>
      </c>
      <c r="C89" s="320">
        <v>2939321</v>
      </c>
      <c r="D89" s="320">
        <v>3073261</v>
      </c>
      <c r="E89" s="320">
        <v>3143253</v>
      </c>
      <c r="F89" s="320">
        <v>3426811</v>
      </c>
      <c r="G89" s="320">
        <v>3440462</v>
      </c>
      <c r="H89" s="320">
        <v>3584688</v>
      </c>
      <c r="I89" s="320">
        <v>3778871</v>
      </c>
      <c r="J89" s="320">
        <v>4015960.8999999994</v>
      </c>
      <c r="K89" s="888">
        <v>4119634.65</v>
      </c>
      <c r="L89" s="320">
        <v>4354510.43</v>
      </c>
      <c r="M89" s="320">
        <v>4244411.12</v>
      </c>
      <c r="N89" s="320">
        <v>4323604.3100000005</v>
      </c>
      <c r="O89" s="320">
        <v>4371606.17</v>
      </c>
      <c r="P89" s="320">
        <v>5048654.6900000004</v>
      </c>
      <c r="Q89" s="320">
        <v>6134737.5800000001</v>
      </c>
      <c r="R89" s="320">
        <v>7233848.5300000003</v>
      </c>
      <c r="S89" s="362"/>
      <c r="T89" s="362"/>
      <c r="U89" s="362"/>
      <c r="V89" s="362"/>
      <c r="W89" s="362"/>
      <c r="X89" s="6"/>
      <c r="Y89" s="13" t="s">
        <v>301</v>
      </c>
      <c r="Z89" s="320">
        <v>296706.63</v>
      </c>
      <c r="AA89" s="320">
        <v>293932.09999999998</v>
      </c>
      <c r="AB89" s="320">
        <v>368791.32</v>
      </c>
      <c r="AC89" s="320">
        <v>377190.36</v>
      </c>
      <c r="AD89" s="320">
        <v>445485.43</v>
      </c>
      <c r="AE89" s="320">
        <v>481664.68</v>
      </c>
      <c r="AF89" s="320">
        <v>430162.56</v>
      </c>
      <c r="AG89" s="320">
        <v>642408.06999999995</v>
      </c>
      <c r="AH89" s="320">
        <v>730265.69000000006</v>
      </c>
      <c r="AI89" s="320">
        <v>647673.79</v>
      </c>
      <c r="AJ89" s="320">
        <v>700930.23</v>
      </c>
      <c r="AK89" s="320">
        <v>719550.96000000008</v>
      </c>
      <c r="AL89" s="320">
        <v>799722.17999999993</v>
      </c>
      <c r="AM89" s="320">
        <v>834901.96000000008</v>
      </c>
      <c r="AN89" s="320">
        <v>899559.03</v>
      </c>
      <c r="AO89" s="320">
        <v>898419.92999999993</v>
      </c>
      <c r="AP89" s="320">
        <v>888895.86</v>
      </c>
      <c r="AQ89" s="362"/>
      <c r="AR89" s="753"/>
      <c r="AS89" s="753"/>
      <c r="AT89" s="753"/>
      <c r="AU89" s="753"/>
      <c r="AV89" s="39"/>
      <c r="AW89" s="13" t="s">
        <v>301</v>
      </c>
      <c r="AX89" s="320">
        <v>593413.26</v>
      </c>
      <c r="AY89" s="320">
        <v>558470.99</v>
      </c>
      <c r="AZ89" s="320">
        <v>614652.19999999995</v>
      </c>
      <c r="BA89" s="320">
        <v>628650.6</v>
      </c>
      <c r="BB89" s="320">
        <v>651094.09</v>
      </c>
      <c r="BC89" s="320">
        <v>653687.78</v>
      </c>
      <c r="BD89" s="320">
        <v>681090.72</v>
      </c>
      <c r="BE89" s="320">
        <v>642408.06999999995</v>
      </c>
      <c r="BF89" s="320">
        <v>696897.32</v>
      </c>
      <c r="BG89" s="320">
        <v>737175.9</v>
      </c>
      <c r="BH89" s="320">
        <v>764569.05</v>
      </c>
      <c r="BI89" s="320">
        <v>796218.87</v>
      </c>
      <c r="BJ89" s="320">
        <v>820766</v>
      </c>
      <c r="BK89" s="320">
        <v>800572.16</v>
      </c>
      <c r="BL89" s="320">
        <v>805375.01</v>
      </c>
      <c r="BM89" s="320">
        <v>922619.38</v>
      </c>
      <c r="BN89" s="320">
        <v>870941.46</v>
      </c>
      <c r="BO89" s="362"/>
      <c r="BP89" s="753"/>
      <c r="BQ89" s="753"/>
      <c r="BR89" s="753"/>
      <c r="BS89" s="753"/>
      <c r="BT89" s="286"/>
      <c r="BU89" s="13" t="s">
        <v>301</v>
      </c>
      <c r="BV89" s="320">
        <v>1348666.5</v>
      </c>
      <c r="BW89" s="320">
        <v>1587233.34</v>
      </c>
      <c r="BX89" s="320">
        <v>1444432.67</v>
      </c>
      <c r="BY89" s="320">
        <v>1665924.09</v>
      </c>
      <c r="BZ89" s="320">
        <v>1747673.61</v>
      </c>
      <c r="CA89" s="320">
        <v>1789040.24</v>
      </c>
      <c r="CB89" s="320">
        <v>1899884.64</v>
      </c>
      <c r="CC89" s="320">
        <v>1851646.79</v>
      </c>
      <c r="CD89" s="320">
        <v>1891231.7499999998</v>
      </c>
      <c r="CE89" s="320">
        <v>2028900.19</v>
      </c>
      <c r="CF89" s="320">
        <v>2201264.35</v>
      </c>
      <c r="CG89" s="320">
        <v>2088103.02</v>
      </c>
      <c r="CH89" s="320">
        <v>2052352.7500000002</v>
      </c>
      <c r="CI89" s="320">
        <v>2123397.5499999998</v>
      </c>
      <c r="CJ89" s="320">
        <v>2585909.84</v>
      </c>
      <c r="CK89" s="320">
        <v>3453948.7</v>
      </c>
      <c r="CL89" s="320">
        <v>4510881.18</v>
      </c>
      <c r="CM89" s="362"/>
      <c r="CN89" s="753"/>
      <c r="CO89" s="753"/>
      <c r="CP89" s="753"/>
      <c r="CQ89" s="753"/>
      <c r="CR89" s="39"/>
      <c r="CS89" s="13" t="s">
        <v>301</v>
      </c>
      <c r="CT89" s="320">
        <v>242759.97</v>
      </c>
      <c r="CU89" s="320">
        <v>293932.09999999998</v>
      </c>
      <c r="CV89" s="320">
        <v>307326.09999999998</v>
      </c>
      <c r="CW89" s="320">
        <v>314325.3</v>
      </c>
      <c r="CX89" s="320">
        <v>239876.77</v>
      </c>
      <c r="CY89" s="320">
        <v>275236.96000000002</v>
      </c>
      <c r="CZ89" s="320">
        <v>358468.8</v>
      </c>
      <c r="DA89" s="320">
        <v>415675.81</v>
      </c>
      <c r="DB89" s="320">
        <v>405462.30999999994</v>
      </c>
      <c r="DC89" s="320">
        <v>386072.95999999996</v>
      </c>
      <c r="DD89" s="320">
        <v>407097.05999999994</v>
      </c>
      <c r="DE89" s="320">
        <v>424773.16000000003</v>
      </c>
      <c r="DF89" s="320">
        <v>435029.89</v>
      </c>
      <c r="DG89" s="320">
        <v>446654.55999999994</v>
      </c>
      <c r="DH89" s="320">
        <v>488917.93</v>
      </c>
      <c r="DI89" s="320">
        <v>501248.42</v>
      </c>
      <c r="DJ89" s="320">
        <v>536095.96</v>
      </c>
      <c r="DK89" s="362"/>
      <c r="DL89" s="753"/>
      <c r="DM89" s="753"/>
      <c r="DN89" s="753"/>
      <c r="DO89" s="753"/>
      <c r="DP89" s="39"/>
      <c r="DQ89" s="13" t="s">
        <v>301</v>
      </c>
      <c r="DR89" s="320">
        <v>53946.66</v>
      </c>
      <c r="DS89" s="320">
        <v>58786.42</v>
      </c>
      <c r="DT89" s="320">
        <v>61465.22</v>
      </c>
      <c r="DU89" s="320">
        <v>31432.53</v>
      </c>
      <c r="DV89" s="320">
        <v>68536.22</v>
      </c>
      <c r="DW89" s="320">
        <v>68809.240000000005</v>
      </c>
      <c r="DX89" s="320">
        <v>0</v>
      </c>
      <c r="DY89" s="320">
        <v>0</v>
      </c>
      <c r="DZ89" s="320">
        <v>10090.61</v>
      </c>
      <c r="EA89" s="320">
        <v>18835.400000000001</v>
      </c>
      <c r="EB89" s="320">
        <v>26557.200000000001</v>
      </c>
      <c r="EC89" s="320">
        <v>34419.96</v>
      </c>
      <c r="ED89" s="320">
        <v>18699.43</v>
      </c>
      <c r="EE89" s="320">
        <v>5245.38</v>
      </c>
      <c r="EF89" s="320">
        <v>7011.82</v>
      </c>
      <c r="EG89" s="320">
        <v>6564.3</v>
      </c>
      <c r="EH89" s="320">
        <v>4901.29</v>
      </c>
      <c r="EI89" s="362"/>
      <c r="EJ89" s="753"/>
      <c r="EK89" s="753"/>
      <c r="EL89" s="753"/>
      <c r="EM89" s="753"/>
      <c r="EN89" s="39"/>
      <c r="EO89" s="13" t="s">
        <v>301</v>
      </c>
      <c r="EP89" s="320">
        <v>161839.98000000001</v>
      </c>
      <c r="EQ89" s="320">
        <v>146966.04999999999</v>
      </c>
      <c r="ER89" s="320">
        <v>276593.49</v>
      </c>
      <c r="ES89" s="320">
        <v>125730.12</v>
      </c>
      <c r="ET89" s="320">
        <v>274144.88</v>
      </c>
      <c r="EU89" s="320">
        <v>172023.1</v>
      </c>
      <c r="EV89" s="320">
        <v>215081.28</v>
      </c>
      <c r="EW89" s="320">
        <v>226732.26</v>
      </c>
      <c r="EX89" s="320">
        <v>211454.02000000002</v>
      </c>
      <c r="EY89" s="320">
        <v>183449.15</v>
      </c>
      <c r="EZ89" s="320">
        <v>170250.45</v>
      </c>
      <c r="FA89" s="320">
        <v>102220.06000000001</v>
      </c>
      <c r="FB89" s="320">
        <v>110534.06</v>
      </c>
      <c r="FC89" s="320">
        <v>103211.16</v>
      </c>
      <c r="FD89" s="320">
        <v>160625.53</v>
      </c>
      <c r="FE89" s="320">
        <v>241936.85</v>
      </c>
      <c r="FF89" s="320">
        <v>319935.5</v>
      </c>
      <c r="FG89" s="362"/>
      <c r="FH89" s="362"/>
      <c r="FI89" s="362"/>
      <c r="FJ89" s="362"/>
      <c r="FK89" s="362"/>
      <c r="FM89" s="13" t="s">
        <v>301</v>
      </c>
      <c r="FN89" s="320">
        <v>555996</v>
      </c>
      <c r="FO89" s="320">
        <v>767924</v>
      </c>
      <c r="FP89" s="320">
        <v>784419</v>
      </c>
      <c r="FQ89" s="320">
        <v>832229</v>
      </c>
      <c r="FR89" s="320">
        <v>824449</v>
      </c>
      <c r="FS89" s="320">
        <v>544336</v>
      </c>
      <c r="FT89" s="320">
        <v>244612</v>
      </c>
      <c r="FU89" s="320">
        <v>180923</v>
      </c>
      <c r="FV89" s="320">
        <v>119460.52999999933</v>
      </c>
      <c r="FW89" s="320">
        <v>7794.63</v>
      </c>
      <c r="FX89" s="320">
        <v>89008.12</v>
      </c>
      <c r="FY89" s="320">
        <v>147981.54</v>
      </c>
      <c r="FZ89" s="320">
        <v>9901.66</v>
      </c>
      <c r="GA89" s="320">
        <v>196472.81</v>
      </c>
      <c r="GB89" s="320">
        <v>359425.76</v>
      </c>
      <c r="GC89" s="320">
        <v>929971.97</v>
      </c>
      <c r="GD89" s="320">
        <v>373836.93</v>
      </c>
      <c r="GE89" s="320"/>
      <c r="GF89" s="757"/>
      <c r="GG89" s="757"/>
      <c r="GH89" s="757"/>
      <c r="GI89" s="757"/>
      <c r="GJ89" s="42"/>
      <c r="GK89" s="567" t="s">
        <v>301</v>
      </c>
      <c r="GL89" s="571">
        <f>FN89/'4GF Expenditures'!B90</f>
        <v>0.19611222355825617</v>
      </c>
      <c r="GM89" s="571">
        <f>FO89/'4GF Expenditures'!C90</f>
        <v>0.28155971654983347</v>
      </c>
      <c r="GN89" s="571">
        <f>FP89/'4GF Expenditures'!D90</f>
        <v>0.25661728768247227</v>
      </c>
      <c r="GO89" s="571">
        <f>FQ89/'4GF Expenditures'!E90</f>
        <v>0.26885618633584918</v>
      </c>
      <c r="GP89" s="571">
        <f>FR89/'4GF Expenditures'!F90</f>
        <v>0.24004284644081347</v>
      </c>
      <c r="GQ89" s="571">
        <f>FS89/'4GF Expenditures'!G90</f>
        <v>0.14630426748553652</v>
      </c>
      <c r="GR89" s="571">
        <f>FT89/'4GF Expenditures'!H90</f>
        <v>6.2972722769881265E-2</v>
      </c>
      <c r="GS89" s="571">
        <f>FU89/'4GF Expenditures'!I90</f>
        <v>4.7083963013209162E-2</v>
      </c>
      <c r="GT89" s="571">
        <f>FV89/'4GF Expenditures'!J90</f>
        <v>2.9298040363181104E-2</v>
      </c>
      <c r="GU89" s="571">
        <f>FW89/'4GF Expenditures'!K90</f>
        <v>1.8421359970248539E-3</v>
      </c>
      <c r="GV89" s="571">
        <f>FX89/'4GF Expenditures'!L90</f>
        <v>2.0828910616260618E-2</v>
      </c>
      <c r="GW89" s="571">
        <f>FY89/'4GF Expenditures'!M90</f>
        <v>3.5356287826240972E-2</v>
      </c>
      <c r="GX89" s="571">
        <f>FZ89/'4GF Expenditures'!N90</f>
        <v>2.2192650977387982E-3</v>
      </c>
      <c r="GY89" s="571">
        <f>GA89/'4GF Expenditures'!O90</f>
        <v>4.6946515157237564E-2</v>
      </c>
      <c r="GZ89" s="571">
        <f>GB89/'4GF Expenditures'!P90</f>
        <v>7.3566864931054923E-2</v>
      </c>
      <c r="HA89" s="571">
        <f>GC89/'4GF Expenditures'!Q90</f>
        <v>0.17710107339301678</v>
      </c>
      <c r="HB89" s="571">
        <f>GD89/'4GF Expenditures'!R90</f>
        <v>4.7988561119315626E-2</v>
      </c>
      <c r="HC89" s="571" t="e">
        <f>GE89/'4GF Expenditures'!S90</f>
        <v>#DIV/0!</v>
      </c>
      <c r="HD89" s="571" t="e">
        <f>GF89/'4GF Expenditures'!T90</f>
        <v>#DIV/0!</v>
      </c>
      <c r="HE89" s="571" t="e">
        <f>GG89/'4GF Expenditures'!U90</f>
        <v>#DIV/0!</v>
      </c>
      <c r="HF89" s="571" t="e">
        <f>GH89/'4GF Expenditures'!V90</f>
        <v>#DIV/0!</v>
      </c>
      <c r="HG89" s="571" t="e">
        <f>GI89/'4GF Expenditures'!W90</f>
        <v>#DIV/0!</v>
      </c>
      <c r="HH89" s="571"/>
      <c r="HI89" s="571"/>
      <c r="HJ89" s="571"/>
      <c r="HK89" s="568"/>
      <c r="HL89" s="567" t="s">
        <v>301</v>
      </c>
      <c r="HM89" s="571">
        <f>B89/'4GF Expenditures'!B90</f>
        <v>0.9514096725643022</v>
      </c>
      <c r="HN89" s="571">
        <f>C89/'4GF Expenditures'!C90</f>
        <v>1.077703506608692</v>
      </c>
      <c r="HO89" s="571">
        <f>D89/'4GF Expenditures'!D90</f>
        <v>1.0053962259459834</v>
      </c>
      <c r="HP89" s="571">
        <f>E89/'4GF Expenditures'!E90</f>
        <v>1.0154452852144265</v>
      </c>
      <c r="HQ89" s="571">
        <f>F89/'4GF Expenditures'!F90</f>
        <v>0.99773481034568601</v>
      </c>
      <c r="HR89" s="571">
        <f>G89/'4GF Expenditures'!G90</f>
        <v>0.92471244364110383</v>
      </c>
      <c r="HS89" s="571">
        <f>H89/'4GF Expenditures'!H90</f>
        <v>0.92283928687276218</v>
      </c>
      <c r="HT89" s="571">
        <f>I89/'4GF Expenditures'!I90</f>
        <v>0.98342511673855015</v>
      </c>
      <c r="HU89" s="571">
        <f>J89/'4GF Expenditures'!J90</f>
        <v>0.98492602155002795</v>
      </c>
      <c r="HV89" s="571">
        <f>K89/'4GF Expenditures'!K90</f>
        <v>0.97360968812578463</v>
      </c>
      <c r="HW89" s="571">
        <f>L89/'4GF Expenditures'!L90</f>
        <v>1.0190048787014554</v>
      </c>
      <c r="HX89" s="571">
        <f>M89/'4GF Expenditures'!M90</f>
        <v>1.0140901440248411</v>
      </c>
      <c r="HY89" s="571">
        <f>N89/'4GF Expenditures'!N90</f>
        <v>0.96905207224001233</v>
      </c>
      <c r="HZ89" s="571">
        <f>O89/'4GF Expenditures'!O90</f>
        <v>1.044580546903046</v>
      </c>
      <c r="IA89" s="571">
        <f>P89/'4GF Expenditures'!P90</f>
        <v>1.0333530286275723</v>
      </c>
      <c r="IB89" s="571">
        <f>Q89/'4GF Expenditures'!Q90</f>
        <v>1.1682810293760555</v>
      </c>
      <c r="IC89" s="571">
        <f>R89/'4GF Expenditures'!R90</f>
        <v>0.92859199948431126</v>
      </c>
      <c r="ID89" s="573" t="e">
        <f>S89/'4GF Expenditures'!S90</f>
        <v>#DIV/0!</v>
      </c>
      <c r="IE89" s="572" t="e">
        <f>T89/'4GF Expenditures'!T90</f>
        <v>#DIV/0!</v>
      </c>
      <c r="IF89" s="572" t="e">
        <f>U89/'4GF Expenditures'!U90</f>
        <v>#DIV/0!</v>
      </c>
      <c r="IG89" s="572" t="e">
        <f>V89/'4GF Expenditures'!V90</f>
        <v>#DIV/0!</v>
      </c>
      <c r="IH89" s="572" t="e">
        <f>W89/'4GF Expenditures'!W90</f>
        <v>#DIV/0!</v>
      </c>
    </row>
    <row r="90" spans="1:242" ht="14">
      <c r="A90" s="43" t="s">
        <v>73</v>
      </c>
      <c r="B90" s="319">
        <v>427567</v>
      </c>
      <c r="C90" s="319">
        <v>444350</v>
      </c>
      <c r="D90" s="319">
        <v>378274</v>
      </c>
      <c r="E90" s="319">
        <v>553559</v>
      </c>
      <c r="F90" s="319">
        <v>337034</v>
      </c>
      <c r="G90" s="319">
        <v>325613</v>
      </c>
      <c r="H90" s="319">
        <v>343050</v>
      </c>
      <c r="I90" s="319">
        <v>335650</v>
      </c>
      <c r="J90" s="319">
        <v>347410.82</v>
      </c>
      <c r="K90" s="888">
        <v>378023.71</v>
      </c>
      <c r="L90" s="319">
        <v>429364.45</v>
      </c>
      <c r="M90" s="319">
        <v>440408.09000000008</v>
      </c>
      <c r="N90" s="319">
        <v>433074.71</v>
      </c>
      <c r="O90" s="319">
        <v>486739.41000000003</v>
      </c>
      <c r="P90" s="319">
        <v>522524.23</v>
      </c>
      <c r="Q90" s="319">
        <v>574758.23</v>
      </c>
      <c r="R90" s="319">
        <v>605113.41</v>
      </c>
      <c r="S90" s="362">
        <v>583970.53999999992</v>
      </c>
      <c r="T90" s="362">
        <v>683952.6</v>
      </c>
      <c r="U90" s="362">
        <v>703645.64999999991</v>
      </c>
      <c r="V90" s="362">
        <v>674071.02</v>
      </c>
      <c r="W90" s="362">
        <v>688241.97</v>
      </c>
      <c r="X90" s="6"/>
      <c r="Y90" s="43" t="s">
        <v>73</v>
      </c>
      <c r="Z90" s="319">
        <v>94064.74</v>
      </c>
      <c r="AA90" s="319">
        <v>84426.5</v>
      </c>
      <c r="AB90" s="319">
        <v>87003.02</v>
      </c>
      <c r="AC90" s="319">
        <v>94105.03</v>
      </c>
      <c r="AD90" s="319">
        <v>87628.84</v>
      </c>
      <c r="AE90" s="319">
        <v>97683.9</v>
      </c>
      <c r="AF90" s="319">
        <v>99484.5</v>
      </c>
      <c r="AG90" s="319">
        <v>93982</v>
      </c>
      <c r="AH90" s="319">
        <v>103304.09</v>
      </c>
      <c r="AI90" s="319">
        <v>102092.54999999999</v>
      </c>
      <c r="AJ90" s="319">
        <v>112628.56999999999</v>
      </c>
      <c r="AK90" s="319">
        <v>120548.03000000001</v>
      </c>
      <c r="AL90" s="319">
        <v>123365.75999999999</v>
      </c>
      <c r="AM90" s="319">
        <v>113582.39999999999</v>
      </c>
      <c r="AN90" s="319">
        <v>120287.08</v>
      </c>
      <c r="AO90" s="319">
        <v>117224.98</v>
      </c>
      <c r="AP90" s="319">
        <v>145220.83000000002</v>
      </c>
      <c r="AQ90" s="362">
        <v>123817.7</v>
      </c>
      <c r="AR90" s="753">
        <v>138635.26</v>
      </c>
      <c r="AS90" s="753">
        <v>137908.54999999999</v>
      </c>
      <c r="AT90" s="753">
        <v>136948.35999999999</v>
      </c>
      <c r="AU90" s="753">
        <v>143000</v>
      </c>
      <c r="AV90" s="39"/>
      <c r="AW90" s="43" t="s">
        <v>73</v>
      </c>
      <c r="AX90" s="319">
        <v>119718.76</v>
      </c>
      <c r="AY90" s="319">
        <v>111087.5</v>
      </c>
      <c r="AZ90" s="319">
        <v>102133.98</v>
      </c>
      <c r="BA90" s="319">
        <v>105176.21</v>
      </c>
      <c r="BB90" s="319">
        <v>121332.24</v>
      </c>
      <c r="BC90" s="319">
        <v>123732.94</v>
      </c>
      <c r="BD90" s="319">
        <v>126928.5</v>
      </c>
      <c r="BE90" s="319">
        <v>130903.5</v>
      </c>
      <c r="BF90" s="319">
        <v>128073.72</v>
      </c>
      <c r="BG90" s="319">
        <v>125659.61</v>
      </c>
      <c r="BH90" s="319">
        <v>122176.99</v>
      </c>
      <c r="BI90" s="319">
        <v>134518.26</v>
      </c>
      <c r="BJ90" s="319">
        <v>133460.25</v>
      </c>
      <c r="BK90" s="319">
        <v>243861.8</v>
      </c>
      <c r="BL90" s="319">
        <v>275693.61</v>
      </c>
      <c r="BM90" s="319">
        <v>288127.14</v>
      </c>
      <c r="BN90" s="319">
        <v>302981.63</v>
      </c>
      <c r="BO90" s="362">
        <v>301771.40999999997</v>
      </c>
      <c r="BP90" s="753">
        <v>327391.34999999998</v>
      </c>
      <c r="BQ90" s="753">
        <v>360026.61</v>
      </c>
      <c r="BR90" s="753">
        <v>332400.3</v>
      </c>
      <c r="BS90" s="753">
        <v>340000</v>
      </c>
      <c r="BT90" s="286"/>
      <c r="BU90" s="43" t="s">
        <v>73</v>
      </c>
      <c r="BV90" s="319">
        <v>34205.360000000001</v>
      </c>
      <c r="BW90" s="319">
        <v>84426.5</v>
      </c>
      <c r="BX90" s="319">
        <v>71872.06</v>
      </c>
      <c r="BY90" s="319">
        <v>210352.42</v>
      </c>
      <c r="BZ90" s="319">
        <v>13481.36</v>
      </c>
      <c r="CA90" s="319">
        <v>3256.13</v>
      </c>
      <c r="CB90" s="319">
        <v>3430.5</v>
      </c>
      <c r="CC90" s="319">
        <v>6713</v>
      </c>
      <c r="CD90" s="319">
        <v>8443.44</v>
      </c>
      <c r="CE90" s="319">
        <v>10907.92</v>
      </c>
      <c r="CF90" s="319">
        <v>3067.36</v>
      </c>
      <c r="CG90" s="319">
        <v>9009.0400000000009</v>
      </c>
      <c r="CH90" s="319">
        <v>14093.410000000002</v>
      </c>
      <c r="CI90" s="319">
        <v>12945.199999999999</v>
      </c>
      <c r="CJ90" s="319">
        <v>10859.55</v>
      </c>
      <c r="CK90" s="319">
        <v>77100.88</v>
      </c>
      <c r="CL90" s="319">
        <v>59673.919999999998</v>
      </c>
      <c r="CM90" s="362">
        <v>57566.15</v>
      </c>
      <c r="CN90" s="753">
        <v>57321.71</v>
      </c>
      <c r="CO90" s="753">
        <v>56137.66</v>
      </c>
      <c r="CP90" s="753">
        <v>59650.85</v>
      </c>
      <c r="CQ90" s="753">
        <v>53241.94</v>
      </c>
      <c r="CR90" s="39"/>
      <c r="CS90" s="43" t="s">
        <v>73</v>
      </c>
      <c r="CT90" s="319">
        <v>136821.44</v>
      </c>
      <c r="CU90" s="319">
        <v>115531</v>
      </c>
      <c r="CV90" s="319">
        <v>75654.8</v>
      </c>
      <c r="CW90" s="319">
        <v>88569.44</v>
      </c>
      <c r="CX90" s="319">
        <v>60666.12</v>
      </c>
      <c r="CY90" s="319">
        <v>61866.47</v>
      </c>
      <c r="CZ90" s="319">
        <v>68610</v>
      </c>
      <c r="DA90" s="319">
        <v>67130</v>
      </c>
      <c r="DB90" s="319">
        <v>75583.600000000006</v>
      </c>
      <c r="DC90" s="319">
        <v>68628.98000000001</v>
      </c>
      <c r="DD90" s="319">
        <v>67685.440000000002</v>
      </c>
      <c r="DE90" s="319">
        <v>72742.3</v>
      </c>
      <c r="DF90" s="319">
        <v>76603.240000000005</v>
      </c>
      <c r="DG90" s="319">
        <v>73445.679999999993</v>
      </c>
      <c r="DH90" s="319">
        <v>72220.08</v>
      </c>
      <c r="DI90" s="319">
        <v>67087.239999999991</v>
      </c>
      <c r="DJ90" s="319">
        <v>82727.94</v>
      </c>
      <c r="DK90" s="362">
        <v>80936.92</v>
      </c>
      <c r="DL90" s="753">
        <v>77121.290000000008</v>
      </c>
      <c r="DM90" s="753">
        <v>86903.78</v>
      </c>
      <c r="DN90" s="753">
        <v>91108.01</v>
      </c>
      <c r="DO90" s="753">
        <v>90300</v>
      </c>
      <c r="DP90" s="39"/>
      <c r="DQ90" s="43" t="s">
        <v>73</v>
      </c>
      <c r="DR90" s="319">
        <v>8551.34</v>
      </c>
      <c r="DS90" s="319">
        <v>8887</v>
      </c>
      <c r="DT90" s="319">
        <v>11348.22</v>
      </c>
      <c r="DU90" s="319">
        <v>22142.36</v>
      </c>
      <c r="DV90" s="319">
        <v>13481.36</v>
      </c>
      <c r="DW90" s="319">
        <v>19536.78</v>
      </c>
      <c r="DX90" s="319">
        <v>3430.5</v>
      </c>
      <c r="DY90" s="319">
        <v>0</v>
      </c>
      <c r="DZ90" s="319">
        <v>540.85</v>
      </c>
      <c r="EA90" s="319">
        <v>311.61</v>
      </c>
      <c r="EB90" s="319">
        <v>1216.8800000000001</v>
      </c>
      <c r="EC90" s="319">
        <v>4297.91</v>
      </c>
      <c r="ED90" s="319">
        <v>3739.81</v>
      </c>
      <c r="EE90" s="319">
        <v>2110.2399999999998</v>
      </c>
      <c r="EF90" s="319">
        <v>4153.13</v>
      </c>
      <c r="EG90" s="319">
        <v>6152.07</v>
      </c>
      <c r="EH90" s="319">
        <v>7402.38</v>
      </c>
      <c r="EI90" s="362">
        <v>4135.12</v>
      </c>
      <c r="EJ90" s="753">
        <v>1506.76</v>
      </c>
      <c r="EK90" s="753">
        <v>1268.53</v>
      </c>
      <c r="EL90" s="753">
        <v>1964.49</v>
      </c>
      <c r="EM90" s="753">
        <v>1850</v>
      </c>
      <c r="EN90" s="39"/>
      <c r="EO90" s="43" t="s">
        <v>73</v>
      </c>
      <c r="EP90" s="319">
        <v>34205.360000000001</v>
      </c>
      <c r="EQ90" s="319">
        <v>39991.5</v>
      </c>
      <c r="ER90" s="319">
        <v>30261.919999999998</v>
      </c>
      <c r="ES90" s="319">
        <v>33213.54</v>
      </c>
      <c r="ET90" s="319">
        <v>40444.080000000002</v>
      </c>
      <c r="EU90" s="319">
        <v>19536.78</v>
      </c>
      <c r="EV90" s="319">
        <v>41166</v>
      </c>
      <c r="EW90" s="319">
        <v>36921.5</v>
      </c>
      <c r="EX90" s="319">
        <v>17115.560000000001</v>
      </c>
      <c r="EY90" s="319">
        <v>45598.06</v>
      </c>
      <c r="EZ90" s="319">
        <v>85839.3</v>
      </c>
      <c r="FA90" s="319">
        <v>8847.73</v>
      </c>
      <c r="FB90" s="319">
        <v>10163.800000000001</v>
      </c>
      <c r="FC90" s="319">
        <v>5603.15</v>
      </c>
      <c r="FD90" s="319">
        <v>5849.63</v>
      </c>
      <c r="FE90" s="319">
        <v>19065.919999999998</v>
      </c>
      <c r="FF90" s="319">
        <v>7106.71</v>
      </c>
      <c r="FG90" s="362">
        <v>15743.24</v>
      </c>
      <c r="FH90" s="362">
        <v>48952.17</v>
      </c>
      <c r="FI90" s="362">
        <v>9577.06</v>
      </c>
      <c r="FJ90" s="362">
        <v>27685.61</v>
      </c>
      <c r="FK90" s="362">
        <v>30500</v>
      </c>
      <c r="FM90" s="43" t="s">
        <v>73</v>
      </c>
      <c r="FN90" s="319">
        <v>202862</v>
      </c>
      <c r="FO90" s="319">
        <v>264804</v>
      </c>
      <c r="FP90" s="319">
        <v>281653</v>
      </c>
      <c r="FQ90" s="319">
        <v>258343</v>
      </c>
      <c r="FR90" s="319">
        <v>243491</v>
      </c>
      <c r="FS90" s="319">
        <v>200697</v>
      </c>
      <c r="FT90" s="319">
        <v>186304</v>
      </c>
      <c r="FU90" s="319">
        <v>171515</v>
      </c>
      <c r="FV90" s="319">
        <v>117407.87</v>
      </c>
      <c r="FW90" s="319">
        <v>89992.71</v>
      </c>
      <c r="FX90" s="319">
        <v>91260.54</v>
      </c>
      <c r="FY90" s="319">
        <v>81417</v>
      </c>
      <c r="FZ90" s="319">
        <v>68113.17</v>
      </c>
      <c r="GA90" s="319">
        <v>116711.58</v>
      </c>
      <c r="GB90" s="319">
        <v>183844.88</v>
      </c>
      <c r="GC90" s="319">
        <v>229887.19</v>
      </c>
      <c r="GD90" s="319">
        <v>235083.87</v>
      </c>
      <c r="GE90" s="319">
        <v>182737.68</v>
      </c>
      <c r="GF90" s="756">
        <v>122174.09</v>
      </c>
      <c r="GG90" s="756">
        <v>175046.24</v>
      </c>
      <c r="GH90" s="756">
        <v>186458.06000000006</v>
      </c>
      <c r="GI90" s="756">
        <v>105239.34000000008</v>
      </c>
      <c r="GJ90" s="42"/>
      <c r="GK90" s="570" t="s">
        <v>73</v>
      </c>
      <c r="GL90" s="571">
        <f>FN90/'4GF Expenditures'!B91</f>
        <v>0.59324006597340007</v>
      </c>
      <c r="GM90" s="571">
        <f>FO90/'4GF Expenditures'!C91</f>
        <v>0.69246459279094574</v>
      </c>
      <c r="GN90" s="571">
        <f>FP90/'4GF Expenditures'!D91</f>
        <v>0.7792847755412603</v>
      </c>
      <c r="GO90" s="571">
        <f>FQ90/'4GF Expenditures'!E91</f>
        <v>0.44783651054225482</v>
      </c>
      <c r="GP90" s="571">
        <f>FR90/'4GF Expenditures'!F91</f>
        <v>0.69195989610271513</v>
      </c>
      <c r="GQ90" s="571">
        <f>FS90/'4GF Expenditures'!G91</f>
        <v>0.544769779075859</v>
      </c>
      <c r="GR90" s="571">
        <f>FT90/'4GF Expenditures'!H91</f>
        <v>0.52121317244987309</v>
      </c>
      <c r="GS90" s="571">
        <f>FU90/'4GF Expenditures'!I91</f>
        <v>0.48942757676064375</v>
      </c>
      <c r="GT90" s="571">
        <f>FV90/'4GF Expenditures'!J91</f>
        <v>0.29197115488511471</v>
      </c>
      <c r="GU90" s="571">
        <f>FW90/'4GF Expenditures'!K91</f>
        <v>0.22176861172081339</v>
      </c>
      <c r="GV90" s="571">
        <f>FX90/'4GF Expenditures'!L91</f>
        <v>0.21297357022033811</v>
      </c>
      <c r="GW90" s="571">
        <f>FY90/'4GF Expenditures'!M91</f>
        <v>0.1808255530357547</v>
      </c>
      <c r="GX90" s="571">
        <f>FZ90/'4GF Expenditures'!N91</f>
        <v>0.15259060168976762</v>
      </c>
      <c r="GY90" s="571">
        <f>GA90/'4GF Expenditures'!O91</f>
        <v>0.26637904236307491</v>
      </c>
      <c r="GZ90" s="571">
        <f>GB90/'4GF Expenditures'!P91</f>
        <v>0.4037078208825986</v>
      </c>
      <c r="HA90" s="571">
        <f>GC90/'4GF Expenditures'!Q91</f>
        <v>0.43480285216302922</v>
      </c>
      <c r="HB90" s="571">
        <f>GD90/'4GF Expenditures'!R91</f>
        <v>0.39186083375271097</v>
      </c>
      <c r="HC90" s="571">
        <f>GE90/'4GF Expenditures'!S91</f>
        <v>0.28699867257109724</v>
      </c>
      <c r="HD90" s="571">
        <f>GF90/'4GF Expenditures'!T91</f>
        <v>0.16409863430908062</v>
      </c>
      <c r="HE90" s="571">
        <f>GG90/'4GF Expenditures'!U91</f>
        <v>0.26898181932730819</v>
      </c>
      <c r="HF90" s="571">
        <f>GH90/'4GF Expenditures'!V91</f>
        <v>0.2813785125144268</v>
      </c>
      <c r="HG90" s="571">
        <f>GI90/'4GF Expenditures'!W91</f>
        <v>0.13677026177906515</v>
      </c>
      <c r="HH90" s="571"/>
      <c r="HI90" s="571"/>
      <c r="HJ90" s="571"/>
      <c r="HK90" s="568"/>
      <c r="HL90" s="567" t="s">
        <v>73</v>
      </c>
      <c r="HM90" s="571">
        <f>B90/'4GF Expenditures'!B91</f>
        <v>1.2503567710465675</v>
      </c>
      <c r="HN90" s="571">
        <f>C90/'4GF Expenditures'!C91</f>
        <v>1.161978828894793</v>
      </c>
      <c r="HO90" s="571">
        <f>D90/'4GF Expenditures'!D91</f>
        <v>1.0466182472158816</v>
      </c>
      <c r="HP90" s="571">
        <f>E90/'4GF Expenditures'!E91</f>
        <v>0.95959221244337967</v>
      </c>
      <c r="HQ90" s="571">
        <f>F90/'4GF Expenditures'!F91</f>
        <v>0.95779314891754719</v>
      </c>
      <c r="HR90" s="571">
        <f>G90/'4GF Expenditures'!G91</f>
        <v>0.88384042648483874</v>
      </c>
      <c r="HS90" s="571">
        <f>H90/'4GF Expenditures'!H91</f>
        <v>0.95973344001700966</v>
      </c>
      <c r="HT90" s="571">
        <f>I90/'4GF Expenditures'!I91</f>
        <v>0.95779591370848072</v>
      </c>
      <c r="HU90" s="571">
        <f>J90/'4GF Expenditures'!J91</f>
        <v>0.86394496667884968</v>
      </c>
      <c r="HV90" s="571">
        <f>K90/'4GF Expenditures'!K91</f>
        <v>0.93156204946213261</v>
      </c>
      <c r="HW90" s="571">
        <f>L90/'4GF Expenditures'!L91</f>
        <v>1.002002397117</v>
      </c>
      <c r="HX90" s="571">
        <f>M90/'4GF Expenditures'!M91</f>
        <v>0.97813769158370412</v>
      </c>
      <c r="HY90" s="571">
        <f>N90/'4GF Expenditures'!N91</f>
        <v>0.97019608066283836</v>
      </c>
      <c r="HZ90" s="571">
        <f>O90/'4GF Expenditures'!O91</f>
        <v>1.1109195669887091</v>
      </c>
      <c r="IA90" s="571">
        <f>P90/'4GF Expenditures'!P91</f>
        <v>1.147419053778695</v>
      </c>
      <c r="IB90" s="571">
        <f>Q90/'4GF Expenditures'!Q91</f>
        <v>1.0870832677026254</v>
      </c>
      <c r="IC90" s="571">
        <f>R90/'4GF Expenditures'!R91</f>
        <v>1.0086623355211315</v>
      </c>
      <c r="ID90" s="573">
        <f>S90/'4GF Expenditures'!S91</f>
        <v>0.91715496114773276</v>
      </c>
      <c r="IE90" s="572">
        <f>T90/'4GF Expenditures'!T91</f>
        <v>0.91865376359377748</v>
      </c>
      <c r="IF90" s="572">
        <f>U90/'4GF Expenditures'!U91</f>
        <v>1.0812450875765529</v>
      </c>
      <c r="IG90" s="572">
        <f>V90/'4GF Expenditures'!V91</f>
        <v>1.017221250380286</v>
      </c>
      <c r="IH90" s="572">
        <f>W90/'4GF Expenditures'!W91</f>
        <v>0.89444721341125299</v>
      </c>
    </row>
    <row r="91" spans="1:242" ht="14">
      <c r="A91" s="43" t="s">
        <v>74</v>
      </c>
      <c r="B91" s="319">
        <v>754820</v>
      </c>
      <c r="C91" s="319">
        <v>591979</v>
      </c>
      <c r="D91" s="319">
        <v>642133</v>
      </c>
      <c r="E91" s="319">
        <v>650077</v>
      </c>
      <c r="F91" s="319">
        <v>710645</v>
      </c>
      <c r="G91" s="319">
        <v>763660</v>
      </c>
      <c r="H91" s="319">
        <v>679844</v>
      </c>
      <c r="I91" s="319">
        <v>617330</v>
      </c>
      <c r="J91" s="319">
        <v>689376.87</v>
      </c>
      <c r="K91" s="888">
        <v>665522.40999999992</v>
      </c>
      <c r="L91" s="319">
        <v>668084.98</v>
      </c>
      <c r="M91" s="319">
        <v>786535.15999999992</v>
      </c>
      <c r="N91" s="319">
        <v>719444.31</v>
      </c>
      <c r="O91" s="319">
        <v>680481</v>
      </c>
      <c r="P91" s="319">
        <v>761427.8</v>
      </c>
      <c r="Q91" s="319">
        <v>746218.90999999992</v>
      </c>
      <c r="R91" s="319">
        <v>807004.13000000012</v>
      </c>
      <c r="S91" s="362">
        <v>806530.2300000001</v>
      </c>
      <c r="T91" s="362">
        <v>1086034.5900000001</v>
      </c>
      <c r="U91" s="362">
        <v>903146.26</v>
      </c>
      <c r="V91" s="362">
        <v>962524.30999999994</v>
      </c>
      <c r="W91" s="362">
        <v>826596.79</v>
      </c>
      <c r="X91" s="6"/>
      <c r="Y91" s="43" t="s">
        <v>74</v>
      </c>
      <c r="Z91" s="319">
        <v>181156.8</v>
      </c>
      <c r="AA91" s="319">
        <v>195353.07</v>
      </c>
      <c r="AB91" s="319">
        <v>205482.56</v>
      </c>
      <c r="AC91" s="319">
        <v>201523.87</v>
      </c>
      <c r="AD91" s="319">
        <v>206087.05</v>
      </c>
      <c r="AE91" s="319">
        <v>229098</v>
      </c>
      <c r="AF91" s="319">
        <v>224348.52</v>
      </c>
      <c r="AG91" s="319">
        <v>216065.5</v>
      </c>
      <c r="AH91" s="319">
        <v>238643.05000000002</v>
      </c>
      <c r="AI91" s="319">
        <v>231153.8</v>
      </c>
      <c r="AJ91" s="319">
        <v>247474.19999999998</v>
      </c>
      <c r="AK91" s="319">
        <v>253828.03</v>
      </c>
      <c r="AL91" s="319">
        <v>265715.41000000003</v>
      </c>
      <c r="AM91" s="319">
        <v>239105.29</v>
      </c>
      <c r="AN91" s="319">
        <v>284264.69</v>
      </c>
      <c r="AO91" s="319">
        <v>289400.21999999997</v>
      </c>
      <c r="AP91" s="319">
        <v>320594.54000000004</v>
      </c>
      <c r="AQ91" s="362">
        <v>309052.61000000004</v>
      </c>
      <c r="AR91" s="753">
        <v>329831.08</v>
      </c>
      <c r="AS91" s="753">
        <v>340243.71</v>
      </c>
      <c r="AT91" s="753">
        <v>348482.57999999996</v>
      </c>
      <c r="AU91" s="753">
        <v>326000</v>
      </c>
      <c r="AV91" s="39"/>
      <c r="AW91" s="43" t="s">
        <v>74</v>
      </c>
      <c r="AX91" s="319">
        <v>203801.4</v>
      </c>
      <c r="AY91" s="319">
        <v>213112.44</v>
      </c>
      <c r="AZ91" s="319">
        <v>205482.56</v>
      </c>
      <c r="BA91" s="319">
        <v>221026.18</v>
      </c>
      <c r="BB91" s="319">
        <v>241619.3</v>
      </c>
      <c r="BC91" s="319">
        <v>252007.8</v>
      </c>
      <c r="BD91" s="319">
        <v>169961</v>
      </c>
      <c r="BE91" s="319">
        <v>160505.79999999999</v>
      </c>
      <c r="BF91" s="319">
        <v>174925.11</v>
      </c>
      <c r="BG91" s="319">
        <v>181454.88</v>
      </c>
      <c r="BH91" s="319">
        <v>186631.59</v>
      </c>
      <c r="BI91" s="319">
        <v>200480.06</v>
      </c>
      <c r="BJ91" s="319">
        <v>212568.47</v>
      </c>
      <c r="BK91" s="319">
        <v>188253.72</v>
      </c>
      <c r="BL91" s="319">
        <v>201042.3</v>
      </c>
      <c r="BM91" s="319">
        <v>207210.5</v>
      </c>
      <c r="BN91" s="319">
        <v>210664.93</v>
      </c>
      <c r="BO91" s="362">
        <v>210307.3</v>
      </c>
      <c r="BP91" s="753">
        <v>239593.47</v>
      </c>
      <c r="BQ91" s="753">
        <v>263913.12</v>
      </c>
      <c r="BR91" s="753">
        <v>278992.09999999998</v>
      </c>
      <c r="BS91" s="753">
        <v>237000</v>
      </c>
      <c r="BT91" s="286"/>
      <c r="BU91" s="43" t="s">
        <v>74</v>
      </c>
      <c r="BV91" s="319">
        <v>90578.4</v>
      </c>
      <c r="BW91" s="319">
        <v>76957.27</v>
      </c>
      <c r="BX91" s="319">
        <v>122005.27</v>
      </c>
      <c r="BY91" s="319">
        <v>91010.78</v>
      </c>
      <c r="BZ91" s="319">
        <v>127916.1</v>
      </c>
      <c r="CA91" s="319">
        <v>145095.4</v>
      </c>
      <c r="CB91" s="319">
        <v>129170.36</v>
      </c>
      <c r="CC91" s="319">
        <v>117292.7</v>
      </c>
      <c r="CD91" s="319">
        <v>151479.03</v>
      </c>
      <c r="CE91" s="319">
        <v>128097.31000000001</v>
      </c>
      <c r="CF91" s="319">
        <v>105592.83999999998</v>
      </c>
      <c r="CG91" s="319">
        <v>203426.24999999997</v>
      </c>
      <c r="CH91" s="319">
        <v>119019.69</v>
      </c>
      <c r="CI91" s="319">
        <v>136547.38</v>
      </c>
      <c r="CJ91" s="319">
        <v>159229.84999999998</v>
      </c>
      <c r="CK91" s="319">
        <v>125737.32999999999</v>
      </c>
      <c r="CL91" s="319">
        <v>134742.01999999999</v>
      </c>
      <c r="CM91" s="362">
        <v>153264.71000000002</v>
      </c>
      <c r="CN91" s="753">
        <v>147626.98000000001</v>
      </c>
      <c r="CO91" s="753">
        <v>109563.85</v>
      </c>
      <c r="CP91" s="753">
        <v>137120.94</v>
      </c>
      <c r="CQ91" s="753">
        <v>152377.44</v>
      </c>
      <c r="CR91" s="39"/>
      <c r="CS91" s="43" t="s">
        <v>74</v>
      </c>
      <c r="CT91" s="319">
        <v>60385.599999999999</v>
      </c>
      <c r="CU91" s="319">
        <v>71037.48</v>
      </c>
      <c r="CV91" s="319">
        <v>77055.960000000006</v>
      </c>
      <c r="CW91" s="319">
        <v>84510.01</v>
      </c>
      <c r="CX91" s="319">
        <v>78170.95</v>
      </c>
      <c r="CY91" s="319">
        <v>84002.6</v>
      </c>
      <c r="CZ91" s="319">
        <v>88379.72</v>
      </c>
      <c r="DA91" s="319">
        <v>80252.899999999994</v>
      </c>
      <c r="DB91" s="319">
        <v>84740.76999999999</v>
      </c>
      <c r="DC91" s="319">
        <v>83288.099999999991</v>
      </c>
      <c r="DD91" s="319">
        <v>97009.35</v>
      </c>
      <c r="DE91" s="319">
        <v>84692.209999999992</v>
      </c>
      <c r="DF91" s="319">
        <v>89583.19</v>
      </c>
      <c r="DG91" s="319">
        <v>81145.049999999988</v>
      </c>
      <c r="DH91" s="319">
        <v>91034.16</v>
      </c>
      <c r="DI91" s="319">
        <v>100409.74</v>
      </c>
      <c r="DJ91" s="319">
        <v>111787.2</v>
      </c>
      <c r="DK91" s="362">
        <v>103686.90000000001</v>
      </c>
      <c r="DL91" s="753">
        <v>101716.28</v>
      </c>
      <c r="DM91" s="753">
        <v>101829.84</v>
      </c>
      <c r="DN91" s="753">
        <v>106729.17</v>
      </c>
      <c r="DO91" s="753">
        <v>98580</v>
      </c>
      <c r="DP91" s="39"/>
      <c r="DQ91" s="43" t="s">
        <v>74</v>
      </c>
      <c r="DR91" s="319">
        <v>22644.6</v>
      </c>
      <c r="DS91" s="319">
        <v>17759.37</v>
      </c>
      <c r="DT91" s="319">
        <v>19263.990000000002</v>
      </c>
      <c r="DU91" s="319">
        <v>19502.310000000001</v>
      </c>
      <c r="DV91" s="319">
        <v>21319.35</v>
      </c>
      <c r="DW91" s="319">
        <v>22909.8</v>
      </c>
      <c r="DX91" s="319">
        <v>6798.44</v>
      </c>
      <c r="DY91" s="319">
        <v>12346.6</v>
      </c>
      <c r="DZ91" s="319">
        <v>5085.2299999999996</v>
      </c>
      <c r="EA91" s="319">
        <v>6021.17</v>
      </c>
      <c r="EB91" s="319">
        <v>8781.41</v>
      </c>
      <c r="EC91" s="319">
        <v>10030.540000000001</v>
      </c>
      <c r="ED91" s="319">
        <v>15595.7</v>
      </c>
      <c r="EE91" s="319">
        <v>12427.85</v>
      </c>
      <c r="EF91" s="319">
        <v>7136.93</v>
      </c>
      <c r="EG91" s="319">
        <v>7694.72</v>
      </c>
      <c r="EH91" s="319">
        <v>6804.07</v>
      </c>
      <c r="EI91" s="362">
        <v>5705.98</v>
      </c>
      <c r="EJ91" s="753">
        <v>3975.4</v>
      </c>
      <c r="EK91" s="753">
        <v>3682.71</v>
      </c>
      <c r="EL91" s="753">
        <v>2689.43</v>
      </c>
      <c r="EM91" s="753">
        <v>2500</v>
      </c>
      <c r="EN91" s="39"/>
      <c r="EO91" s="43" t="s">
        <v>74</v>
      </c>
      <c r="EP91" s="319">
        <v>196253.2</v>
      </c>
      <c r="EQ91" s="319">
        <v>17759.37</v>
      </c>
      <c r="ER91" s="319">
        <v>12842.66</v>
      </c>
      <c r="ES91" s="319">
        <v>32503.85</v>
      </c>
      <c r="ET91" s="319">
        <v>35532.25</v>
      </c>
      <c r="EU91" s="319">
        <v>30546.400000000001</v>
      </c>
      <c r="EV91" s="319">
        <v>61185.96</v>
      </c>
      <c r="EW91" s="319">
        <v>30866.5</v>
      </c>
      <c r="EX91" s="319">
        <v>22395.969999999998</v>
      </c>
      <c r="EY91" s="319">
        <v>17904.03</v>
      </c>
      <c r="EZ91" s="319">
        <v>21373.170000000002</v>
      </c>
      <c r="FA91" s="319">
        <v>33388.68</v>
      </c>
      <c r="FB91" s="319">
        <v>16481.849999999999</v>
      </c>
      <c r="FC91" s="319">
        <v>16684.980000000003</v>
      </c>
      <c r="FD91" s="319">
        <v>18719.87</v>
      </c>
      <c r="FE91" s="319">
        <v>15568.24</v>
      </c>
      <c r="FF91" s="319">
        <v>19861.370000000003</v>
      </c>
      <c r="FG91" s="362">
        <v>23601.73</v>
      </c>
      <c r="FH91" s="362">
        <v>208291.38</v>
      </c>
      <c r="FI91" s="362">
        <v>24616.489999999998</v>
      </c>
      <c r="FJ91" s="362">
        <v>16547.060000000001</v>
      </c>
      <c r="FK91" s="362">
        <v>10139.35</v>
      </c>
      <c r="FM91" s="43" t="s">
        <v>74</v>
      </c>
      <c r="FN91" s="319">
        <v>161764</v>
      </c>
      <c r="FO91" s="319">
        <v>194155</v>
      </c>
      <c r="FP91" s="319">
        <v>226794</v>
      </c>
      <c r="FQ91" s="319">
        <v>250095</v>
      </c>
      <c r="FR91" s="319">
        <v>253249</v>
      </c>
      <c r="FS91" s="319">
        <v>324582</v>
      </c>
      <c r="FT91" s="319">
        <v>325080</v>
      </c>
      <c r="FU91" s="319">
        <v>221475</v>
      </c>
      <c r="FV91" s="319">
        <v>96480</v>
      </c>
      <c r="FW91" s="319">
        <v>68547.97</v>
      </c>
      <c r="FX91" s="319">
        <v>21229.19</v>
      </c>
      <c r="FY91" s="319">
        <v>68889.42</v>
      </c>
      <c r="FZ91" s="319">
        <v>115654.35</v>
      </c>
      <c r="GA91" s="319">
        <v>104981.68</v>
      </c>
      <c r="GB91" s="319">
        <v>164751.15</v>
      </c>
      <c r="GC91" s="319">
        <v>217669.45</v>
      </c>
      <c r="GD91" s="319">
        <v>197854.68</v>
      </c>
      <c r="GE91" s="319">
        <v>158956.31</v>
      </c>
      <c r="GF91" s="756">
        <v>228603.83</v>
      </c>
      <c r="GG91" s="756">
        <v>269865.74</v>
      </c>
      <c r="GH91" s="756">
        <v>277983.67999999982</v>
      </c>
      <c r="GI91" s="756">
        <v>41831.239999999991</v>
      </c>
      <c r="GJ91" s="42"/>
      <c r="GK91" s="570" t="s">
        <v>74</v>
      </c>
      <c r="GL91" s="571">
        <f>FN91/'4GF Expenditures'!B92</f>
        <v>0.2063190008774973</v>
      </c>
      <c r="GM91" s="571">
        <f>FO91/'4GF Expenditures'!C92</f>
        <v>0.34696062102832798</v>
      </c>
      <c r="GN91" s="571">
        <f>FP91/'4GF Expenditures'!D92</f>
        <v>0.3721021043685418</v>
      </c>
      <c r="GO91" s="571">
        <f>FQ91/'4GF Expenditures'!E92</f>
        <v>0.39901815002488927</v>
      </c>
      <c r="GP91" s="571">
        <f>FR91/'4GF Expenditures'!F92</f>
        <v>0.35795367008202222</v>
      </c>
      <c r="GQ91" s="571">
        <f>FS91/'4GF Expenditures'!G92</f>
        <v>0.46882759158605686</v>
      </c>
      <c r="GR91" s="571">
        <f>FT91/'4GF Expenditures'!H92</f>
        <v>0.47851904625919633</v>
      </c>
      <c r="GS91" s="571">
        <f>FU91/'4GF Expenditures'!I92</f>
        <v>0.3072048004261127</v>
      </c>
      <c r="GT91" s="571">
        <f>FV91/'4GF Expenditures'!J92</f>
        <v>0.11847175706619624</v>
      </c>
      <c r="GU91" s="571">
        <f>FW91/'4GF Expenditures'!K92</f>
        <v>9.8838769395934639E-2</v>
      </c>
      <c r="GV91" s="571">
        <f>FX91/'4GF Expenditures'!L92</f>
        <v>2.9674417702249704E-2</v>
      </c>
      <c r="GW91" s="571">
        <f>FY91/'4GF Expenditures'!M92</f>
        <v>9.3235562884776732E-2</v>
      </c>
      <c r="GX91" s="571">
        <f>FZ91/'4GF Expenditures'!N92</f>
        <v>0.17193086846217884</v>
      </c>
      <c r="GY91" s="571">
        <f>GA91/'4GF Expenditures'!O92</f>
        <v>0.14662295366975958</v>
      </c>
      <c r="GZ91" s="571">
        <f>GB91/'4GF Expenditures'!P92</f>
        <v>0.23480252846139513</v>
      </c>
      <c r="HA91" s="571">
        <f>GC91/'4GF Expenditures'!Q92</f>
        <v>0.31397638384463589</v>
      </c>
      <c r="HB91" s="571">
        <f>GD91/'4GF Expenditures'!R92</f>
        <v>0.23929627152935182</v>
      </c>
      <c r="HC91" s="571">
        <f>GE91/'4GF Expenditures'!S92</f>
        <v>0.19251557730731719</v>
      </c>
      <c r="HD91" s="571">
        <f>GF91/'4GF Expenditures'!T92</f>
        <v>0.22491808165170774</v>
      </c>
      <c r="HE91" s="571">
        <f>GG91/'4GF Expenditures'!U92</f>
        <v>0.31311131244000429</v>
      </c>
      <c r="HF91" s="571">
        <f>GH91/'4GF Expenditures'!V92</f>
        <v>0.29126343739721666</v>
      </c>
      <c r="HG91" s="571">
        <f>GI91/'4GF Expenditures'!W92</f>
        <v>3.9361345855785747E-2</v>
      </c>
      <c r="HH91" s="571"/>
      <c r="HI91" s="571"/>
      <c r="HJ91" s="571"/>
      <c r="HK91" s="568"/>
      <c r="HL91" s="567" t="s">
        <v>74</v>
      </c>
      <c r="HM91" s="571">
        <f>B91/'4GF Expenditures'!B92</f>
        <v>0.96272167010183052</v>
      </c>
      <c r="HN91" s="571">
        <f>C91/'4GF Expenditures'!C92</f>
        <v>1.0578836572621286</v>
      </c>
      <c r="HO91" s="571">
        <f>D91/'4GF Expenditures'!D92</f>
        <v>1.053550978352535</v>
      </c>
      <c r="HP91" s="571">
        <f>E91/'4GF Expenditures'!E92</f>
        <v>1.0371759607898197</v>
      </c>
      <c r="HQ91" s="571">
        <f>F91/'4GF Expenditures'!F92</f>
        <v>1.004458007239668</v>
      </c>
      <c r="HR91" s="571">
        <f>G91/'4GF Expenditures'!G92</f>
        <v>1.1030336820606448</v>
      </c>
      <c r="HS91" s="571">
        <f>H91/'4GF Expenditures'!H92</f>
        <v>1.0007330579704599</v>
      </c>
      <c r="HT91" s="571">
        <f>I91/'4GF Expenditures'!I92</f>
        <v>0.85628960129609288</v>
      </c>
      <c r="HU91" s="571">
        <f>J91/'4GF Expenditures'!J92</f>
        <v>0.84651419019169516</v>
      </c>
      <c r="HV91" s="571">
        <f>K91/'4GF Expenditures'!K92</f>
        <v>0.95961143721421149</v>
      </c>
      <c r="HW91" s="571">
        <f>L91/'4GF Expenditures'!L92</f>
        <v>0.93385723888283723</v>
      </c>
      <c r="HX91" s="571">
        <f>M91/'4GF Expenditures'!M92</f>
        <v>1.0645037855053494</v>
      </c>
      <c r="HY91" s="571">
        <f>N91/'4GF Expenditures'!N92</f>
        <v>1.069520385774275</v>
      </c>
      <c r="HZ91" s="571">
        <f>O91/'4GF Expenditures'!O92</f>
        <v>0.95039567033173478</v>
      </c>
      <c r="IA91" s="571">
        <f>P91/'4GF Expenditures'!P92</f>
        <v>1.0851831545989057</v>
      </c>
      <c r="IB91" s="571">
        <f>Q91/'4GF Expenditures'!Q92</f>
        <v>1.0763803322803718</v>
      </c>
      <c r="IC91" s="571">
        <f>R91/'4GF Expenditures'!R92</f>
        <v>0.97603493340561043</v>
      </c>
      <c r="ID91" s="573">
        <f>S91/'4GF Expenditures'!S92</f>
        <v>0.97680697824611895</v>
      </c>
      <c r="IE91" s="572">
        <f>T91/'4GF Expenditures'!T92</f>
        <v>1.0685246025414314</v>
      </c>
      <c r="IF91" s="572">
        <f>U91/'4GF Expenditures'!U92</f>
        <v>1.0478740680231635</v>
      </c>
      <c r="IG91" s="572">
        <f>V91/'4GF Expenditures'!V92</f>
        <v>1.0085057479237067</v>
      </c>
      <c r="IH91" s="572">
        <f>W91/'4GF Expenditures'!W92</f>
        <v>0.7777910034336134</v>
      </c>
    </row>
    <row r="92" spans="1:242" ht="14">
      <c r="A92" s="43" t="s">
        <v>75</v>
      </c>
      <c r="B92" s="319">
        <v>2575942</v>
      </c>
      <c r="C92" s="319">
        <v>2703978</v>
      </c>
      <c r="D92" s="319">
        <v>3012840</v>
      </c>
      <c r="E92" s="319">
        <v>3054198</v>
      </c>
      <c r="F92" s="319">
        <v>2874781</v>
      </c>
      <c r="G92" s="319">
        <v>3416516</v>
      </c>
      <c r="H92" s="319">
        <v>3370262</v>
      </c>
      <c r="I92" s="319">
        <v>3497930</v>
      </c>
      <c r="J92" s="319">
        <v>3297136.6799999992</v>
      </c>
      <c r="K92" s="888">
        <v>3722825.67</v>
      </c>
      <c r="L92" s="319">
        <v>3722133.6099999994</v>
      </c>
      <c r="M92" s="319">
        <v>3404446.26</v>
      </c>
      <c r="N92" s="319">
        <v>3208266.16</v>
      </c>
      <c r="O92" s="319">
        <v>3697330.99</v>
      </c>
      <c r="P92" s="319">
        <v>4448943.29</v>
      </c>
      <c r="Q92" s="319">
        <v>4684019.28</v>
      </c>
      <c r="R92" s="319">
        <v>4654174.04</v>
      </c>
      <c r="S92" s="362">
        <v>4680745.7</v>
      </c>
      <c r="T92" s="362">
        <v>5103286.87</v>
      </c>
      <c r="U92" s="362">
        <v>5288707.1599999992</v>
      </c>
      <c r="V92" s="362">
        <v>5531425.7699999996</v>
      </c>
      <c r="W92" s="362">
        <v>5768930</v>
      </c>
      <c r="X92" s="6"/>
      <c r="Y92" s="43" t="s">
        <v>75</v>
      </c>
      <c r="Z92" s="319">
        <v>154556.51999999999</v>
      </c>
      <c r="AA92" s="319">
        <v>243358.02</v>
      </c>
      <c r="AB92" s="319">
        <v>271155.59999999998</v>
      </c>
      <c r="AC92" s="319">
        <v>244335.84</v>
      </c>
      <c r="AD92" s="319">
        <v>258730.29</v>
      </c>
      <c r="AE92" s="319">
        <v>307486.44</v>
      </c>
      <c r="AF92" s="319">
        <v>337026.2</v>
      </c>
      <c r="AG92" s="319">
        <v>384772.3</v>
      </c>
      <c r="AH92" s="319">
        <v>378913.86</v>
      </c>
      <c r="AI92" s="319">
        <v>390895.94</v>
      </c>
      <c r="AJ92" s="319">
        <v>380319.26</v>
      </c>
      <c r="AK92" s="319">
        <v>398541.5</v>
      </c>
      <c r="AL92" s="319">
        <v>422253.06</v>
      </c>
      <c r="AM92" s="319">
        <v>378912.80000000005</v>
      </c>
      <c r="AN92" s="319">
        <v>35648.840000000004</v>
      </c>
      <c r="AO92" s="319">
        <v>31283.839999999997</v>
      </c>
      <c r="AP92" s="319">
        <v>24133.95</v>
      </c>
      <c r="AQ92" s="362">
        <v>23394.36</v>
      </c>
      <c r="AR92" s="753">
        <v>30678.6</v>
      </c>
      <c r="AS92" s="753">
        <v>24467.809999999998</v>
      </c>
      <c r="AT92" s="753">
        <v>56660.12</v>
      </c>
      <c r="AU92" s="753">
        <v>70000</v>
      </c>
      <c r="AV92" s="39"/>
      <c r="AW92" s="43" t="s">
        <v>75</v>
      </c>
      <c r="AX92" s="319">
        <v>1468286.94</v>
      </c>
      <c r="AY92" s="319">
        <v>1487187.9</v>
      </c>
      <c r="AZ92" s="319">
        <v>1596805.2</v>
      </c>
      <c r="BA92" s="319">
        <v>1618724.94</v>
      </c>
      <c r="BB92" s="319">
        <v>1121164.5900000001</v>
      </c>
      <c r="BC92" s="319">
        <v>1503267.04</v>
      </c>
      <c r="BD92" s="319">
        <v>1482915.28</v>
      </c>
      <c r="BE92" s="319">
        <v>1504109.9</v>
      </c>
      <c r="BF92" s="319">
        <v>1577003.66</v>
      </c>
      <c r="BG92" s="319">
        <v>1622223.72</v>
      </c>
      <c r="BH92" s="319">
        <v>1631993.88</v>
      </c>
      <c r="BI92" s="319">
        <v>1778314.73</v>
      </c>
      <c r="BJ92" s="319">
        <v>1655929.52</v>
      </c>
      <c r="BK92" s="319">
        <v>2155129.14</v>
      </c>
      <c r="BL92" s="319">
        <v>3355717.6</v>
      </c>
      <c r="BM92" s="319">
        <v>3484065.83</v>
      </c>
      <c r="BN92" s="319">
        <v>3563287.66</v>
      </c>
      <c r="BO92" s="362">
        <v>3601917.33</v>
      </c>
      <c r="BP92" s="753">
        <v>4080099.22</v>
      </c>
      <c r="BQ92" s="753">
        <v>4213815.24</v>
      </c>
      <c r="BR92" s="753">
        <v>4224343.72</v>
      </c>
      <c r="BS92" s="753">
        <v>4500000</v>
      </c>
      <c r="BT92" s="286"/>
      <c r="BU92" s="43" t="s">
        <v>75</v>
      </c>
      <c r="BV92" s="319">
        <v>283353.62</v>
      </c>
      <c r="BW92" s="319">
        <v>270397.8</v>
      </c>
      <c r="BX92" s="319">
        <v>391669.2</v>
      </c>
      <c r="BY92" s="319">
        <v>305419.8</v>
      </c>
      <c r="BZ92" s="319">
        <v>258730.29</v>
      </c>
      <c r="CA92" s="319">
        <v>375816.76</v>
      </c>
      <c r="CB92" s="319">
        <v>808862.88</v>
      </c>
      <c r="CC92" s="319">
        <v>769544.6</v>
      </c>
      <c r="CD92" s="319">
        <v>629421.96999999986</v>
      </c>
      <c r="CE92" s="319">
        <v>922232.33</v>
      </c>
      <c r="CF92" s="319">
        <v>891040.0199999999</v>
      </c>
      <c r="CG92" s="319">
        <v>428957.57</v>
      </c>
      <c r="CH92" s="319">
        <v>373785.96</v>
      </c>
      <c r="CI92" s="319">
        <v>384408.82999999996</v>
      </c>
      <c r="CJ92" s="319">
        <v>350575.81</v>
      </c>
      <c r="CK92" s="319">
        <v>459088.54</v>
      </c>
      <c r="CL92" s="319">
        <v>321688.24999999994</v>
      </c>
      <c r="CM92" s="362">
        <v>328960.37</v>
      </c>
      <c r="CN92" s="753">
        <v>287427.62</v>
      </c>
      <c r="CO92" s="753">
        <v>305939.14</v>
      </c>
      <c r="CP92" s="753">
        <v>329934.45</v>
      </c>
      <c r="CQ92" s="753">
        <v>419500</v>
      </c>
      <c r="CR92" s="39"/>
      <c r="CS92" s="43" t="s">
        <v>75</v>
      </c>
      <c r="CT92" s="319">
        <v>566707.24</v>
      </c>
      <c r="CU92" s="319">
        <v>594875.16</v>
      </c>
      <c r="CV92" s="319">
        <v>602568</v>
      </c>
      <c r="CW92" s="319">
        <v>702465.54</v>
      </c>
      <c r="CX92" s="319">
        <v>891182.11</v>
      </c>
      <c r="CY92" s="319">
        <v>1161615.44</v>
      </c>
      <c r="CZ92" s="319">
        <v>539241.92000000004</v>
      </c>
      <c r="DA92" s="319">
        <v>629627.4</v>
      </c>
      <c r="DB92" s="319">
        <v>573756.94999999995</v>
      </c>
      <c r="DC92" s="319">
        <v>607577.91</v>
      </c>
      <c r="DD92" s="319">
        <v>600720.96</v>
      </c>
      <c r="DE92" s="319">
        <v>534872.37</v>
      </c>
      <c r="DF92" s="319">
        <v>558643.58000000007</v>
      </c>
      <c r="DG92" s="319">
        <v>558784.53</v>
      </c>
      <c r="DH92" s="319">
        <v>558358.9</v>
      </c>
      <c r="DI92" s="319">
        <v>552586.70000000007</v>
      </c>
      <c r="DJ92" s="319">
        <v>585690.23</v>
      </c>
      <c r="DK92" s="362">
        <v>582208.57999999996</v>
      </c>
      <c r="DL92" s="753">
        <v>576457.24000000011</v>
      </c>
      <c r="DM92" s="753">
        <v>628304.09</v>
      </c>
      <c r="DN92" s="753">
        <v>558260</v>
      </c>
      <c r="DO92" s="753">
        <v>629750</v>
      </c>
      <c r="DP92" s="39"/>
      <c r="DQ92" s="43" t="s">
        <v>75</v>
      </c>
      <c r="DR92" s="319">
        <v>51518.84</v>
      </c>
      <c r="DS92" s="319">
        <v>54079.56</v>
      </c>
      <c r="DT92" s="319">
        <v>30128.400000000001</v>
      </c>
      <c r="DU92" s="319">
        <v>30541.98</v>
      </c>
      <c r="DV92" s="319">
        <v>28747.81</v>
      </c>
      <c r="DW92" s="319">
        <v>34165.160000000003</v>
      </c>
      <c r="DX92" s="319">
        <v>33702.620000000003</v>
      </c>
      <c r="DY92" s="319">
        <v>34979.300000000003</v>
      </c>
      <c r="DZ92" s="319">
        <v>29283.4</v>
      </c>
      <c r="EA92" s="319">
        <v>52567.79</v>
      </c>
      <c r="EB92" s="319">
        <v>96979.1</v>
      </c>
      <c r="EC92" s="319">
        <v>94010.58</v>
      </c>
      <c r="ED92" s="319">
        <v>37789.68</v>
      </c>
      <c r="EE92" s="319">
        <v>11248.13</v>
      </c>
      <c r="EF92" s="319">
        <v>8159.36</v>
      </c>
      <c r="EG92" s="319">
        <v>6868.7</v>
      </c>
      <c r="EH92" s="319">
        <v>5833.74</v>
      </c>
      <c r="EI92" s="362">
        <v>4317.7700000000004</v>
      </c>
      <c r="EJ92" s="753">
        <v>2779.76</v>
      </c>
      <c r="EK92" s="753">
        <v>4167.37</v>
      </c>
      <c r="EL92" s="753">
        <v>5062.8500000000004</v>
      </c>
      <c r="EM92" s="753">
        <v>6500</v>
      </c>
      <c r="EN92" s="39"/>
      <c r="EO92" s="43" t="s">
        <v>75</v>
      </c>
      <c r="EP92" s="319">
        <v>51518.84</v>
      </c>
      <c r="EQ92" s="319">
        <v>54079.56</v>
      </c>
      <c r="ER92" s="319">
        <v>120513.60000000001</v>
      </c>
      <c r="ES92" s="319">
        <v>152709.9</v>
      </c>
      <c r="ET92" s="319">
        <v>316225.90999999997</v>
      </c>
      <c r="EU92" s="319">
        <v>34165.160000000003</v>
      </c>
      <c r="EV92" s="319">
        <v>168513.1</v>
      </c>
      <c r="EW92" s="319">
        <v>174896.5</v>
      </c>
      <c r="EX92" s="319">
        <v>108756.83999999998</v>
      </c>
      <c r="EY92" s="319">
        <v>94386.959999999992</v>
      </c>
      <c r="EZ92" s="319">
        <v>101650.94999999998</v>
      </c>
      <c r="FA92" s="319">
        <v>116249.51</v>
      </c>
      <c r="FB92" s="319">
        <v>103053.21</v>
      </c>
      <c r="FC92" s="319">
        <v>128347.56000000001</v>
      </c>
      <c r="FD92" s="319">
        <v>97982.780000000013</v>
      </c>
      <c r="FE92" s="319">
        <v>100125.67000000001</v>
      </c>
      <c r="FF92" s="319">
        <v>103540.21000000002</v>
      </c>
      <c r="FG92" s="362">
        <v>109947.29000000001</v>
      </c>
      <c r="FH92" s="362">
        <v>95844.43</v>
      </c>
      <c r="FI92" s="362">
        <v>92013.510000000009</v>
      </c>
      <c r="FJ92" s="362">
        <v>117157.54000000001</v>
      </c>
      <c r="FK92" s="362">
        <v>113180</v>
      </c>
      <c r="FM92" s="43" t="s">
        <v>75</v>
      </c>
      <c r="FN92" s="319">
        <v>523479</v>
      </c>
      <c r="FO92" s="319">
        <v>570309</v>
      </c>
      <c r="FP92" s="319">
        <v>436077</v>
      </c>
      <c r="FQ92" s="319">
        <v>636882</v>
      </c>
      <c r="FR92" s="319">
        <v>151290</v>
      </c>
      <c r="FS92" s="319">
        <v>886341</v>
      </c>
      <c r="FT92" s="319">
        <v>1159805</v>
      </c>
      <c r="FU92" s="319">
        <v>1240366</v>
      </c>
      <c r="FV92" s="319">
        <v>1043108.3699999992</v>
      </c>
      <c r="FW92" s="319">
        <v>1237399.2</v>
      </c>
      <c r="FX92" s="319">
        <v>1129183</v>
      </c>
      <c r="FY92" s="319">
        <v>1351778.13</v>
      </c>
      <c r="FZ92" s="319">
        <v>1055919.6499999999</v>
      </c>
      <c r="GA92" s="319">
        <v>775917.51</v>
      </c>
      <c r="GB92" s="319">
        <v>1074601.95</v>
      </c>
      <c r="GC92" s="319">
        <v>1371800.47</v>
      </c>
      <c r="GD92" s="319">
        <v>1329542.42</v>
      </c>
      <c r="GE92" s="319">
        <v>713049.35</v>
      </c>
      <c r="GF92" s="756">
        <v>609841.61</v>
      </c>
      <c r="GG92" s="756">
        <v>678285.93</v>
      </c>
      <c r="GH92" s="756">
        <v>97927.679999998771</v>
      </c>
      <c r="GI92" s="756">
        <v>23181.109999999404</v>
      </c>
      <c r="GJ92" s="42"/>
      <c r="GK92" s="570" t="s">
        <v>75</v>
      </c>
      <c r="GL92" s="571">
        <f>FN92/'4GF Expenditures'!B93</f>
        <v>0.1827141628528427</v>
      </c>
      <c r="GM92" s="571">
        <f>FO92/'4GF Expenditures'!C93</f>
        <v>0.2146320039380569</v>
      </c>
      <c r="GN92" s="571">
        <f>FP92/'4GF Expenditures'!D93</f>
        <v>0.13856594320053689</v>
      </c>
      <c r="GO92" s="571">
        <f>FQ92/'4GF Expenditures'!E93</f>
        <v>0.22320164099372222</v>
      </c>
      <c r="GP92" s="571">
        <f>FR92/'4GF Expenditures'!F93</f>
        <v>4.5021787759870702E-2</v>
      </c>
      <c r="GQ92" s="571">
        <f>FS92/'4GF Expenditures'!G93</f>
        <v>0.33054307172672892</v>
      </c>
      <c r="GR92" s="571">
        <f>FT92/'4GF Expenditures'!H93</f>
        <v>0.37451748548016373</v>
      </c>
      <c r="GS92" s="571">
        <f>FU92/'4GF Expenditures'!I93</f>
        <v>0.36295934094328119</v>
      </c>
      <c r="GT92" s="571">
        <f>FV92/'4GF Expenditures'!J93</f>
        <v>0.29850904812555651</v>
      </c>
      <c r="GU92" s="571">
        <f>FW92/'4GF Expenditures'!K93</f>
        <v>0.35068357154155239</v>
      </c>
      <c r="GV92" s="571">
        <f>FX92/'4GF Expenditures'!L93</f>
        <v>0.29602616044480368</v>
      </c>
      <c r="GW92" s="571">
        <f>FY92/'4GF Expenditures'!M93</f>
        <v>0.42484015639643091</v>
      </c>
      <c r="GX92" s="571">
        <f>FZ92/'4GF Expenditures'!N93</f>
        <v>0.30133621331460397</v>
      </c>
      <c r="GY92" s="571">
        <f>GA92/'4GF Expenditures'!O93</f>
        <v>0.19492924318971117</v>
      </c>
      <c r="GZ92" s="571">
        <f>GB92/'4GF Expenditures'!P93</f>
        <v>0.25892407891618618</v>
      </c>
      <c r="HA92" s="571">
        <f>GC92/'4GF Expenditures'!Q93</f>
        <v>0.31270948713208879</v>
      </c>
      <c r="HB92" s="571">
        <f>GD92/'4GF Expenditures'!R93</f>
        <v>0.28309627277076205</v>
      </c>
      <c r="HC92" s="571">
        <f>GE92/'4GF Expenditures'!S93</f>
        <v>0.13460774206332404</v>
      </c>
      <c r="HD92" s="571">
        <f>GF92/'4GF Expenditures'!T93</f>
        <v>0.11616843602318296</v>
      </c>
      <c r="HE92" s="571">
        <f>GG92/'4GF Expenditures'!U93</f>
        <v>0.13032155240040036</v>
      </c>
      <c r="HF92" s="571">
        <f>GH92/'4GF Expenditures'!V93</f>
        <v>1.6022765150002595E-2</v>
      </c>
      <c r="HG92" s="571">
        <f>GI92/'4GF Expenditures'!W93</f>
        <v>3.9668708085258391E-3</v>
      </c>
      <c r="HH92" s="571"/>
      <c r="HI92" s="571"/>
      <c r="HJ92" s="571"/>
      <c r="HK92" s="568"/>
      <c r="HL92" s="567" t="s">
        <v>75</v>
      </c>
      <c r="HM92" s="571">
        <f>B92/'4GF Expenditures'!B93</f>
        <v>0.89910213415911111</v>
      </c>
      <c r="HN92" s="571">
        <f>C92/'4GF Expenditures'!C93</f>
        <v>1.0176241594371107</v>
      </c>
      <c r="HO92" s="571">
        <f>D92/'4GF Expenditures'!D93</f>
        <v>0.95734701970593616</v>
      </c>
      <c r="HP92" s="571">
        <f>E92/'4GF Expenditures'!E93</f>
        <v>1.0703741125039559</v>
      </c>
      <c r="HQ92" s="571">
        <f>F92/'4GF Expenditures'!F93</f>
        <v>0.8554946132468032</v>
      </c>
      <c r="HR92" s="571">
        <f>G92/'4GF Expenditures'!G93</f>
        <v>1.2741210135190824</v>
      </c>
      <c r="HS92" s="571">
        <f>H92/'4GF Expenditures'!H93</f>
        <v>1.0883054044855363</v>
      </c>
      <c r="HT92" s="571">
        <f>I92/'4GF Expenditures'!I93</f>
        <v>1.0235739833772706</v>
      </c>
      <c r="HU92" s="571">
        <f>J92/'4GF Expenditures'!J93</f>
        <v>0.94355021989389098</v>
      </c>
      <c r="HV92" s="571">
        <f>K92/'4GF Expenditures'!K93</f>
        <v>1.0550627495008664</v>
      </c>
      <c r="HW92" s="571">
        <f>L92/'4GF Expenditures'!L93</f>
        <v>0.97579304792124588</v>
      </c>
      <c r="HX92" s="571">
        <f>M92/'4GF Expenditures'!M93</f>
        <v>1.0699577463512036</v>
      </c>
      <c r="HY92" s="571">
        <f>N92/'4GF Expenditures'!N93</f>
        <v>0.91556850557690206</v>
      </c>
      <c r="HZ92" s="571">
        <f>O92/'4GF Expenditures'!O93</f>
        <v>0.92885896041006411</v>
      </c>
      <c r="IA92" s="571">
        <f>P92/'4GF Expenditures'!P93</f>
        <v>1.0719676653421271</v>
      </c>
      <c r="IB92" s="571">
        <f>Q92/'4GF Expenditures'!Q93</f>
        <v>1.0677480426622219</v>
      </c>
      <c r="IC92" s="571">
        <f>R92/'4GF Expenditures'!R93</f>
        <v>0.99100209495417191</v>
      </c>
      <c r="ID92" s="573">
        <f>S92/'4GF Expenditures'!S93</f>
        <v>0.88361992034578418</v>
      </c>
      <c r="IE92" s="572">
        <f>T92/'4GF Expenditures'!T93</f>
        <v>0.97212267012338593</v>
      </c>
      <c r="IF92" s="572">
        <f>U92/'4GF Expenditures'!U93</f>
        <v>1.0161386176509846</v>
      </c>
      <c r="IG92" s="572">
        <f>V92/'4GF Expenditures'!V93</f>
        <v>0.90504274233172255</v>
      </c>
      <c r="IH92" s="572">
        <f>W92/'4GF Expenditures'!W93</f>
        <v>0.98720898237528565</v>
      </c>
    </row>
    <row r="93" spans="1:242" ht="14">
      <c r="A93" s="43" t="s">
        <v>76</v>
      </c>
      <c r="B93" s="319">
        <v>511308</v>
      </c>
      <c r="C93" s="319">
        <v>648474</v>
      </c>
      <c r="D93" s="319">
        <v>660770</v>
      </c>
      <c r="E93" s="319">
        <v>754291</v>
      </c>
      <c r="F93" s="319">
        <v>835205</v>
      </c>
      <c r="G93" s="319">
        <v>741821</v>
      </c>
      <c r="H93" s="319">
        <v>888664</v>
      </c>
      <c r="I93" s="319">
        <v>842158</v>
      </c>
      <c r="J93" s="319">
        <v>1052929.27</v>
      </c>
      <c r="K93" s="888">
        <v>981175.89000000013</v>
      </c>
      <c r="L93" s="319">
        <v>883939.99</v>
      </c>
      <c r="M93" s="319">
        <v>1054723.78</v>
      </c>
      <c r="N93" s="319">
        <v>1014048.49</v>
      </c>
      <c r="O93" s="319">
        <v>1032930.75</v>
      </c>
      <c r="P93" s="319">
        <v>1048169.24</v>
      </c>
      <c r="Q93" s="319">
        <v>1030901.18</v>
      </c>
      <c r="R93" s="319">
        <v>1051501.8800000001</v>
      </c>
      <c r="S93" s="362">
        <v>1078704.3900000001</v>
      </c>
      <c r="T93" s="362"/>
      <c r="U93" s="362">
        <v>1244096.05</v>
      </c>
      <c r="V93" s="362">
        <v>1134678.92</v>
      </c>
      <c r="W93" s="362">
        <v>1156643</v>
      </c>
      <c r="X93" s="6"/>
      <c r="Y93" s="43" t="s">
        <v>76</v>
      </c>
      <c r="Z93" s="319">
        <v>61356.959999999999</v>
      </c>
      <c r="AA93" s="319">
        <v>162118.5</v>
      </c>
      <c r="AB93" s="319">
        <v>79292.399999999994</v>
      </c>
      <c r="AC93" s="319">
        <v>75429.100000000006</v>
      </c>
      <c r="AD93" s="319">
        <v>150336.9</v>
      </c>
      <c r="AE93" s="319">
        <v>66763.89</v>
      </c>
      <c r="AF93" s="319">
        <v>44433.2</v>
      </c>
      <c r="AG93" s="319">
        <v>75794.22</v>
      </c>
      <c r="AH93" s="319">
        <v>120794.35</v>
      </c>
      <c r="AI93" s="319">
        <v>105036.77</v>
      </c>
      <c r="AJ93" s="319">
        <v>94695.45</v>
      </c>
      <c r="AK93" s="319">
        <v>130416.34</v>
      </c>
      <c r="AL93" s="319">
        <v>128288.03</v>
      </c>
      <c r="AM93" s="319">
        <v>173743.04</v>
      </c>
      <c r="AN93" s="319">
        <v>187141.06</v>
      </c>
      <c r="AO93" s="319">
        <v>169916.4</v>
      </c>
      <c r="AP93" s="319">
        <v>169322.31</v>
      </c>
      <c r="AQ93" s="362">
        <v>165527.48000000001</v>
      </c>
      <c r="AR93" s="753"/>
      <c r="AS93" s="753">
        <v>142755.80000000002</v>
      </c>
      <c r="AT93" s="753">
        <v>115666.66</v>
      </c>
      <c r="AU93" s="753">
        <v>114900</v>
      </c>
      <c r="AV93" s="39"/>
      <c r="AW93" s="43" t="s">
        <v>76</v>
      </c>
      <c r="AX93" s="319">
        <v>168731.64</v>
      </c>
      <c r="AY93" s="319">
        <v>168603.24</v>
      </c>
      <c r="AZ93" s="319">
        <v>185015.6</v>
      </c>
      <c r="BA93" s="319">
        <v>181029.84</v>
      </c>
      <c r="BB93" s="319">
        <v>192097.15</v>
      </c>
      <c r="BC93" s="319">
        <v>207709.88</v>
      </c>
      <c r="BD93" s="319">
        <v>408785.44</v>
      </c>
      <c r="BE93" s="319">
        <v>395814.26</v>
      </c>
      <c r="BF93" s="319">
        <v>433217.85</v>
      </c>
      <c r="BG93" s="319">
        <v>454141.69</v>
      </c>
      <c r="BH93" s="319">
        <v>458968.6</v>
      </c>
      <c r="BI93" s="319">
        <v>493645</v>
      </c>
      <c r="BJ93" s="319">
        <v>475860.06</v>
      </c>
      <c r="BK93" s="319">
        <v>443560.51</v>
      </c>
      <c r="BL93" s="319">
        <v>468709.45</v>
      </c>
      <c r="BM93" s="319">
        <v>455079.82</v>
      </c>
      <c r="BN93" s="319">
        <v>447912.79</v>
      </c>
      <c r="BO93" s="362">
        <v>455671.45</v>
      </c>
      <c r="BP93" s="753"/>
      <c r="BQ93" s="753">
        <v>545422.93000000005</v>
      </c>
      <c r="BR93" s="753">
        <v>561019.05000000005</v>
      </c>
      <c r="BS93" s="753">
        <v>561000</v>
      </c>
      <c r="BT93" s="286"/>
      <c r="BU93" s="43" t="s">
        <v>76</v>
      </c>
      <c r="BV93" s="319">
        <v>86922.36</v>
      </c>
      <c r="BW93" s="319">
        <v>97271.1</v>
      </c>
      <c r="BX93" s="319">
        <v>191623.3</v>
      </c>
      <c r="BY93" s="319">
        <v>203658.57</v>
      </c>
      <c r="BZ93" s="319">
        <v>141984.85</v>
      </c>
      <c r="CA93" s="319">
        <v>185455.25</v>
      </c>
      <c r="CB93" s="319">
        <v>177732.8</v>
      </c>
      <c r="CC93" s="319">
        <v>126323.7</v>
      </c>
      <c r="CD93" s="319">
        <v>228578.24</v>
      </c>
      <c r="CE93" s="319">
        <v>186173.79</v>
      </c>
      <c r="CF93" s="319">
        <v>144420.45000000001</v>
      </c>
      <c r="CG93" s="319">
        <v>256370.4</v>
      </c>
      <c r="CH93" s="319">
        <v>217399.12</v>
      </c>
      <c r="CI93" s="319">
        <v>248981.61000000002</v>
      </c>
      <c r="CJ93" s="319">
        <v>189604.08000000002</v>
      </c>
      <c r="CK93" s="319">
        <v>198630.15</v>
      </c>
      <c r="CL93" s="319">
        <v>230156.40000000002</v>
      </c>
      <c r="CM93" s="362">
        <v>261376.26000000004</v>
      </c>
      <c r="CN93" s="753"/>
      <c r="CO93" s="753">
        <v>405497.22</v>
      </c>
      <c r="CP93" s="753">
        <v>287040.67000000004</v>
      </c>
      <c r="CQ93" s="753">
        <v>282763</v>
      </c>
      <c r="CR93" s="39"/>
      <c r="CS93" s="43" t="s">
        <v>76</v>
      </c>
      <c r="CT93" s="319">
        <v>97148.52</v>
      </c>
      <c r="CU93" s="319">
        <v>110240.58</v>
      </c>
      <c r="CV93" s="319">
        <v>151977.1</v>
      </c>
      <c r="CW93" s="319">
        <v>158401.10999999999</v>
      </c>
      <c r="CX93" s="319">
        <v>150336.9</v>
      </c>
      <c r="CY93" s="319">
        <v>140945.99</v>
      </c>
      <c r="CZ93" s="319">
        <v>97753.04</v>
      </c>
      <c r="DA93" s="319">
        <v>117902.12</v>
      </c>
      <c r="DB93" s="319">
        <v>144640.89999999997</v>
      </c>
      <c r="DC93" s="319">
        <v>88686.720000000001</v>
      </c>
      <c r="DD93" s="319">
        <v>92143.799999999988</v>
      </c>
      <c r="DE93" s="319">
        <v>98509.88</v>
      </c>
      <c r="DF93" s="319">
        <v>121285.23000000001</v>
      </c>
      <c r="DG93" s="319">
        <v>115013.02</v>
      </c>
      <c r="DH93" s="319">
        <v>109463.36</v>
      </c>
      <c r="DI93" s="319">
        <v>144250.55000000002</v>
      </c>
      <c r="DJ93" s="319">
        <v>170720.15999999997</v>
      </c>
      <c r="DK93" s="362">
        <v>178725.63999999998</v>
      </c>
      <c r="DL93" s="753"/>
      <c r="DM93" s="753">
        <v>149557.1</v>
      </c>
      <c r="DN93" s="753">
        <v>161730.06999999998</v>
      </c>
      <c r="DO93" s="753">
        <v>160200</v>
      </c>
      <c r="DP93" s="39"/>
      <c r="DQ93" s="43" t="s">
        <v>76</v>
      </c>
      <c r="DR93" s="319">
        <v>10226.16</v>
      </c>
      <c r="DS93" s="319">
        <v>6484.74</v>
      </c>
      <c r="DT93" s="319">
        <v>6607.7</v>
      </c>
      <c r="DU93" s="319">
        <v>7542.91</v>
      </c>
      <c r="DV93" s="319">
        <v>0</v>
      </c>
      <c r="DW93" s="319">
        <v>7418.21</v>
      </c>
      <c r="DX93" s="319">
        <v>8886.64</v>
      </c>
      <c r="DY93" s="319">
        <v>8421.58</v>
      </c>
      <c r="DZ93" s="319">
        <v>6612.28</v>
      </c>
      <c r="EA93" s="319">
        <v>7999.91</v>
      </c>
      <c r="EB93" s="319">
        <v>11730.53</v>
      </c>
      <c r="EC93" s="319">
        <v>9645.98</v>
      </c>
      <c r="ED93" s="319">
        <v>10477.790000000001</v>
      </c>
      <c r="EE93" s="319">
        <v>0</v>
      </c>
      <c r="EF93" s="319">
        <v>0</v>
      </c>
      <c r="EG93" s="319">
        <v>573.37</v>
      </c>
      <c r="EH93" s="319">
        <v>859.44</v>
      </c>
      <c r="EI93" s="362">
        <v>618.16</v>
      </c>
      <c r="EJ93" s="753"/>
      <c r="EK93" s="753">
        <v>674.08</v>
      </c>
      <c r="EL93" s="753">
        <v>481.39</v>
      </c>
      <c r="EM93" s="753">
        <v>480</v>
      </c>
      <c r="EN93" s="39"/>
      <c r="EO93" s="43" t="s">
        <v>76</v>
      </c>
      <c r="EP93" s="319">
        <v>86922.36</v>
      </c>
      <c r="EQ93" s="319">
        <v>103755.84</v>
      </c>
      <c r="ER93" s="319">
        <v>46253.9</v>
      </c>
      <c r="ES93" s="319">
        <v>128229.47</v>
      </c>
      <c r="ET93" s="319">
        <v>200449.2</v>
      </c>
      <c r="EU93" s="319">
        <v>133527.78</v>
      </c>
      <c r="EV93" s="319">
        <v>151072.88</v>
      </c>
      <c r="EW93" s="319">
        <v>117902.12</v>
      </c>
      <c r="EX93" s="319">
        <v>60744.6</v>
      </c>
      <c r="EY93" s="319">
        <v>86256.22</v>
      </c>
      <c r="EZ93" s="319">
        <v>55527.159999999996</v>
      </c>
      <c r="FA93" s="319">
        <v>22867.15</v>
      </c>
      <c r="FB93" s="319">
        <v>29588.26</v>
      </c>
      <c r="FC93" s="319">
        <v>35136.479999999996</v>
      </c>
      <c r="FD93" s="319">
        <v>14026.49</v>
      </c>
      <c r="FE93" s="319">
        <v>7471.51</v>
      </c>
      <c r="FF93" s="319">
        <v>1380.78</v>
      </c>
      <c r="FG93" s="362">
        <v>623.19000000000005</v>
      </c>
      <c r="FH93" s="362"/>
      <c r="FI93" s="362">
        <v>188.92</v>
      </c>
      <c r="FJ93" s="362">
        <v>3141.08</v>
      </c>
      <c r="FK93" s="362">
        <v>0</v>
      </c>
      <c r="FM93" s="43" t="s">
        <v>76</v>
      </c>
      <c r="FN93" s="319">
        <v>36542</v>
      </c>
      <c r="FO93" s="319">
        <v>122944</v>
      </c>
      <c r="FP93" s="319">
        <v>45188</v>
      </c>
      <c r="FQ93" s="319">
        <v>17422</v>
      </c>
      <c r="FR93" s="319">
        <v>43163</v>
      </c>
      <c r="FS93" s="319">
        <v>-38638</v>
      </c>
      <c r="FT93" s="319">
        <v>-2971</v>
      </c>
      <c r="FU93" s="319">
        <v>40729</v>
      </c>
      <c r="FV93" s="319">
        <v>183604.46000000008</v>
      </c>
      <c r="FW93" s="319">
        <v>214098.3</v>
      </c>
      <c r="FX93" s="319">
        <v>39623.47</v>
      </c>
      <c r="FY93" s="319">
        <v>89614.19</v>
      </c>
      <c r="FZ93" s="319">
        <v>46485.23</v>
      </c>
      <c r="GA93" s="319">
        <v>40445.32</v>
      </c>
      <c r="GB93" s="319">
        <v>47861.98</v>
      </c>
      <c r="GC93" s="319">
        <v>129701.03</v>
      </c>
      <c r="GD93" s="319">
        <v>179604.4</v>
      </c>
      <c r="GE93" s="319">
        <v>250792.47</v>
      </c>
      <c r="GF93" s="756"/>
      <c r="GG93" s="756">
        <v>174438.14</v>
      </c>
      <c r="GH93" s="756">
        <v>46420.619999999879</v>
      </c>
      <c r="GI93" s="756">
        <v>2931.4000000001397</v>
      </c>
      <c r="GJ93" s="42"/>
      <c r="GK93" s="570" t="s">
        <v>76</v>
      </c>
      <c r="GL93" s="571">
        <f>FN93/'4GF Expenditures'!B94</f>
        <v>6.44917624842265E-2</v>
      </c>
      <c r="GM93" s="571">
        <f>FO93/'4GF Expenditures'!C94</f>
        <v>0.21873354303363271</v>
      </c>
      <c r="GN93" s="571">
        <f>FP93/'4GF Expenditures'!D94</f>
        <v>6.1186742240625244E-2</v>
      </c>
      <c r="GO93" s="571">
        <f>FQ93/'4GF Expenditures'!E94</f>
        <v>2.227714859658567E-2</v>
      </c>
      <c r="GP93" s="571">
        <f>FR93/'4GF Expenditures'!F94</f>
        <v>5.3322939624245176E-2</v>
      </c>
      <c r="GQ93" s="571">
        <f>FS93/'4GF Expenditures'!G94</f>
        <v>-4.6907513117544368E-2</v>
      </c>
      <c r="GR93" s="571">
        <f>FT93/'4GF Expenditures'!H94</f>
        <v>-3.4830134220870646E-3</v>
      </c>
      <c r="GS93" s="571">
        <f>FU93/'4GF Expenditures'!I94</f>
        <v>5.1009570948002271E-2</v>
      </c>
      <c r="GT93" s="571">
        <f>FV93/'4GF Expenditures'!J94</f>
        <v>0.20191317322014984</v>
      </c>
      <c r="GU93" s="571">
        <f>FW93/'4GF Expenditures'!K94</f>
        <v>0.22520494628040993</v>
      </c>
      <c r="GV93" s="571">
        <f>FX93/'4GF Expenditures'!L94</f>
        <v>3.743661676997305E-2</v>
      </c>
      <c r="GW93" s="571">
        <f>FY93/'4GF Expenditures'!M94</f>
        <v>8.9210640315892653E-2</v>
      </c>
      <c r="GX93" s="571">
        <f>FZ93/'4GF Expenditures'!N94</f>
        <v>4.39710760005333E-2</v>
      </c>
      <c r="GY93" s="571">
        <f>GA93/'4GF Expenditures'!O94</f>
        <v>3.8928260014580197E-2</v>
      </c>
      <c r="GZ93" s="571">
        <f>GB93/'4GF Expenditures'!P94</f>
        <v>4.5987855327000865E-2</v>
      </c>
      <c r="HA93" s="571">
        <f>GC93/'4GF Expenditures'!Q94</f>
        <v>0.13666231735534531</v>
      </c>
      <c r="HB93" s="571">
        <f>GD93/'4GF Expenditures'!R94</f>
        <v>0.17931775876942946</v>
      </c>
      <c r="HC93" s="571">
        <f>GE93/'4GF Expenditures'!S94</f>
        <v>0.2489214963783416</v>
      </c>
      <c r="HD93" s="571">
        <f>GF93/'4GF Expenditures'!T94</f>
        <v>0</v>
      </c>
      <c r="HE93" s="571">
        <f>GG93/'4GF Expenditures'!U94</f>
        <v>0.1333559856429635</v>
      </c>
      <c r="HF93" s="571">
        <f>GH93/'4GF Expenditures'!V94</f>
        <v>3.6763087729937589E-2</v>
      </c>
      <c r="HG93" s="571">
        <f>GI93/'4GF Expenditures'!W94</f>
        <v>2.4425642034676307E-3</v>
      </c>
      <c r="HH93" s="571"/>
      <c r="HI93" s="571"/>
      <c r="HJ93" s="571"/>
      <c r="HK93" s="568"/>
      <c r="HL93" s="567" t="s">
        <v>76</v>
      </c>
      <c r="HM93" s="571">
        <f>B93/'4GF Expenditures'!B94</f>
        <v>0.9023905120761011</v>
      </c>
      <c r="HN93" s="571">
        <f>C93/'4GF Expenditures'!C94</f>
        <v>1.1537205197910587</v>
      </c>
      <c r="HO93" s="571">
        <f>D93/'4GF Expenditures'!D94</f>
        <v>0.89471460720407947</v>
      </c>
      <c r="HP93" s="571">
        <f>E93/'4GF Expenditures'!E94</f>
        <v>0.96449619401143394</v>
      </c>
      <c r="HQ93" s="571">
        <f>F93/'4GF Expenditures'!F94</f>
        <v>1.0318000553452655</v>
      </c>
      <c r="HR93" s="571">
        <f>G93/'4GF Expenditures'!G94</f>
        <v>0.90058953073062475</v>
      </c>
      <c r="HS93" s="571">
        <f>H93/'4GF Expenditures'!H94</f>
        <v>1.0418137461210297</v>
      </c>
      <c r="HT93" s="571">
        <f>I93/'4GF Expenditures'!I94</f>
        <v>1.0547304930253063</v>
      </c>
      <c r="HU93" s="571">
        <f>J93/'4GF Expenditures'!J94</f>
        <v>1.1579255214283783</v>
      </c>
      <c r="HV93" s="571">
        <f>K93/'4GF Expenditures'!K94</f>
        <v>1.0320757502468887</v>
      </c>
      <c r="HW93" s="571">
        <f>L93/'4GF Expenditures'!L94</f>
        <v>0.83515458523152586</v>
      </c>
      <c r="HX93" s="571">
        <f>M93/'4GF Expenditures'!M94</f>
        <v>1.0499741588937945</v>
      </c>
      <c r="HY93" s="571">
        <f>N93/'4GF Expenditures'!N94</f>
        <v>0.95920367011233532</v>
      </c>
      <c r="HZ93" s="571">
        <f>O93/'4GF Expenditures'!O94</f>
        <v>0.99418664045816252</v>
      </c>
      <c r="IA93" s="571">
        <f>P93/'4GF Expenditures'!P94</f>
        <v>1.0071262276933057</v>
      </c>
      <c r="IB93" s="571">
        <f>Q93/'4GF Expenditures'!Q94</f>
        <v>1.0862314988798469</v>
      </c>
      <c r="IC93" s="571">
        <f>R93/'4GF Expenditures'!R94</f>
        <v>1.0498237262753118</v>
      </c>
      <c r="ID93" s="573">
        <f>S93/'4GF Expenditures'!S94</f>
        <v>1.0706569894570048</v>
      </c>
      <c r="IE93" s="572">
        <f>T93/'4GF Expenditures'!T94</f>
        <v>0</v>
      </c>
      <c r="IF93" s="572">
        <f>U93/'4GF Expenditures'!U94</f>
        <v>0.95109736312407123</v>
      </c>
      <c r="IG93" s="572">
        <f>V93/'4GF Expenditures'!V94</f>
        <v>0.89861575914477099</v>
      </c>
      <c r="IH93" s="572">
        <f>W93/'4GF Expenditures'!W94</f>
        <v>0.96376297604942207</v>
      </c>
    </row>
    <row r="94" spans="1:242" ht="14">
      <c r="A94" s="43" t="s">
        <v>77</v>
      </c>
      <c r="B94" s="319">
        <v>725888</v>
      </c>
      <c r="C94" s="319">
        <v>740447</v>
      </c>
      <c r="D94" s="319">
        <v>722765</v>
      </c>
      <c r="E94" s="319">
        <v>835857</v>
      </c>
      <c r="F94" s="319">
        <v>853998</v>
      </c>
      <c r="G94" s="319">
        <v>861339</v>
      </c>
      <c r="H94" s="319">
        <v>994334</v>
      </c>
      <c r="I94" s="319">
        <v>916303</v>
      </c>
      <c r="J94" s="319">
        <v>996255.94</v>
      </c>
      <c r="K94" s="888">
        <v>1134290.56</v>
      </c>
      <c r="L94" s="319">
        <v>1051736.6099999999</v>
      </c>
      <c r="M94" s="319"/>
      <c r="N94" s="321">
        <v>1101925.69</v>
      </c>
      <c r="O94" s="319">
        <v>1149007.92</v>
      </c>
      <c r="P94" s="319">
        <v>1166057.29</v>
      </c>
      <c r="Q94" s="319">
        <v>1099825.58</v>
      </c>
      <c r="R94" s="319">
        <v>1139779.95</v>
      </c>
      <c r="S94" s="362">
        <v>1665024.0099999998</v>
      </c>
      <c r="T94" s="362">
        <v>1467478.74</v>
      </c>
      <c r="U94" s="362">
        <v>1258302.83</v>
      </c>
      <c r="V94" s="362">
        <v>1268458.52</v>
      </c>
      <c r="W94" s="362">
        <v>1284255</v>
      </c>
      <c r="X94" s="6"/>
      <c r="Y94" s="43" t="s">
        <v>77</v>
      </c>
      <c r="Z94" s="319">
        <v>159695.35999999999</v>
      </c>
      <c r="AA94" s="319">
        <v>170302.81</v>
      </c>
      <c r="AB94" s="319">
        <v>187918.9</v>
      </c>
      <c r="AC94" s="319">
        <v>200605.68</v>
      </c>
      <c r="AD94" s="319">
        <v>256199.4</v>
      </c>
      <c r="AE94" s="319">
        <v>267015.09000000003</v>
      </c>
      <c r="AF94" s="319">
        <v>288356.86</v>
      </c>
      <c r="AG94" s="319">
        <v>284053.93</v>
      </c>
      <c r="AH94" s="319">
        <v>293513.5</v>
      </c>
      <c r="AI94" s="319">
        <v>343997.23</v>
      </c>
      <c r="AJ94" s="319">
        <v>333242.98</v>
      </c>
      <c r="AK94" s="319"/>
      <c r="AL94" s="319">
        <v>357742.59</v>
      </c>
      <c r="AM94" s="319">
        <v>387389.05000000005</v>
      </c>
      <c r="AN94" s="319">
        <v>408843.84</v>
      </c>
      <c r="AO94" s="319">
        <v>366411.17000000004</v>
      </c>
      <c r="AP94" s="319">
        <v>401851.62</v>
      </c>
      <c r="AQ94" s="362">
        <v>415883.17</v>
      </c>
      <c r="AR94" s="753">
        <v>431062.60000000003</v>
      </c>
      <c r="AS94" s="753">
        <v>558460.07999999996</v>
      </c>
      <c r="AT94" s="753">
        <v>553784</v>
      </c>
      <c r="AU94" s="753">
        <v>553000</v>
      </c>
      <c r="AV94" s="39"/>
      <c r="AW94" s="43" t="s">
        <v>77</v>
      </c>
      <c r="AX94" s="319">
        <v>341167.35999999999</v>
      </c>
      <c r="AY94" s="319">
        <v>318392.21000000002</v>
      </c>
      <c r="AZ94" s="319">
        <v>318016.59999999998</v>
      </c>
      <c r="BA94" s="319">
        <v>376135.65</v>
      </c>
      <c r="BB94" s="319">
        <v>367219.14</v>
      </c>
      <c r="BC94" s="319">
        <v>387602.55</v>
      </c>
      <c r="BD94" s="319">
        <v>367903.58</v>
      </c>
      <c r="BE94" s="319">
        <v>375684.23</v>
      </c>
      <c r="BF94" s="319">
        <v>406539.03</v>
      </c>
      <c r="BG94" s="319">
        <v>429476.14</v>
      </c>
      <c r="BH94" s="319">
        <v>404825.43</v>
      </c>
      <c r="BI94" s="319"/>
      <c r="BJ94" s="319">
        <v>410266.6</v>
      </c>
      <c r="BK94" s="319">
        <v>387701.48</v>
      </c>
      <c r="BL94" s="319">
        <v>398411.94</v>
      </c>
      <c r="BM94" s="319">
        <v>420626.74</v>
      </c>
      <c r="BN94" s="319">
        <v>385744.32999999996</v>
      </c>
      <c r="BO94" s="362">
        <v>403634.22</v>
      </c>
      <c r="BP94" s="753">
        <v>427952.45999999996</v>
      </c>
      <c r="BQ94" s="753">
        <v>437597.08999999997</v>
      </c>
      <c r="BR94" s="753">
        <v>422768.2</v>
      </c>
      <c r="BS94" s="753">
        <v>415000</v>
      </c>
      <c r="BT94" s="286"/>
      <c r="BU94" s="43" t="s">
        <v>77</v>
      </c>
      <c r="BV94" s="319">
        <v>50812.160000000003</v>
      </c>
      <c r="BW94" s="319">
        <v>59235.76</v>
      </c>
      <c r="BX94" s="319">
        <v>65048.85</v>
      </c>
      <c r="BY94" s="319">
        <v>58509.99</v>
      </c>
      <c r="BZ94" s="319">
        <v>76859.820000000007</v>
      </c>
      <c r="CA94" s="319">
        <v>94747.29</v>
      </c>
      <c r="CB94" s="319">
        <v>198866.8</v>
      </c>
      <c r="CC94" s="319">
        <v>91630.3</v>
      </c>
      <c r="CD94" s="319">
        <v>127597.20000000001</v>
      </c>
      <c r="CE94" s="319">
        <v>132768.94</v>
      </c>
      <c r="CF94" s="319">
        <v>125285.87</v>
      </c>
      <c r="CG94" s="319"/>
      <c r="CH94" s="319">
        <v>188437.76000000001</v>
      </c>
      <c r="CI94" s="319">
        <v>196264.61000000002</v>
      </c>
      <c r="CJ94" s="319">
        <v>197182.43999999997</v>
      </c>
      <c r="CK94" s="319">
        <v>185314.84999999998</v>
      </c>
      <c r="CL94" s="319">
        <v>202990.59</v>
      </c>
      <c r="CM94" s="362">
        <v>694487.02</v>
      </c>
      <c r="CN94" s="753">
        <v>474901.67</v>
      </c>
      <c r="CO94" s="753">
        <v>154787.26999999999</v>
      </c>
      <c r="CP94" s="753">
        <v>169908.74</v>
      </c>
      <c r="CQ94" s="753">
        <v>160550</v>
      </c>
      <c r="CR94" s="39"/>
      <c r="CS94" s="43" t="s">
        <v>77</v>
      </c>
      <c r="CT94" s="319">
        <v>123400.96000000001</v>
      </c>
      <c r="CU94" s="319">
        <v>118471.52</v>
      </c>
      <c r="CV94" s="319">
        <v>93959.45</v>
      </c>
      <c r="CW94" s="319">
        <v>117019.98</v>
      </c>
      <c r="CX94" s="319">
        <v>59779.86</v>
      </c>
      <c r="CY94" s="319">
        <v>60293.73</v>
      </c>
      <c r="CZ94" s="319">
        <v>49716.7</v>
      </c>
      <c r="DA94" s="319">
        <v>64141.21</v>
      </c>
      <c r="DB94" s="319">
        <v>64873.989999999991</v>
      </c>
      <c r="DC94" s="319">
        <v>90234.880000000019</v>
      </c>
      <c r="DD94" s="319">
        <v>77839.520000000004</v>
      </c>
      <c r="DE94" s="319"/>
      <c r="DF94" s="319">
        <v>56103.4</v>
      </c>
      <c r="DG94" s="319">
        <v>75067.73</v>
      </c>
      <c r="DH94" s="319">
        <v>75701.570000000007</v>
      </c>
      <c r="DI94" s="319">
        <v>70080.13</v>
      </c>
      <c r="DJ94" s="319">
        <v>80525.759999999995</v>
      </c>
      <c r="DK94" s="362">
        <v>76172.59</v>
      </c>
      <c r="DL94" s="753">
        <v>48135.820000000007</v>
      </c>
      <c r="DM94" s="753">
        <v>48738.57</v>
      </c>
      <c r="DN94" s="753">
        <v>55466.719999999994</v>
      </c>
      <c r="DO94" s="753">
        <v>51800</v>
      </c>
      <c r="DP94" s="39"/>
      <c r="DQ94" s="43" t="s">
        <v>77</v>
      </c>
      <c r="DR94" s="319">
        <v>14517.76</v>
      </c>
      <c r="DS94" s="319">
        <v>14808.94</v>
      </c>
      <c r="DT94" s="319">
        <v>14455.3</v>
      </c>
      <c r="DU94" s="319">
        <v>8358.57</v>
      </c>
      <c r="DV94" s="319">
        <v>17079.96</v>
      </c>
      <c r="DW94" s="319">
        <v>17226.78</v>
      </c>
      <c r="DX94" s="319">
        <v>9943.34</v>
      </c>
      <c r="DY94" s="319">
        <v>0</v>
      </c>
      <c r="DZ94" s="319">
        <v>1879.95</v>
      </c>
      <c r="EA94" s="319">
        <v>9738.75</v>
      </c>
      <c r="EB94" s="319">
        <v>18337.36</v>
      </c>
      <c r="EC94" s="319"/>
      <c r="ED94" s="319">
        <v>6184</v>
      </c>
      <c r="EE94" s="319">
        <v>943.79</v>
      </c>
      <c r="EF94" s="319">
        <v>809.5</v>
      </c>
      <c r="EG94" s="319">
        <v>458.21</v>
      </c>
      <c r="EH94" s="319">
        <v>342.3</v>
      </c>
      <c r="EI94" s="362">
        <v>437.67</v>
      </c>
      <c r="EJ94" s="753">
        <v>652.76</v>
      </c>
      <c r="EK94" s="753">
        <v>1066.02</v>
      </c>
      <c r="EL94" s="753">
        <v>3984.72</v>
      </c>
      <c r="EM94" s="753">
        <v>4000</v>
      </c>
      <c r="EN94" s="39"/>
      <c r="EO94" s="43" t="s">
        <v>77</v>
      </c>
      <c r="EP94" s="319">
        <v>36294.400000000001</v>
      </c>
      <c r="EQ94" s="319">
        <v>59235.76</v>
      </c>
      <c r="ER94" s="319">
        <v>43365.9</v>
      </c>
      <c r="ES94" s="319">
        <v>75227.13</v>
      </c>
      <c r="ET94" s="319">
        <v>76859.820000000007</v>
      </c>
      <c r="EU94" s="319">
        <v>34453.56</v>
      </c>
      <c r="EV94" s="319">
        <v>79546.720000000001</v>
      </c>
      <c r="EW94" s="319">
        <v>100793.33</v>
      </c>
      <c r="EX94" s="319">
        <v>45336.27</v>
      </c>
      <c r="EY94" s="319">
        <v>62489.62</v>
      </c>
      <c r="EZ94" s="319">
        <v>92205.45</v>
      </c>
      <c r="FA94" s="319"/>
      <c r="FB94" s="319">
        <v>58191.34</v>
      </c>
      <c r="FC94" s="319">
        <v>74743.47</v>
      </c>
      <c r="FD94" s="319">
        <v>68748.160000000003</v>
      </c>
      <c r="FE94" s="319">
        <v>44188.39</v>
      </c>
      <c r="FF94" s="319">
        <v>56343.95</v>
      </c>
      <c r="FG94" s="362">
        <v>73560.5</v>
      </c>
      <c r="FH94" s="362">
        <v>84773.43</v>
      </c>
      <c r="FI94" s="362">
        <v>57653.8</v>
      </c>
      <c r="FJ94" s="362">
        <v>62546.140000000007</v>
      </c>
      <c r="FK94" s="362">
        <v>89905</v>
      </c>
      <c r="FM94" s="43" t="s">
        <v>77</v>
      </c>
      <c r="FN94" s="319">
        <v>172304</v>
      </c>
      <c r="FO94" s="319">
        <v>143033</v>
      </c>
      <c r="FP94" s="319">
        <v>105245</v>
      </c>
      <c r="FQ94" s="319">
        <v>191336</v>
      </c>
      <c r="FR94" s="319">
        <v>228131</v>
      </c>
      <c r="FS94" s="319">
        <v>225945</v>
      </c>
      <c r="FT94" s="319">
        <v>323189</v>
      </c>
      <c r="FU94" s="319">
        <v>256054</v>
      </c>
      <c r="FV94" s="319">
        <v>213690.57000000009</v>
      </c>
      <c r="FW94" s="319">
        <v>286294.96000000002</v>
      </c>
      <c r="FX94" s="319">
        <v>231796.13</v>
      </c>
      <c r="FY94" s="319"/>
      <c r="FZ94" s="319">
        <v>162317.62</v>
      </c>
      <c r="GA94" s="319">
        <v>237456.25</v>
      </c>
      <c r="GB94" s="319">
        <v>250802.3</v>
      </c>
      <c r="GC94" s="319">
        <v>196916.67</v>
      </c>
      <c r="GD94" s="319">
        <v>166446.31</v>
      </c>
      <c r="GE94" s="319">
        <v>528044.47</v>
      </c>
      <c r="GF94" s="756">
        <v>731543.95</v>
      </c>
      <c r="GG94" s="756">
        <v>793052.33</v>
      </c>
      <c r="GH94" s="756">
        <v>693944.23000000021</v>
      </c>
      <c r="GI94" s="756">
        <v>491891</v>
      </c>
      <c r="GJ94" s="42"/>
      <c r="GK94" s="570" t="s">
        <v>77</v>
      </c>
      <c r="GL94" s="571">
        <f>FN94/'4GF Expenditures'!B95</f>
        <v>0.24905612377642997</v>
      </c>
      <c r="GM94" s="571">
        <f>FO94/'4GF Expenditures'!C95</f>
        <v>0.18582519831938449</v>
      </c>
      <c r="GN94" s="571">
        <f>FP94/'4GF Expenditures'!D95</f>
        <v>0.13837957381010924</v>
      </c>
      <c r="GO94" s="571">
        <f>FQ94/'4GF Expenditures'!E95</f>
        <v>0.25519428728429938</v>
      </c>
      <c r="GP94" s="571">
        <f>FR94/'4GF Expenditures'!F95</f>
        <v>0.27916074708487365</v>
      </c>
      <c r="GQ94" s="571">
        <f>FS94/'4GF Expenditures'!G95</f>
        <v>0.26165517496948543</v>
      </c>
      <c r="GR94" s="571">
        <f>FT94/'4GF Expenditures'!H95</f>
        <v>0.36026374165356878</v>
      </c>
      <c r="GS94" s="571">
        <f>FU94/'4GF Expenditures'!I95</f>
        <v>0.26036592000113884</v>
      </c>
      <c r="GT94" s="571">
        <f>FV94/'4GF Expenditures'!J95</f>
        <v>0.20574417447259732</v>
      </c>
      <c r="GU94" s="571">
        <f>FW94/'4GF Expenditures'!K95</f>
        <v>0.26966062862060269</v>
      </c>
      <c r="GV94" s="571">
        <f>FX94/'4GF Expenditures'!L95</f>
        <v>0.20928061818662502</v>
      </c>
      <c r="GW94" s="571" t="e">
        <f>FY94/'4GF Expenditures'!M95</f>
        <v>#DIV/0!</v>
      </c>
      <c r="GX94" s="571">
        <f>FZ94/'4GF Expenditures'!N95</f>
        <v>0.14328985495335317</v>
      </c>
      <c r="GY94" s="571">
        <f>GA94/'4GF Expenditures'!O95</f>
        <v>0.22112211626798645</v>
      </c>
      <c r="GZ94" s="571">
        <f>GB94/'4GF Expenditures'!P95</f>
        <v>0.21757599934568175</v>
      </c>
      <c r="HA94" s="571">
        <f>GC94/'4GF Expenditures'!Q95</f>
        <v>0.17068107537934041</v>
      </c>
      <c r="HB94" s="571">
        <f>GD94/'4GF Expenditures'!R95</f>
        <v>0.14223180466458368</v>
      </c>
      <c r="HC94" s="571">
        <f>GE94/'4GF Expenditures'!S95</f>
        <v>0.40511935211158612</v>
      </c>
      <c r="HD94" s="571">
        <f>GF94/'4GF Expenditures'!T95</f>
        <v>0.57872592305020543</v>
      </c>
      <c r="HE94" s="571">
        <f>GG94/'4GF Expenditures'!U95</f>
        <v>0.66306258935443396</v>
      </c>
      <c r="HF94" s="571">
        <f>GH94/'4GF Expenditures'!V95</f>
        <v>0.50727346429384657</v>
      </c>
      <c r="HG94" s="571">
        <f>GI94/'4GF Expenditures'!W95</f>
        <v>0.33094817755264666</v>
      </c>
      <c r="HH94" s="571"/>
      <c r="HI94" s="571"/>
      <c r="HJ94" s="571"/>
      <c r="HK94" s="568"/>
      <c r="HL94" s="567" t="s">
        <v>77</v>
      </c>
      <c r="HM94" s="571">
        <f>B94/'4GF Expenditures'!B95</f>
        <v>1.049231890007343</v>
      </c>
      <c r="HN94" s="571">
        <f>C94/'4GF Expenditures'!C95</f>
        <v>0.96197178707006981</v>
      </c>
      <c r="HO94" s="571">
        <f>D94/'4GF Expenditures'!D95</f>
        <v>0.95031509967089733</v>
      </c>
      <c r="HP94" s="571">
        <f>E94/'4GF Expenditures'!E95</f>
        <v>1.1148238250334104</v>
      </c>
      <c r="HQ94" s="571">
        <f>F94/'4GF Expenditures'!F95</f>
        <v>1.0450255322117026</v>
      </c>
      <c r="HR94" s="571">
        <f>G94/'4GF Expenditures'!G95</f>
        <v>0.99747198102654011</v>
      </c>
      <c r="HS94" s="571">
        <f>H94/'4GF Expenditures'!H95</f>
        <v>1.1083993802182612</v>
      </c>
      <c r="HT94" s="571">
        <f>I94/'4GF Expenditures'!I95</f>
        <v>0.93173343745773762</v>
      </c>
      <c r="HU94" s="571">
        <f>J94/'4GF Expenditures'!J95</f>
        <v>0.959208709765346</v>
      </c>
      <c r="HV94" s="571">
        <f>K94/'4GF Expenditures'!K95</f>
        <v>1.0683859242510432</v>
      </c>
      <c r="HW94" s="571">
        <f>L94/'4GF Expenditures'!L95</f>
        <v>0.94957619831834694</v>
      </c>
      <c r="HX94" s="571" t="e">
        <f>M94/'4GF Expenditures'!M95</f>
        <v>#DIV/0!</v>
      </c>
      <c r="HY94" s="571">
        <f>N94/'4GF Expenditures'!N95</f>
        <v>0.9727518940301958</v>
      </c>
      <c r="HZ94" s="571">
        <f>O94/'4GF Expenditures'!O95</f>
        <v>1.0699699960690747</v>
      </c>
      <c r="IA94" s="571">
        <f>P94/'4GF Expenditures'!P95</f>
        <v>1.0115779646600827</v>
      </c>
      <c r="IB94" s="571">
        <f>Q94/'4GF Expenditures'!Q95</f>
        <v>0.95329365829772961</v>
      </c>
      <c r="IC94" s="571">
        <f>R94/'4GF Expenditures'!R95</f>
        <v>0.97396547396580291</v>
      </c>
      <c r="ID94" s="573">
        <f>S94/'4GF Expenditures'!S95</f>
        <v>1.2774178814550128</v>
      </c>
      <c r="IE94" s="572">
        <f>T94/'4GF Expenditures'!T95</f>
        <v>1.1609254486528835</v>
      </c>
      <c r="IF94" s="572">
        <f>U94/'4GF Expenditures'!U95</f>
        <v>1.0520535670726952</v>
      </c>
      <c r="IG94" s="572">
        <f>V94/'4GF Expenditures'!V95</f>
        <v>0.92724360249157955</v>
      </c>
      <c r="IH94" s="572">
        <f>W94/'4GF Expenditures'!W95</f>
        <v>0.86405697962124584</v>
      </c>
    </row>
    <row r="95" spans="1:242" ht="14">
      <c r="A95" s="110" t="s">
        <v>78</v>
      </c>
      <c r="B95" s="319">
        <v>2024370</v>
      </c>
      <c r="C95" s="319">
        <v>2181915</v>
      </c>
      <c r="D95" s="319">
        <v>2211399</v>
      </c>
      <c r="E95" s="319">
        <v>2307612</v>
      </c>
      <c r="F95" s="319">
        <v>2232209</v>
      </c>
      <c r="G95" s="319">
        <v>2370746</v>
      </c>
      <c r="H95" s="319">
        <v>2529389</v>
      </c>
      <c r="I95" s="319">
        <v>3383373</v>
      </c>
      <c r="J95" s="319">
        <v>3319255.91</v>
      </c>
      <c r="K95" s="888">
        <v>3727769.83</v>
      </c>
      <c r="L95" s="319">
        <v>3669555.07</v>
      </c>
      <c r="M95" s="322">
        <v>3818272.16</v>
      </c>
      <c r="N95" s="526">
        <v>3974315.8000000003</v>
      </c>
      <c r="O95" s="319">
        <v>3947870.24</v>
      </c>
      <c r="P95" s="319">
        <v>4260864.4000000004</v>
      </c>
      <c r="Q95" s="319">
        <v>4338682.08</v>
      </c>
      <c r="R95" s="319">
        <v>4425723.63</v>
      </c>
      <c r="S95" s="362">
        <v>4038497.42</v>
      </c>
      <c r="T95" s="362">
        <v>4299675.6400000006</v>
      </c>
      <c r="U95" s="362"/>
      <c r="V95" s="362"/>
      <c r="W95" s="362"/>
      <c r="X95" s="6"/>
      <c r="Y95" s="110" t="s">
        <v>78</v>
      </c>
      <c r="Z95" s="319">
        <v>283411.8</v>
      </c>
      <c r="AA95" s="319">
        <v>283648.95</v>
      </c>
      <c r="AB95" s="319">
        <v>331709.84999999998</v>
      </c>
      <c r="AC95" s="319">
        <v>323065.68</v>
      </c>
      <c r="AD95" s="319">
        <v>334831.34999999998</v>
      </c>
      <c r="AE95" s="319">
        <v>379319.36</v>
      </c>
      <c r="AF95" s="319">
        <v>404702.24</v>
      </c>
      <c r="AG95" s="319">
        <v>203002.38</v>
      </c>
      <c r="AH95" s="319">
        <v>27322.29</v>
      </c>
      <c r="AI95" s="319">
        <v>21194.58</v>
      </c>
      <c r="AJ95" s="319">
        <v>24772.94</v>
      </c>
      <c r="AK95" s="319">
        <v>20064.82</v>
      </c>
      <c r="AL95" s="319">
        <v>0</v>
      </c>
      <c r="AM95" s="319">
        <v>0</v>
      </c>
      <c r="AN95" s="319">
        <v>0</v>
      </c>
      <c r="AO95" s="319">
        <v>0</v>
      </c>
      <c r="AP95" s="319">
        <v>0</v>
      </c>
      <c r="AQ95" s="362">
        <v>0</v>
      </c>
      <c r="AR95" s="753">
        <v>0</v>
      </c>
      <c r="AS95" s="753"/>
      <c r="AT95" s="753"/>
      <c r="AU95" s="753"/>
      <c r="AV95" s="39"/>
      <c r="AW95" s="110" t="s">
        <v>78</v>
      </c>
      <c r="AX95" s="319">
        <v>951453.9</v>
      </c>
      <c r="AY95" s="319">
        <v>916404.3</v>
      </c>
      <c r="AZ95" s="319">
        <v>950901.57</v>
      </c>
      <c r="BA95" s="319">
        <v>1015349.28</v>
      </c>
      <c r="BB95" s="319">
        <v>1004494.05</v>
      </c>
      <c r="BC95" s="319">
        <v>1043128.24</v>
      </c>
      <c r="BD95" s="319">
        <v>1163518.94</v>
      </c>
      <c r="BE95" s="319">
        <v>2165358.7200000002</v>
      </c>
      <c r="BF95" s="319">
        <v>2288994.85</v>
      </c>
      <c r="BG95" s="319">
        <v>2490076.71</v>
      </c>
      <c r="BH95" s="319">
        <v>2546871.29</v>
      </c>
      <c r="BI95" s="319">
        <v>2667431.8200000003</v>
      </c>
      <c r="BJ95" s="319">
        <v>2545498.2400000002</v>
      </c>
      <c r="BK95" s="319">
        <v>2421167.3600000003</v>
      </c>
      <c r="BL95" s="319">
        <v>2590657.9699999997</v>
      </c>
      <c r="BM95" s="319">
        <v>2669344.4699999997</v>
      </c>
      <c r="BN95" s="319">
        <v>2796321.34</v>
      </c>
      <c r="BO95" s="362">
        <v>2727427.48</v>
      </c>
      <c r="BP95" s="753">
        <v>2837936.94</v>
      </c>
      <c r="BQ95" s="753"/>
      <c r="BR95" s="753"/>
      <c r="BS95" s="753"/>
      <c r="BT95" s="286"/>
      <c r="BU95" s="110" t="s">
        <v>78</v>
      </c>
      <c r="BV95" s="319">
        <v>384630.3</v>
      </c>
      <c r="BW95" s="319">
        <v>501840.45</v>
      </c>
      <c r="BX95" s="319">
        <v>486507.78</v>
      </c>
      <c r="BY95" s="319">
        <v>484598.52</v>
      </c>
      <c r="BZ95" s="319">
        <v>491085.98</v>
      </c>
      <c r="CA95" s="319">
        <v>497856.66</v>
      </c>
      <c r="CB95" s="319">
        <v>455290.02</v>
      </c>
      <c r="CC95" s="319">
        <v>406004.76</v>
      </c>
      <c r="CD95" s="319">
        <v>481189.8</v>
      </c>
      <c r="CE95" s="319">
        <v>610480.87999999989</v>
      </c>
      <c r="CF95" s="319">
        <v>468134.71999999991</v>
      </c>
      <c r="CG95" s="319">
        <v>496145.35</v>
      </c>
      <c r="CH95" s="319">
        <v>577305.08000000007</v>
      </c>
      <c r="CI95" s="319">
        <v>438508.45</v>
      </c>
      <c r="CJ95" s="319">
        <v>640143.50000000012</v>
      </c>
      <c r="CK95" s="319">
        <v>779042.46000000008</v>
      </c>
      <c r="CL95" s="319">
        <v>708185.2</v>
      </c>
      <c r="CM95" s="362">
        <v>406587.16</v>
      </c>
      <c r="CN95" s="753">
        <v>557852.69000000006</v>
      </c>
      <c r="CO95" s="753"/>
      <c r="CP95" s="753"/>
      <c r="CQ95" s="753"/>
      <c r="CR95" s="39"/>
      <c r="CS95" s="110" t="s">
        <v>78</v>
      </c>
      <c r="CT95" s="319">
        <v>263168.09999999998</v>
      </c>
      <c r="CU95" s="319">
        <v>305468.09999999998</v>
      </c>
      <c r="CV95" s="319">
        <v>309595.86</v>
      </c>
      <c r="CW95" s="319">
        <v>323065.68</v>
      </c>
      <c r="CX95" s="319">
        <v>267865.08</v>
      </c>
      <c r="CY95" s="319">
        <v>284489.52</v>
      </c>
      <c r="CZ95" s="319">
        <v>379408.35</v>
      </c>
      <c r="DA95" s="319">
        <v>406004.76</v>
      </c>
      <c r="DB95" s="319">
        <v>380251.93</v>
      </c>
      <c r="DC95" s="319">
        <v>398974.82</v>
      </c>
      <c r="DD95" s="319">
        <v>433153.56000000006</v>
      </c>
      <c r="DE95" s="319">
        <v>488338.81</v>
      </c>
      <c r="DF95" s="319">
        <v>746277.41</v>
      </c>
      <c r="DG95" s="319">
        <v>746269.09000000008</v>
      </c>
      <c r="DH95" s="319">
        <v>830469.2300000001</v>
      </c>
      <c r="DI95" s="319">
        <v>694947.77000000014</v>
      </c>
      <c r="DJ95" s="319">
        <v>775360.2300000001</v>
      </c>
      <c r="DK95" s="362">
        <v>782480.28</v>
      </c>
      <c r="DL95" s="753">
        <v>783350.63000000012</v>
      </c>
      <c r="DM95" s="753"/>
      <c r="DN95" s="753"/>
      <c r="DO95" s="753"/>
      <c r="DP95" s="39"/>
      <c r="DQ95" s="110" t="s">
        <v>78</v>
      </c>
      <c r="DR95" s="319">
        <v>80974.8</v>
      </c>
      <c r="DS95" s="319">
        <v>130914.9</v>
      </c>
      <c r="DT95" s="319">
        <v>88455.96</v>
      </c>
      <c r="DU95" s="319">
        <v>92304.48</v>
      </c>
      <c r="DV95" s="319">
        <v>66966.27</v>
      </c>
      <c r="DW95" s="319">
        <v>71122.38</v>
      </c>
      <c r="DX95" s="319">
        <v>25293.89</v>
      </c>
      <c r="DY95" s="319">
        <v>101501.19</v>
      </c>
      <c r="DZ95" s="319">
        <v>43363.08</v>
      </c>
      <c r="EA95" s="319">
        <v>67042.7</v>
      </c>
      <c r="EB95" s="319">
        <v>74441.31</v>
      </c>
      <c r="EC95" s="319">
        <v>0</v>
      </c>
      <c r="ED95" s="319">
        <v>10498.58</v>
      </c>
      <c r="EE95" s="319">
        <v>208520.15</v>
      </c>
      <c r="EF95" s="319">
        <v>104405.93</v>
      </c>
      <c r="EG95" s="319">
        <v>95880.53</v>
      </c>
      <c r="EH95" s="319">
        <v>22812.799999999999</v>
      </c>
      <c r="EI95" s="362">
        <v>22673.45</v>
      </c>
      <c r="EJ95" s="753">
        <v>26356.14</v>
      </c>
      <c r="EK95" s="753"/>
      <c r="EL95" s="753"/>
      <c r="EM95" s="753"/>
      <c r="EN95" s="39"/>
      <c r="EO95" s="110" t="s">
        <v>78</v>
      </c>
      <c r="EP95" s="319">
        <v>60731.1</v>
      </c>
      <c r="EQ95" s="319">
        <v>43638.3</v>
      </c>
      <c r="ER95" s="319">
        <v>44227.98</v>
      </c>
      <c r="ES95" s="319">
        <v>69228.36</v>
      </c>
      <c r="ET95" s="319">
        <v>66966.27</v>
      </c>
      <c r="EU95" s="319">
        <v>94829.84</v>
      </c>
      <c r="EV95" s="319">
        <v>101175.56</v>
      </c>
      <c r="EW95" s="319">
        <v>101501.19</v>
      </c>
      <c r="EX95" s="319">
        <v>63723.960000000006</v>
      </c>
      <c r="EY95" s="319">
        <v>82125.140000000014</v>
      </c>
      <c r="EZ95" s="319">
        <v>57303.09</v>
      </c>
      <c r="FA95" s="319">
        <v>89329.36</v>
      </c>
      <c r="FB95" s="319">
        <v>38002.49</v>
      </c>
      <c r="FC95" s="319">
        <v>72850.09</v>
      </c>
      <c r="FD95" s="319">
        <v>40987.770000000004</v>
      </c>
      <c r="FE95" s="319">
        <v>45266.85</v>
      </c>
      <c r="FF95" s="319">
        <v>68844.06</v>
      </c>
      <c r="FG95" s="362">
        <v>45129.049999999996</v>
      </c>
      <c r="FH95" s="362">
        <v>42734.770000000004</v>
      </c>
      <c r="FI95" s="362"/>
      <c r="FJ95" s="362"/>
      <c r="FK95" s="362"/>
      <c r="FM95" s="110" t="s">
        <v>78</v>
      </c>
      <c r="FN95" s="319">
        <v>1595899</v>
      </c>
      <c r="FO95" s="319">
        <v>1708111</v>
      </c>
      <c r="FP95" s="319">
        <v>1206402</v>
      </c>
      <c r="FQ95" s="319">
        <v>1247453</v>
      </c>
      <c r="FR95" s="319">
        <v>902548</v>
      </c>
      <c r="FS95" s="319">
        <v>695927</v>
      </c>
      <c r="FT95" s="319">
        <v>848268</v>
      </c>
      <c r="FU95" s="319">
        <v>1538516</v>
      </c>
      <c r="FV95" s="319">
        <v>1970883.1900000004</v>
      </c>
      <c r="FW95" s="319">
        <v>2647620.2000000002</v>
      </c>
      <c r="FX95" s="319">
        <v>3161717.84</v>
      </c>
      <c r="FY95" s="319">
        <v>3793880.14</v>
      </c>
      <c r="FZ95" s="319">
        <v>4257205.17</v>
      </c>
      <c r="GA95" s="319">
        <v>2084836.55</v>
      </c>
      <c r="GB95" s="319">
        <v>3034841.96</v>
      </c>
      <c r="GC95" s="319">
        <v>2138789.9700000002</v>
      </c>
      <c r="GD95" s="319">
        <v>2883816.05</v>
      </c>
      <c r="GE95" s="319">
        <v>3197912.81</v>
      </c>
      <c r="GF95" s="756">
        <v>2952347.58</v>
      </c>
      <c r="GG95" s="756"/>
      <c r="GH95" s="756"/>
      <c r="GI95" s="756"/>
      <c r="GJ95" s="42"/>
      <c r="GK95" s="570" t="s">
        <v>78</v>
      </c>
      <c r="GL95" s="571">
        <f>FN95/'4GF Expenditures'!B96</f>
        <v>0.81366254422275774</v>
      </c>
      <c r="GM95" s="571">
        <f>FO95/'4GF Expenditures'!C96</f>
        <v>0.8252928077120244</v>
      </c>
      <c r="GN95" s="571">
        <f>FP95/'4GF Expenditures'!D96</f>
        <v>0.44465682899464376</v>
      </c>
      <c r="GO95" s="571">
        <f>FQ95/'4GF Expenditures'!E96</f>
        <v>0.55037256883887087</v>
      </c>
      <c r="GP95" s="571">
        <f>FR95/'4GF Expenditures'!F96</f>
        <v>0.35021656007456403</v>
      </c>
      <c r="GQ95" s="571">
        <f>FS95/'4GF Expenditures'!G96</f>
        <v>0.27001470880941675</v>
      </c>
      <c r="GR95" s="571">
        <f>FT95/'4GF Expenditures'!H96</f>
        <v>0.35685774961212396</v>
      </c>
      <c r="GS95" s="571">
        <f>FU95/'4GF Expenditures'!I96</f>
        <v>0.57127537711766074</v>
      </c>
      <c r="GT95" s="571">
        <f>FV95/'4GF Expenditures'!J96</f>
        <v>0.68270159890500792</v>
      </c>
      <c r="GU95" s="571">
        <f>FW95/'4GF Expenditures'!K96</f>
        <v>0.86777834136835008</v>
      </c>
      <c r="GV95" s="571">
        <f>FX95/'4GF Expenditures'!L96</f>
        <v>1.0019839944410216</v>
      </c>
      <c r="GW95" s="571">
        <f>FY95/'4GF Expenditures'!M96</f>
        <v>1.155499418560455</v>
      </c>
      <c r="GX95" s="571">
        <f>FZ95/'4GF Expenditures'!N96</f>
        <v>1.2230478666315669</v>
      </c>
      <c r="GY95" s="571">
        <f>GA95/'4GF Expenditures'!O96</f>
        <v>0.34079566195912936</v>
      </c>
      <c r="GZ95" s="571">
        <f>GB95/'4GF Expenditures'!P96</f>
        <v>0.91679273046946719</v>
      </c>
      <c r="HA95" s="571">
        <f>GC95/'4GF Expenditures'!Q96</f>
        <v>0.40857662326292732</v>
      </c>
      <c r="HB95" s="571">
        <f>GD95/'4GF Expenditures'!R96</f>
        <v>0.78349715259815345</v>
      </c>
      <c r="HC95" s="571">
        <f>GE95/'4GF Expenditures'!S96</f>
        <v>0.85863823523218896</v>
      </c>
      <c r="HD95" s="571">
        <f>GF95/'4GF Expenditures'!T96</f>
        <v>0.64954700189519332</v>
      </c>
      <c r="HE95" s="571" t="e">
        <f>GG95/'4GF Expenditures'!U96</f>
        <v>#DIV/0!</v>
      </c>
      <c r="HF95" s="571" t="e">
        <f>GH95/'4GF Expenditures'!V96</f>
        <v>#DIV/0!</v>
      </c>
      <c r="HG95" s="571" t="e">
        <f>GI95/'4GF Expenditures'!W96</f>
        <v>#DIV/0!</v>
      </c>
      <c r="HH95" s="571"/>
      <c r="HI95" s="571"/>
      <c r="HJ95" s="571"/>
      <c r="HK95" s="568"/>
      <c r="HL95" s="567" t="s">
        <v>78</v>
      </c>
      <c r="HM95" s="571">
        <f>B95/'4GF Expenditures'!B96</f>
        <v>1.0321167220784173</v>
      </c>
      <c r="HN95" s="571">
        <f>C95/'4GF Expenditures'!C96</f>
        <v>1.054216474537651</v>
      </c>
      <c r="HO95" s="571">
        <f>D95/'4GF Expenditures'!D96</f>
        <v>0.81507960611962371</v>
      </c>
      <c r="HP95" s="571">
        <f>E95/'4GF Expenditures'!E96</f>
        <v>1.0181115796133438</v>
      </c>
      <c r="HQ95" s="571">
        <f>F95/'4GF Expenditures'!F96</f>
        <v>0.86616618434419279</v>
      </c>
      <c r="HR95" s="571">
        <f>G95/'4GF Expenditures'!G96</f>
        <v>0.91983252676083771</v>
      </c>
      <c r="HS95" s="571">
        <f>H95/'4GF Expenditures'!H96</f>
        <v>1.0640883145817839</v>
      </c>
      <c r="HT95" s="571">
        <f>I95/'4GF Expenditures'!I96</f>
        <v>1.2563000232072408</v>
      </c>
      <c r="HU95" s="571">
        <f>J95/'4GF Expenditures'!J96</f>
        <v>1.1497694680382842</v>
      </c>
      <c r="HV95" s="571">
        <f>K95/'4GF Expenditures'!K96</f>
        <v>1.221805876870246</v>
      </c>
      <c r="HW95" s="571">
        <f>L95/'4GF Expenditures'!L96</f>
        <v>1.1629233324817823</v>
      </c>
      <c r="HX95" s="571">
        <f>M95/'4GF Expenditures'!M96</f>
        <v>1.1629284790176775</v>
      </c>
      <c r="HY95" s="571">
        <f>N95/'4GF Expenditures'!N96</f>
        <v>1.1417768856346027</v>
      </c>
      <c r="HZ95" s="571">
        <f>O95/'4GF Expenditures'!O96</f>
        <v>0.64533454757858444</v>
      </c>
      <c r="IA95" s="571">
        <f>P95/'4GF Expenditures'!P96</f>
        <v>1.2871607678167691</v>
      </c>
      <c r="IB95" s="571">
        <f>Q95/'4GF Expenditures'!Q96</f>
        <v>0.82882569047103472</v>
      </c>
      <c r="IC95" s="571">
        <f>R95/'4GF Expenditures'!R96</f>
        <v>1.2024143711563586</v>
      </c>
      <c r="ID95" s="573">
        <f>S95/'4GF Expenditures'!S96</f>
        <v>1.0843348470462357</v>
      </c>
      <c r="IE95" s="572">
        <f>T95/'4GF Expenditures'!T96</f>
        <v>0.94597310967152337</v>
      </c>
      <c r="IF95" s="572" t="e">
        <f>U95/'4GF Expenditures'!U96</f>
        <v>#DIV/0!</v>
      </c>
      <c r="IG95" s="572" t="e">
        <f>V95/'4GF Expenditures'!V96</f>
        <v>#DIV/0!</v>
      </c>
      <c r="IH95" s="572" t="e">
        <f>W95/'4GF Expenditures'!W96</f>
        <v>#DIV/0!</v>
      </c>
    </row>
    <row r="96" spans="1:242" ht="14">
      <c r="A96" s="43" t="s">
        <v>79</v>
      </c>
      <c r="B96" s="319">
        <v>1541952</v>
      </c>
      <c r="C96" s="319">
        <v>2057098</v>
      </c>
      <c r="D96" s="319">
        <v>1782117</v>
      </c>
      <c r="E96" s="319">
        <v>3678508</v>
      </c>
      <c r="F96" s="319">
        <v>4266487</v>
      </c>
      <c r="G96" s="319">
        <v>4412626</v>
      </c>
      <c r="H96" s="319">
        <v>5675036</v>
      </c>
      <c r="I96" s="319">
        <v>6198584</v>
      </c>
      <c r="J96" s="319">
        <v>6225174.5499999998</v>
      </c>
      <c r="K96" s="888">
        <v>6403763.3700000001</v>
      </c>
      <c r="L96" s="319">
        <v>6771348.4800000004</v>
      </c>
      <c r="M96" s="319">
        <v>7127853.0299999993</v>
      </c>
      <c r="N96" s="325">
        <v>6900327.54</v>
      </c>
      <c r="O96" s="319">
        <v>6121637.1900000004</v>
      </c>
      <c r="P96" s="319">
        <v>6348238.5599999996</v>
      </c>
      <c r="Q96" s="319">
        <v>6265962.8099999996</v>
      </c>
      <c r="R96" s="319">
        <v>6789803.7599999998</v>
      </c>
      <c r="S96" s="362">
        <v>6610141.3600000003</v>
      </c>
      <c r="T96" s="362">
        <v>6709867.7800000003</v>
      </c>
      <c r="U96" s="362">
        <v>7241349.9400000004</v>
      </c>
      <c r="V96" s="362">
        <v>7321709.5800000001</v>
      </c>
      <c r="W96" s="362">
        <v>7399591</v>
      </c>
      <c r="X96" s="6"/>
      <c r="Y96" s="43" t="s">
        <v>79</v>
      </c>
      <c r="Z96" s="319">
        <v>277551.35999999999</v>
      </c>
      <c r="AA96" s="319">
        <v>329135.68</v>
      </c>
      <c r="AB96" s="319">
        <v>338602.23</v>
      </c>
      <c r="AC96" s="319">
        <v>367850.8</v>
      </c>
      <c r="AD96" s="319">
        <v>383983.83</v>
      </c>
      <c r="AE96" s="319">
        <v>441262.6</v>
      </c>
      <c r="AF96" s="319">
        <v>454002.88</v>
      </c>
      <c r="AG96" s="319">
        <v>433900.88</v>
      </c>
      <c r="AH96" s="319">
        <v>523655.04</v>
      </c>
      <c r="AI96" s="319">
        <v>494503.61</v>
      </c>
      <c r="AJ96" s="319">
        <v>540289.51</v>
      </c>
      <c r="AK96" s="319">
        <v>549048.96</v>
      </c>
      <c r="AL96" s="319">
        <v>660392.14</v>
      </c>
      <c r="AM96" s="319">
        <v>634478.20000000007</v>
      </c>
      <c r="AN96" s="319">
        <v>637639.57999999996</v>
      </c>
      <c r="AO96" s="319">
        <v>622608.37</v>
      </c>
      <c r="AP96" s="319">
        <v>752513.36</v>
      </c>
      <c r="AQ96" s="362">
        <v>667201</v>
      </c>
      <c r="AR96" s="753">
        <v>729722.45</v>
      </c>
      <c r="AS96" s="753">
        <v>716686.83</v>
      </c>
      <c r="AT96" s="753">
        <v>680349.90999999992</v>
      </c>
      <c r="AU96" s="753">
        <v>727141</v>
      </c>
      <c r="AV96" s="39"/>
      <c r="AW96" s="43" t="s">
        <v>79</v>
      </c>
      <c r="AX96" s="319">
        <v>447166.08</v>
      </c>
      <c r="AY96" s="319">
        <v>452561.56</v>
      </c>
      <c r="AZ96" s="319">
        <v>463350.42</v>
      </c>
      <c r="BA96" s="319">
        <v>2170319.7200000002</v>
      </c>
      <c r="BB96" s="319">
        <v>2474562.46</v>
      </c>
      <c r="BC96" s="319">
        <v>2559323.08</v>
      </c>
      <c r="BD96" s="319">
        <v>3745523.76</v>
      </c>
      <c r="BE96" s="319">
        <v>4029079.6</v>
      </c>
      <c r="BF96" s="319">
        <v>3850539.33</v>
      </c>
      <c r="BG96" s="319">
        <v>4069660.08</v>
      </c>
      <c r="BH96" s="319">
        <v>4408309.37</v>
      </c>
      <c r="BI96" s="319">
        <v>4749833.0699999994</v>
      </c>
      <c r="BJ96" s="319">
        <v>4374540.8600000003</v>
      </c>
      <c r="BK96" s="319">
        <v>3848293.5999999996</v>
      </c>
      <c r="BL96" s="319">
        <v>3905008.4699999997</v>
      </c>
      <c r="BM96" s="319">
        <v>4058377.0799999996</v>
      </c>
      <c r="BN96" s="319">
        <v>4245366.92</v>
      </c>
      <c r="BO96" s="362">
        <v>4291308.16</v>
      </c>
      <c r="BP96" s="753">
        <v>4294744.6900000004</v>
      </c>
      <c r="BQ96" s="753">
        <v>4742969.66</v>
      </c>
      <c r="BR96" s="753">
        <v>4864111.9400000004</v>
      </c>
      <c r="BS96" s="753">
        <v>4888000</v>
      </c>
      <c r="BT96" s="286"/>
      <c r="BU96" s="43" t="s">
        <v>79</v>
      </c>
      <c r="BV96" s="319">
        <v>107936.64</v>
      </c>
      <c r="BW96" s="319">
        <v>596558.42000000004</v>
      </c>
      <c r="BX96" s="319">
        <v>267317.55</v>
      </c>
      <c r="BY96" s="319">
        <v>478206.04</v>
      </c>
      <c r="BZ96" s="319">
        <v>639973.05000000005</v>
      </c>
      <c r="CA96" s="319">
        <v>661893.9</v>
      </c>
      <c r="CB96" s="319">
        <v>567503.6</v>
      </c>
      <c r="CC96" s="319">
        <v>247943.36</v>
      </c>
      <c r="CD96" s="319">
        <v>422581.87000000005</v>
      </c>
      <c r="CE96" s="319">
        <v>296631.52999999997</v>
      </c>
      <c r="CF96" s="319">
        <v>238833.75</v>
      </c>
      <c r="CG96" s="319">
        <v>215871.4</v>
      </c>
      <c r="CH96" s="319">
        <v>246334.15999999997</v>
      </c>
      <c r="CI96" s="319">
        <v>331246.08000000002</v>
      </c>
      <c r="CJ96" s="319">
        <v>389443.19999999995</v>
      </c>
      <c r="CK96" s="319">
        <v>376055.44</v>
      </c>
      <c r="CL96" s="319">
        <v>319721.38999999996</v>
      </c>
      <c r="CM96" s="362">
        <v>281328.53000000003</v>
      </c>
      <c r="CN96" s="753">
        <v>310128.18999999994</v>
      </c>
      <c r="CO96" s="753">
        <v>377522.48</v>
      </c>
      <c r="CP96" s="753">
        <v>338147.83</v>
      </c>
      <c r="CQ96" s="753">
        <v>395300</v>
      </c>
      <c r="CR96" s="39"/>
      <c r="CS96" s="43" t="s">
        <v>79</v>
      </c>
      <c r="CT96" s="319">
        <v>539683.19999999995</v>
      </c>
      <c r="CU96" s="319">
        <v>555416.46</v>
      </c>
      <c r="CV96" s="319">
        <v>570277.43999999994</v>
      </c>
      <c r="CW96" s="319">
        <v>551776.19999999995</v>
      </c>
      <c r="CX96" s="319">
        <v>682637.92</v>
      </c>
      <c r="CY96" s="319">
        <v>661893.9</v>
      </c>
      <c r="CZ96" s="319">
        <v>794505.04</v>
      </c>
      <c r="DA96" s="319">
        <v>867801.76</v>
      </c>
      <c r="DB96" s="319">
        <v>883495.93</v>
      </c>
      <c r="DC96" s="319">
        <v>999007.4</v>
      </c>
      <c r="DD96" s="319">
        <v>1165711.8500000001</v>
      </c>
      <c r="DE96" s="319">
        <v>1171691.26</v>
      </c>
      <c r="DF96" s="319">
        <v>1092146.94</v>
      </c>
      <c r="DG96" s="319">
        <v>930568.46000000008</v>
      </c>
      <c r="DH96" s="319">
        <v>934648.27</v>
      </c>
      <c r="DI96" s="319">
        <v>929216.94000000006</v>
      </c>
      <c r="DJ96" s="319">
        <v>1046552.9299999999</v>
      </c>
      <c r="DK96" s="362">
        <v>1004362.9800000001</v>
      </c>
      <c r="DL96" s="753">
        <v>1042468.71</v>
      </c>
      <c r="DM96" s="753">
        <v>1070099.0599999998</v>
      </c>
      <c r="DN96" s="753">
        <v>1061484.27</v>
      </c>
      <c r="DO96" s="753">
        <v>1072400</v>
      </c>
      <c r="DP96" s="39"/>
      <c r="DQ96" s="43" t="s">
        <v>79</v>
      </c>
      <c r="DR96" s="319">
        <v>30839.040000000001</v>
      </c>
      <c r="DS96" s="319">
        <v>41141.96</v>
      </c>
      <c r="DT96" s="319">
        <v>53463.51</v>
      </c>
      <c r="DU96" s="319">
        <v>36785.08</v>
      </c>
      <c r="DV96" s="319">
        <v>42664.87</v>
      </c>
      <c r="DW96" s="319">
        <v>44126.26</v>
      </c>
      <c r="DX96" s="319">
        <v>56750.36</v>
      </c>
      <c r="DY96" s="319">
        <v>61985.84</v>
      </c>
      <c r="DZ96" s="319">
        <v>17722.64</v>
      </c>
      <c r="EA96" s="319">
        <v>26842.91</v>
      </c>
      <c r="EB96" s="319">
        <v>49724.6</v>
      </c>
      <c r="EC96" s="319">
        <v>47452.1</v>
      </c>
      <c r="ED96" s="319">
        <v>46383.38</v>
      </c>
      <c r="EE96" s="319">
        <v>14081.09</v>
      </c>
      <c r="EF96" s="319">
        <v>13854.76</v>
      </c>
      <c r="EG96" s="319">
        <v>15297.68</v>
      </c>
      <c r="EH96" s="319">
        <v>23772.11</v>
      </c>
      <c r="EI96" s="362">
        <v>13184.05</v>
      </c>
      <c r="EJ96" s="753">
        <v>4962.37</v>
      </c>
      <c r="EK96" s="753">
        <v>4887.6899999999996</v>
      </c>
      <c r="EL96" s="753">
        <v>5204.53</v>
      </c>
      <c r="EM96" s="753">
        <v>5000</v>
      </c>
      <c r="EN96" s="39"/>
      <c r="EO96" s="43" t="s">
        <v>79</v>
      </c>
      <c r="EP96" s="319">
        <v>138775.67999999999</v>
      </c>
      <c r="EQ96" s="319">
        <v>82283.92</v>
      </c>
      <c r="ER96" s="319">
        <v>89105.85</v>
      </c>
      <c r="ES96" s="319">
        <v>73570.16</v>
      </c>
      <c r="ET96" s="319">
        <v>42664.87</v>
      </c>
      <c r="EU96" s="319">
        <v>44126.26</v>
      </c>
      <c r="EV96" s="319">
        <v>56750.36</v>
      </c>
      <c r="EW96" s="319">
        <v>557872.56000000006</v>
      </c>
      <c r="EX96" s="319">
        <v>512501.01</v>
      </c>
      <c r="EY96" s="319">
        <v>434369.59</v>
      </c>
      <c r="EZ96" s="319">
        <v>363975.40000000014</v>
      </c>
      <c r="FA96" s="319">
        <v>381042.86</v>
      </c>
      <c r="FB96" s="319">
        <v>467781.57</v>
      </c>
      <c r="FC96" s="319">
        <v>337019.6</v>
      </c>
      <c r="FD96" s="319">
        <v>459177.47000000003</v>
      </c>
      <c r="FE96" s="319">
        <v>259526.30000000002</v>
      </c>
      <c r="FF96" s="319">
        <v>401877.05000000005</v>
      </c>
      <c r="FG96" s="362">
        <v>352756.63999999996</v>
      </c>
      <c r="FH96" s="362">
        <v>325001.37</v>
      </c>
      <c r="FI96" s="362">
        <v>329184.22000000009</v>
      </c>
      <c r="FJ96" s="362">
        <v>358144.1</v>
      </c>
      <c r="FK96" s="362">
        <v>286750</v>
      </c>
      <c r="FM96" s="43" t="s">
        <v>79</v>
      </c>
      <c r="FN96" s="319">
        <v>255499</v>
      </c>
      <c r="FO96" s="319">
        <v>803995</v>
      </c>
      <c r="FP96" s="319">
        <v>544775</v>
      </c>
      <c r="FQ96" s="319">
        <v>729097</v>
      </c>
      <c r="FR96" s="319">
        <v>1010532</v>
      </c>
      <c r="FS96" s="319">
        <v>1017218</v>
      </c>
      <c r="FT96" s="319">
        <v>1287745</v>
      </c>
      <c r="FU96" s="319">
        <v>1253590</v>
      </c>
      <c r="FV96" s="319">
        <v>1002941.8400000008</v>
      </c>
      <c r="FW96" s="319">
        <v>775010.73</v>
      </c>
      <c r="FX96" s="319">
        <v>625909.65</v>
      </c>
      <c r="FY96" s="319">
        <v>960592.18</v>
      </c>
      <c r="FZ96" s="319">
        <v>311594.78000000003</v>
      </c>
      <c r="GA96" s="319">
        <v>482499.09</v>
      </c>
      <c r="GB96" s="319">
        <v>1035975.75</v>
      </c>
      <c r="GC96" s="319">
        <v>779582.28</v>
      </c>
      <c r="GD96" s="319">
        <v>1337675.81</v>
      </c>
      <c r="GE96" s="319"/>
      <c r="GF96" s="756">
        <v>876373.09</v>
      </c>
      <c r="GG96" s="756">
        <v>1029380.17</v>
      </c>
      <c r="GH96" s="756">
        <v>1070171.2</v>
      </c>
      <c r="GI96" s="756">
        <v>468961.19999999925</v>
      </c>
      <c r="GJ96" s="41"/>
      <c r="GK96" s="570" t="s">
        <v>79</v>
      </c>
      <c r="GL96" s="571">
        <f>FN96/'4GF Expenditures'!B97</f>
        <v>0.14375188833332114</v>
      </c>
      <c r="GM96" s="571">
        <f>FO96/'4GF Expenditures'!C97</f>
        <v>0.53294043094202448</v>
      </c>
      <c r="GN96" s="571">
        <f>FP96/'4GF Expenditures'!D97</f>
        <v>0.26687166303261051</v>
      </c>
      <c r="GO96" s="571">
        <f>FQ96/'4GF Expenditures'!E97</f>
        <v>0.20285974712959651</v>
      </c>
      <c r="GP96" s="571">
        <f>FR96/'4GF Expenditures'!F97</f>
        <v>0.25358063081736448</v>
      </c>
      <c r="GQ96" s="571">
        <f>FS96/'4GF Expenditures'!G97</f>
        <v>0.2308742288819185</v>
      </c>
      <c r="GR96" s="571">
        <f>FT96/'4GF Expenditures'!H97</f>
        <v>0.23827233889332036</v>
      </c>
      <c r="GS96" s="571">
        <f>FU96/'4GF Expenditures'!I97</f>
        <v>0.20112987243650024</v>
      </c>
      <c r="GT96" s="571">
        <f>FV96/'4GF Expenditures'!J97</f>
        <v>0.16889249004200649</v>
      </c>
      <c r="GU96" s="571">
        <f>FW96/'4GF Expenditures'!K97</f>
        <v>0.11686466141305109</v>
      </c>
      <c r="GV96" s="571">
        <f>FX96/'4GF Expenditures'!L97</f>
        <v>9.0443495696831591E-2</v>
      </c>
      <c r="GW96" s="571">
        <f>FY96/'4GF Expenditures'!M97</f>
        <v>0.14140557490791669</v>
      </c>
      <c r="GX96" s="571">
        <f>FZ96/'4GF Expenditures'!N97</f>
        <v>4.127452222238033E-2</v>
      </c>
      <c r="GY96" s="571">
        <f>GA96/'4GF Expenditures'!O97</f>
        <v>8.0384084844810202E-2</v>
      </c>
      <c r="GZ96" s="571">
        <f>GB96/'4GF Expenditures'!P97</f>
        <v>0.17697211515448086</v>
      </c>
      <c r="HA96" s="571">
        <f>GC96/'4GF Expenditures'!Q97</f>
        <v>0.11839884443017201</v>
      </c>
      <c r="HB96" s="571">
        <f>GD96/'4GF Expenditures'!R97</f>
        <v>0.21471480299945811</v>
      </c>
      <c r="HC96" s="571">
        <f>GE96/'4GF Expenditures'!S97</f>
        <v>0</v>
      </c>
      <c r="HD96" s="571">
        <f>GF96/'4GF Expenditures'!T97</f>
        <v>0.12482960872614247</v>
      </c>
      <c r="HE96" s="571">
        <f>GG96/'4GF Expenditures'!U97</f>
        <v>0.14536875287268222</v>
      </c>
      <c r="HF96" s="571">
        <f>GH96/'4GF Expenditures'!V97</f>
        <v>0.14662303592801673</v>
      </c>
      <c r="HG96" s="571">
        <f>GI96/'4GF Expenditures'!W97</f>
        <v>5.8614281245090244E-2</v>
      </c>
      <c r="HH96" s="571"/>
      <c r="HI96" s="571"/>
      <c r="HJ96" s="571"/>
      <c r="HK96" s="568"/>
      <c r="HL96" s="567" t="s">
        <v>79</v>
      </c>
      <c r="HM96" s="571">
        <f>B96/'4GF Expenditures'!B97</f>
        <v>0.86755138657819098</v>
      </c>
      <c r="HN96" s="571">
        <f>C96/'4GF Expenditures'!C97</f>
        <v>1.3635789956529289</v>
      </c>
      <c r="HO96" s="571">
        <f>D96/'4GF Expenditures'!D97</f>
        <v>0.87301459778566692</v>
      </c>
      <c r="HP96" s="571">
        <f>E96/'4GF Expenditures'!E97</f>
        <v>1.0234868648399291</v>
      </c>
      <c r="HQ96" s="571">
        <f>F96/'4GF Expenditures'!F97</f>
        <v>1.0706226669062286</v>
      </c>
      <c r="HR96" s="571">
        <f>G96/'4GF Expenditures'!G97</f>
        <v>1.0015174968338199</v>
      </c>
      <c r="HS96" s="571">
        <f>H96/'4GF Expenditures'!H97</f>
        <v>1.0500557960029302</v>
      </c>
      <c r="HT96" s="571">
        <f>I96/'4GF Expenditures'!I97</f>
        <v>0.99452006573674911</v>
      </c>
      <c r="HU96" s="571">
        <f>J96/'4GF Expenditures'!J97</f>
        <v>1.0483012960109694</v>
      </c>
      <c r="HV96" s="571">
        <f>K96/'4GF Expenditures'!K97</f>
        <v>0.965630034573004</v>
      </c>
      <c r="HW96" s="571">
        <f>L96/'4GF Expenditures'!L97</f>
        <v>0.97845500083378989</v>
      </c>
      <c r="HX96" s="571">
        <f>M96/'4GF Expenditures'!M97</f>
        <v>1.0492675003520078</v>
      </c>
      <c r="HY96" s="571">
        <f>N96/'4GF Expenditures'!N97</f>
        <v>0.9140323929413483</v>
      </c>
      <c r="HZ96" s="571">
        <f>O96/'4GF Expenditures'!O97</f>
        <v>1.0198614121118976</v>
      </c>
      <c r="IA96" s="571">
        <f>P96/'4GF Expenditures'!P97</f>
        <v>1.0844473970249167</v>
      </c>
      <c r="IB96" s="571">
        <f>Q96/'4GF Expenditures'!Q97</f>
        <v>0.95164137895288414</v>
      </c>
      <c r="IC96" s="571">
        <f>R96/'4GF Expenditures'!R97</f>
        <v>1.089854033267881</v>
      </c>
      <c r="ID96" s="573">
        <f>S96/'4GF Expenditures'!S97</f>
        <v>0.97605893226250096</v>
      </c>
      <c r="IE96" s="572">
        <f>T96/'4GF Expenditures'!T97</f>
        <v>0.95574610760988832</v>
      </c>
      <c r="IF96" s="572">
        <f>U96/'4GF Expenditures'!U97</f>
        <v>1.0226212244718802</v>
      </c>
      <c r="IG96" s="572">
        <f>V96/'4GF Expenditures'!V97</f>
        <v>1.0031397656775332</v>
      </c>
      <c r="IH96" s="572">
        <f>W96/'4GF Expenditures'!W97</f>
        <v>0.92485627376558921</v>
      </c>
    </row>
    <row r="97" spans="1:242" ht="14">
      <c r="A97" s="43" t="s">
        <v>80</v>
      </c>
      <c r="B97" s="319">
        <v>690124</v>
      </c>
      <c r="C97" s="319">
        <v>763137</v>
      </c>
      <c r="D97" s="319">
        <v>816152</v>
      </c>
      <c r="E97" s="319">
        <v>929313</v>
      </c>
      <c r="F97" s="319">
        <v>931271</v>
      </c>
      <c r="G97" s="319">
        <v>915206</v>
      </c>
      <c r="H97" s="319">
        <v>926674</v>
      </c>
      <c r="I97" s="319">
        <v>958866</v>
      </c>
      <c r="J97" s="319">
        <v>973214.37000000011</v>
      </c>
      <c r="K97" s="888">
        <v>1057593.05</v>
      </c>
      <c r="L97" s="319">
        <v>992588.97</v>
      </c>
      <c r="M97" s="319">
        <v>1101076.7</v>
      </c>
      <c r="N97" s="319">
        <v>1253774.45</v>
      </c>
      <c r="O97" s="319">
        <v>1129328.8799999999</v>
      </c>
      <c r="P97" s="319">
        <v>1309855.26</v>
      </c>
      <c r="Q97" s="319"/>
      <c r="R97" s="319">
        <v>1364237.37</v>
      </c>
      <c r="S97" s="362">
        <v>1367993.7999999998</v>
      </c>
      <c r="T97" s="362">
        <v>1366902.3299999998</v>
      </c>
      <c r="U97" s="362">
        <v>1619289.92</v>
      </c>
      <c r="V97" s="362">
        <v>1629583.69</v>
      </c>
      <c r="W97" s="362">
        <v>1671430</v>
      </c>
      <c r="X97" s="6"/>
      <c r="Y97" s="43" t="s">
        <v>80</v>
      </c>
      <c r="Z97" s="319">
        <v>138024.79999999999</v>
      </c>
      <c r="AA97" s="319">
        <v>152627.4</v>
      </c>
      <c r="AB97" s="319">
        <v>179553.44</v>
      </c>
      <c r="AC97" s="319">
        <v>167276.34</v>
      </c>
      <c r="AD97" s="319">
        <v>158316.07</v>
      </c>
      <c r="AE97" s="319">
        <v>137280.9</v>
      </c>
      <c r="AF97" s="319">
        <v>139001.1</v>
      </c>
      <c r="AG97" s="319">
        <v>153418.56</v>
      </c>
      <c r="AH97" s="319">
        <v>175904.29</v>
      </c>
      <c r="AI97" s="319">
        <v>175217.73</v>
      </c>
      <c r="AJ97" s="319">
        <v>142574.99</v>
      </c>
      <c r="AK97" s="319">
        <v>187294.77</v>
      </c>
      <c r="AL97" s="319">
        <v>182689.28</v>
      </c>
      <c r="AM97" s="319">
        <v>22426.440000000002</v>
      </c>
      <c r="AN97" s="319">
        <v>208841.47</v>
      </c>
      <c r="AO97" s="319"/>
      <c r="AP97" s="319">
        <v>207586.08000000002</v>
      </c>
      <c r="AQ97" s="362">
        <v>211392.25</v>
      </c>
      <c r="AR97" s="753">
        <v>3905.47</v>
      </c>
      <c r="AS97" s="753">
        <v>198209.65000000002</v>
      </c>
      <c r="AT97" s="753">
        <v>272132.69</v>
      </c>
      <c r="AU97" s="753">
        <v>254000</v>
      </c>
      <c r="AV97" s="39"/>
      <c r="AW97" s="43" t="s">
        <v>80</v>
      </c>
      <c r="AX97" s="319">
        <v>379568.2</v>
      </c>
      <c r="AY97" s="319">
        <v>396831.24</v>
      </c>
      <c r="AZ97" s="319">
        <v>367268.4</v>
      </c>
      <c r="BA97" s="319">
        <v>381018.33</v>
      </c>
      <c r="BB97" s="319">
        <v>419071.95</v>
      </c>
      <c r="BC97" s="319">
        <v>411842.7</v>
      </c>
      <c r="BD97" s="319">
        <v>417003.3</v>
      </c>
      <c r="BE97" s="319">
        <v>402723.72</v>
      </c>
      <c r="BF97" s="319">
        <v>371692.49</v>
      </c>
      <c r="BG97" s="319">
        <v>429683.12</v>
      </c>
      <c r="BH97" s="319">
        <v>413666.52</v>
      </c>
      <c r="BI97" s="319">
        <v>454301.73</v>
      </c>
      <c r="BJ97" s="319">
        <v>466176.70999999996</v>
      </c>
      <c r="BK97" s="319">
        <v>454783.53</v>
      </c>
      <c r="BL97" s="319">
        <v>464710.29</v>
      </c>
      <c r="BM97" s="319"/>
      <c r="BN97" s="319">
        <v>447394.32</v>
      </c>
      <c r="BO97" s="362">
        <v>464830.12</v>
      </c>
      <c r="BP97" s="753">
        <v>619855.99</v>
      </c>
      <c r="BQ97" s="753">
        <v>637699.62</v>
      </c>
      <c r="BR97" s="753">
        <v>635099.77</v>
      </c>
      <c r="BS97" s="753">
        <v>625000</v>
      </c>
      <c r="BT97" s="286"/>
      <c r="BU97" s="43" t="s">
        <v>80</v>
      </c>
      <c r="BV97" s="319">
        <v>6901.24</v>
      </c>
      <c r="BW97" s="319">
        <v>15262.74</v>
      </c>
      <c r="BX97" s="319">
        <v>8161.52</v>
      </c>
      <c r="BY97" s="319">
        <v>9293.1299999999992</v>
      </c>
      <c r="BZ97" s="319">
        <v>9312.7099999999991</v>
      </c>
      <c r="CA97" s="319">
        <v>9152.06</v>
      </c>
      <c r="CB97" s="319">
        <v>148267.84</v>
      </c>
      <c r="CC97" s="319">
        <v>201361.86</v>
      </c>
      <c r="CD97" s="319">
        <v>222165.18</v>
      </c>
      <c r="CE97" s="319">
        <v>219271.11000000002</v>
      </c>
      <c r="CF97" s="319">
        <v>225966.46000000002</v>
      </c>
      <c r="CG97" s="319">
        <v>260695.29</v>
      </c>
      <c r="CH97" s="319">
        <v>287434.49</v>
      </c>
      <c r="CI97" s="319">
        <v>322188.96999999997</v>
      </c>
      <c r="CJ97" s="319">
        <v>307653.77999999997</v>
      </c>
      <c r="CK97" s="319"/>
      <c r="CL97" s="319">
        <v>376266.71999999991</v>
      </c>
      <c r="CM97" s="362">
        <v>369363.64</v>
      </c>
      <c r="CN97" s="753">
        <v>388280.07999999996</v>
      </c>
      <c r="CO97" s="753">
        <v>363225.66</v>
      </c>
      <c r="CP97" s="753">
        <v>379005.70000000007</v>
      </c>
      <c r="CQ97" s="753">
        <v>514150</v>
      </c>
      <c r="CR97" s="39"/>
      <c r="CS97" s="43" t="s">
        <v>80</v>
      </c>
      <c r="CT97" s="319">
        <v>103518.6</v>
      </c>
      <c r="CU97" s="319">
        <v>129733.29</v>
      </c>
      <c r="CV97" s="319">
        <v>155068.88</v>
      </c>
      <c r="CW97" s="319">
        <v>176569.47</v>
      </c>
      <c r="CX97" s="319">
        <v>139690.65</v>
      </c>
      <c r="CY97" s="319">
        <v>137280.9</v>
      </c>
      <c r="CZ97" s="319">
        <v>139001.1</v>
      </c>
      <c r="DA97" s="319">
        <v>134241.24</v>
      </c>
      <c r="DB97" s="319">
        <v>111415.20000000001</v>
      </c>
      <c r="DC97" s="319">
        <v>155916.59000000003</v>
      </c>
      <c r="DD97" s="319">
        <v>126536.07999999999</v>
      </c>
      <c r="DE97" s="319">
        <v>146429.44</v>
      </c>
      <c r="DF97" s="319">
        <v>258881.11000000002</v>
      </c>
      <c r="DG97" s="319">
        <v>257190.00000000003</v>
      </c>
      <c r="DH97" s="319">
        <v>288125.46999999997</v>
      </c>
      <c r="DI97" s="319"/>
      <c r="DJ97" s="319">
        <v>262266.67</v>
      </c>
      <c r="DK97" s="362">
        <v>281936.24</v>
      </c>
      <c r="DL97" s="753">
        <v>306248</v>
      </c>
      <c r="DM97" s="753">
        <v>291941.73</v>
      </c>
      <c r="DN97" s="753">
        <v>256235.06000000003</v>
      </c>
      <c r="DO97" s="753">
        <v>254500</v>
      </c>
      <c r="DP97" s="39"/>
      <c r="DQ97" s="43" t="s">
        <v>80</v>
      </c>
      <c r="DR97" s="319">
        <v>13802.48</v>
      </c>
      <c r="DS97" s="319">
        <v>15262.74</v>
      </c>
      <c r="DT97" s="319">
        <v>24484.560000000001</v>
      </c>
      <c r="DU97" s="319">
        <v>18586.259999999998</v>
      </c>
      <c r="DV97" s="319">
        <v>18625.419999999998</v>
      </c>
      <c r="DW97" s="319">
        <v>9152.06</v>
      </c>
      <c r="DX97" s="319">
        <v>0</v>
      </c>
      <c r="DY97" s="319">
        <v>0</v>
      </c>
      <c r="DZ97" s="319">
        <v>2084.61</v>
      </c>
      <c r="EA97" s="319">
        <v>4991.6000000000004</v>
      </c>
      <c r="EB97" s="319">
        <v>13145.17</v>
      </c>
      <c r="EC97" s="319">
        <v>8501.8700000000008</v>
      </c>
      <c r="ED97" s="319">
        <v>6297.24</v>
      </c>
      <c r="EE97" s="319">
        <v>3351.01</v>
      </c>
      <c r="EF97" s="319">
        <v>2827.04</v>
      </c>
      <c r="EG97" s="319"/>
      <c r="EH97" s="319">
        <v>2585.12</v>
      </c>
      <c r="EI97" s="362">
        <v>1679.96</v>
      </c>
      <c r="EJ97" s="753">
        <v>1080.32</v>
      </c>
      <c r="EK97" s="753">
        <v>1264.99</v>
      </c>
      <c r="EL97" s="753">
        <v>3027.25</v>
      </c>
      <c r="EM97" s="753">
        <v>1200</v>
      </c>
      <c r="EN97" s="39"/>
      <c r="EO97" s="43" t="s">
        <v>80</v>
      </c>
      <c r="EP97" s="319">
        <v>48308.68</v>
      </c>
      <c r="EQ97" s="319">
        <v>53419.59</v>
      </c>
      <c r="ER97" s="319">
        <v>81615.199999999997</v>
      </c>
      <c r="ES97" s="319">
        <v>176569.47</v>
      </c>
      <c r="ET97" s="319">
        <v>186254.2</v>
      </c>
      <c r="EU97" s="319">
        <v>210497.38</v>
      </c>
      <c r="EV97" s="319">
        <v>83400.66</v>
      </c>
      <c r="EW97" s="319">
        <v>67120.62</v>
      </c>
      <c r="EX97" s="319">
        <v>57452.600000000006</v>
      </c>
      <c r="EY97" s="319">
        <v>34512.899999999994</v>
      </c>
      <c r="EZ97" s="319">
        <v>35013.46</v>
      </c>
      <c r="FA97" s="319">
        <v>43001.599999999999</v>
      </c>
      <c r="FB97" s="319">
        <v>52295.619999999995</v>
      </c>
      <c r="FC97" s="319">
        <v>69388.929999999993</v>
      </c>
      <c r="FD97" s="319">
        <v>37697.21</v>
      </c>
      <c r="FE97" s="319"/>
      <c r="FF97" s="319">
        <v>68138.459999999992</v>
      </c>
      <c r="FG97" s="362">
        <v>38791.590000000004</v>
      </c>
      <c r="FH97" s="362">
        <v>47532.47</v>
      </c>
      <c r="FI97" s="362">
        <v>34382.14</v>
      </c>
      <c r="FJ97" s="362">
        <v>56578.38</v>
      </c>
      <c r="FK97" s="362">
        <v>22580</v>
      </c>
      <c r="FM97" s="43" t="s">
        <v>80</v>
      </c>
      <c r="FN97" s="319">
        <v>176703</v>
      </c>
      <c r="FO97" s="319">
        <v>262881</v>
      </c>
      <c r="FP97" s="319">
        <v>221511</v>
      </c>
      <c r="FQ97" s="319">
        <v>207552</v>
      </c>
      <c r="FR97" s="319">
        <v>172628</v>
      </c>
      <c r="FS97" s="319">
        <v>73892</v>
      </c>
      <c r="FT97" s="319">
        <v>53677</v>
      </c>
      <c r="FU97" s="319">
        <v>78780</v>
      </c>
      <c r="FV97" s="319">
        <v>26288.960000000428</v>
      </c>
      <c r="FW97" s="319">
        <v>81373.100000000006</v>
      </c>
      <c r="FX97" s="319">
        <v>30548.12</v>
      </c>
      <c r="FY97" s="319">
        <v>79354.720000000001</v>
      </c>
      <c r="FZ97" s="319">
        <v>142011.93</v>
      </c>
      <c r="GA97" s="319">
        <v>208772.96</v>
      </c>
      <c r="GB97" s="319">
        <v>226134.85</v>
      </c>
      <c r="GC97" s="319"/>
      <c r="GD97" s="319">
        <v>217186.77</v>
      </c>
      <c r="GE97" s="319">
        <v>175825.76</v>
      </c>
      <c r="GF97" s="756">
        <v>275592.40000000002</v>
      </c>
      <c r="GG97" s="756">
        <v>352437.59</v>
      </c>
      <c r="GH97" s="756">
        <v>410463.65000000014</v>
      </c>
      <c r="GI97" s="756">
        <v>7369.7099999999627</v>
      </c>
      <c r="GJ97" s="41"/>
      <c r="GK97" s="570" t="s">
        <v>80</v>
      </c>
      <c r="GL97" s="571">
        <f>FN97/'4GF Expenditures'!B98</f>
        <v>0.26163725580197045</v>
      </c>
      <c r="GM97" s="571">
        <f>FO97/'4GF Expenditures'!C98</f>
        <v>0.38832632404621253</v>
      </c>
      <c r="GN97" s="571">
        <f>FP97/'4GF Expenditures'!D98</f>
        <v>0.25831523855947719</v>
      </c>
      <c r="GO97" s="571">
        <f>FQ97/'4GF Expenditures'!E98</f>
        <v>0.22003409408950972</v>
      </c>
      <c r="GP97" s="571">
        <f>FR97/'4GF Expenditures'!F98</f>
        <v>0.17866786725246975</v>
      </c>
      <c r="GQ97" s="571">
        <f>FS97/'4GF Expenditures'!G98</f>
        <v>7.287596331940091E-2</v>
      </c>
      <c r="GR97" s="571">
        <f>FT97/'4GF Expenditures'!H98</f>
        <v>5.6687742702682155E-2</v>
      </c>
      <c r="GS97" s="571">
        <f>FU97/'4GF Expenditures'!I98</f>
        <v>8.4368303306085163E-2</v>
      </c>
      <c r="GT97" s="571">
        <f>FV97/'4GF Expenditures'!J98</f>
        <v>2.5622280558561337E-2</v>
      </c>
      <c r="GU97" s="571">
        <f>FW97/'4GF Expenditures'!K98</f>
        <v>8.1169453147304213E-2</v>
      </c>
      <c r="GV97" s="571">
        <f>FX97/'4GF Expenditures'!L98</f>
        <v>2.9021617733176214E-2</v>
      </c>
      <c r="GW97" s="571">
        <f>FY97/'4GF Expenditures'!M98</f>
        <v>7.5718307399264329E-2</v>
      </c>
      <c r="GX97" s="571">
        <f>FZ97/'4GF Expenditures'!N98</f>
        <v>0.11922582028952917</v>
      </c>
      <c r="GY97" s="571">
        <f>GA97/'4GF Expenditures'!O98</f>
        <v>0.17455462863701113</v>
      </c>
      <c r="GZ97" s="571">
        <f>GB97/'4GF Expenditures'!P98</f>
        <v>0.1742037356389865</v>
      </c>
      <c r="HA97" s="571" t="e">
        <f>GC97/'4GF Expenditures'!Q98</f>
        <v>#DIV/0!</v>
      </c>
      <c r="HB97" s="571">
        <f>GD97/'4GF Expenditures'!R98</f>
        <v>0.15767216894989317</v>
      </c>
      <c r="HC97" s="571">
        <f>GE97/'4GF Expenditures'!S98</f>
        <v>0.12501252875017993</v>
      </c>
      <c r="HD97" s="571">
        <f>GF97/'4GF Expenditures'!T98</f>
        <v>0.18727870127962451</v>
      </c>
      <c r="HE97" s="571">
        <f>GG97/'4GF Expenditures'!U98</f>
        <v>0.25024800063126207</v>
      </c>
      <c r="HF97" s="571">
        <f>GH97/'4GF Expenditures'!V98</f>
        <v>0.26118269044960202</v>
      </c>
      <c r="HG97" s="571">
        <f>GI97/'4GF Expenditures'!W98</f>
        <v>3.5524825035279962E-3</v>
      </c>
      <c r="HH97" s="571"/>
      <c r="HI97" s="571"/>
      <c r="HJ97" s="571"/>
      <c r="HK97" s="568"/>
      <c r="HL97" s="567" t="s">
        <v>80</v>
      </c>
      <c r="HM97" s="571">
        <f>B97/'4GF Expenditures'!B98</f>
        <v>1.0218397510120318</v>
      </c>
      <c r="HN97" s="571">
        <f>C97/'4GF Expenditures'!C98</f>
        <v>1.1273016534236195</v>
      </c>
      <c r="HO97" s="571">
        <f>D97/'4GF Expenditures'!D98</f>
        <v>0.95175633977903773</v>
      </c>
      <c r="HP97" s="571">
        <f>E97/'4GF Expenditures'!E98</f>
        <v>0.98520151133501255</v>
      </c>
      <c r="HQ97" s="571">
        <f>F97/'4GF Expenditures'!F98</f>
        <v>0.96385408742541623</v>
      </c>
      <c r="HR97" s="571">
        <f>G97/'4GF Expenditures'!G98</f>
        <v>0.90262164897005948</v>
      </c>
      <c r="HS97" s="571">
        <f>H97/'4GF Expenditures'!H98</f>
        <v>0.97865114073560888</v>
      </c>
      <c r="HT97" s="571">
        <f>I97/'4GF Expenditures'!I98</f>
        <v>1.026883695327401</v>
      </c>
      <c r="HU97" s="571">
        <f>J97/'4GF Expenditures'!J98</f>
        <v>0.94853397136148088</v>
      </c>
      <c r="HV97" s="571">
        <f>K97/'4GF Expenditures'!K98</f>
        <v>1.0549462847168112</v>
      </c>
      <c r="HW97" s="571">
        <f>L97/'4GF Expenditures'!L98</f>
        <v>0.94298888617391563</v>
      </c>
      <c r="HX97" s="571">
        <f>M97/'4GF Expenditures'!M98</f>
        <v>1.0506201022543782</v>
      </c>
      <c r="HY97" s="571">
        <f>N97/'4GF Expenditures'!N98</f>
        <v>1.052603730259164</v>
      </c>
      <c r="HZ97" s="571">
        <f>O97/'4GF Expenditures'!O98</f>
        <v>0.9442294790352721</v>
      </c>
      <c r="IA97" s="571">
        <f>P97/'4GF Expenditures'!P98</f>
        <v>1.0090513666441767</v>
      </c>
      <c r="IB97" s="571" t="e">
        <f>Q97/'4GF Expenditures'!Q98</f>
        <v>#DIV/0!</v>
      </c>
      <c r="IC97" s="571">
        <f>R97/'4GF Expenditures'!R98</f>
        <v>0.99040224729341453</v>
      </c>
      <c r="ID97" s="573">
        <f>S97/'4GF Expenditures'!S98</f>
        <v>0.97264680813873849</v>
      </c>
      <c r="IE97" s="572">
        <f>T97/'4GF Expenditures'!T98</f>
        <v>0.92887791223013649</v>
      </c>
      <c r="IF97" s="572">
        <f>U97/'4GF Expenditures'!U98</f>
        <v>1.1497753827063575</v>
      </c>
      <c r="IG97" s="572">
        <f>V97/'4GF Expenditures'!V98</f>
        <v>1.0369226421559863</v>
      </c>
      <c r="IH97" s="572">
        <f>W97/'4GF Expenditures'!W98</f>
        <v>0.80569328112935634</v>
      </c>
    </row>
    <row r="98" spans="1:242" ht="14">
      <c r="A98" s="43" t="s">
        <v>81</v>
      </c>
      <c r="B98" s="319">
        <v>1032938</v>
      </c>
      <c r="C98" s="319">
        <v>1072926</v>
      </c>
      <c r="D98" s="319">
        <v>1159988</v>
      </c>
      <c r="E98" s="319">
        <v>1211562</v>
      </c>
      <c r="F98" s="319">
        <v>1180630</v>
      </c>
      <c r="G98" s="319">
        <v>1123153</v>
      </c>
      <c r="H98" s="319">
        <v>1343316</v>
      </c>
      <c r="I98" s="319">
        <v>1339343</v>
      </c>
      <c r="J98" s="319">
        <v>1582186.89</v>
      </c>
      <c r="K98" s="888">
        <v>1635591.3199999998</v>
      </c>
      <c r="L98" s="319">
        <v>1673429.7500000002</v>
      </c>
      <c r="M98" s="319">
        <v>1657582.2500000002</v>
      </c>
      <c r="N98" s="319">
        <v>2375680.84</v>
      </c>
      <c r="O98" s="319">
        <v>2794308.9</v>
      </c>
      <c r="P98" s="319">
        <v>3155913.11</v>
      </c>
      <c r="Q98" s="319">
        <v>3085432.54</v>
      </c>
      <c r="R98" s="319">
        <v>3057484.44</v>
      </c>
      <c r="S98" s="362">
        <v>3072270.33</v>
      </c>
      <c r="T98" s="362">
        <v>3411995.08</v>
      </c>
      <c r="U98" s="362"/>
      <c r="V98" s="362"/>
      <c r="W98" s="362"/>
      <c r="X98" s="6"/>
      <c r="Y98" s="43" t="s">
        <v>81</v>
      </c>
      <c r="Z98" s="319">
        <v>51646.9</v>
      </c>
      <c r="AA98" s="319">
        <v>42917.04</v>
      </c>
      <c r="AB98" s="319">
        <v>46399.519999999997</v>
      </c>
      <c r="AC98" s="319">
        <v>0</v>
      </c>
      <c r="AD98" s="319">
        <v>0</v>
      </c>
      <c r="AE98" s="319">
        <v>0</v>
      </c>
      <c r="AF98" s="319">
        <v>0</v>
      </c>
      <c r="AG98" s="319">
        <v>0</v>
      </c>
      <c r="AH98" s="319">
        <v>3072.22</v>
      </c>
      <c r="AI98" s="319">
        <v>2948.88</v>
      </c>
      <c r="AJ98" s="319">
        <v>3956.78</v>
      </c>
      <c r="AK98" s="319">
        <v>4509.53</v>
      </c>
      <c r="AL98" s="319">
        <v>5168.8</v>
      </c>
      <c r="AM98" s="319">
        <v>4672.4799999999996</v>
      </c>
      <c r="AN98" s="319">
        <v>4619.8</v>
      </c>
      <c r="AO98" s="319">
        <v>4574.79</v>
      </c>
      <c r="AP98" s="319">
        <v>4611.55</v>
      </c>
      <c r="AQ98" s="362">
        <v>15919.41</v>
      </c>
      <c r="AR98" s="753">
        <v>82143.83</v>
      </c>
      <c r="AS98" s="753"/>
      <c r="AT98" s="753"/>
      <c r="AU98" s="753"/>
      <c r="AV98" s="39"/>
      <c r="AW98" s="43" t="s">
        <v>81</v>
      </c>
      <c r="AX98" s="319">
        <v>578445.28</v>
      </c>
      <c r="AY98" s="319">
        <v>590109.30000000005</v>
      </c>
      <c r="AZ98" s="319">
        <v>626393.52</v>
      </c>
      <c r="BA98" s="319">
        <v>690590.34</v>
      </c>
      <c r="BB98" s="319">
        <v>684765.4</v>
      </c>
      <c r="BC98" s="319">
        <v>685123.33</v>
      </c>
      <c r="BD98" s="319">
        <v>752256.96</v>
      </c>
      <c r="BE98" s="319">
        <v>776818.94</v>
      </c>
      <c r="BF98" s="319">
        <v>864725.4</v>
      </c>
      <c r="BG98" s="319">
        <v>861585.66</v>
      </c>
      <c r="BH98" s="319">
        <v>955792.85</v>
      </c>
      <c r="BI98" s="319">
        <v>948449.17</v>
      </c>
      <c r="BJ98" s="319">
        <v>937889.38</v>
      </c>
      <c r="BK98" s="319">
        <v>919755.72</v>
      </c>
      <c r="BL98" s="319">
        <v>931215.87</v>
      </c>
      <c r="BM98" s="319">
        <v>944713.03</v>
      </c>
      <c r="BN98" s="319">
        <v>931620.32</v>
      </c>
      <c r="BO98" s="362">
        <v>955130.88</v>
      </c>
      <c r="BP98" s="753">
        <v>1001790.12</v>
      </c>
      <c r="BQ98" s="753"/>
      <c r="BR98" s="753"/>
      <c r="BS98" s="753"/>
      <c r="BT98" s="286"/>
      <c r="BU98" s="43" t="s">
        <v>81</v>
      </c>
      <c r="BV98" s="319">
        <v>103293.8</v>
      </c>
      <c r="BW98" s="319">
        <v>139480.38</v>
      </c>
      <c r="BX98" s="319">
        <v>150798.44</v>
      </c>
      <c r="BY98" s="319">
        <v>181734.3</v>
      </c>
      <c r="BZ98" s="319">
        <v>188900.8</v>
      </c>
      <c r="CA98" s="319">
        <v>157241.42000000001</v>
      </c>
      <c r="CB98" s="319">
        <v>188064.24</v>
      </c>
      <c r="CC98" s="319">
        <v>174114.59</v>
      </c>
      <c r="CD98" s="319">
        <v>217657.91999999998</v>
      </c>
      <c r="CE98" s="319">
        <v>246634.11000000002</v>
      </c>
      <c r="CF98" s="319">
        <v>226545.44</v>
      </c>
      <c r="CG98" s="319">
        <v>228754.15999999997</v>
      </c>
      <c r="CH98" s="319">
        <v>328297.57</v>
      </c>
      <c r="CI98" s="319">
        <v>430908.06999999995</v>
      </c>
      <c r="CJ98" s="319">
        <v>366933.66</v>
      </c>
      <c r="CK98" s="319">
        <v>490223.06999999995</v>
      </c>
      <c r="CL98" s="319">
        <v>395760.07000000007</v>
      </c>
      <c r="CM98" s="362">
        <v>515362.92</v>
      </c>
      <c r="CN98" s="753">
        <v>552265.29999999993</v>
      </c>
      <c r="CO98" s="753"/>
      <c r="CP98" s="753"/>
      <c r="CQ98" s="753"/>
      <c r="CR98" s="39"/>
      <c r="CS98" s="43" t="s">
        <v>81</v>
      </c>
      <c r="CT98" s="319">
        <v>196258.22</v>
      </c>
      <c r="CU98" s="319">
        <v>193126.68</v>
      </c>
      <c r="CV98" s="319">
        <v>220397.72</v>
      </c>
      <c r="CW98" s="319">
        <v>218081.16</v>
      </c>
      <c r="CX98" s="319">
        <v>188900.8</v>
      </c>
      <c r="CY98" s="319">
        <v>168472.95</v>
      </c>
      <c r="CZ98" s="319">
        <v>228363.72</v>
      </c>
      <c r="DA98" s="319">
        <v>267868.59999999998</v>
      </c>
      <c r="DB98" s="319">
        <v>253987.30000000002</v>
      </c>
      <c r="DC98" s="319">
        <v>318927.2</v>
      </c>
      <c r="DD98" s="319">
        <v>304312.22000000003</v>
      </c>
      <c r="DE98" s="319">
        <v>287256.19</v>
      </c>
      <c r="DF98" s="319">
        <v>431901.34</v>
      </c>
      <c r="DG98" s="319">
        <v>439557.17000000004</v>
      </c>
      <c r="DH98" s="319">
        <v>441608.57</v>
      </c>
      <c r="DI98" s="319">
        <v>422174.21</v>
      </c>
      <c r="DJ98" s="319">
        <v>419593.48</v>
      </c>
      <c r="DK98" s="362">
        <v>460566.75</v>
      </c>
      <c r="DL98" s="753">
        <v>495069.98000000004</v>
      </c>
      <c r="DM98" s="753"/>
      <c r="DN98" s="753"/>
      <c r="DO98" s="753"/>
      <c r="DP98" s="39"/>
      <c r="DQ98" s="43" t="s">
        <v>81</v>
      </c>
      <c r="DR98" s="319">
        <v>41317.519999999997</v>
      </c>
      <c r="DS98" s="319">
        <v>42917.04</v>
      </c>
      <c r="DT98" s="319">
        <v>34799.64</v>
      </c>
      <c r="DU98" s="319">
        <v>36346.86</v>
      </c>
      <c r="DV98" s="319">
        <v>23612.6</v>
      </c>
      <c r="DW98" s="319">
        <v>22463.06</v>
      </c>
      <c r="DX98" s="319">
        <v>13433.16</v>
      </c>
      <c r="DY98" s="319">
        <v>13393.43</v>
      </c>
      <c r="DZ98" s="319">
        <v>7285.32</v>
      </c>
      <c r="EA98" s="319">
        <v>13769.95</v>
      </c>
      <c r="EB98" s="319">
        <v>12210.57</v>
      </c>
      <c r="EC98" s="319">
        <v>20279.330000000002</v>
      </c>
      <c r="ED98" s="319">
        <v>16279.46</v>
      </c>
      <c r="EE98" s="319">
        <v>16655.72</v>
      </c>
      <c r="EF98" s="319">
        <v>15960.06</v>
      </c>
      <c r="EG98" s="319">
        <v>11431.79</v>
      </c>
      <c r="EH98" s="319">
        <v>4351.5600000000004</v>
      </c>
      <c r="EI98" s="362">
        <v>4055.6</v>
      </c>
      <c r="EJ98" s="753">
        <v>3518.28</v>
      </c>
      <c r="EK98" s="753"/>
      <c r="EL98" s="753"/>
      <c r="EM98" s="753"/>
      <c r="EN98" s="39"/>
      <c r="EO98" s="43" t="s">
        <v>81</v>
      </c>
      <c r="EP98" s="319">
        <v>61976.28</v>
      </c>
      <c r="EQ98" s="319">
        <v>64375.56</v>
      </c>
      <c r="ER98" s="319">
        <v>81199.16</v>
      </c>
      <c r="ES98" s="319">
        <v>84809.34</v>
      </c>
      <c r="ET98" s="319">
        <v>94450.4</v>
      </c>
      <c r="EU98" s="319">
        <v>89852.24</v>
      </c>
      <c r="EV98" s="319">
        <v>161197.92000000001</v>
      </c>
      <c r="EW98" s="319">
        <v>107147.44</v>
      </c>
      <c r="EX98" s="319">
        <v>93935.03</v>
      </c>
      <c r="EY98" s="319">
        <v>83580.749999999985</v>
      </c>
      <c r="EZ98" s="319">
        <v>78688.950000000012</v>
      </c>
      <c r="FA98" s="319">
        <v>102391.21</v>
      </c>
      <c r="FB98" s="319">
        <v>102115.18000000002</v>
      </c>
      <c r="FC98" s="319">
        <v>106747.27</v>
      </c>
      <c r="FD98" s="319">
        <v>106801.13999999998</v>
      </c>
      <c r="FE98" s="319">
        <v>119071.26</v>
      </c>
      <c r="FF98" s="319">
        <v>110895.84999999999</v>
      </c>
      <c r="FG98" s="362">
        <v>103658.76</v>
      </c>
      <c r="FH98" s="362">
        <v>136876.54999999999</v>
      </c>
      <c r="FI98" s="362"/>
      <c r="FJ98" s="362"/>
      <c r="FK98" s="362"/>
      <c r="FM98" s="43" t="s">
        <v>81</v>
      </c>
      <c r="FN98" s="319">
        <v>665215</v>
      </c>
      <c r="FO98" s="319">
        <v>637033</v>
      </c>
      <c r="FP98" s="319">
        <v>526854</v>
      </c>
      <c r="FQ98" s="319">
        <v>519112</v>
      </c>
      <c r="FR98" s="319">
        <v>418092</v>
      </c>
      <c r="FS98" s="319">
        <v>201155</v>
      </c>
      <c r="FT98" s="319">
        <v>318173</v>
      </c>
      <c r="FU98" s="319">
        <v>267837</v>
      </c>
      <c r="FV98" s="319">
        <v>296763.58000000007</v>
      </c>
      <c r="FW98" s="319">
        <v>452703.79</v>
      </c>
      <c r="FX98" s="319">
        <v>475375.1</v>
      </c>
      <c r="FY98" s="319">
        <v>243668.08</v>
      </c>
      <c r="FZ98" s="319">
        <v>244276.15</v>
      </c>
      <c r="GA98" s="319">
        <v>242502.91</v>
      </c>
      <c r="GB98" s="319">
        <v>305241.36</v>
      </c>
      <c r="GC98" s="319">
        <v>306588.95</v>
      </c>
      <c r="GD98" s="319">
        <v>136354.88</v>
      </c>
      <c r="GE98" s="319">
        <v>174406.92</v>
      </c>
      <c r="GF98" s="756">
        <v>284556.84999999998</v>
      </c>
      <c r="GG98" s="756"/>
      <c r="GH98" s="756"/>
      <c r="GI98" s="756"/>
      <c r="GJ98" s="41"/>
      <c r="GK98" s="570" t="s">
        <v>81</v>
      </c>
      <c r="GL98" s="571">
        <f>FN98/'4GF Expenditures'!B99</f>
        <v>0.64593638272130005</v>
      </c>
      <c r="GM98" s="571">
        <f>FO98/'4GF Expenditures'!C99</f>
        <v>0.57853763796318081</v>
      </c>
      <c r="GN98" s="571">
        <f>FP98/'4GF Expenditures'!D99</f>
        <v>0.41479112589131978</v>
      </c>
      <c r="GO98" s="571">
        <f>FQ98/'4GF Expenditures'!E99</f>
        <v>0.42574452310498451</v>
      </c>
      <c r="GP98" s="571">
        <f>FR98/'4GF Expenditures'!F99</f>
        <v>0.32621386493972615</v>
      </c>
      <c r="GQ98" s="571">
        <f>FS98/'4GF Expenditures'!G99</f>
        <v>0.1501079422029761</v>
      </c>
      <c r="GR98" s="571">
        <f>FT98/'4GF Expenditures'!H99</f>
        <v>0.2594581414957865</v>
      </c>
      <c r="GS98" s="571">
        <f>FU98/'4GF Expenditures'!I99</f>
        <v>0.19273313674102921</v>
      </c>
      <c r="GT98" s="571">
        <f>FV98/'4GF Expenditures'!J99</f>
        <v>0.19695963720785759</v>
      </c>
      <c r="GU98" s="571">
        <f>FW98/'4GF Expenditures'!K99</f>
        <v>0.30595306348940599</v>
      </c>
      <c r="GV98" s="571">
        <f>FX98/'4GF Expenditures'!L99</f>
        <v>0.28797375102319633</v>
      </c>
      <c r="GW98" s="571">
        <f>FY98/'4GF Expenditures'!M99</f>
        <v>0.12897341019673497</v>
      </c>
      <c r="GX98" s="571">
        <f>FZ98/'4GF Expenditures'!N99</f>
        <v>0.10285031522952173</v>
      </c>
      <c r="GY98" s="571">
        <f>GA98/'4GF Expenditures'!O99</f>
        <v>8.6729537208803179E-2</v>
      </c>
      <c r="GZ98" s="571">
        <f>GB98/'4GF Expenditures'!P99</f>
        <v>9.8682289529870612E-2</v>
      </c>
      <c r="HA98" s="571">
        <f>GC98/'4GF Expenditures'!Q99</f>
        <v>9.9397486225430459E-2</v>
      </c>
      <c r="HB98" s="571">
        <f>GD98/'4GF Expenditures'!R99</f>
        <v>4.2244866581187923E-2</v>
      </c>
      <c r="HC98" s="571">
        <f>GE98/'4GF Expenditures'!S99</f>
        <v>5.7480017365527124E-2</v>
      </c>
      <c r="HD98" s="571">
        <f>GF98/'4GF Expenditures'!T99</f>
        <v>8.6181161437512838E-2</v>
      </c>
      <c r="HE98" s="571" t="e">
        <f>GG98/'4GF Expenditures'!U99</f>
        <v>#DIV/0!</v>
      </c>
      <c r="HF98" s="571" t="e">
        <f>GH98/'4GF Expenditures'!V99</f>
        <v>#DIV/0!</v>
      </c>
      <c r="HG98" s="571" t="e">
        <f>GI98/'4GF Expenditures'!W99</f>
        <v>#DIV/0!</v>
      </c>
      <c r="HH98" s="571"/>
      <c r="HI98" s="571"/>
      <c r="HJ98" s="571"/>
      <c r="HK98" s="568"/>
      <c r="HL98" s="567" t="s">
        <v>81</v>
      </c>
      <c r="HM98" s="571">
        <f>B98/'4GF Expenditures'!B99</f>
        <v>1.0030023906486989</v>
      </c>
      <c r="HN98" s="571">
        <f>C98/'4GF Expenditures'!C99</f>
        <v>0.97440489542815467</v>
      </c>
      <c r="HO98" s="571">
        <f>D98/'4GF Expenditures'!D99</f>
        <v>0.91325628834633554</v>
      </c>
      <c r="HP98" s="571">
        <f>E98/'4GF Expenditures'!E99</f>
        <v>0.99365047600926426</v>
      </c>
      <c r="HQ98" s="571">
        <f>F98/'4GF Expenditures'!F99</f>
        <v>0.92117972925525693</v>
      </c>
      <c r="HR98" s="571">
        <f>G98/'4GF Expenditures'!G99</f>
        <v>0.83813072311948111</v>
      </c>
      <c r="HS98" s="571">
        <f>H98/'4GF Expenditures'!H99</f>
        <v>1.0954237876927142</v>
      </c>
      <c r="HT98" s="571">
        <f>I98/'4GF Expenditures'!I99</f>
        <v>0.96377937910796607</v>
      </c>
      <c r="HU98" s="571">
        <f>J98/'4GF Expenditures'!J99</f>
        <v>1.0500849054638994</v>
      </c>
      <c r="HV98" s="571">
        <f>K98/'4GF Expenditures'!K99</f>
        <v>1.1053898509899405</v>
      </c>
      <c r="HW98" s="571">
        <f>L98/'4GF Expenditures'!L99</f>
        <v>1.0137338749575016</v>
      </c>
      <c r="HX98" s="571">
        <f>M98/'4GF Expenditures'!M99</f>
        <v>0.8773575737292999</v>
      </c>
      <c r="HY98" s="571">
        <f>N98/'4GF Expenditures'!N99</f>
        <v>1.0002594329357777</v>
      </c>
      <c r="HZ98" s="571">
        <f>O98/'4GF Expenditures'!O99</f>
        <v>0.99936581262237179</v>
      </c>
      <c r="IA98" s="571">
        <f>P98/'4GF Expenditures'!P99</f>
        <v>1.0202835266234378</v>
      </c>
      <c r="IB98" s="571">
        <f>Q98/'4GF Expenditures'!Q99</f>
        <v>1.000310801788991</v>
      </c>
      <c r="IC98" s="571">
        <f>R98/'4GF Expenditures'!R99</f>
        <v>0.94725632292630868</v>
      </c>
      <c r="ID98" s="573">
        <f>S98/'4GF Expenditures'!S99</f>
        <v>1.0125409698192809</v>
      </c>
      <c r="IE98" s="572">
        <f>T98/'4GF Expenditures'!T99</f>
        <v>1.0333601135009738</v>
      </c>
      <c r="IF98" s="572" t="e">
        <f>U98/'4GF Expenditures'!U99</f>
        <v>#DIV/0!</v>
      </c>
      <c r="IG98" s="572" t="e">
        <f>V98/'4GF Expenditures'!V99</f>
        <v>#DIV/0!</v>
      </c>
      <c r="IH98" s="572" t="e">
        <f>W98/'4GF Expenditures'!W99</f>
        <v>#DIV/0!</v>
      </c>
    </row>
    <row r="99" spans="1:242" ht="14">
      <c r="A99" s="43" t="s">
        <v>82</v>
      </c>
      <c r="B99" s="319">
        <v>1459531</v>
      </c>
      <c r="C99" s="319">
        <v>1590310</v>
      </c>
      <c r="D99" s="319">
        <v>1642319</v>
      </c>
      <c r="E99" s="319">
        <v>1679699</v>
      </c>
      <c r="F99" s="319">
        <v>1752467</v>
      </c>
      <c r="G99" s="319">
        <v>1820505</v>
      </c>
      <c r="H99" s="319">
        <v>1887132</v>
      </c>
      <c r="I99" s="319">
        <v>1940460</v>
      </c>
      <c r="J99" s="319">
        <v>2244092.8400000003</v>
      </c>
      <c r="K99" s="888">
        <v>2173857.7999999998</v>
      </c>
      <c r="L99" s="319">
        <v>2368849.84</v>
      </c>
      <c r="M99" s="319">
        <v>2294381.23</v>
      </c>
      <c r="N99" s="319">
        <v>2828283.48</v>
      </c>
      <c r="O99" s="319">
        <v>3203053.1199999996</v>
      </c>
      <c r="P99" s="319">
        <v>3511135.86</v>
      </c>
      <c r="Q99" s="319">
        <v>3346771.55</v>
      </c>
      <c r="R99" s="319">
        <v>3612008.61</v>
      </c>
      <c r="S99" s="362">
        <v>3251903.71</v>
      </c>
      <c r="T99" s="362"/>
      <c r="U99" s="362">
        <v>4121790.8099999996</v>
      </c>
      <c r="V99" s="362">
        <v>4240003.46</v>
      </c>
      <c r="W99" s="362">
        <v>4295670.21</v>
      </c>
      <c r="X99" s="6"/>
      <c r="Y99" s="43" t="s">
        <v>82</v>
      </c>
      <c r="Z99" s="319">
        <v>131357.79</v>
      </c>
      <c r="AA99" s="319">
        <v>206740.3</v>
      </c>
      <c r="AB99" s="319">
        <v>197078.28</v>
      </c>
      <c r="AC99" s="319">
        <v>235157.86</v>
      </c>
      <c r="AD99" s="319">
        <v>297919.39</v>
      </c>
      <c r="AE99" s="319">
        <v>291280.8</v>
      </c>
      <c r="AF99" s="319">
        <v>301941.12</v>
      </c>
      <c r="AG99" s="319">
        <v>291069</v>
      </c>
      <c r="AH99" s="319">
        <v>327393.43000000005</v>
      </c>
      <c r="AI99" s="319">
        <v>251289.16000000003</v>
      </c>
      <c r="AJ99" s="319">
        <v>230733.24999999997</v>
      </c>
      <c r="AK99" s="319">
        <v>337509.8</v>
      </c>
      <c r="AL99" s="319">
        <v>308724.02999999997</v>
      </c>
      <c r="AM99" s="319">
        <v>355329.85</v>
      </c>
      <c r="AN99" s="319">
        <v>366365.12</v>
      </c>
      <c r="AO99" s="319">
        <v>387203.02999999997</v>
      </c>
      <c r="AP99" s="319">
        <v>410414.18</v>
      </c>
      <c r="AQ99" s="362">
        <v>405071.05</v>
      </c>
      <c r="AR99" s="753"/>
      <c r="AS99" s="753">
        <v>431195.64999999997</v>
      </c>
      <c r="AT99" s="753">
        <v>465570.91000000003</v>
      </c>
      <c r="AU99" s="753">
        <v>448500</v>
      </c>
      <c r="AV99" s="39"/>
      <c r="AW99" s="43" t="s">
        <v>82</v>
      </c>
      <c r="AX99" s="319">
        <v>685979.57</v>
      </c>
      <c r="AY99" s="319">
        <v>699736.4</v>
      </c>
      <c r="AZ99" s="319">
        <v>689773.98</v>
      </c>
      <c r="BA99" s="319">
        <v>739067.56</v>
      </c>
      <c r="BB99" s="319">
        <v>771085.48</v>
      </c>
      <c r="BC99" s="319">
        <v>782817.15</v>
      </c>
      <c r="BD99" s="319">
        <v>811466.76</v>
      </c>
      <c r="BE99" s="319">
        <v>814993.2</v>
      </c>
      <c r="BF99" s="319">
        <v>981385.14</v>
      </c>
      <c r="BG99" s="319">
        <v>906953.22</v>
      </c>
      <c r="BH99" s="319">
        <v>930237.98</v>
      </c>
      <c r="BI99" s="319">
        <v>944052.07000000007</v>
      </c>
      <c r="BJ99" s="319">
        <v>929925.1399999999</v>
      </c>
      <c r="BK99" s="319">
        <v>879781.16999999993</v>
      </c>
      <c r="BL99" s="319">
        <v>914769.73</v>
      </c>
      <c r="BM99" s="319">
        <v>958229.76</v>
      </c>
      <c r="BN99" s="319">
        <v>935341.13</v>
      </c>
      <c r="BO99" s="362">
        <v>939920.2</v>
      </c>
      <c r="BP99" s="753"/>
      <c r="BQ99" s="753">
        <v>1067993.75</v>
      </c>
      <c r="BR99" s="753">
        <v>1067930.3400000001</v>
      </c>
      <c r="BS99" s="753">
        <v>1050000</v>
      </c>
      <c r="BT99" s="286"/>
      <c r="BU99" s="43" t="s">
        <v>82</v>
      </c>
      <c r="BV99" s="319">
        <v>277310.89</v>
      </c>
      <c r="BW99" s="319">
        <v>270352.7</v>
      </c>
      <c r="BX99" s="319">
        <v>246347.85</v>
      </c>
      <c r="BY99" s="319">
        <v>184766.89</v>
      </c>
      <c r="BZ99" s="319">
        <v>192771.37</v>
      </c>
      <c r="CA99" s="319">
        <v>236665.65</v>
      </c>
      <c r="CB99" s="319">
        <v>283069.8</v>
      </c>
      <c r="CC99" s="319">
        <v>349282.8</v>
      </c>
      <c r="CD99" s="319">
        <v>287922.74</v>
      </c>
      <c r="CE99" s="319">
        <v>346187.98999999993</v>
      </c>
      <c r="CF99" s="319">
        <v>333570.57</v>
      </c>
      <c r="CG99" s="319">
        <v>214802.72999999998</v>
      </c>
      <c r="CH99" s="319">
        <v>431116.83000000007</v>
      </c>
      <c r="CI99" s="319">
        <v>526476.11999999988</v>
      </c>
      <c r="CJ99" s="319">
        <v>425406.00999999995</v>
      </c>
      <c r="CK99" s="319">
        <v>460047.01999999996</v>
      </c>
      <c r="CL99" s="319">
        <v>476057.00000000006</v>
      </c>
      <c r="CM99" s="362">
        <v>358399.90000000008</v>
      </c>
      <c r="CN99" s="753"/>
      <c r="CO99" s="753">
        <v>490918.38</v>
      </c>
      <c r="CP99" s="753">
        <v>539207.09</v>
      </c>
      <c r="CQ99" s="753">
        <v>802084.65</v>
      </c>
      <c r="CR99" s="39"/>
      <c r="CS99" s="43" t="s">
        <v>82</v>
      </c>
      <c r="CT99" s="319">
        <v>262715.58</v>
      </c>
      <c r="CU99" s="319">
        <v>302158.90000000002</v>
      </c>
      <c r="CV99" s="319">
        <v>262771.03999999998</v>
      </c>
      <c r="CW99" s="319">
        <v>251954.85</v>
      </c>
      <c r="CX99" s="319">
        <v>280394.71999999997</v>
      </c>
      <c r="CY99" s="319">
        <v>273075.75</v>
      </c>
      <c r="CZ99" s="319">
        <v>339683.76</v>
      </c>
      <c r="DA99" s="319">
        <v>329878.2</v>
      </c>
      <c r="DB99" s="319">
        <v>315270.44</v>
      </c>
      <c r="DC99" s="319">
        <v>326767.81</v>
      </c>
      <c r="DD99" s="319">
        <v>338956.47</v>
      </c>
      <c r="DE99" s="319">
        <v>396800.58</v>
      </c>
      <c r="DF99" s="319">
        <v>583921.54999999993</v>
      </c>
      <c r="DG99" s="319">
        <v>594185.11999999988</v>
      </c>
      <c r="DH99" s="319">
        <v>964207.4600000002</v>
      </c>
      <c r="DI99" s="319">
        <v>996488.18</v>
      </c>
      <c r="DJ99" s="319">
        <v>1147968.5899999999</v>
      </c>
      <c r="DK99" s="362">
        <v>960094.38</v>
      </c>
      <c r="DL99" s="753"/>
      <c r="DM99" s="753">
        <v>1418083.8899999997</v>
      </c>
      <c r="DN99" s="753">
        <v>1545967.9100000001</v>
      </c>
      <c r="DO99" s="753">
        <v>1348850</v>
      </c>
      <c r="DP99" s="39"/>
      <c r="DQ99" s="43" t="s">
        <v>82</v>
      </c>
      <c r="DR99" s="319">
        <v>14595.31</v>
      </c>
      <c r="DS99" s="319">
        <v>15903.1</v>
      </c>
      <c r="DT99" s="319">
        <v>16423.189999999999</v>
      </c>
      <c r="DU99" s="319">
        <v>16796.990000000002</v>
      </c>
      <c r="DV99" s="319">
        <v>35049.339999999997</v>
      </c>
      <c r="DW99" s="319">
        <v>18205.05</v>
      </c>
      <c r="DX99" s="319">
        <v>0</v>
      </c>
      <c r="DY99" s="319">
        <v>0</v>
      </c>
      <c r="DZ99" s="319">
        <v>3532.01</v>
      </c>
      <c r="EA99" s="319">
        <v>10996.45</v>
      </c>
      <c r="EB99" s="319">
        <v>15000.86</v>
      </c>
      <c r="EC99" s="319">
        <v>15855.7</v>
      </c>
      <c r="ED99" s="319">
        <v>8460.2800000000007</v>
      </c>
      <c r="EE99" s="319">
        <v>2816.38</v>
      </c>
      <c r="EF99" s="319">
        <v>1748.61</v>
      </c>
      <c r="EG99" s="319">
        <v>2924.61</v>
      </c>
      <c r="EH99" s="319">
        <v>6234.71</v>
      </c>
      <c r="EI99" s="362">
        <v>6452.38</v>
      </c>
      <c r="EJ99" s="753"/>
      <c r="EK99" s="753">
        <v>4895.63</v>
      </c>
      <c r="EL99" s="753">
        <v>5976.53</v>
      </c>
      <c r="EM99" s="753">
        <v>5000</v>
      </c>
      <c r="EN99" s="39"/>
      <c r="EO99" s="43" t="s">
        <v>82</v>
      </c>
      <c r="EP99" s="319">
        <v>87571.86</v>
      </c>
      <c r="EQ99" s="319">
        <v>95418.6</v>
      </c>
      <c r="ER99" s="319">
        <v>229924.66</v>
      </c>
      <c r="ES99" s="319">
        <v>251954.85</v>
      </c>
      <c r="ET99" s="319">
        <v>175246.7</v>
      </c>
      <c r="EU99" s="319">
        <v>218460.6</v>
      </c>
      <c r="EV99" s="319">
        <v>150970.56</v>
      </c>
      <c r="EW99" s="319">
        <v>155236.79999999999</v>
      </c>
      <c r="EX99" s="319">
        <v>223806.5</v>
      </c>
      <c r="EY99" s="319">
        <v>210660.53</v>
      </c>
      <c r="EZ99" s="319">
        <v>346789.88</v>
      </c>
      <c r="FA99" s="319">
        <v>212282.25</v>
      </c>
      <c r="FB99" s="319">
        <v>185964.38</v>
      </c>
      <c r="FC99" s="319">
        <v>309909.64999999997</v>
      </c>
      <c r="FD99" s="319">
        <v>433362.94999999995</v>
      </c>
      <c r="FE99" s="319">
        <v>194134.99999999997</v>
      </c>
      <c r="FF99" s="319">
        <v>238396.80000000002</v>
      </c>
      <c r="FG99" s="362">
        <v>207340.82</v>
      </c>
      <c r="FH99" s="362"/>
      <c r="FI99" s="362">
        <v>182841.32</v>
      </c>
      <c r="FJ99" s="362">
        <v>179673.56999999998</v>
      </c>
      <c r="FK99" s="362">
        <v>170235.56</v>
      </c>
      <c r="FM99" s="43" t="s">
        <v>82</v>
      </c>
      <c r="FN99" s="319">
        <v>322943</v>
      </c>
      <c r="FO99" s="319">
        <v>400057</v>
      </c>
      <c r="FP99" s="319">
        <v>373798</v>
      </c>
      <c r="FQ99" s="319">
        <v>414829</v>
      </c>
      <c r="FR99" s="319">
        <v>436046</v>
      </c>
      <c r="FS99" s="319">
        <v>455926</v>
      </c>
      <c r="FT99" s="319">
        <v>335750</v>
      </c>
      <c r="FU99" s="319">
        <v>219868</v>
      </c>
      <c r="FV99" s="319">
        <v>343903.91000000061</v>
      </c>
      <c r="FW99" s="951">
        <v>198739.67</v>
      </c>
      <c r="FX99" s="319">
        <v>154954.29999999999</v>
      </c>
      <c r="FY99" s="319">
        <v>144934.51999999999</v>
      </c>
      <c r="FZ99" s="319">
        <v>68775.399999999994</v>
      </c>
      <c r="GA99" s="319">
        <v>13710.43</v>
      </c>
      <c r="GB99" s="319">
        <v>62909.21</v>
      </c>
      <c r="GC99" s="319">
        <v>302866.44</v>
      </c>
      <c r="GD99" s="319">
        <v>513240.33</v>
      </c>
      <c r="GE99" s="319">
        <v>506992.67</v>
      </c>
      <c r="GF99" s="756"/>
      <c r="GG99" s="756">
        <v>699201.15</v>
      </c>
      <c r="GH99" s="756">
        <v>532979.12999999989</v>
      </c>
      <c r="GI99" s="756">
        <v>61739.189999999478</v>
      </c>
      <c r="GJ99" s="41"/>
      <c r="GK99" s="570" t="s">
        <v>82</v>
      </c>
      <c r="GL99" s="571">
        <f>FN99/'4GF Expenditures'!B100</f>
        <v>0.21834296443085927</v>
      </c>
      <c r="GM99" s="571">
        <f>FO99/'4GF Expenditures'!C100</f>
        <v>0.26437883790335159</v>
      </c>
      <c r="GN99" s="571">
        <f>FP99/'4GF Expenditures'!D100</f>
        <v>0.22402189169460462</v>
      </c>
      <c r="GO99" s="571">
        <f>FQ99/'4GF Expenditures'!E100</f>
        <v>0.25315011948729088</v>
      </c>
      <c r="GP99" s="571">
        <f>FR99/'4GF Expenditures'!F100</f>
        <v>0.25186772563176896</v>
      </c>
      <c r="GQ99" s="571">
        <f>FS99/'4GF Expenditures'!G100</f>
        <v>0.2533540124508144</v>
      </c>
      <c r="GR99" s="571">
        <f>FT99/'4GF Expenditures'!H100</f>
        <v>0.16726381800899512</v>
      </c>
      <c r="GS99" s="571">
        <f>FU99/'4GF Expenditures'!I100</f>
        <v>0.10692190306865297</v>
      </c>
      <c r="GT99" s="571">
        <f>FV99/'4GF Expenditures'!J100</f>
        <v>0.16221447246163317</v>
      </c>
      <c r="GU99" s="571">
        <f>FW99/'4GF Expenditures'!K100</f>
        <v>8.5699776272932709E-2</v>
      </c>
      <c r="GV99" s="571">
        <f>FX99/'4GF Expenditures'!L100</f>
        <v>6.4226162064508707E-2</v>
      </c>
      <c r="GW99" s="571">
        <f>FY99/'4GF Expenditures'!M100</f>
        <v>6.2894660855924558E-2</v>
      </c>
      <c r="GX99" s="571">
        <f>FZ99/'4GF Expenditures'!N100</f>
        <v>2.3679379995321641E-2</v>
      </c>
      <c r="GY99" s="571">
        <f>GA99/'4GF Expenditures'!O100</f>
        <v>4.2080825867180285E-3</v>
      </c>
      <c r="GZ99" s="571">
        <f>GB99/'4GF Expenditures'!P100</f>
        <v>1.8171679191812461E-2</v>
      </c>
      <c r="HA99" s="571">
        <f>GC99/'4GF Expenditures'!Q100</f>
        <v>9.7484564188567283E-2</v>
      </c>
      <c r="HB99" s="571">
        <f>GD99/'4GF Expenditures'!R100</f>
        <v>0.15088049489334937</v>
      </c>
      <c r="HC99" s="571">
        <f>GE99/'4GF Expenditures'!S100</f>
        <v>0.15560746338191156</v>
      </c>
      <c r="HD99" s="571" t="e">
        <f>GF99/'4GF Expenditures'!T100</f>
        <v>#DIV/0!</v>
      </c>
      <c r="HE99" s="571">
        <f>GG99/'4GF Expenditures'!U100</f>
        <v>0.16618255303107804</v>
      </c>
      <c r="HF99" s="571">
        <f>GH99/'4GF Expenditures'!V100</f>
        <v>0.1209604756767917</v>
      </c>
      <c r="HG99" s="571">
        <f>GI99/'4GF Expenditures'!W100</f>
        <v>1.2951616048395518E-2</v>
      </c>
      <c r="HH99" s="571"/>
      <c r="HI99" s="571"/>
      <c r="HJ99" s="571"/>
      <c r="HK99" s="568"/>
      <c r="HL99" s="567" t="s">
        <v>82</v>
      </c>
      <c r="HM99" s="571">
        <f>B99/'4GF Expenditures'!B100</f>
        <v>0.98679434209360928</v>
      </c>
      <c r="HN99" s="571">
        <f>C99/'4GF Expenditures'!C100</f>
        <v>1.0509610123209419</v>
      </c>
      <c r="HO99" s="571">
        <f>D99/'4GF Expenditures'!D100</f>
        <v>0.98426264759573723</v>
      </c>
      <c r="HP99" s="571">
        <f>E99/'4GF Expenditures'!E100</f>
        <v>1.0250392391869494</v>
      </c>
      <c r="HQ99" s="571">
        <f>F99/'4GF Expenditures'!F100</f>
        <v>1.0122553068592057</v>
      </c>
      <c r="HR99" s="571">
        <f>G99/'4GF Expenditures'!G100</f>
        <v>1.011638394030544</v>
      </c>
      <c r="HS99" s="571">
        <f>H99/'4GF Expenditures'!H100</f>
        <v>0.94013076219493974</v>
      </c>
      <c r="HT99" s="571">
        <f>I99/'4GF Expenditures'!I100</f>
        <v>0.94364653350464078</v>
      </c>
      <c r="HU99" s="571">
        <f>J99/'4GF Expenditures'!J100</f>
        <v>1.0585059535831609</v>
      </c>
      <c r="HV99" s="571">
        <f>K99/'4GF Expenditures'!K100</f>
        <v>0.93740282002666941</v>
      </c>
      <c r="HW99" s="571">
        <f>L99/'4GF Expenditures'!L100</f>
        <v>0.98185164096979249</v>
      </c>
      <c r="HX99" s="571">
        <f>M99/'4GF Expenditures'!M100</f>
        <v>0.99565189393837328</v>
      </c>
      <c r="HY99" s="571">
        <f>N99/'4GF Expenditures'!N100</f>
        <v>0.97377840415920058</v>
      </c>
      <c r="HZ99" s="571">
        <f>O99/'4GF Expenditures'!O100</f>
        <v>0.98309914850262525</v>
      </c>
      <c r="IA99" s="571">
        <f>P99/'4GF Expenditures'!P100</f>
        <v>1.0142113443610015</v>
      </c>
      <c r="IB99" s="571">
        <f>Q99/'4GF Expenditures'!Q100</f>
        <v>1.077235780862501</v>
      </c>
      <c r="IC99" s="571">
        <f>R99/'4GF Expenditures'!R100</f>
        <v>1.0618449384829889</v>
      </c>
      <c r="ID99" s="573">
        <f>S99/'4GF Expenditures'!S100</f>
        <v>0.99808245250434757</v>
      </c>
      <c r="IE99" s="572" t="e">
        <f>T99/'4GF Expenditures'!T100</f>
        <v>#DIV/0!</v>
      </c>
      <c r="IF99" s="572">
        <f>U99/'4GF Expenditures'!U100</f>
        <v>0.97964615742670769</v>
      </c>
      <c r="IG99" s="572">
        <f>V99/'4GF Expenditures'!V100</f>
        <v>0.96227564368766705</v>
      </c>
      <c r="IH99" s="572">
        <f>W99/'4GF Expenditures'!W100</f>
        <v>0.90114352375615903</v>
      </c>
    </row>
    <row r="100" spans="1:242" ht="14">
      <c r="A100" s="43" t="s">
        <v>83</v>
      </c>
      <c r="B100" s="319">
        <v>1723112</v>
      </c>
      <c r="C100" s="319">
        <v>1804810</v>
      </c>
      <c r="D100" s="319">
        <v>1913674</v>
      </c>
      <c r="E100" s="319">
        <v>2136887</v>
      </c>
      <c r="F100" s="319">
        <v>2357552</v>
      </c>
      <c r="G100" s="319">
        <v>2284501</v>
      </c>
      <c r="H100" s="319">
        <v>2455170</v>
      </c>
      <c r="I100" s="319">
        <v>2535412</v>
      </c>
      <c r="J100" s="319">
        <v>2812798.22</v>
      </c>
      <c r="K100" s="888"/>
      <c r="L100" s="319"/>
      <c r="M100" s="319"/>
      <c r="N100" s="319"/>
      <c r="O100" s="319"/>
      <c r="P100" s="319"/>
      <c r="Q100" s="319"/>
      <c r="R100" s="319"/>
      <c r="S100" s="362"/>
      <c r="T100" s="362"/>
      <c r="U100" s="362"/>
      <c r="V100" s="362"/>
      <c r="W100" s="362"/>
      <c r="X100" s="6"/>
      <c r="Y100" s="43" t="s">
        <v>83</v>
      </c>
      <c r="Z100" s="319">
        <v>189542.32</v>
      </c>
      <c r="AA100" s="319">
        <v>198529.1</v>
      </c>
      <c r="AB100" s="319">
        <v>229640.88</v>
      </c>
      <c r="AC100" s="319">
        <v>256426.44</v>
      </c>
      <c r="AD100" s="319">
        <v>259330.72</v>
      </c>
      <c r="AE100" s="319">
        <v>251295.11</v>
      </c>
      <c r="AF100" s="319">
        <v>343723.8</v>
      </c>
      <c r="AG100" s="319">
        <v>278895.32</v>
      </c>
      <c r="AH100" s="319">
        <v>434655.04</v>
      </c>
      <c r="AI100" s="319"/>
      <c r="AJ100" s="319"/>
      <c r="AK100" s="319"/>
      <c r="AL100" s="319"/>
      <c r="AM100" s="319"/>
      <c r="AN100" s="319"/>
      <c r="AO100" s="587"/>
      <c r="AP100" s="587"/>
      <c r="AQ100" s="362"/>
      <c r="AR100" s="753"/>
      <c r="AS100" s="753"/>
      <c r="AT100" s="753"/>
      <c r="AU100" s="753"/>
      <c r="AV100" s="39"/>
      <c r="AW100" s="43" t="s">
        <v>83</v>
      </c>
      <c r="AX100" s="319">
        <v>792631.52</v>
      </c>
      <c r="AY100" s="319">
        <v>830212.6</v>
      </c>
      <c r="AZ100" s="319">
        <v>880290.04</v>
      </c>
      <c r="BA100" s="319">
        <v>961599.15</v>
      </c>
      <c r="BB100" s="319">
        <v>1013747.36</v>
      </c>
      <c r="BC100" s="319">
        <v>1073715.47</v>
      </c>
      <c r="BD100" s="319">
        <v>1104826.5</v>
      </c>
      <c r="BE100" s="319">
        <v>1090227.1599999999</v>
      </c>
      <c r="BF100" s="319">
        <v>1157950.47</v>
      </c>
      <c r="BG100" s="319"/>
      <c r="BH100" s="319"/>
      <c r="BI100" s="319"/>
      <c r="BJ100" s="319"/>
      <c r="BK100" s="319"/>
      <c r="BL100" s="319"/>
      <c r="BM100" s="319"/>
      <c r="BN100" s="319"/>
      <c r="BO100" s="362"/>
      <c r="BP100" s="753"/>
      <c r="BQ100" s="753"/>
      <c r="BR100" s="753"/>
      <c r="BS100" s="753"/>
      <c r="BT100" s="286"/>
      <c r="BU100" s="43" t="s">
        <v>83</v>
      </c>
      <c r="BV100" s="319">
        <v>137848.95999999999</v>
      </c>
      <c r="BW100" s="319">
        <v>162432.9</v>
      </c>
      <c r="BX100" s="319">
        <v>153093.92000000001</v>
      </c>
      <c r="BY100" s="319">
        <v>149582.09</v>
      </c>
      <c r="BZ100" s="319">
        <v>141453.12</v>
      </c>
      <c r="CA100" s="319">
        <v>114225.05</v>
      </c>
      <c r="CB100" s="319">
        <v>122758.5</v>
      </c>
      <c r="CC100" s="319">
        <v>126770.6</v>
      </c>
      <c r="CD100" s="319">
        <v>195054.80000000002</v>
      </c>
      <c r="CE100" s="319"/>
      <c r="CF100" s="319"/>
      <c r="CG100" s="319"/>
      <c r="CH100" s="319"/>
      <c r="CI100" s="319"/>
      <c r="CJ100" s="319"/>
      <c r="CK100" s="319"/>
      <c r="CL100" s="319"/>
      <c r="CM100" s="362"/>
      <c r="CN100" s="753"/>
      <c r="CO100" s="753"/>
      <c r="CP100" s="753"/>
      <c r="CQ100" s="753"/>
      <c r="CR100" s="39"/>
      <c r="CS100" s="43" t="s">
        <v>83</v>
      </c>
      <c r="CT100" s="319">
        <v>551395.83999999997</v>
      </c>
      <c r="CU100" s="319">
        <v>523394.9</v>
      </c>
      <c r="CV100" s="319">
        <v>554965.46</v>
      </c>
      <c r="CW100" s="319">
        <v>598328.36</v>
      </c>
      <c r="CX100" s="319">
        <v>612963.52</v>
      </c>
      <c r="CY100" s="319">
        <v>708195.31</v>
      </c>
      <c r="CZ100" s="319">
        <v>785654.4</v>
      </c>
      <c r="DA100" s="319">
        <v>938102.44</v>
      </c>
      <c r="DB100" s="319">
        <v>896932.45000000007</v>
      </c>
      <c r="DC100" s="319"/>
      <c r="DD100" s="319"/>
      <c r="DE100" s="319"/>
      <c r="DF100" s="319"/>
      <c r="DG100" s="319"/>
      <c r="DH100" s="319"/>
      <c r="DI100" s="319"/>
      <c r="DJ100" s="319"/>
      <c r="DK100" s="362"/>
      <c r="DL100" s="753"/>
      <c r="DM100" s="753"/>
      <c r="DN100" s="753"/>
      <c r="DO100" s="753"/>
      <c r="DP100" s="39"/>
      <c r="DQ100" s="43" t="s">
        <v>83</v>
      </c>
      <c r="DR100" s="319">
        <v>17231.12</v>
      </c>
      <c r="DS100" s="319">
        <v>36096.199999999997</v>
      </c>
      <c r="DT100" s="319">
        <v>19136.740000000002</v>
      </c>
      <c r="DU100" s="319">
        <v>42737.74</v>
      </c>
      <c r="DV100" s="319">
        <v>70726.559999999998</v>
      </c>
      <c r="DW100" s="319">
        <v>68535.03</v>
      </c>
      <c r="DX100" s="319">
        <v>24551.7</v>
      </c>
      <c r="DY100" s="319">
        <v>25354.12</v>
      </c>
      <c r="DZ100" s="319">
        <v>25688.84</v>
      </c>
      <c r="EA100" s="319"/>
      <c r="EB100" s="319"/>
      <c r="EC100" s="319"/>
      <c r="ED100" s="319"/>
      <c r="EE100" s="319"/>
      <c r="EF100" s="319"/>
      <c r="EG100" s="319"/>
      <c r="EH100" s="319"/>
      <c r="EI100" s="362"/>
      <c r="EJ100" s="753"/>
      <c r="EK100" s="753"/>
      <c r="EL100" s="753"/>
      <c r="EM100" s="753"/>
      <c r="EN100" s="39"/>
      <c r="EO100" s="43" t="s">
        <v>83</v>
      </c>
      <c r="EP100" s="319">
        <v>34462.239999999998</v>
      </c>
      <c r="EQ100" s="319">
        <v>54144.3</v>
      </c>
      <c r="ER100" s="319">
        <v>76546.960000000006</v>
      </c>
      <c r="ES100" s="319">
        <v>128213.22</v>
      </c>
      <c r="ET100" s="319">
        <v>259330.72</v>
      </c>
      <c r="EU100" s="319">
        <v>68535.03</v>
      </c>
      <c r="EV100" s="319">
        <v>73655.100000000006</v>
      </c>
      <c r="EW100" s="319">
        <v>76062.36</v>
      </c>
      <c r="EX100" s="319">
        <v>102516.62</v>
      </c>
      <c r="EY100" s="319"/>
      <c r="EZ100" s="319"/>
      <c r="FA100" s="319"/>
      <c r="FB100" s="319"/>
      <c r="FC100" s="319"/>
      <c r="FD100" s="319"/>
      <c r="FE100" s="319"/>
      <c r="FF100" s="319"/>
      <c r="FG100" s="362"/>
      <c r="FH100" s="362"/>
      <c r="FI100" s="362"/>
      <c r="FJ100" s="362"/>
      <c r="FK100" s="362"/>
      <c r="FM100" s="43" t="s">
        <v>83</v>
      </c>
      <c r="FN100" s="319">
        <v>329458</v>
      </c>
      <c r="FO100" s="319">
        <v>376296</v>
      </c>
      <c r="FP100" s="319">
        <v>434941</v>
      </c>
      <c r="FQ100" s="319">
        <v>863062</v>
      </c>
      <c r="FR100" s="319">
        <v>1325474</v>
      </c>
      <c r="FS100" s="319">
        <v>1518048</v>
      </c>
      <c r="FT100" s="319">
        <v>1679337</v>
      </c>
      <c r="FU100" s="319">
        <v>1995190</v>
      </c>
      <c r="FV100" s="319">
        <v>1951252.7199999997</v>
      </c>
      <c r="FW100" s="319"/>
      <c r="FX100" s="319"/>
      <c r="FY100" s="319"/>
      <c r="FZ100" s="319"/>
      <c r="GA100" s="319"/>
      <c r="GB100" s="319"/>
      <c r="GC100" s="319"/>
      <c r="GD100" s="319"/>
      <c r="GE100" s="319"/>
      <c r="GF100" s="756"/>
      <c r="GG100" s="756"/>
      <c r="GH100" s="756"/>
      <c r="GI100" s="756"/>
      <c r="GJ100" s="41"/>
      <c r="GK100" s="570" t="s">
        <v>83</v>
      </c>
      <c r="GL100" s="571">
        <f>FN100/'4GF Expenditures'!B101</f>
        <v>0.21695307684608131</v>
      </c>
      <c r="GM100" s="571">
        <f>FO100/'4GF Expenditures'!C101</f>
        <v>0.2140511908039491</v>
      </c>
      <c r="GN100" s="571">
        <f>FP100/'4GF Expenditures'!D101</f>
        <v>0.23446587627471052</v>
      </c>
      <c r="GO100" s="571">
        <f>FQ100/'4GF Expenditures'!E101</f>
        <v>0.50507910386793742</v>
      </c>
      <c r="GP100" s="571">
        <f>FR100/'4GF Expenditures'!F101</f>
        <v>0.69940690397543193</v>
      </c>
      <c r="GQ100" s="571">
        <f>FS100/'4GF Expenditures'!G101</f>
        <v>0.7256696815902276</v>
      </c>
      <c r="GR100" s="571">
        <f>FT100/'4GF Expenditures'!H101</f>
        <v>0.7320942106412669</v>
      </c>
      <c r="GS100" s="571">
        <f>FU100/'4GF Expenditures'!I101</f>
        <v>0.89891280204761392</v>
      </c>
      <c r="GT100" s="571">
        <f>FV100/'4GF Expenditures'!J101</f>
        <v>0.68345815973578627</v>
      </c>
      <c r="GU100" s="571" t="e">
        <f>FW100/'4GF Expenditures'!K101</f>
        <v>#DIV/0!</v>
      </c>
      <c r="GV100" s="571" t="e">
        <f>FX100/'4GF Expenditures'!L101</f>
        <v>#DIV/0!</v>
      </c>
      <c r="GW100" s="571" t="e">
        <f>FY100/'4GF Expenditures'!M101</f>
        <v>#DIV/0!</v>
      </c>
      <c r="GX100" s="571" t="e">
        <f>FZ100/'4GF Expenditures'!N101</f>
        <v>#DIV/0!</v>
      </c>
      <c r="GY100" s="571" t="e">
        <f>GA100/'4GF Expenditures'!O101</f>
        <v>#DIV/0!</v>
      </c>
      <c r="GZ100" s="571" t="e">
        <f>GB100/'4GF Expenditures'!P101</f>
        <v>#DIV/0!</v>
      </c>
      <c r="HA100" s="571" t="e">
        <f>GC100/'4GF Expenditures'!Q101</f>
        <v>#DIV/0!</v>
      </c>
      <c r="HB100" s="571" t="e">
        <f>GD100/'4GF Expenditures'!R101</f>
        <v>#DIV/0!</v>
      </c>
      <c r="HC100" s="571" t="e">
        <f>GE100/'4GF Expenditures'!S101</f>
        <v>#DIV/0!</v>
      </c>
      <c r="HD100" s="571" t="e">
        <f>GF100/'4GF Expenditures'!T101</f>
        <v>#DIV/0!</v>
      </c>
      <c r="HE100" s="571" t="e">
        <f>GG100/'4GF Expenditures'!U101</f>
        <v>#DIV/0!</v>
      </c>
      <c r="HF100" s="571" t="e">
        <f>GH100/'4GF Expenditures'!V101</f>
        <v>#DIV/0!</v>
      </c>
      <c r="HG100" s="571" t="e">
        <f>GI100/'4GF Expenditures'!W101</f>
        <v>#DIV/0!</v>
      </c>
      <c r="HH100" s="571"/>
      <c r="HI100" s="571"/>
      <c r="HJ100" s="571"/>
      <c r="HK100" s="568"/>
      <c r="HL100" s="567" t="s">
        <v>83</v>
      </c>
      <c r="HM100" s="571">
        <f>B100/'4GF Expenditures'!B101</f>
        <v>1.1346953182208501</v>
      </c>
      <c r="HN100" s="571">
        <f>C100/'4GF Expenditures'!C101</f>
        <v>1.0266432002329957</v>
      </c>
      <c r="HO100" s="571">
        <f>D100/'4GF Expenditures'!D101</f>
        <v>1.0316140610200704</v>
      </c>
      <c r="HP100" s="571">
        <f>E100/'4GF Expenditures'!E101</f>
        <v>1.2505439597932075</v>
      </c>
      <c r="HQ100" s="571">
        <f>F100/'4GF Expenditures'!F101</f>
        <v>1.2439988602425152</v>
      </c>
      <c r="HR100" s="571">
        <f>G100/'4GF Expenditures'!G101</f>
        <v>1.0920557935339044</v>
      </c>
      <c r="HS100" s="571">
        <f>H100/'4GF Expenditures'!H101</f>
        <v>1.0703127145654026</v>
      </c>
      <c r="HT100" s="571">
        <f>I100/'4GF Expenditures'!I101</f>
        <v>1.1423043947018303</v>
      </c>
      <c r="HU100" s="571">
        <f>J100/'4GF Expenditures'!J101</f>
        <v>0.98522855365925932</v>
      </c>
      <c r="HV100" s="571" t="e">
        <f>K100/'4GF Expenditures'!K101</f>
        <v>#DIV/0!</v>
      </c>
      <c r="HW100" s="571" t="e">
        <f>L100/'4GF Expenditures'!L101</f>
        <v>#DIV/0!</v>
      </c>
      <c r="HX100" s="571" t="e">
        <f>M100/'4GF Expenditures'!M101</f>
        <v>#DIV/0!</v>
      </c>
      <c r="HY100" s="571" t="e">
        <f>N100/'4GF Expenditures'!N101</f>
        <v>#DIV/0!</v>
      </c>
      <c r="HZ100" s="571" t="e">
        <f>O100/'4GF Expenditures'!O101</f>
        <v>#DIV/0!</v>
      </c>
      <c r="IA100" s="571" t="e">
        <f>P100/'4GF Expenditures'!P101</f>
        <v>#DIV/0!</v>
      </c>
      <c r="IB100" s="571" t="e">
        <f>Q100/'4GF Expenditures'!Q101</f>
        <v>#DIV/0!</v>
      </c>
      <c r="IC100" s="571" t="e">
        <f>R100/'4GF Expenditures'!R101</f>
        <v>#DIV/0!</v>
      </c>
      <c r="ID100" s="573" t="e">
        <f>S100/'4GF Expenditures'!S101</f>
        <v>#DIV/0!</v>
      </c>
      <c r="IE100" s="572" t="e">
        <f>T100/'4GF Expenditures'!T101</f>
        <v>#DIV/0!</v>
      </c>
      <c r="IF100" s="572" t="e">
        <f>U100/'4GF Expenditures'!U101</f>
        <v>#DIV/0!</v>
      </c>
      <c r="IG100" s="572" t="e">
        <f>V100/'4GF Expenditures'!V101</f>
        <v>#DIV/0!</v>
      </c>
      <c r="IH100" s="572" t="e">
        <f>W100/'4GF Expenditures'!W101</f>
        <v>#DIV/0!</v>
      </c>
    </row>
    <row r="101" spans="1:242" ht="12.75" customHeight="1">
      <c r="A101" s="43" t="s">
        <v>84</v>
      </c>
      <c r="B101" s="319">
        <v>1434647</v>
      </c>
      <c r="C101" s="319">
        <v>1550954</v>
      </c>
      <c r="D101" s="319">
        <v>1589824</v>
      </c>
      <c r="E101" s="319">
        <v>1547581</v>
      </c>
      <c r="F101" s="319">
        <v>1854464</v>
      </c>
      <c r="G101" s="319">
        <v>2217272</v>
      </c>
      <c r="H101" s="319">
        <v>2121015</v>
      </c>
      <c r="I101" s="319">
        <v>2829091</v>
      </c>
      <c r="J101" s="319">
        <v>2221156</v>
      </c>
      <c r="K101" s="888">
        <v>2321344.0300000003</v>
      </c>
      <c r="L101" s="319">
        <v>2661630.12</v>
      </c>
      <c r="M101" s="319">
        <v>2831633.49</v>
      </c>
      <c r="N101" s="319">
        <v>2855329.9499999997</v>
      </c>
      <c r="O101" s="319">
        <v>2588029.92</v>
      </c>
      <c r="P101" s="319">
        <v>2314886.44</v>
      </c>
      <c r="Q101" s="319">
        <v>2432280.88</v>
      </c>
      <c r="R101" s="319">
        <v>2610322.0599999996</v>
      </c>
      <c r="S101" s="362">
        <v>2974006.25</v>
      </c>
      <c r="T101" s="362">
        <v>2929674.19</v>
      </c>
      <c r="U101" s="362">
        <v>3198209.92</v>
      </c>
      <c r="V101" s="362">
        <v>3686760.33</v>
      </c>
      <c r="W101" s="362">
        <v>3990096</v>
      </c>
      <c r="X101" s="6"/>
      <c r="Y101" s="43" t="s">
        <v>84</v>
      </c>
      <c r="Z101" s="319">
        <v>157811.17000000001</v>
      </c>
      <c r="AA101" s="319">
        <v>294681.26</v>
      </c>
      <c r="AB101" s="319">
        <v>333863.03999999998</v>
      </c>
      <c r="AC101" s="319">
        <v>232137.15</v>
      </c>
      <c r="AD101" s="319">
        <v>333803.52000000002</v>
      </c>
      <c r="AE101" s="319">
        <v>221727.2</v>
      </c>
      <c r="AF101" s="319">
        <v>212101.5</v>
      </c>
      <c r="AG101" s="319">
        <v>396072.74</v>
      </c>
      <c r="AH101" s="319">
        <v>229870</v>
      </c>
      <c r="AI101" s="319">
        <v>449713.06</v>
      </c>
      <c r="AJ101" s="319">
        <v>470457.26</v>
      </c>
      <c r="AK101" s="319">
        <v>322898.25</v>
      </c>
      <c r="AL101" s="319">
        <v>369711.05</v>
      </c>
      <c r="AM101" s="319">
        <v>562021.25</v>
      </c>
      <c r="AN101" s="319">
        <v>203669.92</v>
      </c>
      <c r="AO101" s="319">
        <v>430754.01</v>
      </c>
      <c r="AP101" s="319">
        <v>478718.68999999994</v>
      </c>
      <c r="AQ101" s="362">
        <v>529833.07999999996</v>
      </c>
      <c r="AR101" s="753">
        <v>517455.05</v>
      </c>
      <c r="AS101" s="753">
        <v>577901.07999999996</v>
      </c>
      <c r="AT101" s="753">
        <v>564607.5199999999</v>
      </c>
      <c r="AU101" s="753">
        <v>494553</v>
      </c>
      <c r="AV101" s="39"/>
      <c r="AW101" s="43" t="s">
        <v>84</v>
      </c>
      <c r="AX101" s="319">
        <v>502126.45</v>
      </c>
      <c r="AY101" s="319">
        <v>511814.82</v>
      </c>
      <c r="AZ101" s="319">
        <v>508743.67999999999</v>
      </c>
      <c r="BA101" s="319">
        <v>588080.78</v>
      </c>
      <c r="BB101" s="319">
        <v>556339.19999999995</v>
      </c>
      <c r="BC101" s="319">
        <v>731699.76</v>
      </c>
      <c r="BD101" s="319">
        <v>869616.15</v>
      </c>
      <c r="BE101" s="319">
        <v>650690.93000000005</v>
      </c>
      <c r="BF101" s="319">
        <v>679137</v>
      </c>
      <c r="BG101" s="319">
        <v>882814.05</v>
      </c>
      <c r="BH101" s="319">
        <v>893618.14</v>
      </c>
      <c r="BI101" s="319">
        <v>946775.43</v>
      </c>
      <c r="BJ101" s="319">
        <v>941990.09</v>
      </c>
      <c r="BK101" s="319">
        <v>894389.52999999991</v>
      </c>
      <c r="BL101" s="319">
        <v>890768.97</v>
      </c>
      <c r="BM101" s="319">
        <v>785081.74</v>
      </c>
      <c r="BN101" s="319">
        <v>1011781.34</v>
      </c>
      <c r="BO101" s="362">
        <v>1027229.72</v>
      </c>
      <c r="BP101" s="753">
        <v>1000730.06</v>
      </c>
      <c r="BQ101" s="753">
        <v>1068382.71</v>
      </c>
      <c r="BR101" s="753">
        <v>1075572.94</v>
      </c>
      <c r="BS101" s="753">
        <v>1050000</v>
      </c>
      <c r="BT101" s="286"/>
      <c r="BU101" s="43" t="s">
        <v>84</v>
      </c>
      <c r="BV101" s="319">
        <v>186504.11</v>
      </c>
      <c r="BW101" s="319">
        <v>155095.4</v>
      </c>
      <c r="BX101" s="319">
        <v>158982.39999999999</v>
      </c>
      <c r="BY101" s="319">
        <v>185709.72</v>
      </c>
      <c r="BZ101" s="319">
        <v>500705.28000000003</v>
      </c>
      <c r="CA101" s="319">
        <v>687354.32</v>
      </c>
      <c r="CB101" s="319">
        <v>296942.09999999998</v>
      </c>
      <c r="CC101" s="319">
        <v>1103345.49</v>
      </c>
      <c r="CD101" s="319">
        <v>660765</v>
      </c>
      <c r="CE101" s="319">
        <v>254371.36000000002</v>
      </c>
      <c r="CF101" s="319">
        <v>332116.07999999996</v>
      </c>
      <c r="CG101" s="319">
        <v>534653.11</v>
      </c>
      <c r="CH101" s="319">
        <v>618931.07000000007</v>
      </c>
      <c r="CI101" s="319">
        <v>320210.74</v>
      </c>
      <c r="CJ101" s="319">
        <v>161088.22</v>
      </c>
      <c r="CK101" s="319">
        <v>330382.71000000002</v>
      </c>
      <c r="CL101" s="319">
        <v>271301.83999999997</v>
      </c>
      <c r="CM101" s="362">
        <v>468657.53</v>
      </c>
      <c r="CN101" s="753">
        <v>534467.63</v>
      </c>
      <c r="CO101" s="753">
        <v>587297.54999999993</v>
      </c>
      <c r="CP101" s="753">
        <v>783096.7300000001</v>
      </c>
      <c r="CQ101" s="753">
        <v>1419493</v>
      </c>
      <c r="CR101" s="39"/>
      <c r="CS101" s="43" t="s">
        <v>84</v>
      </c>
      <c r="CT101" s="319">
        <v>243889.99</v>
      </c>
      <c r="CU101" s="319">
        <v>248152.64</v>
      </c>
      <c r="CV101" s="319">
        <v>254371.84</v>
      </c>
      <c r="CW101" s="319">
        <v>247612.96</v>
      </c>
      <c r="CX101" s="319">
        <v>278169.59999999998</v>
      </c>
      <c r="CY101" s="319">
        <v>288245.36</v>
      </c>
      <c r="CZ101" s="319">
        <v>318152.25</v>
      </c>
      <c r="DA101" s="319">
        <v>367781.83</v>
      </c>
      <c r="DB101" s="319">
        <v>382219</v>
      </c>
      <c r="DC101" s="319">
        <v>405618.27999999997</v>
      </c>
      <c r="DD101" s="319">
        <v>390739.77999999997</v>
      </c>
      <c r="DE101" s="319">
        <v>413442.8</v>
      </c>
      <c r="DF101" s="319">
        <v>395007.85</v>
      </c>
      <c r="DG101" s="319">
        <v>372636.18</v>
      </c>
      <c r="DH101" s="319">
        <v>191881.33000000002</v>
      </c>
      <c r="DI101" s="319">
        <v>271824.51</v>
      </c>
      <c r="DJ101" s="319">
        <v>290498.43</v>
      </c>
      <c r="DK101" s="362">
        <v>366253.53999999992</v>
      </c>
      <c r="DL101" s="753">
        <v>317120.15999999997</v>
      </c>
      <c r="DM101" s="753">
        <v>287223.17</v>
      </c>
      <c r="DN101" s="753">
        <v>256788.26</v>
      </c>
      <c r="DO101" s="753">
        <v>261400</v>
      </c>
      <c r="DP101" s="39"/>
      <c r="DQ101" s="43" t="s">
        <v>84</v>
      </c>
      <c r="DR101" s="319">
        <v>0</v>
      </c>
      <c r="DS101" s="319">
        <v>0</v>
      </c>
      <c r="DT101" s="319">
        <v>0</v>
      </c>
      <c r="DU101" s="319">
        <v>0</v>
      </c>
      <c r="DV101" s="319">
        <v>0</v>
      </c>
      <c r="DW101" s="319">
        <v>0</v>
      </c>
      <c r="DX101" s="319">
        <v>0</v>
      </c>
      <c r="DY101" s="319">
        <v>0</v>
      </c>
      <c r="DZ101" s="319">
        <v>709</v>
      </c>
      <c r="EA101" s="319">
        <v>4773.26</v>
      </c>
      <c r="EB101" s="319">
        <v>8618.57</v>
      </c>
      <c r="EC101" s="319">
        <v>7424.55</v>
      </c>
      <c r="ED101" s="319">
        <v>4385.45</v>
      </c>
      <c r="EE101" s="319">
        <v>79.75</v>
      </c>
      <c r="EF101" s="319">
        <v>114.7</v>
      </c>
      <c r="EG101" s="319">
        <v>104.74</v>
      </c>
      <c r="EH101" s="319">
        <v>473.7</v>
      </c>
      <c r="EI101" s="362">
        <v>537.51</v>
      </c>
      <c r="EJ101" s="753">
        <v>267.33</v>
      </c>
      <c r="EK101" s="753">
        <v>274.41000000000003</v>
      </c>
      <c r="EL101" s="753">
        <v>850.36</v>
      </c>
      <c r="EM101" s="753">
        <v>500</v>
      </c>
      <c r="EN101" s="39"/>
      <c r="EO101" s="43" t="s">
        <v>84</v>
      </c>
      <c r="EP101" s="319">
        <v>344315.28</v>
      </c>
      <c r="EQ101" s="319">
        <v>341209.88</v>
      </c>
      <c r="ER101" s="319">
        <v>333863.03999999998</v>
      </c>
      <c r="ES101" s="319">
        <v>294040.39</v>
      </c>
      <c r="ET101" s="319">
        <v>185446.39999999999</v>
      </c>
      <c r="EU101" s="319">
        <v>288245.36</v>
      </c>
      <c r="EV101" s="319">
        <v>424203</v>
      </c>
      <c r="EW101" s="319">
        <v>311200.01</v>
      </c>
      <c r="EX101" s="319">
        <v>213460</v>
      </c>
      <c r="EY101" s="319">
        <v>205193.56000000003</v>
      </c>
      <c r="EZ101" s="319">
        <v>174915.20000000001</v>
      </c>
      <c r="FA101" s="319">
        <v>158916.61000000002</v>
      </c>
      <c r="FB101" s="319">
        <v>185999.75</v>
      </c>
      <c r="FC101" s="319">
        <v>132628.34999999998</v>
      </c>
      <c r="FD101" s="319">
        <v>313520.01999999996</v>
      </c>
      <c r="FE101" s="319">
        <v>317970.46000000002</v>
      </c>
      <c r="FF101" s="319">
        <v>316599.5199999999</v>
      </c>
      <c r="FG101" s="362">
        <v>340631.62</v>
      </c>
      <c r="FH101" s="362">
        <v>321662.08000000007</v>
      </c>
      <c r="FI101" s="362">
        <v>394696.15000000008</v>
      </c>
      <c r="FJ101" s="362">
        <v>358606.48000000004</v>
      </c>
      <c r="FK101" s="362">
        <v>387258</v>
      </c>
      <c r="FM101" s="43" t="s">
        <v>84</v>
      </c>
      <c r="FN101" s="319">
        <v>33873</v>
      </c>
      <c r="FO101" s="319">
        <v>26701</v>
      </c>
      <c r="FP101" s="319">
        <v>44039</v>
      </c>
      <c r="FQ101" s="319">
        <v>38109</v>
      </c>
      <c r="FR101" s="319">
        <v>65707</v>
      </c>
      <c r="FS101" s="319">
        <v>74149</v>
      </c>
      <c r="FT101" s="319">
        <v>19450</v>
      </c>
      <c r="FU101" s="319">
        <v>96412</v>
      </c>
      <c r="FV101" s="319">
        <v>55131.540000000183</v>
      </c>
      <c r="FW101" s="319">
        <v>87438.62</v>
      </c>
      <c r="FX101" s="319">
        <v>5631.53</v>
      </c>
      <c r="FY101" s="319">
        <v>81731.13</v>
      </c>
      <c r="FZ101" s="319">
        <v>24479.21</v>
      </c>
      <c r="GA101" s="319">
        <v>14639.69</v>
      </c>
      <c r="GB101" s="319">
        <v>8824.39</v>
      </c>
      <c r="GC101" s="319">
        <v>8038.34</v>
      </c>
      <c r="GD101" s="319">
        <v>209543.77</v>
      </c>
      <c r="GE101" s="319">
        <v>12591.34</v>
      </c>
      <c r="GF101" s="756">
        <v>4409.9799999999996</v>
      </c>
      <c r="GG101" s="756">
        <v>15427.23</v>
      </c>
      <c r="GH101" s="756">
        <v>18535.470000000132</v>
      </c>
      <c r="GI101" s="756">
        <v>46.470000000204891</v>
      </c>
      <c r="GJ101" s="41"/>
      <c r="GK101" s="570" t="s">
        <v>84</v>
      </c>
      <c r="GL101" s="571">
        <f>FN101/'4GF Expenditures'!B102</f>
        <v>2.278797289097052E-2</v>
      </c>
      <c r="GM101" s="571">
        <f>FO101/'4GF Expenditures'!C102</f>
        <v>1.7136611544894317E-2</v>
      </c>
      <c r="GN101" s="571">
        <f>FP101/'4GF Expenditures'!D102</f>
        <v>2.8005990518192542E-2</v>
      </c>
      <c r="GO101" s="571">
        <f>FQ101/'4GF Expenditures'!E102</f>
        <v>2.4530885201327832E-2</v>
      </c>
      <c r="GP101" s="571">
        <f>FR101/'4GF Expenditures'!F102</f>
        <v>3.5967060528796307E-2</v>
      </c>
      <c r="GQ101" s="571">
        <f>FS101/'4GF Expenditures'!G102</f>
        <v>3.3531070584872966E-2</v>
      </c>
      <c r="GR101" s="571">
        <f>FT101/'4GF Expenditures'!H102</f>
        <v>8.9395940826781459E-3</v>
      </c>
      <c r="GS101" s="571">
        <f>FU101/'4GF Expenditures'!I102</f>
        <v>3.503178811749013E-2</v>
      </c>
      <c r="GT101" s="571">
        <f>FV101/'4GF Expenditures'!J102</f>
        <v>2.4422091685882937E-2</v>
      </c>
      <c r="GU101" s="571">
        <f>FW101/'4GF Expenditures'!K102</f>
        <v>3.8198808627457663E-2</v>
      </c>
      <c r="GV101" s="571">
        <f>FX101/'4GF Expenditures'!L102</f>
        <v>2.0527279822221546E-3</v>
      </c>
      <c r="GW101" s="571">
        <f>FY101/'4GF Expenditures'!M102</f>
        <v>2.966078022937348E-2</v>
      </c>
      <c r="GX101" s="571">
        <f>FZ101/'4GF Expenditures'!N102</f>
        <v>8.4046427165324622E-3</v>
      </c>
      <c r="GY101" s="571">
        <f>GA101/'4GF Expenditures'!O102</f>
        <v>5.6352677985233935E-3</v>
      </c>
      <c r="GZ101" s="571">
        <f>GB101/'4GF Expenditures'!P102</f>
        <v>3.8024662316149247E-3</v>
      </c>
      <c r="HA101" s="571">
        <f>GC101/'4GF Expenditures'!Q102</f>
        <v>3.3037890988062541E-3</v>
      </c>
      <c r="HB101" s="571">
        <f>GD101/'4GF Expenditures'!R102</f>
        <v>8.6990336827755962E-2</v>
      </c>
      <c r="HC101" s="571">
        <f>GE101/'4GF Expenditures'!S102</f>
        <v>3.9707052925959455E-3</v>
      </c>
      <c r="HD101" s="571">
        <f>GF101/'4GF Expenditures'!T102</f>
        <v>1.4988624635934513E-3</v>
      </c>
      <c r="HE101" s="571">
        <f>GG101/'4GF Expenditures'!U102</f>
        <v>4.8469938058560815E-3</v>
      </c>
      <c r="HF101" s="571">
        <f>GH101/'4GF Expenditures'!V102</f>
        <v>5.0319092326208403E-3</v>
      </c>
      <c r="HG101" s="571">
        <f>GI101/'4GF Expenditures'!W102</f>
        <v>1.159261934079105E-5</v>
      </c>
      <c r="HH101" s="571"/>
      <c r="HI101" s="571"/>
      <c r="HJ101" s="571"/>
      <c r="HK101" s="568"/>
      <c r="HL101" s="567" t="s">
        <v>84</v>
      </c>
      <c r="HM101" s="571">
        <f>B101/'4GF Expenditures'!B102</f>
        <v>0.96515504809471209</v>
      </c>
      <c r="HN101" s="571">
        <f>C101/'4GF Expenditures'!C102</f>
        <v>0.99539703464289797</v>
      </c>
      <c r="HO101" s="571">
        <f>D101/'4GF Expenditures'!D102</f>
        <v>1.0110264962781839</v>
      </c>
      <c r="HP101" s="571">
        <f>E101/'4GF Expenditures'!E102</f>
        <v>0.99618284003138702</v>
      </c>
      <c r="HQ101" s="571">
        <f>F101/'4GF Expenditures'!F102</f>
        <v>1.0151067456507483</v>
      </c>
      <c r="HR101" s="571">
        <f>G101/'4GF Expenditures'!G102</f>
        <v>1.0026770952792681</v>
      </c>
      <c r="HS101" s="571">
        <f>H101/'4GF Expenditures'!H102</f>
        <v>0.97485928757180407</v>
      </c>
      <c r="HT101" s="571">
        <f>I101/'4GF Expenditures'!I102</f>
        <v>1.0279645321858095</v>
      </c>
      <c r="HU101" s="571">
        <f>J101/'4GF Expenditures'!J102</f>
        <v>0.98392454628782045</v>
      </c>
      <c r="HV101" s="571">
        <f>K101/'4GF Expenditures'!K102</f>
        <v>1.0141122579526227</v>
      </c>
      <c r="HW101" s="571">
        <f>L101/'4GF Expenditures'!L102</f>
        <v>0.97018086126670933</v>
      </c>
      <c r="HX101" s="571">
        <f>M101/'4GF Expenditures'!M102</f>
        <v>1.0276189578808446</v>
      </c>
      <c r="HY101" s="571">
        <f>N101/'4GF Expenditures'!N102</f>
        <v>0.98034324096098269</v>
      </c>
      <c r="HZ101" s="571">
        <f>O101/'4GF Expenditures'!O102</f>
        <v>0.9962124655502318</v>
      </c>
      <c r="IA101" s="571">
        <f>P101/'4GF Expenditures'!P102</f>
        <v>0.99749416312326278</v>
      </c>
      <c r="IB101" s="571">
        <f>Q101/'4GF Expenditures'!Q102</f>
        <v>0.99967693038349736</v>
      </c>
      <c r="IC101" s="571">
        <f>R101/'4GF Expenditures'!R102</f>
        <v>1.0836532874650568</v>
      </c>
      <c r="ID101" s="573">
        <f>S101/'4GF Expenditures'!S102</f>
        <v>0.93785906480870351</v>
      </c>
      <c r="IE101" s="572">
        <f>T101/'4GF Expenditures'!T102</f>
        <v>0.99573664142457541</v>
      </c>
      <c r="IF101" s="572">
        <f>U101/'4GF Expenditures'!U102</f>
        <v>1.0048274169807201</v>
      </c>
      <c r="IG101" s="572">
        <f>V101/'4GF Expenditures'!V102</f>
        <v>1.000861771672751</v>
      </c>
      <c r="IH101" s="572">
        <f>W101/'4GF Expenditures'!W102</f>
        <v>0.99538764925778045</v>
      </c>
    </row>
    <row r="102" spans="1:242" ht="14">
      <c r="A102" s="43" t="s">
        <v>85</v>
      </c>
      <c r="B102" s="319">
        <v>906426</v>
      </c>
      <c r="C102" s="319">
        <v>933574</v>
      </c>
      <c r="D102" s="319">
        <v>939692</v>
      </c>
      <c r="E102" s="319">
        <v>994617</v>
      </c>
      <c r="F102" s="319">
        <v>1185597</v>
      </c>
      <c r="G102" s="319">
        <v>1393401</v>
      </c>
      <c r="H102" s="319">
        <v>1428607</v>
      </c>
      <c r="I102" s="319">
        <v>1610402</v>
      </c>
      <c r="J102" s="319">
        <v>1484633.4000000001</v>
      </c>
      <c r="K102" s="888">
        <v>1401957.1400000001</v>
      </c>
      <c r="L102" s="319">
        <v>1581506.0299999998</v>
      </c>
      <c r="M102" s="319">
        <v>1498916.7399999998</v>
      </c>
      <c r="N102" s="319">
        <v>1609962.17</v>
      </c>
      <c r="O102" s="319">
        <v>1691424.2600000002</v>
      </c>
      <c r="P102" s="319">
        <v>1917401.25</v>
      </c>
      <c r="Q102" s="319">
        <v>1882238.5100000002</v>
      </c>
      <c r="R102" s="319">
        <v>2053572.01</v>
      </c>
      <c r="S102" s="362">
        <v>2420788.6700000004</v>
      </c>
      <c r="T102" s="362">
        <v>2338556</v>
      </c>
      <c r="U102" s="362">
        <v>2577285.39</v>
      </c>
      <c r="V102" s="362">
        <v>2356901.4699999997</v>
      </c>
      <c r="W102" s="362">
        <v>2342560.21</v>
      </c>
      <c r="X102" s="6"/>
      <c r="Y102" s="43" t="s">
        <v>85</v>
      </c>
      <c r="Z102" s="319">
        <v>190349.46</v>
      </c>
      <c r="AA102" s="319">
        <v>186714.8</v>
      </c>
      <c r="AB102" s="319">
        <v>187938.4</v>
      </c>
      <c r="AC102" s="319">
        <v>149192.54999999999</v>
      </c>
      <c r="AD102" s="319">
        <v>189695.52</v>
      </c>
      <c r="AE102" s="319">
        <v>181142.13</v>
      </c>
      <c r="AF102" s="319">
        <v>171432.84</v>
      </c>
      <c r="AG102" s="319">
        <v>193248.24</v>
      </c>
      <c r="AH102" s="319">
        <v>188243.02</v>
      </c>
      <c r="AI102" s="319">
        <v>175809.17</v>
      </c>
      <c r="AJ102" s="319">
        <v>167839.17</v>
      </c>
      <c r="AK102" s="319">
        <v>187114.42</v>
      </c>
      <c r="AL102" s="319">
        <v>187908.4</v>
      </c>
      <c r="AM102" s="319">
        <v>204930.58</v>
      </c>
      <c r="AN102" s="319">
        <v>253264.77</v>
      </c>
      <c r="AO102" s="319">
        <v>198978.81</v>
      </c>
      <c r="AP102" s="319">
        <v>243779.85</v>
      </c>
      <c r="AQ102" s="362">
        <v>63464.56</v>
      </c>
      <c r="AR102" s="753">
        <v>36149.54</v>
      </c>
      <c r="AS102" s="753">
        <v>26792.34</v>
      </c>
      <c r="AT102" s="753">
        <v>27904.58</v>
      </c>
      <c r="AU102" s="753">
        <v>25000</v>
      </c>
      <c r="AV102" s="39"/>
      <c r="AW102" s="43" t="s">
        <v>85</v>
      </c>
      <c r="AX102" s="319">
        <v>353506.14</v>
      </c>
      <c r="AY102" s="319">
        <v>336086.64</v>
      </c>
      <c r="AZ102" s="319">
        <v>338289.12</v>
      </c>
      <c r="BA102" s="319">
        <v>358062.12</v>
      </c>
      <c r="BB102" s="319">
        <v>379391.04</v>
      </c>
      <c r="BC102" s="319">
        <v>404086.29</v>
      </c>
      <c r="BD102" s="319">
        <v>400009.96</v>
      </c>
      <c r="BE102" s="319">
        <v>402600.5</v>
      </c>
      <c r="BF102" s="319">
        <v>427780.55</v>
      </c>
      <c r="BG102" s="319">
        <v>432723.4</v>
      </c>
      <c r="BH102" s="319">
        <v>434949.92</v>
      </c>
      <c r="BI102" s="319">
        <v>454110.43</v>
      </c>
      <c r="BJ102" s="319">
        <v>443787.6</v>
      </c>
      <c r="BK102" s="319">
        <v>444702.64</v>
      </c>
      <c r="BL102" s="319">
        <v>454229.06</v>
      </c>
      <c r="BM102" s="319">
        <v>453699.4</v>
      </c>
      <c r="BN102" s="319">
        <v>482250.56000000006</v>
      </c>
      <c r="BO102" s="362">
        <v>896794.91</v>
      </c>
      <c r="BP102" s="753">
        <v>962479.44</v>
      </c>
      <c r="BQ102" s="753">
        <v>988311.63</v>
      </c>
      <c r="BR102" s="753">
        <v>1016823.86</v>
      </c>
      <c r="BS102" s="753">
        <v>920000</v>
      </c>
      <c r="BT102" s="286"/>
      <c r="BU102" s="43" t="s">
        <v>85</v>
      </c>
      <c r="BV102" s="319">
        <v>145028.16</v>
      </c>
      <c r="BW102" s="319">
        <v>177379.06</v>
      </c>
      <c r="BX102" s="319">
        <v>216129.16</v>
      </c>
      <c r="BY102" s="319">
        <v>248654.25</v>
      </c>
      <c r="BZ102" s="319">
        <v>331967.15999999997</v>
      </c>
      <c r="CA102" s="319">
        <v>334416.24</v>
      </c>
      <c r="CB102" s="319">
        <v>442868.17</v>
      </c>
      <c r="CC102" s="319">
        <v>628056.78</v>
      </c>
      <c r="CD102" s="319">
        <v>377521.44</v>
      </c>
      <c r="CE102" s="319">
        <v>272959.57999999996</v>
      </c>
      <c r="CF102" s="319">
        <v>426181.55</v>
      </c>
      <c r="CG102" s="319">
        <v>341214.43000000005</v>
      </c>
      <c r="CH102" s="319">
        <v>374371.7</v>
      </c>
      <c r="CI102" s="319">
        <v>377738.27</v>
      </c>
      <c r="CJ102" s="319">
        <v>470108.91</v>
      </c>
      <c r="CK102" s="319">
        <v>292483.7</v>
      </c>
      <c r="CL102" s="319">
        <v>331326.99</v>
      </c>
      <c r="CM102" s="362">
        <v>310154.76999999996</v>
      </c>
      <c r="CN102" s="753">
        <v>362565.32000000007</v>
      </c>
      <c r="CO102" s="753">
        <v>390103.26000000007</v>
      </c>
      <c r="CP102" s="753">
        <v>440922.16000000003</v>
      </c>
      <c r="CQ102" s="753">
        <v>478456</v>
      </c>
      <c r="CR102" s="39"/>
      <c r="CS102" s="43" t="s">
        <v>85</v>
      </c>
      <c r="CT102" s="319">
        <v>126899.64</v>
      </c>
      <c r="CU102" s="319">
        <v>130700.36</v>
      </c>
      <c r="CV102" s="319">
        <v>122159.96</v>
      </c>
      <c r="CW102" s="319">
        <v>149192.54999999999</v>
      </c>
      <c r="CX102" s="319">
        <v>142271.64000000001</v>
      </c>
      <c r="CY102" s="319">
        <v>167208.12</v>
      </c>
      <c r="CZ102" s="319">
        <v>200004.98</v>
      </c>
      <c r="DA102" s="319">
        <v>209352.26</v>
      </c>
      <c r="DB102" s="319">
        <v>192800.14</v>
      </c>
      <c r="DC102" s="319">
        <v>189359.76</v>
      </c>
      <c r="DD102" s="319">
        <v>190950.88999999998</v>
      </c>
      <c r="DE102" s="319">
        <v>192829.58999999997</v>
      </c>
      <c r="DF102" s="319">
        <v>194117.64999999997</v>
      </c>
      <c r="DG102" s="319">
        <v>214146.01</v>
      </c>
      <c r="DH102" s="319">
        <v>202446.78</v>
      </c>
      <c r="DI102" s="319">
        <v>221922.8</v>
      </c>
      <c r="DJ102" s="319">
        <v>225916.78999999998</v>
      </c>
      <c r="DK102" s="362">
        <v>223716.57</v>
      </c>
      <c r="DL102" s="753">
        <v>227376.4</v>
      </c>
      <c r="DM102" s="753">
        <v>204157.81000000003</v>
      </c>
      <c r="DN102" s="753">
        <v>211990.47999999998</v>
      </c>
      <c r="DO102" s="753">
        <v>214665</v>
      </c>
      <c r="DP102" s="39"/>
      <c r="DQ102" s="43" t="s">
        <v>85</v>
      </c>
      <c r="DR102" s="319">
        <v>9064.26</v>
      </c>
      <c r="DS102" s="319">
        <v>9335.74</v>
      </c>
      <c r="DT102" s="319">
        <v>9396.92</v>
      </c>
      <c r="DU102" s="319">
        <v>0</v>
      </c>
      <c r="DV102" s="319">
        <v>0</v>
      </c>
      <c r="DW102" s="319">
        <v>0</v>
      </c>
      <c r="DX102" s="319">
        <v>0</v>
      </c>
      <c r="DY102" s="319">
        <v>0</v>
      </c>
      <c r="DZ102" s="319">
        <v>981.94</v>
      </c>
      <c r="EA102" s="319">
        <v>722.31</v>
      </c>
      <c r="EB102" s="319">
        <v>858.45</v>
      </c>
      <c r="EC102" s="319">
        <v>1425.29</v>
      </c>
      <c r="ED102" s="319">
        <v>1388.34</v>
      </c>
      <c r="EE102" s="319">
        <v>1068.43</v>
      </c>
      <c r="EF102" s="319">
        <v>805.85</v>
      </c>
      <c r="EG102" s="319">
        <v>437.78</v>
      </c>
      <c r="EH102" s="319">
        <v>413.85</v>
      </c>
      <c r="EI102" s="362">
        <v>845.76</v>
      </c>
      <c r="EJ102" s="753">
        <v>792.72</v>
      </c>
      <c r="EK102" s="753">
        <v>656.58</v>
      </c>
      <c r="EL102" s="753">
        <v>514.49</v>
      </c>
      <c r="EM102" s="753">
        <v>525</v>
      </c>
      <c r="EN102" s="39"/>
      <c r="EO102" s="43" t="s">
        <v>85</v>
      </c>
      <c r="EP102" s="319">
        <v>81578.34</v>
      </c>
      <c r="EQ102" s="319">
        <v>93357.4</v>
      </c>
      <c r="ER102" s="319">
        <v>65778.44</v>
      </c>
      <c r="ES102" s="319">
        <v>89515.53</v>
      </c>
      <c r="ET102" s="319">
        <v>142271.64000000001</v>
      </c>
      <c r="EU102" s="319">
        <v>306548.21999999997</v>
      </c>
      <c r="EV102" s="319">
        <v>214291.05</v>
      </c>
      <c r="EW102" s="319">
        <v>177144.22</v>
      </c>
      <c r="EX102" s="319">
        <v>240295.59</v>
      </c>
      <c r="EY102" s="319">
        <v>146531.71</v>
      </c>
      <c r="EZ102" s="319">
        <v>136270.33000000002</v>
      </c>
      <c r="FA102" s="319">
        <v>141698.34999999998</v>
      </c>
      <c r="FB102" s="319">
        <v>161535.86999999997</v>
      </c>
      <c r="FC102" s="319">
        <v>201390.78000000003</v>
      </c>
      <c r="FD102" s="319">
        <v>192783.97999999998</v>
      </c>
      <c r="FE102" s="319">
        <v>302306.02</v>
      </c>
      <c r="FF102" s="319">
        <v>370895.32</v>
      </c>
      <c r="FG102" s="362">
        <v>521661.98000000004</v>
      </c>
      <c r="FH102" s="362">
        <v>422990.14</v>
      </c>
      <c r="FI102" s="362">
        <v>604421.37000000011</v>
      </c>
      <c r="FJ102" s="362">
        <v>508952.95999999996</v>
      </c>
      <c r="FK102" s="362">
        <v>552320</v>
      </c>
      <c r="FM102" s="43" t="s">
        <v>85</v>
      </c>
      <c r="FN102" s="319">
        <v>126423</v>
      </c>
      <c r="FO102" s="319">
        <v>98365</v>
      </c>
      <c r="FP102" s="319">
        <v>2453</v>
      </c>
      <c r="FQ102" s="319">
        <v>-31515</v>
      </c>
      <c r="FR102" s="319">
        <v>-13146</v>
      </c>
      <c r="FS102" s="319">
        <v>100457</v>
      </c>
      <c r="FT102" s="319">
        <v>94238</v>
      </c>
      <c r="FU102" s="319">
        <v>134188</v>
      </c>
      <c r="FV102" s="319">
        <v>54897.700000000194</v>
      </c>
      <c r="FW102" s="319">
        <v>37218.480000000003</v>
      </c>
      <c r="FX102" s="319">
        <v>22041.1</v>
      </c>
      <c r="FY102" s="319">
        <v>44338.62</v>
      </c>
      <c r="FZ102" s="319">
        <v>7865.86</v>
      </c>
      <c r="GA102" s="319">
        <v>35146.01</v>
      </c>
      <c r="GB102" s="319">
        <v>4135.87</v>
      </c>
      <c r="GC102" s="319">
        <v>7548</v>
      </c>
      <c r="GD102" s="319">
        <v>814.61</v>
      </c>
      <c r="GE102" s="319">
        <v>77693.63</v>
      </c>
      <c r="GF102" s="756">
        <v>6395.37</v>
      </c>
      <c r="GG102" s="756">
        <v>44002.62</v>
      </c>
      <c r="GH102" s="756">
        <v>138851.49000000022</v>
      </c>
      <c r="GI102" s="756">
        <v>96622.600000000093</v>
      </c>
      <c r="GJ102" s="41"/>
      <c r="GK102" s="570" t="s">
        <v>85</v>
      </c>
      <c r="GL102" s="571">
        <f>FN102/'4GF Expenditures'!B103</f>
        <v>0.14943104787188147</v>
      </c>
      <c r="GM102" s="571">
        <f>FO102/'4GF Expenditures'!C103</f>
        <v>0.1022896492629197</v>
      </c>
      <c r="GN102" s="571">
        <f>FP102/'4GF Expenditures'!D103</f>
        <v>2.3686660151949973E-3</v>
      </c>
      <c r="GO102" s="571">
        <f>FQ102/'4GF Expenditures'!E103</f>
        <v>-3.0639179066387318E-2</v>
      </c>
      <c r="GP102" s="571">
        <f>FR102/'4GF Expenditures'!F103</f>
        <v>-1.1262581089555768E-2</v>
      </c>
      <c r="GQ102" s="571">
        <f>FS102/'4GF Expenditures'!G103</f>
        <v>7.8459841825983589E-2</v>
      </c>
      <c r="GR102" s="571">
        <f>FT102/'4GF Expenditures'!H103</f>
        <v>6.5679044009517532E-2</v>
      </c>
      <c r="GS102" s="571">
        <f>FU102/'4GF Expenditures'!I103</f>
        <v>8.5445464108422284E-2</v>
      </c>
      <c r="GT102" s="571">
        <f>FV102/'4GF Expenditures'!J103</f>
        <v>3.5120205025121302E-2</v>
      </c>
      <c r="GU102" s="571">
        <f>FW102/'4GF Expenditures'!K103</f>
        <v>2.621661268362073E-2</v>
      </c>
      <c r="GV102" s="571">
        <f>FX102/'4GF Expenditures'!L103</f>
        <v>1.3804302006244305E-2</v>
      </c>
      <c r="GW102" s="571">
        <f>FY102/'4GF Expenditures'!M103</f>
        <v>3.002711829797259E-2</v>
      </c>
      <c r="GX102" s="571">
        <f>FZ102/'4GF Expenditures'!N103</f>
        <v>4.7693867395070359E-3</v>
      </c>
      <c r="GY102" s="571">
        <f>GA102/'4GF Expenditures'!O103</f>
        <v>2.1141048074889649E-2</v>
      </c>
      <c r="GZ102" s="571">
        <f>GB102/'4GF Expenditures'!P103</f>
        <v>2.1226882686207248E-3</v>
      </c>
      <c r="HA102" s="571">
        <f>GC102/'4GF Expenditures'!Q103</f>
        <v>4.0179186823509289E-3</v>
      </c>
      <c r="HB102" s="571">
        <f>GD102/'4GF Expenditures'!R103</f>
        <v>3.9538313106396753E-4</v>
      </c>
      <c r="HC102" s="571">
        <f>GE102/'4GF Expenditures'!S103</f>
        <v>3.3209312526470525E-2</v>
      </c>
      <c r="HD102" s="571">
        <f>GF102/'4GF Expenditures'!T103</f>
        <v>2.653851886102719E-3</v>
      </c>
      <c r="HE102" s="571">
        <f>GG102/'4GF Expenditures'!U103</f>
        <v>1.7326061640236035E-2</v>
      </c>
      <c r="HF102" s="571">
        <f>GH102/'4GF Expenditures'!V103</f>
        <v>6.1382962535884551E-2</v>
      </c>
      <c r="HG102" s="571">
        <f>GI102/'4GF Expenditures'!W103</f>
        <v>4.0516203298648121E-2</v>
      </c>
      <c r="HH102" s="571"/>
      <c r="HI102" s="571"/>
      <c r="HJ102" s="571"/>
      <c r="HK102" s="568"/>
      <c r="HL102" s="567" t="s">
        <v>85</v>
      </c>
      <c r="HM102" s="571">
        <f>B102/'4GF Expenditures'!B103</f>
        <v>1.071388805821077</v>
      </c>
      <c r="HN102" s="571">
        <f>C102/'4GF Expenditures'!C103</f>
        <v>0.97082251838541145</v>
      </c>
      <c r="HO102" s="571">
        <f>D102/'4GF Expenditures'!D103</f>
        <v>0.90738544849189462</v>
      </c>
      <c r="HP102" s="571">
        <f>E102/'4GF Expenditures'!E103</f>
        <v>0.9669759912890038</v>
      </c>
      <c r="HQ102" s="571">
        <f>F102/'4GF Expenditures'!F103</f>
        <v>1.0157372852604631</v>
      </c>
      <c r="HR102" s="571">
        <f>G102/'4GF Expenditures'!G103</f>
        <v>1.0882867501534723</v>
      </c>
      <c r="HS102" s="571">
        <f>H102/'4GF Expenditures'!H103</f>
        <v>0.99566567653499449</v>
      </c>
      <c r="HT102" s="571">
        <f>I102/'4GF Expenditures'!I103</f>
        <v>1.0254385361666578</v>
      </c>
      <c r="HU102" s="571">
        <f>J102/'4GF Expenditures'!J103</f>
        <v>0.94977803068512423</v>
      </c>
      <c r="HV102" s="571">
        <f>K102/'4GF Expenditures'!K103</f>
        <v>0.98753542160820762</v>
      </c>
      <c r="HW102" s="571">
        <f>L102/'4GF Expenditures'!L103</f>
        <v>0.99049443370868351</v>
      </c>
      <c r="HX102" s="571">
        <f>M102/'4GF Expenditures'!M103</f>
        <v>1.0151003858665744</v>
      </c>
      <c r="HY102" s="571">
        <f>N102/'4GF Expenditures'!N103</f>
        <v>0.97618470513153965</v>
      </c>
      <c r="HZ102" s="571">
        <f>O102/'4GF Expenditures'!O103</f>
        <v>1.017426490110674</v>
      </c>
      <c r="IA102" s="571">
        <f>P102/'4GF Expenditures'!P103</f>
        <v>0.98408439811060633</v>
      </c>
      <c r="IB102" s="571">
        <f>Q102/'4GF Expenditures'!Q103</f>
        <v>1.0019450548449096</v>
      </c>
      <c r="IC102" s="571">
        <f>R102/'4GF Expenditures'!R103</f>
        <v>0.99673184858904906</v>
      </c>
      <c r="ID102" s="573">
        <f>S102/'4GF Expenditures'!S103</f>
        <v>1.0347402676714799</v>
      </c>
      <c r="IE102" s="572">
        <f>T102/'4GF Expenditures'!T103</f>
        <v>0.97041785719306795</v>
      </c>
      <c r="IF102" s="572">
        <f>U102/'4GF Expenditures'!U103</f>
        <v>1.0148078803403018</v>
      </c>
      <c r="IG102" s="572">
        <f>V102/'4GF Expenditures'!V103</f>
        <v>1.0419304440577555</v>
      </c>
      <c r="IH102" s="572">
        <f>W102/'4GF Expenditures'!W103</f>
        <v>0.98229240061521572</v>
      </c>
    </row>
    <row r="103" spans="1:242" ht="14">
      <c r="A103" s="43" t="s">
        <v>86</v>
      </c>
      <c r="B103" s="319">
        <v>1359704</v>
      </c>
      <c r="C103" s="319">
        <v>1443802</v>
      </c>
      <c r="D103" s="319">
        <v>1478758</v>
      </c>
      <c r="E103" s="319">
        <v>1709602</v>
      </c>
      <c r="F103" s="319">
        <v>1856320</v>
      </c>
      <c r="G103" s="319">
        <v>1972177</v>
      </c>
      <c r="H103" s="319">
        <v>2338861</v>
      </c>
      <c r="I103" s="319">
        <v>2416011</v>
      </c>
      <c r="J103" s="319">
        <v>2531587.6900000004</v>
      </c>
      <c r="K103" s="888"/>
      <c r="L103" s="319"/>
      <c r="M103" s="319"/>
      <c r="N103" s="319"/>
      <c r="O103" s="319">
        <v>3840427.75</v>
      </c>
      <c r="P103" s="319"/>
      <c r="Q103" s="319"/>
      <c r="R103" s="319"/>
      <c r="S103" s="362"/>
      <c r="T103" s="362"/>
      <c r="U103" s="362"/>
      <c r="V103" s="362"/>
      <c r="W103" s="362"/>
      <c r="X103" s="6"/>
      <c r="Y103" s="43" t="s">
        <v>86</v>
      </c>
      <c r="Z103" s="319">
        <v>40791.120000000003</v>
      </c>
      <c r="AA103" s="319">
        <v>86628.12</v>
      </c>
      <c r="AB103" s="319">
        <v>88725.48</v>
      </c>
      <c r="AC103" s="319">
        <v>136768.16</v>
      </c>
      <c r="AD103" s="319">
        <v>92816</v>
      </c>
      <c r="AE103" s="319">
        <v>118330.62</v>
      </c>
      <c r="AF103" s="319">
        <v>93554.44</v>
      </c>
      <c r="AG103" s="319">
        <v>144960.66</v>
      </c>
      <c r="AH103" s="319">
        <v>135086.12</v>
      </c>
      <c r="AI103" s="319"/>
      <c r="AJ103" s="319"/>
      <c r="AK103" s="319"/>
      <c r="AL103" s="319"/>
      <c r="AM103" s="319">
        <v>42179.54</v>
      </c>
      <c r="AN103" s="319"/>
      <c r="AO103" s="319"/>
      <c r="AP103" s="319"/>
      <c r="AQ103" s="362"/>
      <c r="AR103" s="753"/>
      <c r="AS103" s="753"/>
      <c r="AT103" s="753"/>
      <c r="AU103" s="753"/>
      <c r="AV103" s="39"/>
      <c r="AW103" s="43" t="s">
        <v>86</v>
      </c>
      <c r="AX103" s="319">
        <v>747837.2</v>
      </c>
      <c r="AY103" s="319">
        <v>779653.08</v>
      </c>
      <c r="AZ103" s="319">
        <v>768954.16</v>
      </c>
      <c r="BA103" s="319">
        <v>854801</v>
      </c>
      <c r="BB103" s="319">
        <v>965286.40000000002</v>
      </c>
      <c r="BC103" s="319">
        <v>1005810.27</v>
      </c>
      <c r="BD103" s="319">
        <v>1029098.84</v>
      </c>
      <c r="BE103" s="319">
        <v>1063044.8400000001</v>
      </c>
      <c r="BF103" s="319">
        <v>1111001.06</v>
      </c>
      <c r="BG103" s="319"/>
      <c r="BH103" s="319"/>
      <c r="BI103" s="319"/>
      <c r="BJ103" s="319"/>
      <c r="BK103" s="319">
        <v>2060394.63</v>
      </c>
      <c r="BL103" s="319"/>
      <c r="BM103" s="319"/>
      <c r="BN103" s="319"/>
      <c r="BO103" s="362"/>
      <c r="BP103" s="753"/>
      <c r="BQ103" s="753"/>
      <c r="BR103" s="753"/>
      <c r="BS103" s="753"/>
      <c r="BT103" s="286"/>
      <c r="BU103" s="43" t="s">
        <v>86</v>
      </c>
      <c r="BV103" s="319">
        <v>176761.52</v>
      </c>
      <c r="BW103" s="319">
        <v>144380.20000000001</v>
      </c>
      <c r="BX103" s="319">
        <v>133088.22</v>
      </c>
      <c r="BY103" s="319">
        <v>85480.1</v>
      </c>
      <c r="BZ103" s="319">
        <v>92816</v>
      </c>
      <c r="CA103" s="319">
        <v>78887.08</v>
      </c>
      <c r="CB103" s="319">
        <v>163720.26999999999</v>
      </c>
      <c r="CC103" s="319">
        <v>265761.21000000002</v>
      </c>
      <c r="CD103" s="319">
        <v>323617.69</v>
      </c>
      <c r="CE103" s="319"/>
      <c r="CF103" s="319"/>
      <c r="CG103" s="319"/>
      <c r="CH103" s="319"/>
      <c r="CI103" s="319">
        <v>293548.15000000002</v>
      </c>
      <c r="CJ103" s="319"/>
      <c r="CK103" s="319"/>
      <c r="CL103" s="319"/>
      <c r="CM103" s="362"/>
      <c r="CN103" s="753"/>
      <c r="CO103" s="753"/>
      <c r="CP103" s="753"/>
      <c r="CQ103" s="753"/>
      <c r="CR103" s="39"/>
      <c r="CS103" s="43" t="s">
        <v>86</v>
      </c>
      <c r="CT103" s="319">
        <v>353523.04</v>
      </c>
      <c r="CU103" s="319">
        <v>404264.56</v>
      </c>
      <c r="CV103" s="319">
        <v>428839.82</v>
      </c>
      <c r="CW103" s="319">
        <v>478688.56</v>
      </c>
      <c r="CX103" s="319">
        <v>482643.20000000001</v>
      </c>
      <c r="CY103" s="319">
        <v>670540.18000000005</v>
      </c>
      <c r="CZ103" s="319">
        <v>818601.35</v>
      </c>
      <c r="DA103" s="319">
        <v>821443.74</v>
      </c>
      <c r="DB103" s="319">
        <v>833806.91999999993</v>
      </c>
      <c r="DC103" s="319"/>
      <c r="DD103" s="319"/>
      <c r="DE103" s="319"/>
      <c r="DF103" s="319"/>
      <c r="DG103" s="319">
        <v>647245.59</v>
      </c>
      <c r="DH103" s="319"/>
      <c r="DI103" s="319"/>
      <c r="DJ103" s="319"/>
      <c r="DK103" s="362"/>
      <c r="DL103" s="753"/>
      <c r="DM103" s="753"/>
      <c r="DN103" s="753"/>
      <c r="DO103" s="753"/>
      <c r="DP103" s="39"/>
      <c r="DQ103" s="43" t="s">
        <v>86</v>
      </c>
      <c r="DR103" s="319">
        <v>27194.080000000002</v>
      </c>
      <c r="DS103" s="319">
        <v>14438.02</v>
      </c>
      <c r="DT103" s="319">
        <v>14787.58</v>
      </c>
      <c r="DU103" s="319">
        <v>17096.02</v>
      </c>
      <c r="DV103" s="319">
        <v>18563.2</v>
      </c>
      <c r="DW103" s="319">
        <v>39443.54</v>
      </c>
      <c r="DX103" s="319">
        <v>23388.61</v>
      </c>
      <c r="DY103" s="319">
        <v>24160.11</v>
      </c>
      <c r="DZ103" s="319">
        <v>5176.54</v>
      </c>
      <c r="EA103" s="319"/>
      <c r="EB103" s="319"/>
      <c r="EC103" s="319"/>
      <c r="ED103" s="319"/>
      <c r="EE103" s="319">
        <v>11990.14</v>
      </c>
      <c r="EF103" s="319"/>
      <c r="EG103" s="319"/>
      <c r="EH103" s="319"/>
      <c r="EI103" s="362"/>
      <c r="EJ103" s="753"/>
      <c r="EK103" s="753"/>
      <c r="EL103" s="753"/>
      <c r="EM103" s="753"/>
      <c r="EN103" s="39"/>
      <c r="EO103" s="43" t="s">
        <v>86</v>
      </c>
      <c r="EP103" s="319">
        <v>13597.04</v>
      </c>
      <c r="EQ103" s="319">
        <v>14438.02</v>
      </c>
      <c r="ER103" s="319">
        <v>44362.74</v>
      </c>
      <c r="ES103" s="319">
        <v>136768.16</v>
      </c>
      <c r="ET103" s="319">
        <v>204195.20000000001</v>
      </c>
      <c r="EU103" s="319">
        <v>59165.31</v>
      </c>
      <c r="EV103" s="319">
        <v>210497.49</v>
      </c>
      <c r="EW103" s="319">
        <v>96640.44</v>
      </c>
      <c r="EX103" s="319">
        <v>79324.06</v>
      </c>
      <c r="EY103" s="319"/>
      <c r="EZ103" s="319"/>
      <c r="FA103" s="319"/>
      <c r="FB103" s="319"/>
      <c r="FC103" s="319">
        <v>743988.85000000009</v>
      </c>
      <c r="FD103" s="319"/>
      <c r="FE103" s="319"/>
      <c r="FF103" s="319"/>
      <c r="FG103" s="362"/>
      <c r="FH103" s="362"/>
      <c r="FI103" s="362"/>
      <c r="FJ103" s="362"/>
      <c r="FK103" s="362"/>
      <c r="FM103" s="43" t="s">
        <v>86</v>
      </c>
      <c r="FN103" s="319">
        <v>199776</v>
      </c>
      <c r="FO103" s="319">
        <v>202163</v>
      </c>
      <c r="FP103" s="319">
        <v>212952</v>
      </c>
      <c r="FQ103" s="319">
        <v>328227</v>
      </c>
      <c r="FR103" s="319">
        <v>538574</v>
      </c>
      <c r="FS103" s="319">
        <v>247100</v>
      </c>
      <c r="FT103" s="319">
        <v>412497</v>
      </c>
      <c r="FU103" s="319">
        <v>300611</v>
      </c>
      <c r="FV103" s="319">
        <v>140216.12000000058</v>
      </c>
      <c r="FW103" s="319"/>
      <c r="FX103" s="319"/>
      <c r="FY103" s="319"/>
      <c r="FZ103" s="319"/>
      <c r="GA103" s="319">
        <v>759956.29</v>
      </c>
      <c r="GB103" s="319"/>
      <c r="GC103" s="319"/>
      <c r="GD103" s="319"/>
      <c r="GE103" s="319"/>
      <c r="GF103" s="756"/>
      <c r="GG103" s="756"/>
      <c r="GH103" s="756"/>
      <c r="GI103" s="756"/>
      <c r="GJ103" s="41"/>
      <c r="GK103" s="570" t="s">
        <v>86</v>
      </c>
      <c r="GL103" s="571">
        <f>FN103/'4GF Expenditures'!B104</f>
        <v>0.10208977007112394</v>
      </c>
      <c r="GM103" s="571">
        <f>FO103/'4GF Expenditures'!C104</f>
        <v>0.14025315401879404</v>
      </c>
      <c r="GN103" s="571">
        <f>FP103/'4GF Expenditures'!D104</f>
        <v>0.14506573367693731</v>
      </c>
      <c r="GO103" s="571">
        <f>FQ103/'4GF Expenditures'!E104</f>
        <v>0.20587181926919634</v>
      </c>
      <c r="GP103" s="571">
        <f>FR103/'4GF Expenditures'!F104</f>
        <v>0.32720706840270164</v>
      </c>
      <c r="GQ103" s="571">
        <f>FS103/'4GF Expenditures'!G104</f>
        <v>0.10915993675703542</v>
      </c>
      <c r="GR103" s="571">
        <f>FT103/'4GF Expenditures'!H104</f>
        <v>0.1897878225726306</v>
      </c>
      <c r="GS103" s="571">
        <f>FU103/'4GF Expenditures'!I104</f>
        <v>0.11891742424632017</v>
      </c>
      <c r="GT103" s="571">
        <f>FV103/'4GF Expenditures'!J104</f>
        <v>5.2082088501253558E-2</v>
      </c>
      <c r="GU103" s="571" t="e">
        <f>FW103/'4GF Expenditures'!K104</f>
        <v>#DIV/0!</v>
      </c>
      <c r="GV103" s="571" t="e">
        <f>FX103/'4GF Expenditures'!L104</f>
        <v>#DIV/0!</v>
      </c>
      <c r="GW103" s="571" t="e">
        <f>FY103/'4GF Expenditures'!M104</f>
        <v>#DIV/0!</v>
      </c>
      <c r="GX103" s="571" t="e">
        <f>FZ103/'4GF Expenditures'!N104</f>
        <v>#DIV/0!</v>
      </c>
      <c r="GY103" s="571">
        <f>GA103/'4GF Expenditures'!O104</f>
        <v>0.24993744626775821</v>
      </c>
      <c r="GZ103" s="571" t="e">
        <f>GB103/'4GF Expenditures'!P104</f>
        <v>#DIV/0!</v>
      </c>
      <c r="HA103" s="571" t="e">
        <f>GC103/'4GF Expenditures'!Q104</f>
        <v>#DIV/0!</v>
      </c>
      <c r="HB103" s="571" t="e">
        <f>GD103/'4GF Expenditures'!R104</f>
        <v>#DIV/0!</v>
      </c>
      <c r="HC103" s="571" t="e">
        <f>GE103/'4GF Expenditures'!S104</f>
        <v>#DIV/0!</v>
      </c>
      <c r="HD103" s="571" t="e">
        <f>GF103/'4GF Expenditures'!T104</f>
        <v>#DIV/0!</v>
      </c>
      <c r="HE103" s="571" t="e">
        <f>GG103/'4GF Expenditures'!U104</f>
        <v>#DIV/0!</v>
      </c>
      <c r="HF103" s="571" t="e">
        <f>GH103/'4GF Expenditures'!V104</f>
        <v>#DIV/0!</v>
      </c>
      <c r="HG103" s="571" t="e">
        <f>GI103/'4GF Expenditures'!W104</f>
        <v>#DIV/0!</v>
      </c>
      <c r="HH103" s="571"/>
      <c r="HI103" s="571"/>
      <c r="HJ103" s="571"/>
      <c r="HK103" s="568"/>
      <c r="HL103" s="567" t="s">
        <v>86</v>
      </c>
      <c r="HM103" s="571">
        <f>B103/'4GF Expenditures'!B104</f>
        <v>0.69483756169303368</v>
      </c>
      <c r="HN103" s="571">
        <f>C103/'4GF Expenditures'!C104</f>
        <v>1.0016560116274633</v>
      </c>
      <c r="HO103" s="571">
        <f>D103/'4GF Expenditures'!D104</f>
        <v>1.0073496102438131</v>
      </c>
      <c r="HP103" s="571">
        <f>E103/'4GF Expenditures'!E104</f>
        <v>1.0723032351581576</v>
      </c>
      <c r="HQ103" s="571">
        <f>F103/'4GF Expenditures'!F104</f>
        <v>1.127794927377302</v>
      </c>
      <c r="HR103" s="571">
        <f>G103/'4GF Expenditures'!G104</f>
        <v>0.87123721810473431</v>
      </c>
      <c r="HS103" s="571">
        <f>H103/'4GF Expenditures'!H104</f>
        <v>1.0760983388728775</v>
      </c>
      <c r="HT103" s="571">
        <f>I103/'4GF Expenditures'!I104</f>
        <v>0.95573949413287018</v>
      </c>
      <c r="HU103" s="571">
        <f>J103/'4GF Expenditures'!J104</f>
        <v>0.94033677525282777</v>
      </c>
      <c r="HV103" s="571" t="e">
        <f>K103/'4GF Expenditures'!K104</f>
        <v>#DIV/0!</v>
      </c>
      <c r="HW103" s="571" t="e">
        <f>L103/'4GF Expenditures'!L104</f>
        <v>#DIV/0!</v>
      </c>
      <c r="HX103" s="571" t="e">
        <f>M103/'4GF Expenditures'!M104</f>
        <v>#DIV/0!</v>
      </c>
      <c r="HY103" s="571" t="e">
        <f>N103/'4GF Expenditures'!N104</f>
        <v>#DIV/0!</v>
      </c>
      <c r="HZ103" s="571">
        <f>O103/'4GF Expenditures'!O104</f>
        <v>1.2630551480938892</v>
      </c>
      <c r="IA103" s="571" t="e">
        <f>P103/'4GF Expenditures'!P104</f>
        <v>#DIV/0!</v>
      </c>
      <c r="IB103" s="571" t="e">
        <f>Q103/'4GF Expenditures'!Q104</f>
        <v>#DIV/0!</v>
      </c>
      <c r="IC103" s="571" t="e">
        <f>R103/'4GF Expenditures'!R104</f>
        <v>#DIV/0!</v>
      </c>
      <c r="ID103" s="573" t="e">
        <f>S103/'4GF Expenditures'!S104</f>
        <v>#DIV/0!</v>
      </c>
      <c r="IE103" s="572" t="e">
        <f>T103/'4GF Expenditures'!T104</f>
        <v>#DIV/0!</v>
      </c>
      <c r="IF103" s="572" t="e">
        <f>U103/'4GF Expenditures'!U104</f>
        <v>#DIV/0!</v>
      </c>
      <c r="IG103" s="572" t="e">
        <f>V103/'4GF Expenditures'!V104</f>
        <v>#DIV/0!</v>
      </c>
      <c r="IH103" s="572" t="e">
        <f>W103/'4GF Expenditures'!W104</f>
        <v>#DIV/0!</v>
      </c>
    </row>
    <row r="104" spans="1:242" ht="14">
      <c r="A104" s="43" t="s">
        <v>87</v>
      </c>
      <c r="B104" s="319">
        <v>381671</v>
      </c>
      <c r="C104" s="319">
        <v>437144</v>
      </c>
      <c r="D104" s="319">
        <v>410972</v>
      </c>
      <c r="E104" s="319">
        <v>425965</v>
      </c>
      <c r="F104" s="319">
        <v>293878</v>
      </c>
      <c r="G104" s="319">
        <v>439059</v>
      </c>
      <c r="H104" s="319">
        <v>420087</v>
      </c>
      <c r="I104" s="319">
        <v>445845</v>
      </c>
      <c r="J104" s="319">
        <v>432818.74</v>
      </c>
      <c r="K104" s="888">
        <v>425269.72</v>
      </c>
      <c r="L104" s="319">
        <v>438204.25</v>
      </c>
      <c r="M104" s="319">
        <v>496590.76000000007</v>
      </c>
      <c r="N104" s="319">
        <v>385653.58</v>
      </c>
      <c r="O104" s="319">
        <v>541716.27</v>
      </c>
      <c r="P104" s="319">
        <v>518622.45999999996</v>
      </c>
      <c r="Q104" s="319">
        <v>392771.54000000004</v>
      </c>
      <c r="R104" s="319">
        <v>427872.91000000003</v>
      </c>
      <c r="S104" s="362">
        <v>423323.79</v>
      </c>
      <c r="T104" s="362">
        <v>500114.23</v>
      </c>
      <c r="U104" s="362">
        <v>498627.07999999996</v>
      </c>
      <c r="V104" s="362">
        <v>619498.81999999995</v>
      </c>
      <c r="W104" s="362">
        <v>639541.65</v>
      </c>
      <c r="X104" s="6"/>
      <c r="Y104" s="43" t="s">
        <v>87</v>
      </c>
      <c r="Z104" s="319">
        <v>133584.85</v>
      </c>
      <c r="AA104" s="319">
        <v>144257.51999999999</v>
      </c>
      <c r="AB104" s="319">
        <v>127401.32</v>
      </c>
      <c r="AC104" s="319">
        <v>166126.35</v>
      </c>
      <c r="AD104" s="319">
        <v>158694.12</v>
      </c>
      <c r="AE104" s="319">
        <v>171233.01</v>
      </c>
      <c r="AF104" s="319">
        <v>155432.19</v>
      </c>
      <c r="AG104" s="319">
        <v>164962.65</v>
      </c>
      <c r="AH104" s="319">
        <v>180579.33000000002</v>
      </c>
      <c r="AI104" s="319">
        <v>199568.44</v>
      </c>
      <c r="AJ104" s="319">
        <v>196963.52000000002</v>
      </c>
      <c r="AK104" s="319">
        <v>202806.09000000003</v>
      </c>
      <c r="AL104" s="319">
        <v>193176.25</v>
      </c>
      <c r="AM104" s="319">
        <v>214037.54</v>
      </c>
      <c r="AN104" s="319">
        <v>213385.34</v>
      </c>
      <c r="AO104" s="319">
        <v>211522.71</v>
      </c>
      <c r="AP104" s="319">
        <v>232605.65</v>
      </c>
      <c r="AQ104" s="362">
        <v>221241.02</v>
      </c>
      <c r="AR104" s="753">
        <v>246805.94</v>
      </c>
      <c r="AS104" s="753">
        <v>262912.95999999996</v>
      </c>
      <c r="AT104" s="753">
        <v>385972.70999999996</v>
      </c>
      <c r="AU104" s="753">
        <v>438131</v>
      </c>
      <c r="AV104" s="39"/>
      <c r="AW104" s="43" t="s">
        <v>87</v>
      </c>
      <c r="AX104" s="319">
        <v>53433.94</v>
      </c>
      <c r="AY104" s="319">
        <v>56828.72</v>
      </c>
      <c r="AZ104" s="319">
        <v>45206.92</v>
      </c>
      <c r="BA104" s="319">
        <v>51115.8</v>
      </c>
      <c r="BB104" s="319">
        <v>49959.26</v>
      </c>
      <c r="BC104" s="319">
        <v>57077.67</v>
      </c>
      <c r="BD104" s="319">
        <v>58812.18</v>
      </c>
      <c r="BE104" s="319">
        <v>62418.3</v>
      </c>
      <c r="BF104" s="319">
        <v>61349.279999999999</v>
      </c>
      <c r="BG104" s="319">
        <v>67127.459999999992</v>
      </c>
      <c r="BH104" s="319">
        <v>65687.520000000004</v>
      </c>
      <c r="BI104" s="319">
        <v>69893.53</v>
      </c>
      <c r="BJ104" s="319">
        <v>69662.590000000011</v>
      </c>
      <c r="BK104" s="319">
        <v>62384.409999999996</v>
      </c>
      <c r="BL104" s="319">
        <v>68006.66</v>
      </c>
      <c r="BM104" s="319">
        <v>66211.490000000005</v>
      </c>
      <c r="BN104" s="319">
        <v>75348.570000000007</v>
      </c>
      <c r="BO104" s="362">
        <v>65827.929999999993</v>
      </c>
      <c r="BP104" s="753">
        <v>79585.509999999995</v>
      </c>
      <c r="BQ104" s="753">
        <v>79495.850000000006</v>
      </c>
      <c r="BR104" s="753">
        <v>70591.33</v>
      </c>
      <c r="BS104" s="753">
        <v>50000</v>
      </c>
      <c r="BT104" s="286"/>
      <c r="BU104" s="43" t="s">
        <v>87</v>
      </c>
      <c r="BV104" s="319">
        <v>22900.26</v>
      </c>
      <c r="BW104" s="319">
        <v>17485.759999999998</v>
      </c>
      <c r="BX104" s="319">
        <v>24658.32</v>
      </c>
      <c r="BY104" s="319">
        <v>12778.95</v>
      </c>
      <c r="BZ104" s="319">
        <v>5877.56</v>
      </c>
      <c r="CA104" s="319">
        <v>26343.54</v>
      </c>
      <c r="CB104" s="319">
        <v>29406.09</v>
      </c>
      <c r="CC104" s="319">
        <v>0</v>
      </c>
      <c r="CD104" s="319">
        <v>63901.82</v>
      </c>
      <c r="CE104" s="319">
        <v>87701.41</v>
      </c>
      <c r="CF104" s="319">
        <v>60878.19</v>
      </c>
      <c r="CG104" s="319">
        <v>61093.46</v>
      </c>
      <c r="CH104" s="319">
        <v>54074.340000000004</v>
      </c>
      <c r="CI104" s="319">
        <v>61100.649999999994</v>
      </c>
      <c r="CJ104" s="319">
        <v>72704.37</v>
      </c>
      <c r="CK104" s="319">
        <v>53629</v>
      </c>
      <c r="CL104" s="319">
        <v>53814.03</v>
      </c>
      <c r="CM104" s="362">
        <v>53815</v>
      </c>
      <c r="CN104" s="753">
        <v>53884.57</v>
      </c>
      <c r="CO104" s="753">
        <v>54063.380000000005</v>
      </c>
      <c r="CP104" s="753">
        <v>54108.63</v>
      </c>
      <c r="CQ104" s="753">
        <v>54205.65</v>
      </c>
      <c r="CR104" s="39"/>
      <c r="CS104" s="43" t="s">
        <v>87</v>
      </c>
      <c r="CT104" s="319">
        <v>41983.81</v>
      </c>
      <c r="CU104" s="319">
        <v>39342.959999999999</v>
      </c>
      <c r="CV104" s="319">
        <v>45206.92</v>
      </c>
      <c r="CW104" s="319">
        <v>55375.45</v>
      </c>
      <c r="CX104" s="319">
        <v>64653.16</v>
      </c>
      <c r="CY104" s="319">
        <v>39515.31</v>
      </c>
      <c r="CZ104" s="319">
        <v>33606.959999999999</v>
      </c>
      <c r="DA104" s="319">
        <v>98085.9</v>
      </c>
      <c r="DB104" s="319">
        <v>101916.54000000001</v>
      </c>
      <c r="DC104" s="319">
        <v>51545.06</v>
      </c>
      <c r="DD104" s="319">
        <v>43835.93</v>
      </c>
      <c r="DE104" s="319">
        <v>47206.36</v>
      </c>
      <c r="DF104" s="319">
        <v>53120.05</v>
      </c>
      <c r="DG104" s="319">
        <v>53977.37</v>
      </c>
      <c r="DH104" s="319">
        <v>65015.69999999999</v>
      </c>
      <c r="DI104" s="319">
        <v>54601.37</v>
      </c>
      <c r="DJ104" s="319">
        <v>62557.840000000004</v>
      </c>
      <c r="DK104" s="362">
        <v>53886.62</v>
      </c>
      <c r="DL104" s="753">
        <v>70477.11</v>
      </c>
      <c r="DM104" s="753">
        <v>63421.69</v>
      </c>
      <c r="DN104" s="753">
        <v>69549.87000000001</v>
      </c>
      <c r="DO104" s="753">
        <v>68280</v>
      </c>
      <c r="DP104" s="39"/>
      <c r="DQ104" s="43" t="s">
        <v>87</v>
      </c>
      <c r="DR104" s="319">
        <v>0</v>
      </c>
      <c r="DS104" s="319">
        <v>0</v>
      </c>
      <c r="DT104" s="319">
        <v>0</v>
      </c>
      <c r="DU104" s="319">
        <v>0</v>
      </c>
      <c r="DV104" s="319">
        <v>0</v>
      </c>
      <c r="DW104" s="319">
        <v>0</v>
      </c>
      <c r="DX104" s="319">
        <v>0</v>
      </c>
      <c r="DY104" s="319">
        <v>0</v>
      </c>
      <c r="DZ104" s="319">
        <v>74.209999999999994</v>
      </c>
      <c r="EA104" s="319">
        <v>228.61</v>
      </c>
      <c r="EB104" s="319">
        <v>304.52</v>
      </c>
      <c r="EC104" s="319">
        <v>462.6</v>
      </c>
      <c r="ED104" s="319">
        <v>341.85</v>
      </c>
      <c r="EE104" s="319">
        <v>61.67</v>
      </c>
      <c r="EF104" s="319">
        <v>71.680000000000007</v>
      </c>
      <c r="EG104" s="319">
        <v>51.61</v>
      </c>
      <c r="EH104" s="319">
        <v>12.54</v>
      </c>
      <c r="EI104" s="362">
        <v>11.51</v>
      </c>
      <c r="EJ104" s="753">
        <v>16.559999999999999</v>
      </c>
      <c r="EK104" s="753">
        <v>22.64</v>
      </c>
      <c r="EL104" s="753">
        <v>45.35</v>
      </c>
      <c r="EM104" s="753">
        <v>30</v>
      </c>
      <c r="EN104" s="39"/>
      <c r="EO104" s="43" t="s">
        <v>87</v>
      </c>
      <c r="EP104" s="319">
        <v>129768.14</v>
      </c>
      <c r="EQ104" s="319">
        <v>179229.04</v>
      </c>
      <c r="ER104" s="319">
        <v>168498.52</v>
      </c>
      <c r="ES104" s="319">
        <v>140568.45000000001</v>
      </c>
      <c r="ET104" s="319">
        <v>14693.9</v>
      </c>
      <c r="EU104" s="319">
        <v>144889.47</v>
      </c>
      <c r="EV104" s="319">
        <v>142829.57999999999</v>
      </c>
      <c r="EW104" s="319">
        <v>120378.15</v>
      </c>
      <c r="EX104" s="319">
        <v>6915.8000000000011</v>
      </c>
      <c r="EY104" s="319">
        <v>8299.64</v>
      </c>
      <c r="EZ104" s="319">
        <v>66746.569999999992</v>
      </c>
      <c r="FA104" s="319">
        <v>6848.99</v>
      </c>
      <c r="FB104" s="319">
        <v>5924.25</v>
      </c>
      <c r="FC104" s="319">
        <v>7092.48</v>
      </c>
      <c r="FD104" s="319">
        <v>3557.79</v>
      </c>
      <c r="FE104" s="319">
        <v>6755.3600000000006</v>
      </c>
      <c r="FF104" s="319">
        <v>3534.28</v>
      </c>
      <c r="FG104" s="362">
        <v>3809.56</v>
      </c>
      <c r="FH104" s="362">
        <v>7651.71</v>
      </c>
      <c r="FI104" s="362">
        <v>4546.9800000000005</v>
      </c>
      <c r="FJ104" s="362">
        <v>9833.08</v>
      </c>
      <c r="FK104" s="362">
        <v>5635</v>
      </c>
      <c r="FM104" s="43" t="s">
        <v>87</v>
      </c>
      <c r="FN104" s="319">
        <v>6590</v>
      </c>
      <c r="FO104" s="319">
        <v>1599</v>
      </c>
      <c r="FP104" s="319">
        <v>-1449</v>
      </c>
      <c r="FQ104" s="319">
        <v>0</v>
      </c>
      <c r="FR104" s="319">
        <v>-15091</v>
      </c>
      <c r="FS104" s="319">
        <v>325</v>
      </c>
      <c r="FT104" s="319">
        <v>325</v>
      </c>
      <c r="FU104" s="319">
        <v>325</v>
      </c>
      <c r="FV104" s="319">
        <v>0</v>
      </c>
      <c r="FW104" s="319">
        <v>62371.95</v>
      </c>
      <c r="FX104" s="319">
        <v>86771.83</v>
      </c>
      <c r="FY104" s="319">
        <v>68979.429999999993</v>
      </c>
      <c r="FZ104" s="319">
        <v>46303.69</v>
      </c>
      <c r="GA104" s="319">
        <v>65087.88</v>
      </c>
      <c r="GB104" s="319">
        <v>53780.87</v>
      </c>
      <c r="GC104" s="319">
        <v>36994.93</v>
      </c>
      <c r="GD104" s="319">
        <v>29566.77</v>
      </c>
      <c r="GE104" s="319">
        <v>13895.26</v>
      </c>
      <c r="GF104" s="756">
        <v>96859.75</v>
      </c>
      <c r="GG104" s="756">
        <v>173557.92</v>
      </c>
      <c r="GH104" s="756">
        <v>173557.92</v>
      </c>
      <c r="GI104" s="756">
        <v>0</v>
      </c>
      <c r="GJ104" s="41"/>
      <c r="GK104" s="570" t="s">
        <v>87</v>
      </c>
      <c r="GL104" s="571">
        <f>FN104/'4GF Expenditures'!B105</f>
        <v>1.755016711274451E-2</v>
      </c>
      <c r="GM104" s="571">
        <f>FO104/'4GF Expenditures'!C105</f>
        <v>3.6165424587512865E-3</v>
      </c>
      <c r="GN104" s="571">
        <f>FP104/'4GF Expenditures'!D105</f>
        <v>-3.4998309260422201E-3</v>
      </c>
      <c r="GO104" s="571">
        <f>FQ104/'4GF Expenditures'!E105</f>
        <v>0</v>
      </c>
      <c r="GP104" s="571">
        <f>FR104/'4GF Expenditures'!F105</f>
        <v>-4.8843087817871694E-2</v>
      </c>
      <c r="GQ104" s="571">
        <f>FS104/'4GF Expenditures'!G105</f>
        <v>7.3995988279035459E-4</v>
      </c>
      <c r="GR104" s="571">
        <f>FT104/'4GF Expenditures'!H105</f>
        <v>7.7364926788974669E-4</v>
      </c>
      <c r="GS104" s="571">
        <f>FU104/'4GF Expenditures'!I105</f>
        <v>7.2895288721416633E-4</v>
      </c>
      <c r="GT104" s="571">
        <f>FV104/'4GF Expenditures'!J105</f>
        <v>0</v>
      </c>
      <c r="GU104" s="571">
        <f>FW104/'4GF Expenditures'!K105</f>
        <v>0.17187195721814436</v>
      </c>
      <c r="GV104" s="571">
        <f>FX104/'4GF Expenditures'!L105</f>
        <v>0.2093655282162537</v>
      </c>
      <c r="GW104" s="571">
        <f>FY104/'4GF Expenditures'!M105</f>
        <v>0.13421290011432707</v>
      </c>
      <c r="GX104" s="571">
        <f>FZ104/'4GF Expenditures'!N105</f>
        <v>0.11025524985086964</v>
      </c>
      <c r="GY104" s="571">
        <f>GA104/'4GF Expenditures'!O105</f>
        <v>0.12446718459884031</v>
      </c>
      <c r="GZ104" s="571">
        <f>GB104/'4GF Expenditures'!P105</f>
        <v>0.10148665352267819</v>
      </c>
      <c r="HA104" s="571">
        <f>GC104/'4GF Expenditures'!Q105</f>
        <v>9.032903024991755E-2</v>
      </c>
      <c r="HB104" s="571">
        <f>GD104/'4GF Expenditures'!R105</f>
        <v>6.7941948671684016E-2</v>
      </c>
      <c r="HC104" s="571">
        <f>GE104/'4GF Expenditures'!S105</f>
        <v>3.166491413362918E-2</v>
      </c>
      <c r="HD104" s="571">
        <f>GF104/'4GF Expenditures'!T105</f>
        <v>0.23235294498642414</v>
      </c>
      <c r="HE104" s="571">
        <f>GG104/'4GF Expenditures'!U105</f>
        <v>0.41134398683418022</v>
      </c>
      <c r="HF104" s="571">
        <f>GH104/'4GF Expenditures'!V105</f>
        <v>0.33638843305323823</v>
      </c>
      <c r="HG104" s="571">
        <f>GI104/'4GF Expenditures'!W105</f>
        <v>0</v>
      </c>
      <c r="HH104" s="571"/>
      <c r="HI104" s="571"/>
      <c r="HJ104" s="571"/>
      <c r="HK104" s="568"/>
      <c r="HL104" s="567" t="s">
        <v>87</v>
      </c>
      <c r="HM104" s="571">
        <f>B104/'4GF Expenditures'!B105</f>
        <v>1.0164476224716708</v>
      </c>
      <c r="HN104" s="571">
        <f>C104/'4GF Expenditures'!C105</f>
        <v>0.98871159261311592</v>
      </c>
      <c r="HO104" s="571">
        <f>D104/'4GF Expenditures'!D105</f>
        <v>0.99263803680981599</v>
      </c>
      <c r="HP104" s="571">
        <f>E104/'4GF Expenditures'!E105</f>
        <v>1.0034132989098172</v>
      </c>
      <c r="HQ104" s="571">
        <f>F104/'4GF Expenditures'!F105</f>
        <v>0.95115691218212828</v>
      </c>
      <c r="HR104" s="571">
        <f>G104/'4GF Expenditures'!G105</f>
        <v>0.99964937285553934</v>
      </c>
      <c r="HS104" s="571">
        <f>H104/'4GF Expenditures'!H105</f>
        <v>1</v>
      </c>
      <c r="HT104" s="571">
        <f>I104/'4GF Expenditures'!I105</f>
        <v>1</v>
      </c>
      <c r="HU104" s="571">
        <f>J104/'4GF Expenditures'!J105</f>
        <v>1</v>
      </c>
      <c r="HV104" s="571">
        <f>K104/'4GF Expenditures'!K105</f>
        <v>1.1718719572181442</v>
      </c>
      <c r="HW104" s="571">
        <f>L104/'4GF Expenditures'!L105</f>
        <v>1.0573116213851579</v>
      </c>
      <c r="HX104" s="571">
        <f>M104/'4GF Expenditures'!M105</f>
        <v>0.9662139288419429</v>
      </c>
      <c r="HY104" s="571">
        <f>N104/'4GF Expenditures'!N105</f>
        <v>0.91829251229831454</v>
      </c>
      <c r="HZ104" s="571">
        <f>O104/'4GF Expenditures'!O105</f>
        <v>1.0359209576081634</v>
      </c>
      <c r="IA104" s="571">
        <f>P104/'4GF Expenditures'!P105</f>
        <v>0.97866133268388966</v>
      </c>
      <c r="IB104" s="571">
        <f>Q104/'4GF Expenditures'!Q105</f>
        <v>0.9590144465192042</v>
      </c>
      <c r="IC104" s="571">
        <f>R104/'4GF Expenditures'!R105</f>
        <v>0.98321593089891368</v>
      </c>
      <c r="ID104" s="573">
        <f>S104/'4GF Expenditures'!S105</f>
        <v>0.96468230612975003</v>
      </c>
      <c r="IE104" s="572">
        <f>T104/'4GF Expenditures'!T105</f>
        <v>1.1997038415866019</v>
      </c>
      <c r="IF104" s="572">
        <f>U104/'4GF Expenditures'!U105</f>
        <v>1.1817798405897333</v>
      </c>
      <c r="IG104" s="572">
        <f>V104/'4GF Expenditures'!V105</f>
        <v>1.2007071606880866</v>
      </c>
      <c r="IH104" s="572">
        <f>W104/'4GF Expenditures'!W105</f>
        <v>0.90137198626982051</v>
      </c>
    </row>
    <row r="105" spans="1:242" ht="14">
      <c r="A105" s="43" t="s">
        <v>88</v>
      </c>
      <c r="B105" s="321">
        <v>968685</v>
      </c>
      <c r="C105" s="321">
        <v>998619</v>
      </c>
      <c r="D105" s="321">
        <v>1082073</v>
      </c>
      <c r="E105" s="321">
        <v>1195527</v>
      </c>
      <c r="F105" s="321">
        <v>1156429</v>
      </c>
      <c r="G105" s="321">
        <v>1287941</v>
      </c>
      <c r="H105" s="321">
        <v>1331962</v>
      </c>
      <c r="I105" s="321">
        <v>1302847</v>
      </c>
      <c r="J105" s="321">
        <v>1368550.1</v>
      </c>
      <c r="K105" s="888">
        <v>1457099.0999999999</v>
      </c>
      <c r="L105" s="321">
        <v>1477336.84</v>
      </c>
      <c r="M105" s="321">
        <v>1487970.75</v>
      </c>
      <c r="N105" s="321">
        <v>1561789</v>
      </c>
      <c r="O105" s="321">
        <v>1469474.74</v>
      </c>
      <c r="P105" s="321">
        <v>1556460.36</v>
      </c>
      <c r="Q105" s="321">
        <v>1703329.09</v>
      </c>
      <c r="R105" s="321">
        <v>1758552.59</v>
      </c>
      <c r="S105" s="364">
        <v>1783952.39</v>
      </c>
      <c r="T105" s="364">
        <v>2462741.35</v>
      </c>
      <c r="U105" s="364">
        <v>1929560.5499999998</v>
      </c>
      <c r="V105" s="364">
        <v>1828176.9100000001</v>
      </c>
      <c r="W105" s="364">
        <v>1874962.8</v>
      </c>
      <c r="X105" s="6"/>
      <c r="Y105" s="43" t="s">
        <v>88</v>
      </c>
      <c r="Z105" s="321">
        <v>0</v>
      </c>
      <c r="AA105" s="321">
        <v>0</v>
      </c>
      <c r="AB105" s="321">
        <v>0</v>
      </c>
      <c r="AC105" s="321">
        <v>0</v>
      </c>
      <c r="AD105" s="321">
        <v>0</v>
      </c>
      <c r="AE105" s="321">
        <v>656849.91</v>
      </c>
      <c r="AF105" s="321">
        <v>53278.48</v>
      </c>
      <c r="AG105" s="321">
        <v>52113.88</v>
      </c>
      <c r="AH105" s="321">
        <v>35280.980000000003</v>
      </c>
      <c r="AI105" s="321">
        <v>14734.76</v>
      </c>
      <c r="AJ105" s="321">
        <v>51314.43</v>
      </c>
      <c r="AK105" s="321">
        <v>41520.800000000003</v>
      </c>
      <c r="AL105" s="321">
        <v>75086.23</v>
      </c>
      <c r="AM105" s="321">
        <v>61238.01</v>
      </c>
      <c r="AN105" s="321">
        <v>128061.7</v>
      </c>
      <c r="AO105" s="321">
        <v>128781.49</v>
      </c>
      <c r="AP105" s="321">
        <v>139751.49</v>
      </c>
      <c r="AQ105" s="364">
        <v>141193.70000000001</v>
      </c>
      <c r="AR105" s="755">
        <v>151544.70000000001</v>
      </c>
      <c r="AS105" s="755">
        <v>144442.96</v>
      </c>
      <c r="AT105" s="755">
        <v>107360.02</v>
      </c>
      <c r="AU105" s="755">
        <v>120000</v>
      </c>
      <c r="AV105" s="39"/>
      <c r="AW105" s="43" t="s">
        <v>88</v>
      </c>
      <c r="AX105" s="321">
        <v>561837.30000000005</v>
      </c>
      <c r="AY105" s="321">
        <v>589185.21</v>
      </c>
      <c r="AZ105" s="321">
        <v>584319.42000000004</v>
      </c>
      <c r="BA105" s="321">
        <v>633629.31000000006</v>
      </c>
      <c r="BB105" s="321">
        <v>647600.24</v>
      </c>
      <c r="BC105" s="321">
        <v>0</v>
      </c>
      <c r="BD105" s="321">
        <v>665981</v>
      </c>
      <c r="BE105" s="321">
        <v>703537.38</v>
      </c>
      <c r="BF105" s="321">
        <v>735321.16</v>
      </c>
      <c r="BG105" s="321">
        <v>754987.51</v>
      </c>
      <c r="BH105" s="321">
        <v>774642.54</v>
      </c>
      <c r="BI105" s="321">
        <v>804526.24</v>
      </c>
      <c r="BJ105" s="321">
        <v>785884.39</v>
      </c>
      <c r="BK105" s="321">
        <v>720612.93</v>
      </c>
      <c r="BL105" s="321">
        <v>715638.4</v>
      </c>
      <c r="BM105" s="321">
        <v>738026.15</v>
      </c>
      <c r="BN105" s="321">
        <v>746799.44</v>
      </c>
      <c r="BO105" s="364">
        <v>740534.64</v>
      </c>
      <c r="BP105" s="755">
        <v>795871.37</v>
      </c>
      <c r="BQ105" s="755">
        <v>820061.74</v>
      </c>
      <c r="BR105" s="755">
        <v>822093.27</v>
      </c>
      <c r="BS105" s="755">
        <v>825000</v>
      </c>
      <c r="BT105" s="286"/>
      <c r="BU105" s="43" t="s">
        <v>88</v>
      </c>
      <c r="BV105" s="321">
        <v>174363.3</v>
      </c>
      <c r="BW105" s="321">
        <v>159779.04</v>
      </c>
      <c r="BX105" s="321">
        <v>259697.52</v>
      </c>
      <c r="BY105" s="321">
        <v>286926.48</v>
      </c>
      <c r="BZ105" s="321">
        <v>231285.8</v>
      </c>
      <c r="CA105" s="321">
        <v>334864.65999999997</v>
      </c>
      <c r="CB105" s="321">
        <v>266392.40000000002</v>
      </c>
      <c r="CC105" s="321">
        <v>208455.52</v>
      </c>
      <c r="CD105" s="321">
        <v>237913.88999999996</v>
      </c>
      <c r="CE105" s="321">
        <v>325677.57999999996</v>
      </c>
      <c r="CF105" s="321">
        <v>317143.01999999996</v>
      </c>
      <c r="CG105" s="321">
        <v>247797.18</v>
      </c>
      <c r="CH105" s="321">
        <v>298331.40999999997</v>
      </c>
      <c r="CI105" s="321">
        <v>274038.33</v>
      </c>
      <c r="CJ105" s="321">
        <v>336207.20000000007</v>
      </c>
      <c r="CK105" s="321">
        <v>453503.57000000007</v>
      </c>
      <c r="CL105" s="321">
        <v>441060.92000000004</v>
      </c>
      <c r="CM105" s="364">
        <v>520083.55999999994</v>
      </c>
      <c r="CN105" s="755">
        <v>795650.97</v>
      </c>
      <c r="CO105" s="755">
        <v>542674.53</v>
      </c>
      <c r="CP105" s="755">
        <v>489328.14</v>
      </c>
      <c r="CQ105" s="755">
        <v>522525.42</v>
      </c>
      <c r="CR105" s="39"/>
      <c r="CS105" s="43" t="s">
        <v>88</v>
      </c>
      <c r="CT105" s="321">
        <v>164676.45000000001</v>
      </c>
      <c r="CU105" s="321">
        <v>159779.04</v>
      </c>
      <c r="CV105" s="321">
        <v>151490.22</v>
      </c>
      <c r="CW105" s="321">
        <v>179329.05</v>
      </c>
      <c r="CX105" s="321">
        <v>161900.06</v>
      </c>
      <c r="CY105" s="321">
        <v>193191.15</v>
      </c>
      <c r="CZ105" s="321">
        <v>239753.16</v>
      </c>
      <c r="DA105" s="321">
        <v>234512.46</v>
      </c>
      <c r="DB105" s="321">
        <v>230114.72999999998</v>
      </c>
      <c r="DC105" s="321">
        <v>245078.33</v>
      </c>
      <c r="DD105" s="321">
        <v>270896.27</v>
      </c>
      <c r="DE105" s="321">
        <v>256272.48</v>
      </c>
      <c r="DF105" s="321">
        <v>283360.58999999997</v>
      </c>
      <c r="DG105" s="321">
        <v>293601.14</v>
      </c>
      <c r="DH105" s="321">
        <v>258660.81</v>
      </c>
      <c r="DI105" s="321">
        <v>268295.67999999999</v>
      </c>
      <c r="DJ105" s="321">
        <v>277191.77</v>
      </c>
      <c r="DK105" s="364">
        <v>245909.71999999997</v>
      </c>
      <c r="DL105" s="755">
        <v>269910.68000000005</v>
      </c>
      <c r="DM105" s="755">
        <v>270446.58</v>
      </c>
      <c r="DN105" s="755">
        <v>285676.57</v>
      </c>
      <c r="DO105" s="755">
        <v>262400</v>
      </c>
      <c r="DP105" s="39"/>
      <c r="DQ105" s="43" t="s">
        <v>88</v>
      </c>
      <c r="DR105" s="321">
        <v>19373.7</v>
      </c>
      <c r="DS105" s="321">
        <v>19972.38</v>
      </c>
      <c r="DT105" s="321">
        <v>21641.46</v>
      </c>
      <c r="DU105" s="321">
        <v>23910.54</v>
      </c>
      <c r="DV105" s="321">
        <v>34692.870000000003</v>
      </c>
      <c r="DW105" s="321">
        <v>25758.82</v>
      </c>
      <c r="DX105" s="321">
        <v>26639.24</v>
      </c>
      <c r="DY105" s="321">
        <v>13028.47</v>
      </c>
      <c r="DZ105" s="321">
        <v>8302.11</v>
      </c>
      <c r="EA105" s="321">
        <v>11306.39</v>
      </c>
      <c r="EB105" s="321">
        <v>17996.349999999999</v>
      </c>
      <c r="EC105" s="321">
        <v>15272.77</v>
      </c>
      <c r="ED105" s="321">
        <v>6914.46</v>
      </c>
      <c r="EE105" s="321">
        <v>4196.07</v>
      </c>
      <c r="EF105" s="321">
        <v>3592.71</v>
      </c>
      <c r="EG105" s="321">
        <v>3328.19</v>
      </c>
      <c r="EH105" s="321">
        <v>3656.38</v>
      </c>
      <c r="EI105" s="364">
        <v>2095.8200000000002</v>
      </c>
      <c r="EJ105" s="755">
        <v>886.53</v>
      </c>
      <c r="EK105" s="755">
        <v>684.61</v>
      </c>
      <c r="EL105" s="755">
        <v>764.49</v>
      </c>
      <c r="EM105" s="755">
        <v>720</v>
      </c>
      <c r="EN105" s="39"/>
      <c r="EO105" s="43" t="s">
        <v>88</v>
      </c>
      <c r="EP105" s="321">
        <v>48434.25</v>
      </c>
      <c r="EQ105" s="321">
        <v>69903.33</v>
      </c>
      <c r="ER105" s="321">
        <v>64924.38</v>
      </c>
      <c r="ES105" s="321">
        <v>71731.62</v>
      </c>
      <c r="ET105" s="321">
        <v>80950.03</v>
      </c>
      <c r="EU105" s="321">
        <v>77276.460000000006</v>
      </c>
      <c r="EV105" s="321">
        <v>79917.72</v>
      </c>
      <c r="EW105" s="321">
        <v>91199.29</v>
      </c>
      <c r="EX105" s="321">
        <v>37110.929999999993</v>
      </c>
      <c r="EY105" s="321">
        <v>22107.65</v>
      </c>
      <c r="EZ105" s="321">
        <v>20896.939999999999</v>
      </c>
      <c r="FA105" s="321">
        <v>19700.86</v>
      </c>
      <c r="FB105" s="321">
        <v>15207.57</v>
      </c>
      <c r="FC105" s="321">
        <v>11958.59</v>
      </c>
      <c r="FD105" s="321">
        <v>13863.75</v>
      </c>
      <c r="FE105" s="321">
        <v>20156.530000000002</v>
      </c>
      <c r="FF105" s="321">
        <v>17938.579999999998</v>
      </c>
      <c r="FG105" s="364">
        <v>18978.78</v>
      </c>
      <c r="FH105" s="364">
        <v>29314.690000000002</v>
      </c>
      <c r="FI105" s="364">
        <v>10842.65</v>
      </c>
      <c r="FJ105" s="364">
        <v>6429.19</v>
      </c>
      <c r="FK105" s="364">
        <v>9090</v>
      </c>
      <c r="FM105" s="43" t="s">
        <v>88</v>
      </c>
      <c r="FN105" s="321">
        <v>296428</v>
      </c>
      <c r="FO105" s="321">
        <v>322346</v>
      </c>
      <c r="FP105" s="321">
        <v>348887</v>
      </c>
      <c r="FQ105" s="321">
        <v>399758</v>
      </c>
      <c r="FR105" s="321">
        <v>428824</v>
      </c>
      <c r="FS105" s="321">
        <v>440586</v>
      </c>
      <c r="FT105" s="321">
        <v>438899</v>
      </c>
      <c r="FU105" s="321">
        <v>327088</v>
      </c>
      <c r="FV105" s="321">
        <v>230880.88000000012</v>
      </c>
      <c r="FW105" s="321">
        <v>239618.15</v>
      </c>
      <c r="FX105" s="321">
        <v>246475.77</v>
      </c>
      <c r="FY105" s="321">
        <v>233638.15</v>
      </c>
      <c r="FZ105" s="321">
        <v>233433.97</v>
      </c>
      <c r="GA105" s="321">
        <v>201580.83</v>
      </c>
      <c r="GB105" s="321">
        <v>251980.16</v>
      </c>
      <c r="GC105" s="321">
        <v>269415.69</v>
      </c>
      <c r="GD105" s="321">
        <v>217064.83</v>
      </c>
      <c r="GE105" s="321">
        <v>199837.93</v>
      </c>
      <c r="GF105" s="759">
        <v>162991.85</v>
      </c>
      <c r="GG105" s="759">
        <v>226981.88</v>
      </c>
      <c r="GH105" s="759">
        <v>126628.56000000006</v>
      </c>
      <c r="GI105" s="759">
        <v>76164.90000000014</v>
      </c>
      <c r="GJ105" s="41"/>
      <c r="GK105" s="570" t="s">
        <v>88</v>
      </c>
      <c r="GL105" s="571">
        <f>FN105/'4GF Expenditures'!B106</f>
        <v>0.29392522669469467</v>
      </c>
      <c r="GM105" s="571">
        <f>FO105/'4GF Expenditures'!C106</f>
        <v>0.33139268901748842</v>
      </c>
      <c r="GN105" s="571">
        <f>FP105/'4GF Expenditures'!D106</f>
        <v>0.3359537870595678</v>
      </c>
      <c r="GO105" s="571">
        <f>FQ105/'4GF Expenditures'!E106</f>
        <v>0.34923854852462227</v>
      </c>
      <c r="GP105" s="571">
        <f>FR105/'4GF Expenditures'!F106</f>
        <v>0.38037792618704003</v>
      </c>
      <c r="GQ105" s="571">
        <f>FS105/'4GF Expenditures'!G106</f>
        <v>0.34559911895309792</v>
      </c>
      <c r="GR105" s="571">
        <f>FT105/'4GF Expenditures'!H106</f>
        <v>0.32909633644234726</v>
      </c>
      <c r="GS105" s="571">
        <f>FU105/'4GF Expenditures'!I106</f>
        <v>0.23121348057268964</v>
      </c>
      <c r="GT105" s="571">
        <f>FV105/'4GF Expenditures'!J106</f>
        <v>0.15762395734109014</v>
      </c>
      <c r="GU105" s="571">
        <f>FW105/'4GF Expenditures'!K106</f>
        <v>0.16544089439465842</v>
      </c>
      <c r="GV105" s="571">
        <f>FX105/'4GF Expenditures'!L106</f>
        <v>0.16761594903734853</v>
      </c>
      <c r="GW105" s="571">
        <f>FY105/'4GF Expenditures'!M106</f>
        <v>0.15567487140280273</v>
      </c>
      <c r="GX105" s="571">
        <f>FZ105/'4GF Expenditures'!N106</f>
        <v>0.14848631327800771</v>
      </c>
      <c r="GY105" s="571">
        <f>GA105/'4GF Expenditures'!O106</f>
        <v>0.13460263177042925</v>
      </c>
      <c r="GZ105" s="571">
        <f>GB105/'4GF Expenditures'!P106</f>
        <v>0.16731072312521095</v>
      </c>
      <c r="HA105" s="571">
        <f>GC105/'4GF Expenditures'!Q106</f>
        <v>0.15980587173012276</v>
      </c>
      <c r="HB105" s="571">
        <f>GD105/'4GF Expenditures'!R106</f>
        <v>0.11980300356103826</v>
      </c>
      <c r="HC105" s="571">
        <f>GE105/'4GF Expenditures'!S106</f>
        <v>0.11093898908052925</v>
      </c>
      <c r="HD105" s="571">
        <f>GF105/'4GF Expenditures'!T106</f>
        <v>6.520750106348551E-2</v>
      </c>
      <c r="HE105" s="571">
        <f>GG105/'4GF Expenditures'!U106</f>
        <v>0.12166888228915626</v>
      </c>
      <c r="HF105" s="571">
        <f>GH105/'4GF Expenditures'!V106</f>
        <v>6.5660655990857894E-2</v>
      </c>
      <c r="HG105" s="571">
        <f>GI105/'4GF Expenditures'!W106</f>
        <v>3.9557418360190263E-2</v>
      </c>
      <c r="HH105" s="571"/>
      <c r="HI105" s="571"/>
      <c r="HJ105" s="571"/>
      <c r="HK105" s="568"/>
      <c r="HL105" s="567" t="s">
        <v>88</v>
      </c>
      <c r="HM105" s="571">
        <f>B105/'4GF Expenditures'!B106</f>
        <v>0.96050628894959422</v>
      </c>
      <c r="HN105" s="571">
        <f>C105/'4GF Expenditures'!C106</f>
        <v>1.026645392571818</v>
      </c>
      <c r="HO105" s="571">
        <f>D105/'4GF Expenditures'!D106</f>
        <v>1.0419606411958822</v>
      </c>
      <c r="HP105" s="571">
        <f>E105/'4GF Expenditures'!E106</f>
        <v>1.0444421730196671</v>
      </c>
      <c r="HQ105" s="571">
        <f>F105/'4GF Expenditures'!F106</f>
        <v>1.0257822901762785</v>
      </c>
      <c r="HR105" s="571">
        <f>G105/'4GF Expenditures'!G106</f>
        <v>1.0102710364459422</v>
      </c>
      <c r="HS105" s="571">
        <f>H105/'4GF Expenditures'!H106</f>
        <v>0.99873504947703629</v>
      </c>
      <c r="HT105" s="571">
        <f>I105/'4GF Expenditures'!I106</f>
        <v>0.92096252239057075</v>
      </c>
      <c r="HU105" s="571">
        <f>J105/'4GF Expenditures'!J106</f>
        <v>0.93431852209478983</v>
      </c>
      <c r="HV105" s="571">
        <f>K105/'4GF Expenditures'!K106</f>
        <v>1.0060330501911137</v>
      </c>
      <c r="HW105" s="571">
        <f>L105/'4GF Expenditures'!L106</f>
        <v>1.0046635273091451</v>
      </c>
      <c r="HX105" s="571">
        <f>M105/'4GF Expenditures'!M106</f>
        <v>0.99144619642546361</v>
      </c>
      <c r="HY105" s="571">
        <f>N105/'4GF Expenditures'!N106</f>
        <v>0.9934470579759509</v>
      </c>
      <c r="HZ105" s="571">
        <f>O105/'4GF Expenditures'!O106</f>
        <v>0.98122012556534899</v>
      </c>
      <c r="IA105" s="571">
        <f>P105/'4GF Expenditures'!P106</f>
        <v>1.0334643344433394</v>
      </c>
      <c r="IB105" s="571">
        <f>Q105/'4GF Expenditures'!Q106</f>
        <v>1.0103420111528274</v>
      </c>
      <c r="IC105" s="571">
        <f>R105/'4GF Expenditures'!R106</f>
        <v>0.97058506530994948</v>
      </c>
      <c r="ID105" s="573">
        <f>S105/'4GF Expenditures'!S106</f>
        <v>0.99035190523838013</v>
      </c>
      <c r="IE105" s="572">
        <f>T105/'4GF Expenditures'!T106</f>
        <v>0.98525913534458764</v>
      </c>
      <c r="IF105" s="572">
        <f>U105/'4GF Expenditures'!U106</f>
        <v>1.0343005152118292</v>
      </c>
      <c r="IG105" s="572">
        <f>V105/'4GF Expenditures'!V106</f>
        <v>0.94796383357703451</v>
      </c>
      <c r="IH105" s="572">
        <f>W105/'4GF Expenditures'!W106</f>
        <v>0.97379091798707285</v>
      </c>
    </row>
    <row r="106" spans="1:242">
      <c r="A106" s="446"/>
      <c r="B106" s="624"/>
      <c r="C106" s="624"/>
      <c r="D106" s="624"/>
      <c r="E106" s="624"/>
      <c r="F106" s="624"/>
      <c r="G106" s="885"/>
      <c r="H106" s="624"/>
      <c r="I106" s="624"/>
      <c r="J106" s="624"/>
      <c r="K106" s="624">
        <v>1944954.2</v>
      </c>
      <c r="L106" s="624">
        <v>2033159.08</v>
      </c>
      <c r="M106" s="624"/>
      <c r="N106" s="886"/>
      <c r="O106" s="886"/>
      <c r="P106" s="364"/>
      <c r="Q106" s="887">
        <v>2400180.0300000003</v>
      </c>
      <c r="R106" s="887"/>
      <c r="S106" s="755"/>
      <c r="T106" s="364"/>
      <c r="U106" s="364">
        <v>2339358.9900000002</v>
      </c>
      <c r="V106" s="364">
        <v>2233183.7200000002</v>
      </c>
      <c r="W106" s="364">
        <v>2247960.46</v>
      </c>
      <c r="AH106" s="6"/>
      <c r="AI106" s="6"/>
      <c r="AJ106" s="6"/>
      <c r="AL106" s="43"/>
      <c r="AM106" s="43"/>
      <c r="AN106" s="43"/>
      <c r="AO106" s="43"/>
      <c r="AP106" s="43"/>
      <c r="AQ106" s="118"/>
      <c r="BE106" s="3"/>
      <c r="BF106" s="6"/>
      <c r="BG106" s="6"/>
      <c r="BH106" s="6"/>
      <c r="BI106" s="6"/>
      <c r="BJ106" s="43"/>
      <c r="BK106" s="43"/>
      <c r="BL106" s="43"/>
      <c r="BM106" s="43"/>
      <c r="BN106" s="43"/>
      <c r="BO106" s="118"/>
      <c r="BP106" s="39"/>
      <c r="BQ106" s="39"/>
      <c r="BR106" s="39"/>
      <c r="BS106" s="39"/>
      <c r="BT106" s="39"/>
      <c r="BU106" s="39"/>
      <c r="BV106" s="39"/>
      <c r="BW106" s="39"/>
      <c r="BX106" s="39"/>
      <c r="CC106" s="3"/>
      <c r="CD106" s="6"/>
      <c r="CE106" s="6"/>
      <c r="CF106" s="6"/>
      <c r="CG106" s="43"/>
      <c r="CH106" s="258"/>
      <c r="CI106" s="42"/>
      <c r="CJ106" s="42"/>
      <c r="CK106" s="42"/>
      <c r="CL106" s="42"/>
      <c r="CM106" s="39"/>
      <c r="CN106" s="39"/>
      <c r="CO106" s="39"/>
      <c r="CP106" s="39"/>
      <c r="CQ106" s="39"/>
      <c r="CR106" s="39"/>
      <c r="CS106" s="39"/>
      <c r="CT106" s="39"/>
      <c r="CU106" s="39"/>
      <c r="CZ106" s="3"/>
      <c r="DA106" s="6"/>
      <c r="DB106" s="6"/>
      <c r="DC106" s="6"/>
      <c r="DD106" s="3"/>
      <c r="DE106" s="258"/>
      <c r="DS106" s="3"/>
      <c r="DT106" s="6"/>
      <c r="DU106" s="6"/>
      <c r="DV106" s="6"/>
      <c r="DW106" s="3"/>
      <c r="DX106" s="118"/>
      <c r="EL106" s="3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FA106" s="112"/>
      <c r="FB106" s="39"/>
      <c r="FE106" s="39"/>
      <c r="FF106" s="39"/>
      <c r="FG106" s="39"/>
      <c r="FH106" s="39"/>
      <c r="FI106" s="39"/>
      <c r="FJ106" s="39"/>
      <c r="FK106" s="39"/>
      <c r="FL106" s="39"/>
      <c r="FM106" s="443"/>
      <c r="FN106" s="443"/>
      <c r="FO106" s="443"/>
      <c r="FP106" s="443"/>
      <c r="FQ106" s="443"/>
      <c r="FR106" s="443"/>
      <c r="FT106" s="563"/>
      <c r="FU106" s="570"/>
      <c r="FV106" s="571"/>
      <c r="FW106" s="571"/>
      <c r="FX106" s="571"/>
      <c r="FY106" s="571"/>
      <c r="FZ106" s="571"/>
      <c r="GA106" s="571"/>
      <c r="GB106" s="571"/>
      <c r="GC106" s="571"/>
      <c r="GD106" s="571"/>
      <c r="GE106" s="571"/>
      <c r="GF106" s="571"/>
      <c r="GG106" s="571"/>
      <c r="GH106" s="571"/>
      <c r="GI106" s="571"/>
      <c r="GJ106" s="571"/>
      <c r="GK106" s="571"/>
      <c r="GL106" s="571"/>
      <c r="GM106" s="571"/>
      <c r="GN106" s="571"/>
      <c r="GO106" s="563"/>
      <c r="GP106" s="567"/>
      <c r="GQ106" s="574"/>
      <c r="GR106" s="574"/>
      <c r="GS106" s="574"/>
      <c r="GT106" s="574"/>
      <c r="GU106" s="574"/>
      <c r="GV106" s="574"/>
      <c r="GW106" s="574"/>
      <c r="GX106" s="574"/>
      <c r="GY106" s="574"/>
      <c r="GZ106" s="574"/>
      <c r="HA106" s="574"/>
      <c r="HB106" s="574"/>
      <c r="HC106" s="15"/>
      <c r="HD106" s="15"/>
      <c r="HE106" s="15"/>
      <c r="HF106" s="15"/>
      <c r="HG106" s="15"/>
    </row>
    <row r="107" spans="1:242">
      <c r="S107" s="258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6"/>
      <c r="FD107" s="88"/>
    </row>
    <row r="108" spans="1:242">
      <c r="S108" s="258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6"/>
      <c r="FD108" s="88"/>
      <c r="FH108" s="41"/>
    </row>
    <row r="109" spans="1:242">
      <c r="B109" s="942"/>
      <c r="C109" s="43"/>
      <c r="D109" s="43"/>
      <c r="E109" s="43"/>
      <c r="F109" s="43"/>
      <c r="G109" s="43"/>
      <c r="S109" s="442"/>
      <c r="AV109" s="442"/>
      <c r="CC109" s="3"/>
      <c r="CD109" s="3"/>
      <c r="CF109" s="41"/>
      <c r="CG109" s="41"/>
      <c r="CH109" s="3"/>
      <c r="CI109" s="486"/>
      <c r="CJ109" s="486"/>
      <c r="CK109" s="486"/>
      <c r="CL109" s="486"/>
      <c r="CM109" s="258"/>
      <c r="CN109" s="43"/>
      <c r="CZ109" s="3"/>
      <c r="DA109" s="3"/>
      <c r="DC109" s="41"/>
      <c r="DD109" s="41"/>
      <c r="DE109" s="3"/>
      <c r="DF109" s="118"/>
      <c r="DG109" s="700"/>
      <c r="DH109" s="700"/>
      <c r="DI109" s="700"/>
      <c r="DJ109" s="700"/>
      <c r="DK109" s="43"/>
      <c r="DL109" s="43"/>
      <c r="DS109" s="3"/>
      <c r="DT109" s="3"/>
      <c r="DV109" s="41"/>
      <c r="DW109" s="41"/>
      <c r="DY109" s="118"/>
      <c r="DZ109" s="3"/>
      <c r="EA109" s="486"/>
      <c r="EB109" s="486"/>
      <c r="EC109" s="486"/>
      <c r="ED109" s="486"/>
      <c r="EE109" s="43"/>
      <c r="EF109" s="43"/>
      <c r="EL109" s="3"/>
      <c r="EM109" s="3"/>
      <c r="EO109" s="41"/>
      <c r="EP109" s="41"/>
      <c r="FC109" s="3"/>
      <c r="FE109" s="39"/>
      <c r="FF109" s="39"/>
      <c r="FH109" s="41"/>
      <c r="FI109" s="41"/>
      <c r="FM109" s="3"/>
      <c r="FN109" s="3"/>
      <c r="FO109" s="486"/>
      <c r="FP109" s="486"/>
      <c r="FQ109" s="486"/>
      <c r="FR109" s="486"/>
      <c r="FS109" s="43"/>
      <c r="FT109" s="43"/>
      <c r="FX109" s="3"/>
      <c r="FY109" s="3"/>
      <c r="GA109" s="41"/>
      <c r="GB109" s="41"/>
      <c r="GG109" s="3"/>
      <c r="GH109" s="3"/>
      <c r="GI109" s="486"/>
      <c r="GJ109" s="486"/>
      <c r="GK109" s="486"/>
      <c r="GL109" s="486"/>
      <c r="GM109" s="43"/>
      <c r="GN109" s="43"/>
      <c r="GO109" s="393"/>
      <c r="GS109" s="3"/>
      <c r="GT109" s="3"/>
      <c r="GV109" s="41"/>
      <c r="GW109" s="41"/>
      <c r="HA109" s="3"/>
      <c r="HB109" s="3"/>
      <c r="HC109" s="43"/>
      <c r="HD109" s="43"/>
      <c r="HE109" s="43"/>
      <c r="HF109" s="43"/>
      <c r="HG109" s="43"/>
    </row>
    <row r="110" spans="1:242">
      <c r="B110" s="942"/>
      <c r="C110" s="43"/>
      <c r="D110" s="43"/>
      <c r="E110" s="43"/>
      <c r="F110" s="43"/>
      <c r="G110" s="43"/>
      <c r="S110" s="442"/>
      <c r="AV110" s="565"/>
      <c r="CC110" s="3"/>
      <c r="CD110" s="3"/>
      <c r="CF110" s="41"/>
      <c r="CG110" s="41"/>
      <c r="CH110" s="3"/>
      <c r="CI110" s="486"/>
      <c r="CJ110" s="486"/>
      <c r="CK110" s="486"/>
      <c r="CL110" s="486"/>
      <c r="CM110" s="258"/>
      <c r="CN110" s="43"/>
      <c r="CZ110" s="3"/>
      <c r="DA110" s="3"/>
      <c r="DC110" s="41"/>
      <c r="DD110" s="41"/>
      <c r="DE110" s="3"/>
      <c r="DF110" s="118"/>
      <c r="DG110" s="700"/>
      <c r="DH110" s="700"/>
      <c r="DI110" s="700"/>
      <c r="DJ110" s="700"/>
      <c r="DK110" s="43"/>
      <c r="DL110" s="43"/>
      <c r="DS110" s="3"/>
      <c r="DT110" s="3"/>
      <c r="DV110" s="41"/>
      <c r="DW110" s="41"/>
      <c r="DY110" s="118"/>
      <c r="DZ110" s="3"/>
      <c r="EA110" s="486"/>
      <c r="EB110" s="486"/>
      <c r="EC110" s="486"/>
      <c r="ED110" s="486"/>
      <c r="EE110" s="43"/>
      <c r="EF110" s="43"/>
      <c r="EL110" s="3"/>
      <c r="EM110" s="3"/>
      <c r="EO110" s="41"/>
      <c r="EP110" s="41"/>
      <c r="FC110" s="3"/>
      <c r="FE110" s="39"/>
      <c r="FF110" s="39"/>
      <c r="FH110" s="41"/>
      <c r="FI110" s="41"/>
      <c r="FM110" s="3"/>
      <c r="FN110" s="3"/>
      <c r="FO110" s="486"/>
      <c r="FP110" s="486"/>
      <c r="FQ110" s="486"/>
      <c r="FR110" s="486"/>
      <c r="FS110" s="43"/>
      <c r="FT110" s="43"/>
      <c r="FX110" s="3"/>
      <c r="FY110" s="3"/>
      <c r="GA110" s="41"/>
      <c r="GB110" s="41"/>
      <c r="GG110" s="3"/>
      <c r="GH110" s="3"/>
      <c r="GI110" s="486"/>
      <c r="GJ110" s="486"/>
      <c r="GK110" s="486"/>
      <c r="GL110" s="486"/>
      <c r="GM110" s="43"/>
      <c r="GN110" s="43"/>
      <c r="GO110" s="393"/>
      <c r="GS110" s="3"/>
      <c r="GT110" s="3"/>
      <c r="GV110" s="41"/>
      <c r="GW110" s="41"/>
      <c r="HA110" s="3"/>
      <c r="HB110" s="3"/>
      <c r="HC110" s="43"/>
      <c r="HD110" s="43"/>
      <c r="HE110" s="43"/>
      <c r="HF110" s="43"/>
      <c r="HG110" s="43"/>
    </row>
    <row r="111" spans="1:242">
      <c r="B111" s="942"/>
      <c r="C111" s="43"/>
      <c r="D111" s="43"/>
      <c r="E111" s="43"/>
      <c r="F111" s="43"/>
      <c r="G111" s="43"/>
      <c r="S111" s="442"/>
      <c r="AV111" s="565"/>
      <c r="CC111" s="3"/>
      <c r="CD111" s="3"/>
      <c r="CF111" s="41"/>
      <c r="CG111" s="41"/>
      <c r="CH111" s="3"/>
      <c r="CI111" s="486"/>
      <c r="CJ111" s="486"/>
      <c r="CK111" s="486"/>
      <c r="CL111" s="486"/>
      <c r="CM111" s="258"/>
      <c r="CN111" s="43"/>
      <c r="CZ111" s="3"/>
      <c r="DA111" s="3"/>
      <c r="DC111" s="41"/>
      <c r="DD111" s="41"/>
      <c r="DE111" s="3"/>
      <c r="DF111" s="118"/>
      <c r="DG111" s="700"/>
      <c r="DH111" s="700"/>
      <c r="DI111" s="700"/>
      <c r="DJ111" s="700"/>
      <c r="DK111" s="43"/>
      <c r="DL111" s="43"/>
      <c r="DS111" s="3"/>
      <c r="DT111" s="3"/>
      <c r="DV111" s="41"/>
      <c r="DW111" s="41"/>
      <c r="DY111" s="118"/>
      <c r="DZ111" s="3"/>
      <c r="EA111" s="486"/>
      <c r="EB111" s="486"/>
      <c r="EC111" s="486"/>
      <c r="ED111" s="486"/>
      <c r="EE111" s="43"/>
      <c r="EF111" s="43"/>
      <c r="EL111" s="3"/>
      <c r="EM111" s="3"/>
      <c r="EO111" s="41"/>
      <c r="EP111" s="41"/>
      <c r="FC111" s="3"/>
      <c r="FE111" s="39"/>
      <c r="FF111" s="39"/>
      <c r="FH111" s="41"/>
      <c r="FI111" s="41"/>
      <c r="FM111" s="3"/>
      <c r="FN111" s="3"/>
      <c r="FO111" s="486"/>
      <c r="FP111" s="486"/>
      <c r="FQ111" s="486"/>
      <c r="FR111" s="486"/>
      <c r="FS111" s="43"/>
      <c r="FT111" s="43"/>
      <c r="FX111" s="3"/>
      <c r="FY111" s="3"/>
      <c r="GA111" s="41"/>
      <c r="GB111" s="41"/>
      <c r="GG111" s="3"/>
      <c r="GH111" s="3"/>
      <c r="GI111" s="486"/>
      <c r="GJ111" s="486"/>
      <c r="GK111" s="486"/>
      <c r="GL111" s="486"/>
      <c r="GM111" s="43"/>
      <c r="GN111" s="43"/>
      <c r="GO111" s="393"/>
      <c r="GS111" s="3"/>
      <c r="GT111" s="3"/>
      <c r="GV111" s="41"/>
      <c r="GW111" s="41"/>
      <c r="HA111" s="3"/>
      <c r="HB111" s="3"/>
      <c r="HC111" s="43"/>
      <c r="HD111" s="43"/>
      <c r="HE111" s="43"/>
      <c r="HF111" s="43"/>
      <c r="HG111" s="43"/>
    </row>
    <row r="112" spans="1:242">
      <c r="A112" s="987" t="s">
        <v>437</v>
      </c>
      <c r="B112" s="988"/>
      <c r="C112" s="594"/>
      <c r="H112" s="3"/>
      <c r="I112" s="3"/>
      <c r="J112" s="3"/>
      <c r="K112" s="3"/>
      <c r="L112" s="3"/>
      <c r="M112" s="3"/>
      <c r="N112" s="3"/>
      <c r="R112" s="3"/>
      <c r="S112" s="43"/>
      <c r="T112" s="43"/>
      <c r="U112" s="43"/>
      <c r="V112" s="43"/>
      <c r="W112" s="43"/>
      <c r="Y112" s="596" t="s">
        <v>437</v>
      </c>
      <c r="Z112" s="594"/>
      <c r="AA112" s="594"/>
      <c r="AH112" s="3"/>
      <c r="AI112" s="3"/>
      <c r="AJ112" s="3"/>
      <c r="AK112" s="3"/>
      <c r="AL112" s="3"/>
      <c r="AM112" s="41"/>
      <c r="AN112" s="41"/>
      <c r="AO112" s="41"/>
      <c r="AP112" s="3"/>
      <c r="AQ112" s="43"/>
      <c r="AR112" s="43"/>
      <c r="AS112" s="43"/>
      <c r="AT112" s="43"/>
      <c r="AU112" s="43"/>
      <c r="AV112" s="565"/>
      <c r="AW112" s="596" t="s">
        <v>437</v>
      </c>
      <c r="AX112" s="594"/>
      <c r="AY112" s="594"/>
      <c r="BE112" s="3"/>
      <c r="BF112" s="3"/>
      <c r="BG112" s="3"/>
      <c r="BH112" s="3"/>
      <c r="BI112" s="3"/>
      <c r="BJ112" s="3"/>
      <c r="BK112" s="41"/>
      <c r="BL112" s="41"/>
      <c r="BM112" s="41"/>
      <c r="BN112" s="41"/>
      <c r="BO112" s="258"/>
      <c r="BP112" s="42"/>
      <c r="BQ112" s="42"/>
      <c r="BR112" s="42"/>
      <c r="BS112" s="42"/>
      <c r="BU112" s="944" t="s">
        <v>437</v>
      </c>
      <c r="BV112" s="943"/>
      <c r="BW112" s="943"/>
      <c r="BX112" s="486"/>
      <c r="BY112" s="486"/>
      <c r="BZ112" s="486"/>
      <c r="CA112" s="486"/>
      <c r="CB112" s="486"/>
      <c r="CC112" s="486"/>
      <c r="CD112" s="486"/>
      <c r="CE112" s="486"/>
      <c r="CF112" s="486"/>
      <c r="CG112" s="486"/>
      <c r="CH112" s="486"/>
      <c r="CI112" s="113"/>
      <c r="CJ112" s="113"/>
      <c r="CK112" s="113"/>
      <c r="CL112" s="113"/>
      <c r="CM112" s="258"/>
      <c r="CN112" s="42"/>
      <c r="CO112" s="42"/>
      <c r="CP112" s="42"/>
      <c r="CQ112" s="42"/>
      <c r="CZ112" s="3"/>
      <c r="DA112" s="3"/>
      <c r="DC112" s="41"/>
      <c r="DD112" s="41"/>
      <c r="DE112" s="3"/>
      <c r="DF112" s="118"/>
      <c r="DG112" s="700"/>
      <c r="DH112" s="700"/>
      <c r="DI112" s="700"/>
      <c r="DJ112" s="700"/>
      <c r="DK112" s="43"/>
      <c r="DL112" s="43"/>
      <c r="DS112" s="3"/>
      <c r="DT112" s="3"/>
      <c r="DV112" s="41"/>
      <c r="DW112" s="41"/>
      <c r="DY112" s="118"/>
      <c r="DZ112" s="3"/>
      <c r="EA112" s="486"/>
      <c r="EB112" s="486"/>
      <c r="EC112" s="486"/>
      <c r="ED112" s="486"/>
      <c r="EE112" s="43"/>
      <c r="EF112" s="43"/>
      <c r="EL112" s="3"/>
      <c r="EM112" s="3"/>
      <c r="EO112" s="41"/>
      <c r="EP112" s="41"/>
      <c r="FC112" s="3"/>
      <c r="FE112" s="39"/>
      <c r="FF112" s="39"/>
      <c r="FH112" s="41"/>
      <c r="FI112" s="41"/>
      <c r="FM112" s="3"/>
      <c r="FN112" s="3"/>
      <c r="FO112" s="486"/>
      <c r="FP112" s="486"/>
      <c r="FQ112" s="486"/>
      <c r="FR112" s="486"/>
      <c r="FS112" s="43"/>
      <c r="FT112" s="43"/>
      <c r="FX112" s="3"/>
      <c r="FY112" s="3"/>
      <c r="GA112" s="41"/>
      <c r="GB112" s="41"/>
      <c r="GG112" s="3"/>
      <c r="GH112" s="3"/>
      <c r="GI112" s="486"/>
      <c r="GJ112" s="486"/>
      <c r="GK112" s="486"/>
      <c r="GL112" s="486"/>
      <c r="GM112" s="43"/>
      <c r="GN112" s="43"/>
      <c r="GO112" s="393"/>
      <c r="GS112" s="3"/>
      <c r="GT112" s="3"/>
      <c r="GV112" s="41"/>
      <c r="GW112" s="41"/>
      <c r="HA112" s="3"/>
      <c r="HB112" s="3"/>
      <c r="HC112" s="43"/>
      <c r="HD112" s="43"/>
      <c r="HE112" s="43"/>
      <c r="HF112" s="43"/>
      <c r="HG112" s="43"/>
    </row>
    <row r="113" spans="1:215">
      <c r="A113" s="987" t="s">
        <v>142</v>
      </c>
      <c r="B113" s="988"/>
      <c r="C113" s="988"/>
      <c r="H113" s="3"/>
      <c r="I113" s="3"/>
      <c r="J113" s="3"/>
      <c r="K113" s="3"/>
      <c r="L113" s="3"/>
      <c r="M113" s="3"/>
      <c r="N113" s="3"/>
      <c r="R113" s="3"/>
      <c r="S113" s="43"/>
      <c r="T113" s="43"/>
      <c r="U113" s="43"/>
      <c r="V113" s="43"/>
      <c r="W113" s="43"/>
      <c r="Y113" s="597" t="s">
        <v>143</v>
      </c>
      <c r="Z113" s="595"/>
      <c r="AA113" s="595"/>
      <c r="AH113" s="3"/>
      <c r="AI113" s="3"/>
      <c r="AJ113" s="3"/>
      <c r="AK113" s="3"/>
      <c r="AL113" s="3"/>
      <c r="AM113" s="41"/>
      <c r="AN113" s="41"/>
      <c r="AO113" s="41"/>
      <c r="AP113" s="3"/>
      <c r="AQ113" s="444"/>
      <c r="AR113" s="444"/>
      <c r="AS113" s="444"/>
      <c r="AT113" s="444"/>
      <c r="AU113" s="444"/>
      <c r="AV113" s="565"/>
      <c r="AW113" s="596" t="s">
        <v>141</v>
      </c>
      <c r="AX113" s="594"/>
      <c r="AY113" s="594"/>
      <c r="BE113" s="3"/>
      <c r="BF113" s="3"/>
      <c r="BG113" s="3"/>
      <c r="BH113" s="3"/>
      <c r="BI113" s="3"/>
      <c r="BJ113" s="3"/>
      <c r="BK113" s="41"/>
      <c r="BL113" s="41"/>
      <c r="BM113" s="41"/>
      <c r="BN113" s="41"/>
      <c r="BO113" s="258"/>
      <c r="BP113" s="42"/>
      <c r="BQ113" s="42"/>
      <c r="BR113" s="42"/>
      <c r="BS113" s="42"/>
      <c r="BU113" s="596" t="s">
        <v>110</v>
      </c>
      <c r="BV113" s="594"/>
      <c r="BW113" s="594"/>
      <c r="CC113" s="3"/>
      <c r="CD113" s="3"/>
      <c r="CE113" s="3"/>
      <c r="CG113" s="3"/>
      <c r="CH113" s="3"/>
      <c r="CI113" s="113"/>
      <c r="CJ113" s="113"/>
      <c r="CK113" s="113"/>
      <c r="CL113" s="113"/>
      <c r="CM113" s="258"/>
      <c r="CN113" s="42"/>
      <c r="CO113" s="42"/>
      <c r="CP113" s="42"/>
      <c r="CQ113" s="42"/>
      <c r="CZ113" s="3"/>
      <c r="DA113" s="3"/>
      <c r="DC113" s="41"/>
      <c r="DD113" s="41"/>
      <c r="DE113" s="3"/>
      <c r="DF113" s="118"/>
      <c r="DG113" s="700"/>
      <c r="DH113" s="700"/>
      <c r="DI113" s="700"/>
      <c r="DJ113" s="700"/>
      <c r="DK113" s="43"/>
      <c r="DL113" s="43"/>
      <c r="DS113" s="3"/>
      <c r="DT113" s="3"/>
      <c r="DV113" s="41"/>
      <c r="DW113" s="41"/>
      <c r="DY113" s="118"/>
      <c r="DZ113" s="3"/>
      <c r="EA113" s="486"/>
      <c r="EB113" s="486"/>
      <c r="EC113" s="486"/>
      <c r="ED113" s="486"/>
      <c r="EE113" s="43"/>
      <c r="EF113" s="43"/>
      <c r="EL113" s="3"/>
      <c r="EM113" s="3"/>
      <c r="EO113" s="41"/>
      <c r="EP113" s="41"/>
      <c r="FC113" s="3"/>
      <c r="FE113" s="39"/>
      <c r="FF113" s="39"/>
      <c r="FH113" s="41"/>
      <c r="FI113" s="41"/>
      <c r="FM113" s="3"/>
      <c r="FN113" s="3"/>
      <c r="FO113" s="486"/>
      <c r="FP113" s="486"/>
      <c r="FQ113" s="486"/>
      <c r="FR113" s="486"/>
      <c r="FS113" s="43"/>
      <c r="FT113" s="43"/>
      <c r="FX113" s="3"/>
      <c r="FY113" s="3"/>
      <c r="GA113" s="41"/>
      <c r="GB113" s="41"/>
      <c r="GG113" s="3"/>
      <c r="GH113" s="3"/>
      <c r="GI113" s="486"/>
      <c r="GJ113" s="486"/>
      <c r="GK113" s="486"/>
      <c r="GL113" s="486"/>
      <c r="GM113" s="43"/>
      <c r="GN113" s="43"/>
      <c r="GO113" s="393"/>
      <c r="GS113" s="3"/>
      <c r="GT113" s="3"/>
      <c r="GV113" s="41"/>
      <c r="GW113" s="41"/>
      <c r="HA113" s="3"/>
      <c r="HB113" s="3"/>
      <c r="HC113" s="43"/>
      <c r="HD113" s="43"/>
      <c r="HE113" s="43"/>
      <c r="HF113" s="43"/>
      <c r="HG113" s="43"/>
    </row>
    <row r="114" spans="1:215" ht="14" thickBot="1">
      <c r="A114" s="629" t="s">
        <v>0</v>
      </c>
      <c r="B114" s="318" t="s">
        <v>409</v>
      </c>
      <c r="C114" s="619" t="s">
        <v>410</v>
      </c>
      <c r="D114" s="619" t="s">
        <v>411</v>
      </c>
      <c r="E114" s="619" t="s">
        <v>412</v>
      </c>
      <c r="F114" s="619" t="s">
        <v>413</v>
      </c>
      <c r="G114" s="619" t="s">
        <v>414</v>
      </c>
      <c r="H114" s="619" t="s">
        <v>415</v>
      </c>
      <c r="I114" s="619" t="s">
        <v>416</v>
      </c>
      <c r="J114" s="619" t="s">
        <v>417</v>
      </c>
      <c r="K114" s="619" t="s">
        <v>418</v>
      </c>
      <c r="L114" s="619" t="s">
        <v>419</v>
      </c>
      <c r="M114" s="619" t="s">
        <v>420</v>
      </c>
      <c r="N114" s="619" t="s">
        <v>421</v>
      </c>
      <c r="O114" s="619" t="s">
        <v>422</v>
      </c>
      <c r="P114" s="619" t="s">
        <v>423</v>
      </c>
      <c r="Q114" s="619" t="s">
        <v>355</v>
      </c>
      <c r="R114" s="619" t="s">
        <v>399</v>
      </c>
      <c r="S114" s="619" t="s">
        <v>424</v>
      </c>
      <c r="T114" s="701" t="s">
        <v>446</v>
      </c>
      <c r="U114" s="701" t="s">
        <v>523</v>
      </c>
      <c r="V114" s="701" t="s">
        <v>524</v>
      </c>
      <c r="W114" s="701" t="s">
        <v>525</v>
      </c>
      <c r="Y114" s="629" t="s">
        <v>0</v>
      </c>
      <c r="Z114" s="318" t="s">
        <v>409</v>
      </c>
      <c r="AA114" s="619" t="s">
        <v>410</v>
      </c>
      <c r="AB114" s="619" t="s">
        <v>411</v>
      </c>
      <c r="AC114" s="619" t="s">
        <v>412</v>
      </c>
      <c r="AD114" s="619" t="s">
        <v>413</v>
      </c>
      <c r="AE114" s="619" t="s">
        <v>414</v>
      </c>
      <c r="AF114" s="619" t="s">
        <v>415</v>
      </c>
      <c r="AG114" s="619" t="s">
        <v>416</v>
      </c>
      <c r="AH114" s="619" t="s">
        <v>417</v>
      </c>
      <c r="AI114" s="619" t="s">
        <v>418</v>
      </c>
      <c r="AJ114" s="619" t="s">
        <v>419</v>
      </c>
      <c r="AK114" s="619" t="s">
        <v>420</v>
      </c>
      <c r="AL114" s="619" t="s">
        <v>421</v>
      </c>
      <c r="AM114" s="619" t="s">
        <v>422</v>
      </c>
      <c r="AN114" s="619" t="s">
        <v>423</v>
      </c>
      <c r="AO114" s="619" t="s">
        <v>355</v>
      </c>
      <c r="AP114" s="619" t="s">
        <v>399</v>
      </c>
      <c r="AQ114" s="619" t="s">
        <v>424</v>
      </c>
      <c r="AR114" s="701" t="s">
        <v>446</v>
      </c>
      <c r="AS114" s="701" t="s">
        <v>523</v>
      </c>
      <c r="AT114" s="701" t="s">
        <v>524</v>
      </c>
      <c r="AU114" s="701" t="s">
        <v>525</v>
      </c>
      <c r="AV114" s="565"/>
      <c r="AW114" s="629" t="s">
        <v>0</v>
      </c>
      <c r="AX114" s="318" t="s">
        <v>409</v>
      </c>
      <c r="AY114" s="619" t="s">
        <v>410</v>
      </c>
      <c r="AZ114" s="619" t="s">
        <v>411</v>
      </c>
      <c r="BA114" s="619" t="s">
        <v>412</v>
      </c>
      <c r="BB114" s="619" t="s">
        <v>413</v>
      </c>
      <c r="BC114" s="619" t="s">
        <v>414</v>
      </c>
      <c r="BD114" s="619" t="s">
        <v>415</v>
      </c>
      <c r="BE114" s="619" t="s">
        <v>416</v>
      </c>
      <c r="BF114" s="619" t="s">
        <v>417</v>
      </c>
      <c r="BG114" s="619" t="s">
        <v>418</v>
      </c>
      <c r="BH114" s="619" t="s">
        <v>419</v>
      </c>
      <c r="BI114" s="619" t="s">
        <v>420</v>
      </c>
      <c r="BJ114" s="619" t="s">
        <v>421</v>
      </c>
      <c r="BK114" s="619" t="s">
        <v>422</v>
      </c>
      <c r="BL114" s="619" t="s">
        <v>423</v>
      </c>
      <c r="BM114" s="619" t="s">
        <v>355</v>
      </c>
      <c r="BN114" s="619" t="s">
        <v>399</v>
      </c>
      <c r="BO114" s="619" t="s">
        <v>424</v>
      </c>
      <c r="BP114" s="701" t="s">
        <v>446</v>
      </c>
      <c r="BQ114" s="701" t="s">
        <v>523</v>
      </c>
      <c r="BR114" s="701" t="s">
        <v>524</v>
      </c>
      <c r="BS114" s="701" t="s">
        <v>525</v>
      </c>
      <c r="BU114" s="629" t="s">
        <v>0</v>
      </c>
      <c r="BV114" s="318" t="s">
        <v>409</v>
      </c>
      <c r="BW114" s="619" t="s">
        <v>410</v>
      </c>
      <c r="BX114" s="619" t="s">
        <v>411</v>
      </c>
      <c r="BY114" s="619" t="s">
        <v>412</v>
      </c>
      <c r="BZ114" s="619" t="s">
        <v>413</v>
      </c>
      <c r="CA114" s="619" t="s">
        <v>414</v>
      </c>
      <c r="CB114" s="619" t="s">
        <v>415</v>
      </c>
      <c r="CC114" s="619" t="s">
        <v>416</v>
      </c>
      <c r="CD114" s="619" t="s">
        <v>417</v>
      </c>
      <c r="CE114" s="619" t="s">
        <v>418</v>
      </c>
      <c r="CF114" s="619" t="s">
        <v>419</v>
      </c>
      <c r="CG114" s="619" t="s">
        <v>420</v>
      </c>
      <c r="CH114" s="619" t="s">
        <v>421</v>
      </c>
      <c r="CI114" s="619" t="s">
        <v>422</v>
      </c>
      <c r="CJ114" s="619" t="s">
        <v>423</v>
      </c>
      <c r="CK114" s="619" t="s">
        <v>355</v>
      </c>
      <c r="CL114" s="619" t="s">
        <v>399</v>
      </c>
      <c r="CM114" s="619" t="s">
        <v>424</v>
      </c>
      <c r="CN114" s="701" t="s">
        <v>446</v>
      </c>
      <c r="CO114" s="701" t="s">
        <v>523</v>
      </c>
      <c r="CP114" s="701" t="s">
        <v>524</v>
      </c>
      <c r="CQ114" s="701" t="s">
        <v>525</v>
      </c>
      <c r="CZ114" s="3"/>
      <c r="DA114" s="3"/>
      <c r="DC114" s="41"/>
      <c r="DD114" s="41"/>
      <c r="DE114" s="3"/>
      <c r="DF114" s="118"/>
      <c r="DG114" s="700"/>
      <c r="DH114" s="700"/>
      <c r="DI114" s="700"/>
      <c r="DJ114" s="700"/>
      <c r="DK114" s="43"/>
      <c r="DL114" s="43"/>
      <c r="DS114" s="3"/>
      <c r="DT114" s="3"/>
      <c r="DV114" s="41"/>
      <c r="DW114" s="41"/>
      <c r="DY114" s="118"/>
      <c r="DZ114" s="3"/>
      <c r="EA114" s="486"/>
      <c r="EB114" s="486"/>
      <c r="EC114" s="486"/>
      <c r="ED114" s="486"/>
      <c r="EE114" s="43"/>
      <c r="EF114" s="43"/>
      <c r="EL114" s="3"/>
      <c r="EM114" s="3"/>
      <c r="EO114" s="41"/>
      <c r="EP114" s="41"/>
      <c r="FC114" s="3"/>
      <c r="FE114" s="39"/>
      <c r="FF114" s="39"/>
      <c r="FH114" s="41"/>
      <c r="FI114" s="41"/>
      <c r="FM114" s="3"/>
      <c r="FN114" s="3"/>
      <c r="FO114" s="486"/>
      <c r="FP114" s="486"/>
      <c r="FQ114" s="486"/>
      <c r="FR114" s="486"/>
      <c r="FS114" s="43"/>
      <c r="FT114" s="43"/>
      <c r="FX114" s="3"/>
      <c r="FY114" s="3"/>
      <c r="GA114" s="41"/>
      <c r="GB114" s="41"/>
      <c r="GG114" s="3"/>
      <c r="GH114" s="3"/>
      <c r="GI114" s="486"/>
      <c r="GJ114" s="486"/>
      <c r="GK114" s="486"/>
      <c r="GL114" s="486"/>
      <c r="GM114" s="43"/>
      <c r="GN114" s="43"/>
      <c r="GO114" s="393"/>
      <c r="GS114" s="3"/>
      <c r="GT114" s="3"/>
      <c r="GV114" s="41"/>
      <c r="GW114" s="41"/>
      <c r="HA114" s="3"/>
      <c r="HB114" s="3"/>
      <c r="HC114" s="43"/>
      <c r="HD114" s="43"/>
      <c r="HE114" s="43"/>
      <c r="HF114" s="43"/>
      <c r="HG114" s="43"/>
    </row>
    <row r="115" spans="1:215" ht="14" thickTop="1">
      <c r="A115" s="630" t="s">
        <v>1</v>
      </c>
      <c r="B115" s="630"/>
      <c r="C115" s="620">
        <f t="shared" ref="C115:C146" si="0">IFERROR((AA17-$Z17)/$Z17,0)</f>
        <v>0</v>
      </c>
      <c r="D115" s="620">
        <f t="shared" ref="D115:D146" si="1">IFERROR((AB17-$Z17)/$Z17,0)</f>
        <v>0</v>
      </c>
      <c r="E115" s="620">
        <f t="shared" ref="E115:E146" si="2">IFERROR((AC17-$Z17)/$Z17,0)</f>
        <v>0</v>
      </c>
      <c r="F115" s="620">
        <f t="shared" ref="F115:F146" si="3">IFERROR((AD17-$Z17)/$Z17,0)</f>
        <v>0</v>
      </c>
      <c r="G115" s="620">
        <f t="shared" ref="G115:G146" si="4">IFERROR((AE17-$Z17)/$Z17,0)</f>
        <v>0</v>
      </c>
      <c r="H115" s="620">
        <f t="shared" ref="H115:H146" si="5">IFERROR((AF17-$Z17)/$Z17,0)</f>
        <v>0</v>
      </c>
      <c r="I115" s="620">
        <f t="shared" ref="I115:I146" si="6">IFERROR((AG17-$Z17)/$Z17,0)</f>
        <v>0</v>
      </c>
      <c r="J115" s="620">
        <f t="shared" ref="J115:J146" si="7">IFERROR((AH17-$Z17)/$Z17,0)</f>
        <v>0</v>
      </c>
      <c r="K115" s="620">
        <f t="shared" ref="K115:K146" si="8">IFERROR((AI17-$Z17)/$Z17,0)</f>
        <v>0</v>
      </c>
      <c r="L115" s="620">
        <f t="shared" ref="L115:L146" si="9">IFERROR((AJ17-$Z17)/$Z17,0)</f>
        <v>0</v>
      </c>
      <c r="M115" s="620">
        <f t="shared" ref="M115:M146" si="10">IFERROR((AK17-$Z17)/$Z17,0)</f>
        <v>0</v>
      </c>
      <c r="N115" s="620">
        <f t="shared" ref="N115:N146" si="11">IFERROR((AL17-$Z17)/$Z17,0)</f>
        <v>0</v>
      </c>
      <c r="O115" s="620">
        <f t="shared" ref="O115:O146" si="12">IFERROR((AM17-$Z17)/$Z17,0)</f>
        <v>0</v>
      </c>
      <c r="P115" s="620">
        <f t="shared" ref="P115:P146" si="13">IFERROR((AN17-$Z17)/$Z17,0)</f>
        <v>0</v>
      </c>
      <c r="Q115" s="620">
        <f t="shared" ref="Q115:Q146" si="14">IFERROR((AO17-$Z17)/$Z17,0)</f>
        <v>0</v>
      </c>
      <c r="R115" s="620">
        <f t="shared" ref="R115:R146" si="15">IFERROR((AP17-$Z17)/$Z17,0)</f>
        <v>0</v>
      </c>
      <c r="S115" s="620">
        <f t="shared" ref="S115:S146" si="16">IFERROR((AQ17-$Z17)/$Z17,0)</f>
        <v>0</v>
      </c>
      <c r="T115" s="620">
        <f t="shared" ref="T115:T146" si="17">IFERROR((AR17-$Z17)/$Z17,0)</f>
        <v>0</v>
      </c>
      <c r="U115" s="620">
        <f t="shared" ref="U115:U146" si="18">IFERROR((AS17-$Z17)/$Z17,0)</f>
        <v>0</v>
      </c>
      <c r="V115" s="620">
        <f t="shared" ref="V115:V146" si="19">IFERROR((AT17-$Z17)/$Z17,0)</f>
        <v>0</v>
      </c>
      <c r="W115" s="620">
        <f t="shared" ref="W115:W146" si="20">IFERROR((AU17-$Z17)/$Z17,0)</f>
        <v>0</v>
      </c>
      <c r="Y115" s="630" t="s">
        <v>1</v>
      </c>
      <c r="Z115" s="630"/>
      <c r="AA115" s="620">
        <f t="shared" ref="AA115:AU115" si="21">IFERROR((AA17-Z17)/Z17,0)</f>
        <v>0</v>
      </c>
      <c r="AB115" s="620">
        <f t="shared" si="21"/>
        <v>-1</v>
      </c>
      <c r="AC115" s="620">
        <f t="shared" si="21"/>
        <v>0</v>
      </c>
      <c r="AD115" s="620">
        <f t="shared" si="21"/>
        <v>0</v>
      </c>
      <c r="AE115" s="620">
        <f t="shared" si="21"/>
        <v>0</v>
      </c>
      <c r="AF115" s="620">
        <f t="shared" si="21"/>
        <v>0</v>
      </c>
      <c r="AG115" s="620">
        <f t="shared" si="21"/>
        <v>0</v>
      </c>
      <c r="AH115" s="620">
        <f t="shared" si="21"/>
        <v>0</v>
      </c>
      <c r="AI115" s="620">
        <f t="shared" si="21"/>
        <v>0</v>
      </c>
      <c r="AJ115" s="620">
        <f t="shared" si="21"/>
        <v>0</v>
      </c>
      <c r="AK115" s="620">
        <f t="shared" si="21"/>
        <v>0</v>
      </c>
      <c r="AL115" s="620">
        <f t="shared" si="21"/>
        <v>0</v>
      </c>
      <c r="AM115" s="620">
        <f t="shared" si="21"/>
        <v>0</v>
      </c>
      <c r="AN115" s="620">
        <f t="shared" si="21"/>
        <v>0</v>
      </c>
      <c r="AO115" s="620">
        <f t="shared" si="21"/>
        <v>0</v>
      </c>
      <c r="AP115" s="620">
        <f t="shared" si="21"/>
        <v>0</v>
      </c>
      <c r="AQ115" s="620">
        <f t="shared" si="21"/>
        <v>0</v>
      </c>
      <c r="AR115" s="620">
        <f t="shared" si="21"/>
        <v>0</v>
      </c>
      <c r="AS115" s="620">
        <f t="shared" si="21"/>
        <v>0</v>
      </c>
      <c r="AT115" s="620">
        <f t="shared" si="21"/>
        <v>0</v>
      </c>
      <c r="AU115" s="620">
        <f t="shared" si="21"/>
        <v>0</v>
      </c>
      <c r="AV115" s="565"/>
      <c r="AW115" s="630" t="s">
        <v>1</v>
      </c>
      <c r="AX115" s="630"/>
      <c r="AY115" s="620">
        <f t="shared" ref="AY115:BS115" si="22">(AY17-$AX17)/$AX17</f>
        <v>-4.2232812273770449E-3</v>
      </c>
      <c r="AZ115" s="620">
        <f t="shared" si="22"/>
        <v>-4.4926994990516209E-2</v>
      </c>
      <c r="BA115" s="620">
        <f t="shared" si="22"/>
        <v>6.6515176175079823E-3</v>
      </c>
      <c r="BB115" s="620">
        <f t="shared" si="22"/>
        <v>0.10829699842185887</v>
      </c>
      <c r="BC115" s="620">
        <f t="shared" si="22"/>
        <v>0.12074317420266208</v>
      </c>
      <c r="BD115" s="620">
        <f t="shared" si="22"/>
        <v>0.19367591124951675</v>
      </c>
      <c r="BE115" s="620">
        <f t="shared" si="22"/>
        <v>8.0645776597829177E-2</v>
      </c>
      <c r="BF115" s="620">
        <f t="shared" si="22"/>
        <v>0.12654934792396866</v>
      </c>
      <c r="BG115" s="620">
        <f t="shared" si="22"/>
        <v>0.15126202913634873</v>
      </c>
      <c r="BH115" s="620">
        <f t="shared" si="22"/>
        <v>0.19374849468418354</v>
      </c>
      <c r="BI115" s="620">
        <f t="shared" si="22"/>
        <v>0.28756491647462568</v>
      </c>
      <c r="BJ115" s="620">
        <f t="shared" si="22"/>
        <v>0.23343253299773231</v>
      </c>
      <c r="BK115" s="620">
        <f t="shared" si="22"/>
        <v>0.22579401197894486</v>
      </c>
      <c r="BL115" s="620">
        <f t="shared" si="22"/>
        <v>0.22887899800650416</v>
      </c>
      <c r="BM115" s="620">
        <f t="shared" si="22"/>
        <v>0.27963315043206249</v>
      </c>
      <c r="BN115" s="620">
        <f t="shared" si="22"/>
        <v>0.25502227781020237</v>
      </c>
      <c r="BO115" s="620">
        <f t="shared" si="22"/>
        <v>0.28965224742571571</v>
      </c>
      <c r="BP115" s="620">
        <f t="shared" si="22"/>
        <v>0.35627503748387568</v>
      </c>
      <c r="BQ115" s="620">
        <f t="shared" si="22"/>
        <v>0.36345240921369049</v>
      </c>
      <c r="BR115" s="620">
        <f t="shared" si="22"/>
        <v>0.37163864921899825</v>
      </c>
      <c r="BS115" s="620">
        <f t="shared" si="22"/>
        <v>0.38221251448299559</v>
      </c>
      <c r="BU115" s="630" t="s">
        <v>1</v>
      </c>
      <c r="BV115" s="630"/>
      <c r="BW115" s="620">
        <f t="shared" ref="BW115:CF120" si="23">(AY17-AX17)/AX17</f>
        <v>-4.2232812273770449E-3</v>
      </c>
      <c r="BX115" s="620">
        <f t="shared" si="23"/>
        <v>-4.0876346068132473E-2</v>
      </c>
      <c r="BY115" s="620">
        <f t="shared" si="23"/>
        <v>5.4004785327915347E-2</v>
      </c>
      <c r="BZ115" s="620">
        <f t="shared" si="23"/>
        <v>0.10097385145250691</v>
      </c>
      <c r="CA115" s="620">
        <f t="shared" si="23"/>
        <v>1.1230000440789551E-2</v>
      </c>
      <c r="CB115" s="620">
        <f t="shared" si="23"/>
        <v>6.507533458657172E-2</v>
      </c>
      <c r="CC115" s="620">
        <f t="shared" si="23"/>
        <v>-9.4690806429502145E-2</v>
      </c>
      <c r="CD115" s="620">
        <f t="shared" si="23"/>
        <v>4.2477907488480252E-2</v>
      </c>
      <c r="CE115" s="620">
        <f t="shared" si="23"/>
        <v>2.1936616676332187E-2</v>
      </c>
      <c r="CF115" s="620">
        <f t="shared" si="23"/>
        <v>3.69042533086123E-2</v>
      </c>
      <c r="CG115" s="620">
        <f t="shared" ref="CG115:CP120" si="24">(BI17-BH17)/BH17</f>
        <v>7.8589771805544398E-2</v>
      </c>
      <c r="CH115" s="620">
        <f t="shared" si="24"/>
        <v>-4.20424498868055E-2</v>
      </c>
      <c r="CI115" s="620">
        <f t="shared" si="24"/>
        <v>-6.1928973125289595E-3</v>
      </c>
      <c r="CJ115" s="620">
        <f t="shared" si="24"/>
        <v>2.5167246677758209E-3</v>
      </c>
      <c r="CK115" s="620">
        <f t="shared" si="24"/>
        <v>4.1301179780834439E-2</v>
      </c>
      <c r="CL115" s="620">
        <f t="shared" si="24"/>
        <v>-1.9232756367362287E-2</v>
      </c>
      <c r="CM115" s="620">
        <f t="shared" si="24"/>
        <v>2.7593111475229484E-2</v>
      </c>
      <c r="CN115" s="620">
        <f t="shared" si="24"/>
        <v>5.1659499831172496E-2</v>
      </c>
      <c r="CO115" s="620">
        <f t="shared" si="24"/>
        <v>5.2919736273625249E-3</v>
      </c>
      <c r="CP115" s="620">
        <f t="shared" si="24"/>
        <v>6.004052616716429E-3</v>
      </c>
      <c r="CQ115" s="620">
        <f t="shared" ref="CQ115:CQ120" si="25">(BS17-BR17)/BR17</f>
        <v>7.7089292212770754E-3</v>
      </c>
      <c r="CZ115" s="3"/>
      <c r="DA115" s="3"/>
      <c r="DC115" s="41"/>
      <c r="DD115" s="41"/>
      <c r="DE115" s="3"/>
      <c r="DF115" s="118"/>
      <c r="DG115" s="700"/>
      <c r="DH115" s="700"/>
      <c r="DI115" s="700"/>
      <c r="DJ115" s="700"/>
      <c r="DK115" s="43"/>
      <c r="DL115" s="43"/>
      <c r="DS115" s="3"/>
      <c r="DT115" s="3"/>
      <c r="DV115" s="41"/>
      <c r="DW115" s="41"/>
      <c r="DY115" s="118"/>
      <c r="DZ115" s="3"/>
      <c r="EA115" s="486"/>
      <c r="EB115" s="486"/>
      <c r="EC115" s="486"/>
      <c r="ED115" s="486"/>
      <c r="EE115" s="43"/>
      <c r="EF115" s="43"/>
      <c r="EL115" s="3"/>
      <c r="EM115" s="3"/>
      <c r="EO115" s="41"/>
      <c r="EP115" s="41"/>
      <c r="FC115" s="3"/>
      <c r="FE115" s="39"/>
      <c r="FF115" s="39"/>
      <c r="FH115" s="41"/>
      <c r="FI115" s="41"/>
      <c r="FM115" s="3"/>
      <c r="FN115" s="3"/>
      <c r="FO115" s="486"/>
      <c r="FP115" s="486"/>
      <c r="FQ115" s="486"/>
      <c r="FR115" s="486"/>
      <c r="FS115" s="43"/>
      <c r="FT115" s="43"/>
      <c r="FX115" s="3"/>
      <c r="FY115" s="3"/>
      <c r="GA115" s="41"/>
      <c r="GB115" s="41"/>
      <c r="GG115" s="3"/>
      <c r="GH115" s="3"/>
      <c r="GI115" s="486"/>
      <c r="GJ115" s="486"/>
      <c r="GK115" s="486"/>
      <c r="GL115" s="486"/>
      <c r="GM115" s="43"/>
      <c r="GN115" s="43"/>
      <c r="GO115" s="393"/>
      <c r="GS115" s="3"/>
      <c r="GT115" s="3"/>
      <c r="GV115" s="41"/>
      <c r="GW115" s="41"/>
      <c r="HA115" s="3"/>
      <c r="HB115" s="3"/>
      <c r="HC115" s="43"/>
      <c r="HD115" s="43"/>
      <c r="HE115" s="43"/>
      <c r="HF115" s="43"/>
      <c r="HG115" s="43"/>
    </row>
    <row r="116" spans="1:215">
      <c r="A116" s="631" t="s">
        <v>2</v>
      </c>
      <c r="B116" s="631"/>
      <c r="C116" s="618">
        <f t="shared" si="0"/>
        <v>0.15259714564592278</v>
      </c>
      <c r="D116" s="618">
        <f t="shared" si="1"/>
        <v>0.10175145464701366</v>
      </c>
      <c r="E116" s="618">
        <f t="shared" si="2"/>
        <v>0.2893546104252856</v>
      </c>
      <c r="F116" s="618">
        <f t="shared" si="3"/>
        <v>1.5085738055339788E-2</v>
      </c>
      <c r="G116" s="618">
        <f t="shared" si="4"/>
        <v>0.49832857531189007</v>
      </c>
      <c r="H116" s="618">
        <f t="shared" si="5"/>
        <v>0.52264643293674873</v>
      </c>
      <c r="I116" s="618">
        <f t="shared" si="6"/>
        <v>0.31398406206188056</v>
      </c>
      <c r="J116" s="618">
        <f t="shared" si="7"/>
        <v>0.66628243110618157</v>
      </c>
      <c r="K116" s="618">
        <f t="shared" si="8"/>
        <v>0.52037327815634205</v>
      </c>
      <c r="L116" s="618">
        <f t="shared" si="9"/>
        <v>0.80062150579813363</v>
      </c>
      <c r="M116" s="618">
        <f t="shared" si="10"/>
        <v>0.55777411766325125</v>
      </c>
      <c r="N116" s="618">
        <f t="shared" si="11"/>
        <v>0.98969025261289723</v>
      </c>
      <c r="O116" s="618">
        <f t="shared" si="12"/>
        <v>1.1988071110723688</v>
      </c>
      <c r="P116" s="618">
        <f t="shared" si="13"/>
        <v>1.00964278327241</v>
      </c>
      <c r="Q116" s="618">
        <f t="shared" si="14"/>
        <v>1.2385210104210036</v>
      </c>
      <c r="R116" s="618">
        <f t="shared" si="15"/>
        <v>1.1531671906416274</v>
      </c>
      <c r="S116" s="618">
        <f t="shared" si="16"/>
        <v>1.0825376216315825</v>
      </c>
      <c r="T116" s="618">
        <f t="shared" si="17"/>
        <v>1.5601653627508665</v>
      </c>
      <c r="U116" s="618">
        <f t="shared" si="18"/>
        <v>1.8507172205967082</v>
      </c>
      <c r="V116" s="618">
        <f t="shared" si="19"/>
        <v>1.9465562744520053</v>
      </c>
      <c r="W116" s="618">
        <f t="shared" si="20"/>
        <v>2.0585915262486409</v>
      </c>
      <c r="Y116" s="631" t="s">
        <v>2</v>
      </c>
      <c r="Z116" s="631"/>
      <c r="AA116" s="618">
        <f t="shared" ref="AA116:AU116" si="26">IFERROR((AA18-Z18)/Z18,0)</f>
        <v>0.15259714564592278</v>
      </c>
      <c r="AB116" s="618">
        <f t="shared" si="26"/>
        <v>-4.4114017799701283E-2</v>
      </c>
      <c r="AC116" s="618">
        <f t="shared" si="26"/>
        <v>0.17027720270936919</v>
      </c>
      <c r="AD116" s="618">
        <f t="shared" si="26"/>
        <v>-0.2127179521849927</v>
      </c>
      <c r="AE116" s="618">
        <f t="shared" si="26"/>
        <v>0.47606110414114122</v>
      </c>
      <c r="AF116" s="618">
        <f t="shared" si="26"/>
        <v>1.6229989887095803E-2</v>
      </c>
      <c r="AG116" s="618">
        <f t="shared" si="26"/>
        <v>-0.13703928000699298</v>
      </c>
      <c r="AH116" s="618">
        <f t="shared" si="26"/>
        <v>0.26811464401743246</v>
      </c>
      <c r="AI116" s="618">
        <f t="shared" si="26"/>
        <v>-8.7565679278617803E-2</v>
      </c>
      <c r="AJ116" s="618">
        <f t="shared" si="26"/>
        <v>0.18432856698299138</v>
      </c>
      <c r="AK116" s="618">
        <f t="shared" si="26"/>
        <v>-0.13486864804896304</v>
      </c>
      <c r="AL116" s="618">
        <f t="shared" si="26"/>
        <v>0.27726493209268649</v>
      </c>
      <c r="AM116" s="618">
        <f t="shared" si="26"/>
        <v>0.1051002075246916</v>
      </c>
      <c r="AN116" s="618">
        <f t="shared" si="26"/>
        <v>-8.6030432977680593E-2</v>
      </c>
      <c r="AO116" s="618">
        <f t="shared" si="26"/>
        <v>0.11389000525551056</v>
      </c>
      <c r="AP116" s="618">
        <f t="shared" si="26"/>
        <v>-3.812955937515345E-2</v>
      </c>
      <c r="AQ116" s="618">
        <f t="shared" si="26"/>
        <v>-3.2802640369509681E-2</v>
      </c>
      <c r="AR116" s="618">
        <f t="shared" si="26"/>
        <v>0.22934891363214951</v>
      </c>
      <c r="AS116" s="618">
        <f t="shared" si="26"/>
        <v>0.11348948863742427</v>
      </c>
      <c r="AT116" s="618">
        <f t="shared" si="26"/>
        <v>3.3619277690137353E-2</v>
      </c>
      <c r="AU116" s="618">
        <f t="shared" si="26"/>
        <v>3.8022437503750665E-2</v>
      </c>
      <c r="AV116" s="565"/>
      <c r="AW116" s="631" t="s">
        <v>2</v>
      </c>
      <c r="AX116" s="631"/>
      <c r="AY116" s="618">
        <f t="shared" ref="AY116:BS116" si="27">(AY18-$AX18)/$AX18</f>
        <v>5.3803104590558044E-2</v>
      </c>
      <c r="AZ116" s="618">
        <f t="shared" si="27"/>
        <v>0.1722035884815846</v>
      </c>
      <c r="BA116" s="618">
        <f t="shared" si="27"/>
        <v>0.20032774446734927</v>
      </c>
      <c r="BB116" s="618">
        <f t="shared" si="27"/>
        <v>0.29900445576705903</v>
      </c>
      <c r="BC116" s="618">
        <f t="shared" si="27"/>
        <v>0.53162476587437679</v>
      </c>
      <c r="BD116" s="618">
        <f t="shared" si="27"/>
        <v>0.39213388154217022</v>
      </c>
      <c r="BE116" s="618">
        <f t="shared" si="27"/>
        <v>0.46126579209519042</v>
      </c>
      <c r="BF116" s="618">
        <f t="shared" si="27"/>
        <v>0.45962173087769947</v>
      </c>
      <c r="BG116" s="618">
        <f t="shared" si="27"/>
        <v>0.5569558078857153</v>
      </c>
      <c r="BH116" s="618">
        <f t="shared" si="27"/>
        <v>0.1654682449654355</v>
      </c>
      <c r="BI116" s="618">
        <f t="shared" si="27"/>
        <v>0.52148051559769715</v>
      </c>
      <c r="BJ116" s="618">
        <f t="shared" si="27"/>
        <v>0.5282263484442502</v>
      </c>
      <c r="BK116" s="618">
        <f t="shared" si="27"/>
        <v>0.42475255858008387</v>
      </c>
      <c r="BL116" s="618">
        <f t="shared" si="27"/>
        <v>0.44416410086339131</v>
      </c>
      <c r="BM116" s="618">
        <f t="shared" si="27"/>
        <v>0.37741552948506812</v>
      </c>
      <c r="BN116" s="618">
        <f t="shared" si="27"/>
        <v>0.58932512778768098</v>
      </c>
      <c r="BO116" s="618">
        <f t="shared" si="27"/>
        <v>0.48537083865651154</v>
      </c>
      <c r="BP116" s="618">
        <f t="shared" si="27"/>
        <v>0.56578380422261509</v>
      </c>
      <c r="BQ116" s="618">
        <f t="shared" si="27"/>
        <v>0.62830523825854512</v>
      </c>
      <c r="BR116" s="618">
        <f t="shared" si="27"/>
        <v>0.69019856867747764</v>
      </c>
      <c r="BS116" s="618">
        <f t="shared" si="27"/>
        <v>0.72728494674309441</v>
      </c>
      <c r="BU116" s="631" t="s">
        <v>2</v>
      </c>
      <c r="BV116" s="631"/>
      <c r="BW116" s="618">
        <f t="shared" si="23"/>
        <v>5.3803104590558044E-2</v>
      </c>
      <c r="BX116" s="618">
        <f t="shared" si="23"/>
        <v>0.11235541381046658</v>
      </c>
      <c r="BY116" s="618">
        <f t="shared" si="23"/>
        <v>2.3992552370698122E-2</v>
      </c>
      <c r="BZ116" s="618">
        <f t="shared" si="23"/>
        <v>8.2208140030536392E-2</v>
      </c>
      <c r="CA116" s="618">
        <f t="shared" si="23"/>
        <v>0.17907583694157234</v>
      </c>
      <c r="CB116" s="618">
        <f t="shared" si="23"/>
        <v>-9.1073797864957978E-2</v>
      </c>
      <c r="CC116" s="618">
        <f t="shared" si="23"/>
        <v>4.9658952683801952E-2</v>
      </c>
      <c r="CD116" s="618">
        <f t="shared" si="23"/>
        <v>-1.1250938921478762E-3</v>
      </c>
      <c r="CE116" s="618">
        <f t="shared" si="23"/>
        <v>6.6684453203835869E-2</v>
      </c>
      <c r="CF116" s="618">
        <f t="shared" si="23"/>
        <v>-0.25144423556369561</v>
      </c>
      <c r="CG116" s="618">
        <f t="shared" si="24"/>
        <v>0.30546715637269034</v>
      </c>
      <c r="CH116" s="618">
        <f t="shared" si="24"/>
        <v>4.4337293691224192E-3</v>
      </c>
      <c r="CI116" s="618">
        <f t="shared" si="24"/>
        <v>-6.7708418958686109E-2</v>
      </c>
      <c r="CJ116" s="618">
        <f t="shared" si="24"/>
        <v>1.3624500736221202E-2</v>
      </c>
      <c r="CK116" s="618">
        <f t="shared" si="24"/>
        <v>-4.6219519885875582E-2</v>
      </c>
      <c r="CL116" s="618">
        <f t="shared" si="24"/>
        <v>0.15384580307573045</v>
      </c>
      <c r="CM116" s="618">
        <f t="shared" si="24"/>
        <v>-6.5407818270558873E-2</v>
      </c>
      <c r="CN116" s="618">
        <f t="shared" si="24"/>
        <v>5.4136626001649153E-2</v>
      </c>
      <c r="CO116" s="618">
        <f t="shared" si="24"/>
        <v>3.9929799929799926E-2</v>
      </c>
      <c r="CP116" s="618">
        <f t="shared" si="24"/>
        <v>3.8010889460213741E-2</v>
      </c>
      <c r="CQ116" s="618">
        <f t="shared" si="25"/>
        <v>2.1942024299923261E-2</v>
      </c>
      <c r="CZ116" s="3"/>
      <c r="DA116" s="3"/>
      <c r="DC116" s="41"/>
      <c r="DD116" s="41"/>
      <c r="DE116" s="3"/>
      <c r="DF116" s="118"/>
      <c r="DG116" s="700"/>
      <c r="DH116" s="700"/>
      <c r="DI116" s="700"/>
      <c r="DJ116" s="700"/>
      <c r="DK116" s="43"/>
      <c r="DL116" s="43"/>
      <c r="DS116" s="3"/>
      <c r="DT116" s="3"/>
      <c r="DV116" s="41"/>
      <c r="DW116" s="41"/>
      <c r="DY116" s="118"/>
      <c r="DZ116" s="3"/>
      <c r="EA116" s="486"/>
      <c r="EB116" s="486"/>
      <c r="EC116" s="486"/>
      <c r="ED116" s="486"/>
      <c r="EE116" s="43"/>
      <c r="EF116" s="43"/>
      <c r="EL116" s="3"/>
      <c r="EM116" s="3"/>
      <c r="EO116" s="41"/>
      <c r="EP116" s="41"/>
      <c r="FC116" s="3"/>
      <c r="FE116" s="39"/>
      <c r="FF116" s="39"/>
      <c r="FH116" s="41"/>
      <c r="FI116" s="41"/>
      <c r="FM116" s="3"/>
      <c r="FN116" s="3"/>
      <c r="FO116" s="486"/>
      <c r="FP116" s="486"/>
      <c r="FQ116" s="486"/>
      <c r="FR116" s="486"/>
      <c r="FS116" s="43"/>
      <c r="FT116" s="43"/>
      <c r="FX116" s="3"/>
      <c r="FY116" s="3"/>
      <c r="GA116" s="41"/>
      <c r="GB116" s="41"/>
      <c r="GG116" s="3"/>
      <c r="GH116" s="3"/>
      <c r="GI116" s="486"/>
      <c r="GJ116" s="486"/>
      <c r="GK116" s="486"/>
      <c r="GL116" s="486"/>
      <c r="GM116" s="43"/>
      <c r="GN116" s="43"/>
      <c r="GO116" s="393"/>
      <c r="GS116" s="3"/>
      <c r="GT116" s="3"/>
      <c r="GV116" s="41"/>
      <c r="GW116" s="41"/>
      <c r="HA116" s="3"/>
      <c r="HB116" s="3"/>
      <c r="HC116" s="43"/>
      <c r="HD116" s="43"/>
      <c r="HE116" s="43"/>
      <c r="HF116" s="43"/>
      <c r="HG116" s="43"/>
    </row>
    <row r="117" spans="1:215">
      <c r="A117" s="632" t="s">
        <v>3</v>
      </c>
      <c r="B117" s="632"/>
      <c r="C117" s="616">
        <f t="shared" si="0"/>
        <v>8.0680581137498736E-3</v>
      </c>
      <c r="D117" s="616">
        <f t="shared" si="1"/>
        <v>0.14635618284986415</v>
      </c>
      <c r="E117" s="616">
        <f t="shared" si="2"/>
        <v>0.151098324748072</v>
      </c>
      <c r="F117" s="616">
        <f t="shared" si="3"/>
        <v>0.23599363829382056</v>
      </c>
      <c r="G117" s="616">
        <f t="shared" si="4"/>
        <v>0.21318840453740071</v>
      </c>
      <c r="H117" s="616">
        <f t="shared" si="5"/>
        <v>0.23597734091586123</v>
      </c>
      <c r="I117" s="616">
        <f t="shared" si="6"/>
        <v>0.29356802742858584</v>
      </c>
      <c r="J117" s="616">
        <f t="shared" si="7"/>
        <v>0.29849187686004097</v>
      </c>
      <c r="K117" s="616">
        <f t="shared" si="8"/>
        <v>0.31906664159175119</v>
      </c>
      <c r="L117" s="616">
        <f t="shared" si="9"/>
        <v>0.33988306845320149</v>
      </c>
      <c r="M117" s="616">
        <f t="shared" si="10"/>
        <v>0.37406311477331283</v>
      </c>
      <c r="N117" s="616">
        <f t="shared" si="11"/>
        <v>0.40641028224293002</v>
      </c>
      <c r="O117" s="616">
        <f t="shared" si="12"/>
        <v>0.60908786571645368</v>
      </c>
      <c r="P117" s="616">
        <f t="shared" si="13"/>
        <v>0.93369176370685159</v>
      </c>
      <c r="Q117" s="616">
        <f t="shared" si="14"/>
        <v>0.67936298257688466</v>
      </c>
      <c r="R117" s="616">
        <f t="shared" si="15"/>
        <v>0.98265998493924711</v>
      </c>
      <c r="S117" s="616">
        <f t="shared" si="16"/>
        <v>0.97786954353908706</v>
      </c>
      <c r="T117" s="616">
        <f t="shared" si="17"/>
        <v>1.1596742684222263</v>
      </c>
      <c r="U117" s="616">
        <f t="shared" si="18"/>
        <v>1.1232224005385838</v>
      </c>
      <c r="V117" s="616">
        <f t="shared" si="19"/>
        <v>1.2234767252371381</v>
      </c>
      <c r="W117" s="616">
        <f t="shared" si="20"/>
        <v>1.2190773221360138</v>
      </c>
      <c r="Y117" s="632" t="s">
        <v>3</v>
      </c>
      <c r="Z117" s="632"/>
      <c r="AA117" s="616">
        <f t="shared" ref="AA117:AU117" si="28">IFERROR((AA19-Z19)/Z19,0)</f>
        <v>8.0680581137498736E-3</v>
      </c>
      <c r="AB117" s="616">
        <f t="shared" si="28"/>
        <v>0.13718133773117722</v>
      </c>
      <c r="AC117" s="616">
        <f t="shared" si="28"/>
        <v>4.1367089645896644E-3</v>
      </c>
      <c r="AD117" s="616">
        <f t="shared" si="28"/>
        <v>7.3751574231791767E-2</v>
      </c>
      <c r="AE117" s="616">
        <f t="shared" si="28"/>
        <v>-1.8450931339663256E-2</v>
      </c>
      <c r="AF117" s="616">
        <f t="shared" si="28"/>
        <v>1.8784334150597274E-2</v>
      </c>
      <c r="AG117" s="616">
        <f t="shared" si="28"/>
        <v>4.6595260775614086E-2</v>
      </c>
      <c r="AH117" s="616">
        <f t="shared" si="28"/>
        <v>3.8064093476730355E-3</v>
      </c>
      <c r="AI117" s="616">
        <f t="shared" si="28"/>
        <v>1.5845123945991288E-2</v>
      </c>
      <c r="AJ117" s="616">
        <f t="shared" si="28"/>
        <v>1.5781179058800703E-2</v>
      </c>
      <c r="AK117" s="616">
        <f t="shared" si="28"/>
        <v>2.5509723292174831E-2</v>
      </c>
      <c r="AL117" s="616">
        <f t="shared" si="28"/>
        <v>2.3541253034038201E-2</v>
      </c>
      <c r="AM117" s="616">
        <f t="shared" si="28"/>
        <v>0.14410985615825797</v>
      </c>
      <c r="AN117" s="616">
        <f t="shared" si="28"/>
        <v>0.20173161758687838</v>
      </c>
      <c r="AO117" s="616">
        <f t="shared" si="28"/>
        <v>-0.13152498547256741</v>
      </c>
      <c r="AP117" s="616">
        <f t="shared" si="28"/>
        <v>0.18060241026449855</v>
      </c>
      <c r="AQ117" s="616">
        <f t="shared" si="28"/>
        <v>-2.4161689026607749E-3</v>
      </c>
      <c r="AR117" s="616">
        <f t="shared" si="28"/>
        <v>9.1919472382302941E-2</v>
      </c>
      <c r="AS117" s="616">
        <f t="shared" si="28"/>
        <v>-1.687841005313866E-2</v>
      </c>
      <c r="AT117" s="616">
        <f t="shared" si="28"/>
        <v>4.7218004422487046E-2</v>
      </c>
      <c r="AU117" s="616">
        <f t="shared" si="28"/>
        <v>-1.9786144155185949E-3</v>
      </c>
      <c r="AV117" s="565"/>
      <c r="AW117" s="632" t="s">
        <v>3</v>
      </c>
      <c r="AX117" s="632"/>
      <c r="AY117" s="616">
        <f t="shared" ref="AY117:BS117" si="29">(AY19-$AX19)/$AX19</f>
        <v>3.687000263128578E-2</v>
      </c>
      <c r="AZ117" s="616">
        <f t="shared" si="29"/>
        <v>-1.3323368607393363E-2</v>
      </c>
      <c r="BA117" s="616">
        <f t="shared" si="29"/>
        <v>-6.0049888667254712E-2</v>
      </c>
      <c r="BB117" s="616">
        <f t="shared" si="29"/>
        <v>-3.4608519202459616E-2</v>
      </c>
      <c r="BC117" s="616">
        <f t="shared" si="29"/>
        <v>-1.2003987592293624E-3</v>
      </c>
      <c r="BD117" s="616">
        <f t="shared" si="29"/>
        <v>-3.7363801786685025E-2</v>
      </c>
      <c r="BE117" s="616">
        <f t="shared" si="29"/>
        <v>4.8445380580017072E-2</v>
      </c>
      <c r="BF117" s="616">
        <f t="shared" si="29"/>
        <v>0.36123085821673201</v>
      </c>
      <c r="BG117" s="616">
        <f t="shared" si="29"/>
        <v>0.41351667602417286</v>
      </c>
      <c r="BH117" s="616">
        <f t="shared" si="29"/>
        <v>0.69983885882066987</v>
      </c>
      <c r="BI117" s="616">
        <f t="shared" si="29"/>
        <v>0.94240410896331162</v>
      </c>
      <c r="BJ117" s="616">
        <f t="shared" si="29"/>
        <v>1.3070648472441067</v>
      </c>
      <c r="BK117" s="616">
        <f t="shared" si="29"/>
        <v>1.5018367030992461</v>
      </c>
      <c r="BL117" s="616">
        <f t="shared" si="29"/>
        <v>1.3904816201134533</v>
      </c>
      <c r="BM117" s="616">
        <f t="shared" si="29"/>
        <v>0.92793837393834566</v>
      </c>
      <c r="BN117" s="616">
        <f t="shared" si="29"/>
        <v>1.5100560520392829</v>
      </c>
      <c r="BO117" s="616">
        <f t="shared" si="29"/>
        <v>1.4554108297740467</v>
      </c>
      <c r="BP117" s="616">
        <f t="shared" si="29"/>
        <v>1.0953567562136546</v>
      </c>
      <c r="BQ117" s="616">
        <f t="shared" si="29"/>
        <v>0.85592260847033308</v>
      </c>
      <c r="BR117" s="616">
        <f t="shared" si="29"/>
        <v>0.81094982304010699</v>
      </c>
      <c r="BS117" s="616">
        <f t="shared" si="29"/>
        <v>0.91465699102354092</v>
      </c>
      <c r="BU117" s="632" t="s">
        <v>3</v>
      </c>
      <c r="BV117" s="632"/>
      <c r="BW117" s="616">
        <f t="shared" si="23"/>
        <v>3.687000263128578E-2</v>
      </c>
      <c r="BX117" s="616">
        <f t="shared" si="23"/>
        <v>-4.8408547948443313E-2</v>
      </c>
      <c r="BY117" s="616">
        <f t="shared" si="23"/>
        <v>-4.7357481238722562E-2</v>
      </c>
      <c r="BZ117" s="616">
        <f t="shared" si="23"/>
        <v>2.7066723178235542E-2</v>
      </c>
      <c r="CA117" s="616">
        <f t="shared" si="23"/>
        <v>3.4605775074408936E-2</v>
      </c>
      <c r="CB117" s="616">
        <f t="shared" si="23"/>
        <v>-3.620686570412248E-2</v>
      </c>
      <c r="CC117" s="616">
        <f t="shared" si="23"/>
        <v>8.9139783571370798E-2</v>
      </c>
      <c r="CD117" s="616">
        <f t="shared" si="23"/>
        <v>0.2983326393823939</v>
      </c>
      <c r="CE117" s="616">
        <f t="shared" si="23"/>
        <v>3.8410690950642576E-2</v>
      </c>
      <c r="CF117" s="616">
        <f t="shared" si="23"/>
        <v>0.20256017325656264</v>
      </c>
      <c r="CG117" s="616">
        <f t="shared" si="24"/>
        <v>0.14269896754268285</v>
      </c>
      <c r="CH117" s="616">
        <f t="shared" si="24"/>
        <v>0.1877368033758019</v>
      </c>
      <c r="CI117" s="616">
        <f t="shared" si="24"/>
        <v>8.4424092408067059E-2</v>
      </c>
      <c r="CJ117" s="616">
        <f t="shared" si="24"/>
        <v>-4.450933302235411E-2</v>
      </c>
      <c r="CK117" s="616">
        <f t="shared" si="24"/>
        <v>-0.19349374715257389</v>
      </c>
      <c r="CL117" s="616">
        <f t="shared" si="24"/>
        <v>0.30193790733663411</v>
      </c>
      <c r="CM117" s="616">
        <f t="shared" si="24"/>
        <v>-2.1770518718432566E-2</v>
      </c>
      <c r="CN117" s="616">
        <f t="shared" si="24"/>
        <v>-0.14663699825479928</v>
      </c>
      <c r="CO117" s="616">
        <f t="shared" si="24"/>
        <v>-0.11426891723010599</v>
      </c>
      <c r="CP117" s="616">
        <f t="shared" si="24"/>
        <v>-2.4232037060690319E-2</v>
      </c>
      <c r="CQ117" s="616">
        <f t="shared" si="25"/>
        <v>5.7266726368672687E-2</v>
      </c>
      <c r="CZ117" s="3"/>
      <c r="DA117" s="3"/>
      <c r="DC117" s="41"/>
      <c r="DD117" s="41"/>
      <c r="DE117" s="3"/>
      <c r="DF117" s="118"/>
      <c r="DG117" s="700"/>
      <c r="DH117" s="700"/>
      <c r="DI117" s="700"/>
      <c r="DJ117" s="700"/>
      <c r="DK117" s="43"/>
      <c r="DL117" s="43"/>
      <c r="DS117" s="3"/>
      <c r="DT117" s="3"/>
      <c r="DV117" s="41"/>
      <c r="DW117" s="41"/>
      <c r="DY117" s="118"/>
      <c r="DZ117" s="3"/>
      <c r="EA117" s="486"/>
      <c r="EB117" s="486"/>
      <c r="EC117" s="486"/>
      <c r="ED117" s="486"/>
      <c r="EE117" s="43"/>
      <c r="EF117" s="43"/>
      <c r="EL117" s="3"/>
      <c r="EM117" s="3"/>
      <c r="EO117" s="41"/>
      <c r="EP117" s="41"/>
      <c r="FC117" s="3"/>
      <c r="FE117" s="39"/>
      <c r="FF117" s="39"/>
      <c r="FH117" s="41"/>
      <c r="FI117" s="41"/>
      <c r="FM117" s="3"/>
      <c r="FN117" s="3"/>
      <c r="FO117" s="486"/>
      <c r="FP117" s="486"/>
      <c r="FQ117" s="486"/>
      <c r="FR117" s="486"/>
      <c r="FS117" s="43"/>
      <c r="FT117" s="43"/>
      <c r="FX117" s="3"/>
      <c r="FY117" s="3"/>
      <c r="GA117" s="41"/>
      <c r="GB117" s="41"/>
      <c r="GG117" s="3"/>
      <c r="GH117" s="3"/>
      <c r="GI117" s="486"/>
      <c r="GJ117" s="486"/>
      <c r="GK117" s="486"/>
      <c r="GL117" s="486"/>
      <c r="GM117" s="43"/>
      <c r="GN117" s="43"/>
      <c r="GO117" s="393"/>
      <c r="GS117" s="3"/>
      <c r="GT117" s="3"/>
      <c r="GV117" s="41"/>
      <c r="GW117" s="41"/>
      <c r="HA117" s="3"/>
      <c r="HB117" s="3"/>
      <c r="HC117" s="43"/>
      <c r="HD117" s="43"/>
      <c r="HE117" s="43"/>
      <c r="HF117" s="43"/>
      <c r="HG117" s="43"/>
    </row>
    <row r="118" spans="1:215">
      <c r="A118" s="631" t="s">
        <v>4</v>
      </c>
      <c r="B118" s="631"/>
      <c r="C118" s="618">
        <f t="shared" si="0"/>
        <v>-3.5280281475739035E-2</v>
      </c>
      <c r="D118" s="618">
        <f t="shared" si="1"/>
        <v>0.33403897069181027</v>
      </c>
      <c r="E118" s="618">
        <f t="shared" si="2"/>
        <v>0.35994485653971181</v>
      </c>
      <c r="F118" s="618">
        <f t="shared" si="3"/>
        <v>0.35046062705136038</v>
      </c>
      <c r="G118" s="618">
        <f t="shared" si="4"/>
        <v>0.5223941538428164</v>
      </c>
      <c r="H118" s="618">
        <f t="shared" si="5"/>
        <v>0.74846134825804689</v>
      </c>
      <c r="I118" s="618">
        <f t="shared" si="6"/>
        <v>0.7806514870884893</v>
      </c>
      <c r="J118" s="618">
        <f t="shared" si="7"/>
        <v>0.99537144542467282</v>
      </c>
      <c r="K118" s="618">
        <f t="shared" si="8"/>
        <v>0.87413840188006642</v>
      </c>
      <c r="L118" s="618">
        <f t="shared" si="9"/>
        <v>0.86752217540847543</v>
      </c>
      <c r="M118" s="618">
        <f t="shared" si="10"/>
        <v>1.0507716889407668</v>
      </c>
      <c r="N118" s="618">
        <f t="shared" si="11"/>
        <v>1.2460917113104231</v>
      </c>
      <c r="O118" s="618">
        <f t="shared" si="12"/>
        <v>1.5767045075122743</v>
      </c>
      <c r="P118" s="618">
        <f t="shared" si="13"/>
        <v>2.0604459970483209</v>
      </c>
      <c r="Q118" s="618">
        <f t="shared" si="14"/>
        <v>1.8908330011015853</v>
      </c>
      <c r="R118" s="618">
        <f t="shared" si="15"/>
        <v>2.5202561014240619</v>
      </c>
      <c r="S118" s="618">
        <f t="shared" si="16"/>
        <v>2.1956510735051582</v>
      </c>
      <c r="T118" s="618">
        <f t="shared" si="17"/>
        <v>2.6188897490143179</v>
      </c>
      <c r="U118" s="618">
        <f t="shared" si="18"/>
        <v>2.3110971602062444</v>
      </c>
      <c r="V118" s="618">
        <f t="shared" si="19"/>
        <v>2.5255124098242612</v>
      </c>
      <c r="W118" s="618">
        <f t="shared" si="20"/>
        <v>2.5233905539338122</v>
      </c>
      <c r="Y118" s="631" t="s">
        <v>4</v>
      </c>
      <c r="Z118" s="631"/>
      <c r="AA118" s="618">
        <f t="shared" ref="AA118:AU118" si="30">IFERROR((AA20-Z20)/Z20,0)</f>
        <v>-3.5280281475739035E-2</v>
      </c>
      <c r="AB118" s="618">
        <f t="shared" si="30"/>
        <v>0.38282544149973402</v>
      </c>
      <c r="AC118" s="618">
        <f t="shared" si="30"/>
        <v>1.9419137234399649E-2</v>
      </c>
      <c r="AD118" s="618">
        <f t="shared" si="30"/>
        <v>-6.9739809248467663E-3</v>
      </c>
      <c r="AE118" s="618">
        <f t="shared" si="30"/>
        <v>0.12731472754363918</v>
      </c>
      <c r="AF118" s="618">
        <f t="shared" si="30"/>
        <v>0.14849452347448472</v>
      </c>
      <c r="AG118" s="618">
        <f t="shared" si="30"/>
        <v>1.8410552147757078E-2</v>
      </c>
      <c r="AH118" s="618">
        <f t="shared" si="30"/>
        <v>0.12058505546600154</v>
      </c>
      <c r="AI118" s="618">
        <f t="shared" si="30"/>
        <v>-6.0757130619760132E-2</v>
      </c>
      <c r="AJ118" s="618">
        <f t="shared" si="30"/>
        <v>-3.5302763472291631E-3</v>
      </c>
      <c r="AK118" s="618">
        <f t="shared" si="30"/>
        <v>9.8124411021898589E-2</v>
      </c>
      <c r="AL118" s="618">
        <f t="shared" si="30"/>
        <v>9.5242207322717612E-2</v>
      </c>
      <c r="AM118" s="618">
        <f t="shared" si="30"/>
        <v>0.14719470025957393</v>
      </c>
      <c r="AN118" s="618">
        <f t="shared" si="30"/>
        <v>0.18773650145979826</v>
      </c>
      <c r="AO118" s="618">
        <f t="shared" si="30"/>
        <v>-5.5421005994002445E-2</v>
      </c>
      <c r="AP118" s="618">
        <f t="shared" si="30"/>
        <v>0.21773070256311169</v>
      </c>
      <c r="AQ118" s="618">
        <f t="shared" si="30"/>
        <v>-9.2210628592502161E-2</v>
      </c>
      <c r="AR118" s="618">
        <f t="shared" si="30"/>
        <v>0.13244208011888142</v>
      </c>
      <c r="AS118" s="618">
        <f t="shared" si="30"/>
        <v>-8.5051662292808833E-2</v>
      </c>
      <c r="AT118" s="618">
        <f t="shared" si="30"/>
        <v>6.4756556284401259E-2</v>
      </c>
      <c r="AU118" s="618">
        <f t="shared" si="30"/>
        <v>-6.0185744476071298E-4</v>
      </c>
      <c r="AV118" s="565"/>
      <c r="AW118" s="631" t="s">
        <v>4</v>
      </c>
      <c r="AX118" s="631"/>
      <c r="AY118" s="618">
        <f t="shared" ref="AY118:BS118" si="31">(AY20-$AX20)/$AX20</f>
        <v>1.7726296465154324E-2</v>
      </c>
      <c r="AZ118" s="618">
        <f t="shared" si="31"/>
        <v>-1.3483786379165493E-2</v>
      </c>
      <c r="BA118" s="618">
        <f t="shared" si="31"/>
        <v>5.6735073570977164E-3</v>
      </c>
      <c r="BB118" s="618">
        <f t="shared" si="31"/>
        <v>8.0368501641088344E-2</v>
      </c>
      <c r="BC118" s="618">
        <f t="shared" si="31"/>
        <v>7.4631167418458585E-2</v>
      </c>
      <c r="BD118" s="618">
        <f t="shared" si="31"/>
        <v>5.4627479901679044E-2</v>
      </c>
      <c r="BE118" s="618">
        <f t="shared" si="31"/>
        <v>7.1068563662249173E-2</v>
      </c>
      <c r="BF118" s="618">
        <f t="shared" si="31"/>
        <v>8.4913891549922849E-2</v>
      </c>
      <c r="BG118" s="618">
        <f t="shared" si="31"/>
        <v>0.12708717407939038</v>
      </c>
      <c r="BH118" s="618">
        <f t="shared" si="31"/>
        <v>0.19455628200823769</v>
      </c>
      <c r="BI118" s="618">
        <f t="shared" si="31"/>
        <v>0.26251795835534725</v>
      </c>
      <c r="BJ118" s="618">
        <f t="shared" si="31"/>
        <v>0.23489745415557639</v>
      </c>
      <c r="BK118" s="618">
        <f t="shared" si="31"/>
        <v>0.17112234583411226</v>
      </c>
      <c r="BL118" s="618">
        <f t="shared" si="31"/>
        <v>0.27848677601689759</v>
      </c>
      <c r="BM118" s="618">
        <f t="shared" si="31"/>
        <v>1.4797471768839778</v>
      </c>
      <c r="BN118" s="618">
        <f t="shared" si="31"/>
        <v>1.4798819142902915</v>
      </c>
      <c r="BO118" s="618">
        <f t="shared" si="31"/>
        <v>1.5740885441907859</v>
      </c>
      <c r="BP118" s="618">
        <f t="shared" si="31"/>
        <v>1.7024908679356376</v>
      </c>
      <c r="BQ118" s="618">
        <f t="shared" si="31"/>
        <v>1.7850479300757767</v>
      </c>
      <c r="BR118" s="618">
        <f t="shared" si="31"/>
        <v>1.7591804668413955</v>
      </c>
      <c r="BS118" s="618">
        <f t="shared" si="31"/>
        <v>1.7828724195617844</v>
      </c>
      <c r="BU118" s="631" t="s">
        <v>4</v>
      </c>
      <c r="BV118" s="631"/>
      <c r="BW118" s="618">
        <f t="shared" si="23"/>
        <v>1.7726296465154324E-2</v>
      </c>
      <c r="BX118" s="618">
        <f t="shared" si="23"/>
        <v>-3.0666479733029491E-2</v>
      </c>
      <c r="BY118" s="618">
        <f t="shared" si="23"/>
        <v>1.9419137234399551E-2</v>
      </c>
      <c r="BZ118" s="618">
        <f t="shared" si="23"/>
        <v>7.4273602454029544E-2</v>
      </c>
      <c r="CA118" s="618">
        <f t="shared" si="23"/>
        <v>-5.3105345203184875E-3</v>
      </c>
      <c r="CB118" s="618">
        <f t="shared" si="23"/>
        <v>-1.8614468036352937E-2</v>
      </c>
      <c r="CC118" s="618">
        <f t="shared" si="23"/>
        <v>1.5589470285851934E-2</v>
      </c>
      <c r="CD118" s="618">
        <f t="shared" si="23"/>
        <v>1.2926649476419189E-2</v>
      </c>
      <c r="CE118" s="618">
        <f t="shared" si="23"/>
        <v>3.8872469841102514E-2</v>
      </c>
      <c r="CF118" s="618">
        <f t="shared" si="23"/>
        <v>5.9861481419089313E-2</v>
      </c>
      <c r="CG118" s="618">
        <f t="shared" si="24"/>
        <v>5.6892820682216183E-2</v>
      </c>
      <c r="CH118" s="618">
        <f t="shared" si="24"/>
        <v>-2.1877315896362708E-2</v>
      </c>
      <c r="CI118" s="618">
        <f t="shared" si="24"/>
        <v>-5.1644051987355971E-2</v>
      </c>
      <c r="CJ118" s="618">
        <f t="shared" si="24"/>
        <v>9.1676527704128832E-2</v>
      </c>
      <c r="CK118" s="618">
        <f t="shared" si="24"/>
        <v>0.93959548381844449</v>
      </c>
      <c r="CL118" s="618">
        <f t="shared" si="24"/>
        <v>5.4335138505093835E-5</v>
      </c>
      <c r="CM118" s="618">
        <f t="shared" si="24"/>
        <v>3.7988353137957863E-2</v>
      </c>
      <c r="CN118" s="618">
        <f t="shared" si="24"/>
        <v>4.9882636723834001E-2</v>
      </c>
      <c r="CO118" s="618">
        <f t="shared" si="24"/>
        <v>3.0548507349148671E-2</v>
      </c>
      <c r="CP118" s="618">
        <f t="shared" si="24"/>
        <v>-9.2879777597498388E-3</v>
      </c>
      <c r="CQ118" s="618">
        <f t="shared" si="25"/>
        <v>8.586590476813042E-3</v>
      </c>
      <c r="CZ118" s="3"/>
      <c r="DA118" s="3"/>
      <c r="DC118" s="41"/>
      <c r="DD118" s="41"/>
      <c r="DE118" s="3"/>
      <c r="DF118" s="118"/>
      <c r="DG118" s="700"/>
      <c r="DH118" s="700"/>
      <c r="DI118" s="700"/>
      <c r="DJ118" s="700"/>
      <c r="DK118" s="43"/>
      <c r="DL118" s="43"/>
      <c r="DS118" s="3"/>
      <c r="DT118" s="3"/>
      <c r="DV118" s="41"/>
      <c r="DW118" s="41"/>
      <c r="DY118" s="118"/>
      <c r="DZ118" s="3"/>
      <c r="EA118" s="486"/>
      <c r="EB118" s="486"/>
      <c r="EC118" s="486"/>
      <c r="ED118" s="486"/>
      <c r="EE118" s="43"/>
      <c r="EF118" s="43"/>
      <c r="EL118" s="3"/>
      <c r="EM118" s="3"/>
      <c r="EO118" s="41"/>
      <c r="EP118" s="41"/>
      <c r="FC118" s="3"/>
      <c r="FE118" s="39"/>
      <c r="FF118" s="39"/>
      <c r="FH118" s="41"/>
      <c r="FI118" s="41"/>
      <c r="FM118" s="3"/>
      <c r="FN118" s="3"/>
      <c r="FO118" s="486"/>
      <c r="FP118" s="486"/>
      <c r="FQ118" s="486"/>
      <c r="FR118" s="486"/>
      <c r="FS118" s="43"/>
      <c r="FT118" s="43"/>
      <c r="FX118" s="3"/>
      <c r="FY118" s="3"/>
      <c r="GA118" s="41"/>
      <c r="GB118" s="41"/>
      <c r="GG118" s="3"/>
      <c r="GH118" s="3"/>
      <c r="GI118" s="486"/>
      <c r="GJ118" s="486"/>
      <c r="GK118" s="486"/>
      <c r="GL118" s="486"/>
      <c r="GM118" s="43"/>
      <c r="GN118" s="43"/>
      <c r="GO118" s="393"/>
      <c r="GS118" s="3"/>
      <c r="GT118" s="3"/>
      <c r="GV118" s="41"/>
      <c r="GW118" s="41"/>
      <c r="HA118" s="3"/>
      <c r="HB118" s="3"/>
      <c r="HC118" s="43"/>
      <c r="HD118" s="43"/>
      <c r="HE118" s="43"/>
      <c r="HF118" s="43"/>
      <c r="HG118" s="43"/>
    </row>
    <row r="119" spans="1:215">
      <c r="A119" s="632" t="s">
        <v>5</v>
      </c>
      <c r="B119" s="632"/>
      <c r="C119" s="616">
        <f t="shared" si="0"/>
        <v>4.335803034687128E-2</v>
      </c>
      <c r="D119" s="616">
        <f t="shared" si="1"/>
        <v>0.1510928187787165</v>
      </c>
      <c r="E119" s="616">
        <f t="shared" si="2"/>
        <v>0.25856562056123911</v>
      </c>
      <c r="F119" s="616">
        <f t="shared" si="3"/>
        <v>0.35623850007829178</v>
      </c>
      <c r="G119" s="616">
        <f t="shared" si="4"/>
        <v>0.3725262658085125</v>
      </c>
      <c r="H119" s="616">
        <f t="shared" si="5"/>
        <v>0.38470585790999501</v>
      </c>
      <c r="I119" s="616">
        <f t="shared" si="6"/>
        <v>0.46281487172028929</v>
      </c>
      <c r="J119" s="616">
        <f t="shared" si="7"/>
        <v>-0.37731296965667593</v>
      </c>
      <c r="K119" s="616">
        <f t="shared" si="8"/>
        <v>0.80664371791993728</v>
      </c>
      <c r="L119" s="616">
        <f t="shared" si="9"/>
        <v>0.80020806908745012</v>
      </c>
      <c r="M119" s="616">
        <f t="shared" si="10"/>
        <v>0.82838303562967741</v>
      </c>
      <c r="N119" s="616">
        <f t="shared" si="11"/>
        <v>1.0047299485198766</v>
      </c>
      <c r="O119" s="616">
        <f t="shared" si="12"/>
        <v>0.97478137796869624</v>
      </c>
      <c r="P119" s="616">
        <f t="shared" si="13"/>
        <v>0.98679121082932186</v>
      </c>
      <c r="Q119" s="616">
        <f t="shared" si="14"/>
        <v>1.0197295709955947</v>
      </c>
      <c r="R119" s="616">
        <f t="shared" si="15"/>
        <v>-1</v>
      </c>
      <c r="S119" s="616">
        <f t="shared" si="16"/>
        <v>1.2907362635636364</v>
      </c>
      <c r="T119" s="616">
        <f t="shared" si="17"/>
        <v>1.5303755023733354</v>
      </c>
      <c r="U119" s="616">
        <f t="shared" si="18"/>
        <v>1.6045121499475772</v>
      </c>
      <c r="V119" s="616">
        <f t="shared" si="19"/>
        <v>1.5019978382300849</v>
      </c>
      <c r="W119" s="616">
        <f t="shared" si="20"/>
        <v>1.483045612534414</v>
      </c>
      <c r="Y119" s="632" t="s">
        <v>5</v>
      </c>
      <c r="Z119" s="632"/>
      <c r="AA119" s="616">
        <f t="shared" ref="AA119:AU119" si="32">IFERROR((AA21-Z21)/Z21,0)</f>
        <v>4.335803034687128E-2</v>
      </c>
      <c r="AB119" s="616">
        <f t="shared" si="32"/>
        <v>0.10325773636498306</v>
      </c>
      <c r="AC119" s="616">
        <f t="shared" si="32"/>
        <v>9.3365886772318538E-2</v>
      </c>
      <c r="AD119" s="616">
        <f t="shared" si="32"/>
        <v>7.760650531157591E-2</v>
      </c>
      <c r="AE119" s="616">
        <f t="shared" si="32"/>
        <v>1.2009514351111909E-2</v>
      </c>
      <c r="AF119" s="616">
        <f t="shared" si="32"/>
        <v>8.8738499254204708E-3</v>
      </c>
      <c r="AG119" s="616">
        <f t="shared" si="32"/>
        <v>5.6408379703244749E-2</v>
      </c>
      <c r="AH119" s="616">
        <f t="shared" si="32"/>
        <v>-0.57432273735976169</v>
      </c>
      <c r="AI119" s="616">
        <f t="shared" si="32"/>
        <v>1.9013671875</v>
      </c>
      <c r="AJ119" s="616">
        <f t="shared" si="32"/>
        <v>-3.5622124985975542E-3</v>
      </c>
      <c r="AK119" s="616">
        <f t="shared" si="32"/>
        <v>1.5650950035186489E-2</v>
      </c>
      <c r="AL119" s="616">
        <f t="shared" si="32"/>
        <v>9.6449654943044819E-2</v>
      </c>
      <c r="AM119" s="616">
        <f t="shared" si="32"/>
        <v>-1.4938955031470387E-2</v>
      </c>
      <c r="AN119" s="616">
        <f t="shared" si="32"/>
        <v>6.0816012317167056E-3</v>
      </c>
      <c r="AO119" s="616">
        <f t="shared" si="32"/>
        <v>1.657867217588696E-2</v>
      </c>
      <c r="AP119" s="616">
        <f t="shared" si="32"/>
        <v>-1</v>
      </c>
      <c r="AQ119" s="616">
        <f t="shared" si="32"/>
        <v>0</v>
      </c>
      <c r="AR119" s="616">
        <f t="shared" si="32"/>
        <v>0.10461232164583564</v>
      </c>
      <c r="AS119" s="616">
        <f t="shared" si="32"/>
        <v>2.9298674250010013E-2</v>
      </c>
      <c r="AT119" s="616">
        <f t="shared" si="32"/>
        <v>-3.9360273945950153E-2</v>
      </c>
      <c r="AU119" s="616">
        <f t="shared" si="32"/>
        <v>-7.5748369587232143E-3</v>
      </c>
      <c r="AV119" s="565"/>
      <c r="AW119" s="632" t="s">
        <v>5</v>
      </c>
      <c r="AX119" s="632"/>
      <c r="AY119" s="616">
        <f t="shared" ref="AY119:BS119" si="33">(AY21-$AX21)/$AX21</f>
        <v>-2.3955390965829933E-2</v>
      </c>
      <c r="AZ119" s="616">
        <f t="shared" si="33"/>
        <v>2.1130726335958337E-2</v>
      </c>
      <c r="BA119" s="616">
        <f t="shared" si="33"/>
        <v>0.11646950211077686</v>
      </c>
      <c r="BB119" s="616">
        <f t="shared" si="33"/>
        <v>0.2249896129739411</v>
      </c>
      <c r="BC119" s="616">
        <f t="shared" si="33"/>
        <v>0.2618386637271809</v>
      </c>
      <c r="BD119" s="616">
        <f t="shared" si="33"/>
        <v>0.27303603065918924</v>
      </c>
      <c r="BE119" s="616">
        <f t="shared" si="33"/>
        <v>0.27406456569186505</v>
      </c>
      <c r="BF119" s="616">
        <f t="shared" si="33"/>
        <v>0.33704732006554394</v>
      </c>
      <c r="BG119" s="616">
        <f t="shared" si="33"/>
        <v>0.37750755935365821</v>
      </c>
      <c r="BH119" s="616">
        <f t="shared" si="33"/>
        <v>0.5191188055265763</v>
      </c>
      <c r="BI119" s="616">
        <f t="shared" si="33"/>
        <v>0.54784219985221716</v>
      </c>
      <c r="BJ119" s="616">
        <f t="shared" si="33"/>
        <v>0.55027130174835026</v>
      </c>
      <c r="BK119" s="616">
        <f t="shared" si="33"/>
        <v>0.41561879499120502</v>
      </c>
      <c r="BL119" s="616">
        <f t="shared" si="33"/>
        <v>0.42503279083227524</v>
      </c>
      <c r="BM119" s="616">
        <f t="shared" si="33"/>
        <v>0.48839132040372202</v>
      </c>
      <c r="BN119" s="616">
        <f t="shared" si="33"/>
        <v>-1</v>
      </c>
      <c r="BO119" s="616">
        <f t="shared" si="33"/>
        <v>0.46823925568263958</v>
      </c>
      <c r="BP119" s="616">
        <f t="shared" si="33"/>
        <v>0.97649695161606631</v>
      </c>
      <c r="BQ119" s="616">
        <f t="shared" si="33"/>
        <v>1.0726434528110913</v>
      </c>
      <c r="BR119" s="616">
        <f t="shared" si="33"/>
        <v>1.1010946765676164</v>
      </c>
      <c r="BS119" s="616">
        <f t="shared" si="33"/>
        <v>1.0474092361417735</v>
      </c>
      <c r="BU119" s="632" t="s">
        <v>5</v>
      </c>
      <c r="BV119" s="632"/>
      <c r="BW119" s="616">
        <f t="shared" si="23"/>
        <v>-2.3955390965829933E-2</v>
      </c>
      <c r="BX119" s="616">
        <f t="shared" si="23"/>
        <v>4.6192681035759776E-2</v>
      </c>
      <c r="BY119" s="616">
        <f t="shared" si="23"/>
        <v>9.3365886772318593E-2</v>
      </c>
      <c r="BZ119" s="616">
        <f t="shared" si="23"/>
        <v>9.7199350862695391E-2</v>
      </c>
      <c r="CA119" s="616">
        <f t="shared" si="23"/>
        <v>3.0081112821667391E-2</v>
      </c>
      <c r="CB119" s="616">
        <f t="shared" si="23"/>
        <v>8.873849925420646E-3</v>
      </c>
      <c r="CC119" s="616">
        <f t="shared" si="23"/>
        <v>8.0793866623182916E-4</v>
      </c>
      <c r="CD119" s="616">
        <f t="shared" si="23"/>
        <v>4.9434507535712574E-2</v>
      </c>
      <c r="CE119" s="616">
        <f t="shared" si="23"/>
        <v>3.0260888063506113E-2</v>
      </c>
      <c r="CF119" s="616">
        <f t="shared" si="23"/>
        <v>0.10280251836829386</v>
      </c>
      <c r="CG119" s="616">
        <f t="shared" si="24"/>
        <v>1.8907931506834574E-2</v>
      </c>
      <c r="CH119" s="616">
        <f t="shared" si="24"/>
        <v>1.5693472476490155E-3</v>
      </c>
      <c r="CI119" s="616">
        <f t="shared" si="24"/>
        <v>-8.6857382062925426E-2</v>
      </c>
      <c r="CJ119" s="616">
        <f t="shared" si="24"/>
        <v>6.6500924361693895E-3</v>
      </c>
      <c r="CK119" s="616">
        <f t="shared" si="24"/>
        <v>4.4461102915704057E-2</v>
      </c>
      <c r="CL119" s="616">
        <f t="shared" si="24"/>
        <v>-1</v>
      </c>
      <c r="CM119" s="616" t="e">
        <f t="shared" si="24"/>
        <v>#DIV/0!</v>
      </c>
      <c r="CN119" s="616">
        <f t="shared" si="24"/>
        <v>0.34616816977633441</v>
      </c>
      <c r="CO119" s="616">
        <f t="shared" si="24"/>
        <v>4.8644902344226519E-2</v>
      </c>
      <c r="CP119" s="616">
        <f t="shared" si="24"/>
        <v>1.3727022714850974E-2</v>
      </c>
      <c r="CQ119" s="616">
        <f t="shared" si="25"/>
        <v>-2.5551176262815656E-2</v>
      </c>
      <c r="CZ119" s="3"/>
      <c r="DA119" s="3"/>
      <c r="DC119" s="41"/>
      <c r="DD119" s="41"/>
      <c r="DE119" s="3"/>
      <c r="DF119" s="118"/>
      <c r="DG119" s="700"/>
      <c r="DH119" s="700"/>
      <c r="DI119" s="700"/>
      <c r="DJ119" s="700"/>
      <c r="DK119" s="43"/>
      <c r="DL119" s="43"/>
      <c r="DS119" s="3"/>
      <c r="DT119" s="3"/>
      <c r="DV119" s="41"/>
      <c r="DW119" s="41"/>
      <c r="DY119" s="118"/>
      <c r="DZ119" s="3"/>
      <c r="EA119" s="486"/>
      <c r="EB119" s="486"/>
      <c r="EC119" s="486"/>
      <c r="ED119" s="486"/>
      <c r="EE119" s="43"/>
      <c r="EF119" s="43"/>
      <c r="EL119" s="3"/>
      <c r="EM119" s="3"/>
      <c r="EO119" s="41"/>
      <c r="EP119" s="41"/>
      <c r="FC119" s="3"/>
      <c r="FE119" s="39"/>
      <c r="FF119" s="39"/>
      <c r="FH119" s="41"/>
      <c r="FI119" s="41"/>
      <c r="FM119" s="3"/>
      <c r="FN119" s="3"/>
      <c r="FO119" s="486"/>
      <c r="FP119" s="486"/>
      <c r="FQ119" s="486"/>
      <c r="FR119" s="486"/>
      <c r="FS119" s="43"/>
      <c r="FT119" s="43"/>
      <c r="FX119" s="3"/>
      <c r="FY119" s="3"/>
      <c r="GA119" s="41"/>
      <c r="GB119" s="41"/>
      <c r="GG119" s="3"/>
      <c r="GH119" s="3"/>
      <c r="GI119" s="486"/>
      <c r="GJ119" s="486"/>
      <c r="GK119" s="486"/>
      <c r="GL119" s="486"/>
      <c r="GM119" s="43"/>
      <c r="GN119" s="43"/>
      <c r="GO119" s="393"/>
      <c r="GS119" s="3"/>
      <c r="GT119" s="3"/>
      <c r="GV119" s="41"/>
      <c r="GW119" s="41"/>
      <c r="HA119" s="3"/>
      <c r="HB119" s="3"/>
      <c r="HC119" s="43"/>
      <c r="HD119" s="43"/>
      <c r="HE119" s="43"/>
      <c r="HF119" s="43"/>
      <c r="HG119" s="43"/>
    </row>
    <row r="120" spans="1:215">
      <c r="A120" s="631" t="s">
        <v>6</v>
      </c>
      <c r="B120" s="631"/>
      <c r="C120" s="618">
        <f t="shared" si="0"/>
        <v>4.1879811351358057E-2</v>
      </c>
      <c r="D120" s="618">
        <f t="shared" si="1"/>
        <v>9.3143707345069743E-2</v>
      </c>
      <c r="E120" s="618">
        <f t="shared" si="2"/>
        <v>0.13164855456711871</v>
      </c>
      <c r="F120" s="618">
        <f t="shared" si="3"/>
        <v>0.18981365955907117</v>
      </c>
      <c r="G120" s="618">
        <f t="shared" si="4"/>
        <v>0.60923327178130726</v>
      </c>
      <c r="H120" s="618">
        <f t="shared" si="5"/>
        <v>0.63788732548129112</v>
      </c>
      <c r="I120" s="618">
        <f t="shared" si="6"/>
        <v>0.63589650213976456</v>
      </c>
      <c r="J120" s="618">
        <f t="shared" si="7"/>
        <v>0.67065169247276957</v>
      </c>
      <c r="K120" s="618">
        <f t="shared" si="8"/>
        <v>0.70952889306167255</v>
      </c>
      <c r="L120" s="618">
        <f t="shared" si="9"/>
        <v>0.92099909231556243</v>
      </c>
      <c r="M120" s="618">
        <f t="shared" si="10"/>
        <v>1.0311813778088312</v>
      </c>
      <c r="N120" s="618">
        <f t="shared" si="11"/>
        <v>1.040218647456612</v>
      </c>
      <c r="O120" s="618">
        <f t="shared" si="12"/>
        <v>1.1062600983792685</v>
      </c>
      <c r="P120" s="618">
        <f t="shared" si="13"/>
        <v>1.1223180810116158</v>
      </c>
      <c r="Q120" s="618">
        <f t="shared" si="14"/>
        <v>0.71467984628629166</v>
      </c>
      <c r="R120" s="618">
        <f t="shared" si="15"/>
        <v>-0.14850017623426359</v>
      </c>
      <c r="S120" s="618">
        <f t="shared" si="16"/>
        <v>1.0379437828294804</v>
      </c>
      <c r="T120" s="618">
        <f t="shared" si="17"/>
        <v>1.1818877964790577</v>
      </c>
      <c r="U120" s="618">
        <f t="shared" si="18"/>
        <v>1.1251855918352069</v>
      </c>
      <c r="V120" s="618">
        <f t="shared" si="19"/>
        <v>1.3341633629240539</v>
      </c>
      <c r="W120" s="618">
        <f t="shared" si="20"/>
        <v>1.3004029994135922</v>
      </c>
      <c r="Y120" s="631" t="s">
        <v>6</v>
      </c>
      <c r="Z120" s="631"/>
      <c r="AA120" s="618">
        <f t="shared" ref="AA120:AU120" si="34">IFERROR((AA22-Z22)/Z22,0)</f>
        <v>4.1879811351358057E-2</v>
      </c>
      <c r="AB120" s="618">
        <f t="shared" si="34"/>
        <v>4.9203272234654823E-2</v>
      </c>
      <c r="AC120" s="618">
        <f t="shared" si="34"/>
        <v>3.5223957255872726E-2</v>
      </c>
      <c r="AD120" s="618">
        <f t="shared" si="34"/>
        <v>5.1398558993610816E-2</v>
      </c>
      <c r="AE120" s="618">
        <f t="shared" si="34"/>
        <v>0.35250865448768448</v>
      </c>
      <c r="AF120" s="618">
        <f t="shared" si="34"/>
        <v>1.7806028623970661E-2</v>
      </c>
      <c r="AG120" s="618">
        <f t="shared" si="34"/>
        <v>-1.2154824758422249E-3</v>
      </c>
      <c r="AH120" s="618">
        <f t="shared" si="34"/>
        <v>2.1245347910179523E-2</v>
      </c>
      <c r="AI120" s="618">
        <f t="shared" si="34"/>
        <v>2.3270679797630273E-2</v>
      </c>
      <c r="AJ120" s="618">
        <f t="shared" si="34"/>
        <v>0.12370086291736107</v>
      </c>
      <c r="AK120" s="618">
        <f t="shared" si="34"/>
        <v>5.7356760830352897E-2</v>
      </c>
      <c r="AL120" s="618">
        <f t="shared" si="34"/>
        <v>4.4492676757060257E-3</v>
      </c>
      <c r="AM120" s="618">
        <f t="shared" si="34"/>
        <v>3.2369790857948187E-2</v>
      </c>
      <c r="AN120" s="618">
        <f t="shared" si="34"/>
        <v>7.6239314625499207E-3</v>
      </c>
      <c r="AO120" s="618">
        <f t="shared" si="34"/>
        <v>-0.19207216786798556</v>
      </c>
      <c r="AP120" s="618">
        <f t="shared" si="34"/>
        <v>-0.5034059415756581</v>
      </c>
      <c r="AQ120" s="618">
        <f t="shared" si="34"/>
        <v>1.3933578445345127</v>
      </c>
      <c r="AR120" s="618">
        <f t="shared" si="34"/>
        <v>7.063198448473669E-2</v>
      </c>
      <c r="AS120" s="618">
        <f t="shared" si="34"/>
        <v>-2.5987681280106111E-2</v>
      </c>
      <c r="AT120" s="618">
        <f t="shared" si="34"/>
        <v>9.8333892292382763E-2</v>
      </c>
      <c r="AU120" s="618">
        <f t="shared" si="34"/>
        <v>-1.4463582132558824E-2</v>
      </c>
      <c r="AV120" s="565"/>
      <c r="AW120" s="631" t="s">
        <v>6</v>
      </c>
      <c r="AX120" s="631"/>
      <c r="AY120" s="618">
        <f t="shared" ref="AY120:BS120" si="35">(AY22-$AX22)/$AX22</f>
        <v>6.0484807982632359E-2</v>
      </c>
      <c r="AZ120" s="618">
        <f t="shared" si="35"/>
        <v>5.4102860654174335E-2</v>
      </c>
      <c r="BA120" s="618">
        <f t="shared" si="35"/>
        <v>0.11144054466413446</v>
      </c>
      <c r="BB120" s="618">
        <f t="shared" si="35"/>
        <v>0.21106033205119742</v>
      </c>
      <c r="BC120" s="618">
        <f t="shared" si="35"/>
        <v>0.21214973718591967</v>
      </c>
      <c r="BD120" s="618">
        <f t="shared" si="35"/>
        <v>0.25500457407008015</v>
      </c>
      <c r="BE120" s="618">
        <f t="shared" si="35"/>
        <v>0.23860735162010743</v>
      </c>
      <c r="BF120" s="618">
        <f t="shared" si="35"/>
        <v>0.34208950450321984</v>
      </c>
      <c r="BG120" s="618">
        <f t="shared" si="35"/>
        <v>0.44378773106517683</v>
      </c>
      <c r="BH120" s="618">
        <f t="shared" si="35"/>
        <v>0.41855760164550665</v>
      </c>
      <c r="BI120" s="618">
        <f t="shared" si="35"/>
        <v>0.48020681458462194</v>
      </c>
      <c r="BJ120" s="618">
        <f t="shared" si="35"/>
        <v>0.43907541400569999</v>
      </c>
      <c r="BK120" s="618">
        <f t="shared" si="35"/>
        <v>0.37252823647207067</v>
      </c>
      <c r="BL120" s="618">
        <f t="shared" si="35"/>
        <v>0.40624108802712083</v>
      </c>
      <c r="BM120" s="618">
        <f t="shared" si="35"/>
        <v>0.41222492081712081</v>
      </c>
      <c r="BN120" s="618">
        <f t="shared" si="35"/>
        <v>0.42360250239286462</v>
      </c>
      <c r="BO120" s="618">
        <f t="shared" si="35"/>
        <v>0.45411773807889944</v>
      </c>
      <c r="BP120" s="618">
        <f t="shared" si="35"/>
        <v>0.54533712768005294</v>
      </c>
      <c r="BQ120" s="618">
        <f t="shared" si="35"/>
        <v>0.47646492782193151</v>
      </c>
      <c r="BR120" s="618">
        <f t="shared" si="35"/>
        <v>0.52700324997370962</v>
      </c>
      <c r="BS120" s="618">
        <f t="shared" si="35"/>
        <v>0.4760455080983097</v>
      </c>
      <c r="BU120" s="631" t="s">
        <v>6</v>
      </c>
      <c r="BV120" s="631"/>
      <c r="BW120" s="618">
        <f t="shared" si="23"/>
        <v>6.0484807982632359E-2</v>
      </c>
      <c r="BX120" s="618">
        <f t="shared" si="23"/>
        <v>-6.0179526198007897E-3</v>
      </c>
      <c r="BY120" s="618">
        <f t="shared" si="23"/>
        <v>5.4394771279129679E-2</v>
      </c>
      <c r="BZ120" s="618">
        <f t="shared" si="23"/>
        <v>8.9631233866105733E-2</v>
      </c>
      <c r="CA120" s="618">
        <f t="shared" si="23"/>
        <v>8.9954654272021359E-4</v>
      </c>
      <c r="CB120" s="618">
        <f t="shared" si="23"/>
        <v>3.5354408427832204E-2</v>
      </c>
      <c r="CC120" s="618">
        <f t="shared" si="23"/>
        <v>-1.306546827697623E-2</v>
      </c>
      <c r="CD120" s="618">
        <f t="shared" si="23"/>
        <v>8.3547181233630641E-2</v>
      </c>
      <c r="CE120" s="618">
        <f t="shared" si="23"/>
        <v>7.5776038945778834E-2</v>
      </c>
      <c r="CF120" s="618">
        <f t="shared" si="23"/>
        <v>-1.7474957624869308E-2</v>
      </c>
      <c r="CG120" s="618">
        <f t="shared" si="24"/>
        <v>4.345908327416742E-2</v>
      </c>
      <c r="CH120" s="618">
        <f t="shared" si="24"/>
        <v>-2.7787603849442021E-2</v>
      </c>
      <c r="CI120" s="618">
        <f t="shared" si="24"/>
        <v>-4.624300914737587E-2</v>
      </c>
      <c r="CJ120" s="618">
        <f t="shared" si="24"/>
        <v>2.4562592345426161E-2</v>
      </c>
      <c r="CK120" s="618">
        <f t="shared" si="24"/>
        <v>4.2551969508976429E-3</v>
      </c>
      <c r="CL120" s="618">
        <f t="shared" si="24"/>
        <v>8.0564939819647418E-3</v>
      </c>
      <c r="CM120" s="618">
        <f t="shared" si="24"/>
        <v>2.1435222005260074E-2</v>
      </c>
      <c r="CN120" s="618">
        <f t="shared" si="24"/>
        <v>6.2731776947902149E-2</v>
      </c>
      <c r="CO120" s="618">
        <f t="shared" si="24"/>
        <v>-4.4567750702732591E-2</v>
      </c>
      <c r="CP120" s="618">
        <f t="shared" si="24"/>
        <v>3.4229273719580892E-2</v>
      </c>
      <c r="CQ120" s="618">
        <f t="shared" si="25"/>
        <v>-3.3371076241178473E-2</v>
      </c>
      <c r="CZ120" s="3"/>
      <c r="DA120" s="3"/>
      <c r="DC120" s="41"/>
      <c r="DD120" s="41"/>
      <c r="DE120" s="3"/>
      <c r="DF120" s="118"/>
      <c r="DG120" s="700"/>
      <c r="DH120" s="700"/>
      <c r="DI120" s="700"/>
      <c r="DJ120" s="700"/>
      <c r="DK120" s="43"/>
      <c r="DL120" s="43"/>
      <c r="DS120" s="3"/>
      <c r="DT120" s="3"/>
      <c r="DV120" s="41"/>
      <c r="DW120" s="41"/>
      <c r="DY120" s="118"/>
      <c r="DZ120" s="3"/>
      <c r="EA120" s="486"/>
      <c r="EB120" s="486"/>
      <c r="EC120" s="486"/>
      <c r="ED120" s="486"/>
      <c r="EE120" s="43"/>
      <c r="EF120" s="43"/>
      <c r="EL120" s="3"/>
      <c r="EM120" s="3"/>
      <c r="EO120" s="41"/>
      <c r="EP120" s="41"/>
      <c r="FC120" s="3"/>
      <c r="FE120" s="39"/>
      <c r="FF120" s="39"/>
      <c r="FH120" s="41"/>
      <c r="FI120" s="41"/>
      <c r="FM120" s="3"/>
      <c r="FN120" s="3"/>
      <c r="FO120" s="486"/>
      <c r="FP120" s="486"/>
      <c r="FQ120" s="486"/>
      <c r="FR120" s="486"/>
      <c r="FS120" s="43"/>
      <c r="FT120" s="43"/>
      <c r="FX120" s="3"/>
      <c r="FY120" s="3"/>
      <c r="GA120" s="41"/>
      <c r="GB120" s="41"/>
      <c r="GG120" s="3"/>
      <c r="GH120" s="3"/>
      <c r="GI120" s="486"/>
      <c r="GJ120" s="486"/>
      <c r="GK120" s="486"/>
      <c r="GL120" s="486"/>
      <c r="GM120" s="43"/>
      <c r="GN120" s="43"/>
      <c r="GO120" s="393"/>
      <c r="GS120" s="3"/>
      <c r="GT120" s="3"/>
      <c r="GV120" s="41"/>
      <c r="GW120" s="41"/>
      <c r="HA120" s="3"/>
      <c r="HB120" s="3"/>
      <c r="HC120" s="43"/>
      <c r="HD120" s="43"/>
      <c r="HE120" s="43"/>
      <c r="HF120" s="43"/>
      <c r="HG120" s="43"/>
    </row>
    <row r="121" spans="1:215">
      <c r="A121" s="632" t="s">
        <v>7</v>
      </c>
      <c r="B121" s="632"/>
      <c r="C121" s="616">
        <f t="shared" si="0"/>
        <v>2.6860551618014955E-2</v>
      </c>
      <c r="D121" s="616">
        <f t="shared" si="1"/>
        <v>8.8671662660592801E-2</v>
      </c>
      <c r="E121" s="616">
        <f t="shared" si="2"/>
        <v>0.25081652306391045</v>
      </c>
      <c r="F121" s="616">
        <f t="shared" si="3"/>
        <v>0.24751395913187751</v>
      </c>
      <c r="G121" s="616">
        <f t="shared" si="4"/>
        <v>0.34361736277062455</v>
      </c>
      <c r="H121" s="616">
        <f t="shared" si="5"/>
        <v>0.39583776379279695</v>
      </c>
      <c r="I121" s="616">
        <f t="shared" si="6"/>
        <v>0.4267817017308761</v>
      </c>
      <c r="J121" s="616">
        <f t="shared" si="7"/>
        <v>0.4464298117337428</v>
      </c>
      <c r="K121" s="616">
        <f t="shared" si="8"/>
        <v>-1</v>
      </c>
      <c r="L121" s="616">
        <f t="shared" si="9"/>
        <v>-1</v>
      </c>
      <c r="M121" s="616">
        <f t="shared" si="10"/>
        <v>-1</v>
      </c>
      <c r="N121" s="616">
        <f t="shared" si="11"/>
        <v>-1</v>
      </c>
      <c r="O121" s="616">
        <f t="shared" si="12"/>
        <v>-1</v>
      </c>
      <c r="P121" s="616">
        <f t="shared" si="13"/>
        <v>-1</v>
      </c>
      <c r="Q121" s="616">
        <f t="shared" si="14"/>
        <v>-1</v>
      </c>
      <c r="R121" s="616">
        <f t="shared" si="15"/>
        <v>-1</v>
      </c>
      <c r="S121" s="616">
        <f t="shared" si="16"/>
        <v>-1</v>
      </c>
      <c r="T121" s="616">
        <f t="shared" si="17"/>
        <v>-1</v>
      </c>
      <c r="U121" s="616">
        <f t="shared" si="18"/>
        <v>-1</v>
      </c>
      <c r="V121" s="616">
        <f t="shared" si="19"/>
        <v>-1</v>
      </c>
      <c r="W121" s="616">
        <f t="shared" si="20"/>
        <v>-1</v>
      </c>
      <c r="Y121" s="632" t="s">
        <v>7</v>
      </c>
      <c r="Z121" s="632"/>
      <c r="AA121" s="616">
        <f t="shared" ref="AA121:AU121" si="36">IFERROR((AA23-Z23)/Z23,0)</f>
        <v>2.6860551618014955E-2</v>
      </c>
      <c r="AB121" s="616">
        <f t="shared" si="36"/>
        <v>6.019426001435408E-2</v>
      </c>
      <c r="AC121" s="616">
        <f t="shared" si="36"/>
        <v>0.14893825747889275</v>
      </c>
      <c r="AD121" s="616">
        <f t="shared" si="36"/>
        <v>-2.6403264356815504E-3</v>
      </c>
      <c r="AE121" s="616">
        <f t="shared" si="36"/>
        <v>7.7035934496174838E-2</v>
      </c>
      <c r="AF121" s="616">
        <f t="shared" si="36"/>
        <v>3.8865530075088167E-2</v>
      </c>
      <c r="AG121" s="616">
        <f t="shared" si="36"/>
        <v>2.2168720993761971E-2</v>
      </c>
      <c r="AH121" s="616">
        <f t="shared" si="36"/>
        <v>1.3770929343312274E-2</v>
      </c>
      <c r="AI121" s="616">
        <f t="shared" si="36"/>
        <v>-1</v>
      </c>
      <c r="AJ121" s="616">
        <f t="shared" si="36"/>
        <v>0</v>
      </c>
      <c r="AK121" s="616">
        <f t="shared" si="36"/>
        <v>0</v>
      </c>
      <c r="AL121" s="616">
        <f t="shared" si="36"/>
        <v>0</v>
      </c>
      <c r="AM121" s="616">
        <f t="shared" si="36"/>
        <v>0</v>
      </c>
      <c r="AN121" s="616">
        <f t="shared" si="36"/>
        <v>0</v>
      </c>
      <c r="AO121" s="616">
        <f t="shared" si="36"/>
        <v>0</v>
      </c>
      <c r="AP121" s="616">
        <f t="shared" si="36"/>
        <v>0</v>
      </c>
      <c r="AQ121" s="616">
        <f t="shared" si="36"/>
        <v>0</v>
      </c>
      <c r="AR121" s="616">
        <f t="shared" si="36"/>
        <v>0</v>
      </c>
      <c r="AS121" s="616">
        <f t="shared" si="36"/>
        <v>0</v>
      </c>
      <c r="AT121" s="616">
        <f t="shared" si="36"/>
        <v>0</v>
      </c>
      <c r="AU121" s="616">
        <f t="shared" si="36"/>
        <v>0</v>
      </c>
      <c r="AV121" s="565"/>
      <c r="AW121" s="632" t="s">
        <v>7</v>
      </c>
      <c r="AX121" s="632"/>
      <c r="AY121" s="616">
        <v>0</v>
      </c>
      <c r="AZ121" s="616">
        <v>0</v>
      </c>
      <c r="BA121" s="616">
        <v>0</v>
      </c>
      <c r="BB121" s="616">
        <v>0</v>
      </c>
      <c r="BC121" s="616">
        <v>0</v>
      </c>
      <c r="BD121" s="616">
        <v>0</v>
      </c>
      <c r="BE121" s="616">
        <v>0</v>
      </c>
      <c r="BF121" s="616">
        <v>0</v>
      </c>
      <c r="BG121" s="616">
        <v>0</v>
      </c>
      <c r="BH121" s="616">
        <v>0</v>
      </c>
      <c r="BI121" s="616">
        <v>0</v>
      </c>
      <c r="BJ121" s="616">
        <v>0</v>
      </c>
      <c r="BK121" s="616">
        <v>0</v>
      </c>
      <c r="BL121" s="616">
        <v>0</v>
      </c>
      <c r="BM121" s="616">
        <v>0</v>
      </c>
      <c r="BN121" s="616">
        <v>0</v>
      </c>
      <c r="BO121" s="616">
        <v>0</v>
      </c>
      <c r="BP121" s="616">
        <v>0</v>
      </c>
      <c r="BQ121" s="616">
        <v>0</v>
      </c>
      <c r="BR121" s="616">
        <v>0</v>
      </c>
      <c r="BS121" s="616">
        <v>0</v>
      </c>
      <c r="BU121" s="632" t="s">
        <v>7</v>
      </c>
      <c r="BV121" s="632"/>
      <c r="BW121" s="616">
        <v>0</v>
      </c>
      <c r="BX121" s="616">
        <v>0</v>
      </c>
      <c r="BY121" s="616">
        <v>0</v>
      </c>
      <c r="BZ121" s="616">
        <v>0</v>
      </c>
      <c r="CA121" s="616">
        <v>0</v>
      </c>
      <c r="CB121" s="616">
        <v>0</v>
      </c>
      <c r="CC121" s="616">
        <v>0</v>
      </c>
      <c r="CD121" s="616">
        <v>0</v>
      </c>
      <c r="CE121" s="616">
        <v>0</v>
      </c>
      <c r="CF121" s="616">
        <v>0</v>
      </c>
      <c r="CG121" s="616">
        <v>0</v>
      </c>
      <c r="CH121" s="616">
        <v>0</v>
      </c>
      <c r="CI121" s="616">
        <v>0</v>
      </c>
      <c r="CJ121" s="616">
        <v>0</v>
      </c>
      <c r="CK121" s="616">
        <v>0</v>
      </c>
      <c r="CL121" s="616">
        <v>0</v>
      </c>
      <c r="CM121" s="616"/>
      <c r="CN121" s="616"/>
      <c r="CO121" s="616"/>
      <c r="CP121" s="616"/>
      <c r="CQ121" s="616"/>
      <c r="CZ121" s="3"/>
      <c r="DA121" s="3"/>
      <c r="DC121" s="41"/>
      <c r="DD121" s="41"/>
      <c r="DE121" s="3"/>
      <c r="DF121" s="118"/>
      <c r="DG121" s="700"/>
      <c r="DH121" s="700"/>
      <c r="DI121" s="700"/>
      <c r="DJ121" s="700"/>
      <c r="DK121" s="43"/>
      <c r="DL121" s="43"/>
      <c r="DS121" s="3"/>
      <c r="DT121" s="3"/>
      <c r="DV121" s="41"/>
      <c r="DW121" s="41"/>
      <c r="DY121" s="118"/>
      <c r="DZ121" s="3"/>
      <c r="EA121" s="486"/>
      <c r="EB121" s="486"/>
      <c r="EC121" s="486"/>
      <c r="ED121" s="486"/>
      <c r="EE121" s="43"/>
      <c r="EF121" s="43"/>
      <c r="EL121" s="3"/>
      <c r="EM121" s="3"/>
      <c r="EO121" s="41"/>
      <c r="EP121" s="41"/>
      <c r="FC121" s="3"/>
      <c r="FE121" s="39"/>
      <c r="FF121" s="39"/>
      <c r="FH121" s="41"/>
      <c r="FI121" s="41"/>
      <c r="FM121" s="3"/>
      <c r="FN121" s="3"/>
      <c r="FO121" s="486"/>
      <c r="FP121" s="486"/>
      <c r="FQ121" s="486"/>
      <c r="FR121" s="486"/>
      <c r="FS121" s="43"/>
      <c r="FT121" s="43"/>
      <c r="FX121" s="3"/>
      <c r="FY121" s="3"/>
      <c r="GA121" s="41"/>
      <c r="GB121" s="41"/>
      <c r="GG121" s="3"/>
      <c r="GH121" s="3"/>
      <c r="GI121" s="486"/>
      <c r="GJ121" s="486"/>
      <c r="GK121" s="486"/>
      <c r="GL121" s="486"/>
      <c r="GM121" s="43"/>
      <c r="GN121" s="43"/>
      <c r="GO121" s="393"/>
      <c r="GS121" s="3"/>
      <c r="GT121" s="3"/>
      <c r="GV121" s="41"/>
      <c r="GW121" s="41"/>
      <c r="HA121" s="3"/>
      <c r="HB121" s="3"/>
      <c r="HC121" s="43"/>
      <c r="HD121" s="43"/>
      <c r="HE121" s="43"/>
      <c r="HF121" s="43"/>
      <c r="HG121" s="43"/>
    </row>
    <row r="122" spans="1:215">
      <c r="A122" s="631" t="s">
        <v>8</v>
      </c>
      <c r="B122" s="631"/>
      <c r="C122" s="618">
        <f t="shared" si="0"/>
        <v>0.17025377501241409</v>
      </c>
      <c r="D122" s="618">
        <f t="shared" si="1"/>
        <v>0.34432235345719781</v>
      </c>
      <c r="E122" s="618">
        <f t="shared" si="2"/>
        <v>0.37651977851989155</v>
      </c>
      <c r="F122" s="618">
        <f t="shared" si="3"/>
        <v>0.29383228214142443</v>
      </c>
      <c r="G122" s="618">
        <f t="shared" si="4"/>
        <v>0.80086410688784382</v>
      </c>
      <c r="H122" s="618">
        <f t="shared" si="5"/>
        <v>0.70791060113409932</v>
      </c>
      <c r="I122" s="618">
        <f t="shared" si="6"/>
        <v>0.90228169400450231</v>
      </c>
      <c r="J122" s="618">
        <f t="shared" si="7"/>
        <v>0.85674103858591899</v>
      </c>
      <c r="K122" s="618">
        <f t="shared" si="8"/>
        <v>0.84831605144006839</v>
      </c>
      <c r="L122" s="618">
        <f t="shared" si="9"/>
        <v>1.1043929284209093</v>
      </c>
      <c r="M122" s="618">
        <f t="shared" si="10"/>
        <v>1.2861002821678296</v>
      </c>
      <c r="N122" s="618">
        <f t="shared" si="11"/>
        <v>1.3417641393807858</v>
      </c>
      <c r="O122" s="618">
        <f t="shared" si="12"/>
        <v>1.5830006901999676</v>
      </c>
      <c r="P122" s="618">
        <f t="shared" si="13"/>
        <v>1.7213511636214014</v>
      </c>
      <c r="Q122" s="618">
        <f t="shared" si="14"/>
        <v>1.6821849926615833</v>
      </c>
      <c r="R122" s="618">
        <f t="shared" si="15"/>
        <v>1.9129167879956552</v>
      </c>
      <c r="S122" s="618">
        <f t="shared" si="16"/>
        <v>1.4895032393923018</v>
      </c>
      <c r="T122" s="618">
        <f t="shared" si="17"/>
        <v>-1</v>
      </c>
      <c r="U122" s="618">
        <f t="shared" si="18"/>
        <v>1.6084224199833794</v>
      </c>
      <c r="V122" s="618">
        <f t="shared" si="19"/>
        <v>1.5492273941173842</v>
      </c>
      <c r="W122" s="618">
        <f t="shared" si="20"/>
        <v>1.8577652630644734</v>
      </c>
      <c r="Y122" s="631" t="s">
        <v>8</v>
      </c>
      <c r="Z122" s="631"/>
      <c r="AA122" s="618">
        <f t="shared" ref="AA122:AU122" si="37">IFERROR((AA24-Z24)/Z24,0)</f>
        <v>0.17025377501241409</v>
      </c>
      <c r="AB122" s="618">
        <f t="shared" si="37"/>
        <v>0.1487442998788337</v>
      </c>
      <c r="AC122" s="618">
        <f t="shared" si="37"/>
        <v>2.3950672976530894E-2</v>
      </c>
      <c r="AD122" s="618">
        <f t="shared" si="37"/>
        <v>-6.0069966061350163E-2</v>
      </c>
      <c r="AE122" s="618">
        <f t="shared" si="37"/>
        <v>0.39188373311201513</v>
      </c>
      <c r="AF122" s="618">
        <f t="shared" si="37"/>
        <v>-5.1616057757062975E-2</v>
      </c>
      <c r="AG122" s="618">
        <f t="shared" si="37"/>
        <v>0.11380636242982234</v>
      </c>
      <c r="AH122" s="618">
        <f t="shared" si="37"/>
        <v>-2.3940016645334704E-2</v>
      </c>
      <c r="AI122" s="618">
        <f t="shared" si="37"/>
        <v>-4.537513293866262E-3</v>
      </c>
      <c r="AJ122" s="618">
        <f t="shared" si="37"/>
        <v>0.13854604399573603</v>
      </c>
      <c r="AK122" s="618">
        <f t="shared" si="37"/>
        <v>8.634668520924442E-2</v>
      </c>
      <c r="AL122" s="618">
        <f t="shared" si="37"/>
        <v>2.434882566051402E-2</v>
      </c>
      <c r="AM122" s="618">
        <f t="shared" si="37"/>
        <v>0.10301487957833794</v>
      </c>
      <c r="AN122" s="618">
        <f t="shared" si="37"/>
        <v>5.3561918874564039E-2</v>
      </c>
      <c r="AO122" s="618">
        <f t="shared" si="37"/>
        <v>-1.4392178225061617E-2</v>
      </c>
      <c r="AP122" s="618">
        <f t="shared" si="37"/>
        <v>8.6023818627481208E-2</v>
      </c>
      <c r="AQ122" s="618">
        <f t="shared" si="37"/>
        <v>-0.14535724135624883</v>
      </c>
      <c r="AR122" s="618">
        <f t="shared" si="37"/>
        <v>-1</v>
      </c>
      <c r="AS122" s="618">
        <f t="shared" si="37"/>
        <v>0</v>
      </c>
      <c r="AT122" s="618">
        <f t="shared" si="37"/>
        <v>-2.269380350839504E-2</v>
      </c>
      <c r="AU122" s="618">
        <f t="shared" si="37"/>
        <v>0.12103191330011334</v>
      </c>
      <c r="AV122" s="565"/>
      <c r="AW122" s="631" t="s">
        <v>8</v>
      </c>
      <c r="AX122" s="631"/>
      <c r="AY122" s="618">
        <f t="shared" ref="AY122:BS122" si="38">(AY24-$AX24)/$AX24</f>
        <v>4.5914311417345123E-2</v>
      </c>
      <c r="AZ122" s="618">
        <f t="shared" si="38"/>
        <v>8.0628353355978205E-2</v>
      </c>
      <c r="BA122" s="618">
        <f t="shared" si="38"/>
        <v>0.13562881727891041</v>
      </c>
      <c r="BB122" s="618">
        <f t="shared" si="38"/>
        <v>0.15636260216389783</v>
      </c>
      <c r="BC122" s="618">
        <f t="shared" si="38"/>
        <v>0.22158615250558716</v>
      </c>
      <c r="BD122" s="618">
        <f t="shared" si="38"/>
        <v>0.27483327013223824</v>
      </c>
      <c r="BE122" s="618">
        <f t="shared" si="38"/>
        <v>0.29038108243305399</v>
      </c>
      <c r="BF122" s="618">
        <f t="shared" si="38"/>
        <v>0.44988036839514933</v>
      </c>
      <c r="BG122" s="618">
        <f t="shared" si="38"/>
        <v>0.51391861581533438</v>
      </c>
      <c r="BH122" s="618">
        <f t="shared" si="38"/>
        <v>0.54932755379488951</v>
      </c>
      <c r="BI122" s="618">
        <f t="shared" si="38"/>
        <v>0.81951538207079067</v>
      </c>
      <c r="BJ122" s="618">
        <f t="shared" si="38"/>
        <v>0.73223879121854396</v>
      </c>
      <c r="BK122" s="618">
        <f t="shared" si="38"/>
        <v>0.66640659416021875</v>
      </c>
      <c r="BL122" s="618">
        <f t="shared" si="38"/>
        <v>0.87569747787289332</v>
      </c>
      <c r="BM122" s="618">
        <f t="shared" si="38"/>
        <v>0.82438060237367194</v>
      </c>
      <c r="BN122" s="618">
        <f t="shared" si="38"/>
        <v>0.97144399038267581</v>
      </c>
      <c r="BO122" s="618">
        <f t="shared" si="38"/>
        <v>1.0188536867753726</v>
      </c>
      <c r="BP122" s="618">
        <f t="shared" si="38"/>
        <v>-1</v>
      </c>
      <c r="BQ122" s="618">
        <f t="shared" si="38"/>
        <v>1.1081142743035106</v>
      </c>
      <c r="BR122" s="618">
        <f t="shared" si="38"/>
        <v>1.1519850858862541</v>
      </c>
      <c r="BS122" s="618">
        <f t="shared" si="38"/>
        <v>1.2764307988349481</v>
      </c>
      <c r="BU122" s="631" t="s">
        <v>8</v>
      </c>
      <c r="BV122" s="631"/>
      <c r="BW122" s="618">
        <f t="shared" ref="BW122:CF126" si="39">(AY24-AX24)/AX24</f>
        <v>4.5914311417345123E-2</v>
      </c>
      <c r="BX122" s="618">
        <f t="shared" si="39"/>
        <v>3.319013953599239E-2</v>
      </c>
      <c r="BY122" s="618">
        <f t="shared" si="39"/>
        <v>5.0896743318018488E-2</v>
      </c>
      <c r="BZ122" s="618">
        <f t="shared" si="39"/>
        <v>1.8257536766870544E-2</v>
      </c>
      <c r="CA122" s="618">
        <f t="shared" si="39"/>
        <v>5.640406410552945E-2</v>
      </c>
      <c r="CB122" s="618">
        <f t="shared" si="39"/>
        <v>4.3588507873502214E-2</v>
      </c>
      <c r="CC122" s="618">
        <f t="shared" si="39"/>
        <v>1.219595743622459E-2</v>
      </c>
      <c r="CD122" s="618">
        <f t="shared" si="39"/>
        <v>0.12360634244680214</v>
      </c>
      <c r="CE122" s="618">
        <f t="shared" si="39"/>
        <v>4.4167952622924361E-2</v>
      </c>
      <c r="CF122" s="618">
        <f t="shared" si="39"/>
        <v>2.3388930956823817E-2</v>
      </c>
      <c r="CG122" s="618">
        <f t="shared" ref="CG122:CP126" si="40">(BI24-BH24)/BH24</f>
        <v>0.174390384792492</v>
      </c>
      <c r="CH122" s="618">
        <f t="shared" si="40"/>
        <v>-4.7966943127964755E-2</v>
      </c>
      <c r="CI122" s="618">
        <f t="shared" si="40"/>
        <v>-3.8004112015073588E-2</v>
      </c>
      <c r="CJ122" s="618">
        <f t="shared" si="40"/>
        <v>0.12559412837546174</v>
      </c>
      <c r="CK122" s="618">
        <f t="shared" si="40"/>
        <v>-2.735882310692047E-2</v>
      </c>
      <c r="CL122" s="618">
        <f t="shared" si="40"/>
        <v>8.0610037081989466E-2</v>
      </c>
      <c r="CM122" s="618">
        <f t="shared" si="40"/>
        <v>2.4048208634876826E-2</v>
      </c>
      <c r="CN122" s="618">
        <f t="shared" si="40"/>
        <v>-1</v>
      </c>
      <c r="CO122" s="618" t="e">
        <f t="shared" si="40"/>
        <v>#DIV/0!</v>
      </c>
      <c r="CP122" s="618">
        <f t="shared" si="40"/>
        <v>2.0810452316318475E-2</v>
      </c>
      <c r="CQ122" s="618">
        <f t="shared" ref="CQ122:CQ126" si="41">(BS24-BR24)/BR24</f>
        <v>5.7828334296956094E-2</v>
      </c>
      <c r="CZ122" s="3"/>
      <c r="DA122" s="3"/>
      <c r="DC122" s="41"/>
      <c r="DD122" s="41"/>
      <c r="DE122" s="3"/>
      <c r="DF122" s="118"/>
      <c r="DG122" s="700"/>
      <c r="DH122" s="700"/>
      <c r="DI122" s="700"/>
      <c r="DJ122" s="700"/>
      <c r="DK122" s="43"/>
      <c r="DL122" s="43"/>
      <c r="DS122" s="3"/>
      <c r="DT122" s="3"/>
      <c r="DV122" s="41"/>
      <c r="DW122" s="41"/>
      <c r="DY122" s="118"/>
      <c r="DZ122" s="3"/>
      <c r="EA122" s="486"/>
      <c r="EB122" s="486"/>
      <c r="EC122" s="486"/>
      <c r="ED122" s="486"/>
      <c r="EE122" s="43"/>
      <c r="EF122" s="43"/>
      <c r="EL122" s="3"/>
      <c r="EM122" s="3"/>
      <c r="EO122" s="41"/>
      <c r="EP122" s="41"/>
      <c r="FC122" s="3"/>
      <c r="FE122" s="39"/>
      <c r="FF122" s="39"/>
      <c r="FH122" s="41"/>
      <c r="FI122" s="41"/>
      <c r="FM122" s="3"/>
      <c r="FN122" s="3"/>
      <c r="FO122" s="486"/>
      <c r="FP122" s="486"/>
      <c r="FQ122" s="486"/>
      <c r="FR122" s="486"/>
      <c r="FS122" s="43"/>
      <c r="FT122" s="43"/>
      <c r="FX122" s="3"/>
      <c r="FY122" s="3"/>
      <c r="GA122" s="41"/>
      <c r="GB122" s="41"/>
      <c r="GG122" s="3"/>
      <c r="GH122" s="3"/>
      <c r="GI122" s="486"/>
      <c r="GJ122" s="486"/>
      <c r="GK122" s="486"/>
      <c r="GL122" s="486"/>
      <c r="GM122" s="43"/>
      <c r="GN122" s="43"/>
      <c r="GO122" s="393"/>
      <c r="GS122" s="3"/>
      <c r="GT122" s="3"/>
      <c r="GV122" s="41"/>
      <c r="GW122" s="41"/>
      <c r="HA122" s="3"/>
      <c r="HB122" s="3"/>
      <c r="HC122" s="43"/>
      <c r="HD122" s="43"/>
      <c r="HE122" s="43"/>
      <c r="HF122" s="43"/>
      <c r="HG122" s="43"/>
    </row>
    <row r="123" spans="1:215">
      <c r="A123" s="632" t="s">
        <v>9</v>
      </c>
      <c r="B123" s="632"/>
      <c r="C123" s="616">
        <f t="shared" si="0"/>
        <v>-6.1018366787305947E-2</v>
      </c>
      <c r="D123" s="616">
        <f t="shared" si="1"/>
        <v>0.10410487330235206</v>
      </c>
      <c r="E123" s="616">
        <f t="shared" si="2"/>
        <v>0.19851111386361575</v>
      </c>
      <c r="F123" s="616">
        <f t="shared" si="3"/>
        <v>0.3559801183783125</v>
      </c>
      <c r="G123" s="616">
        <f t="shared" si="4"/>
        <v>0.29838884083044986</v>
      </c>
      <c r="H123" s="616">
        <f t="shared" si="5"/>
        <v>0.44224014993349819</v>
      </c>
      <c r="I123" s="616">
        <f t="shared" si="6"/>
        <v>0.57521455737956828</v>
      </c>
      <c r="J123" s="616">
        <f t="shared" si="7"/>
        <v>-8.7549412612536195E-2</v>
      </c>
      <c r="K123" s="616">
        <f t="shared" si="8"/>
        <v>-0.18968192121006591</v>
      </c>
      <c r="L123" s="616">
        <f t="shared" si="9"/>
        <v>-0.50454160528728198</v>
      </c>
      <c r="M123" s="616">
        <f t="shared" si="10"/>
        <v>-0.47276634789128702</v>
      </c>
      <c r="N123" s="616">
        <f t="shared" si="11"/>
        <v>0.32773089136113864</v>
      </c>
      <c r="O123" s="616">
        <f t="shared" si="12"/>
        <v>0.87551201004678969</v>
      </c>
      <c r="P123" s="616">
        <f t="shared" si="13"/>
        <v>1.0183254721355255</v>
      </c>
      <c r="Q123" s="616">
        <f t="shared" si="14"/>
        <v>0.9957115018784739</v>
      </c>
      <c r="R123" s="616">
        <f t="shared" si="15"/>
        <v>-1</v>
      </c>
      <c r="S123" s="616">
        <f t="shared" si="16"/>
        <v>1.1312432272927186</v>
      </c>
      <c r="T123" s="616">
        <f t="shared" si="17"/>
        <v>1.1327310702003528</v>
      </c>
      <c r="U123" s="616">
        <f t="shared" si="18"/>
        <v>1.1912851816476524</v>
      </c>
      <c r="V123" s="616">
        <f t="shared" si="19"/>
        <v>1.4744035546612122</v>
      </c>
      <c r="W123" s="616">
        <f t="shared" si="20"/>
        <v>1.7529647567521738</v>
      </c>
      <c r="Y123" s="632" t="s">
        <v>9</v>
      </c>
      <c r="Z123" s="632"/>
      <c r="AA123" s="616">
        <f t="shared" ref="AA123:AU123" si="42">IFERROR((AA25-Z25)/Z25,0)</f>
        <v>-6.1018366787305947E-2</v>
      </c>
      <c r="AB123" s="616">
        <f t="shared" si="42"/>
        <v>0.17585353562741626</v>
      </c>
      <c r="AC123" s="616">
        <f t="shared" si="42"/>
        <v>8.5504776624069051E-2</v>
      </c>
      <c r="AD123" s="616">
        <f t="shared" si="42"/>
        <v>0.13138718756396608</v>
      </c>
      <c r="AE123" s="616">
        <f t="shared" si="42"/>
        <v>-4.2472066343228594E-2</v>
      </c>
      <c r="AF123" s="616">
        <f t="shared" si="42"/>
        <v>0.11079216377972025</v>
      </c>
      <c r="AG123" s="616">
        <f t="shared" si="42"/>
        <v>9.2199906827029804E-2</v>
      </c>
      <c r="AH123" s="616">
        <f t="shared" si="42"/>
        <v>-0.42074520381187852</v>
      </c>
      <c r="AI123" s="616">
        <f t="shared" si="42"/>
        <v>-0.11193209803278924</v>
      </c>
      <c r="AJ123" s="616">
        <f t="shared" si="42"/>
        <v>-0.38856307457363287</v>
      </c>
      <c r="AK123" s="616">
        <f t="shared" si="42"/>
        <v>6.4133048778836937E-2</v>
      </c>
      <c r="AL123" s="616">
        <f t="shared" si="42"/>
        <v>1.5182969373270714</v>
      </c>
      <c r="AM123" s="616">
        <f t="shared" si="42"/>
        <v>0.41256938604786619</v>
      </c>
      <c r="AN123" s="616">
        <f t="shared" si="42"/>
        <v>7.6146386332750268E-2</v>
      </c>
      <c r="AO123" s="616">
        <f t="shared" si="42"/>
        <v>-1.1204322875202339E-2</v>
      </c>
      <c r="AP123" s="616">
        <f t="shared" si="42"/>
        <v>-1</v>
      </c>
      <c r="AQ123" s="616">
        <f t="shared" si="42"/>
        <v>0</v>
      </c>
      <c r="AR123" s="616">
        <f t="shared" si="42"/>
        <v>6.9811032761568875E-4</v>
      </c>
      <c r="AS123" s="616">
        <f t="shared" si="42"/>
        <v>2.7454990582473672E-2</v>
      </c>
      <c r="AT123" s="616">
        <f t="shared" si="42"/>
        <v>0.12920197488885485</v>
      </c>
      <c r="AU123" s="616">
        <f t="shared" si="42"/>
        <v>0.11257711037725264</v>
      </c>
      <c r="AV123" s="565"/>
      <c r="AW123" s="632" t="s">
        <v>9</v>
      </c>
      <c r="AX123" s="632"/>
      <c r="AY123" s="616">
        <f t="shared" ref="AY123:BS123" si="43">(AY25-$AX25)/$AX25</f>
        <v>1.8849036497452006E-2</v>
      </c>
      <c r="AZ123" s="616">
        <f t="shared" si="43"/>
        <v>3.5574225993930293E-2</v>
      </c>
      <c r="BA123" s="616">
        <f t="shared" si="43"/>
        <v>0.10856200389819236</v>
      </c>
      <c r="BB123" s="616">
        <f t="shared" si="43"/>
        <v>0.21570631302883184</v>
      </c>
      <c r="BC123" s="616">
        <f t="shared" si="43"/>
        <v>0.26555601956807057</v>
      </c>
      <c r="BD123" s="616">
        <f t="shared" si="43"/>
        <v>0.27314992545853645</v>
      </c>
      <c r="BE123" s="616">
        <f t="shared" si="43"/>
        <v>0.30362584058998748</v>
      </c>
      <c r="BF123" s="616">
        <f t="shared" si="43"/>
        <v>0.92295949252968268</v>
      </c>
      <c r="BG123" s="616">
        <f t="shared" si="43"/>
        <v>0.98221381203345326</v>
      </c>
      <c r="BH123" s="616">
        <f t="shared" si="43"/>
        <v>1.0208981044961869</v>
      </c>
      <c r="BI123" s="616">
        <f t="shared" si="43"/>
        <v>1.0601743250658302</v>
      </c>
      <c r="BJ123" s="616">
        <f t="shared" si="43"/>
        <v>1.0765082609556034</v>
      </c>
      <c r="BK123" s="616">
        <f t="shared" si="43"/>
        <v>0.88012183632744745</v>
      </c>
      <c r="BL123" s="616">
        <f t="shared" si="43"/>
        <v>1.0874666737806453</v>
      </c>
      <c r="BM123" s="616">
        <f t="shared" si="43"/>
        <v>1.0851493926410154</v>
      </c>
      <c r="BN123" s="616">
        <f t="shared" si="43"/>
        <v>-1</v>
      </c>
      <c r="BO123" s="616">
        <f t="shared" si="43"/>
        <v>1.1089023694117428</v>
      </c>
      <c r="BP123" s="616">
        <f t="shared" si="43"/>
        <v>1.3718681667660371</v>
      </c>
      <c r="BQ123" s="616">
        <f t="shared" si="43"/>
        <v>1.475872260288303</v>
      </c>
      <c r="BR123" s="616">
        <f t="shared" si="43"/>
        <v>1.541587243478787</v>
      </c>
      <c r="BS123" s="616">
        <f t="shared" si="43"/>
        <v>1.6037893265833369</v>
      </c>
      <c r="BU123" s="632" t="s">
        <v>9</v>
      </c>
      <c r="BV123" s="632"/>
      <c r="BW123" s="616">
        <f t="shared" si="39"/>
        <v>1.8849036497452006E-2</v>
      </c>
      <c r="BX123" s="616">
        <f t="shared" si="39"/>
        <v>1.6415768084715773E-2</v>
      </c>
      <c r="BY123" s="616">
        <f t="shared" si="39"/>
        <v>7.0480489058338022E-2</v>
      </c>
      <c r="BZ123" s="616">
        <f t="shared" si="39"/>
        <v>9.6651616015949376E-2</v>
      </c>
      <c r="CA123" s="616">
        <f t="shared" si="39"/>
        <v>4.1004727873002737E-2</v>
      </c>
      <c r="CB123" s="616">
        <f t="shared" si="39"/>
        <v>6.0004502155958745E-3</v>
      </c>
      <c r="CC123" s="616">
        <f t="shared" si="39"/>
        <v>2.3937412650340349E-2</v>
      </c>
      <c r="CD123" s="616">
        <f t="shared" si="39"/>
        <v>0.47508543683009596</v>
      </c>
      <c r="CE123" s="616">
        <f t="shared" si="39"/>
        <v>3.0814127772301969E-2</v>
      </c>
      <c r="CF123" s="616">
        <f t="shared" si="39"/>
        <v>1.951570119625461E-2</v>
      </c>
      <c r="CG123" s="616">
        <f t="shared" si="40"/>
        <v>1.9435032613598687E-2</v>
      </c>
      <c r="CH123" s="616">
        <f t="shared" si="40"/>
        <v>7.9284241585970468E-3</v>
      </c>
      <c r="CI123" s="616">
        <f t="shared" si="40"/>
        <v>-9.4575315841883265E-2</v>
      </c>
      <c r="CJ123" s="616">
        <f t="shared" si="40"/>
        <v>0.1102826601164405</v>
      </c>
      <c r="CK123" s="616">
        <f t="shared" si="40"/>
        <v>-1.1100925196727393E-3</v>
      </c>
      <c r="CL123" s="616">
        <f t="shared" si="40"/>
        <v>-1</v>
      </c>
      <c r="CM123" s="616" t="e">
        <f t="shared" si="40"/>
        <v>#DIV/0!</v>
      </c>
      <c r="CN123" s="616">
        <f t="shared" si="40"/>
        <v>0.12469320589157766</v>
      </c>
      <c r="CO123" s="616">
        <f t="shared" si="40"/>
        <v>4.3849019511093539E-2</v>
      </c>
      <c r="CP123" s="616">
        <f t="shared" si="40"/>
        <v>2.6542154150889712E-2</v>
      </c>
      <c r="CQ123" s="616">
        <f t="shared" si="41"/>
        <v>2.4473715495758986E-2</v>
      </c>
      <c r="CZ123" s="3"/>
      <c r="DA123" s="3"/>
      <c r="DC123" s="41"/>
      <c r="DD123" s="41"/>
      <c r="DE123" s="3"/>
      <c r="DF123" s="118"/>
      <c r="DG123" s="700"/>
      <c r="DH123" s="700"/>
      <c r="DI123" s="700"/>
      <c r="DJ123" s="700"/>
      <c r="DK123" s="43"/>
      <c r="DL123" s="43"/>
      <c r="DS123" s="3"/>
      <c r="DT123" s="3"/>
      <c r="DV123" s="41"/>
      <c r="DW123" s="41"/>
      <c r="DY123" s="118"/>
      <c r="DZ123" s="3"/>
      <c r="EA123" s="486"/>
      <c r="EB123" s="486"/>
      <c r="EC123" s="486"/>
      <c r="ED123" s="486"/>
      <c r="EE123" s="43"/>
      <c r="EF123" s="43"/>
      <c r="EL123" s="3"/>
      <c r="EM123" s="3"/>
      <c r="EO123" s="41"/>
      <c r="EP123" s="41"/>
      <c r="FC123" s="3"/>
      <c r="FE123" s="39"/>
      <c r="FF123" s="39"/>
      <c r="FH123" s="41"/>
      <c r="FI123" s="41"/>
      <c r="FM123" s="3"/>
      <c r="FN123" s="3"/>
      <c r="FO123" s="486"/>
      <c r="FP123" s="486"/>
      <c r="FQ123" s="486"/>
      <c r="FR123" s="486"/>
      <c r="FS123" s="43"/>
      <c r="FT123" s="43"/>
      <c r="FX123" s="3"/>
      <c r="FY123" s="3"/>
      <c r="GA123" s="41"/>
      <c r="GB123" s="41"/>
      <c r="GG123" s="3"/>
      <c r="GH123" s="3"/>
      <c r="GI123" s="486"/>
      <c r="GJ123" s="486"/>
      <c r="GK123" s="486"/>
      <c r="GL123" s="486"/>
      <c r="GM123" s="43"/>
      <c r="GN123" s="43"/>
      <c r="GO123" s="393"/>
      <c r="GS123" s="3"/>
      <c r="GT123" s="3"/>
      <c r="GV123" s="41"/>
      <c r="GW123" s="41"/>
      <c r="HA123" s="3"/>
      <c r="HB123" s="3"/>
      <c r="HC123" s="43"/>
      <c r="HD123" s="43"/>
      <c r="HE123" s="43"/>
      <c r="HF123" s="43"/>
      <c r="HG123" s="43"/>
    </row>
    <row r="124" spans="1:215">
      <c r="A124" s="631" t="s">
        <v>10</v>
      </c>
      <c r="B124" s="631"/>
      <c r="C124" s="618">
        <f t="shared" si="0"/>
        <v>1.1961276144629354</v>
      </c>
      <c r="D124" s="618">
        <f t="shared" si="1"/>
        <v>1.2279394668458734</v>
      </c>
      <c r="E124" s="618">
        <f t="shared" si="2"/>
        <v>1.3010600861822996</v>
      </c>
      <c r="F124" s="618">
        <f t="shared" si="3"/>
        <v>1.5749217102542581</v>
      </c>
      <c r="G124" s="618">
        <f t="shared" si="4"/>
        <v>1.7478543784600689</v>
      </c>
      <c r="H124" s="618">
        <f t="shared" si="5"/>
        <v>1.9736304737936201</v>
      </c>
      <c r="I124" s="618">
        <f t="shared" si="6"/>
        <v>1.7449596871824296</v>
      </c>
      <c r="J124" s="618">
        <f t="shared" si="7"/>
        <v>2.2144754769934925</v>
      </c>
      <c r="K124" s="618">
        <f t="shared" si="8"/>
        <v>2.3580984989341305</v>
      </c>
      <c r="L124" s="618">
        <f t="shared" si="9"/>
        <v>2.1951092990694416</v>
      </c>
      <c r="M124" s="618">
        <f t="shared" si="10"/>
        <v>2.4066087031650691</v>
      </c>
      <c r="N124" s="618">
        <f t="shared" si="11"/>
        <v>2.4650984679282906</v>
      </c>
      <c r="O124" s="618">
        <f t="shared" si="12"/>
        <v>2.726100123779494</v>
      </c>
      <c r="P124" s="618">
        <f t="shared" si="13"/>
        <v>2.7484707327516076</v>
      </c>
      <c r="Q124" s="618">
        <f t="shared" si="14"/>
        <v>2.8676741125971845</v>
      </c>
      <c r="R124" s="618">
        <f t="shared" si="15"/>
        <v>3.1930134436444471</v>
      </c>
      <c r="S124" s="618">
        <f t="shared" si="16"/>
        <v>2.8676999624097741</v>
      </c>
      <c r="T124" s="618">
        <f t="shared" si="17"/>
        <v>-1</v>
      </c>
      <c r="U124" s="618">
        <f t="shared" si="18"/>
        <v>3.5075460898326276</v>
      </c>
      <c r="V124" s="618">
        <f t="shared" si="19"/>
        <v>2.7952677423951209</v>
      </c>
      <c r="W124" s="618">
        <f t="shared" si="20"/>
        <v>3.3199147722621061</v>
      </c>
      <c r="Y124" s="631" t="s">
        <v>10</v>
      </c>
      <c r="Z124" s="631"/>
      <c r="AA124" s="618">
        <f t="shared" ref="AA124:AU124" si="44">IFERROR((AA26-Z26)/Z26,0)</f>
        <v>1.1961276144629354</v>
      </c>
      <c r="AB124" s="618">
        <f t="shared" si="44"/>
        <v>1.4485429796263325E-2</v>
      </c>
      <c r="AC124" s="618">
        <f t="shared" si="44"/>
        <v>3.2819841124294168E-2</v>
      </c>
      <c r="AD124" s="618">
        <f t="shared" si="44"/>
        <v>0.11901541629289818</v>
      </c>
      <c r="AE124" s="618">
        <f t="shared" si="44"/>
        <v>6.716035967894908E-2</v>
      </c>
      <c r="AF124" s="618">
        <f t="shared" si="44"/>
        <v>8.2164505187527118E-2</v>
      </c>
      <c r="AG124" s="618">
        <f t="shared" si="44"/>
        <v>-7.6899530263241839E-2</v>
      </c>
      <c r="AH124" s="618">
        <f t="shared" si="44"/>
        <v>0.17104651554755559</v>
      </c>
      <c r="AI124" s="618">
        <f t="shared" si="44"/>
        <v>4.4680080146378753E-2</v>
      </c>
      <c r="AJ124" s="618">
        <f t="shared" si="44"/>
        <v>-4.8536158161061167E-2</v>
      </c>
      <c r="AK124" s="618">
        <f t="shared" si="44"/>
        <v>6.6194732104227411E-2</v>
      </c>
      <c r="AL124" s="618">
        <f t="shared" si="44"/>
        <v>1.7169499011987721E-2</v>
      </c>
      <c r="AM124" s="618">
        <f t="shared" si="44"/>
        <v>7.5323012684037918E-2</v>
      </c>
      <c r="AN124" s="618">
        <f t="shared" si="44"/>
        <v>6.0037594881972326E-3</v>
      </c>
      <c r="AO124" s="618">
        <f t="shared" si="44"/>
        <v>3.1800536363818493E-2</v>
      </c>
      <c r="AP124" s="618">
        <f t="shared" si="44"/>
        <v>8.411756564174265E-2</v>
      </c>
      <c r="AQ124" s="618">
        <f t="shared" si="44"/>
        <v>-7.7584650182261239E-2</v>
      </c>
      <c r="AR124" s="618">
        <f t="shared" si="44"/>
        <v>-1</v>
      </c>
      <c r="AS124" s="618">
        <f t="shared" si="44"/>
        <v>0</v>
      </c>
      <c r="AT124" s="618">
        <f t="shared" si="44"/>
        <v>-0.15801909359155436</v>
      </c>
      <c r="AU124" s="618">
        <f t="shared" si="44"/>
        <v>0.13823715887192997</v>
      </c>
      <c r="AV124" s="565"/>
      <c r="AW124" s="631" t="s">
        <v>10</v>
      </c>
      <c r="AX124" s="631"/>
      <c r="AY124" s="618">
        <f t="shared" ref="AY124:BS124" si="45">(AY26-$AX26)/$AX26</f>
        <v>2.9434819279500885E-2</v>
      </c>
      <c r="AZ124" s="618">
        <f t="shared" si="45"/>
        <v>1.5336996609447633E-2</v>
      </c>
      <c r="BA124" s="618">
        <f t="shared" si="45"/>
        <v>6.1500932613858528E-2</v>
      </c>
      <c r="BB124" s="618">
        <f t="shared" si="45"/>
        <v>0.24052217811728602</v>
      </c>
      <c r="BC124" s="618">
        <f t="shared" si="45"/>
        <v>0.24035093472155883</v>
      </c>
      <c r="BD124" s="618">
        <f t="shared" si="45"/>
        <v>0.23901269741400855</v>
      </c>
      <c r="BE124" s="618">
        <f t="shared" si="45"/>
        <v>0.17947486558620032</v>
      </c>
      <c r="BF124" s="618">
        <f t="shared" si="45"/>
        <v>0.3792055662217968</v>
      </c>
      <c r="BG124" s="618">
        <f t="shared" si="45"/>
        <v>0.38641594816148728</v>
      </c>
      <c r="BH124" s="618">
        <f t="shared" si="45"/>
        <v>0.40520895642587917</v>
      </c>
      <c r="BI124" s="618">
        <f t="shared" si="45"/>
        <v>0.44997646836748217</v>
      </c>
      <c r="BJ124" s="618">
        <f t="shared" si="45"/>
        <v>0.43055849501369203</v>
      </c>
      <c r="BK124" s="618">
        <f t="shared" si="45"/>
        <v>0.43361801368460751</v>
      </c>
      <c r="BL124" s="618">
        <f t="shared" si="45"/>
        <v>0.44956924091781464</v>
      </c>
      <c r="BM124" s="618">
        <f t="shared" si="45"/>
        <v>0.46943602961046099</v>
      </c>
      <c r="BN124" s="618">
        <f t="shared" si="45"/>
        <v>0.53877962523810352</v>
      </c>
      <c r="BO124" s="618">
        <f t="shared" si="45"/>
        <v>0.50918350591508976</v>
      </c>
      <c r="BP124" s="618">
        <f t="shared" si="45"/>
        <v>-1</v>
      </c>
      <c r="BQ124" s="618">
        <f t="shared" si="45"/>
        <v>0.65360720576880493</v>
      </c>
      <c r="BR124" s="618">
        <f t="shared" si="45"/>
        <v>0.67047832372442606</v>
      </c>
      <c r="BS124" s="618">
        <f t="shared" si="45"/>
        <v>0.58222684871159125</v>
      </c>
      <c r="BU124" s="631" t="s">
        <v>10</v>
      </c>
      <c r="BV124" s="631"/>
      <c r="BW124" s="618">
        <f t="shared" si="39"/>
        <v>2.9434819279500885E-2</v>
      </c>
      <c r="BX124" s="618">
        <f t="shared" si="39"/>
        <v>-1.3694721031410504E-2</v>
      </c>
      <c r="BY124" s="618">
        <f t="shared" si="39"/>
        <v>4.5466614689081392E-2</v>
      </c>
      <c r="BZ124" s="618">
        <f t="shared" si="39"/>
        <v>0.16864916459621232</v>
      </c>
      <c r="CA124" s="618">
        <f t="shared" si="39"/>
        <v>-1.380413818857241E-4</v>
      </c>
      <c r="CB124" s="618">
        <f t="shared" si="39"/>
        <v>-1.0789182884364174E-3</v>
      </c>
      <c r="CC124" s="618">
        <f t="shared" si="39"/>
        <v>-4.8052640583968131E-2</v>
      </c>
      <c r="CD124" s="618">
        <f t="shared" si="39"/>
        <v>0.16933866626850932</v>
      </c>
      <c r="CE124" s="618">
        <f t="shared" si="39"/>
        <v>5.2279240428550946E-3</v>
      </c>
      <c r="CF124" s="618">
        <f t="shared" si="39"/>
        <v>1.3555101042593375E-2</v>
      </c>
      <c r="CG124" s="618">
        <f t="shared" si="40"/>
        <v>3.1858259753388081E-2</v>
      </c>
      <c r="CH124" s="618">
        <f t="shared" si="40"/>
        <v>-1.3391923094898724E-2</v>
      </c>
      <c r="CI124" s="618">
        <f t="shared" si="40"/>
        <v>2.1386882686584411E-3</v>
      </c>
      <c r="CJ124" s="618">
        <f t="shared" si="40"/>
        <v>1.1126553294493143E-2</v>
      </c>
      <c r="CK124" s="618">
        <f t="shared" si="40"/>
        <v>1.3705305087784161E-2</v>
      </c>
      <c r="CL124" s="618">
        <f t="shared" si="40"/>
        <v>4.7190618870305713E-2</v>
      </c>
      <c r="CM124" s="618">
        <f t="shared" si="40"/>
        <v>-1.9233500910459594E-2</v>
      </c>
      <c r="CN124" s="618">
        <f t="shared" si="40"/>
        <v>-1</v>
      </c>
      <c r="CO124" s="618" t="e">
        <f t="shared" si="40"/>
        <v>#DIV/0!</v>
      </c>
      <c r="CP124" s="618">
        <f t="shared" si="40"/>
        <v>1.0202615165659805E-2</v>
      </c>
      <c r="CQ124" s="618">
        <f t="shared" si="41"/>
        <v>-5.283006295829875E-2</v>
      </c>
      <c r="CZ124" s="3"/>
      <c r="DA124" s="3"/>
      <c r="DC124" s="41"/>
      <c r="DD124" s="41"/>
      <c r="DE124" s="3"/>
      <c r="DF124" s="118"/>
      <c r="DG124" s="700"/>
      <c r="DH124" s="700"/>
      <c r="DI124" s="700"/>
      <c r="DJ124" s="700"/>
      <c r="DK124" s="43"/>
      <c r="DL124" s="43"/>
      <c r="DS124" s="3"/>
      <c r="DT124" s="3"/>
      <c r="DV124" s="41"/>
      <c r="DW124" s="41"/>
      <c r="DY124" s="118"/>
      <c r="DZ124" s="3"/>
      <c r="EA124" s="486"/>
      <c r="EB124" s="486"/>
      <c r="EC124" s="486"/>
      <c r="ED124" s="486"/>
      <c r="EE124" s="43"/>
      <c r="EF124" s="43"/>
      <c r="EL124" s="3"/>
      <c r="EM124" s="3"/>
      <c r="EO124" s="41"/>
      <c r="EP124" s="41"/>
      <c r="FC124" s="3"/>
      <c r="FE124" s="39"/>
      <c r="FF124" s="39"/>
      <c r="FH124" s="41"/>
      <c r="FI124" s="41"/>
      <c r="FM124" s="3"/>
      <c r="FN124" s="3"/>
      <c r="FO124" s="486"/>
      <c r="FP124" s="486"/>
      <c r="FQ124" s="486"/>
      <c r="FR124" s="486"/>
      <c r="FS124" s="43"/>
      <c r="FT124" s="43"/>
      <c r="FX124" s="3"/>
      <c r="FY124" s="3"/>
      <c r="GA124" s="41"/>
      <c r="GB124" s="41"/>
      <c r="GG124" s="3"/>
      <c r="GH124" s="3"/>
      <c r="GI124" s="486"/>
      <c r="GJ124" s="486"/>
      <c r="GK124" s="486"/>
      <c r="GL124" s="486"/>
      <c r="GM124" s="43"/>
      <c r="GN124" s="43"/>
      <c r="GO124" s="393"/>
      <c r="GS124" s="3"/>
      <c r="GT124" s="3"/>
      <c r="GV124" s="41"/>
      <c r="GW124" s="41"/>
      <c r="HA124" s="3"/>
      <c r="HB124" s="3"/>
      <c r="HC124" s="43"/>
      <c r="HD124" s="43"/>
      <c r="HE124" s="43"/>
      <c r="HF124" s="43"/>
      <c r="HG124" s="43"/>
    </row>
    <row r="125" spans="1:215">
      <c r="A125" s="632" t="s">
        <v>11</v>
      </c>
      <c r="B125" s="632"/>
      <c r="C125" s="616">
        <f t="shared" si="0"/>
        <v>2.2025066725355799E-2</v>
      </c>
      <c r="D125" s="616">
        <f t="shared" si="1"/>
        <v>0.44132116796094339</v>
      </c>
      <c r="E125" s="616">
        <f t="shared" si="2"/>
        <v>0.63801745922624231</v>
      </c>
      <c r="F125" s="616">
        <f t="shared" si="3"/>
        <v>0.53575055228124402</v>
      </c>
      <c r="G125" s="616">
        <f t="shared" si="4"/>
        <v>-0.18193076970710254</v>
      </c>
      <c r="H125" s="616">
        <f t="shared" si="5"/>
        <v>0.59028205883663798</v>
      </c>
      <c r="I125" s="616">
        <f t="shared" si="6"/>
        <v>0.48295495017932133</v>
      </c>
      <c r="J125" s="616">
        <f t="shared" si="7"/>
        <v>-0.34017101096358632</v>
      </c>
      <c r="K125" s="616">
        <f t="shared" si="8"/>
        <v>0.86353082145450433</v>
      </c>
      <c r="L125" s="616">
        <f t="shared" si="9"/>
        <v>7.6989484470454825E-2</v>
      </c>
      <c r="M125" s="616">
        <f t="shared" si="10"/>
        <v>0.25259476538745673</v>
      </c>
      <c r="N125" s="616">
        <f t="shared" si="11"/>
        <v>2.1196631054830548</v>
      </c>
      <c r="O125" s="616">
        <f t="shared" si="12"/>
        <v>-0.51116643455274979</v>
      </c>
      <c r="P125" s="616">
        <f t="shared" si="13"/>
        <v>0.49683043220518491</v>
      </c>
      <c r="Q125" s="616">
        <f t="shared" si="14"/>
        <v>0.57471476808526345</v>
      </c>
      <c r="R125" s="616">
        <f t="shared" si="15"/>
        <v>0.61602859990541914</v>
      </c>
      <c r="S125" s="616">
        <f t="shared" si="16"/>
        <v>0.67322186343497836</v>
      </c>
      <c r="T125" s="616">
        <f t="shared" si="17"/>
        <v>0.64401739690848736</v>
      </c>
      <c r="U125" s="616">
        <f t="shared" si="18"/>
        <v>0.59846319682984062</v>
      </c>
      <c r="V125" s="616">
        <f t="shared" si="19"/>
        <v>0.60609980385683804</v>
      </c>
      <c r="W125" s="616">
        <f t="shared" si="20"/>
        <v>0.6092179792245227</v>
      </c>
      <c r="Y125" s="632" t="s">
        <v>11</v>
      </c>
      <c r="Z125" s="632"/>
      <c r="AA125" s="616">
        <f t="shared" ref="AA125:AU125" si="46">IFERROR((AA27-Z27)/Z27,0)</f>
        <v>2.2025066725355799E-2</v>
      </c>
      <c r="AB125" s="616">
        <f t="shared" si="46"/>
        <v>0.41026009526267632</v>
      </c>
      <c r="AC125" s="616">
        <f t="shared" si="46"/>
        <v>0.13646943903805131</v>
      </c>
      <c r="AD125" s="616">
        <f t="shared" si="46"/>
        <v>-6.2433343655144267E-2</v>
      </c>
      <c r="AE125" s="616">
        <f t="shared" si="46"/>
        <v>-0.46731633657711141</v>
      </c>
      <c r="AF125" s="616">
        <f t="shared" si="46"/>
        <v>0.94394557324599693</v>
      </c>
      <c r="AG125" s="616">
        <f t="shared" si="46"/>
        <v>-6.7489353892246792E-2</v>
      </c>
      <c r="AH125" s="616">
        <f t="shared" si="46"/>
        <v>-0.55505796790615514</v>
      </c>
      <c r="AI125" s="616">
        <f t="shared" si="46"/>
        <v>1.8242633355286888</v>
      </c>
      <c r="AJ125" s="616">
        <f t="shared" si="46"/>
        <v>-0.42207047392441094</v>
      </c>
      <c r="AK125" s="616">
        <f t="shared" si="46"/>
        <v>0.16305199210310334</v>
      </c>
      <c r="AL125" s="616">
        <f t="shared" si="46"/>
        <v>1.4905605481418971</v>
      </c>
      <c r="AM125" s="616">
        <f t="shared" si="46"/>
        <v>-0.84330565547668068</v>
      </c>
      <c r="AN125" s="616">
        <f t="shared" si="46"/>
        <v>2.0620451172081125</v>
      </c>
      <c r="AO125" s="616">
        <f t="shared" si="46"/>
        <v>5.2032838325805873E-2</v>
      </c>
      <c r="AP125" s="616">
        <f t="shared" si="46"/>
        <v>2.6235755615850499E-2</v>
      </c>
      <c r="AQ125" s="616">
        <f t="shared" si="46"/>
        <v>3.5391244643137268E-2</v>
      </c>
      <c r="AR125" s="616">
        <f t="shared" si="46"/>
        <v>-1.7454031150738653E-2</v>
      </c>
      <c r="AS125" s="616">
        <f t="shared" si="46"/>
        <v>-2.7709074225315166E-2</v>
      </c>
      <c r="AT125" s="616">
        <f t="shared" si="46"/>
        <v>4.7774681595063942E-3</v>
      </c>
      <c r="AU125" s="616">
        <f t="shared" si="46"/>
        <v>1.9414580340504312E-3</v>
      </c>
      <c r="AV125" s="565"/>
      <c r="AW125" s="632" t="s">
        <v>11</v>
      </c>
      <c r="AX125" s="632"/>
      <c r="AY125" s="616">
        <f t="shared" ref="AY125:BS125" si="47">(AY27-$AX27)/$AX27</f>
        <v>4.5932085830042553E-2</v>
      </c>
      <c r="AZ125" s="616">
        <f t="shared" si="47"/>
        <v>7.7911129885320951E-2</v>
      </c>
      <c r="BA125" s="616">
        <f t="shared" si="47"/>
        <v>0.38479736891107447</v>
      </c>
      <c r="BB125" s="616">
        <f t="shared" si="47"/>
        <v>0.29401203942215937</v>
      </c>
      <c r="BC125" s="616">
        <f t="shared" si="47"/>
        <v>0.44608197273997025</v>
      </c>
      <c r="BD125" s="616">
        <f t="shared" si="47"/>
        <v>0.38531237125324919</v>
      </c>
      <c r="BE125" s="616">
        <f t="shared" si="47"/>
        <v>0.37310643535122351</v>
      </c>
      <c r="BF125" s="616">
        <f t="shared" si="47"/>
        <v>0.46897613988136067</v>
      </c>
      <c r="BG125" s="616">
        <f t="shared" si="47"/>
        <v>0.46355640591682112</v>
      </c>
      <c r="BH125" s="616">
        <f t="shared" si="47"/>
        <v>0.44877024324565606</v>
      </c>
      <c r="BI125" s="616">
        <f t="shared" si="47"/>
        <v>-6.0264906553825007E-2</v>
      </c>
      <c r="BJ125" s="616">
        <f t="shared" si="47"/>
        <v>2.6733481379634463</v>
      </c>
      <c r="BK125" s="616">
        <f t="shared" si="47"/>
        <v>1.6009037389206857</v>
      </c>
      <c r="BL125" s="616">
        <f t="shared" si="47"/>
        <v>3.225318617052443</v>
      </c>
      <c r="BM125" s="616">
        <f t="shared" si="47"/>
        <v>0.74397211354961101</v>
      </c>
      <c r="BN125" s="616">
        <f t="shared" si="47"/>
        <v>1.0953204055106602</v>
      </c>
      <c r="BO125" s="616">
        <f t="shared" si="47"/>
        <v>0.98217456272503367</v>
      </c>
      <c r="BP125" s="616">
        <f t="shared" si="47"/>
        <v>0.91263758934238437</v>
      </c>
      <c r="BQ125" s="616">
        <f t="shared" si="47"/>
        <v>1.2053731665619056</v>
      </c>
      <c r="BR125" s="616">
        <f t="shared" si="47"/>
        <v>1.5047931600522857</v>
      </c>
      <c r="BS125" s="616">
        <f t="shared" si="47"/>
        <v>1.5093633303484795</v>
      </c>
      <c r="BU125" s="632" t="s">
        <v>11</v>
      </c>
      <c r="BV125" s="632"/>
      <c r="BW125" s="616">
        <f t="shared" si="39"/>
        <v>4.5932085830042553E-2</v>
      </c>
      <c r="BX125" s="616">
        <f t="shared" si="39"/>
        <v>3.0574684999648043E-2</v>
      </c>
      <c r="BY125" s="616">
        <f t="shared" si="39"/>
        <v>0.28470458326040587</v>
      </c>
      <c r="BZ125" s="616">
        <f t="shared" si="39"/>
        <v>-6.5558565842960465E-2</v>
      </c>
      <c r="CA125" s="616">
        <f t="shared" si="39"/>
        <v>0.11751817501305292</v>
      </c>
      <c r="CB125" s="616">
        <f t="shared" si="39"/>
        <v>-4.2023621504372673E-2</v>
      </c>
      <c r="CC125" s="616">
        <f t="shared" si="39"/>
        <v>-8.8109628956704565E-3</v>
      </c>
      <c r="CD125" s="616">
        <f t="shared" si="39"/>
        <v>6.9819572657974505E-2</v>
      </c>
      <c r="CE125" s="616">
        <f t="shared" si="39"/>
        <v>-3.6894635776570568E-3</v>
      </c>
      <c r="CF125" s="616">
        <f t="shared" si="39"/>
        <v>-1.010289908293798E-2</v>
      </c>
      <c r="CG125" s="616">
        <f t="shared" si="40"/>
        <v>-0.35135671247574635</v>
      </c>
      <c r="CH125" s="616">
        <f t="shared" si="40"/>
        <v>2.9089187618742938</v>
      </c>
      <c r="CI125" s="616">
        <f t="shared" si="40"/>
        <v>-0.29195283397160887</v>
      </c>
      <c r="CJ125" s="616">
        <f t="shared" si="40"/>
        <v>0.62455786187836848</v>
      </c>
      <c r="CK125" s="616">
        <f t="shared" si="40"/>
        <v>-0.58725666118731767</v>
      </c>
      <c r="CL125" s="616">
        <f t="shared" si="40"/>
        <v>0.20146439798623214</v>
      </c>
      <c r="CM125" s="616">
        <f t="shared" si="40"/>
        <v>-5.3999303633017075E-2</v>
      </c>
      <c r="CN125" s="616">
        <f t="shared" si="40"/>
        <v>-3.5081155156714346E-2</v>
      </c>
      <c r="CO125" s="616">
        <f t="shared" si="40"/>
        <v>0.15305334311670177</v>
      </c>
      <c r="CP125" s="616">
        <f t="shared" si="40"/>
        <v>0.13576840329347281</v>
      </c>
      <c r="CQ125" s="616">
        <f t="shared" si="41"/>
        <v>1.8245699361852789E-3</v>
      </c>
      <c r="CZ125" s="3"/>
      <c r="DA125" s="3"/>
      <c r="DC125" s="41"/>
      <c r="DD125" s="41"/>
      <c r="DE125" s="3"/>
      <c r="DF125" s="118"/>
      <c r="DG125" s="700"/>
      <c r="DH125" s="700"/>
      <c r="DI125" s="700"/>
      <c r="DJ125" s="700"/>
      <c r="DK125" s="43"/>
      <c r="DL125" s="43"/>
      <c r="DS125" s="3"/>
      <c r="DT125" s="3"/>
      <c r="DV125" s="41"/>
      <c r="DW125" s="41"/>
      <c r="DY125" s="118"/>
      <c r="DZ125" s="3"/>
      <c r="EA125" s="486"/>
      <c r="EB125" s="486"/>
      <c r="EC125" s="486"/>
      <c r="ED125" s="486"/>
      <c r="EE125" s="43"/>
      <c r="EF125" s="43"/>
      <c r="EL125" s="3"/>
      <c r="EM125" s="3"/>
      <c r="EO125" s="41"/>
      <c r="EP125" s="41"/>
      <c r="FC125" s="3"/>
      <c r="FE125" s="39"/>
      <c r="FF125" s="39"/>
      <c r="FH125" s="41"/>
      <c r="FI125" s="41"/>
      <c r="FM125" s="3"/>
      <c r="FN125" s="3"/>
      <c r="FO125" s="486"/>
      <c r="FP125" s="486"/>
      <c r="FQ125" s="486"/>
      <c r="FR125" s="486"/>
      <c r="FS125" s="43"/>
      <c r="FT125" s="43"/>
      <c r="FX125" s="3"/>
      <c r="FY125" s="3"/>
      <c r="GA125" s="41"/>
      <c r="GB125" s="41"/>
      <c r="GG125" s="3"/>
      <c r="GH125" s="3"/>
      <c r="GI125" s="486"/>
      <c r="GJ125" s="486"/>
      <c r="GK125" s="486"/>
      <c r="GL125" s="486"/>
      <c r="GM125" s="43"/>
      <c r="GN125" s="43"/>
      <c r="GO125" s="393"/>
      <c r="GS125" s="3"/>
      <c r="GT125" s="3"/>
      <c r="GV125" s="41"/>
      <c r="GW125" s="41"/>
      <c r="HA125" s="3"/>
      <c r="HB125" s="3"/>
      <c r="HC125" s="43"/>
      <c r="HD125" s="43"/>
      <c r="HE125" s="43"/>
      <c r="HF125" s="43"/>
      <c r="HG125" s="43"/>
    </row>
    <row r="126" spans="1:215">
      <c r="A126" s="631" t="s">
        <v>12</v>
      </c>
      <c r="B126" s="631"/>
      <c r="C126" s="618">
        <f t="shared" si="0"/>
        <v>4.260674728847854E-2</v>
      </c>
      <c r="D126" s="618">
        <f t="shared" si="1"/>
        <v>0.12380651265148872</v>
      </c>
      <c r="E126" s="618">
        <f t="shared" si="2"/>
        <v>0.26795517563482024</v>
      </c>
      <c r="F126" s="618">
        <f t="shared" si="3"/>
        <v>0.36234668823589156</v>
      </c>
      <c r="G126" s="618">
        <f t="shared" si="4"/>
        <v>0.37236321932683436</v>
      </c>
      <c r="H126" s="618">
        <f t="shared" si="5"/>
        <v>0.39937080686174026</v>
      </c>
      <c r="I126" s="618">
        <f t="shared" si="6"/>
        <v>0.38113298098895371</v>
      </c>
      <c r="J126" s="618">
        <f t="shared" si="7"/>
        <v>0.38588142998561742</v>
      </c>
      <c r="K126" s="618">
        <f t="shared" si="8"/>
        <v>0.40346224561999422</v>
      </c>
      <c r="L126" s="618">
        <f t="shared" si="9"/>
        <v>0.44500343463685632</v>
      </c>
      <c r="M126" s="618">
        <f t="shared" si="10"/>
        <v>0.47787028014519872</v>
      </c>
      <c r="N126" s="618">
        <f t="shared" si="11"/>
        <v>0.59196147473298111</v>
      </c>
      <c r="O126" s="618">
        <f t="shared" si="12"/>
        <v>0.63597132721984906</v>
      </c>
      <c r="P126" s="618">
        <f t="shared" si="13"/>
        <v>0.80443703581047465</v>
      </c>
      <c r="Q126" s="618">
        <f t="shared" si="14"/>
        <v>0.98419758707906524</v>
      </c>
      <c r="R126" s="618">
        <f t="shared" si="15"/>
        <v>1.1151760864940146</v>
      </c>
      <c r="S126" s="618">
        <f t="shared" si="16"/>
        <v>1.0774892492074668</v>
      </c>
      <c r="T126" s="618">
        <f t="shared" si="17"/>
        <v>1.4899307597543392</v>
      </c>
      <c r="U126" s="618">
        <f t="shared" si="18"/>
        <v>1.3881706739930026</v>
      </c>
      <c r="V126" s="618">
        <f t="shared" si="19"/>
        <v>1.5815154369488926</v>
      </c>
      <c r="W126" s="618">
        <f t="shared" si="20"/>
        <v>1.498713938292205</v>
      </c>
      <c r="Y126" s="631" t="s">
        <v>12</v>
      </c>
      <c r="Z126" s="631"/>
      <c r="AA126" s="618">
        <f t="shared" ref="AA126:AU126" si="48">IFERROR((AA28-Z28)/Z28,0)</f>
        <v>4.260674728847854E-2</v>
      </c>
      <c r="AB126" s="618">
        <f t="shared" si="48"/>
        <v>7.7881488465509643E-2</v>
      </c>
      <c r="AC126" s="618">
        <f t="shared" si="48"/>
        <v>0.12826822176286362</v>
      </c>
      <c r="AD126" s="618">
        <f t="shared" si="48"/>
        <v>7.4443887619144597E-2</v>
      </c>
      <c r="AE126" s="618">
        <f t="shared" si="48"/>
        <v>7.3524097628286178E-3</v>
      </c>
      <c r="AF126" s="618">
        <f t="shared" si="48"/>
        <v>1.9679620638735511E-2</v>
      </c>
      <c r="AG126" s="618">
        <f t="shared" si="48"/>
        <v>-1.3032875763420495E-2</v>
      </c>
      <c r="AH126" s="618">
        <f t="shared" si="48"/>
        <v>3.4380824019303422E-3</v>
      </c>
      <c r="AI126" s="618">
        <f t="shared" si="48"/>
        <v>1.2685656401759598E-2</v>
      </c>
      <c r="AJ126" s="618">
        <f t="shared" si="48"/>
        <v>2.9599078383836998E-2</v>
      </c>
      <c r="AK126" s="618">
        <f t="shared" si="48"/>
        <v>2.2745167741834608E-2</v>
      </c>
      <c r="AL126" s="618">
        <f t="shared" si="48"/>
        <v>7.7199735403416528E-2</v>
      </c>
      <c r="AM126" s="618">
        <f t="shared" si="48"/>
        <v>2.7645048693310696E-2</v>
      </c>
      <c r="AN126" s="618">
        <f t="shared" si="48"/>
        <v>0.1029759542772148</v>
      </c>
      <c r="AO126" s="618">
        <f t="shared" si="48"/>
        <v>9.9621404183743059E-2</v>
      </c>
      <c r="AP126" s="618">
        <f t="shared" si="48"/>
        <v>6.6010814783704394E-2</v>
      </c>
      <c r="AQ126" s="618">
        <f t="shared" si="48"/>
        <v>-1.781735219454714E-2</v>
      </c>
      <c r="AR126" s="618">
        <f t="shared" si="48"/>
        <v>0.1985288302715468</v>
      </c>
      <c r="AS126" s="618">
        <f t="shared" si="48"/>
        <v>-4.0868640769503334E-2</v>
      </c>
      <c r="AT126" s="618">
        <f t="shared" si="48"/>
        <v>8.095935732793294E-2</v>
      </c>
      <c r="AU126" s="618">
        <f t="shared" si="48"/>
        <v>-3.2074764098467351E-2</v>
      </c>
      <c r="AV126" s="565"/>
      <c r="AW126" s="631" t="s">
        <v>12</v>
      </c>
      <c r="AX126" s="631"/>
      <c r="AY126" s="618">
        <f t="shared" ref="AY126:BS126" si="49">(AY28-$AX28)/$AX28</f>
        <v>-8.352005152080426E-4</v>
      </c>
      <c r="AZ126" s="618">
        <f t="shared" si="49"/>
        <v>-1.2767195483240795E-2</v>
      </c>
      <c r="BA126" s="618">
        <f t="shared" si="49"/>
        <v>0.11791381318469994</v>
      </c>
      <c r="BB126" s="618">
        <f t="shared" si="49"/>
        <v>0.19205335220640507</v>
      </c>
      <c r="BC126" s="618">
        <f t="shared" si="49"/>
        <v>0.31518141852154963</v>
      </c>
      <c r="BD126" s="618">
        <f t="shared" si="49"/>
        <v>0.29316855812669756</v>
      </c>
      <c r="BE126" s="618">
        <f t="shared" si="49"/>
        <v>0.42947263532356722</v>
      </c>
      <c r="BF126" s="618">
        <f t="shared" si="49"/>
        <v>0.56376470026380121</v>
      </c>
      <c r="BG126" s="618">
        <f t="shared" si="49"/>
        <v>0.61238434333657232</v>
      </c>
      <c r="BH126" s="618">
        <f t="shared" si="49"/>
        <v>0.85565733746573114</v>
      </c>
      <c r="BI126" s="618">
        <f t="shared" si="49"/>
        <v>0.97853635302483455</v>
      </c>
      <c r="BJ126" s="618">
        <f t="shared" si="49"/>
        <v>2.6324308328110333</v>
      </c>
      <c r="BK126" s="618">
        <f t="shared" si="49"/>
        <v>0.92760529372416056</v>
      </c>
      <c r="BL126" s="618">
        <f t="shared" si="49"/>
        <v>1.7761844306101549</v>
      </c>
      <c r="BM126" s="618">
        <f t="shared" si="49"/>
        <v>0.80211977053309058</v>
      </c>
      <c r="BN126" s="618">
        <f t="shared" si="49"/>
        <v>1.040697816499307</v>
      </c>
      <c r="BO126" s="618">
        <f t="shared" si="49"/>
        <v>2.4741649671957386</v>
      </c>
      <c r="BP126" s="618">
        <f t="shared" si="49"/>
        <v>1.6031966584951507</v>
      </c>
      <c r="BQ126" s="618">
        <f t="shared" si="49"/>
        <v>1.0539725372525943</v>
      </c>
      <c r="BR126" s="618">
        <f t="shared" si="49"/>
        <v>0.93958836066862039</v>
      </c>
      <c r="BS126" s="618">
        <f t="shared" si="49"/>
        <v>0.98058641969392912</v>
      </c>
      <c r="BU126" s="631" t="s">
        <v>12</v>
      </c>
      <c r="BV126" s="631"/>
      <c r="BW126" s="618">
        <f t="shared" si="39"/>
        <v>-8.352005152080426E-4</v>
      </c>
      <c r="BX126" s="618">
        <f t="shared" si="39"/>
        <v>-1.1941968906616156E-2</v>
      </c>
      <c r="BY126" s="618">
        <f t="shared" si="39"/>
        <v>0.1323710152965468</v>
      </c>
      <c r="BZ126" s="618">
        <f t="shared" si="39"/>
        <v>6.6319548204254924E-2</v>
      </c>
      <c r="CA126" s="618">
        <f t="shared" si="39"/>
        <v>0.10329073450214568</v>
      </c>
      <c r="CB126" s="618">
        <f t="shared" si="39"/>
        <v>-1.6737508669790707E-2</v>
      </c>
      <c r="CC126" s="618">
        <f t="shared" si="39"/>
        <v>0.10540317914496906</v>
      </c>
      <c r="CD126" s="618">
        <f t="shared" si="39"/>
        <v>9.3945180636379522E-2</v>
      </c>
      <c r="CE126" s="618">
        <f t="shared" si="39"/>
        <v>3.1091405928634411E-2</v>
      </c>
      <c r="CF126" s="618">
        <f t="shared" si="39"/>
        <v>0.1508777948226315</v>
      </c>
      <c r="CG126" s="618">
        <f t="shared" si="40"/>
        <v>6.6218591696955806E-2</v>
      </c>
      <c r="CH126" s="618">
        <f t="shared" si="40"/>
        <v>0.8359181661017675</v>
      </c>
      <c r="CI126" s="618">
        <f t="shared" si="40"/>
        <v>-0.46933461848399671</v>
      </c>
      <c r="CJ126" s="618">
        <f t="shared" si="40"/>
        <v>0.44022453126102778</v>
      </c>
      <c r="CK126" s="618">
        <f t="shared" si="40"/>
        <v>-0.3508645352726017</v>
      </c>
      <c r="CL126" s="618">
        <f t="shared" si="40"/>
        <v>0.13238745274718453</v>
      </c>
      <c r="CM126" s="618">
        <f t="shared" si="40"/>
        <v>0.70243969445483956</v>
      </c>
      <c r="CN126" s="618">
        <f t="shared" si="40"/>
        <v>-0.25069860439114733</v>
      </c>
      <c r="CO126" s="618">
        <f t="shared" si="40"/>
        <v>-0.21098064929141794</v>
      </c>
      <c r="CP126" s="618">
        <f t="shared" si="40"/>
        <v>-5.5689243409736515E-2</v>
      </c>
      <c r="CQ126" s="618">
        <f t="shared" si="41"/>
        <v>2.1137505182375761E-2</v>
      </c>
      <c r="CZ126" s="3"/>
      <c r="DA126" s="3"/>
      <c r="DC126" s="41"/>
      <c r="DD126" s="41"/>
      <c r="DE126" s="3"/>
      <c r="DF126" s="118"/>
      <c r="DG126" s="700"/>
      <c r="DH126" s="700"/>
      <c r="DI126" s="700"/>
      <c r="DJ126" s="700"/>
      <c r="DK126" s="43"/>
      <c r="DL126" s="43"/>
      <c r="DS126" s="3"/>
      <c r="DT126" s="3"/>
      <c r="DV126" s="41"/>
      <c r="DW126" s="41"/>
      <c r="DY126" s="118"/>
      <c r="DZ126" s="3"/>
      <c r="EA126" s="486"/>
      <c r="EB126" s="486"/>
      <c r="EC126" s="486"/>
      <c r="ED126" s="486"/>
      <c r="EE126" s="43"/>
      <c r="EF126" s="43"/>
      <c r="EL126" s="3"/>
      <c r="EM126" s="3"/>
      <c r="EO126" s="41"/>
      <c r="EP126" s="41"/>
      <c r="FC126" s="3"/>
      <c r="FE126" s="39"/>
      <c r="FF126" s="39"/>
      <c r="FH126" s="41"/>
      <c r="FI126" s="41"/>
      <c r="FM126" s="3"/>
      <c r="FN126" s="3"/>
      <c r="FO126" s="486"/>
      <c r="FP126" s="486"/>
      <c r="FQ126" s="486"/>
      <c r="FR126" s="486"/>
      <c r="FS126" s="43"/>
      <c r="FT126" s="43"/>
      <c r="FX126" s="3"/>
      <c r="FY126" s="3"/>
      <c r="GA126" s="41"/>
      <c r="GB126" s="41"/>
      <c r="GG126" s="3"/>
      <c r="GH126" s="3"/>
      <c r="GI126" s="486"/>
      <c r="GJ126" s="486"/>
      <c r="GK126" s="486"/>
      <c r="GL126" s="486"/>
      <c r="GM126" s="43"/>
      <c r="GN126" s="43"/>
      <c r="GO126" s="393"/>
      <c r="GS126" s="3"/>
      <c r="GT126" s="3"/>
      <c r="GV126" s="41"/>
      <c r="GW126" s="41"/>
      <c r="HA126" s="3"/>
      <c r="HB126" s="3"/>
      <c r="HC126" s="43"/>
      <c r="HD126" s="43"/>
      <c r="HE126" s="43"/>
      <c r="HF126" s="43"/>
      <c r="HG126" s="43"/>
    </row>
    <row r="127" spans="1:215">
      <c r="A127" s="632" t="s">
        <v>13</v>
      </c>
      <c r="B127" s="632"/>
      <c r="C127" s="616">
        <f t="shared" si="0"/>
        <v>-2.6970894356022634E-2</v>
      </c>
      <c r="D127" s="616">
        <f t="shared" si="1"/>
        <v>-0.90151923647471754</v>
      </c>
      <c r="E127" s="616">
        <f t="shared" si="2"/>
        <v>-0.85459940951025481</v>
      </c>
      <c r="F127" s="616">
        <f t="shared" si="3"/>
        <v>-0.87057530486174206</v>
      </c>
      <c r="G127" s="616">
        <f t="shared" si="4"/>
        <v>-0.78903229113080642</v>
      </c>
      <c r="H127" s="616">
        <f t="shared" si="5"/>
        <v>-0.78732420111311141</v>
      </c>
      <c r="I127" s="616">
        <f t="shared" si="6"/>
        <v>-0.74928662089948683</v>
      </c>
      <c r="J127" s="616">
        <f t="shared" si="7"/>
        <v>-0.71661584009231294</v>
      </c>
      <c r="K127" s="616">
        <f t="shared" si="8"/>
        <v>-0.64627473461627494</v>
      </c>
      <c r="L127" s="616">
        <f t="shared" si="9"/>
        <v>-0.62339289409093757</v>
      </c>
      <c r="M127" s="616">
        <f t="shared" si="10"/>
        <v>-0.5813368302820453</v>
      </c>
      <c r="N127" s="616">
        <f t="shared" si="11"/>
        <v>-1</v>
      </c>
      <c r="O127" s="616">
        <f t="shared" si="12"/>
        <v>-0.65467303927803067</v>
      </c>
      <c r="P127" s="616">
        <f t="shared" si="13"/>
        <v>-0.49327868755441417</v>
      </c>
      <c r="Q127" s="616">
        <f t="shared" si="14"/>
        <v>1.6914929479454068</v>
      </c>
      <c r="R127" s="616">
        <f t="shared" si="15"/>
        <v>-0.52217161586968264</v>
      </c>
      <c r="S127" s="616">
        <f t="shared" si="16"/>
        <v>-0.49760022117962388</v>
      </c>
      <c r="T127" s="616">
        <f t="shared" si="17"/>
        <v>-0.53125697537087613</v>
      </c>
      <c r="U127" s="616">
        <f t="shared" si="18"/>
        <v>-0.43114617340156458</v>
      </c>
      <c r="V127" s="616">
        <f t="shared" si="19"/>
        <v>-0.11068472445840415</v>
      </c>
      <c r="W127" s="616">
        <f t="shared" si="20"/>
        <v>-0.46536346965262138</v>
      </c>
      <c r="Y127" s="632" t="s">
        <v>13</v>
      </c>
      <c r="Z127" s="632"/>
      <c r="AA127" s="616">
        <f t="shared" ref="AA127:AU127" si="50">IFERROR((AA29-Z29)/Z29,0)</f>
        <v>-2.6970894356022634E-2</v>
      </c>
      <c r="AB127" s="616">
        <f t="shared" si="50"/>
        <v>-0.89878949873744507</v>
      </c>
      <c r="AC127" s="616">
        <f t="shared" si="50"/>
        <v>0.47643646621826952</v>
      </c>
      <c r="AD127" s="616">
        <f t="shared" si="50"/>
        <v>-0.10987503763001552</v>
      </c>
      <c r="AE127" s="616">
        <f t="shared" si="50"/>
        <v>0.630042154194972</v>
      </c>
      <c r="AF127" s="616">
        <f t="shared" si="50"/>
        <v>8.0964524232195259E-3</v>
      </c>
      <c r="AG127" s="616">
        <f t="shared" si="50"/>
        <v>0.17885241486199777</v>
      </c>
      <c r="AH127" s="616">
        <f t="shared" si="50"/>
        <v>0.13031127785994964</v>
      </c>
      <c r="AI127" s="616">
        <f t="shared" si="50"/>
        <v>0.24821819786593532</v>
      </c>
      <c r="AJ127" s="616">
        <f t="shared" si="50"/>
        <v>6.4688171201214187E-2</v>
      </c>
      <c r="AK127" s="616">
        <f t="shared" si="50"/>
        <v>0.11167092481533623</v>
      </c>
      <c r="AL127" s="616">
        <f t="shared" si="50"/>
        <v>-1</v>
      </c>
      <c r="AM127" s="616">
        <f t="shared" si="50"/>
        <v>0</v>
      </c>
      <c r="AN127" s="616">
        <f t="shared" si="50"/>
        <v>0.46736678591845859</v>
      </c>
      <c r="AO127" s="616">
        <f t="shared" si="50"/>
        <v>4.3115842610911148</v>
      </c>
      <c r="AP127" s="616">
        <f t="shared" si="50"/>
        <v>-0.82246716102485973</v>
      </c>
      <c r="AQ127" s="616">
        <f t="shared" si="50"/>
        <v>5.1423053770195057E-2</v>
      </c>
      <c r="AR127" s="616">
        <f t="shared" si="50"/>
        <v>-6.6991976529682362E-2</v>
      </c>
      <c r="AS127" s="616">
        <f t="shared" si="50"/>
        <v>0.2135728890014324</v>
      </c>
      <c r="AT127" s="616">
        <f t="shared" si="50"/>
        <v>0.56334586137781262</v>
      </c>
      <c r="AU127" s="616">
        <f t="shared" si="50"/>
        <v>-0.39882227928471903</v>
      </c>
      <c r="AV127" s="565"/>
      <c r="AW127" s="632" t="s">
        <v>13</v>
      </c>
      <c r="AX127" s="632"/>
      <c r="AY127" s="616">
        <f t="shared" ref="AY127:BS127" si="51">(AY29-$AX29)/$AX29</f>
        <v>6.0352230509462527E-2</v>
      </c>
      <c r="AZ127" s="616">
        <f t="shared" si="51"/>
        <v>0.12684719802967473</v>
      </c>
      <c r="BA127" s="616">
        <f t="shared" si="51"/>
        <v>0.14083540230415412</v>
      </c>
      <c r="BB127" s="616">
        <f t="shared" si="51"/>
        <v>0.1847337478040533</v>
      </c>
      <c r="BC127" s="616">
        <f t="shared" si="51"/>
        <v>0.19548368359209642</v>
      </c>
      <c r="BD127" s="616">
        <f t="shared" si="51"/>
        <v>0.27469148691820999</v>
      </c>
      <c r="BE127" s="616">
        <f t="shared" si="51"/>
        <v>0.25678116959359776</v>
      </c>
      <c r="BF127" s="616">
        <f t="shared" si="51"/>
        <v>0.34375040611598617</v>
      </c>
      <c r="BG127" s="616">
        <f t="shared" si="51"/>
        <v>0.41134310971023491</v>
      </c>
      <c r="BH127" s="616">
        <f t="shared" si="51"/>
        <v>0.43577606957991571</v>
      </c>
      <c r="BI127" s="616">
        <f t="shared" si="51"/>
        <v>0.58965964085401967</v>
      </c>
      <c r="BJ127" s="616">
        <f t="shared" si="51"/>
        <v>-1</v>
      </c>
      <c r="BK127" s="616">
        <f t="shared" si="51"/>
        <v>0.49334827645470553</v>
      </c>
      <c r="BL127" s="616">
        <f t="shared" si="51"/>
        <v>0.59338955609131627</v>
      </c>
      <c r="BM127" s="616">
        <f t="shared" si="51"/>
        <v>2.332623485178245</v>
      </c>
      <c r="BN127" s="616">
        <f t="shared" si="51"/>
        <v>0.72301714280374141</v>
      </c>
      <c r="BO127" s="616">
        <f t="shared" si="51"/>
        <v>0.80401663859933659</v>
      </c>
      <c r="BP127" s="616">
        <f t="shared" si="51"/>
        <v>0.89162010965168126</v>
      </c>
      <c r="BQ127" s="616">
        <f t="shared" si="51"/>
        <v>0.9148192800288184</v>
      </c>
      <c r="BR127" s="616">
        <f t="shared" si="51"/>
        <v>1.0095764887427203</v>
      </c>
      <c r="BS127" s="616">
        <f t="shared" si="51"/>
        <v>0.77048317617526851</v>
      </c>
      <c r="BU127" s="632" t="s">
        <v>13</v>
      </c>
      <c r="BV127" s="632"/>
      <c r="BW127" s="616">
        <f t="shared" ref="BW127:BW139" si="52">(AY29-AX29)/AX29</f>
        <v>6.0352230509462527E-2</v>
      </c>
      <c r="BX127" s="616">
        <f t="shared" ref="BX127:BX139" si="53">(AZ29-AY29)/AY29</f>
        <v>6.2710263256827103E-2</v>
      </c>
      <c r="BY127" s="616">
        <f t="shared" ref="BY127:BY139" si="54">(BA29-AZ29)/AZ29</f>
        <v>1.2413576835384741E-2</v>
      </c>
      <c r="BZ127" s="616">
        <f t="shared" ref="BZ127:BZ139" si="55">(BB29-BA29)/BA29</f>
        <v>3.8479122764982013E-2</v>
      </c>
      <c r="CA127" s="616">
        <f t="shared" ref="CA127:CA139" si="56">(BC29-BB29)/BB29</f>
        <v>9.0737145016494269E-3</v>
      </c>
      <c r="CB127" s="616">
        <f t="shared" ref="CB127:CB139" si="57">(BD29-BC29)/BC29</f>
        <v>6.6255863139943583E-2</v>
      </c>
      <c r="CC127" s="616">
        <f t="shared" ref="CC127:CC139" si="58">(BE29-BD29)/BD29</f>
        <v>-1.4050707569965451E-2</v>
      </c>
      <c r="CD127" s="616">
        <f t="shared" ref="CD127:CD139" si="59">(BF29-BE29)/BE29</f>
        <v>6.919998375732464E-2</v>
      </c>
      <c r="CE127" s="616">
        <f t="shared" ref="CE127:CE139" si="60">(BG29-BF29)/BF29</f>
        <v>5.0301531658413084E-2</v>
      </c>
      <c r="CF127" s="616">
        <f t="shared" ref="CF127:CF139" si="61">(BH29-BG29)/BG29</f>
        <v>1.7311849756149789E-2</v>
      </c>
      <c r="CG127" s="616">
        <f t="shared" ref="CG127:CG139" si="62">(BI29-BH29)/BH29</f>
        <v>0.10717797470961316</v>
      </c>
      <c r="CH127" s="616">
        <f t="shared" ref="CH127:CH139" si="63">(BJ29-BI29)/BI29</f>
        <v>-1</v>
      </c>
      <c r="CI127" s="616">
        <v>0</v>
      </c>
      <c r="CJ127" s="616">
        <v>0</v>
      </c>
      <c r="CK127" s="616">
        <f t="shared" ref="CK127:CQ132" si="64">(BM29-BL29)/BL29</f>
        <v>1.0915308955290115</v>
      </c>
      <c r="CL127" s="616">
        <f t="shared" si="64"/>
        <v>-0.48298475646384453</v>
      </c>
      <c r="CM127" s="616">
        <f t="shared" si="64"/>
        <v>4.7010266922701958E-2</v>
      </c>
      <c r="CN127" s="616">
        <f t="shared" si="64"/>
        <v>4.8560234522205523E-2</v>
      </c>
      <c r="CO127" s="616">
        <f t="shared" si="64"/>
        <v>1.2264180455032792E-2</v>
      </c>
      <c r="CP127" s="616">
        <f t="shared" si="64"/>
        <v>4.9486241183280641E-2</v>
      </c>
      <c r="CQ127" s="616">
        <f t="shared" si="64"/>
        <v>-0.11897696549835687</v>
      </c>
      <c r="CZ127" s="3"/>
      <c r="DA127" s="3"/>
      <c r="DC127" s="41"/>
      <c r="DD127" s="41"/>
      <c r="DE127" s="3"/>
      <c r="DF127" s="118"/>
      <c r="DG127" s="700"/>
      <c r="DH127" s="700"/>
      <c r="DI127" s="700"/>
      <c r="DJ127" s="700"/>
      <c r="DK127" s="43"/>
      <c r="DL127" s="43"/>
      <c r="DS127" s="3"/>
      <c r="DT127" s="3"/>
      <c r="DV127" s="41"/>
      <c r="DW127" s="41"/>
      <c r="DY127" s="118"/>
      <c r="DZ127" s="3"/>
      <c r="EA127" s="486"/>
      <c r="EB127" s="486"/>
      <c r="EC127" s="486"/>
      <c r="ED127" s="486"/>
      <c r="EE127" s="43"/>
      <c r="EF127" s="43"/>
      <c r="EL127" s="3"/>
      <c r="EM127" s="3"/>
      <c r="EO127" s="41"/>
      <c r="EP127" s="41"/>
      <c r="FC127" s="3"/>
      <c r="FE127" s="39"/>
      <c r="FF127" s="39"/>
      <c r="FH127" s="41"/>
      <c r="FI127" s="41"/>
      <c r="FM127" s="3"/>
      <c r="FN127" s="3"/>
      <c r="FO127" s="486"/>
      <c r="FP127" s="486"/>
      <c r="FQ127" s="486"/>
      <c r="FR127" s="486"/>
      <c r="FS127" s="43"/>
      <c r="FT127" s="43"/>
      <c r="FX127" s="3"/>
      <c r="FY127" s="3"/>
      <c r="GA127" s="41"/>
      <c r="GB127" s="41"/>
      <c r="GG127" s="3"/>
      <c r="GH127" s="3"/>
      <c r="GI127" s="486"/>
      <c r="GJ127" s="486"/>
      <c r="GK127" s="486"/>
      <c r="GL127" s="486"/>
      <c r="GM127" s="43"/>
      <c r="GN127" s="43"/>
      <c r="GO127" s="393"/>
      <c r="GS127" s="3"/>
      <c r="GT127" s="3"/>
      <c r="GV127" s="41"/>
      <c r="GW127" s="41"/>
      <c r="HA127" s="3"/>
      <c r="HB127" s="3"/>
      <c r="HC127" s="43"/>
      <c r="HD127" s="43"/>
      <c r="HE127" s="43"/>
      <c r="HF127" s="43"/>
      <c r="HG127" s="43"/>
    </row>
    <row r="128" spans="1:215">
      <c r="A128" s="631" t="s">
        <v>14</v>
      </c>
      <c r="B128" s="631"/>
      <c r="C128" s="618">
        <f t="shared" si="0"/>
        <v>0.33893087557603696</v>
      </c>
      <c r="D128" s="618">
        <f t="shared" si="1"/>
        <v>0.82638812083973379</v>
      </c>
      <c r="E128" s="618">
        <f t="shared" si="2"/>
        <v>0.72869772998805249</v>
      </c>
      <c r="F128" s="618">
        <f t="shared" si="3"/>
        <v>1.1782577231609488</v>
      </c>
      <c r="G128" s="618">
        <f t="shared" si="4"/>
        <v>0.76982249530636615</v>
      </c>
      <c r="H128" s="618">
        <f t="shared" si="5"/>
        <v>1.1934456391875745</v>
      </c>
      <c r="I128" s="618">
        <f t="shared" si="6"/>
        <v>1.6291684587813622</v>
      </c>
      <c r="J128" s="618">
        <f t="shared" si="7"/>
        <v>1.9954686806622293</v>
      </c>
      <c r="K128" s="618">
        <f t="shared" si="8"/>
        <v>1.6234481993514254</v>
      </c>
      <c r="L128" s="618">
        <f t="shared" si="9"/>
        <v>2.4706487455197137</v>
      </c>
      <c r="M128" s="618">
        <f t="shared" si="10"/>
        <v>2.4219969278033795</v>
      </c>
      <c r="N128" s="618">
        <f t="shared" si="11"/>
        <v>-1</v>
      </c>
      <c r="O128" s="618">
        <f t="shared" si="12"/>
        <v>4.8117567844342037</v>
      </c>
      <c r="P128" s="618">
        <f t="shared" si="13"/>
        <v>5.2526490868748938</v>
      </c>
      <c r="Q128" s="618">
        <f t="shared" si="14"/>
        <v>5.187302952722308</v>
      </c>
      <c r="R128" s="618">
        <f t="shared" si="15"/>
        <v>7.258574159412869</v>
      </c>
      <c r="S128" s="618">
        <f t="shared" si="16"/>
        <v>-1</v>
      </c>
      <c r="T128" s="618">
        <f t="shared" si="17"/>
        <v>-1</v>
      </c>
      <c r="U128" s="618">
        <f t="shared" si="18"/>
        <v>-1</v>
      </c>
      <c r="V128" s="618">
        <f t="shared" si="19"/>
        <v>-1</v>
      </c>
      <c r="W128" s="618">
        <f t="shared" si="20"/>
        <v>-1</v>
      </c>
      <c r="Y128" s="631" t="s">
        <v>14</v>
      </c>
      <c r="Z128" s="631"/>
      <c r="AA128" s="618">
        <f t="shared" ref="AA128:AU128" si="65">IFERROR((AA30-Z30)/Z30,0)</f>
        <v>0.33893087557603696</v>
      </c>
      <c r="AB128" s="618">
        <f t="shared" si="65"/>
        <v>0.36406453399170602</v>
      </c>
      <c r="AC128" s="618">
        <f t="shared" si="65"/>
        <v>-5.3488297332313667E-2</v>
      </c>
      <c r="AD128" s="618">
        <f t="shared" si="65"/>
        <v>0.26005702753829812</v>
      </c>
      <c r="AE128" s="618">
        <f t="shared" si="65"/>
        <v>-0.18750546526785064</v>
      </c>
      <c r="AF128" s="618">
        <f t="shared" si="65"/>
        <v>0.23935911369907009</v>
      </c>
      <c r="AG128" s="618">
        <f t="shared" si="65"/>
        <v>0.19864764907288698</v>
      </c>
      <c r="AH128" s="618">
        <f t="shared" si="65"/>
        <v>0.13932170099539751</v>
      </c>
      <c r="AI128" s="618">
        <f t="shared" si="65"/>
        <v>-0.12419441528881504</v>
      </c>
      <c r="AJ128" s="618">
        <f t="shared" si="65"/>
        <v>0.32293397154848913</v>
      </c>
      <c r="AK128" s="618">
        <f t="shared" si="65"/>
        <v>-1.4018075951690299E-2</v>
      </c>
      <c r="AL128" s="618">
        <f t="shared" si="65"/>
        <v>-1</v>
      </c>
      <c r="AM128" s="618">
        <f t="shared" si="65"/>
        <v>0</v>
      </c>
      <c r="AN128" s="618">
        <f t="shared" si="65"/>
        <v>7.5862139245321522E-2</v>
      </c>
      <c r="AO128" s="618">
        <f t="shared" si="65"/>
        <v>-1.0450951787739967E-2</v>
      </c>
      <c r="AP128" s="618">
        <f t="shared" si="65"/>
        <v>0.33476156291639753</v>
      </c>
      <c r="AQ128" s="618">
        <f t="shared" si="65"/>
        <v>-1</v>
      </c>
      <c r="AR128" s="618">
        <f t="shared" si="65"/>
        <v>0</v>
      </c>
      <c r="AS128" s="618">
        <f t="shared" si="65"/>
        <v>0</v>
      </c>
      <c r="AT128" s="618">
        <f t="shared" si="65"/>
        <v>0</v>
      </c>
      <c r="AU128" s="618">
        <f t="shared" si="65"/>
        <v>0</v>
      </c>
      <c r="AV128" s="565"/>
      <c r="AW128" s="631" t="s">
        <v>14</v>
      </c>
      <c r="AX128" s="631"/>
      <c r="AY128" s="618">
        <f t="shared" ref="AY128:BS128" si="66">(AY30-$AX30)/$AX30</f>
        <v>4.1390681003584166E-2</v>
      </c>
      <c r="AZ128" s="618">
        <f t="shared" si="66"/>
        <v>6.539307048984469E-2</v>
      </c>
      <c r="BA128" s="618">
        <f t="shared" si="66"/>
        <v>0.12154535652883403</v>
      </c>
      <c r="BB128" s="618">
        <f t="shared" si="66"/>
        <v>0.23012302940233706</v>
      </c>
      <c r="BC128" s="618">
        <f t="shared" si="66"/>
        <v>0.23887574671445636</v>
      </c>
      <c r="BD128" s="618">
        <f t="shared" si="66"/>
        <v>0.28396817903662902</v>
      </c>
      <c r="BE128" s="618">
        <f t="shared" si="66"/>
        <v>0.28252119940554243</v>
      </c>
      <c r="BF128" s="618">
        <f t="shared" si="66"/>
        <v>0.31445196258414193</v>
      </c>
      <c r="BG128" s="618">
        <f t="shared" si="66"/>
        <v>0.34601287991374535</v>
      </c>
      <c r="BH128" s="618">
        <f t="shared" si="66"/>
        <v>0.39917539411953262</v>
      </c>
      <c r="BI128" s="618">
        <f t="shared" si="66"/>
        <v>0.30807806626453366</v>
      </c>
      <c r="BJ128" s="618">
        <f t="shared" si="66"/>
        <v>-1</v>
      </c>
      <c r="BK128" s="618">
        <f t="shared" si="66"/>
        <v>0.2862364134394032</v>
      </c>
      <c r="BL128" s="618">
        <f t="shared" si="66"/>
        <v>0.2947684820934231</v>
      </c>
      <c r="BM128" s="618">
        <f t="shared" si="66"/>
        <v>0.33283273596176827</v>
      </c>
      <c r="BN128" s="618">
        <f t="shared" si="66"/>
        <v>0.32068563685636858</v>
      </c>
      <c r="BO128" s="618">
        <f t="shared" si="66"/>
        <v>-1</v>
      </c>
      <c r="BP128" s="618">
        <f t="shared" si="66"/>
        <v>-1</v>
      </c>
      <c r="BQ128" s="618">
        <f t="shared" si="66"/>
        <v>-1</v>
      </c>
      <c r="BR128" s="618">
        <f t="shared" si="66"/>
        <v>-1</v>
      </c>
      <c r="BS128" s="618">
        <f t="shared" si="66"/>
        <v>-1</v>
      </c>
      <c r="BU128" s="631" t="s">
        <v>14</v>
      </c>
      <c r="BV128" s="631"/>
      <c r="BW128" s="618">
        <f t="shared" si="52"/>
        <v>4.1390681003584166E-2</v>
      </c>
      <c r="BX128" s="618">
        <f t="shared" si="53"/>
        <v>2.3048400493779635E-2</v>
      </c>
      <c r="BY128" s="618">
        <f t="shared" si="54"/>
        <v>5.2705698576743822E-2</v>
      </c>
      <c r="BZ128" s="618">
        <f t="shared" si="55"/>
        <v>9.6810772958437721E-2</v>
      </c>
      <c r="CA128" s="618">
        <f t="shared" si="56"/>
        <v>7.11531863310605E-3</v>
      </c>
      <c r="CB128" s="618">
        <f t="shared" si="57"/>
        <v>3.6397865114204911E-2</v>
      </c>
      <c r="CC128" s="618">
        <f t="shared" si="58"/>
        <v>-1.1269591059276144E-3</v>
      </c>
      <c r="CD128" s="618">
        <f t="shared" si="59"/>
        <v>2.4896869691822358E-2</v>
      </c>
      <c r="CE128" s="618">
        <f t="shared" si="60"/>
        <v>2.4010704253928278E-2</v>
      </c>
      <c r="CF128" s="618">
        <f t="shared" si="61"/>
        <v>3.9496289373690124E-2</v>
      </c>
      <c r="CG128" s="618">
        <f t="shared" si="62"/>
        <v>-6.510786870456961E-2</v>
      </c>
      <c r="CH128" s="618">
        <f t="shared" si="63"/>
        <v>-1</v>
      </c>
      <c r="CI128" s="618">
        <v>0</v>
      </c>
      <c r="CJ128" s="618">
        <v>0</v>
      </c>
      <c r="CK128" s="618">
        <f t="shared" si="64"/>
        <v>2.9398502044783836E-2</v>
      </c>
      <c r="CL128" s="618">
        <f t="shared" si="64"/>
        <v>-9.1137460670444887E-3</v>
      </c>
      <c r="CM128" s="618">
        <f t="shared" si="64"/>
        <v>-1</v>
      </c>
      <c r="CN128" s="618" t="e">
        <f t="shared" si="64"/>
        <v>#DIV/0!</v>
      </c>
      <c r="CO128" s="618" t="e">
        <f t="shared" si="64"/>
        <v>#DIV/0!</v>
      </c>
      <c r="CP128" s="618" t="e">
        <f t="shared" si="64"/>
        <v>#DIV/0!</v>
      </c>
      <c r="CQ128" s="618" t="e">
        <f t="shared" si="64"/>
        <v>#DIV/0!</v>
      </c>
      <c r="CZ128" s="3"/>
      <c r="DA128" s="3"/>
      <c r="DC128" s="41"/>
      <c r="DD128" s="41"/>
      <c r="DE128" s="3"/>
      <c r="DF128" s="118"/>
      <c r="DG128" s="700"/>
      <c r="DH128" s="700"/>
      <c r="DI128" s="700"/>
      <c r="DJ128" s="700"/>
      <c r="DK128" s="43"/>
      <c r="DL128" s="43"/>
      <c r="DS128" s="3"/>
      <c r="DT128" s="3"/>
      <c r="DV128" s="41"/>
      <c r="DW128" s="41"/>
      <c r="DY128" s="118"/>
      <c r="DZ128" s="3"/>
      <c r="EA128" s="486"/>
      <c r="EB128" s="486"/>
      <c r="EC128" s="486"/>
      <c r="ED128" s="486"/>
      <c r="EE128" s="43"/>
      <c r="EF128" s="43"/>
      <c r="EL128" s="3"/>
      <c r="EM128" s="3"/>
      <c r="EO128" s="41"/>
      <c r="EP128" s="41"/>
      <c r="FC128" s="3"/>
      <c r="FE128" s="39"/>
      <c r="FF128" s="39"/>
      <c r="FH128" s="41"/>
      <c r="FI128" s="41"/>
      <c r="FM128" s="3"/>
      <c r="FN128" s="3"/>
      <c r="FO128" s="486"/>
      <c r="FP128" s="486"/>
      <c r="FQ128" s="486"/>
      <c r="FR128" s="486"/>
      <c r="FS128" s="43"/>
      <c r="FT128" s="43"/>
      <c r="FX128" s="3"/>
      <c r="FY128" s="3"/>
      <c r="GA128" s="41"/>
      <c r="GB128" s="41"/>
      <c r="GG128" s="3"/>
      <c r="GH128" s="3"/>
      <c r="GI128" s="486"/>
      <c r="GJ128" s="486"/>
      <c r="GK128" s="486"/>
      <c r="GL128" s="486"/>
      <c r="GM128" s="43"/>
      <c r="GN128" s="43"/>
      <c r="GO128" s="393"/>
      <c r="GS128" s="3"/>
      <c r="GT128" s="3"/>
      <c r="GV128" s="41"/>
      <c r="GW128" s="41"/>
      <c r="HA128" s="3"/>
      <c r="HB128" s="3"/>
      <c r="HC128" s="43"/>
      <c r="HD128" s="43"/>
      <c r="HE128" s="43"/>
      <c r="HF128" s="43"/>
      <c r="HG128" s="43"/>
    </row>
    <row r="129" spans="1:215">
      <c r="A129" s="632" t="s">
        <v>15</v>
      </c>
      <c r="B129" s="632"/>
      <c r="C129" s="616">
        <f t="shared" si="0"/>
        <v>1.3569058100440476E-2</v>
      </c>
      <c r="D129" s="616">
        <f t="shared" si="1"/>
        <v>7.3882783192991533E-2</v>
      </c>
      <c r="E129" s="616">
        <f t="shared" si="2"/>
        <v>4.5112618583043905E-2</v>
      </c>
      <c r="F129" s="616">
        <f t="shared" si="3"/>
        <v>0.18089687337187485</v>
      </c>
      <c r="G129" s="616">
        <f t="shared" si="4"/>
        <v>0.23952837341911398</v>
      </c>
      <c r="H129" s="616">
        <f t="shared" si="5"/>
        <v>0.22698171960925473</v>
      </c>
      <c r="I129" s="616">
        <f t="shared" si="6"/>
        <v>0.24350685355713311</v>
      </c>
      <c r="J129" s="616">
        <f t="shared" si="7"/>
        <v>0.24668769820173689</v>
      </c>
      <c r="K129" s="616">
        <f t="shared" si="8"/>
        <v>0.29326392942855295</v>
      </c>
      <c r="L129" s="616">
        <f t="shared" si="9"/>
        <v>0.28851453174937702</v>
      </c>
      <c r="M129" s="616">
        <f t="shared" si="10"/>
        <v>0.4495249998752624</v>
      </c>
      <c r="N129" s="616">
        <f t="shared" si="11"/>
        <v>0.49306616829638111</v>
      </c>
      <c r="O129" s="616">
        <f t="shared" si="12"/>
        <v>0.64813374298714099</v>
      </c>
      <c r="P129" s="616">
        <f t="shared" si="13"/>
        <v>0.74272406584140394</v>
      </c>
      <c r="Q129" s="616">
        <f t="shared" si="14"/>
        <v>1.1907158415406536</v>
      </c>
      <c r="R129" s="616">
        <f t="shared" si="15"/>
        <v>1.1668923206971904</v>
      </c>
      <c r="S129" s="616">
        <f t="shared" si="16"/>
        <v>1.4143087671419401</v>
      </c>
      <c r="T129" s="616">
        <f t="shared" si="17"/>
        <v>1.3828222639730461</v>
      </c>
      <c r="U129" s="616">
        <f t="shared" si="18"/>
        <v>1.9383264759938392</v>
      </c>
      <c r="V129" s="616">
        <f t="shared" si="19"/>
        <v>1.6392060438583231</v>
      </c>
      <c r="W129" s="616">
        <f t="shared" si="20"/>
        <v>1.6464453615462031</v>
      </c>
      <c r="Y129" s="632" t="s">
        <v>15</v>
      </c>
      <c r="Z129" s="632"/>
      <c r="AA129" s="616">
        <f t="shared" ref="AA129:AU129" si="67">IFERROR((AA31-Z31)/Z31,0)</f>
        <v>1.3569058100440476E-2</v>
      </c>
      <c r="AB129" s="616">
        <f t="shared" si="67"/>
        <v>5.9506280909548272E-2</v>
      </c>
      <c r="AC129" s="616">
        <f t="shared" si="67"/>
        <v>-2.6790786722927874E-2</v>
      </c>
      <c r="AD129" s="616">
        <f t="shared" si="67"/>
        <v>0.12992308424419011</v>
      </c>
      <c r="AE129" s="616">
        <f t="shared" si="67"/>
        <v>4.9649974836350995E-2</v>
      </c>
      <c r="AF129" s="616">
        <f t="shared" si="67"/>
        <v>-1.0122119088932657E-2</v>
      </c>
      <c r="AG129" s="616">
        <f t="shared" si="67"/>
        <v>1.3468117481930351E-2</v>
      </c>
      <c r="AH129" s="616">
        <f t="shared" si="67"/>
        <v>2.5579630988802164E-3</v>
      </c>
      <c r="AI129" s="616">
        <f t="shared" si="67"/>
        <v>3.7359983012585384E-2</v>
      </c>
      <c r="AJ129" s="616">
        <f t="shared" si="67"/>
        <v>-3.672411772339886E-3</v>
      </c>
      <c r="AK129" s="616">
        <f t="shared" si="67"/>
        <v>0.12495820897517268</v>
      </c>
      <c r="AL129" s="616">
        <f t="shared" si="67"/>
        <v>3.003823212767328E-2</v>
      </c>
      <c r="AM129" s="616">
        <f t="shared" si="67"/>
        <v>0.1038584745830087</v>
      </c>
      <c r="AN129" s="616">
        <f t="shared" si="67"/>
        <v>5.739238290384354E-2</v>
      </c>
      <c r="AO129" s="616">
        <f t="shared" si="67"/>
        <v>0.2570640897662449</v>
      </c>
      <c r="AP129" s="616">
        <f t="shared" si="67"/>
        <v>-1.0874765403946291E-2</v>
      </c>
      <c r="AQ129" s="616">
        <f t="shared" si="67"/>
        <v>0.1141803143984304</v>
      </c>
      <c r="AR129" s="616">
        <f t="shared" si="67"/>
        <v>-1.3041622346493651E-2</v>
      </c>
      <c r="AS129" s="616">
        <f t="shared" si="67"/>
        <v>0.23312868123641001</v>
      </c>
      <c r="AT129" s="616">
        <f t="shared" si="67"/>
        <v>-0.10179959054221285</v>
      </c>
      <c r="AU129" s="616">
        <f t="shared" si="67"/>
        <v>2.7429907205337367E-3</v>
      </c>
      <c r="AV129" s="565"/>
      <c r="AW129" s="632" t="s">
        <v>15</v>
      </c>
      <c r="AX129" s="632"/>
      <c r="AY129" s="616">
        <f t="shared" ref="AY129:BS129" si="68">(AY31-$AX31)/$AX31</f>
        <v>0.14994016773577254</v>
      </c>
      <c r="AZ129" s="616">
        <f t="shared" si="68"/>
        <v>0.26913419831898999</v>
      </c>
      <c r="BA129" s="616">
        <f t="shared" si="68"/>
        <v>2.927757890754332E-2</v>
      </c>
      <c r="BB129" s="616">
        <f t="shared" si="68"/>
        <v>0.23457400397968731</v>
      </c>
      <c r="BC129" s="616">
        <f t="shared" si="68"/>
        <v>0.3079439005234158</v>
      </c>
      <c r="BD129" s="616">
        <f t="shared" si="68"/>
        <v>0.68208039379159646</v>
      </c>
      <c r="BE129" s="616">
        <f t="shared" si="68"/>
        <v>0.52612204754739056</v>
      </c>
      <c r="BF129" s="616">
        <f t="shared" si="68"/>
        <v>0.64356581083037201</v>
      </c>
      <c r="BG129" s="616">
        <f t="shared" si="68"/>
        <v>0.6605462473633763</v>
      </c>
      <c r="BH129" s="616">
        <f t="shared" si="68"/>
        <v>0.81081962498266646</v>
      </c>
      <c r="BI129" s="616">
        <f t="shared" si="68"/>
        <v>0.83039341116568377</v>
      </c>
      <c r="BJ129" s="616">
        <f t="shared" si="68"/>
        <v>3.1028404014534741</v>
      </c>
      <c r="BK129" s="616">
        <f t="shared" si="68"/>
        <v>1.0836317337927417</v>
      </c>
      <c r="BL129" s="616">
        <f t="shared" si="68"/>
        <v>2.4557755777460875</v>
      </c>
      <c r="BM129" s="616">
        <f t="shared" si="68"/>
        <v>0.70941905924392779</v>
      </c>
      <c r="BN129" s="616">
        <f t="shared" si="68"/>
        <v>0.97443566410008986</v>
      </c>
      <c r="BO129" s="616">
        <f t="shared" si="68"/>
        <v>6.1991960734969593</v>
      </c>
      <c r="BP129" s="616">
        <f t="shared" si="68"/>
        <v>1.9524199873050221</v>
      </c>
      <c r="BQ129" s="616">
        <f t="shared" si="68"/>
        <v>1.3427184201010538</v>
      </c>
      <c r="BR129" s="616">
        <f t="shared" si="68"/>
        <v>1.2000504261111007</v>
      </c>
      <c r="BS129" s="616">
        <f t="shared" si="68"/>
        <v>1.2112544003962566</v>
      </c>
      <c r="BU129" s="632" t="s">
        <v>15</v>
      </c>
      <c r="BV129" s="632"/>
      <c r="BW129" s="616">
        <f t="shared" si="52"/>
        <v>0.14994016773577254</v>
      </c>
      <c r="BX129" s="616">
        <f t="shared" si="53"/>
        <v>0.10365237594744607</v>
      </c>
      <c r="BY129" s="616">
        <f t="shared" si="54"/>
        <v>-0.18899232226910651</v>
      </c>
      <c r="BZ129" s="616">
        <f t="shared" si="55"/>
        <v>0.19945681250537092</v>
      </c>
      <c r="CA129" s="616">
        <f t="shared" si="56"/>
        <v>5.942932242799407E-2</v>
      </c>
      <c r="CB129" s="616">
        <f t="shared" si="57"/>
        <v>0.28604934287965866</v>
      </c>
      <c r="CC129" s="616">
        <f t="shared" si="58"/>
        <v>-9.2717534084478817E-2</v>
      </c>
      <c r="CD129" s="616">
        <f t="shared" si="59"/>
        <v>7.6955682195748124E-2</v>
      </c>
      <c r="CE129" s="616">
        <f t="shared" si="60"/>
        <v>1.0331461278344164E-2</v>
      </c>
      <c r="CF129" s="616">
        <f t="shared" si="61"/>
        <v>9.0496351943160289E-2</v>
      </c>
      <c r="CG129" s="616">
        <f t="shared" si="62"/>
        <v>1.0809351695205251E-2</v>
      </c>
      <c r="CH129" s="616">
        <f t="shared" si="63"/>
        <v>1.2415074138846387</v>
      </c>
      <c r="CI129" s="616">
        <f t="shared" ref="CI129:CJ132" si="69">(BK31-BJ31)/BJ31</f>
        <v>-0.49214896756534976</v>
      </c>
      <c r="CJ129" s="616">
        <f t="shared" si="69"/>
        <v>0.65853472170712912</v>
      </c>
      <c r="CK129" s="616">
        <f t="shared" si="64"/>
        <v>-0.50534430816284714</v>
      </c>
      <c r="CL129" s="616">
        <f t="shared" si="64"/>
        <v>0.15503314030754889</v>
      </c>
      <c r="CM129" s="616">
        <f t="shared" si="64"/>
        <v>2.6462044342063771</v>
      </c>
      <c r="CN129" s="616">
        <f t="shared" si="64"/>
        <v>-0.58989587765583607</v>
      </c>
      <c r="CO129" s="616">
        <f t="shared" si="64"/>
        <v>-0.20650909078843685</v>
      </c>
      <c r="CP129" s="616">
        <f t="shared" si="64"/>
        <v>-6.0898481339383102E-2</v>
      </c>
      <c r="CQ129" s="616">
        <f t="shared" si="64"/>
        <v>5.0925988569092634E-3</v>
      </c>
      <c r="CZ129" s="3"/>
      <c r="DA129" s="3"/>
      <c r="DC129" s="41"/>
      <c r="DD129" s="41"/>
      <c r="DE129" s="3"/>
      <c r="DF129" s="118"/>
      <c r="DG129" s="700"/>
      <c r="DH129" s="700"/>
      <c r="DI129" s="700"/>
      <c r="DJ129" s="700"/>
      <c r="DK129" s="43"/>
      <c r="DL129" s="43"/>
      <c r="DS129" s="3"/>
      <c r="DT129" s="3"/>
      <c r="DV129" s="41"/>
      <c r="DW129" s="41"/>
      <c r="DY129" s="118"/>
      <c r="DZ129" s="3"/>
      <c r="EA129" s="486"/>
      <c r="EB129" s="486"/>
      <c r="EC129" s="486"/>
      <c r="ED129" s="486"/>
      <c r="EE129" s="43"/>
      <c r="EF129" s="43"/>
      <c r="EL129" s="3"/>
      <c r="EM129" s="3"/>
      <c r="EO129" s="41"/>
      <c r="EP129" s="41"/>
      <c r="FC129" s="3"/>
      <c r="FE129" s="39"/>
      <c r="FF129" s="39"/>
      <c r="FH129" s="41"/>
      <c r="FI129" s="41"/>
      <c r="FM129" s="3"/>
      <c r="FN129" s="3"/>
      <c r="FO129" s="486"/>
      <c r="FP129" s="486"/>
      <c r="FQ129" s="486"/>
      <c r="FR129" s="486"/>
      <c r="FS129" s="43"/>
      <c r="FT129" s="43"/>
      <c r="FX129" s="3"/>
      <c r="FY129" s="3"/>
      <c r="GA129" s="41"/>
      <c r="GB129" s="41"/>
      <c r="GG129" s="3"/>
      <c r="GH129" s="3"/>
      <c r="GI129" s="486"/>
      <c r="GJ129" s="486"/>
      <c r="GK129" s="486"/>
      <c r="GL129" s="486"/>
      <c r="GM129" s="43"/>
      <c r="GN129" s="43"/>
      <c r="GO129" s="393"/>
      <c r="GS129" s="3"/>
      <c r="GT129" s="3"/>
      <c r="GV129" s="41"/>
      <c r="GW129" s="41"/>
      <c r="HA129" s="3"/>
      <c r="HB129" s="3"/>
      <c r="HC129" s="43"/>
      <c r="HD129" s="43"/>
      <c r="HE129" s="43"/>
      <c r="HF129" s="43"/>
      <c r="HG129" s="43"/>
    </row>
    <row r="130" spans="1:215">
      <c r="A130" s="631" t="s">
        <v>16</v>
      </c>
      <c r="B130" s="631"/>
      <c r="C130" s="618">
        <f t="shared" si="0"/>
        <v>0.18312680897250361</v>
      </c>
      <c r="D130" s="618">
        <f t="shared" si="1"/>
        <v>2.8679280481186658E-2</v>
      </c>
      <c r="E130" s="618">
        <f t="shared" si="2"/>
        <v>0.15907934605643984</v>
      </c>
      <c r="F130" s="618">
        <f t="shared" si="3"/>
        <v>0.21594873070429327</v>
      </c>
      <c r="G130" s="618">
        <f t="shared" si="4"/>
        <v>0.31029003859141341</v>
      </c>
      <c r="H130" s="618">
        <f t="shared" si="5"/>
        <v>0.27707113219066576</v>
      </c>
      <c r="I130" s="618">
        <f t="shared" si="6"/>
        <v>0.20349230621382053</v>
      </c>
      <c r="J130" s="618">
        <f t="shared" si="7"/>
        <v>0.24279614387361301</v>
      </c>
      <c r="K130" s="618">
        <f t="shared" si="8"/>
        <v>0.24504977500904482</v>
      </c>
      <c r="L130" s="618">
        <f t="shared" si="9"/>
        <v>0.31683757688133141</v>
      </c>
      <c r="M130" s="618">
        <f t="shared" si="10"/>
        <v>0.39004071130306334</v>
      </c>
      <c r="N130" s="618">
        <f t="shared" si="11"/>
        <v>0.43581459350880364</v>
      </c>
      <c r="O130" s="618">
        <f t="shared" si="12"/>
        <v>0.44461840101905431</v>
      </c>
      <c r="P130" s="618">
        <f t="shared" si="13"/>
        <v>0.55366547764411456</v>
      </c>
      <c r="Q130" s="618">
        <f t="shared" si="14"/>
        <v>0.5255566830227929</v>
      </c>
      <c r="R130" s="618">
        <f t="shared" si="15"/>
        <v>0.67619396896104689</v>
      </c>
      <c r="S130" s="618">
        <f t="shared" si="16"/>
        <v>0.59143720038892911</v>
      </c>
      <c r="T130" s="618">
        <f t="shared" si="17"/>
        <v>0.50546116550590925</v>
      </c>
      <c r="U130" s="618">
        <f t="shared" si="18"/>
        <v>0.56255238482875047</v>
      </c>
      <c r="V130" s="618">
        <f t="shared" si="19"/>
        <v>0.72691020901169778</v>
      </c>
      <c r="W130" s="618">
        <f t="shared" si="20"/>
        <v>0.67706825856246977</v>
      </c>
      <c r="Y130" s="631" t="s">
        <v>16</v>
      </c>
      <c r="Z130" s="631"/>
      <c r="AA130" s="618">
        <f t="shared" ref="AA130:AU130" si="70">IFERROR((AA32-Z32)/Z32,0)</f>
        <v>0.18312680897250361</v>
      </c>
      <c r="AB130" s="618">
        <f t="shared" si="70"/>
        <v>-0.130541821316219</v>
      </c>
      <c r="AC130" s="618">
        <f t="shared" si="70"/>
        <v>0.12676454950493002</v>
      </c>
      <c r="AD130" s="618">
        <f t="shared" si="70"/>
        <v>4.9064272296233523E-2</v>
      </c>
      <c r="AE130" s="618">
        <f t="shared" si="70"/>
        <v>7.7586583632088202E-2</v>
      </c>
      <c r="AF130" s="618">
        <f t="shared" si="70"/>
        <v>-2.5352330722485387E-2</v>
      </c>
      <c r="AG130" s="618">
        <f t="shared" si="70"/>
        <v>-5.7615291836273362E-2</v>
      </c>
      <c r="AH130" s="618">
        <f t="shared" si="70"/>
        <v>3.2658154486622452E-2</v>
      </c>
      <c r="AI130" s="618">
        <f t="shared" si="70"/>
        <v>1.8133554296423627E-3</v>
      </c>
      <c r="AJ130" s="618">
        <f t="shared" si="70"/>
        <v>5.7658579852171064E-2</v>
      </c>
      <c r="AK130" s="618">
        <f t="shared" si="70"/>
        <v>5.5590101396634645E-2</v>
      </c>
      <c r="AL130" s="618">
        <f t="shared" si="70"/>
        <v>3.2929886033935381E-2</v>
      </c>
      <c r="AM130" s="618">
        <f t="shared" si="70"/>
        <v>6.1315768415030154E-3</v>
      </c>
      <c r="AN130" s="618">
        <f t="shared" si="70"/>
        <v>7.5485039196605069E-2</v>
      </c>
      <c r="AO130" s="618">
        <f t="shared" si="70"/>
        <v>-1.8091921990790575E-2</v>
      </c>
      <c r="AP130" s="618">
        <f t="shared" si="70"/>
        <v>9.874250338556799E-2</v>
      </c>
      <c r="AQ130" s="618">
        <f t="shared" si="70"/>
        <v>-5.0565012248941825E-2</v>
      </c>
      <c r="AR130" s="618">
        <f t="shared" si="70"/>
        <v>-5.4024145509485567E-2</v>
      </c>
      <c r="AS130" s="618">
        <f t="shared" si="70"/>
        <v>3.7922744625335965E-2</v>
      </c>
      <c r="AT130" s="618">
        <f t="shared" si="70"/>
        <v>0.1051854809981044</v>
      </c>
      <c r="AU130" s="618">
        <f t="shared" si="70"/>
        <v>-2.8861923561012647E-2</v>
      </c>
      <c r="AV130" s="565"/>
      <c r="AW130" s="631" t="s">
        <v>16</v>
      </c>
      <c r="AX130" s="631"/>
      <c r="AY130" s="618">
        <f t="shared" ref="AY130:BS130" si="71">(AY32-$AX32)/$AX32</f>
        <v>0.10918138341172198</v>
      </c>
      <c r="AZ130" s="618">
        <f t="shared" si="71"/>
        <v>0.1221955787067491</v>
      </c>
      <c r="BA130" s="618">
        <f t="shared" si="71"/>
        <v>0.15907934605643984</v>
      </c>
      <c r="BB130" s="618">
        <f t="shared" si="71"/>
        <v>0.21919993051901057</v>
      </c>
      <c r="BC130" s="618">
        <f t="shared" si="71"/>
        <v>0.22839691117944994</v>
      </c>
      <c r="BD130" s="618">
        <f t="shared" si="71"/>
        <v>0.41896792465629507</v>
      </c>
      <c r="BE130" s="618">
        <f t="shared" si="71"/>
        <v>0.33721367357091159</v>
      </c>
      <c r="BF130" s="618">
        <f t="shared" si="71"/>
        <v>0.43292071715481506</v>
      </c>
      <c r="BG130" s="618">
        <f t="shared" si="71"/>
        <v>0.39232386671983943</v>
      </c>
      <c r="BH130" s="618">
        <f t="shared" si="71"/>
        <v>0.42278000016445194</v>
      </c>
      <c r="BI130" s="618">
        <f t="shared" si="71"/>
        <v>0.65132157775292709</v>
      </c>
      <c r="BJ130" s="618">
        <f t="shared" si="71"/>
        <v>0.67348476711534644</v>
      </c>
      <c r="BK130" s="618">
        <f t="shared" si="71"/>
        <v>0.68262945716435319</v>
      </c>
      <c r="BL130" s="618">
        <f t="shared" si="71"/>
        <v>0.74706260381035394</v>
      </c>
      <c r="BM130" s="618">
        <f t="shared" si="71"/>
        <v>0.89245106009899988</v>
      </c>
      <c r="BN130" s="618">
        <f t="shared" si="71"/>
        <v>0.82644238576749762</v>
      </c>
      <c r="BO130" s="618">
        <f t="shared" si="71"/>
        <v>0.84971787480676886</v>
      </c>
      <c r="BP130" s="618">
        <f t="shared" si="71"/>
        <v>1.119819375123339</v>
      </c>
      <c r="BQ130" s="618">
        <f t="shared" si="71"/>
        <v>1.1897278113077223</v>
      </c>
      <c r="BR130" s="618">
        <f t="shared" si="71"/>
        <v>1.1132975024873371</v>
      </c>
      <c r="BS130" s="618">
        <f t="shared" si="71"/>
        <v>1.1198896526772792</v>
      </c>
      <c r="BU130" s="631" t="s">
        <v>16</v>
      </c>
      <c r="BV130" s="631"/>
      <c r="BW130" s="618">
        <f t="shared" si="52"/>
        <v>0.10918138341172198</v>
      </c>
      <c r="BX130" s="618">
        <f t="shared" si="53"/>
        <v>1.1733153377490759E-2</v>
      </c>
      <c r="BY130" s="618">
        <f t="shared" si="54"/>
        <v>3.2867503712852492E-2</v>
      </c>
      <c r="BZ130" s="618">
        <f t="shared" si="55"/>
        <v>5.1869256981517509E-2</v>
      </c>
      <c r="CA130" s="618">
        <f t="shared" si="56"/>
        <v>7.5434556960024077E-3</v>
      </c>
      <c r="CB130" s="618">
        <f t="shared" si="57"/>
        <v>0.15513797840298021</v>
      </c>
      <c r="CC130" s="618">
        <f t="shared" si="58"/>
        <v>-5.7615291836273286E-2</v>
      </c>
      <c r="CD130" s="618">
        <f t="shared" si="59"/>
        <v>7.15719899336104E-2</v>
      </c>
      <c r="CE130" s="618">
        <f t="shared" si="60"/>
        <v>-2.8331539874434989E-2</v>
      </c>
      <c r="CF130" s="618">
        <f t="shared" si="61"/>
        <v>2.1874316868792751E-2</v>
      </c>
      <c r="CG130" s="618">
        <f t="shared" si="62"/>
        <v>0.16063029952772687</v>
      </c>
      <c r="CH130" s="618">
        <f t="shared" si="63"/>
        <v>1.3421485954648751E-2</v>
      </c>
      <c r="CI130" s="618">
        <f t="shared" si="69"/>
        <v>5.464459688372207E-3</v>
      </c>
      <c r="CJ130" s="618">
        <f t="shared" si="69"/>
        <v>3.8293128871395396E-2</v>
      </c>
      <c r="CK130" s="618">
        <f t="shared" si="64"/>
        <v>8.3218801645432119E-2</v>
      </c>
      <c r="CL130" s="618">
        <f t="shared" si="64"/>
        <v>-3.4879990147829311E-2</v>
      </c>
      <c r="CM130" s="618">
        <f t="shared" si="64"/>
        <v>1.2743620724444866E-2</v>
      </c>
      <c r="CN130" s="618">
        <f t="shared" si="64"/>
        <v>0.14602307951680807</v>
      </c>
      <c r="CO130" s="618">
        <f t="shared" si="64"/>
        <v>3.2978487226212827E-2</v>
      </c>
      <c r="CP130" s="618">
        <f t="shared" si="64"/>
        <v>-3.4904022511702291E-2</v>
      </c>
      <c r="CQ130" s="618">
        <f t="shared" si="64"/>
        <v>3.1193668578054961E-3</v>
      </c>
      <c r="CZ130" s="3"/>
      <c r="DA130" s="3"/>
      <c r="DC130" s="41"/>
      <c r="DD130" s="41"/>
      <c r="DE130" s="3"/>
      <c r="DF130" s="118"/>
      <c r="DG130" s="700"/>
      <c r="DH130" s="700"/>
      <c r="DI130" s="700"/>
      <c r="DJ130" s="700"/>
      <c r="DK130" s="43"/>
      <c r="DL130" s="43"/>
      <c r="DS130" s="3"/>
      <c r="DT130" s="3"/>
      <c r="DV130" s="41"/>
      <c r="DW130" s="41"/>
      <c r="DY130" s="118"/>
      <c r="DZ130" s="3"/>
      <c r="EA130" s="486"/>
      <c r="EB130" s="486"/>
      <c r="EC130" s="486"/>
      <c r="ED130" s="486"/>
      <c r="EE130" s="43"/>
      <c r="EF130" s="43"/>
      <c r="EL130" s="3"/>
      <c r="EM130" s="3"/>
      <c r="EO130" s="41"/>
      <c r="EP130" s="41"/>
      <c r="FC130" s="3"/>
      <c r="FE130" s="39"/>
      <c r="FF130" s="39"/>
      <c r="FH130" s="41"/>
      <c r="FI130" s="41"/>
      <c r="FM130" s="3"/>
      <c r="FN130" s="3"/>
      <c r="FO130" s="486"/>
      <c r="FP130" s="486"/>
      <c r="FQ130" s="486"/>
      <c r="FR130" s="486"/>
      <c r="FS130" s="43"/>
      <c r="FT130" s="43"/>
      <c r="FX130" s="3"/>
      <c r="FY130" s="3"/>
      <c r="GA130" s="41"/>
      <c r="GB130" s="41"/>
      <c r="GG130" s="3"/>
      <c r="GH130" s="3"/>
      <c r="GI130" s="486"/>
      <c r="GJ130" s="486"/>
      <c r="GK130" s="486"/>
      <c r="GL130" s="486"/>
      <c r="GM130" s="43"/>
      <c r="GN130" s="43"/>
      <c r="GO130" s="393"/>
      <c r="GS130" s="3"/>
      <c r="GT130" s="3"/>
      <c r="GV130" s="41"/>
      <c r="GW130" s="41"/>
      <c r="HA130" s="3"/>
      <c r="HB130" s="3"/>
      <c r="HC130" s="43"/>
      <c r="HD130" s="43"/>
      <c r="HE130" s="43"/>
      <c r="HF130" s="43"/>
      <c r="HG130" s="43"/>
    </row>
    <row r="131" spans="1:215">
      <c r="A131" s="632" t="s">
        <v>17</v>
      </c>
      <c r="B131" s="632"/>
      <c r="C131" s="616">
        <f t="shared" si="0"/>
        <v>0.30435742954450756</v>
      </c>
      <c r="D131" s="616">
        <f t="shared" si="1"/>
        <v>0.38032922300918887</v>
      </c>
      <c r="E131" s="616">
        <f t="shared" si="2"/>
        <v>0.18664364594879515</v>
      </c>
      <c r="F131" s="616">
        <f t="shared" si="3"/>
        <v>0.30961907495671798</v>
      </c>
      <c r="G131" s="616">
        <f t="shared" si="4"/>
        <v>0.50620229947080653</v>
      </c>
      <c r="H131" s="616">
        <f t="shared" si="5"/>
        <v>0.4957944220704385</v>
      </c>
      <c r="I131" s="616">
        <f t="shared" si="6"/>
        <v>0.55238026631841242</v>
      </c>
      <c r="J131" s="616">
        <f t="shared" si="7"/>
        <v>0.82153949603511489</v>
      </c>
      <c r="K131" s="616">
        <f t="shared" si="8"/>
        <v>0.89887863893205866</v>
      </c>
      <c r="L131" s="616">
        <f t="shared" si="9"/>
        <v>1.1580138601289589</v>
      </c>
      <c r="M131" s="616">
        <f t="shared" si="10"/>
        <v>0.81252595629969138</v>
      </c>
      <c r="N131" s="616">
        <f t="shared" si="11"/>
        <v>1.2432703394553</v>
      </c>
      <c r="O131" s="616">
        <f t="shared" si="12"/>
        <v>1.2844433344752375</v>
      </c>
      <c r="P131" s="616">
        <f t="shared" si="13"/>
        <v>2.2121071250198079</v>
      </c>
      <c r="Q131" s="616">
        <f t="shared" si="14"/>
        <v>1.8545345265719744</v>
      </c>
      <c r="R131" s="616">
        <f t="shared" si="15"/>
        <v>2.3824782119961556</v>
      </c>
      <c r="S131" s="616">
        <f t="shared" si="16"/>
        <v>1.9774740799835822</v>
      </c>
      <c r="T131" s="616">
        <f t="shared" si="17"/>
        <v>2.8917632443834616</v>
      </c>
      <c r="U131" s="616">
        <f t="shared" si="18"/>
        <v>2.2040040100763134</v>
      </c>
      <c r="V131" s="616">
        <f t="shared" si="19"/>
        <v>3.2561700216260543</v>
      </c>
      <c r="W131" s="616">
        <f t="shared" si="20"/>
        <v>1.1196403031178055</v>
      </c>
      <c r="Y131" s="632" t="s">
        <v>17</v>
      </c>
      <c r="Z131" s="632"/>
      <c r="AA131" s="616">
        <f t="shared" ref="AA131:AU131" si="72">IFERROR((AA33-Z33)/Z33,0)</f>
        <v>0.30435742954450756</v>
      </c>
      <c r="AB131" s="616">
        <f t="shared" si="72"/>
        <v>5.8244612821511145E-2</v>
      </c>
      <c r="AC131" s="616">
        <f t="shared" si="72"/>
        <v>-0.14031839204139226</v>
      </c>
      <c r="AD131" s="616">
        <f t="shared" si="72"/>
        <v>0.10363298992731418</v>
      </c>
      <c r="AE131" s="616">
        <f t="shared" si="72"/>
        <v>0.15010717870048237</v>
      </c>
      <c r="AF131" s="616">
        <f t="shared" si="72"/>
        <v>-6.9100129537876297E-3</v>
      </c>
      <c r="AG131" s="616">
        <f t="shared" si="72"/>
        <v>3.7829960730599126E-2</v>
      </c>
      <c r="AH131" s="616">
        <f t="shared" si="72"/>
        <v>0.17338485650492971</v>
      </c>
      <c r="AI131" s="616">
        <f t="shared" si="72"/>
        <v>4.2458120213855005E-2</v>
      </c>
      <c r="AJ131" s="616">
        <f t="shared" si="72"/>
        <v>0.13646750028355656</v>
      </c>
      <c r="AK131" s="616">
        <f t="shared" si="72"/>
        <v>-0.16009531273752881</v>
      </c>
      <c r="AL131" s="616">
        <f t="shared" si="72"/>
        <v>0.23764867016579552</v>
      </c>
      <c r="AM131" s="616">
        <f t="shared" si="72"/>
        <v>1.8354004996979013E-2</v>
      </c>
      <c r="AN131" s="616">
        <f t="shared" si="72"/>
        <v>0.40607870484021685</v>
      </c>
      <c r="AO131" s="616">
        <f t="shared" si="72"/>
        <v>-0.11132025942180512</v>
      </c>
      <c r="AP131" s="616">
        <f t="shared" si="72"/>
        <v>0.18494913286552236</v>
      </c>
      <c r="AQ131" s="616">
        <f t="shared" si="72"/>
        <v>-0.11973591746317916</v>
      </c>
      <c r="AR131" s="616">
        <f t="shared" si="72"/>
        <v>0.30706872330016083</v>
      </c>
      <c r="AS131" s="616">
        <f t="shared" si="72"/>
        <v>-0.1767217559546338</v>
      </c>
      <c r="AT131" s="616">
        <f t="shared" si="72"/>
        <v>0.32839097836356324</v>
      </c>
      <c r="AU131" s="616">
        <f t="shared" si="72"/>
        <v>-0.50198410957558393</v>
      </c>
      <c r="AV131" s="565"/>
      <c r="AW131" s="632" t="s">
        <v>17</v>
      </c>
      <c r="AX131" s="632"/>
      <c r="AY131" s="616">
        <f t="shared" ref="AY131:BS131" si="73">(AY33-$AX33)/$AX33</f>
        <v>-4.1142008638412657E-2</v>
      </c>
      <c r="AZ131" s="616">
        <f t="shared" si="73"/>
        <v>0.17081496594529394</v>
      </c>
      <c r="BA131" s="616">
        <f t="shared" si="73"/>
        <v>0.22902377616125205</v>
      </c>
      <c r="BB131" s="616">
        <f t="shared" si="73"/>
        <v>0.3330051298666592</v>
      </c>
      <c r="BC131" s="616">
        <f t="shared" si="73"/>
        <v>0.70344307678245954</v>
      </c>
      <c r="BD131" s="616">
        <f t="shared" si="73"/>
        <v>0.74000575628602028</v>
      </c>
      <c r="BE131" s="616">
        <f t="shared" si="73"/>
        <v>0.63277138725275872</v>
      </c>
      <c r="BF131" s="616">
        <f t="shared" si="73"/>
        <v>0.75059930882518766</v>
      </c>
      <c r="BG131" s="616">
        <f t="shared" si="73"/>
        <v>0.8277575260230714</v>
      </c>
      <c r="BH131" s="616">
        <f t="shared" si="73"/>
        <v>0.77753354320207746</v>
      </c>
      <c r="BI131" s="616">
        <f t="shared" si="73"/>
        <v>0.8494455397469779</v>
      </c>
      <c r="BJ131" s="616">
        <f t="shared" si="73"/>
        <v>0.8854749162810055</v>
      </c>
      <c r="BK131" s="616">
        <f t="shared" si="73"/>
        <v>0.87354625284259502</v>
      </c>
      <c r="BL131" s="616">
        <f t="shared" si="73"/>
        <v>1.0949433649840539</v>
      </c>
      <c r="BM131" s="616">
        <f t="shared" si="73"/>
        <v>0.8159679838956776</v>
      </c>
      <c r="BN131" s="616">
        <f t="shared" si="73"/>
        <v>0.97084477646920575</v>
      </c>
      <c r="BO131" s="616">
        <f t="shared" si="73"/>
        <v>0.90547029199817597</v>
      </c>
      <c r="BP131" s="616">
        <f t="shared" si="73"/>
        <v>0.93079819946206077</v>
      </c>
      <c r="BQ131" s="616">
        <f t="shared" si="73"/>
        <v>1.0930325148275264</v>
      </c>
      <c r="BR131" s="616">
        <f t="shared" si="73"/>
        <v>1.0867827063994253</v>
      </c>
      <c r="BS131" s="616">
        <f t="shared" si="73"/>
        <v>0.90880303443248289</v>
      </c>
      <c r="BU131" s="632" t="s">
        <v>17</v>
      </c>
      <c r="BV131" s="632"/>
      <c r="BW131" s="616">
        <f t="shared" si="52"/>
        <v>-4.1142008638412657E-2</v>
      </c>
      <c r="BX131" s="616">
        <f t="shared" si="53"/>
        <v>0.22105147633251271</v>
      </c>
      <c r="BY131" s="616">
        <f t="shared" si="54"/>
        <v>4.9716489717879037E-2</v>
      </c>
      <c r="BZ131" s="616">
        <f t="shared" si="55"/>
        <v>8.4604834928567296E-2</v>
      </c>
      <c r="CA131" s="616">
        <f t="shared" si="56"/>
        <v>0.27789686522275819</v>
      </c>
      <c r="CB131" s="616">
        <f t="shared" si="57"/>
        <v>2.1463986676104298E-2</v>
      </c>
      <c r="CC131" s="616">
        <f t="shared" si="58"/>
        <v>-6.1628743839416668E-2</v>
      </c>
      <c r="CD131" s="616">
        <f t="shared" si="59"/>
        <v>7.2164371872465161E-2</v>
      </c>
      <c r="CE131" s="616">
        <f t="shared" si="60"/>
        <v>4.4075315698407336E-2</v>
      </c>
      <c r="CF131" s="616">
        <f t="shared" si="61"/>
        <v>-2.7478471354060788E-2</v>
      </c>
      <c r="CG131" s="616">
        <f t="shared" si="62"/>
        <v>4.0456055988320208E-2</v>
      </c>
      <c r="CH131" s="616">
        <f t="shared" si="63"/>
        <v>1.9481177336509586E-2</v>
      </c>
      <c r="CI131" s="616">
        <f t="shared" si="69"/>
        <v>-6.3266094581301046E-3</v>
      </c>
      <c r="CJ131" s="616">
        <f t="shared" si="69"/>
        <v>0.1181700808322982</v>
      </c>
      <c r="CK131" s="616">
        <f t="shared" si="64"/>
        <v>-0.13316607300765848</v>
      </c>
      <c r="CL131" s="616">
        <f t="shared" si="64"/>
        <v>8.5286081003080827E-2</v>
      </c>
      <c r="CM131" s="616">
        <f t="shared" si="64"/>
        <v>-3.317079318044977E-2</v>
      </c>
      <c r="CN131" s="616">
        <f t="shared" si="64"/>
        <v>1.3292208002531874E-2</v>
      </c>
      <c r="CO131" s="616">
        <f t="shared" si="64"/>
        <v>8.4024480347384675E-2</v>
      </c>
      <c r="CP131" s="616">
        <f t="shared" si="64"/>
        <v>-2.9860063729665147E-3</v>
      </c>
      <c r="CQ131" s="616">
        <f t="shared" si="64"/>
        <v>-8.5289029577033423E-2</v>
      </c>
      <c r="CZ131" s="3"/>
      <c r="DA131" s="3"/>
      <c r="DC131" s="41"/>
      <c r="DD131" s="41"/>
      <c r="DE131" s="3"/>
      <c r="DF131" s="118"/>
      <c r="DG131" s="700"/>
      <c r="DH131" s="700"/>
      <c r="DI131" s="700"/>
      <c r="DJ131" s="700"/>
      <c r="DK131" s="43"/>
      <c r="DL131" s="43"/>
      <c r="DS131" s="3"/>
      <c r="DT131" s="3"/>
      <c r="DV131" s="41"/>
      <c r="DW131" s="41"/>
      <c r="DY131" s="118"/>
      <c r="DZ131" s="3"/>
      <c r="EA131" s="486"/>
      <c r="EB131" s="486"/>
      <c r="EC131" s="486"/>
      <c r="ED131" s="486"/>
      <c r="EE131" s="43"/>
      <c r="EF131" s="43"/>
      <c r="EL131" s="3"/>
      <c r="EM131" s="3"/>
      <c r="EO131" s="41"/>
      <c r="EP131" s="41"/>
      <c r="FC131" s="3"/>
      <c r="FE131" s="39"/>
      <c r="FF131" s="39"/>
      <c r="FH131" s="41"/>
      <c r="FI131" s="41"/>
      <c r="FM131" s="3"/>
      <c r="FN131" s="3"/>
      <c r="FO131" s="486"/>
      <c r="FP131" s="486"/>
      <c r="FQ131" s="486"/>
      <c r="FR131" s="486"/>
      <c r="FS131" s="43"/>
      <c r="FT131" s="43"/>
      <c r="FX131" s="3"/>
      <c r="FY131" s="3"/>
      <c r="GA131" s="41"/>
      <c r="GB131" s="41"/>
      <c r="GG131" s="3"/>
      <c r="GH131" s="3"/>
      <c r="GI131" s="486"/>
      <c r="GJ131" s="486"/>
      <c r="GK131" s="486"/>
      <c r="GL131" s="486"/>
      <c r="GM131" s="43"/>
      <c r="GN131" s="43"/>
      <c r="GO131" s="393"/>
      <c r="GS131" s="3"/>
      <c r="GT131" s="3"/>
      <c r="GV131" s="41"/>
      <c r="GW131" s="41"/>
      <c r="HA131" s="3"/>
      <c r="HB131" s="3"/>
      <c r="HC131" s="43"/>
      <c r="HD131" s="43"/>
      <c r="HE131" s="43"/>
      <c r="HF131" s="43"/>
      <c r="HG131" s="43"/>
    </row>
    <row r="132" spans="1:215">
      <c r="A132" s="631" t="s">
        <v>18</v>
      </c>
      <c r="B132" s="631"/>
      <c r="C132" s="618">
        <f t="shared" si="0"/>
        <v>-0.40434329216179499</v>
      </c>
      <c r="D132" s="618">
        <f t="shared" si="1"/>
        <v>-0.157753698375108</v>
      </c>
      <c r="E132" s="618">
        <f t="shared" si="2"/>
        <v>0.48568844242851122</v>
      </c>
      <c r="F132" s="618">
        <f t="shared" si="3"/>
        <v>0.5807014535530477</v>
      </c>
      <c r="G132" s="618">
        <f t="shared" si="4"/>
        <v>0.58622951559921255</v>
      </c>
      <c r="H132" s="618">
        <f t="shared" si="5"/>
        <v>-9.9937749591551498E-3</v>
      </c>
      <c r="I132" s="618">
        <f t="shared" si="6"/>
        <v>-1.4410517481149132E-2</v>
      </c>
      <c r="J132" s="618">
        <f t="shared" si="7"/>
        <v>0.55957493700615102</v>
      </c>
      <c r="K132" s="618">
        <f t="shared" si="8"/>
        <v>1.1318830118786909</v>
      </c>
      <c r="L132" s="618">
        <f t="shared" si="9"/>
        <v>1.2610511721771251</v>
      </c>
      <c r="M132" s="618">
        <f t="shared" si="10"/>
        <v>1.2638938589509539</v>
      </c>
      <c r="N132" s="618">
        <f t="shared" si="11"/>
        <v>1.5762574297673397</v>
      </c>
      <c r="O132" s="618">
        <f t="shared" si="12"/>
        <v>1.9296712017151039</v>
      </c>
      <c r="P132" s="618">
        <f t="shared" si="13"/>
        <v>2.0058621791322273</v>
      </c>
      <c r="Q132" s="618">
        <f t="shared" si="14"/>
        <v>1.989430548566111</v>
      </c>
      <c r="R132" s="618">
        <f t="shared" si="15"/>
        <v>2.1353814942408054</v>
      </c>
      <c r="S132" s="618">
        <f t="shared" si="16"/>
        <v>1.9982914193997272</v>
      </c>
      <c r="T132" s="618">
        <f t="shared" si="17"/>
        <v>2.186062295041014</v>
      </c>
      <c r="U132" s="618">
        <f t="shared" si="18"/>
        <v>2.088420143586204</v>
      </c>
      <c r="V132" s="618">
        <f t="shared" si="19"/>
        <v>2.2363342427262114</v>
      </c>
      <c r="W132" s="618">
        <f t="shared" si="20"/>
        <v>2.1828140999814418</v>
      </c>
      <c r="Y132" s="631" t="s">
        <v>18</v>
      </c>
      <c r="Z132" s="631"/>
      <c r="AA132" s="618">
        <f t="shared" ref="AA132:AU132" si="74">IFERROR((AA34-Z34)/Z34,0)</f>
        <v>-0.40434329216179499</v>
      </c>
      <c r="AB132" s="618">
        <f t="shared" si="74"/>
        <v>0.41397937862838058</v>
      </c>
      <c r="AC132" s="618">
        <f t="shared" si="74"/>
        <v>0.7639595918228046</v>
      </c>
      <c r="AD132" s="618">
        <f t="shared" si="74"/>
        <v>6.3952177597362186E-2</v>
      </c>
      <c r="AE132" s="618">
        <f t="shared" si="74"/>
        <v>3.4972208279678428E-3</v>
      </c>
      <c r="AF132" s="618">
        <f t="shared" si="74"/>
        <v>-0.37587454066074349</v>
      </c>
      <c r="AG132" s="618">
        <f t="shared" si="74"/>
        <v>-4.4613280303482531E-3</v>
      </c>
      <c r="AH132" s="618">
        <f t="shared" si="74"/>
        <v>0.58237782024659734</v>
      </c>
      <c r="AI132" s="618">
        <f t="shared" si="74"/>
        <v>0.36696413958227297</v>
      </c>
      <c r="AJ132" s="618">
        <f t="shared" si="74"/>
        <v>6.0588765696203341E-2</v>
      </c>
      <c r="AK132" s="618">
        <f t="shared" si="74"/>
        <v>1.2572412375309102E-3</v>
      </c>
      <c r="AL132" s="618">
        <f t="shared" si="74"/>
        <v>0.13797624371008688</v>
      </c>
      <c r="AM132" s="618">
        <f t="shared" si="74"/>
        <v>0.13718107820447148</v>
      </c>
      <c r="AN132" s="618">
        <f t="shared" si="74"/>
        <v>2.6006664970635349E-2</v>
      </c>
      <c r="AO132" s="618">
        <f t="shared" si="74"/>
        <v>-5.4665282660630379E-3</v>
      </c>
      <c r="AP132" s="618">
        <f t="shared" si="74"/>
        <v>4.8822323617687E-2</v>
      </c>
      <c r="AQ132" s="618">
        <f t="shared" si="74"/>
        <v>-4.3723570829543534E-2</v>
      </c>
      <c r="AR132" s="618">
        <f t="shared" si="74"/>
        <v>6.2625959046662391E-2</v>
      </c>
      <c r="AS132" s="618">
        <f t="shared" si="74"/>
        <v>-3.0646654839984216E-2</v>
      </c>
      <c r="AT132" s="618">
        <f t="shared" si="74"/>
        <v>4.7893127315331137E-2</v>
      </c>
      <c r="AU132" s="618">
        <f t="shared" si="74"/>
        <v>-1.6537272954750673E-2</v>
      </c>
      <c r="AV132" s="565"/>
      <c r="AW132" s="631" t="s">
        <v>18</v>
      </c>
      <c r="AX132" s="631"/>
      <c r="AY132" s="618">
        <f t="shared" ref="AY132:BS132" si="75">(AY34-$AX34)/$AX34</f>
        <v>-1.6693688648042642E-2</v>
      </c>
      <c r="AZ132" s="618">
        <f t="shared" si="75"/>
        <v>-2.6737607011236116E-2</v>
      </c>
      <c r="BA132" s="618">
        <f t="shared" si="75"/>
        <v>9.8797255723211963E-3</v>
      </c>
      <c r="BB132" s="618">
        <f t="shared" si="75"/>
        <v>0.10804072479453818</v>
      </c>
      <c r="BC132" s="618">
        <f t="shared" si="75"/>
        <v>0.21299904134057404</v>
      </c>
      <c r="BD132" s="618">
        <f t="shared" si="75"/>
        <v>0.25125786775995657</v>
      </c>
      <c r="BE132" s="618">
        <f t="shared" si="75"/>
        <v>0.24567559596132538</v>
      </c>
      <c r="BF132" s="618">
        <f t="shared" si="75"/>
        <v>0.36487473071438647</v>
      </c>
      <c r="BG132" s="618">
        <f t="shared" si="75"/>
        <v>0.40321108632743585</v>
      </c>
      <c r="BH132" s="618">
        <f t="shared" si="75"/>
        <v>0.42480532585550279</v>
      </c>
      <c r="BI132" s="618">
        <f t="shared" si="75"/>
        <v>0.48503078860174381</v>
      </c>
      <c r="BJ132" s="618">
        <f t="shared" si="75"/>
        <v>0.50181761419495352</v>
      </c>
      <c r="BK132" s="618">
        <f t="shared" si="75"/>
        <v>0.37715703089006136</v>
      </c>
      <c r="BL132" s="618">
        <f t="shared" si="75"/>
        <v>0.49534696503403164</v>
      </c>
      <c r="BM132" s="618">
        <f t="shared" si="75"/>
        <v>0.62060358704252383</v>
      </c>
      <c r="BN132" s="618">
        <f t="shared" si="75"/>
        <v>0.57123243788246991</v>
      </c>
      <c r="BO132" s="618">
        <f t="shared" si="75"/>
        <v>0.70520992406894922</v>
      </c>
      <c r="BP132" s="618">
        <f t="shared" si="75"/>
        <v>1.2141641496100555</v>
      </c>
      <c r="BQ132" s="618">
        <f t="shared" si="75"/>
        <v>1.4300722720047214</v>
      </c>
      <c r="BR132" s="618">
        <f t="shared" si="75"/>
        <v>1.2043479307896059</v>
      </c>
      <c r="BS132" s="618">
        <f t="shared" si="75"/>
        <v>1.0760008041294749</v>
      </c>
      <c r="BU132" s="631" t="s">
        <v>18</v>
      </c>
      <c r="BV132" s="631"/>
      <c r="BW132" s="618">
        <f t="shared" si="52"/>
        <v>-1.6693688648042642E-2</v>
      </c>
      <c r="BX132" s="618">
        <f t="shared" si="53"/>
        <v>-1.0214434960133627E-2</v>
      </c>
      <c r="BY132" s="618">
        <f t="shared" si="54"/>
        <v>3.762328930753215E-2</v>
      </c>
      <c r="BZ132" s="618">
        <f t="shared" si="55"/>
        <v>9.7200683147279712E-2</v>
      </c>
      <c r="CA132" s="618">
        <f t="shared" si="56"/>
        <v>9.4724240903237639E-2</v>
      </c>
      <c r="CB132" s="618">
        <f t="shared" si="57"/>
        <v>3.1540689741271263E-2</v>
      </c>
      <c r="CC132" s="618">
        <f t="shared" si="58"/>
        <v>-4.4613280303481872E-3</v>
      </c>
      <c r="CD132" s="618">
        <f t="shared" si="59"/>
        <v>9.5690350793997486E-2</v>
      </c>
      <c r="CE132" s="618">
        <f t="shared" si="60"/>
        <v>2.8087819893173514E-2</v>
      </c>
      <c r="CF132" s="618">
        <f t="shared" si="61"/>
        <v>1.5389159719785722E-2</v>
      </c>
      <c r="CG132" s="618">
        <f t="shared" si="62"/>
        <v>4.2269257177347766E-2</v>
      </c>
      <c r="CH132" s="618">
        <f t="shared" si="63"/>
        <v>1.1304025291634257E-2</v>
      </c>
      <c r="CI132" s="618">
        <f t="shared" si="69"/>
        <v>-8.3006473040813419E-2</v>
      </c>
      <c r="CJ132" s="618">
        <f t="shared" si="69"/>
        <v>8.5821682998331483E-2</v>
      </c>
      <c r="CK132" s="618">
        <f t="shared" si="64"/>
        <v>8.3764253338783873E-2</v>
      </c>
      <c r="CL132" s="618">
        <f t="shared" si="64"/>
        <v>-3.0464667334318594E-2</v>
      </c>
      <c r="CM132" s="618">
        <f t="shared" si="64"/>
        <v>8.5269042922152927E-2</v>
      </c>
      <c r="CN132" s="618">
        <f t="shared" si="64"/>
        <v>0.29847012872564477</v>
      </c>
      <c r="CO132" s="618">
        <f t="shared" si="64"/>
        <v>9.7512247424243748E-2</v>
      </c>
      <c r="CP132" s="618">
        <f t="shared" si="64"/>
        <v>-9.2887912765203959E-2</v>
      </c>
      <c r="CQ132" s="618">
        <f t="shared" si="64"/>
        <v>-5.8224532011222234E-2</v>
      </c>
      <c r="CZ132" s="3"/>
      <c r="DA132" s="3"/>
      <c r="DC132" s="41"/>
      <c r="DD132" s="41"/>
      <c r="DE132" s="3"/>
      <c r="DF132" s="118"/>
      <c r="DG132" s="700"/>
      <c r="DH132" s="700"/>
      <c r="DI132" s="700"/>
      <c r="DJ132" s="700"/>
      <c r="DK132" s="43"/>
      <c r="DL132" s="43"/>
      <c r="DS132" s="3"/>
      <c r="DT132" s="3"/>
      <c r="DV132" s="41"/>
      <c r="DW132" s="41"/>
      <c r="DY132" s="118"/>
      <c r="DZ132" s="3"/>
      <c r="EA132" s="486"/>
      <c r="EB132" s="486"/>
      <c r="EC132" s="486"/>
      <c r="ED132" s="486"/>
      <c r="EE132" s="43"/>
      <c r="EF132" s="43"/>
      <c r="EL132" s="3"/>
      <c r="EM132" s="3"/>
      <c r="EO132" s="41"/>
      <c r="EP132" s="41"/>
      <c r="FC132" s="3"/>
      <c r="FE132" s="39"/>
      <c r="FF132" s="39"/>
      <c r="FH132" s="41"/>
      <c r="FI132" s="41"/>
      <c r="FM132" s="3"/>
      <c r="FN132" s="3"/>
      <c r="FO132" s="486"/>
      <c r="FP132" s="486"/>
      <c r="FQ132" s="486"/>
      <c r="FR132" s="486"/>
      <c r="FS132" s="43"/>
      <c r="FT132" s="43"/>
      <c r="FX132" s="3"/>
      <c r="FY132" s="3"/>
      <c r="GA132" s="41"/>
      <c r="GB132" s="41"/>
      <c r="GG132" s="3"/>
      <c r="GH132" s="3"/>
      <c r="GI132" s="486"/>
      <c r="GJ132" s="486"/>
      <c r="GK132" s="486"/>
      <c r="GL132" s="486"/>
      <c r="GM132" s="43"/>
      <c r="GN132" s="43"/>
      <c r="GO132" s="393"/>
      <c r="GS132" s="3"/>
      <c r="GT132" s="3"/>
      <c r="GV132" s="41"/>
      <c r="GW132" s="41"/>
      <c r="HA132" s="3"/>
      <c r="HB132" s="3"/>
      <c r="HC132" s="43"/>
      <c r="HD132" s="43"/>
      <c r="HE132" s="43"/>
      <c r="HF132" s="43"/>
      <c r="HG132" s="43"/>
    </row>
    <row r="133" spans="1:215">
      <c r="A133" s="632" t="s">
        <v>19</v>
      </c>
      <c r="B133" s="632"/>
      <c r="C133" s="616">
        <f t="shared" si="0"/>
        <v>-0.17511070207933521</v>
      </c>
      <c r="D133" s="616">
        <f t="shared" si="1"/>
        <v>0.36883837689221832</v>
      </c>
      <c r="E133" s="616">
        <f t="shared" si="2"/>
        <v>0.66783746299754887</v>
      </c>
      <c r="F133" s="616">
        <f t="shared" si="3"/>
        <v>0.79218729313653569</v>
      </c>
      <c r="G133" s="616">
        <f t="shared" si="4"/>
        <v>1.0587605994429228</v>
      </c>
      <c r="H133" s="616">
        <f t="shared" si="5"/>
        <v>1.1237067619207983</v>
      </c>
      <c r="I133" s="616">
        <f t="shared" si="6"/>
        <v>1.3853653457825239</v>
      </c>
      <c r="J133" s="616">
        <f t="shared" si="7"/>
        <v>1.28508256543473</v>
      </c>
      <c r="K133" s="616">
        <f t="shared" si="8"/>
        <v>1.210143074002332</v>
      </c>
      <c r="L133" s="616">
        <f t="shared" si="9"/>
        <v>2.3639976914840704</v>
      </c>
      <c r="M133" s="616">
        <f t="shared" si="10"/>
        <v>1.8344196383239355</v>
      </c>
      <c r="N133" s="616">
        <f t="shared" si="11"/>
        <v>2.5312706220782042</v>
      </c>
      <c r="O133" s="616">
        <f t="shared" si="12"/>
        <v>-1</v>
      </c>
      <c r="P133" s="616">
        <f t="shared" si="13"/>
        <v>-1</v>
      </c>
      <c r="Q133" s="616">
        <f t="shared" si="14"/>
        <v>-1</v>
      </c>
      <c r="R133" s="616">
        <f t="shared" si="15"/>
        <v>-1</v>
      </c>
      <c r="S133" s="616">
        <f t="shared" si="16"/>
        <v>-1</v>
      </c>
      <c r="T133" s="616">
        <f t="shared" si="17"/>
        <v>-1</v>
      </c>
      <c r="U133" s="616">
        <f t="shared" si="18"/>
        <v>-1</v>
      </c>
      <c r="V133" s="616">
        <f t="shared" si="19"/>
        <v>-1</v>
      </c>
      <c r="W133" s="616">
        <f t="shared" si="20"/>
        <v>-1</v>
      </c>
      <c r="Y133" s="632" t="s">
        <v>19</v>
      </c>
      <c r="Z133" s="632"/>
      <c r="AA133" s="616">
        <f t="shared" ref="AA133:AU133" si="76">IFERROR((AA35-Z35)/Z35,0)</f>
        <v>-0.17511070207933521</v>
      </c>
      <c r="AB133" s="616">
        <f t="shared" si="76"/>
        <v>0.65942070086581339</v>
      </c>
      <c r="AC133" s="616">
        <f t="shared" si="76"/>
        <v>0.21843271722419982</v>
      </c>
      <c r="AD133" s="616">
        <f t="shared" si="76"/>
        <v>7.4557523078715895E-2</v>
      </c>
      <c r="AE133" s="616">
        <f t="shared" si="76"/>
        <v>0.14874187944935877</v>
      </c>
      <c r="AF133" s="616">
        <f t="shared" si="76"/>
        <v>3.1546243159816266E-2</v>
      </c>
      <c r="AG133" s="616">
        <f t="shared" si="76"/>
        <v>0.12320843374113807</v>
      </c>
      <c r="AH133" s="616">
        <f t="shared" si="76"/>
        <v>-4.2040847338165703E-2</v>
      </c>
      <c r="AI133" s="616">
        <f t="shared" si="76"/>
        <v>-3.2795091331039514E-2</v>
      </c>
      <c r="AJ133" s="616">
        <f t="shared" si="76"/>
        <v>0.52207236312182781</v>
      </c>
      <c r="AK133" s="616">
        <f t="shared" si="76"/>
        <v>-0.15742521301389614</v>
      </c>
      <c r="AL133" s="616">
        <f t="shared" si="76"/>
        <v>0.24585314550188986</v>
      </c>
      <c r="AM133" s="616">
        <f t="shared" si="76"/>
        <v>-1</v>
      </c>
      <c r="AN133" s="616">
        <f t="shared" si="76"/>
        <v>0</v>
      </c>
      <c r="AO133" s="616">
        <f t="shared" si="76"/>
        <v>0</v>
      </c>
      <c r="AP133" s="616">
        <f t="shared" si="76"/>
        <v>0</v>
      </c>
      <c r="AQ133" s="616">
        <f t="shared" si="76"/>
        <v>0</v>
      </c>
      <c r="AR133" s="616">
        <f t="shared" si="76"/>
        <v>0</v>
      </c>
      <c r="AS133" s="616">
        <f t="shared" si="76"/>
        <v>0</v>
      </c>
      <c r="AT133" s="616">
        <f t="shared" si="76"/>
        <v>0</v>
      </c>
      <c r="AU133" s="616">
        <f t="shared" si="76"/>
        <v>0</v>
      </c>
      <c r="AV133" s="565"/>
      <c r="AW133" s="632" t="s">
        <v>19</v>
      </c>
      <c r="AX133" s="632"/>
      <c r="AY133" s="616">
        <f t="shared" ref="AY133:BS133" si="77">(AY35-$AX35)/$AX35</f>
        <v>3.1111622400830957E-2</v>
      </c>
      <c r="AZ133" s="616">
        <f t="shared" si="77"/>
        <v>8.505481095114871E-2</v>
      </c>
      <c r="BA133" s="616">
        <f t="shared" si="77"/>
        <v>0.16225607177529541</v>
      </c>
      <c r="BB133" s="616">
        <f t="shared" si="77"/>
        <v>0.24891100567005953</v>
      </c>
      <c r="BC133" s="616">
        <f t="shared" si="77"/>
        <v>0.29120873832657179</v>
      </c>
      <c r="BD133" s="616">
        <f t="shared" si="77"/>
        <v>0.33194152315590147</v>
      </c>
      <c r="BE133" s="616">
        <f t="shared" si="77"/>
        <v>0.38176651127646216</v>
      </c>
      <c r="BF133" s="616">
        <f t="shared" si="77"/>
        <v>0.40799474906363498</v>
      </c>
      <c r="BG133" s="616">
        <f t="shared" si="77"/>
        <v>0.47456094510584496</v>
      </c>
      <c r="BH133" s="616">
        <f t="shared" si="77"/>
        <v>0.51103890458793566</v>
      </c>
      <c r="BI133" s="616">
        <f t="shared" si="77"/>
        <v>0.49741561647887123</v>
      </c>
      <c r="BJ133" s="616">
        <f t="shared" si="77"/>
        <v>0.47922481442069431</v>
      </c>
      <c r="BK133" s="616">
        <f t="shared" si="77"/>
        <v>-1</v>
      </c>
      <c r="BL133" s="616">
        <f t="shared" si="77"/>
        <v>-1</v>
      </c>
      <c r="BM133" s="616">
        <f t="shared" si="77"/>
        <v>-1</v>
      </c>
      <c r="BN133" s="616">
        <f t="shared" si="77"/>
        <v>-1</v>
      </c>
      <c r="BO133" s="616">
        <f t="shared" si="77"/>
        <v>-1</v>
      </c>
      <c r="BP133" s="616">
        <f t="shared" si="77"/>
        <v>-1</v>
      </c>
      <c r="BQ133" s="616">
        <f t="shared" si="77"/>
        <v>-1</v>
      </c>
      <c r="BR133" s="616">
        <f t="shared" si="77"/>
        <v>-1</v>
      </c>
      <c r="BS133" s="616">
        <f t="shared" si="77"/>
        <v>-1</v>
      </c>
      <c r="BU133" s="632" t="s">
        <v>19</v>
      </c>
      <c r="BV133" s="632"/>
      <c r="BW133" s="616">
        <f t="shared" si="52"/>
        <v>3.1111622400830957E-2</v>
      </c>
      <c r="BX133" s="616">
        <f t="shared" si="53"/>
        <v>5.2315566402711004E-2</v>
      </c>
      <c r="BY133" s="616">
        <f t="shared" si="54"/>
        <v>7.1149641515780029E-2</v>
      </c>
      <c r="BZ133" s="616">
        <f t="shared" si="55"/>
        <v>7.4557523078715757E-2</v>
      </c>
      <c r="CA133" s="616">
        <f t="shared" si="56"/>
        <v>3.3867691504423009E-2</v>
      </c>
      <c r="CB133" s="616">
        <f t="shared" si="57"/>
        <v>3.1546243159816342E-2</v>
      </c>
      <c r="CC133" s="616">
        <f t="shared" si="58"/>
        <v>3.7407789497023378E-2</v>
      </c>
      <c r="CD133" s="616">
        <f t="shared" si="59"/>
        <v>1.8981671341088933E-2</v>
      </c>
      <c r="CE133" s="616">
        <f t="shared" si="60"/>
        <v>4.7277304184890449E-2</v>
      </c>
      <c r="CF133" s="616">
        <f t="shared" si="61"/>
        <v>2.4738183662847683E-2</v>
      </c>
      <c r="CG133" s="616">
        <f t="shared" si="62"/>
        <v>-9.0158420591953739E-3</v>
      </c>
      <c r="CH133" s="616">
        <f t="shared" si="63"/>
        <v>-1.2148131659633705E-2</v>
      </c>
      <c r="CI133" s="616">
        <f t="shared" ref="CI133:CI140" si="78">(BK35-BJ35)/BJ35</f>
        <v>-1</v>
      </c>
      <c r="CJ133" s="616"/>
      <c r="CK133" s="616">
        <v>0</v>
      </c>
      <c r="CL133" s="616">
        <v>0</v>
      </c>
      <c r="CM133" s="616"/>
      <c r="CN133" s="616"/>
      <c r="CO133" s="616"/>
      <c r="CP133" s="616"/>
      <c r="CQ133" s="616"/>
      <c r="CZ133" s="3"/>
      <c r="DA133" s="3"/>
      <c r="DC133" s="41"/>
      <c r="DD133" s="41"/>
      <c r="DE133" s="3"/>
      <c r="DF133" s="118"/>
      <c r="DG133" s="700"/>
      <c r="DH133" s="700"/>
      <c r="DI133" s="700"/>
      <c r="DJ133" s="700"/>
      <c r="DK133" s="43"/>
      <c r="DL133" s="43"/>
      <c r="DS133" s="3"/>
      <c r="DT133" s="3"/>
      <c r="DV133" s="41"/>
      <c r="DW133" s="41"/>
      <c r="DY133" s="118"/>
      <c r="DZ133" s="3"/>
      <c r="EA133" s="486"/>
      <c r="EB133" s="486"/>
      <c r="EC133" s="486"/>
      <c r="ED133" s="486"/>
      <c r="EE133" s="43"/>
      <c r="EF133" s="43"/>
      <c r="EL133" s="3"/>
      <c r="EM133" s="3"/>
      <c r="EO133" s="41"/>
      <c r="EP133" s="41"/>
      <c r="FC133" s="3"/>
      <c r="FE133" s="39"/>
      <c r="FF133" s="39"/>
      <c r="FH133" s="41"/>
      <c r="FI133" s="41"/>
      <c r="FM133" s="3"/>
      <c r="FN133" s="3"/>
      <c r="FO133" s="486"/>
      <c r="FP133" s="486"/>
      <c r="FQ133" s="486"/>
      <c r="FR133" s="486"/>
      <c r="FS133" s="43"/>
      <c r="FT133" s="43"/>
      <c r="FX133" s="3"/>
      <c r="FY133" s="3"/>
      <c r="GA133" s="41"/>
      <c r="GB133" s="41"/>
      <c r="GG133" s="3"/>
      <c r="GH133" s="3"/>
      <c r="GI133" s="486"/>
      <c r="GJ133" s="486"/>
      <c r="GK133" s="486"/>
      <c r="GL133" s="486"/>
      <c r="GM133" s="43"/>
      <c r="GN133" s="43"/>
      <c r="GO133" s="393"/>
      <c r="GS133" s="3"/>
      <c r="GT133" s="3"/>
      <c r="GV133" s="41"/>
      <c r="GW133" s="41"/>
      <c r="HA133" s="3"/>
      <c r="HB133" s="3"/>
      <c r="HC133" s="43"/>
      <c r="HD133" s="43"/>
      <c r="HE133" s="43"/>
      <c r="HF133" s="43"/>
      <c r="HG133" s="43"/>
    </row>
    <row r="134" spans="1:215">
      <c r="A134" s="631" t="s">
        <v>20</v>
      </c>
      <c r="B134" s="631"/>
      <c r="C134" s="618">
        <f t="shared" si="0"/>
        <v>4.8524900069276417E-3</v>
      </c>
      <c r="D134" s="618">
        <f t="shared" si="1"/>
        <v>0.11564999840647602</v>
      </c>
      <c r="E134" s="618">
        <f t="shared" si="2"/>
        <v>0.23802131296306545</v>
      </c>
      <c r="F134" s="618">
        <f t="shared" si="3"/>
        <v>0.93861347483825719</v>
      </c>
      <c r="G134" s="618">
        <f t="shared" si="4"/>
        <v>1.2480877712974472</v>
      </c>
      <c r="H134" s="618">
        <f t="shared" si="5"/>
        <v>1.9202302893671697</v>
      </c>
      <c r="I134" s="618">
        <f t="shared" si="6"/>
        <v>1.0601077222169104</v>
      </c>
      <c r="J134" s="618">
        <f t="shared" si="7"/>
        <v>1.1497272977356863</v>
      </c>
      <c r="K134" s="618">
        <f t="shared" si="8"/>
        <v>1.090601270122433</v>
      </c>
      <c r="L134" s="618">
        <f t="shared" si="9"/>
        <v>1.1654815880891634</v>
      </c>
      <c r="M134" s="618">
        <f t="shared" si="10"/>
        <v>1.2551212923311241</v>
      </c>
      <c r="N134" s="618">
        <f t="shared" si="11"/>
        <v>1.2328052478936131</v>
      </c>
      <c r="O134" s="618">
        <f t="shared" si="12"/>
        <v>1.6355487089940168</v>
      </c>
      <c r="P134" s="618">
        <f t="shared" si="13"/>
        <v>1.8583277559996172</v>
      </c>
      <c r="Q134" s="618">
        <f t="shared" si="14"/>
        <v>1.9033997413459067</v>
      </c>
      <c r="R134" s="618">
        <f t="shared" si="15"/>
        <v>2.0965270823583482</v>
      </c>
      <c r="S134" s="618">
        <f t="shared" si="16"/>
        <v>2.3571282099023252</v>
      </c>
      <c r="T134" s="618">
        <f t="shared" si="17"/>
        <v>2.1670348545615874</v>
      </c>
      <c r="U134" s="618">
        <f t="shared" si="18"/>
        <v>2.0770827357618633</v>
      </c>
      <c r="V134" s="618">
        <f t="shared" si="19"/>
        <v>2.2778556367973186</v>
      </c>
      <c r="W134" s="618">
        <f t="shared" si="20"/>
        <v>2.2499500975404376</v>
      </c>
      <c r="Y134" s="631" t="s">
        <v>20</v>
      </c>
      <c r="Z134" s="631"/>
      <c r="AA134" s="618">
        <f t="shared" ref="AA134:AU134" si="79">IFERROR((AA36-Z36)/Z36,0)</f>
        <v>4.8524900069276417E-3</v>
      </c>
      <c r="AB134" s="618">
        <f t="shared" si="79"/>
        <v>0.11026246090984411</v>
      </c>
      <c r="AC134" s="618">
        <f t="shared" si="79"/>
        <v>0.10968611547651762</v>
      </c>
      <c r="AD134" s="618">
        <f t="shared" si="79"/>
        <v>0.56589668896604273</v>
      </c>
      <c r="AE134" s="618">
        <f t="shared" si="79"/>
        <v>0.15963692632695131</v>
      </c>
      <c r="AF134" s="618">
        <f t="shared" si="79"/>
        <v>0.29898410847268947</v>
      </c>
      <c r="AG134" s="618">
        <f t="shared" si="79"/>
        <v>-0.29453929379543986</v>
      </c>
      <c r="AH134" s="618">
        <f t="shared" si="79"/>
        <v>4.3502373469254778E-2</v>
      </c>
      <c r="AI134" s="618">
        <f t="shared" si="79"/>
        <v>-2.7503966514976531E-2</v>
      </c>
      <c r="AJ134" s="618">
        <f t="shared" si="79"/>
        <v>3.581759900219763E-2</v>
      </c>
      <c r="AK134" s="618">
        <f t="shared" si="79"/>
        <v>4.1394812468047555E-2</v>
      </c>
      <c r="AL134" s="618">
        <f t="shared" si="79"/>
        <v>-9.895718032285044E-3</v>
      </c>
      <c r="AM134" s="618">
        <f t="shared" si="79"/>
        <v>0.18037554393977906</v>
      </c>
      <c r="AN134" s="618">
        <f t="shared" si="79"/>
        <v>8.4528525784915196E-2</v>
      </c>
      <c r="AO134" s="618">
        <f t="shared" si="79"/>
        <v>1.5768655379595122E-2</v>
      </c>
      <c r="AP134" s="618">
        <f t="shared" si="79"/>
        <v>6.6517654548978844E-2</v>
      </c>
      <c r="AQ134" s="618">
        <f t="shared" si="79"/>
        <v>8.4159163027729814E-2</v>
      </c>
      <c r="AR134" s="618">
        <f t="shared" si="79"/>
        <v>-5.6623799704768545E-2</v>
      </c>
      <c r="AS134" s="618">
        <f t="shared" si="79"/>
        <v>-2.8402629882700241E-2</v>
      </c>
      <c r="AT134" s="618">
        <f t="shared" si="79"/>
        <v>6.5247807185056128E-2</v>
      </c>
      <c r="AU134" s="618">
        <f t="shared" si="79"/>
        <v>-8.5133521268027888E-3</v>
      </c>
      <c r="AV134" s="565"/>
      <c r="AW134" s="631" t="s">
        <v>20</v>
      </c>
      <c r="AX134" s="631"/>
      <c r="AY134" s="618">
        <f t="shared" ref="AY134:BS134" si="80">(AY36-$AX36)/$AX36</f>
        <v>0.17094381066922967</v>
      </c>
      <c r="AZ134" s="618">
        <f t="shared" si="80"/>
        <v>0.10004650192526654</v>
      </c>
      <c r="BA134" s="618">
        <f t="shared" si="80"/>
        <v>0.2299822135282403</v>
      </c>
      <c r="BB134" s="618">
        <f t="shared" si="80"/>
        <v>0.30786842082389598</v>
      </c>
      <c r="BC134" s="618">
        <f t="shared" si="80"/>
        <v>0.45211411064667639</v>
      </c>
      <c r="BD134" s="618">
        <f t="shared" si="80"/>
        <v>0.48897117521092831</v>
      </c>
      <c r="BE134" s="618">
        <f t="shared" si="80"/>
        <v>0.65042720927604736</v>
      </c>
      <c r="BF134" s="618">
        <f t="shared" si="80"/>
        <v>0.64563377114831144</v>
      </c>
      <c r="BG134" s="618">
        <f t="shared" si="80"/>
        <v>0.56390006134685866</v>
      </c>
      <c r="BH134" s="618">
        <f t="shared" si="80"/>
        <v>0.5460094577550707</v>
      </c>
      <c r="BI134" s="618">
        <f t="shared" si="80"/>
        <v>0.59860478212715762</v>
      </c>
      <c r="BJ134" s="618">
        <f t="shared" si="80"/>
        <v>0.60864432591879591</v>
      </c>
      <c r="BK134" s="618">
        <f t="shared" si="80"/>
        <v>0.54523747547383683</v>
      </c>
      <c r="BL134" s="618">
        <f t="shared" si="80"/>
        <v>0.46604678967451396</v>
      </c>
      <c r="BM134" s="618">
        <f t="shared" si="80"/>
        <v>0.47270516544209296</v>
      </c>
      <c r="BN134" s="618">
        <f t="shared" si="80"/>
        <v>0.74425982567610749</v>
      </c>
      <c r="BO134" s="618">
        <f t="shared" si="80"/>
        <v>0.93910403622072225</v>
      </c>
      <c r="BP134" s="618">
        <f t="shared" si="80"/>
        <v>0.71172574751902051</v>
      </c>
      <c r="BQ134" s="618">
        <f t="shared" si="80"/>
        <v>0.82407839039750108</v>
      </c>
      <c r="BR134" s="618">
        <f t="shared" si="80"/>
        <v>1.0366862563365449</v>
      </c>
      <c r="BS134" s="618">
        <f t="shared" si="80"/>
        <v>1.030027480281857</v>
      </c>
      <c r="BU134" s="631" t="s">
        <v>20</v>
      </c>
      <c r="BV134" s="631"/>
      <c r="BW134" s="618">
        <f t="shared" si="52"/>
        <v>0.17094381066922967</v>
      </c>
      <c r="BX134" s="618">
        <f t="shared" si="53"/>
        <v>-6.0547148460901104E-2</v>
      </c>
      <c r="BY134" s="618">
        <f t="shared" si="54"/>
        <v>0.1181183807916887</v>
      </c>
      <c r="BZ134" s="618">
        <f t="shared" si="55"/>
        <v>6.3323035438241679E-2</v>
      </c>
      <c r="CA134" s="618">
        <f t="shared" si="56"/>
        <v>0.11029067414282573</v>
      </c>
      <c r="CB134" s="618">
        <f t="shared" si="57"/>
        <v>2.5381658572161542E-2</v>
      </c>
      <c r="CC134" s="618">
        <f t="shared" si="58"/>
        <v>0.10843462704524626</v>
      </c>
      <c r="CD134" s="618">
        <f t="shared" si="59"/>
        <v>-2.9043620347477079E-3</v>
      </c>
      <c r="CE134" s="618">
        <f t="shared" si="60"/>
        <v>-4.966701050648685E-2</v>
      </c>
      <c r="CF134" s="618">
        <f t="shared" si="61"/>
        <v>-1.1439735846279211E-2</v>
      </c>
      <c r="CG134" s="618">
        <f t="shared" si="62"/>
        <v>3.4020053440332425E-2</v>
      </c>
      <c r="CH134" s="618">
        <f t="shared" si="63"/>
        <v>6.280191266711547E-3</v>
      </c>
      <c r="CI134" s="618">
        <f t="shared" si="78"/>
        <v>-3.9416326793521334E-2</v>
      </c>
      <c r="CJ134" s="618">
        <f t="shared" ref="CJ134:CQ140" si="81">(BL36-BK36)/BK36</f>
        <v>-5.1248230162835993E-2</v>
      </c>
      <c r="CK134" s="618">
        <f t="shared" si="81"/>
        <v>4.5417211882147705E-3</v>
      </c>
      <c r="CL134" s="618">
        <f t="shared" si="81"/>
        <v>0.1843917347519429</v>
      </c>
      <c r="CM134" s="618">
        <f t="shared" si="81"/>
        <v>0.11170595554426047</v>
      </c>
      <c r="CN134" s="618">
        <f t="shared" si="81"/>
        <v>-0.11725945821084351</v>
      </c>
      <c r="CO134" s="618">
        <f t="shared" si="81"/>
        <v>6.5637058413898788E-2</v>
      </c>
      <c r="CP134" s="618">
        <f t="shared" si="81"/>
        <v>0.11655632074711031</v>
      </c>
      <c r="CQ134" s="618">
        <f t="shared" si="81"/>
        <v>-3.2694166978203794E-3</v>
      </c>
      <c r="CZ134" s="3"/>
      <c r="DA134" s="3"/>
      <c r="DC134" s="41"/>
      <c r="DD134" s="41"/>
      <c r="DE134" s="3"/>
      <c r="DF134" s="118"/>
      <c r="DG134" s="700"/>
      <c r="DH134" s="700"/>
      <c r="DI134" s="700"/>
      <c r="DJ134" s="700"/>
      <c r="DK134" s="43"/>
      <c r="DL134" s="43"/>
      <c r="DS134" s="3"/>
      <c r="DT134" s="3"/>
      <c r="DV134" s="41"/>
      <c r="DW134" s="41"/>
      <c r="DY134" s="118"/>
      <c r="DZ134" s="3"/>
      <c r="EA134" s="486"/>
      <c r="EB134" s="486"/>
      <c r="EC134" s="486"/>
      <c r="ED134" s="486"/>
      <c r="EE134" s="43"/>
      <c r="EF134" s="43"/>
      <c r="EL134" s="3"/>
      <c r="EM134" s="3"/>
      <c r="EO134" s="41"/>
      <c r="EP134" s="41"/>
      <c r="FC134" s="3"/>
      <c r="FE134" s="39"/>
      <c r="FF134" s="39"/>
      <c r="FH134" s="41"/>
      <c r="FI134" s="41"/>
      <c r="FM134" s="3"/>
      <c r="FN134" s="3"/>
      <c r="FO134" s="486"/>
      <c r="FP134" s="486"/>
      <c r="FQ134" s="486"/>
      <c r="FR134" s="486"/>
      <c r="FS134" s="43"/>
      <c r="FT134" s="43"/>
      <c r="FX134" s="3"/>
      <c r="FY134" s="3"/>
      <c r="GA134" s="41"/>
      <c r="GB134" s="41"/>
      <c r="GG134" s="3"/>
      <c r="GH134" s="3"/>
      <c r="GI134" s="486"/>
      <c r="GJ134" s="486"/>
      <c r="GK134" s="486"/>
      <c r="GL134" s="486"/>
      <c r="GM134" s="43"/>
      <c r="GN134" s="43"/>
      <c r="GO134" s="393"/>
      <c r="GS134" s="3"/>
      <c r="GT134" s="3"/>
      <c r="GV134" s="41"/>
      <c r="GW134" s="41"/>
      <c r="HA134" s="3"/>
      <c r="HB134" s="3"/>
      <c r="HC134" s="43"/>
      <c r="HD134" s="43"/>
      <c r="HE134" s="43"/>
      <c r="HF134" s="43"/>
      <c r="HG134" s="43"/>
    </row>
    <row r="135" spans="1:215">
      <c r="A135" s="632" t="s">
        <v>21</v>
      </c>
      <c r="B135" s="632"/>
      <c r="C135" s="616">
        <f t="shared" si="0"/>
        <v>5.7053076509519414E-3</v>
      </c>
      <c r="D135" s="616">
        <f t="shared" si="1"/>
        <v>3.5801848315752373E-2</v>
      </c>
      <c r="E135" s="616">
        <f t="shared" si="2"/>
        <v>6.8978142785636132E-2</v>
      </c>
      <c r="F135" s="616">
        <f t="shared" si="3"/>
        <v>0.14774012346823381</v>
      </c>
      <c r="G135" s="616">
        <f t="shared" si="4"/>
        <v>0.24024049424371072</v>
      </c>
      <c r="H135" s="616">
        <f t="shared" si="5"/>
        <v>0.18404367735117996</v>
      </c>
      <c r="I135" s="616">
        <f t="shared" si="6"/>
        <v>0.1639557572162178</v>
      </c>
      <c r="J135" s="616">
        <f t="shared" si="7"/>
        <v>0.30275381898741233</v>
      </c>
      <c r="K135" s="616">
        <f t="shared" si="8"/>
        <v>0.86053975640051183</v>
      </c>
      <c r="L135" s="616">
        <f t="shared" si="9"/>
        <v>5.2863852403552025</v>
      </c>
      <c r="M135" s="616">
        <f t="shared" si="10"/>
        <v>9.3944234209599369</v>
      </c>
      <c r="N135" s="616">
        <f t="shared" si="11"/>
        <v>9.5384737490962372</v>
      </c>
      <c r="O135" s="616">
        <f t="shared" si="12"/>
        <v>12.024649037837639</v>
      </c>
      <c r="P135" s="616">
        <f t="shared" si="13"/>
        <v>14.356826787601268</v>
      </c>
      <c r="Q135" s="616">
        <f t="shared" si="14"/>
        <v>13.895833526445561</v>
      </c>
      <c r="R135" s="616">
        <f t="shared" si="15"/>
        <v>-1</v>
      </c>
      <c r="S135" s="616">
        <f t="shared" si="16"/>
        <v>14.155513663076325</v>
      </c>
      <c r="T135" s="616">
        <f t="shared" si="17"/>
        <v>16.193990308855973</v>
      </c>
      <c r="U135" s="616">
        <f t="shared" si="18"/>
        <v>13.881969999629225</v>
      </c>
      <c r="V135" s="616">
        <f t="shared" si="19"/>
        <v>12.962600920450123</v>
      </c>
      <c r="W135" s="616">
        <f t="shared" si="20"/>
        <v>13.483417066795203</v>
      </c>
      <c r="Y135" s="632" t="s">
        <v>21</v>
      </c>
      <c r="Z135" s="632"/>
      <c r="AA135" s="616">
        <f t="shared" ref="AA135:AU135" si="82">IFERROR((AA37-Z37)/Z37,0)</f>
        <v>5.7053076509519414E-3</v>
      </c>
      <c r="AB135" s="616">
        <f t="shared" si="82"/>
        <v>2.9925804742044749E-2</v>
      </c>
      <c r="AC135" s="616">
        <f t="shared" si="82"/>
        <v>3.2029576432818202E-2</v>
      </c>
      <c r="AD135" s="616">
        <f t="shared" si="82"/>
        <v>7.3679692343711412E-2</v>
      </c>
      <c r="AE135" s="616">
        <f t="shared" si="82"/>
        <v>8.0593480078016158E-2</v>
      </c>
      <c r="AF135" s="616">
        <f t="shared" si="82"/>
        <v>-4.5311225648053968E-2</v>
      </c>
      <c r="AG135" s="616">
        <f t="shared" si="82"/>
        <v>-1.6965522910354771E-2</v>
      </c>
      <c r="AH135" s="616">
        <f t="shared" si="82"/>
        <v>0.11924685359446291</v>
      </c>
      <c r="AI135" s="616">
        <f t="shared" si="82"/>
        <v>0.42815912667724748</v>
      </c>
      <c r="AJ135" s="616">
        <f t="shared" si="82"/>
        <v>2.3787965125330839</v>
      </c>
      <c r="AK135" s="616">
        <f t="shared" si="82"/>
        <v>0.65348177426883503</v>
      </c>
      <c r="AL135" s="616">
        <f t="shared" si="82"/>
        <v>1.3858424109010907E-2</v>
      </c>
      <c r="AM135" s="616">
        <f t="shared" si="82"/>
        <v>0.23591417010974786</v>
      </c>
      <c r="AN135" s="616">
        <f t="shared" si="82"/>
        <v>0.17905877870401482</v>
      </c>
      <c r="AO135" s="616">
        <f t="shared" si="82"/>
        <v>-3.0018783667463186E-2</v>
      </c>
      <c r="AP135" s="616">
        <f t="shared" si="82"/>
        <v>-1</v>
      </c>
      <c r="AQ135" s="616">
        <f t="shared" si="82"/>
        <v>0</v>
      </c>
      <c r="AR135" s="616">
        <f t="shared" si="82"/>
        <v>0.13450396278854118</v>
      </c>
      <c r="AS135" s="616">
        <f t="shared" si="82"/>
        <v>-0.13446676819608955</v>
      </c>
      <c r="AT135" s="616">
        <f t="shared" si="82"/>
        <v>-6.1777377538189397E-2</v>
      </c>
      <c r="AU135" s="616">
        <f t="shared" si="82"/>
        <v>3.730079727354197E-2</v>
      </c>
      <c r="AV135" s="565"/>
      <c r="AW135" s="632" t="s">
        <v>21</v>
      </c>
      <c r="AX135" s="632"/>
      <c r="AY135" s="616">
        <f t="shared" ref="AY135:BS135" si="83">(AY37-$AX37)/$AX37</f>
        <v>4.6754503881603036E-2</v>
      </c>
      <c r="AZ135" s="616">
        <f t="shared" si="83"/>
        <v>7.8079474777619812E-2</v>
      </c>
      <c r="BA135" s="616">
        <f t="shared" si="83"/>
        <v>9.0794023250649128E-2</v>
      </c>
      <c r="BB135" s="616">
        <f t="shared" si="83"/>
        <v>0.17116339129411612</v>
      </c>
      <c r="BC135" s="616">
        <f t="shared" si="83"/>
        <v>0.18961843325417158</v>
      </c>
      <c r="BD135" s="616">
        <f t="shared" si="83"/>
        <v>0.25653614739308905</v>
      </c>
      <c r="BE135" s="616">
        <f t="shared" si="83"/>
        <v>0.28272675285052562</v>
      </c>
      <c r="BF135" s="616">
        <f t="shared" si="83"/>
        <v>0.33693973177042646</v>
      </c>
      <c r="BG135" s="616">
        <f t="shared" si="83"/>
        <v>0.4484963541042008</v>
      </c>
      <c r="BH135" s="616">
        <f t="shared" si="83"/>
        <v>0.44813981375720785</v>
      </c>
      <c r="BI135" s="616">
        <f t="shared" si="83"/>
        <v>0.49827922817409337</v>
      </c>
      <c r="BJ135" s="616">
        <f t="shared" si="83"/>
        <v>0.46580043142375133</v>
      </c>
      <c r="BK135" s="616">
        <f t="shared" si="83"/>
        <v>0.33923663146317468</v>
      </c>
      <c r="BL135" s="616">
        <f t="shared" si="83"/>
        <v>0.33868372435643035</v>
      </c>
      <c r="BM135" s="616">
        <f t="shared" si="83"/>
        <v>0.36285946777072009</v>
      </c>
      <c r="BN135" s="616">
        <f t="shared" si="83"/>
        <v>-1</v>
      </c>
      <c r="BO135" s="616">
        <f t="shared" si="83"/>
        <v>0.35881040093314337</v>
      </c>
      <c r="BP135" s="616">
        <f t="shared" si="83"/>
        <v>0.50164706601203346</v>
      </c>
      <c r="BQ135" s="616">
        <f t="shared" si="83"/>
        <v>0.52669966505354116</v>
      </c>
      <c r="BR135" s="616">
        <f t="shared" si="83"/>
        <v>0.58012240509188229</v>
      </c>
      <c r="BS135" s="616">
        <f t="shared" si="83"/>
        <v>0.60322559531218722</v>
      </c>
      <c r="BU135" s="632" t="s">
        <v>21</v>
      </c>
      <c r="BV135" s="632"/>
      <c r="BW135" s="616">
        <f t="shared" si="52"/>
        <v>4.6754503881603036E-2</v>
      </c>
      <c r="BX135" s="616">
        <f t="shared" si="53"/>
        <v>2.9925804742044749E-2</v>
      </c>
      <c r="BY135" s="616">
        <f t="shared" si="54"/>
        <v>1.1793702385115915E-2</v>
      </c>
      <c r="BZ135" s="616">
        <f t="shared" si="55"/>
        <v>7.3679692343711384E-2</v>
      </c>
      <c r="CA135" s="616">
        <f t="shared" si="56"/>
        <v>1.5757871273335243E-2</v>
      </c>
      <c r="CB135" s="616">
        <f t="shared" si="57"/>
        <v>5.6251409921302044E-2</v>
      </c>
      <c r="CC135" s="616">
        <f t="shared" si="58"/>
        <v>2.0843495439246761E-2</v>
      </c>
      <c r="CD135" s="616">
        <f t="shared" si="59"/>
        <v>4.226385611699969E-2</v>
      </c>
      <c r="CE135" s="616">
        <f t="shared" si="60"/>
        <v>8.344177353907109E-2</v>
      </c>
      <c r="CF135" s="616">
        <f t="shared" si="61"/>
        <v>-2.4614514629789396E-4</v>
      </c>
      <c r="CG135" s="616">
        <f t="shared" si="62"/>
        <v>3.4623324309272625E-2</v>
      </c>
      <c r="CH135" s="616">
        <f t="shared" si="63"/>
        <v>-2.1677399071949301E-2</v>
      </c>
      <c r="CI135" s="616">
        <f t="shared" si="78"/>
        <v>-8.6344496322492956E-2</v>
      </c>
      <c r="CJ135" s="616">
        <f t="shared" si="81"/>
        <v>-4.1285243679470849E-4</v>
      </c>
      <c r="CK135" s="616">
        <f t="shared" si="81"/>
        <v>1.8059339166099277E-2</v>
      </c>
      <c r="CL135" s="616">
        <f t="shared" si="81"/>
        <v>-1</v>
      </c>
      <c r="CM135" s="616" t="e">
        <f t="shared" si="81"/>
        <v>#DIV/0!</v>
      </c>
      <c r="CN135" s="616">
        <f t="shared" si="81"/>
        <v>0.10511890767159204</v>
      </c>
      <c r="CO135" s="616">
        <f t="shared" si="81"/>
        <v>1.6683413572032325E-2</v>
      </c>
      <c r="CP135" s="616">
        <f t="shared" si="81"/>
        <v>3.4992304813578123E-2</v>
      </c>
      <c r="CQ135" s="616">
        <f t="shared" si="81"/>
        <v>1.4621139568590317E-2</v>
      </c>
      <c r="CZ135" s="3"/>
      <c r="DA135" s="3"/>
      <c r="DC135" s="41"/>
      <c r="DD135" s="41"/>
      <c r="DE135" s="3"/>
      <c r="DF135" s="118"/>
      <c r="DG135" s="700"/>
      <c r="DH135" s="700"/>
      <c r="DI135" s="700"/>
      <c r="DJ135" s="700"/>
      <c r="DK135" s="43"/>
      <c r="DL135" s="43"/>
      <c r="DS135" s="3"/>
      <c r="DT135" s="3"/>
      <c r="DV135" s="41"/>
      <c r="DW135" s="41"/>
      <c r="DY135" s="118"/>
      <c r="DZ135" s="3"/>
      <c r="EA135" s="486"/>
      <c r="EB135" s="486"/>
      <c r="EC135" s="486"/>
      <c r="ED135" s="486"/>
      <c r="EE135" s="43"/>
      <c r="EF135" s="43"/>
      <c r="EL135" s="3"/>
      <c r="EM135" s="3"/>
      <c r="EO135" s="41"/>
      <c r="EP135" s="41"/>
      <c r="FC135" s="3"/>
      <c r="FE135" s="39"/>
      <c r="FF135" s="39"/>
      <c r="FH135" s="41"/>
      <c r="FI135" s="41"/>
      <c r="FM135" s="3"/>
      <c r="FN135" s="3"/>
      <c r="FO135" s="486"/>
      <c r="FP135" s="486"/>
      <c r="FQ135" s="486"/>
      <c r="FR135" s="486"/>
      <c r="FS135" s="43"/>
      <c r="FT135" s="43"/>
      <c r="FX135" s="3"/>
      <c r="FY135" s="3"/>
      <c r="GA135" s="41"/>
      <c r="GB135" s="41"/>
      <c r="GG135" s="3"/>
      <c r="GH135" s="3"/>
      <c r="GI135" s="486"/>
      <c r="GJ135" s="486"/>
      <c r="GK135" s="486"/>
      <c r="GL135" s="486"/>
      <c r="GM135" s="43"/>
      <c r="GN135" s="43"/>
      <c r="GO135" s="393"/>
      <c r="GS135" s="3"/>
      <c r="GT135" s="3"/>
      <c r="GV135" s="41"/>
      <c r="GW135" s="41"/>
      <c r="HA135" s="3"/>
      <c r="HB135" s="3"/>
      <c r="HC135" s="43"/>
      <c r="HD135" s="43"/>
      <c r="HE135" s="43"/>
      <c r="HF135" s="43"/>
      <c r="HG135" s="43"/>
    </row>
    <row r="136" spans="1:215">
      <c r="A136" s="631" t="s">
        <v>22</v>
      </c>
      <c r="B136" s="631"/>
      <c r="C136" s="618">
        <f t="shared" si="0"/>
        <v>0.30312402367920271</v>
      </c>
      <c r="D136" s="618">
        <f t="shared" si="1"/>
        <v>0.13909270217433278</v>
      </c>
      <c r="E136" s="618">
        <f t="shared" si="2"/>
        <v>0.14958350408381041</v>
      </c>
      <c r="F136" s="618">
        <f t="shared" si="3"/>
        <v>0.21359733087468549</v>
      </c>
      <c r="G136" s="618">
        <f t="shared" si="4"/>
        <v>0.24129112898664062</v>
      </c>
      <c r="H136" s="618">
        <f t="shared" si="5"/>
        <v>0.26038196712664463</v>
      </c>
      <c r="I136" s="618">
        <f t="shared" si="6"/>
        <v>0.29981953951907908</v>
      </c>
      <c r="J136" s="618">
        <f t="shared" si="7"/>
        <v>0.37911976050619628</v>
      </c>
      <c r="K136" s="618">
        <f t="shared" si="8"/>
        <v>0.39798755894322374</v>
      </c>
      <c r="L136" s="618">
        <f t="shared" si="9"/>
        <v>0.33525558392844396</v>
      </c>
      <c r="M136" s="618">
        <f t="shared" si="10"/>
        <v>4.8838415432390328E-2</v>
      </c>
      <c r="N136" s="618">
        <f t="shared" si="11"/>
        <v>0.21387962109265818</v>
      </c>
      <c r="O136" s="618">
        <f t="shared" si="12"/>
        <v>-0.22272674330767522</v>
      </c>
      <c r="P136" s="618">
        <f t="shared" si="13"/>
        <v>-9.4257664438974598E-2</v>
      </c>
      <c r="Q136" s="618">
        <f t="shared" si="14"/>
        <v>-0.21117772600700221</v>
      </c>
      <c r="R136" s="618">
        <f t="shared" si="15"/>
        <v>-1</v>
      </c>
      <c r="S136" s="618">
        <f t="shared" si="16"/>
        <v>-0.15367984482451238</v>
      </c>
      <c r="T136" s="618">
        <f t="shared" si="17"/>
        <v>-1</v>
      </c>
      <c r="U136" s="618">
        <f t="shared" si="18"/>
        <v>-0.15127318795456735</v>
      </c>
      <c r="V136" s="618">
        <f t="shared" si="19"/>
        <v>-7.0554952376429059E-2</v>
      </c>
      <c r="W136" s="618">
        <f t="shared" si="20"/>
        <v>6.8060642931932605E-2</v>
      </c>
      <c r="Y136" s="631" t="s">
        <v>22</v>
      </c>
      <c r="Z136" s="631"/>
      <c r="AA136" s="618">
        <f t="shared" ref="AA136:AU136" si="84">IFERROR((AA38-Z38)/Z38,0)</f>
        <v>0.30312402367920271</v>
      </c>
      <c r="AB136" s="618">
        <f t="shared" si="84"/>
        <v>-0.12587544893980898</v>
      </c>
      <c r="AC136" s="618">
        <f t="shared" si="84"/>
        <v>9.2097876577143314E-3</v>
      </c>
      <c r="AD136" s="618">
        <f t="shared" si="84"/>
        <v>5.5684364435876731E-2</v>
      </c>
      <c r="AE136" s="618">
        <f t="shared" si="84"/>
        <v>2.2819593787335665E-2</v>
      </c>
      <c r="AF136" s="618">
        <f t="shared" si="84"/>
        <v>1.5379823229373516E-2</v>
      </c>
      <c r="AG136" s="618">
        <f t="shared" si="84"/>
        <v>3.1290175058869031E-2</v>
      </c>
      <c r="AH136" s="618">
        <f t="shared" si="84"/>
        <v>6.1008638950340414E-2</v>
      </c>
      <c r="AI136" s="618">
        <f t="shared" si="84"/>
        <v>1.3681044226429023E-2</v>
      </c>
      <c r="AJ136" s="618">
        <f t="shared" si="84"/>
        <v>-4.4873056711749709E-2</v>
      </c>
      <c r="AK136" s="618">
        <f t="shared" si="84"/>
        <v>-0.21450362907555731</v>
      </c>
      <c r="AL136" s="618">
        <f t="shared" si="84"/>
        <v>0.15735617920919548</v>
      </c>
      <c r="AM136" s="618">
        <f t="shared" si="84"/>
        <v>-0.35967846960584754</v>
      </c>
      <c r="AN136" s="618">
        <f t="shared" si="84"/>
        <v>0.16528174327700268</v>
      </c>
      <c r="AO136" s="618">
        <f t="shared" si="84"/>
        <v>-0.12908755280342088</v>
      </c>
      <c r="AP136" s="618">
        <f t="shared" si="84"/>
        <v>-1</v>
      </c>
      <c r="AQ136" s="618">
        <f t="shared" si="84"/>
        <v>0</v>
      </c>
      <c r="AR136" s="618">
        <f t="shared" si="84"/>
        <v>-1</v>
      </c>
      <c r="AS136" s="618">
        <f t="shared" si="84"/>
        <v>0</v>
      </c>
      <c r="AT136" s="618">
        <f t="shared" si="84"/>
        <v>9.5105084972639461E-2</v>
      </c>
      <c r="AU136" s="618">
        <f t="shared" si="84"/>
        <v>0.14913802129859921</v>
      </c>
      <c r="AV136" s="565"/>
      <c r="AW136" s="631" t="s">
        <v>22</v>
      </c>
      <c r="AX136" s="631"/>
      <c r="AY136" s="618">
        <f t="shared" ref="AY136:BS136" si="85">(AY38-$AX38)/$AX38</f>
        <v>6.4413616939168514E-2</v>
      </c>
      <c r="AZ136" s="618">
        <f t="shared" si="85"/>
        <v>7.5809774275758732E-2</v>
      </c>
      <c r="BA136" s="618">
        <f t="shared" si="85"/>
        <v>0.23048012103785623</v>
      </c>
      <c r="BB136" s="618">
        <f t="shared" si="85"/>
        <v>0.18314865232227404</v>
      </c>
      <c r="BC136" s="618">
        <f t="shared" si="85"/>
        <v>0.28956356178056558</v>
      </c>
      <c r="BD136" s="618">
        <f t="shared" si="85"/>
        <v>0.32262305192302221</v>
      </c>
      <c r="BE136" s="618">
        <f t="shared" si="85"/>
        <v>0.27875764883242732</v>
      </c>
      <c r="BF136" s="618">
        <f t="shared" si="85"/>
        <v>0.45354110566963707</v>
      </c>
      <c r="BG136" s="618">
        <f t="shared" si="85"/>
        <v>0.47033596480669232</v>
      </c>
      <c r="BH136" s="618">
        <f t="shared" si="85"/>
        <v>0.60619253936502904</v>
      </c>
      <c r="BI136" s="618">
        <f t="shared" si="85"/>
        <v>0.5290161977396467</v>
      </c>
      <c r="BJ136" s="618">
        <f t="shared" si="85"/>
        <v>0.49870178919450403</v>
      </c>
      <c r="BK136" s="618">
        <f t="shared" si="85"/>
        <v>0.40082384005763355</v>
      </c>
      <c r="BL136" s="618">
        <f t="shared" si="85"/>
        <v>0.42046053939568528</v>
      </c>
      <c r="BM136" s="618">
        <f t="shared" si="85"/>
        <v>0.60029302585173483</v>
      </c>
      <c r="BN136" s="618">
        <f t="shared" si="85"/>
        <v>-1</v>
      </c>
      <c r="BO136" s="618">
        <f t="shared" si="85"/>
        <v>0.74642992310255063</v>
      </c>
      <c r="BP136" s="618">
        <f t="shared" si="85"/>
        <v>-1</v>
      </c>
      <c r="BQ136" s="618">
        <f t="shared" si="85"/>
        <v>1.0643780016581392</v>
      </c>
      <c r="BR136" s="618">
        <f t="shared" si="85"/>
        <v>1.0399081621658417</v>
      </c>
      <c r="BS136" s="618">
        <f t="shared" si="85"/>
        <v>1.0625305153080338</v>
      </c>
      <c r="BU136" s="631" t="s">
        <v>22</v>
      </c>
      <c r="BV136" s="631"/>
      <c r="BW136" s="618">
        <f t="shared" si="52"/>
        <v>6.4413616939168514E-2</v>
      </c>
      <c r="BX136" s="618">
        <f t="shared" si="53"/>
        <v>1.0706512163345895E-2</v>
      </c>
      <c r="BY136" s="618">
        <f t="shared" si="54"/>
        <v>0.14377109267874283</v>
      </c>
      <c r="BZ136" s="618">
        <f t="shared" si="55"/>
        <v>-3.8465854024248833E-2</v>
      </c>
      <c r="CA136" s="618">
        <f t="shared" si="56"/>
        <v>8.9942129629629622E-2</v>
      </c>
      <c r="CB136" s="618">
        <f t="shared" si="57"/>
        <v>2.5636185080175275E-2</v>
      </c>
      <c r="CC136" s="618">
        <f t="shared" si="58"/>
        <v>-3.3165460882310337E-2</v>
      </c>
      <c r="CD136" s="618">
        <f t="shared" si="59"/>
        <v>0.13668223763650306</v>
      </c>
      <c r="CE136" s="618">
        <f t="shared" si="60"/>
        <v>1.1554443882973626E-2</v>
      </c>
      <c r="CF136" s="618">
        <f t="shared" si="61"/>
        <v>9.2398321070924799E-2</v>
      </c>
      <c r="CG136" s="618">
        <f t="shared" si="62"/>
        <v>-4.8049246733453427E-2</v>
      </c>
      <c r="CH136" s="618">
        <f t="shared" si="63"/>
        <v>-1.9826087251368984E-2</v>
      </c>
      <c r="CI136" s="618">
        <f t="shared" si="78"/>
        <v>-6.5308488881885021E-2</v>
      </c>
      <c r="CJ136" s="618">
        <f t="shared" si="81"/>
        <v>1.4017964840778134E-2</v>
      </c>
      <c r="CK136" s="618">
        <f t="shared" si="81"/>
        <v>0.12660153624018078</v>
      </c>
      <c r="CL136" s="618">
        <f t="shared" si="81"/>
        <v>-1</v>
      </c>
      <c r="CM136" s="618" t="e">
        <f t="shared" si="81"/>
        <v>#DIV/0!</v>
      </c>
      <c r="CN136" s="618">
        <f t="shared" si="81"/>
        <v>-1</v>
      </c>
      <c r="CO136" s="618" t="e">
        <f t="shared" si="81"/>
        <v>#DIV/0!</v>
      </c>
      <c r="CP136" s="618">
        <f t="shared" si="81"/>
        <v>-1.1853371559202353E-2</v>
      </c>
      <c r="CQ136" s="618">
        <f t="shared" si="81"/>
        <v>1.1089888045829015E-2</v>
      </c>
      <c r="CZ136" s="3"/>
      <c r="DA136" s="3"/>
      <c r="DC136" s="41"/>
      <c r="DD136" s="41"/>
      <c r="DE136" s="3"/>
      <c r="DF136" s="118"/>
      <c r="DG136" s="700"/>
      <c r="DH136" s="700"/>
      <c r="DI136" s="700"/>
      <c r="DJ136" s="700"/>
      <c r="DK136" s="43"/>
      <c r="DL136" s="43"/>
      <c r="DS136" s="3"/>
      <c r="DT136" s="3"/>
      <c r="DV136" s="41"/>
      <c r="DW136" s="41"/>
      <c r="DY136" s="118"/>
      <c r="DZ136" s="3"/>
      <c r="EA136" s="486"/>
      <c r="EB136" s="486"/>
      <c r="EC136" s="486"/>
      <c r="ED136" s="486"/>
      <c r="EE136" s="43"/>
      <c r="EF136" s="43"/>
      <c r="EL136" s="3"/>
      <c r="EM136" s="3"/>
      <c r="EO136" s="41"/>
      <c r="EP136" s="41"/>
      <c r="FC136" s="3"/>
      <c r="FE136" s="39"/>
      <c r="FF136" s="39"/>
      <c r="FH136" s="41"/>
      <c r="FI136" s="41"/>
      <c r="FM136" s="3"/>
      <c r="FN136" s="3"/>
      <c r="FO136" s="486"/>
      <c r="FP136" s="486"/>
      <c r="FQ136" s="486"/>
      <c r="FR136" s="486"/>
      <c r="FS136" s="43"/>
      <c r="FT136" s="43"/>
      <c r="FX136" s="3"/>
      <c r="FY136" s="3"/>
      <c r="GA136" s="41"/>
      <c r="GB136" s="41"/>
      <c r="GG136" s="3"/>
      <c r="GH136" s="3"/>
      <c r="GI136" s="486"/>
      <c r="GJ136" s="486"/>
      <c r="GK136" s="486"/>
      <c r="GL136" s="486"/>
      <c r="GM136" s="43"/>
      <c r="GN136" s="43"/>
      <c r="GO136" s="393"/>
      <c r="GS136" s="3"/>
      <c r="GT136" s="3"/>
      <c r="GV136" s="41"/>
      <c r="GW136" s="41"/>
      <c r="HA136" s="3"/>
      <c r="HB136" s="3"/>
      <c r="HC136" s="43"/>
      <c r="HD136" s="43"/>
      <c r="HE136" s="43"/>
      <c r="HF136" s="43"/>
      <c r="HG136" s="43"/>
    </row>
    <row r="137" spans="1:215">
      <c r="A137" s="632" t="s">
        <v>23</v>
      </c>
      <c r="B137" s="632"/>
      <c r="C137" s="616">
        <f t="shared" si="0"/>
        <v>-0.62705842769588505</v>
      </c>
      <c r="D137" s="616">
        <f t="shared" si="1"/>
        <v>0.38404696996903853</v>
      </c>
      <c r="E137" s="616">
        <f t="shared" si="2"/>
        <v>0.74471959675766453</v>
      </c>
      <c r="F137" s="616">
        <f t="shared" si="3"/>
        <v>0.82532090522753099</v>
      </c>
      <c r="G137" s="616">
        <f t="shared" si="4"/>
        <v>1.1384141287175942</v>
      </c>
      <c r="H137" s="616">
        <f t="shared" si="5"/>
        <v>1.9593529114089359</v>
      </c>
      <c r="I137" s="616">
        <f t="shared" si="6"/>
        <v>1.4866142117892882</v>
      </c>
      <c r="J137" s="616">
        <f t="shared" si="7"/>
        <v>1.7439052039518905</v>
      </c>
      <c r="K137" s="616">
        <f t="shared" si="8"/>
        <v>1.5193576998209783</v>
      </c>
      <c r="L137" s="616">
        <f t="shared" si="9"/>
        <v>0.80041572122735694</v>
      </c>
      <c r="M137" s="616">
        <f t="shared" si="10"/>
        <v>-0.8720369433244276</v>
      </c>
      <c r="N137" s="616">
        <f t="shared" si="11"/>
        <v>-0.924954337775311</v>
      </c>
      <c r="O137" s="616">
        <f t="shared" si="12"/>
        <v>-0.92209761468156148</v>
      </c>
      <c r="P137" s="616">
        <f t="shared" si="13"/>
        <v>-0.92735761275894157</v>
      </c>
      <c r="Q137" s="616">
        <f t="shared" si="14"/>
        <v>-0.92654412684938814</v>
      </c>
      <c r="R137" s="616">
        <f t="shared" si="15"/>
        <v>-0.88041847819186658</v>
      </c>
      <c r="S137" s="616">
        <f t="shared" si="16"/>
        <v>-0.87907853902646504</v>
      </c>
      <c r="T137" s="616">
        <f t="shared" si="17"/>
        <v>1.2168080517874018</v>
      </c>
      <c r="U137" s="616">
        <f t="shared" si="18"/>
        <v>-1</v>
      </c>
      <c r="V137" s="616">
        <f t="shared" si="19"/>
        <v>-1</v>
      </c>
      <c r="W137" s="616">
        <f t="shared" si="20"/>
        <v>-1</v>
      </c>
      <c r="Y137" s="632" t="s">
        <v>23</v>
      </c>
      <c r="Z137" s="632"/>
      <c r="AA137" s="616">
        <f t="shared" ref="AA137:AU137" si="86">IFERROR((AA39-Z39)/Z39,0)</f>
        <v>-0.62705842769588505</v>
      </c>
      <c r="AB137" s="616">
        <f t="shared" si="86"/>
        <v>2.7111630152093062</v>
      </c>
      <c r="AC137" s="616">
        <f t="shared" si="86"/>
        <v>0.26059276499604228</v>
      </c>
      <c r="AD137" s="616">
        <f t="shared" si="86"/>
        <v>4.6197285007661688E-2</v>
      </c>
      <c r="AE137" s="616">
        <f t="shared" si="86"/>
        <v>0.17152776949707663</v>
      </c>
      <c r="AF137" s="616">
        <f t="shared" si="86"/>
        <v>0.38390074759918369</v>
      </c>
      <c r="AG137" s="616">
        <f t="shared" si="86"/>
        <v>-0.15974394192633776</v>
      </c>
      <c r="AH137" s="616">
        <f t="shared" si="86"/>
        <v>0.10347041006311325</v>
      </c>
      <c r="AI137" s="616">
        <f t="shared" si="86"/>
        <v>-8.1835007932310952E-2</v>
      </c>
      <c r="AJ137" s="616">
        <f t="shared" si="86"/>
        <v>-0.28536717062634992</v>
      </c>
      <c r="AK137" s="616">
        <f t="shared" si="86"/>
        <v>-0.92892582798136258</v>
      </c>
      <c r="AL137" s="616">
        <f t="shared" si="86"/>
        <v>-0.41353649893692418</v>
      </c>
      <c r="AM137" s="616">
        <f t="shared" si="86"/>
        <v>3.8066465256797584E-2</v>
      </c>
      <c r="AN137" s="616">
        <f t="shared" si="86"/>
        <v>-6.7520372526193251E-2</v>
      </c>
      <c r="AO137" s="616">
        <f t="shared" si="86"/>
        <v>1.119850187265921E-2</v>
      </c>
      <c r="AP137" s="616">
        <f t="shared" si="86"/>
        <v>0.62793683716680848</v>
      </c>
      <c r="AQ137" s="616">
        <f t="shared" si="86"/>
        <v>1.120523593562779E-2</v>
      </c>
      <c r="AR137" s="616">
        <f t="shared" si="86"/>
        <v>17.332627094809709</v>
      </c>
      <c r="AS137" s="616">
        <f t="shared" si="86"/>
        <v>-1</v>
      </c>
      <c r="AT137" s="616">
        <f t="shared" si="86"/>
        <v>0</v>
      </c>
      <c r="AU137" s="616">
        <f t="shared" si="86"/>
        <v>0</v>
      </c>
      <c r="AV137" s="565"/>
      <c r="AW137" s="632" t="s">
        <v>23</v>
      </c>
      <c r="AX137" s="632"/>
      <c r="AY137" s="616">
        <f t="shared" ref="AY137:BS137" si="87">(AY39-$AX39)/$AX39</f>
        <v>0.13993461723144579</v>
      </c>
      <c r="AZ137" s="616">
        <f t="shared" si="87"/>
        <v>0.17513421978503274</v>
      </c>
      <c r="BA137" s="616">
        <f t="shared" si="87"/>
        <v>0.2591608410562391</v>
      </c>
      <c r="BB137" s="616">
        <f t="shared" si="87"/>
        <v>0.36899067892064857</v>
      </c>
      <c r="BC137" s="616">
        <f t="shared" si="87"/>
        <v>0.39198655548598133</v>
      </c>
      <c r="BD137" s="616">
        <f t="shared" si="87"/>
        <v>0.4238396083193936</v>
      </c>
      <c r="BE137" s="616">
        <f t="shared" si="87"/>
        <v>0.52011887664099865</v>
      </c>
      <c r="BF137" s="616">
        <f t="shared" si="87"/>
        <v>0.59392315194142697</v>
      </c>
      <c r="BG137" s="616">
        <f t="shared" si="87"/>
        <v>0.58237305857047217</v>
      </c>
      <c r="BH137" s="616">
        <f t="shared" si="87"/>
        <v>0.63399940925122444</v>
      </c>
      <c r="BI137" s="616">
        <f t="shared" si="87"/>
        <v>0.6839522797368961</v>
      </c>
      <c r="BJ137" s="616">
        <f t="shared" si="87"/>
        <v>0.67521784246103844</v>
      </c>
      <c r="BK137" s="616">
        <f t="shared" si="87"/>
        <v>0.62249294956633772</v>
      </c>
      <c r="BL137" s="616">
        <f t="shared" si="87"/>
        <v>0.71353848557845079</v>
      </c>
      <c r="BM137" s="616">
        <f t="shared" si="87"/>
        <v>0.64768329253840351</v>
      </c>
      <c r="BN137" s="616">
        <f t="shared" si="87"/>
        <v>0.62634033700195091</v>
      </c>
      <c r="BO137" s="616">
        <f t="shared" si="87"/>
        <v>0.62783124872114793</v>
      </c>
      <c r="BP137" s="616">
        <f t="shared" si="87"/>
        <v>0.70914477872639137</v>
      </c>
      <c r="BQ137" s="616">
        <f t="shared" si="87"/>
        <v>-1</v>
      </c>
      <c r="BR137" s="616">
        <f t="shared" si="87"/>
        <v>-1</v>
      </c>
      <c r="BS137" s="616">
        <f t="shared" si="87"/>
        <v>-1</v>
      </c>
      <c r="BU137" s="632" t="s">
        <v>23</v>
      </c>
      <c r="BV137" s="632"/>
      <c r="BW137" s="616">
        <f t="shared" si="52"/>
        <v>0.13993461723144579</v>
      </c>
      <c r="BX137" s="616">
        <f t="shared" si="53"/>
        <v>3.087861533591818E-2</v>
      </c>
      <c r="BY137" s="616">
        <f t="shared" si="54"/>
        <v>7.1503850246635955E-2</v>
      </c>
      <c r="BZ137" s="616">
        <f t="shared" si="55"/>
        <v>8.7224629517766272E-2</v>
      </c>
      <c r="CA137" s="616">
        <f t="shared" si="56"/>
        <v>1.6797686733311723E-2</v>
      </c>
      <c r="CB137" s="616">
        <f t="shared" si="57"/>
        <v>2.2883161268961741E-2</v>
      </c>
      <c r="CC137" s="616">
        <f t="shared" si="58"/>
        <v>6.7619462023006061E-2</v>
      </c>
      <c r="CD137" s="616">
        <f t="shared" si="59"/>
        <v>4.8551647134014532E-2</v>
      </c>
      <c r="CE137" s="616">
        <f t="shared" si="60"/>
        <v>-7.2463301363598302E-3</v>
      </c>
      <c r="CF137" s="616">
        <f t="shared" si="61"/>
        <v>3.2625903481567027E-2</v>
      </c>
      <c r="CG137" s="616">
        <f t="shared" si="62"/>
        <v>3.0570923222403387E-2</v>
      </c>
      <c r="CH137" s="616">
        <f t="shared" si="63"/>
        <v>-5.1868674551883917E-3</v>
      </c>
      <c r="CI137" s="616">
        <f t="shared" si="78"/>
        <v>-3.1473454710369754E-2</v>
      </c>
      <c r="CJ137" s="616">
        <f t="shared" si="81"/>
        <v>5.6114595774636747E-2</v>
      </c>
      <c r="CK137" s="616">
        <f t="shared" si="81"/>
        <v>-3.8432281267272564E-2</v>
      </c>
      <c r="CL137" s="616">
        <f t="shared" si="81"/>
        <v>-1.2953311861026285E-2</v>
      </c>
      <c r="CM137" s="616">
        <f t="shared" si="81"/>
        <v>9.1672799676443379E-4</v>
      </c>
      <c r="CN137" s="616">
        <f t="shared" si="81"/>
        <v>4.9952063562561995E-2</v>
      </c>
      <c r="CO137" s="616">
        <f t="shared" si="81"/>
        <v>-1</v>
      </c>
      <c r="CP137" s="616" t="e">
        <f t="shared" si="81"/>
        <v>#DIV/0!</v>
      </c>
      <c r="CQ137" s="616" t="e">
        <f t="shared" si="81"/>
        <v>#DIV/0!</v>
      </c>
      <c r="CZ137" s="3"/>
      <c r="DA137" s="3"/>
      <c r="DC137" s="41"/>
      <c r="DD137" s="41"/>
      <c r="DE137" s="3"/>
      <c r="DF137" s="118"/>
      <c r="DG137" s="700"/>
      <c r="DH137" s="700"/>
      <c r="DI137" s="700"/>
      <c r="DJ137" s="700"/>
      <c r="DK137" s="43"/>
      <c r="DL137" s="43"/>
      <c r="DS137" s="3"/>
      <c r="DT137" s="3"/>
      <c r="DV137" s="41"/>
      <c r="DW137" s="41"/>
      <c r="DY137" s="118"/>
      <c r="DZ137" s="3"/>
      <c r="EA137" s="486"/>
      <c r="EB137" s="486"/>
      <c r="EC137" s="486"/>
      <c r="ED137" s="486"/>
      <c r="EE137" s="43"/>
      <c r="EF137" s="43"/>
      <c r="EL137" s="3"/>
      <c r="EM137" s="3"/>
      <c r="EO137" s="41"/>
      <c r="EP137" s="41"/>
      <c r="FC137" s="3"/>
      <c r="FE137" s="39"/>
      <c r="FF137" s="39"/>
      <c r="FH137" s="41"/>
      <c r="FI137" s="41"/>
      <c r="FM137" s="3"/>
      <c r="FN137" s="3"/>
      <c r="FO137" s="486"/>
      <c r="FP137" s="486"/>
      <c r="FQ137" s="486"/>
      <c r="FR137" s="486"/>
      <c r="FS137" s="43"/>
      <c r="FT137" s="43"/>
      <c r="FX137" s="3"/>
      <c r="FY137" s="3"/>
      <c r="GA137" s="41"/>
      <c r="GB137" s="41"/>
      <c r="GG137" s="3"/>
      <c r="GH137" s="3"/>
      <c r="GI137" s="486"/>
      <c r="GJ137" s="486"/>
      <c r="GK137" s="486"/>
      <c r="GL137" s="486"/>
      <c r="GM137" s="43"/>
      <c r="GN137" s="43"/>
      <c r="GO137" s="393"/>
      <c r="GS137" s="3"/>
      <c r="GT137" s="3"/>
      <c r="GV137" s="41"/>
      <c r="GW137" s="41"/>
      <c r="HA137" s="3"/>
      <c r="HB137" s="3"/>
      <c r="HC137" s="43"/>
      <c r="HD137" s="43"/>
      <c r="HE137" s="43"/>
      <c r="HF137" s="43"/>
      <c r="HG137" s="43"/>
    </row>
    <row r="138" spans="1:215">
      <c r="A138" s="631" t="s">
        <v>24</v>
      </c>
      <c r="B138" s="631"/>
      <c r="C138" s="618">
        <f t="shared" si="0"/>
        <v>-2.2869417347728658E-2</v>
      </c>
      <c r="D138" s="618">
        <f t="shared" si="1"/>
        <v>-0.51014295220192607</v>
      </c>
      <c r="E138" s="618">
        <f t="shared" si="2"/>
        <v>-0.4786220379449258</v>
      </c>
      <c r="F138" s="618">
        <f t="shared" si="3"/>
        <v>-0.43924262691670912</v>
      </c>
      <c r="G138" s="618">
        <f t="shared" si="4"/>
        <v>-0.44911353445788432</v>
      </c>
      <c r="H138" s="618">
        <f t="shared" si="5"/>
        <v>-0.44653703176982507</v>
      </c>
      <c r="I138" s="618">
        <f t="shared" si="6"/>
        <v>-0.42658677841450632</v>
      </c>
      <c r="J138" s="618">
        <f t="shared" si="7"/>
        <v>-0.4267708209972304</v>
      </c>
      <c r="K138" s="618">
        <f t="shared" si="8"/>
        <v>-0.43987878426461152</v>
      </c>
      <c r="L138" s="618">
        <f t="shared" si="9"/>
        <v>-0.36180827585936159</v>
      </c>
      <c r="M138" s="618">
        <f t="shared" si="10"/>
        <v>-0.34694961803920149</v>
      </c>
      <c r="N138" s="618">
        <f t="shared" si="11"/>
        <v>-0.30571052634776608</v>
      </c>
      <c r="O138" s="618">
        <f t="shared" si="12"/>
        <v>-0.30136846736459533</v>
      </c>
      <c r="P138" s="618">
        <f t="shared" si="13"/>
        <v>-0.28547930193928917</v>
      </c>
      <c r="Q138" s="618">
        <f t="shared" si="14"/>
        <v>-0.29914051459577329</v>
      </c>
      <c r="R138" s="618">
        <f t="shared" si="15"/>
        <v>-0.28611714174858771</v>
      </c>
      <c r="S138" s="618">
        <f t="shared" si="16"/>
        <v>-0.27627558381176764</v>
      </c>
      <c r="T138" s="618">
        <f t="shared" si="17"/>
        <v>-0.29181713401861237</v>
      </c>
      <c r="U138" s="618">
        <f t="shared" si="18"/>
        <v>-0.26924270823567653</v>
      </c>
      <c r="V138" s="618">
        <f t="shared" si="19"/>
        <v>-0.28815497637964405</v>
      </c>
      <c r="W138" s="618">
        <f t="shared" si="20"/>
        <v>-0.28962741051151408</v>
      </c>
      <c r="Y138" s="631" t="s">
        <v>24</v>
      </c>
      <c r="Z138" s="631"/>
      <c r="AA138" s="618">
        <f t="shared" ref="AA138:AU138" si="88">IFERROR((AA40-Z40)/Z40,0)</f>
        <v>-2.2869417347728658E-2</v>
      </c>
      <c r="AB138" s="618">
        <f t="shared" si="88"/>
        <v>-0.49867801039608028</v>
      </c>
      <c r="AC138" s="618">
        <f t="shared" si="88"/>
        <v>6.4347169033676141E-2</v>
      </c>
      <c r="AD138" s="618">
        <f t="shared" si="88"/>
        <v>7.5529488958447674E-2</v>
      </c>
      <c r="AE138" s="618">
        <f t="shared" si="88"/>
        <v>-1.7602813649868994E-2</v>
      </c>
      <c r="AF138" s="618">
        <f t="shared" si="88"/>
        <v>4.6770121417373314E-3</v>
      </c>
      <c r="AG138" s="618">
        <f t="shared" si="88"/>
        <v>3.6046229830180465E-2</v>
      </c>
      <c r="AH138" s="618">
        <f t="shared" si="88"/>
        <v>-3.2095978222336502E-4</v>
      </c>
      <c r="AI138" s="618">
        <f t="shared" si="88"/>
        <v>-2.2866880730294754E-2</v>
      </c>
      <c r="AJ138" s="618">
        <f t="shared" si="88"/>
        <v>0.13938145210720218</v>
      </c>
      <c r="AK138" s="618">
        <f t="shared" si="88"/>
        <v>2.3282435760457673E-2</v>
      </c>
      <c r="AL138" s="618">
        <f t="shared" si="88"/>
        <v>6.3148407581684746E-2</v>
      </c>
      <c r="AM138" s="618">
        <f t="shared" si="88"/>
        <v>6.2539605567254524E-3</v>
      </c>
      <c r="AN138" s="618">
        <f t="shared" si="88"/>
        <v>2.2743269782525288E-2</v>
      </c>
      <c r="AO138" s="618">
        <f t="shared" si="88"/>
        <v>-1.9119407868186517E-2</v>
      </c>
      <c r="AP138" s="618">
        <f t="shared" si="88"/>
        <v>1.8582002695838828E-2</v>
      </c>
      <c r="AQ138" s="618">
        <f t="shared" si="88"/>
        <v>1.3785956369545011E-2</v>
      </c>
      <c r="AR138" s="618">
        <f t="shared" si="88"/>
        <v>-2.1474403597850331E-2</v>
      </c>
      <c r="AS138" s="618">
        <f t="shared" si="88"/>
        <v>3.1876548935778869E-2</v>
      </c>
      <c r="AT138" s="618">
        <f t="shared" si="88"/>
        <v>-2.5880368703959405E-2</v>
      </c>
      <c r="AU138" s="618">
        <f t="shared" si="88"/>
        <v>-2.0684756976755789E-3</v>
      </c>
      <c r="AV138" s="565"/>
      <c r="AW138" s="631" t="s">
        <v>24</v>
      </c>
      <c r="AX138" s="631"/>
      <c r="AY138" s="618">
        <f t="shared" ref="AY138:BS138" si="89">(AY40-$AX40)/$AX40</f>
        <v>1.9728856010579393E-3</v>
      </c>
      <c r="AZ138" s="618">
        <f t="shared" si="89"/>
        <v>-0.10497305504012923</v>
      </c>
      <c r="BA138" s="618">
        <f t="shared" si="89"/>
        <v>-8.4981806342485037E-3</v>
      </c>
      <c r="BB138" s="618">
        <f t="shared" si="89"/>
        <v>0.1082086390086732</v>
      </c>
      <c r="BC138" s="618">
        <f t="shared" si="89"/>
        <v>6.8159519627424406E-2</v>
      </c>
      <c r="BD138" s="618">
        <f t="shared" si="89"/>
        <v>0.13506812128561302</v>
      </c>
      <c r="BE138" s="618">
        <f t="shared" si="89"/>
        <v>0.11183851778610986</v>
      </c>
      <c r="BF138" s="618">
        <f t="shared" si="89"/>
        <v>0.16253424179256956</v>
      </c>
      <c r="BG138" s="618">
        <f t="shared" si="89"/>
        <v>0.20280595145022554</v>
      </c>
      <c r="BH138" s="618">
        <f t="shared" si="89"/>
        <v>0.28064345162601656</v>
      </c>
      <c r="BI138" s="618">
        <f t="shared" si="89"/>
        <v>0.28614212677559225</v>
      </c>
      <c r="BJ138" s="618">
        <f t="shared" si="89"/>
        <v>0.28298224406444372</v>
      </c>
      <c r="BK138" s="618">
        <f t="shared" si="89"/>
        <v>0.26255604424264489</v>
      </c>
      <c r="BL138" s="618">
        <f t="shared" si="89"/>
        <v>0.27618746370796515</v>
      </c>
      <c r="BM138" s="618">
        <f t="shared" si="89"/>
        <v>0.29470947368299982</v>
      </c>
      <c r="BN138" s="618">
        <f t="shared" si="89"/>
        <v>0.3511604624600968</v>
      </c>
      <c r="BO138" s="618">
        <f t="shared" si="89"/>
        <v>0.33075055653232754</v>
      </c>
      <c r="BP138" s="618">
        <f t="shared" si="89"/>
        <v>0.44385009972995887</v>
      </c>
      <c r="BQ138" s="618">
        <f t="shared" si="89"/>
        <v>0.41488372110855154</v>
      </c>
      <c r="BR138" s="618">
        <f t="shared" si="89"/>
        <v>0.44055834975023028</v>
      </c>
      <c r="BS138" s="618">
        <f t="shared" si="89"/>
        <v>0.44055798379111311</v>
      </c>
      <c r="BU138" s="631" t="s">
        <v>24</v>
      </c>
      <c r="BV138" s="631"/>
      <c r="BW138" s="618">
        <f t="shared" si="52"/>
        <v>1.9728856010579393E-3</v>
      </c>
      <c r="BX138" s="618">
        <f t="shared" si="53"/>
        <v>-0.10673536397847036</v>
      </c>
      <c r="BY138" s="618">
        <f t="shared" si="54"/>
        <v>0.1077899106268876</v>
      </c>
      <c r="BZ138" s="618">
        <f t="shared" si="55"/>
        <v>0.1177071159764258</v>
      </c>
      <c r="CA138" s="618">
        <f t="shared" si="56"/>
        <v>-3.6138609618739263E-2</v>
      </c>
      <c r="CB138" s="618">
        <f t="shared" si="57"/>
        <v>6.2639147457606723E-2</v>
      </c>
      <c r="CC138" s="618">
        <f t="shared" si="58"/>
        <v>-2.0465382706011146E-2</v>
      </c>
      <c r="CD138" s="618">
        <f t="shared" si="59"/>
        <v>4.5596301257312899E-2</v>
      </c>
      <c r="CE138" s="618">
        <f t="shared" si="60"/>
        <v>3.4641310517924184E-2</v>
      </c>
      <c r="CF138" s="618">
        <f t="shared" si="61"/>
        <v>6.4713264913548368E-2</v>
      </c>
      <c r="CG138" s="618">
        <f t="shared" si="62"/>
        <v>4.2936815415673263E-3</v>
      </c>
      <c r="CH138" s="618">
        <f t="shared" si="63"/>
        <v>-2.4568689924421251E-3</v>
      </c>
      <c r="CI138" s="618">
        <f t="shared" si="78"/>
        <v>-1.5920874911790936E-2</v>
      </c>
      <c r="CJ138" s="618">
        <f t="shared" si="81"/>
        <v>1.0796684652123424E-2</v>
      </c>
      <c r="CK138" s="618">
        <f t="shared" si="81"/>
        <v>1.4513549538575601E-2</v>
      </c>
      <c r="CL138" s="618">
        <f t="shared" si="81"/>
        <v>4.3601278838652079E-2</v>
      </c>
      <c r="CM138" s="618">
        <f t="shared" si="81"/>
        <v>-1.5105464150873937E-2</v>
      </c>
      <c r="CN138" s="618">
        <f t="shared" si="81"/>
        <v>8.4989288670557717E-2</v>
      </c>
      <c r="CO138" s="618">
        <f t="shared" si="81"/>
        <v>-2.0061901596865807E-2</v>
      </c>
      <c r="CP138" s="618">
        <f t="shared" si="81"/>
        <v>1.8146105053468899E-2</v>
      </c>
      <c r="CQ138" s="618">
        <f t="shared" si="81"/>
        <v>-2.5403977370420889E-7</v>
      </c>
      <c r="CZ138" s="3"/>
      <c r="DA138" s="3"/>
      <c r="DC138" s="41"/>
      <c r="DD138" s="41"/>
      <c r="DE138" s="3"/>
      <c r="DF138" s="118"/>
      <c r="DG138" s="700"/>
      <c r="DH138" s="700"/>
      <c r="DI138" s="700"/>
      <c r="DJ138" s="700"/>
      <c r="DK138" s="43"/>
      <c r="DL138" s="43"/>
      <c r="DS138" s="3"/>
      <c r="DT138" s="3"/>
      <c r="DV138" s="41"/>
      <c r="DW138" s="41"/>
      <c r="DY138" s="118"/>
      <c r="DZ138" s="3"/>
      <c r="EA138" s="486"/>
      <c r="EB138" s="486"/>
      <c r="EC138" s="486"/>
      <c r="ED138" s="486"/>
      <c r="EE138" s="43"/>
      <c r="EF138" s="43"/>
      <c r="EL138" s="3"/>
      <c r="EM138" s="3"/>
      <c r="EO138" s="41"/>
      <c r="EP138" s="41"/>
      <c r="FC138" s="3"/>
      <c r="FE138" s="39"/>
      <c r="FF138" s="39"/>
      <c r="FH138" s="41"/>
      <c r="FI138" s="41"/>
      <c r="FM138" s="3"/>
      <c r="FN138" s="3"/>
      <c r="FO138" s="486"/>
      <c r="FP138" s="486"/>
      <c r="FQ138" s="486"/>
      <c r="FR138" s="486"/>
      <c r="FS138" s="43"/>
      <c r="FT138" s="43"/>
      <c r="FX138" s="3"/>
      <c r="FY138" s="3"/>
      <c r="GA138" s="41"/>
      <c r="GB138" s="41"/>
      <c r="GG138" s="3"/>
      <c r="GH138" s="3"/>
      <c r="GI138" s="486"/>
      <c r="GJ138" s="486"/>
      <c r="GK138" s="486"/>
      <c r="GL138" s="486"/>
      <c r="GM138" s="43"/>
      <c r="GN138" s="43"/>
      <c r="GO138" s="393"/>
      <c r="GS138" s="3"/>
      <c r="GT138" s="3"/>
      <c r="GV138" s="41"/>
      <c r="GW138" s="41"/>
      <c r="HA138" s="3"/>
      <c r="HB138" s="3"/>
      <c r="HC138" s="43"/>
      <c r="HD138" s="43"/>
      <c r="HE138" s="43"/>
      <c r="HF138" s="43"/>
      <c r="HG138" s="43"/>
    </row>
    <row r="139" spans="1:215">
      <c r="A139" s="632" t="s">
        <v>25</v>
      </c>
      <c r="B139" s="632"/>
      <c r="C139" s="616">
        <f t="shared" si="0"/>
        <v>-1.6032411469673827E-2</v>
      </c>
      <c r="D139" s="616">
        <f t="shared" si="1"/>
        <v>0.12796680857517356</v>
      </c>
      <c r="E139" s="616">
        <f t="shared" si="2"/>
        <v>0.3179781210199461</v>
      </c>
      <c r="F139" s="616">
        <f t="shared" si="3"/>
        <v>0.36148646452828964</v>
      </c>
      <c r="G139" s="616">
        <f t="shared" si="4"/>
        <v>0.37799984834205369</v>
      </c>
      <c r="H139" s="616">
        <f t="shared" si="5"/>
        <v>0.44729561383553784</v>
      </c>
      <c r="I139" s="616">
        <f t="shared" si="6"/>
        <v>0.83370303826577608</v>
      </c>
      <c r="J139" s="616">
        <f t="shared" si="7"/>
        <v>0.93886962213958403</v>
      </c>
      <c r="K139" s="616">
        <f t="shared" si="8"/>
        <v>0.55511481899314596</v>
      </c>
      <c r="L139" s="616">
        <f t="shared" si="9"/>
        <v>0.63028562762403062</v>
      </c>
      <c r="M139" s="616">
        <f t="shared" si="10"/>
        <v>0.79586685670335866</v>
      </c>
      <c r="N139" s="616">
        <f t="shared" si="11"/>
        <v>1.0992366034191128</v>
      </c>
      <c r="O139" s="616">
        <f t="shared" si="12"/>
        <v>1.4353882985061692</v>
      </c>
      <c r="P139" s="616">
        <f t="shared" si="13"/>
        <v>1.6762844112653998</v>
      </c>
      <c r="Q139" s="616">
        <f t="shared" si="14"/>
        <v>1.6020908678703354</v>
      </c>
      <c r="R139" s="616">
        <f t="shared" si="15"/>
        <v>1.7685097749736531</v>
      </c>
      <c r="S139" s="616">
        <f t="shared" si="16"/>
        <v>1.8620489917067864</v>
      </c>
      <c r="T139" s="616">
        <f t="shared" si="17"/>
        <v>2.1855411171000521</v>
      </c>
      <c r="U139" s="616">
        <f t="shared" si="18"/>
        <v>1.9772643073023304</v>
      </c>
      <c r="V139" s="616">
        <f t="shared" si="19"/>
        <v>1.4471241475043755</v>
      </c>
      <c r="W139" s="616">
        <f t="shared" si="20"/>
        <v>1.414146900838916</v>
      </c>
      <c r="Y139" s="632" t="s">
        <v>25</v>
      </c>
      <c r="Z139" s="632"/>
      <c r="AA139" s="616">
        <f t="shared" ref="AA139:AU139" si="90">IFERROR((AA41-Z41)/Z41,0)</f>
        <v>-1.6032411469673827E-2</v>
      </c>
      <c r="AB139" s="616">
        <f t="shared" si="90"/>
        <v>0.1463454911761144</v>
      </c>
      <c r="AC139" s="616">
        <f t="shared" si="90"/>
        <v>0.1684547018584627</v>
      </c>
      <c r="AD139" s="616">
        <f t="shared" si="90"/>
        <v>3.3011430777525844E-2</v>
      </c>
      <c r="AE139" s="616">
        <f t="shared" si="90"/>
        <v>1.2128937190341745E-2</v>
      </c>
      <c r="AF139" s="616">
        <f t="shared" si="90"/>
        <v>5.0287208359897605E-2</v>
      </c>
      <c r="AG139" s="616">
        <f t="shared" si="90"/>
        <v>0.26698583256685476</v>
      </c>
      <c r="AH139" s="616">
        <f t="shared" si="90"/>
        <v>5.7352025752909971E-2</v>
      </c>
      <c r="AI139" s="616">
        <f t="shared" si="90"/>
        <v>-0.19792708017311472</v>
      </c>
      <c r="AJ139" s="616">
        <f t="shared" si="90"/>
        <v>4.8337786839143998E-2</v>
      </c>
      <c r="AK139" s="616">
        <f t="shared" si="90"/>
        <v>0.10156577858117122</v>
      </c>
      <c r="AL139" s="616">
        <f t="shared" si="90"/>
        <v>0.16892663594930685</v>
      </c>
      <c r="AM139" s="616">
        <f t="shared" si="90"/>
        <v>0.16013044672503915</v>
      </c>
      <c r="AN139" s="616">
        <f t="shared" si="90"/>
        <v>9.8914868280755297E-2</v>
      </c>
      <c r="AO139" s="616">
        <f t="shared" si="90"/>
        <v>-2.7722592966113138E-2</v>
      </c>
      <c r="AP139" s="616">
        <f t="shared" si="90"/>
        <v>6.3955839958626109E-2</v>
      </c>
      <c r="AQ139" s="616">
        <f t="shared" si="90"/>
        <v>3.3786847197974389E-2</v>
      </c>
      <c r="AR139" s="616">
        <f t="shared" si="90"/>
        <v>0.11302815791435876</v>
      </c>
      <c r="AS139" s="616">
        <f t="shared" si="90"/>
        <v>-6.5381924810101369E-2</v>
      </c>
      <c r="AT139" s="616">
        <f t="shared" si="90"/>
        <v>-0.17806284732520425</v>
      </c>
      <c r="AU139" s="616">
        <f t="shared" si="90"/>
        <v>-1.347591894718145E-2</v>
      </c>
      <c r="AV139" s="565"/>
      <c r="AW139" s="632" t="s">
        <v>25</v>
      </c>
      <c r="AX139" s="632"/>
      <c r="AY139" s="616">
        <f t="shared" ref="AY139:BS139" si="91">(AY41-$AX41)/$AX41</f>
        <v>5.1827422222072719E-2</v>
      </c>
      <c r="AZ139" s="616">
        <f t="shared" si="91"/>
        <v>8.9071401382926144E-2</v>
      </c>
      <c r="BA139" s="616">
        <f t="shared" si="91"/>
        <v>0.15323085589245292</v>
      </c>
      <c r="BB139" s="616">
        <f t="shared" si="91"/>
        <v>0.24411694172412665</v>
      </c>
      <c r="BC139" s="616">
        <f t="shared" si="91"/>
        <v>0.33048261219232761</v>
      </c>
      <c r="BD139" s="616">
        <f t="shared" si="91"/>
        <v>0.32252875057385344</v>
      </c>
      <c r="BE139" s="616">
        <f t="shared" si="91"/>
        <v>0.35551754768353683</v>
      </c>
      <c r="BF139" s="616">
        <f t="shared" si="91"/>
        <v>0.50269551454814321</v>
      </c>
      <c r="BG139" s="616">
        <f t="shared" si="91"/>
        <v>0.6394212418992804</v>
      </c>
      <c r="BH139" s="616">
        <f t="shared" si="91"/>
        <v>0.6815061912675654</v>
      </c>
      <c r="BI139" s="616">
        <f t="shared" si="91"/>
        <v>0.767043644990413</v>
      </c>
      <c r="BJ139" s="616">
        <f t="shared" si="91"/>
        <v>0.70221997723636642</v>
      </c>
      <c r="BK139" s="616">
        <f t="shared" si="91"/>
        <v>0.6039874833633847</v>
      </c>
      <c r="BL139" s="616">
        <f t="shared" si="91"/>
        <v>0.63821221802734851</v>
      </c>
      <c r="BM139" s="616">
        <f t="shared" si="91"/>
        <v>0.66573210258800919</v>
      </c>
      <c r="BN139" s="616">
        <f t="shared" si="91"/>
        <v>0.59227840663529652</v>
      </c>
      <c r="BO139" s="616">
        <f t="shared" si="91"/>
        <v>0.62767434407004352</v>
      </c>
      <c r="BP139" s="616">
        <f t="shared" si="91"/>
        <v>0.78841327686876395</v>
      </c>
      <c r="BQ139" s="616">
        <f t="shared" si="91"/>
        <v>0.84519946568589532</v>
      </c>
      <c r="BR139" s="616">
        <f t="shared" si="91"/>
        <v>0.86894609307091275</v>
      </c>
      <c r="BS139" s="616">
        <f t="shared" si="91"/>
        <v>0.86770869870384748</v>
      </c>
      <c r="BU139" s="632" t="s">
        <v>25</v>
      </c>
      <c r="BV139" s="632"/>
      <c r="BW139" s="616">
        <f t="shared" si="52"/>
        <v>5.1827422222072719E-2</v>
      </c>
      <c r="BX139" s="616">
        <f t="shared" si="53"/>
        <v>3.5408830739716242E-2</v>
      </c>
      <c r="BY139" s="616">
        <f t="shared" si="54"/>
        <v>5.8912073559231948E-2</v>
      </c>
      <c r="BZ139" s="616">
        <f t="shared" si="55"/>
        <v>7.880996711741603E-2</v>
      </c>
      <c r="CA139" s="616">
        <f t="shared" si="56"/>
        <v>6.9419254389795043E-2</v>
      </c>
      <c r="CB139" s="616">
        <f t="shared" si="57"/>
        <v>-5.9781778022397793E-3</v>
      </c>
      <c r="CC139" s="616">
        <f t="shared" si="58"/>
        <v>2.4943727760450819E-2</v>
      </c>
      <c r="CD139" s="616">
        <f t="shared" si="59"/>
        <v>0.10857695432723899</v>
      </c>
      <c r="CE139" s="616">
        <f t="shared" si="60"/>
        <v>9.09869804144922E-2</v>
      </c>
      <c r="CF139" s="616">
        <f t="shared" si="61"/>
        <v>2.5670613685308413E-2</v>
      </c>
      <c r="CG139" s="616">
        <f t="shared" si="62"/>
        <v>5.0869544321075114E-2</v>
      </c>
      <c r="CH139" s="616">
        <f t="shared" si="63"/>
        <v>-3.6684814174127715E-2</v>
      </c>
      <c r="CI139" s="616">
        <f t="shared" si="78"/>
        <v>-5.7708460238180707E-2</v>
      </c>
      <c r="CJ139" s="616">
        <f t="shared" si="81"/>
        <v>2.1337282877169565E-2</v>
      </c>
      <c r="CK139" s="616">
        <f t="shared" si="81"/>
        <v>1.6798729894591247E-2</v>
      </c>
      <c r="CL139" s="616">
        <f t="shared" si="81"/>
        <v>-4.4096944423769754E-2</v>
      </c>
      <c r="CM139" s="616">
        <f t="shared" si="81"/>
        <v>2.2229741537187247E-2</v>
      </c>
      <c r="CN139" s="616">
        <f t="shared" si="81"/>
        <v>9.8753742346757351E-2</v>
      </c>
      <c r="CO139" s="616">
        <f t="shared" si="81"/>
        <v>3.1752274237504707E-2</v>
      </c>
      <c r="CP139" s="616">
        <f t="shared" si="81"/>
        <v>1.2869409419750916E-2</v>
      </c>
      <c r="CQ139" s="616">
        <f t="shared" si="81"/>
        <v>-6.6208135785880999E-4</v>
      </c>
      <c r="CZ139" s="3"/>
      <c r="DA139" s="3"/>
      <c r="DC139" s="41"/>
      <c r="DD139" s="41"/>
      <c r="DE139" s="3"/>
      <c r="DF139" s="118"/>
      <c r="DG139" s="700"/>
      <c r="DH139" s="700"/>
      <c r="DI139" s="700"/>
      <c r="DJ139" s="700"/>
      <c r="DK139" s="43"/>
      <c r="DL139" s="43"/>
      <c r="DS139" s="3"/>
      <c r="DT139" s="3"/>
      <c r="DV139" s="41"/>
      <c r="DW139" s="41"/>
      <c r="DY139" s="118"/>
      <c r="DZ139" s="3"/>
      <c r="EA139" s="486"/>
      <c r="EB139" s="486"/>
      <c r="EC139" s="486"/>
      <c r="ED139" s="486"/>
      <c r="EE139" s="43"/>
      <c r="EF139" s="43"/>
      <c r="EL139" s="3"/>
      <c r="EM139" s="3"/>
      <c r="EO139" s="41"/>
      <c r="EP139" s="41"/>
      <c r="FC139" s="3"/>
      <c r="FE139" s="39"/>
      <c r="FF139" s="39"/>
      <c r="FH139" s="41"/>
      <c r="FI139" s="41"/>
      <c r="FM139" s="3"/>
      <c r="FN139" s="3"/>
      <c r="FO139" s="486"/>
      <c r="FP139" s="486"/>
      <c r="FQ139" s="486"/>
      <c r="FR139" s="486"/>
      <c r="FS139" s="43"/>
      <c r="FT139" s="43"/>
      <c r="FX139" s="3"/>
      <c r="FY139" s="3"/>
      <c r="GA139" s="41"/>
      <c r="GB139" s="41"/>
      <c r="GG139" s="3"/>
      <c r="GH139" s="3"/>
      <c r="GI139" s="486"/>
      <c r="GJ139" s="486"/>
      <c r="GK139" s="486"/>
      <c r="GL139" s="486"/>
      <c r="GM139" s="43"/>
      <c r="GN139" s="43"/>
      <c r="GO139" s="393"/>
      <c r="GS139" s="3"/>
      <c r="GT139" s="3"/>
      <c r="GV139" s="41"/>
      <c r="GW139" s="41"/>
      <c r="HA139" s="3"/>
      <c r="HB139" s="3"/>
      <c r="HC139" s="43"/>
      <c r="HD139" s="43"/>
      <c r="HE139" s="43"/>
      <c r="HF139" s="43"/>
      <c r="HG139" s="43"/>
    </row>
    <row r="140" spans="1:215">
      <c r="A140" s="631" t="s">
        <v>26</v>
      </c>
      <c r="B140" s="631"/>
      <c r="C140" s="618">
        <f t="shared" si="0"/>
        <v>8.2597044956499624E-2</v>
      </c>
      <c r="D140" s="618">
        <f t="shared" si="1"/>
        <v>4.9300415019634683E-2</v>
      </c>
      <c r="E140" s="618">
        <f t="shared" si="2"/>
        <v>-0.4790723255121801</v>
      </c>
      <c r="F140" s="618">
        <f t="shared" si="3"/>
        <v>-0.40244415197407729</v>
      </c>
      <c r="G140" s="618">
        <f t="shared" si="4"/>
        <v>-0.45217716845727329</v>
      </c>
      <c r="H140" s="618">
        <f t="shared" si="5"/>
        <v>-0.39890659337098189</v>
      </c>
      <c r="I140" s="618">
        <f t="shared" si="6"/>
        <v>-0.34319396501925931</v>
      </c>
      <c r="J140" s="618">
        <f t="shared" si="7"/>
        <v>-0.88983197265341485</v>
      </c>
      <c r="K140" s="618">
        <f t="shared" si="8"/>
        <v>-0.89534023925072803</v>
      </c>
      <c r="L140" s="618">
        <f t="shared" si="9"/>
        <v>-0.96522600262976421</v>
      </c>
      <c r="M140" s="618">
        <f t="shared" si="10"/>
        <v>-0.75395754209531163</v>
      </c>
      <c r="N140" s="618">
        <f t="shared" si="11"/>
        <v>-0.80763775630350754</v>
      </c>
      <c r="O140" s="618">
        <f t="shared" si="12"/>
        <v>-0.81130703973750506</v>
      </c>
      <c r="P140" s="618">
        <f t="shared" si="13"/>
        <v>-0.80479211313521049</v>
      </c>
      <c r="Q140" s="618">
        <f t="shared" si="14"/>
        <v>-0.77511196970699259</v>
      </c>
      <c r="R140" s="618">
        <f t="shared" si="15"/>
        <v>-1</v>
      </c>
      <c r="S140" s="618">
        <f t="shared" si="16"/>
        <v>-0.96435553235545168</v>
      </c>
      <c r="T140" s="618">
        <f t="shared" si="17"/>
        <v>-0.97716572072175412</v>
      </c>
      <c r="U140" s="618">
        <f t="shared" si="18"/>
        <v>-0.9908485192221651</v>
      </c>
      <c r="V140" s="618">
        <f t="shared" si="19"/>
        <v>-0.96636370847167408</v>
      </c>
      <c r="W140" s="618">
        <f t="shared" si="20"/>
        <v>-0.97942442503870519</v>
      </c>
      <c r="Y140" s="631" t="s">
        <v>26</v>
      </c>
      <c r="Z140" s="631"/>
      <c r="AA140" s="618">
        <f t="shared" ref="AA140:AU140" si="92">IFERROR((AA42-Z42)/Z42,0)</f>
        <v>8.2597044956499624E-2</v>
      </c>
      <c r="AB140" s="618">
        <f t="shared" si="92"/>
        <v>-3.0756254224029271E-2</v>
      </c>
      <c r="AC140" s="618">
        <f t="shared" si="92"/>
        <v>-0.50354763323135421</v>
      </c>
      <c r="AD140" s="618">
        <f t="shared" si="92"/>
        <v>0.14709944833213978</v>
      </c>
      <c r="AE140" s="618">
        <f t="shared" si="92"/>
        <v>-8.3227394807520227E-2</v>
      </c>
      <c r="AF140" s="618">
        <f t="shared" si="92"/>
        <v>9.7240516493764723E-2</v>
      </c>
      <c r="AG140" s="618">
        <f t="shared" si="92"/>
        <v>9.2685475730242411E-2</v>
      </c>
      <c r="AH140" s="618">
        <f t="shared" si="92"/>
        <v>-0.83226702941330988</v>
      </c>
      <c r="AI140" s="618">
        <f t="shared" si="92"/>
        <v>-4.9998776686673671E-2</v>
      </c>
      <c r="AJ140" s="618">
        <f t="shared" si="92"/>
        <v>-0.66774243394706323</v>
      </c>
      <c r="AK140" s="618">
        <f t="shared" si="92"/>
        <v>6.0754723791198186</v>
      </c>
      <c r="AL140" s="618">
        <f t="shared" si="92"/>
        <v>-0.21817459744687806</v>
      </c>
      <c r="AM140" s="618">
        <f t="shared" si="92"/>
        <v>-1.907486294341075E-2</v>
      </c>
      <c r="AN140" s="618">
        <f t="shared" si="92"/>
        <v>3.4526601274533733E-2</v>
      </c>
      <c r="AO140" s="618">
        <f t="shared" si="92"/>
        <v>0.15204377192390703</v>
      </c>
      <c r="AP140" s="618">
        <f t="shared" si="92"/>
        <v>-1</v>
      </c>
      <c r="AQ140" s="618">
        <f t="shared" si="92"/>
        <v>0</v>
      </c>
      <c r="AR140" s="618">
        <f t="shared" si="92"/>
        <v>-0.35938784369140969</v>
      </c>
      <c r="AS140" s="618">
        <f t="shared" si="92"/>
        <v>-0.59922182494485376</v>
      </c>
      <c r="AT140" s="618">
        <f t="shared" si="92"/>
        <v>2.6755026148111178</v>
      </c>
      <c r="AU140" s="618">
        <f t="shared" si="92"/>
        <v>-0.3882924060172453</v>
      </c>
      <c r="AV140" s="565"/>
      <c r="AW140" s="631" t="s">
        <v>26</v>
      </c>
      <c r="AX140" s="631"/>
      <c r="AY140" s="618">
        <v>0</v>
      </c>
      <c r="AZ140" s="618">
        <v>0</v>
      </c>
      <c r="BA140" s="618">
        <v>0</v>
      </c>
      <c r="BB140" s="618">
        <v>0</v>
      </c>
      <c r="BC140" s="618">
        <v>0</v>
      </c>
      <c r="BD140" s="618">
        <v>0</v>
      </c>
      <c r="BE140" s="618">
        <v>0</v>
      </c>
      <c r="BF140" s="618">
        <v>0</v>
      </c>
      <c r="BG140" s="618">
        <v>0</v>
      </c>
      <c r="BH140" s="618">
        <v>0</v>
      </c>
      <c r="BI140" s="618">
        <v>0</v>
      </c>
      <c r="BJ140" s="618">
        <v>0</v>
      </c>
      <c r="BK140" s="618">
        <v>0</v>
      </c>
      <c r="BL140" s="618">
        <v>0</v>
      </c>
      <c r="BM140" s="618">
        <v>0</v>
      </c>
      <c r="BN140" s="618">
        <v>0</v>
      </c>
      <c r="BO140" s="618">
        <v>0</v>
      </c>
      <c r="BP140" s="618">
        <v>0</v>
      </c>
      <c r="BQ140" s="618">
        <v>0</v>
      </c>
      <c r="BR140" s="618">
        <v>0</v>
      </c>
      <c r="BS140" s="618">
        <v>0</v>
      </c>
      <c r="BU140" s="631" t="s">
        <v>26</v>
      </c>
      <c r="BV140" s="631"/>
      <c r="BW140" s="618">
        <v>0</v>
      </c>
      <c r="BX140" s="618">
        <v>0</v>
      </c>
      <c r="BY140" s="618">
        <f t="shared" ref="BY140:CH140" si="93">(BA42-AZ42)/AZ42</f>
        <v>0.13474826689976172</v>
      </c>
      <c r="BZ140" s="618">
        <f t="shared" si="93"/>
        <v>5.1507827637794885E-2</v>
      </c>
      <c r="CA140" s="618">
        <f t="shared" si="93"/>
        <v>1.1556930088706544E-4</v>
      </c>
      <c r="CB140" s="618">
        <f t="shared" si="93"/>
        <v>5.803806785950944E-3</v>
      </c>
      <c r="CC140" s="618">
        <f t="shared" si="93"/>
        <v>-2.9225713710734968E-2</v>
      </c>
      <c r="CD140" s="618">
        <f t="shared" si="93"/>
        <v>4.6629310715880785E-2</v>
      </c>
      <c r="CE140" s="618">
        <f t="shared" si="93"/>
        <v>0.58360812751908075</v>
      </c>
      <c r="CF140" s="618">
        <f t="shared" si="93"/>
        <v>-0.353930016411177</v>
      </c>
      <c r="CG140" s="618">
        <f t="shared" si="93"/>
        <v>2.8716882610709989E-2</v>
      </c>
      <c r="CH140" s="618">
        <f t="shared" si="93"/>
        <v>2.0677694343527089E-3</v>
      </c>
      <c r="CI140" s="618">
        <f t="shared" si="78"/>
        <v>-1.6574912688306347E-2</v>
      </c>
      <c r="CJ140" s="618">
        <f t="shared" si="81"/>
        <v>3.0193161983773038E-2</v>
      </c>
      <c r="CK140" s="618">
        <f t="shared" si="81"/>
        <v>1.791117161612352E-2</v>
      </c>
      <c r="CL140" s="618">
        <f t="shared" si="81"/>
        <v>-1</v>
      </c>
      <c r="CM140" s="618" t="e">
        <f t="shared" si="81"/>
        <v>#DIV/0!</v>
      </c>
      <c r="CN140" s="618">
        <f t="shared" si="81"/>
        <v>1.56740758689086E-2</v>
      </c>
      <c r="CO140" s="618">
        <f t="shared" si="81"/>
        <v>-1.0281256651256405E-3</v>
      </c>
      <c r="CP140" s="618">
        <f t="shared" si="81"/>
        <v>-3.1505266153041223E-2</v>
      </c>
      <c r="CQ140" s="618">
        <f t="shared" si="81"/>
        <v>-9.8327359381401552E-2</v>
      </c>
      <c r="CZ140" s="3"/>
      <c r="DA140" s="3"/>
      <c r="DC140" s="41"/>
      <c r="DD140" s="41"/>
      <c r="DE140" s="3"/>
      <c r="DF140" s="118"/>
      <c r="DG140" s="700"/>
      <c r="DH140" s="700"/>
      <c r="DI140" s="700"/>
      <c r="DJ140" s="700"/>
      <c r="DK140" s="43"/>
      <c r="DL140" s="43"/>
      <c r="DS140" s="3"/>
      <c r="DT140" s="3"/>
      <c r="DV140" s="41"/>
      <c r="DW140" s="41"/>
      <c r="DY140" s="118"/>
      <c r="DZ140" s="3"/>
      <c r="EA140" s="486"/>
      <c r="EB140" s="486"/>
      <c r="EC140" s="486"/>
      <c r="ED140" s="486"/>
      <c r="EE140" s="43"/>
      <c r="EF140" s="43"/>
      <c r="EL140" s="3"/>
      <c r="EM140" s="3"/>
      <c r="EO140" s="41"/>
      <c r="EP140" s="41"/>
      <c r="FC140" s="3"/>
      <c r="FE140" s="39"/>
      <c r="FF140" s="39"/>
      <c r="FH140" s="41"/>
      <c r="FI140" s="41"/>
      <c r="FM140" s="3"/>
      <c r="FN140" s="3"/>
      <c r="FO140" s="486"/>
      <c r="FP140" s="486"/>
      <c r="FQ140" s="486"/>
      <c r="FR140" s="486"/>
      <c r="FS140" s="43"/>
      <c r="FT140" s="43"/>
      <c r="FX140" s="3"/>
      <c r="FY140" s="3"/>
      <c r="GA140" s="41"/>
      <c r="GB140" s="41"/>
      <c r="GG140" s="3"/>
      <c r="GH140" s="3"/>
      <c r="GI140" s="486"/>
      <c r="GJ140" s="486"/>
      <c r="GK140" s="486"/>
      <c r="GL140" s="486"/>
      <c r="GM140" s="43"/>
      <c r="GN140" s="43"/>
      <c r="GO140" s="393"/>
      <c r="GS140" s="3"/>
      <c r="GT140" s="3"/>
      <c r="GV140" s="41"/>
      <c r="GW140" s="41"/>
      <c r="HA140" s="3"/>
      <c r="HB140" s="3"/>
      <c r="HC140" s="43"/>
      <c r="HD140" s="43"/>
      <c r="HE140" s="43"/>
      <c r="HF140" s="43"/>
      <c r="HG140" s="43"/>
    </row>
    <row r="141" spans="1:215">
      <c r="A141" s="632" t="s">
        <v>27</v>
      </c>
      <c r="B141" s="632"/>
      <c r="C141" s="616">
        <f t="shared" si="0"/>
        <v>0.17246242497038014</v>
      </c>
      <c r="D141" s="616">
        <f t="shared" si="1"/>
        <v>0.53973901817858172</v>
      </c>
      <c r="E141" s="616">
        <f t="shared" si="2"/>
        <v>0.58641052419279105</v>
      </c>
      <c r="F141" s="616">
        <f t="shared" si="3"/>
        <v>0.67765813684030884</v>
      </c>
      <c r="G141" s="616">
        <f t="shared" si="4"/>
        <v>0.87139080072149266</v>
      </c>
      <c r="H141" s="616">
        <f t="shared" si="5"/>
        <v>0.98067663223870993</v>
      </c>
      <c r="I141" s="616">
        <f t="shared" si="6"/>
        <v>1.0816460259512051</v>
      </c>
      <c r="J141" s="616">
        <f t="shared" si="7"/>
        <v>1.3136331605811462</v>
      </c>
      <c r="K141" s="616">
        <f t="shared" si="8"/>
        <v>-1</v>
      </c>
      <c r="L141" s="616">
        <f t="shared" si="9"/>
        <v>-1</v>
      </c>
      <c r="M141" s="616">
        <f t="shared" si="10"/>
        <v>-1</v>
      </c>
      <c r="N141" s="616">
        <f t="shared" si="11"/>
        <v>-1</v>
      </c>
      <c r="O141" s="616">
        <f t="shared" si="12"/>
        <v>-1</v>
      </c>
      <c r="P141" s="616">
        <f t="shared" si="13"/>
        <v>-1</v>
      </c>
      <c r="Q141" s="616">
        <f t="shared" si="14"/>
        <v>-1</v>
      </c>
      <c r="R141" s="616">
        <f t="shared" si="15"/>
        <v>-1</v>
      </c>
      <c r="S141" s="616">
        <f t="shared" si="16"/>
        <v>-1</v>
      </c>
      <c r="T141" s="616">
        <f t="shared" si="17"/>
        <v>-1</v>
      </c>
      <c r="U141" s="616">
        <f t="shared" si="18"/>
        <v>-1</v>
      </c>
      <c r="V141" s="616">
        <f t="shared" si="19"/>
        <v>-1</v>
      </c>
      <c r="W141" s="616">
        <f t="shared" si="20"/>
        <v>-1</v>
      </c>
      <c r="Y141" s="632" t="s">
        <v>27</v>
      </c>
      <c r="Z141" s="632"/>
      <c r="AA141" s="616">
        <f t="shared" ref="AA141:AU141" si="94">IFERROR((AA43-Z43)/Z43,0)</f>
        <v>0.17246242497038014</v>
      </c>
      <c r="AB141" s="616">
        <f t="shared" si="94"/>
        <v>0.31325233575607342</v>
      </c>
      <c r="AC141" s="616">
        <f t="shared" si="94"/>
        <v>3.0311309555186149E-2</v>
      </c>
      <c r="AD141" s="616">
        <f t="shared" si="94"/>
        <v>5.7518284993694845E-2</v>
      </c>
      <c r="AE141" s="616">
        <f t="shared" si="94"/>
        <v>0.11547803430683366</v>
      </c>
      <c r="AF141" s="616">
        <f t="shared" si="94"/>
        <v>5.8398187847820658E-2</v>
      </c>
      <c r="AG141" s="616">
        <f t="shared" si="94"/>
        <v>5.0977222666767207E-2</v>
      </c>
      <c r="AH141" s="616">
        <f t="shared" si="94"/>
        <v>0.11144408402669449</v>
      </c>
      <c r="AI141" s="616">
        <f t="shared" si="94"/>
        <v>-1</v>
      </c>
      <c r="AJ141" s="616">
        <f t="shared" si="94"/>
        <v>0</v>
      </c>
      <c r="AK141" s="616">
        <f t="shared" si="94"/>
        <v>0</v>
      </c>
      <c r="AL141" s="616">
        <f t="shared" si="94"/>
        <v>0</v>
      </c>
      <c r="AM141" s="616">
        <f t="shared" si="94"/>
        <v>0</v>
      </c>
      <c r="AN141" s="616">
        <f t="shared" si="94"/>
        <v>0</v>
      </c>
      <c r="AO141" s="616">
        <f t="shared" si="94"/>
        <v>0</v>
      </c>
      <c r="AP141" s="616">
        <f t="shared" si="94"/>
        <v>0</v>
      </c>
      <c r="AQ141" s="616">
        <f t="shared" si="94"/>
        <v>0</v>
      </c>
      <c r="AR141" s="616">
        <f t="shared" si="94"/>
        <v>0</v>
      </c>
      <c r="AS141" s="616">
        <f t="shared" si="94"/>
        <v>0</v>
      </c>
      <c r="AT141" s="616">
        <f t="shared" si="94"/>
        <v>0</v>
      </c>
      <c r="AU141" s="616">
        <f t="shared" si="94"/>
        <v>0</v>
      </c>
      <c r="AV141" s="565"/>
      <c r="AW141" s="632" t="s">
        <v>27</v>
      </c>
      <c r="AX141" s="632"/>
      <c r="AY141" s="616">
        <f t="shared" ref="AY141:BS141" si="95">(AY43-$AX43)/$AX43</f>
        <v>-6.6637788445392289E-3</v>
      </c>
      <c r="AZ141" s="616">
        <f t="shared" si="95"/>
        <v>8.1624523788332379E-3</v>
      </c>
      <c r="BA141" s="616">
        <f t="shared" si="95"/>
        <v>0.11426453484969845</v>
      </c>
      <c r="BB141" s="616">
        <f t="shared" si="95"/>
        <v>0.11843875789353919</v>
      </c>
      <c r="BC141" s="616">
        <f t="shared" si="95"/>
        <v>0.18521417379027871</v>
      </c>
      <c r="BD141" s="616">
        <f t="shared" si="95"/>
        <v>0.18840597934322587</v>
      </c>
      <c r="BE141" s="616">
        <f t="shared" si="95"/>
        <v>0.24898761557072308</v>
      </c>
      <c r="BF141" s="616">
        <f t="shared" si="95"/>
        <v>0.20501727113601362</v>
      </c>
      <c r="BG141" s="616">
        <f t="shared" si="95"/>
        <v>-1</v>
      </c>
      <c r="BH141" s="616">
        <f t="shared" si="95"/>
        <v>-1</v>
      </c>
      <c r="BI141" s="616">
        <f t="shared" si="95"/>
        <v>-1</v>
      </c>
      <c r="BJ141" s="616">
        <f t="shared" si="95"/>
        <v>-1</v>
      </c>
      <c r="BK141" s="616">
        <f t="shared" si="95"/>
        <v>-1</v>
      </c>
      <c r="BL141" s="616">
        <f t="shared" si="95"/>
        <v>-1</v>
      </c>
      <c r="BM141" s="616">
        <f t="shared" si="95"/>
        <v>-1</v>
      </c>
      <c r="BN141" s="616">
        <f t="shared" si="95"/>
        <v>-1</v>
      </c>
      <c r="BO141" s="616">
        <f t="shared" si="95"/>
        <v>-1</v>
      </c>
      <c r="BP141" s="616">
        <f t="shared" si="95"/>
        <v>-1</v>
      </c>
      <c r="BQ141" s="616">
        <f t="shared" si="95"/>
        <v>-1</v>
      </c>
      <c r="BR141" s="616">
        <f t="shared" si="95"/>
        <v>-1</v>
      </c>
      <c r="BS141" s="616">
        <f t="shared" si="95"/>
        <v>-1</v>
      </c>
      <c r="BU141" s="632" t="s">
        <v>27</v>
      </c>
      <c r="BV141" s="632"/>
      <c r="BW141" s="616">
        <f t="shared" ref="BW141:BW177" si="96">(AY43-AX43)/AX43</f>
        <v>-6.6637788445392289E-3</v>
      </c>
      <c r="BX141" s="616">
        <f t="shared" ref="BX141:BX177" si="97">(AZ43-AY43)/AY43</f>
        <v>1.4925692738885948E-2</v>
      </c>
      <c r="BY141" s="616">
        <f t="shared" ref="BY141:BY177" si="98">(BA43-AZ43)/AZ43</f>
        <v>0.10524304115919966</v>
      </c>
      <c r="BZ141" s="616">
        <f t="shared" ref="BZ141:BZ177" si="99">(BB43-BA43)/BA43</f>
        <v>3.7461688075747651E-3</v>
      </c>
      <c r="CA141" s="616">
        <f t="shared" ref="CA141:CA177" si="100">(BC43-BB43)/BB43</f>
        <v>5.9704132591492022E-2</v>
      </c>
      <c r="CB141" s="616">
        <f t="shared" ref="CB141:CB177" si="101">(BD43-BC43)/BC43</f>
        <v>2.6930200663563345E-3</v>
      </c>
      <c r="CC141" s="616">
        <f t="shared" ref="CC141:CC177" si="102">(BE43-BD43)/BD43</f>
        <v>5.0977222666767234E-2</v>
      </c>
      <c r="CD141" s="616">
        <f t="shared" ref="CD141:CD177" si="103">(BF43-BE43)/BE43</f>
        <v>-3.5204788171272032E-2</v>
      </c>
      <c r="CE141" s="616">
        <v>0</v>
      </c>
      <c r="CF141" s="616">
        <v>0</v>
      </c>
      <c r="CG141" s="616">
        <v>0</v>
      </c>
      <c r="CH141" s="616">
        <v>0</v>
      </c>
      <c r="CI141" s="616">
        <v>0</v>
      </c>
      <c r="CJ141" s="616">
        <v>0</v>
      </c>
      <c r="CK141" s="616">
        <v>0</v>
      </c>
      <c r="CL141" s="616">
        <v>0</v>
      </c>
      <c r="CM141" s="616"/>
      <c r="CN141" s="616"/>
      <c r="CO141" s="616"/>
      <c r="CP141" s="616"/>
      <c r="CQ141" s="616"/>
      <c r="CZ141" s="3"/>
      <c r="DA141" s="3"/>
      <c r="DC141" s="41"/>
      <c r="DD141" s="41"/>
      <c r="DE141" s="3"/>
      <c r="DF141" s="118"/>
      <c r="DG141" s="700"/>
      <c r="DH141" s="700"/>
      <c r="DI141" s="700"/>
      <c r="DJ141" s="700"/>
      <c r="DK141" s="43"/>
      <c r="DL141" s="43"/>
      <c r="DS141" s="3"/>
      <c r="DT141" s="3"/>
      <c r="DV141" s="41"/>
      <c r="DW141" s="41"/>
      <c r="DY141" s="118"/>
      <c r="DZ141" s="3"/>
      <c r="EA141" s="486"/>
      <c r="EB141" s="486"/>
      <c r="EC141" s="486"/>
      <c r="ED141" s="486"/>
      <c r="EE141" s="43"/>
      <c r="EF141" s="43"/>
      <c r="EL141" s="3"/>
      <c r="EM141" s="3"/>
      <c r="EO141" s="41"/>
      <c r="EP141" s="41"/>
      <c r="FC141" s="3"/>
      <c r="FE141" s="39"/>
      <c r="FF141" s="39"/>
      <c r="FH141" s="41"/>
      <c r="FI141" s="41"/>
      <c r="FM141" s="3"/>
      <c r="FN141" s="3"/>
      <c r="FO141" s="486"/>
      <c r="FP141" s="486"/>
      <c r="FQ141" s="486"/>
      <c r="FR141" s="486"/>
      <c r="FS141" s="43"/>
      <c r="FT141" s="43"/>
      <c r="FX141" s="3"/>
      <c r="FY141" s="3"/>
      <c r="GA141" s="41"/>
      <c r="GB141" s="41"/>
      <c r="GG141" s="3"/>
      <c r="GH141" s="3"/>
      <c r="GI141" s="486"/>
      <c r="GJ141" s="486"/>
      <c r="GK141" s="486"/>
      <c r="GL141" s="486"/>
      <c r="GM141" s="43"/>
      <c r="GN141" s="43"/>
      <c r="GO141" s="393"/>
      <c r="GS141" s="3"/>
      <c r="GT141" s="3"/>
      <c r="GV141" s="41"/>
      <c r="GW141" s="41"/>
      <c r="HA141" s="3"/>
      <c r="HB141" s="3"/>
      <c r="HC141" s="43"/>
      <c r="HD141" s="43"/>
      <c r="HE141" s="43"/>
      <c r="HF141" s="43"/>
      <c r="HG141" s="43"/>
    </row>
    <row r="142" spans="1:215">
      <c r="A142" s="631" t="s">
        <v>28</v>
      </c>
      <c r="B142" s="631"/>
      <c r="C142" s="618">
        <f t="shared" si="0"/>
        <v>0.12229789944641335</v>
      </c>
      <c r="D142" s="618">
        <f t="shared" si="1"/>
        <v>0.17458221484078126</v>
      </c>
      <c r="E142" s="618">
        <f t="shared" si="2"/>
        <v>0.24742275523011731</v>
      </c>
      <c r="F142" s="618">
        <f t="shared" si="3"/>
        <v>0.32875381043821456</v>
      </c>
      <c r="G142" s="618">
        <f t="shared" si="4"/>
        <v>0.36814214134524481</v>
      </c>
      <c r="H142" s="618">
        <f t="shared" si="5"/>
        <v>0.48532050581876418</v>
      </c>
      <c r="I142" s="618">
        <f t="shared" si="6"/>
        <v>0.45117402790247157</v>
      </c>
      <c r="J142" s="618">
        <f t="shared" si="7"/>
        <v>0.47447572513271963</v>
      </c>
      <c r="K142" s="618">
        <f t="shared" si="8"/>
        <v>0.62675228713564446</v>
      </c>
      <c r="L142" s="618">
        <f t="shared" si="9"/>
        <v>0.62013696310864697</v>
      </c>
      <c r="M142" s="618">
        <f t="shared" si="10"/>
        <v>0.74235420523649731</v>
      </c>
      <c r="N142" s="618">
        <f t="shared" si="11"/>
        <v>0.84968681902325827</v>
      </c>
      <c r="O142" s="618">
        <f t="shared" si="12"/>
        <v>1.1148077466669373</v>
      </c>
      <c r="P142" s="618">
        <f t="shared" si="13"/>
        <v>1.1700810679543421</v>
      </c>
      <c r="Q142" s="618">
        <f t="shared" si="14"/>
        <v>0.85025486518423166</v>
      </c>
      <c r="R142" s="618">
        <f t="shared" si="15"/>
        <v>1.2066897069778411</v>
      </c>
      <c r="S142" s="618">
        <f t="shared" si="16"/>
        <v>1.2281898430755829</v>
      </c>
      <c r="T142" s="618">
        <f t="shared" si="17"/>
        <v>1.4502900126672413</v>
      </c>
      <c r="U142" s="618">
        <f t="shared" si="18"/>
        <v>1.2672702430807641</v>
      </c>
      <c r="V142" s="618">
        <f t="shared" si="19"/>
        <v>1.3349305717786288</v>
      </c>
      <c r="W142" s="618">
        <f t="shared" si="20"/>
        <v>1.3425531017745622</v>
      </c>
      <c r="Y142" s="631" t="s">
        <v>28</v>
      </c>
      <c r="Z142" s="631"/>
      <c r="AA142" s="618">
        <f t="shared" ref="AA142:AU142" si="104">IFERROR((AA44-Z44)/Z44,0)</f>
        <v>0.12229789944641335</v>
      </c>
      <c r="AB142" s="618">
        <f t="shared" si="104"/>
        <v>4.6586842424063857E-2</v>
      </c>
      <c r="AC142" s="618">
        <f t="shared" si="104"/>
        <v>6.2013999078991543E-2</v>
      </c>
      <c r="AD142" s="618">
        <f t="shared" si="104"/>
        <v>6.5199271752176546E-2</v>
      </c>
      <c r="AE142" s="618">
        <f t="shared" si="104"/>
        <v>2.964306148935162E-2</v>
      </c>
      <c r="AF142" s="618">
        <f t="shared" si="104"/>
        <v>8.5647799985389017E-2</v>
      </c>
      <c r="AG142" s="618">
        <f t="shared" si="104"/>
        <v>-2.2989299469389473E-2</v>
      </c>
      <c r="AH142" s="618">
        <f t="shared" si="104"/>
        <v>1.6057134969489746E-2</v>
      </c>
      <c r="AI142" s="618">
        <f t="shared" si="104"/>
        <v>0.1032750552669955</v>
      </c>
      <c r="AJ142" s="618">
        <f t="shared" si="104"/>
        <v>-4.0665835107849511E-3</v>
      </c>
      <c r="AK142" s="618">
        <f t="shared" si="104"/>
        <v>7.5436364277094992E-2</v>
      </c>
      <c r="AL142" s="618">
        <f t="shared" si="104"/>
        <v>6.160206315350919E-2</v>
      </c>
      <c r="AM142" s="618">
        <f t="shared" si="104"/>
        <v>0.14333287393142491</v>
      </c>
      <c r="AN142" s="618">
        <f t="shared" si="104"/>
        <v>2.6136333846194168E-2</v>
      </c>
      <c r="AO142" s="618">
        <f t="shared" si="104"/>
        <v>-0.14737984100824358</v>
      </c>
      <c r="AP142" s="618">
        <f t="shared" si="104"/>
        <v>0.19264094287795261</v>
      </c>
      <c r="AQ142" s="618">
        <f t="shared" si="104"/>
        <v>9.7431623620464168E-3</v>
      </c>
      <c r="AR142" s="618">
        <f t="shared" si="104"/>
        <v>9.9677399698174851E-2</v>
      </c>
      <c r="AS142" s="618">
        <f t="shared" si="104"/>
        <v>-7.4693105159112455E-2</v>
      </c>
      <c r="AT142" s="618">
        <f t="shared" si="104"/>
        <v>2.9842198522364118E-2</v>
      </c>
      <c r="AU142" s="618">
        <f t="shared" si="104"/>
        <v>3.2645638752876235E-3</v>
      </c>
      <c r="AV142" s="565"/>
      <c r="AW142" s="631" t="s">
        <v>28</v>
      </c>
      <c r="AX142" s="631"/>
      <c r="AY142" s="618">
        <f t="shared" ref="AY142:BS142" si="105">(AY44-$AX44)/$AX44</f>
        <v>0.80533081459337041</v>
      </c>
      <c r="AZ142" s="618">
        <f t="shared" si="105"/>
        <v>0.95458842425117763</v>
      </c>
      <c r="BA142" s="618">
        <f t="shared" si="105"/>
        <v>0.90562508460269076</v>
      </c>
      <c r="BB142" s="618">
        <f t="shared" si="105"/>
        <v>0.504353949798936</v>
      </c>
      <c r="BC142" s="618">
        <f t="shared" si="105"/>
        <v>0.17229921385429231</v>
      </c>
      <c r="BD142" s="618">
        <f t="shared" si="105"/>
        <v>0.17966500684604847</v>
      </c>
      <c r="BE142" s="618">
        <f t="shared" si="105"/>
        <v>0.18087210178952426</v>
      </c>
      <c r="BF142" s="618">
        <f t="shared" si="105"/>
        <v>0.36593359531977038</v>
      </c>
      <c r="BG142" s="618">
        <f t="shared" si="105"/>
        <v>0.36591339394786043</v>
      </c>
      <c r="BH142" s="618">
        <f t="shared" si="105"/>
        <v>0.32474017685621009</v>
      </c>
      <c r="BI142" s="618">
        <f t="shared" si="105"/>
        <v>0.50833014401865328</v>
      </c>
      <c r="BJ142" s="618">
        <f t="shared" si="105"/>
        <v>0.48767925380061611</v>
      </c>
      <c r="BK142" s="618">
        <f t="shared" si="105"/>
        <v>0.46338758266504665</v>
      </c>
      <c r="BL142" s="618">
        <f t="shared" si="105"/>
        <v>0.654225963276727</v>
      </c>
      <c r="BM142" s="618">
        <f t="shared" si="105"/>
        <v>0.48675291258695091</v>
      </c>
      <c r="BN142" s="618">
        <f t="shared" si="105"/>
        <v>0.66109573954073986</v>
      </c>
      <c r="BO142" s="618">
        <f t="shared" si="105"/>
        <v>0.6569807553469279</v>
      </c>
      <c r="BP142" s="618">
        <f t="shared" si="105"/>
        <v>0.56635659491921897</v>
      </c>
      <c r="BQ142" s="618">
        <f t="shared" si="105"/>
        <v>0.66713841823862485</v>
      </c>
      <c r="BR142" s="618">
        <f t="shared" si="105"/>
        <v>0.59583860806602984</v>
      </c>
      <c r="BS142" s="618">
        <f t="shared" si="105"/>
        <v>0.61711730251534291</v>
      </c>
      <c r="BU142" s="631" t="s">
        <v>28</v>
      </c>
      <c r="BV142" s="631"/>
      <c r="BW142" s="618">
        <f t="shared" si="96"/>
        <v>0.80533081459337041</v>
      </c>
      <c r="BX142" s="618">
        <f t="shared" si="97"/>
        <v>8.2676043886962494E-2</v>
      </c>
      <c r="BY142" s="618">
        <f t="shared" si="98"/>
        <v>-2.5050460261088113E-2</v>
      </c>
      <c r="BZ142" s="618">
        <f t="shared" si="99"/>
        <v>-0.2105719210174109</v>
      </c>
      <c r="CA142" s="618">
        <f t="shared" si="100"/>
        <v>-0.22072912826733651</v>
      </c>
      <c r="CB142" s="618">
        <f t="shared" si="101"/>
        <v>6.28320219335374E-3</v>
      </c>
      <c r="CC142" s="618">
        <f t="shared" si="102"/>
        <v>1.0232523101647894E-3</v>
      </c>
      <c r="CD142" s="618">
        <f t="shared" si="103"/>
        <v>0.1567159502284787</v>
      </c>
      <c r="CE142" s="618">
        <f t="shared" ref="CE142:CQ142" si="106">(BG44-BF44)/BF44</f>
        <v>-1.4789424595157253E-5</v>
      </c>
      <c r="CF142" s="618">
        <f t="shared" si="106"/>
        <v>-3.0143358483841014E-2</v>
      </c>
      <c r="CG142" s="618">
        <f t="shared" si="106"/>
        <v>0.13858564144867058</v>
      </c>
      <c r="CH142" s="618">
        <f t="shared" si="106"/>
        <v>-1.3691226884199834E-2</v>
      </c>
      <c r="CI142" s="618">
        <f t="shared" si="106"/>
        <v>-1.6328567514476554E-2</v>
      </c>
      <c r="CJ142" s="618">
        <f t="shared" si="106"/>
        <v>0.13040863737830499</v>
      </c>
      <c r="CK142" s="618">
        <f t="shared" si="106"/>
        <v>-0.10123952495464515</v>
      </c>
      <c r="CL142" s="618">
        <f t="shared" si="106"/>
        <v>0.11726415699460939</v>
      </c>
      <c r="CM142" s="618">
        <f t="shared" si="106"/>
        <v>-2.4772709337931693E-3</v>
      </c>
      <c r="CN142" s="618">
        <f t="shared" si="106"/>
        <v>-5.4692343369271465E-2</v>
      </c>
      <c r="CO142" s="618">
        <f t="shared" si="106"/>
        <v>6.4341557756587009E-2</v>
      </c>
      <c r="CP142" s="618">
        <f t="shared" si="106"/>
        <v>-4.276778064290853E-2</v>
      </c>
      <c r="CQ142" s="618">
        <f t="shared" si="106"/>
        <v>1.3333863676290135E-2</v>
      </c>
      <c r="CZ142" s="3"/>
      <c r="DA142" s="3"/>
      <c r="DC142" s="41"/>
      <c r="DD142" s="41"/>
      <c r="DE142" s="3"/>
      <c r="DF142" s="118"/>
      <c r="DG142" s="700"/>
      <c r="DH142" s="700"/>
      <c r="DI142" s="700"/>
      <c r="DJ142" s="700"/>
      <c r="DK142" s="43"/>
      <c r="DL142" s="43"/>
      <c r="DS142" s="3"/>
      <c r="DT142" s="3"/>
      <c r="DV142" s="41"/>
      <c r="DW142" s="41"/>
      <c r="DY142" s="118"/>
      <c r="DZ142" s="3"/>
      <c r="EA142" s="486"/>
      <c r="EB142" s="486"/>
      <c r="EC142" s="486"/>
      <c r="ED142" s="486"/>
      <c r="EE142" s="43"/>
      <c r="EF142" s="43"/>
      <c r="EL142" s="3"/>
      <c r="EM142" s="3"/>
      <c r="EO142" s="41"/>
      <c r="EP142" s="41"/>
      <c r="FC142" s="3"/>
      <c r="FE142" s="39"/>
      <c r="FF142" s="39"/>
      <c r="FH142" s="41"/>
      <c r="FI142" s="41"/>
      <c r="FM142" s="3"/>
      <c r="FN142" s="3"/>
      <c r="FO142" s="486"/>
      <c r="FP142" s="486"/>
      <c r="FQ142" s="486"/>
      <c r="FR142" s="486"/>
      <c r="FS142" s="43"/>
      <c r="FT142" s="43"/>
      <c r="FX142" s="3"/>
      <c r="FY142" s="3"/>
      <c r="GA142" s="41"/>
      <c r="GB142" s="41"/>
      <c r="GG142" s="3"/>
      <c r="GH142" s="3"/>
      <c r="GI142" s="486"/>
      <c r="GJ142" s="486"/>
      <c r="GK142" s="486"/>
      <c r="GL142" s="486"/>
      <c r="GM142" s="43"/>
      <c r="GN142" s="43"/>
      <c r="GO142" s="393"/>
      <c r="GS142" s="3"/>
      <c r="GT142" s="3"/>
      <c r="GV142" s="41"/>
      <c r="GW142" s="41"/>
      <c r="HA142" s="3"/>
      <c r="HB142" s="3"/>
      <c r="HC142" s="43"/>
      <c r="HD142" s="43"/>
      <c r="HE142" s="43"/>
      <c r="HF142" s="43"/>
      <c r="HG142" s="43"/>
    </row>
    <row r="143" spans="1:215">
      <c r="A143" s="632" t="s">
        <v>29</v>
      </c>
      <c r="B143" s="632"/>
      <c r="C143" s="616">
        <f t="shared" si="0"/>
        <v>4.9187410681645061E-3</v>
      </c>
      <c r="D143" s="616">
        <f t="shared" si="1"/>
        <v>7.9918859763653483E-2</v>
      </c>
      <c r="E143" s="616">
        <f t="shared" si="2"/>
        <v>0.27008698598918451</v>
      </c>
      <c r="F143" s="616">
        <f t="shared" si="3"/>
        <v>0.40485532800311463</v>
      </c>
      <c r="G143" s="616">
        <f t="shared" si="4"/>
        <v>0.51097043057975622</v>
      </c>
      <c r="H143" s="616">
        <f t="shared" si="5"/>
        <v>0.1385388525944459</v>
      </c>
      <c r="I143" s="616">
        <f t="shared" si="6"/>
        <v>0.29000037982556504</v>
      </c>
      <c r="J143" s="616">
        <f t="shared" si="7"/>
        <v>1.0405471209222166</v>
      </c>
      <c r="K143" s="616">
        <f t="shared" si="8"/>
        <v>1.8838942981060949</v>
      </c>
      <c r="L143" s="616">
        <f t="shared" si="9"/>
        <v>0.95227031829382336</v>
      </c>
      <c r="M143" s="616">
        <f t="shared" si="10"/>
        <v>1.6399314474202722</v>
      </c>
      <c r="N143" s="616">
        <f t="shared" si="11"/>
        <v>1.7635717905926702</v>
      </c>
      <c r="O143" s="616">
        <f t="shared" si="12"/>
        <v>1.6284346023463723</v>
      </c>
      <c r="P143" s="616">
        <f t="shared" si="13"/>
        <v>-1</v>
      </c>
      <c r="Q143" s="616">
        <f t="shared" si="14"/>
        <v>2.0006813121074147</v>
      </c>
      <c r="R143" s="616">
        <f t="shared" si="15"/>
        <v>2.1222263831585346</v>
      </c>
      <c r="S143" s="616">
        <f t="shared" si="16"/>
        <v>2.9630543969556986</v>
      </c>
      <c r="T143" s="616">
        <f t="shared" si="17"/>
        <v>-1</v>
      </c>
      <c r="U143" s="616">
        <f t="shared" si="18"/>
        <v>-1</v>
      </c>
      <c r="V143" s="616">
        <f t="shared" si="19"/>
        <v>-1</v>
      </c>
      <c r="W143" s="616">
        <f t="shared" si="20"/>
        <v>-1</v>
      </c>
      <c r="Y143" s="632" t="s">
        <v>29</v>
      </c>
      <c r="Z143" s="632"/>
      <c r="AA143" s="616">
        <f t="shared" ref="AA143:AU143" si="107">IFERROR((AA45-Z45)/Z45,0)</f>
        <v>4.9187410681645061E-3</v>
      </c>
      <c r="AB143" s="616">
        <f t="shared" si="107"/>
        <v>7.4633018203808826E-2</v>
      </c>
      <c r="AC143" s="616">
        <f t="shared" si="107"/>
        <v>0.17609482833474213</v>
      </c>
      <c r="AD143" s="616">
        <f t="shared" si="107"/>
        <v>0.10610953698495559</v>
      </c>
      <c r="AE143" s="616">
        <f t="shared" si="107"/>
        <v>7.5534541145582182E-2</v>
      </c>
      <c r="AF143" s="616">
        <f t="shared" si="107"/>
        <v>-0.24648502078390053</v>
      </c>
      <c r="AG143" s="616">
        <f t="shared" si="107"/>
        <v>0.13303149636569375</v>
      </c>
      <c r="AH143" s="616">
        <f t="shared" si="107"/>
        <v>0.58181900783482021</v>
      </c>
      <c r="AI143" s="616">
        <f t="shared" si="107"/>
        <v>0.41329463482457152</v>
      </c>
      <c r="AJ143" s="616">
        <f t="shared" si="107"/>
        <v>-0.32304373306056522</v>
      </c>
      <c r="AK143" s="616">
        <f t="shared" si="107"/>
        <v>0.3522366358196885</v>
      </c>
      <c r="AL143" s="616">
        <f t="shared" si="107"/>
        <v>4.6834679473672994E-2</v>
      </c>
      <c r="AM143" s="616">
        <f t="shared" si="107"/>
        <v>-4.8899467242469095E-2</v>
      </c>
      <c r="AN143" s="616">
        <f t="shared" si="107"/>
        <v>-1</v>
      </c>
      <c r="AO143" s="616">
        <f t="shared" si="107"/>
        <v>0</v>
      </c>
      <c r="AP143" s="616">
        <f t="shared" si="107"/>
        <v>4.0505824647455536E-2</v>
      </c>
      <c r="AQ143" s="616">
        <f t="shared" si="107"/>
        <v>0.2693039871588549</v>
      </c>
      <c r="AR143" s="616">
        <f t="shared" si="107"/>
        <v>-1</v>
      </c>
      <c r="AS143" s="616">
        <f t="shared" si="107"/>
        <v>0</v>
      </c>
      <c r="AT143" s="616">
        <f t="shared" si="107"/>
        <v>0</v>
      </c>
      <c r="AU143" s="616">
        <f t="shared" si="107"/>
        <v>0</v>
      </c>
      <c r="AV143" s="565"/>
      <c r="AW143" s="632" t="s">
        <v>29</v>
      </c>
      <c r="AX143" s="632"/>
      <c r="AY143" s="616">
        <f t="shared" ref="AY143:BS143" si="108">(AY45-$AX45)/$AX45</f>
        <v>4.4071419291599412E-2</v>
      </c>
      <c r="AZ143" s="616">
        <f t="shared" si="108"/>
        <v>-1.8255582033042155E-2</v>
      </c>
      <c r="BA143" s="616">
        <f t="shared" si="108"/>
        <v>7.764956386961118E-2</v>
      </c>
      <c r="BB143" s="616">
        <f t="shared" si="108"/>
        <v>0.16103746115959888</v>
      </c>
      <c r="BC143" s="616">
        <f t="shared" si="108"/>
        <v>0.17381173945865369</v>
      </c>
      <c r="BD143" s="616">
        <f t="shared" si="108"/>
        <v>0.15003924504489502</v>
      </c>
      <c r="BE143" s="616">
        <f t="shared" si="108"/>
        <v>0.1023639609418466</v>
      </c>
      <c r="BF143" s="616">
        <f t="shared" si="108"/>
        <v>0.20060727309846599</v>
      </c>
      <c r="BG143" s="616">
        <f t="shared" si="108"/>
        <v>0.16163031815138909</v>
      </c>
      <c r="BH143" s="616">
        <f t="shared" si="108"/>
        <v>0.18096195572183482</v>
      </c>
      <c r="BI143" s="616">
        <f t="shared" si="108"/>
        <v>0.26262968561233718</v>
      </c>
      <c r="BJ143" s="616">
        <f t="shared" si="108"/>
        <v>0.24062454005497988</v>
      </c>
      <c r="BK143" s="616">
        <f t="shared" si="108"/>
        <v>0.18309922986050473</v>
      </c>
      <c r="BL143" s="616">
        <f t="shared" si="108"/>
        <v>-1</v>
      </c>
      <c r="BM143" s="616">
        <f t="shared" si="108"/>
        <v>0.27772726625297339</v>
      </c>
      <c r="BN143" s="616">
        <f t="shared" si="108"/>
        <v>0.22652373176028015</v>
      </c>
      <c r="BO143" s="616">
        <f t="shared" si="108"/>
        <v>0.22076859213769717</v>
      </c>
      <c r="BP143" s="616">
        <f t="shared" si="108"/>
        <v>-1</v>
      </c>
      <c r="BQ143" s="616">
        <f t="shared" si="108"/>
        <v>-1</v>
      </c>
      <c r="BR143" s="616">
        <f t="shared" si="108"/>
        <v>-1</v>
      </c>
      <c r="BS143" s="616">
        <f t="shared" si="108"/>
        <v>-1</v>
      </c>
      <c r="BU143" s="632" t="s">
        <v>29</v>
      </c>
      <c r="BV143" s="632"/>
      <c r="BW143" s="616">
        <f t="shared" si="96"/>
        <v>4.4071419291599412E-2</v>
      </c>
      <c r="BX143" s="616">
        <f t="shared" si="97"/>
        <v>-5.9696109071667079E-2</v>
      </c>
      <c r="BY143" s="616">
        <f t="shared" si="98"/>
        <v>9.7688506445759257E-2</v>
      </c>
      <c r="BZ143" s="616">
        <f t="shared" si="99"/>
        <v>7.7379419141190411E-2</v>
      </c>
      <c r="CA143" s="616">
        <f t="shared" si="100"/>
        <v>1.1002468676847307E-2</v>
      </c>
      <c r="CB143" s="616">
        <f t="shared" si="101"/>
        <v>-2.0252391090177915E-2</v>
      </c>
      <c r="CC143" s="616">
        <f t="shared" si="102"/>
        <v>-4.1455354074623134E-2</v>
      </c>
      <c r="CD143" s="616">
        <f t="shared" si="103"/>
        <v>8.9120576903368165E-2</v>
      </c>
      <c r="CE143" s="616">
        <f t="shared" ref="CE143:CE159" si="109">(BG45-BF45)/BF45</f>
        <v>-3.2464366842029177E-2</v>
      </c>
      <c r="CF143" s="616">
        <f t="shared" ref="CF143:CF159" si="110">(BH45-BG45)/BG45</f>
        <v>1.664181561756237E-2</v>
      </c>
      <c r="CG143" s="616">
        <f t="shared" ref="CG143:CG159" si="111">(BI45-BH45)/BH45</f>
        <v>6.915356544282994E-2</v>
      </c>
      <c r="CH143" s="616">
        <f t="shared" ref="CH143:CH159" si="112">(BJ45-BI45)/BI45</f>
        <v>-1.7428028033956329E-2</v>
      </c>
      <c r="CI143" s="616">
        <f t="shared" ref="CI143:CI159" si="113">(BK45-BJ45)/BJ45</f>
        <v>-4.6368025407530503E-2</v>
      </c>
      <c r="CJ143" s="616">
        <f t="shared" ref="CJ143:CJ159" si="114">(BL45-BK45)/BK45</f>
        <v>-1</v>
      </c>
      <c r="CK143" s="616"/>
      <c r="CL143" s="616">
        <v>0</v>
      </c>
      <c r="CM143" s="616">
        <f t="shared" ref="CM143:CM156" si="115">(BO45-BN45)/BN45</f>
        <v>-4.6922366633080238E-3</v>
      </c>
      <c r="CN143" s="616">
        <f t="shared" ref="CN143:CN156" si="116">(BP45-BO45)/BO45</f>
        <v>-1</v>
      </c>
      <c r="CO143" s="616" t="e">
        <f t="shared" ref="CO143:CO156" si="117">(BQ45-BP45)/BP45</f>
        <v>#DIV/0!</v>
      </c>
      <c r="CP143" s="616" t="e">
        <f t="shared" ref="CP143:CP156" si="118">(BR45-BQ45)/BQ45</f>
        <v>#DIV/0!</v>
      </c>
      <c r="CQ143" s="616" t="e">
        <f t="shared" ref="CQ143:CQ156" si="119">(BS45-BR45)/BR45</f>
        <v>#DIV/0!</v>
      </c>
      <c r="CZ143" s="3"/>
      <c r="DA143" s="3"/>
      <c r="DC143" s="41"/>
      <c r="DD143" s="41"/>
      <c r="DE143" s="3"/>
      <c r="DF143" s="118"/>
      <c r="DG143" s="700"/>
      <c r="DH143" s="700"/>
      <c r="DI143" s="700"/>
      <c r="DJ143" s="700"/>
      <c r="DK143" s="43"/>
      <c r="DL143" s="43"/>
      <c r="DS143" s="3"/>
      <c r="DT143" s="3"/>
      <c r="DV143" s="41"/>
      <c r="DW143" s="41"/>
      <c r="DY143" s="118"/>
      <c r="DZ143" s="3"/>
      <c r="EA143" s="486"/>
      <c r="EB143" s="486"/>
      <c r="EC143" s="486"/>
      <c r="ED143" s="486"/>
      <c r="EE143" s="43"/>
      <c r="EF143" s="43"/>
      <c r="EL143" s="3"/>
      <c r="EM143" s="3"/>
      <c r="EO143" s="41"/>
      <c r="EP143" s="41"/>
      <c r="FC143" s="3"/>
      <c r="FE143" s="39"/>
      <c r="FF143" s="39"/>
      <c r="FH143" s="41"/>
      <c r="FI143" s="41"/>
      <c r="FM143" s="3"/>
      <c r="FN143" s="3"/>
      <c r="FO143" s="486"/>
      <c r="FP143" s="486"/>
      <c r="FQ143" s="486"/>
      <c r="FR143" s="486"/>
      <c r="FS143" s="43"/>
      <c r="FT143" s="43"/>
      <c r="FX143" s="3"/>
      <c r="FY143" s="3"/>
      <c r="GA143" s="41"/>
      <c r="GB143" s="41"/>
      <c r="GG143" s="3"/>
      <c r="GH143" s="3"/>
      <c r="GI143" s="486"/>
      <c r="GJ143" s="486"/>
      <c r="GK143" s="486"/>
      <c r="GL143" s="486"/>
      <c r="GM143" s="43"/>
      <c r="GN143" s="43"/>
      <c r="GO143" s="393"/>
      <c r="GS143" s="3"/>
      <c r="GT143" s="3"/>
      <c r="GV143" s="41"/>
      <c r="GW143" s="41"/>
      <c r="HA143" s="3"/>
      <c r="HB143" s="3"/>
      <c r="HC143" s="43"/>
      <c r="HD143" s="43"/>
      <c r="HE143" s="43"/>
      <c r="HF143" s="43"/>
      <c r="HG143" s="43"/>
    </row>
    <row r="144" spans="1:215">
      <c r="A144" s="631" t="s">
        <v>30</v>
      </c>
      <c r="B144" s="631"/>
      <c r="C144" s="618">
        <f t="shared" si="0"/>
        <v>2.5890939632992306E-2</v>
      </c>
      <c r="D144" s="618">
        <f t="shared" si="1"/>
        <v>9.7964819579408446E-2</v>
      </c>
      <c r="E144" s="618">
        <f t="shared" si="2"/>
        <v>0.12055956608333859</v>
      </c>
      <c r="F144" s="618">
        <f t="shared" si="3"/>
        <v>0.19860462870427456</v>
      </c>
      <c r="G144" s="618">
        <f t="shared" si="4"/>
        <v>0.2852245866025927</v>
      </c>
      <c r="H144" s="618">
        <f t="shared" si="5"/>
        <v>0.2484994187983301</v>
      </c>
      <c r="I144" s="618">
        <f t="shared" si="6"/>
        <v>0.32187214272044895</v>
      </c>
      <c r="J144" s="618">
        <f t="shared" si="7"/>
        <v>0.38851816609609657</v>
      </c>
      <c r="K144" s="618">
        <f t="shared" si="8"/>
        <v>0.40170019208006397</v>
      </c>
      <c r="L144" s="618">
        <f t="shared" si="9"/>
        <v>0.43445626634629692</v>
      </c>
      <c r="M144" s="618">
        <f t="shared" si="10"/>
        <v>0.41950153097025239</v>
      </c>
      <c r="N144" s="618">
        <f t="shared" si="11"/>
        <v>0.56180441855025609</v>
      </c>
      <c r="O144" s="618">
        <f t="shared" si="12"/>
        <v>0.48734455513264846</v>
      </c>
      <c r="P144" s="618">
        <f t="shared" si="13"/>
        <v>0.42275112164834461</v>
      </c>
      <c r="Q144" s="618">
        <f t="shared" si="14"/>
        <v>0.44399266941674281</v>
      </c>
      <c r="R144" s="618">
        <f t="shared" si="15"/>
        <v>0.52403446100632933</v>
      </c>
      <c r="S144" s="618">
        <f t="shared" si="16"/>
        <v>0.51259130004890607</v>
      </c>
      <c r="T144" s="618">
        <f t="shared" si="17"/>
        <v>0.53274818906065036</v>
      </c>
      <c r="U144" s="618">
        <f t="shared" si="18"/>
        <v>0.63925060423710178</v>
      </c>
      <c r="V144" s="618">
        <f t="shared" si="19"/>
        <v>0.64085471198622113</v>
      </c>
      <c r="W144" s="618">
        <f t="shared" si="20"/>
        <v>0.63905958734681434</v>
      </c>
      <c r="Y144" s="631" t="s">
        <v>30</v>
      </c>
      <c r="Z144" s="631"/>
      <c r="AA144" s="618">
        <f t="shared" ref="AA144:AU144" si="120">IFERROR((AA46-Z46)/Z46,0)</f>
        <v>2.5890939632992306E-2</v>
      </c>
      <c r="AB144" s="618">
        <f t="shared" si="120"/>
        <v>7.0254914203843374E-2</v>
      </c>
      <c r="AC144" s="618">
        <f t="shared" si="120"/>
        <v>2.0578752707746503E-2</v>
      </c>
      <c r="AD144" s="618">
        <f t="shared" si="120"/>
        <v>6.9648294462136218E-2</v>
      </c>
      <c r="AE144" s="618">
        <f t="shared" si="120"/>
        <v>7.2267331381789132E-2</v>
      </c>
      <c r="AF144" s="618">
        <f t="shared" si="120"/>
        <v>-2.8574902929100657E-2</v>
      </c>
      <c r="AG144" s="618">
        <f t="shared" si="120"/>
        <v>5.8768728937606943E-2</v>
      </c>
      <c r="AH144" s="618">
        <f t="shared" si="120"/>
        <v>5.041790444156595E-2</v>
      </c>
      <c r="AI144" s="618">
        <f t="shared" si="120"/>
        <v>9.4935927421313186E-3</v>
      </c>
      <c r="AJ144" s="618">
        <f t="shared" si="120"/>
        <v>2.3368816278482727E-2</v>
      </c>
      <c r="AK144" s="618">
        <f t="shared" si="120"/>
        <v>-1.0425368640994366E-2</v>
      </c>
      <c r="AL144" s="618">
        <f t="shared" si="120"/>
        <v>0.10024849179467762</v>
      </c>
      <c r="AM144" s="618">
        <f t="shared" si="120"/>
        <v>-4.7675536407257017E-2</v>
      </c>
      <c r="AN144" s="618">
        <f t="shared" si="120"/>
        <v>-4.3428695295518183E-2</v>
      </c>
      <c r="AO144" s="618">
        <f t="shared" si="120"/>
        <v>1.4929911103347808E-2</v>
      </c>
      <c r="AP144" s="618">
        <f t="shared" si="120"/>
        <v>5.5430884993285356E-2</v>
      </c>
      <c r="AQ144" s="618">
        <f t="shared" si="120"/>
        <v>-7.508466015832326E-3</v>
      </c>
      <c r="AR144" s="618">
        <f t="shared" si="120"/>
        <v>1.3326064357961463E-2</v>
      </c>
      <c r="AS144" s="618">
        <f t="shared" si="120"/>
        <v>6.9484613282578295E-2</v>
      </c>
      <c r="AT144" s="618">
        <f t="shared" si="120"/>
        <v>9.7856163357390902E-4</v>
      </c>
      <c r="AU144" s="618">
        <f t="shared" si="120"/>
        <v>-1.0940180299289549E-3</v>
      </c>
      <c r="AV144" s="565"/>
      <c r="AW144" s="631" t="s">
        <v>30</v>
      </c>
      <c r="AX144" s="631"/>
      <c r="AY144" s="618">
        <f t="shared" ref="AY144:BS144" si="121">(AY46-$AX46)/$AX46</f>
        <v>-1.5144697952327243E-2</v>
      </c>
      <c r="AZ144" s="618">
        <f t="shared" si="121"/>
        <v>1.0127634013055843E-2</v>
      </c>
      <c r="BA144" s="618">
        <f t="shared" si="121"/>
        <v>2.8278190052945986E-2</v>
      </c>
      <c r="BB144" s="618">
        <f t="shared" si="121"/>
        <v>0.10956542771481431</v>
      </c>
      <c r="BC144" s="618">
        <f t="shared" si="121"/>
        <v>0.22317926173212271</v>
      </c>
      <c r="BD144" s="618">
        <f t="shared" si="121"/>
        <v>0.15989623423844865</v>
      </c>
      <c r="BE144" s="618">
        <f t="shared" si="121"/>
        <v>9.8170703183142374E-2</v>
      </c>
      <c r="BF144" s="618">
        <f t="shared" si="121"/>
        <v>0.21180601331093585</v>
      </c>
      <c r="BG144" s="618">
        <f t="shared" si="121"/>
        <v>0.31489245997150694</v>
      </c>
      <c r="BH144" s="618">
        <f t="shared" si="121"/>
        <v>0.3257285398371218</v>
      </c>
      <c r="BI144" s="618">
        <f t="shared" si="121"/>
        <v>0.3227539390588785</v>
      </c>
      <c r="BJ144" s="618">
        <f t="shared" si="121"/>
        <v>0.52325464075357764</v>
      </c>
      <c r="BK144" s="618">
        <f t="shared" si="121"/>
        <v>0.86523714091305337</v>
      </c>
      <c r="BL144" s="618">
        <f t="shared" si="121"/>
        <v>0.48742727891301108</v>
      </c>
      <c r="BM144" s="618">
        <f t="shared" si="121"/>
        <v>0.79100677241701944</v>
      </c>
      <c r="BN144" s="618">
        <f t="shared" si="121"/>
        <v>1.0564558570243892</v>
      </c>
      <c r="BO144" s="618">
        <f t="shared" si="121"/>
        <v>1.0801958897701418</v>
      </c>
      <c r="BP144" s="618">
        <f t="shared" si="121"/>
        <v>1.1437456675668205</v>
      </c>
      <c r="BQ144" s="618">
        <f t="shared" si="121"/>
        <v>1.0984664781305151</v>
      </c>
      <c r="BR144" s="618">
        <f t="shared" si="121"/>
        <v>1.0442411065512767</v>
      </c>
      <c r="BS144" s="618">
        <f t="shared" si="121"/>
        <v>1.0466095387952115</v>
      </c>
      <c r="BU144" s="631" t="s">
        <v>30</v>
      </c>
      <c r="BV144" s="631"/>
      <c r="BW144" s="618">
        <f t="shared" si="96"/>
        <v>-1.5144697952327243E-2</v>
      </c>
      <c r="BX144" s="618">
        <f t="shared" si="97"/>
        <v>2.5660959445349827E-2</v>
      </c>
      <c r="BY144" s="618">
        <f t="shared" si="98"/>
        <v>1.7968576869619182E-2</v>
      </c>
      <c r="BZ144" s="618">
        <f t="shared" si="99"/>
        <v>7.9051795951913417E-2</v>
      </c>
      <c r="CA144" s="618">
        <f t="shared" si="100"/>
        <v>0.102394893693921</v>
      </c>
      <c r="CB144" s="618">
        <f t="shared" si="101"/>
        <v>-5.1736511134157122E-2</v>
      </c>
      <c r="CC144" s="618">
        <f t="shared" si="102"/>
        <v>-5.3216425084639855E-2</v>
      </c>
      <c r="CD144" s="618">
        <f t="shared" si="103"/>
        <v>0.10347690918944726</v>
      </c>
      <c r="CE144" s="618">
        <f t="shared" si="109"/>
        <v>8.5068439608510404E-2</v>
      </c>
      <c r="CF144" s="618">
        <f t="shared" si="110"/>
        <v>8.2410388647674339E-3</v>
      </c>
      <c r="CG144" s="618">
        <f t="shared" si="111"/>
        <v>-2.2437480139099264E-3</v>
      </c>
      <c r="CH144" s="618">
        <f t="shared" si="112"/>
        <v>0.15157823067028825</v>
      </c>
      <c r="CI144" s="618">
        <f t="shared" si="113"/>
        <v>0.22450776843869766</v>
      </c>
      <c r="CJ144" s="618">
        <f t="shared" si="114"/>
        <v>-0.20255325916097744</v>
      </c>
      <c r="CK144" s="618">
        <f t="shared" ref="CK144:CK156" si="122">(BM46-BL46)/BL46</f>
        <v>0.20409703237785148</v>
      </c>
      <c r="CL144" s="618">
        <f t="shared" ref="CL144:CL156" si="123">(BN46-BM46)/BM46</f>
        <v>0.14821221711470023</v>
      </c>
      <c r="CM144" s="618">
        <f t="shared" si="115"/>
        <v>1.1544148961263647E-2</v>
      </c>
      <c r="CN144" s="618">
        <f t="shared" si="116"/>
        <v>3.0549900665220855E-2</v>
      </c>
      <c r="CO144" s="618">
        <f t="shared" si="117"/>
        <v>-2.112153046946921E-2</v>
      </c>
      <c r="CP144" s="618">
        <f t="shared" si="118"/>
        <v>-2.5840475482623335E-2</v>
      </c>
      <c r="CQ144" s="618">
        <f t="shared" si="119"/>
        <v>1.158587524898391E-3</v>
      </c>
      <c r="CZ144" s="3"/>
      <c r="DA144" s="3"/>
      <c r="DC144" s="41"/>
      <c r="DD144" s="41"/>
      <c r="DE144" s="3"/>
      <c r="DF144" s="118"/>
      <c r="DG144" s="700"/>
      <c r="DH144" s="700"/>
      <c r="DI144" s="700"/>
      <c r="DJ144" s="700"/>
      <c r="DK144" s="43"/>
      <c r="DL144" s="43"/>
      <c r="DS144" s="3"/>
      <c r="DT144" s="3"/>
      <c r="DV144" s="41"/>
      <c r="DW144" s="41"/>
      <c r="DY144" s="118"/>
      <c r="DZ144" s="3"/>
      <c r="EA144" s="486"/>
      <c r="EB144" s="486"/>
      <c r="EC144" s="486"/>
      <c r="ED144" s="486"/>
      <c r="EE144" s="43"/>
      <c r="EF144" s="43"/>
      <c r="EL144" s="3"/>
      <c r="EM144" s="3"/>
      <c r="EO144" s="41"/>
      <c r="EP144" s="41"/>
      <c r="FC144" s="3"/>
      <c r="FE144" s="39"/>
      <c r="FF144" s="39"/>
      <c r="FH144" s="41"/>
      <c r="FI144" s="41"/>
      <c r="FM144" s="3"/>
      <c r="FN144" s="3"/>
      <c r="FO144" s="486"/>
      <c r="FP144" s="486"/>
      <c r="FQ144" s="486"/>
      <c r="FR144" s="486"/>
      <c r="FS144" s="43"/>
      <c r="FT144" s="43"/>
      <c r="FX144" s="3"/>
      <c r="FY144" s="3"/>
      <c r="GA144" s="41"/>
      <c r="GB144" s="41"/>
      <c r="GG144" s="3"/>
      <c r="GH144" s="3"/>
      <c r="GI144" s="486"/>
      <c r="GJ144" s="486"/>
      <c r="GK144" s="486"/>
      <c r="GL144" s="486"/>
      <c r="GM144" s="43"/>
      <c r="GN144" s="43"/>
      <c r="GO144" s="393"/>
      <c r="GS144" s="3"/>
      <c r="GT144" s="3"/>
      <c r="GV144" s="41"/>
      <c r="GW144" s="41"/>
      <c r="HA144" s="3"/>
      <c r="HB144" s="3"/>
      <c r="HC144" s="43"/>
      <c r="HD144" s="43"/>
      <c r="HE144" s="43"/>
      <c r="HF144" s="43"/>
      <c r="HG144" s="43"/>
    </row>
    <row r="145" spans="1:215">
      <c r="A145" s="632" t="s">
        <v>31</v>
      </c>
      <c r="B145" s="632"/>
      <c r="C145" s="616">
        <f t="shared" si="0"/>
        <v>0</v>
      </c>
      <c r="D145" s="616">
        <f t="shared" si="1"/>
        <v>0</v>
      </c>
      <c r="E145" s="616">
        <f t="shared" si="2"/>
        <v>0</v>
      </c>
      <c r="F145" s="616">
        <f t="shared" si="3"/>
        <v>0</v>
      </c>
      <c r="G145" s="616">
        <f t="shared" si="4"/>
        <v>0</v>
      </c>
      <c r="H145" s="616">
        <f t="shared" si="5"/>
        <v>0</v>
      </c>
      <c r="I145" s="616">
        <f t="shared" si="6"/>
        <v>0</v>
      </c>
      <c r="J145" s="616">
        <f t="shared" si="7"/>
        <v>0</v>
      </c>
      <c r="K145" s="616">
        <f t="shared" si="8"/>
        <v>0</v>
      </c>
      <c r="L145" s="616">
        <f t="shared" si="9"/>
        <v>0</v>
      </c>
      <c r="M145" s="616">
        <f t="shared" si="10"/>
        <v>0</v>
      </c>
      <c r="N145" s="616">
        <f t="shared" si="11"/>
        <v>0</v>
      </c>
      <c r="O145" s="616">
        <f t="shared" si="12"/>
        <v>0</v>
      </c>
      <c r="P145" s="616">
        <f t="shared" si="13"/>
        <v>0</v>
      </c>
      <c r="Q145" s="616">
        <f t="shared" si="14"/>
        <v>0</v>
      </c>
      <c r="R145" s="616">
        <f t="shared" si="15"/>
        <v>0</v>
      </c>
      <c r="S145" s="616">
        <f t="shared" si="16"/>
        <v>0</v>
      </c>
      <c r="T145" s="616">
        <f t="shared" si="17"/>
        <v>0</v>
      </c>
      <c r="U145" s="616">
        <f t="shared" si="18"/>
        <v>0</v>
      </c>
      <c r="V145" s="616">
        <f t="shared" si="19"/>
        <v>0</v>
      </c>
      <c r="W145" s="616">
        <f t="shared" si="20"/>
        <v>0</v>
      </c>
      <c r="Y145" s="632" t="s">
        <v>31</v>
      </c>
      <c r="Z145" s="632"/>
      <c r="AA145" s="616">
        <f t="shared" ref="AA145:AU145" si="124">IFERROR((AA47-Z47)/Z47,0)</f>
        <v>0</v>
      </c>
      <c r="AB145" s="616">
        <f t="shared" si="124"/>
        <v>0</v>
      </c>
      <c r="AC145" s="616">
        <f t="shared" si="124"/>
        <v>3.3715032480137492</v>
      </c>
      <c r="AD145" s="616">
        <f t="shared" si="124"/>
        <v>-0.46640665178319274</v>
      </c>
      <c r="AE145" s="616">
        <f t="shared" si="124"/>
        <v>-1.4780273655123261E-2</v>
      </c>
      <c r="AF145" s="616">
        <f t="shared" si="124"/>
        <v>-0.46165878773827629</v>
      </c>
      <c r="AG145" s="616">
        <f t="shared" si="124"/>
        <v>0.95269788541454681</v>
      </c>
      <c r="AH145" s="616">
        <f t="shared" si="124"/>
        <v>0.29385186340721675</v>
      </c>
      <c r="AI145" s="616">
        <f t="shared" si="124"/>
        <v>2.6677453134745795E-4</v>
      </c>
      <c r="AJ145" s="616">
        <f t="shared" si="124"/>
        <v>0.18236657687075539</v>
      </c>
      <c r="AK145" s="616">
        <f t="shared" si="124"/>
        <v>0.26983166078995158</v>
      </c>
      <c r="AL145" s="616">
        <f t="shared" si="124"/>
        <v>0.67177411568858802</v>
      </c>
      <c r="AM145" s="616">
        <f t="shared" si="124"/>
        <v>-0.10555305900432659</v>
      </c>
      <c r="AN145" s="616">
        <f t="shared" si="124"/>
        <v>0.44529422273840624</v>
      </c>
      <c r="AO145" s="616">
        <f t="shared" si="124"/>
        <v>-0.19495541465457394</v>
      </c>
      <c r="AP145" s="616">
        <f t="shared" si="124"/>
        <v>0.13240408139100335</v>
      </c>
      <c r="AQ145" s="616">
        <f t="shared" si="124"/>
        <v>7.7652694837952188E-2</v>
      </c>
      <c r="AR145" s="616">
        <f t="shared" si="124"/>
        <v>0.1931752525624312</v>
      </c>
      <c r="AS145" s="616">
        <f t="shared" si="124"/>
        <v>-1.6278643037384459E-2</v>
      </c>
      <c r="AT145" s="616">
        <f t="shared" si="124"/>
        <v>-0.16046778673457918</v>
      </c>
      <c r="AU145" s="616">
        <f t="shared" si="124"/>
        <v>-7.6161600446087181E-3</v>
      </c>
      <c r="AV145" s="565"/>
      <c r="AW145" s="632" t="s">
        <v>31</v>
      </c>
      <c r="AX145" s="632"/>
      <c r="AY145" s="616">
        <f t="shared" ref="AY145:BS145" si="125">(AY47-$AX47)/$AX47</f>
        <v>8.6980648202906168E-3</v>
      </c>
      <c r="AZ145" s="616">
        <f t="shared" si="125"/>
        <v>1.8877142066126621E-2</v>
      </c>
      <c r="BA145" s="616">
        <f t="shared" si="125"/>
        <v>0.11350618396725963</v>
      </c>
      <c r="BB145" s="616">
        <f t="shared" si="125"/>
        <v>0.21360236860570586</v>
      </c>
      <c r="BC145" s="616">
        <f t="shared" si="125"/>
        <v>0.27039405558228324</v>
      </c>
      <c r="BD145" s="616">
        <f t="shared" si="125"/>
        <v>0.3141713066933508</v>
      </c>
      <c r="BE145" s="616">
        <f t="shared" si="125"/>
        <v>0.30927527125131521</v>
      </c>
      <c r="BF145" s="616">
        <f t="shared" si="125"/>
        <v>0.34056449496820135</v>
      </c>
      <c r="BG145" s="616">
        <f t="shared" si="125"/>
        <v>0.3808908865319181</v>
      </c>
      <c r="BH145" s="616">
        <f t="shared" si="125"/>
        <v>0.3726901900331529</v>
      </c>
      <c r="BI145" s="616">
        <f t="shared" si="125"/>
        <v>0.42972985688230064</v>
      </c>
      <c r="BJ145" s="616">
        <f t="shared" si="125"/>
        <v>0.36338011051173835</v>
      </c>
      <c r="BK145" s="616">
        <f t="shared" si="125"/>
        <v>0.27379384249754307</v>
      </c>
      <c r="BL145" s="616">
        <f t="shared" si="125"/>
        <v>0.31296511925864556</v>
      </c>
      <c r="BM145" s="616">
        <f t="shared" si="125"/>
        <v>0.33300059237679863</v>
      </c>
      <c r="BN145" s="616">
        <f t="shared" si="125"/>
        <v>0.32892511136967872</v>
      </c>
      <c r="BO145" s="616">
        <f t="shared" si="125"/>
        <v>0.35096448394374352</v>
      </c>
      <c r="BP145" s="616">
        <f t="shared" si="125"/>
        <v>0.42211752273952902</v>
      </c>
      <c r="BQ145" s="616">
        <f t="shared" si="125"/>
        <v>0.49158360350415314</v>
      </c>
      <c r="BR145" s="616">
        <f t="shared" si="125"/>
        <v>0.51370352317116386</v>
      </c>
      <c r="BS145" s="616">
        <f t="shared" si="125"/>
        <v>0.49661240900860665</v>
      </c>
      <c r="BU145" s="632" t="s">
        <v>31</v>
      </c>
      <c r="BV145" s="632"/>
      <c r="BW145" s="616">
        <f t="shared" si="96"/>
        <v>8.6980648202906168E-3</v>
      </c>
      <c r="BX145" s="616">
        <f t="shared" si="97"/>
        <v>1.0091302443065067E-2</v>
      </c>
      <c r="BY145" s="616">
        <f t="shared" si="98"/>
        <v>9.2875812003437253E-2</v>
      </c>
      <c r="BZ145" s="616">
        <f t="shared" si="99"/>
        <v>8.9892796357733881E-2</v>
      </c>
      <c r="CA145" s="616">
        <f t="shared" si="100"/>
        <v>4.6795959241431519E-2</v>
      </c>
      <c r="CB145" s="616">
        <f t="shared" si="101"/>
        <v>3.4459584346057386E-2</v>
      </c>
      <c r="CC145" s="616">
        <f t="shared" si="102"/>
        <v>-3.7255686660476336E-3</v>
      </c>
      <c r="CD145" s="616">
        <f t="shared" si="103"/>
        <v>2.3898124713668548E-2</v>
      </c>
      <c r="CE145" s="616">
        <f t="shared" si="109"/>
        <v>3.0081649719264966E-2</v>
      </c>
      <c r="CF145" s="616">
        <f t="shared" si="110"/>
        <v>-5.9386998485891195E-3</v>
      </c>
      <c r="CG145" s="616">
        <f t="shared" si="111"/>
        <v>4.1553197701347369E-2</v>
      </c>
      <c r="CH145" s="616">
        <f t="shared" si="112"/>
        <v>-4.6407190876775785E-2</v>
      </c>
      <c r="CI145" s="616">
        <f t="shared" si="113"/>
        <v>-6.5708944500128805E-2</v>
      </c>
      <c r="CJ145" s="616">
        <f t="shared" si="114"/>
        <v>3.0751661261212336E-2</v>
      </c>
      <c r="CK145" s="616">
        <f t="shared" si="122"/>
        <v>1.5259714690262223E-2</v>
      </c>
      <c r="CL145" s="616">
        <f t="shared" si="123"/>
        <v>-3.0573737404370888E-3</v>
      </c>
      <c r="CM145" s="616">
        <f t="shared" si="115"/>
        <v>1.658436008583624E-2</v>
      </c>
      <c r="CN145" s="616">
        <f t="shared" si="116"/>
        <v>5.2668326696550243E-2</v>
      </c>
      <c r="CO145" s="616">
        <f t="shared" si="117"/>
        <v>4.8846933993757828E-2</v>
      </c>
      <c r="CP145" s="616">
        <f t="shared" si="118"/>
        <v>1.4829822220520986E-2</v>
      </c>
      <c r="CQ145" s="616">
        <f t="shared" si="119"/>
        <v>-1.1290925799493284E-2</v>
      </c>
      <c r="CZ145" s="3"/>
      <c r="DA145" s="3"/>
      <c r="DC145" s="41"/>
      <c r="DD145" s="41"/>
      <c r="DE145" s="3"/>
      <c r="DF145" s="118"/>
      <c r="DG145" s="700"/>
      <c r="DH145" s="700"/>
      <c r="DI145" s="700"/>
      <c r="DJ145" s="700"/>
      <c r="DK145" s="43"/>
      <c r="DL145" s="43"/>
      <c r="DS145" s="3"/>
      <c r="DT145" s="3"/>
      <c r="DV145" s="41"/>
      <c r="DW145" s="41"/>
      <c r="DY145" s="118"/>
      <c r="DZ145" s="3"/>
      <c r="EA145" s="486"/>
      <c r="EB145" s="486"/>
      <c r="EC145" s="486"/>
      <c r="ED145" s="486"/>
      <c r="EE145" s="43"/>
      <c r="EF145" s="43"/>
      <c r="EL145" s="3"/>
      <c r="EM145" s="3"/>
      <c r="EO145" s="41"/>
      <c r="EP145" s="41"/>
      <c r="FC145" s="3"/>
      <c r="FE145" s="39"/>
      <c r="FF145" s="39"/>
      <c r="FH145" s="41"/>
      <c r="FI145" s="41"/>
      <c r="FM145" s="3"/>
      <c r="FN145" s="3"/>
      <c r="FO145" s="486"/>
      <c r="FP145" s="486"/>
      <c r="FQ145" s="486"/>
      <c r="FR145" s="486"/>
      <c r="FS145" s="43"/>
      <c r="FT145" s="43"/>
      <c r="FX145" s="3"/>
      <c r="FY145" s="3"/>
      <c r="GA145" s="41"/>
      <c r="GB145" s="41"/>
      <c r="GG145" s="3"/>
      <c r="GH145" s="3"/>
      <c r="GI145" s="486"/>
      <c r="GJ145" s="486"/>
      <c r="GK145" s="486"/>
      <c r="GL145" s="486"/>
      <c r="GM145" s="43"/>
      <c r="GN145" s="43"/>
      <c r="GO145" s="393"/>
      <c r="GS145" s="3"/>
      <c r="GT145" s="3"/>
      <c r="GV145" s="41"/>
      <c r="GW145" s="41"/>
      <c r="HA145" s="3"/>
      <c r="HB145" s="3"/>
      <c r="HC145" s="43"/>
      <c r="HD145" s="43"/>
      <c r="HE145" s="43"/>
      <c r="HF145" s="43"/>
      <c r="HG145" s="43"/>
    </row>
    <row r="146" spans="1:215">
      <c r="A146" s="631" t="s">
        <v>32</v>
      </c>
      <c r="B146" s="631"/>
      <c r="C146" s="618">
        <f t="shared" si="0"/>
        <v>0.29868022353427487</v>
      </c>
      <c r="D146" s="618">
        <f t="shared" si="1"/>
        <v>0.44131055353201298</v>
      </c>
      <c r="E146" s="618">
        <f t="shared" si="2"/>
        <v>0.37102395037944652</v>
      </c>
      <c r="F146" s="618">
        <f t="shared" si="3"/>
        <v>0.28040350822459487</v>
      </c>
      <c r="G146" s="618">
        <f t="shared" si="4"/>
        <v>0.409920649622113</v>
      </c>
      <c r="H146" s="618">
        <f t="shared" si="5"/>
        <v>0.55286722582733416</v>
      </c>
      <c r="I146" s="618">
        <f t="shared" si="6"/>
        <v>0.5091147153564769</v>
      </c>
      <c r="J146" s="618">
        <f t="shared" si="7"/>
        <v>0.70629148370290051</v>
      </c>
      <c r="K146" s="618">
        <f t="shared" si="8"/>
        <v>0.57979300070975626</v>
      </c>
      <c r="L146" s="618">
        <f t="shared" si="9"/>
        <v>0.9232034778064625</v>
      </c>
      <c r="M146" s="618">
        <f t="shared" si="10"/>
        <v>0.93642610343724875</v>
      </c>
      <c r="N146" s="618">
        <f t="shared" si="11"/>
        <v>1.1693393025668222</v>
      </c>
      <c r="O146" s="618">
        <f t="shared" si="12"/>
        <v>1.3575027493311909</v>
      </c>
      <c r="P146" s="618">
        <f t="shared" si="13"/>
        <v>1.5893069540530209</v>
      </c>
      <c r="Q146" s="618">
        <f t="shared" si="14"/>
        <v>1.3230386154290124</v>
      </c>
      <c r="R146" s="618">
        <f t="shared" si="15"/>
        <v>1.6726034021511076</v>
      </c>
      <c r="S146" s="618">
        <f t="shared" si="16"/>
        <v>1.2785691583536769</v>
      </c>
      <c r="T146" s="618">
        <f t="shared" si="17"/>
        <v>1.7377050299111632</v>
      </c>
      <c r="U146" s="618">
        <f t="shared" si="18"/>
        <v>1.6329233385070154</v>
      </c>
      <c r="V146" s="618">
        <f t="shared" si="19"/>
        <v>1.7561435852838634</v>
      </c>
      <c r="W146" s="618">
        <f t="shared" si="20"/>
        <v>1.553124488156427</v>
      </c>
      <c r="Y146" s="631" t="s">
        <v>32</v>
      </c>
      <c r="Z146" s="631"/>
      <c r="AA146" s="618">
        <f t="shared" ref="AA146:AU146" si="126">IFERROR((AA48-Z48)/Z48,0)</f>
        <v>0.29868022353427487</v>
      </c>
      <c r="AB146" s="618">
        <f t="shared" si="126"/>
        <v>0.10982713635969511</v>
      </c>
      <c r="AC146" s="618">
        <f t="shared" si="126"/>
        <v>-4.8765759038067964E-2</v>
      </c>
      <c r="AD146" s="618">
        <f t="shared" si="126"/>
        <v>-6.6096906716889517E-2</v>
      </c>
      <c r="AE146" s="618">
        <f t="shared" si="126"/>
        <v>0.10115337904463131</v>
      </c>
      <c r="AF146" s="618">
        <f t="shared" si="126"/>
        <v>0.10138625620068313</v>
      </c>
      <c r="AG146" s="618">
        <f t="shared" si="126"/>
        <v>-2.817530677649974E-2</v>
      </c>
      <c r="AH146" s="618">
        <f t="shared" si="126"/>
        <v>0.13065724317706842</v>
      </c>
      <c r="AI146" s="618">
        <f t="shared" si="126"/>
        <v>-7.4136502585492675E-2</v>
      </c>
      <c r="AJ146" s="618">
        <f t="shared" si="126"/>
        <v>0.21737688225129598</v>
      </c>
      <c r="AK146" s="618">
        <f t="shared" si="126"/>
        <v>6.8753128742609828E-3</v>
      </c>
      <c r="AL146" s="618">
        <f t="shared" si="126"/>
        <v>0.12027993152754003</v>
      </c>
      <c r="AM146" s="618">
        <f t="shared" si="126"/>
        <v>8.6737674711248935E-2</v>
      </c>
      <c r="AN146" s="618">
        <f t="shared" si="126"/>
        <v>9.8326165171002025E-2</v>
      </c>
      <c r="AO146" s="618">
        <f t="shared" si="126"/>
        <v>-0.10283382516978948</v>
      </c>
      <c r="AP146" s="618">
        <f t="shared" si="126"/>
        <v>0.150477389570874</v>
      </c>
      <c r="AQ146" s="618">
        <f t="shared" si="126"/>
        <v>-0.14743461131579907</v>
      </c>
      <c r="AR146" s="618">
        <f t="shared" si="126"/>
        <v>0.2015018371833065</v>
      </c>
      <c r="AS146" s="618">
        <f t="shared" si="126"/>
        <v>-3.8273550385940547E-2</v>
      </c>
      <c r="AT146" s="618">
        <f t="shared" si="126"/>
        <v>4.6799785232911208E-2</v>
      </c>
      <c r="AU146" s="618">
        <f t="shared" si="126"/>
        <v>-7.3660566238796604E-2</v>
      </c>
      <c r="AV146" s="565"/>
      <c r="AW146" s="631" t="s">
        <v>32</v>
      </c>
      <c r="AX146" s="631"/>
      <c r="AY146" s="618">
        <f t="shared" ref="AY146:BS146" si="127">(AY48-$AX48)/$AX48</f>
        <v>-4.4515239737252191E-3</v>
      </c>
      <c r="AZ146" s="618">
        <f t="shared" si="127"/>
        <v>3.8782380923973452E-2</v>
      </c>
      <c r="BA146" s="618">
        <f t="shared" si="127"/>
        <v>0.67083017048699178</v>
      </c>
      <c r="BB146" s="618">
        <f t="shared" si="127"/>
        <v>0.71643281102540313</v>
      </c>
      <c r="BC146" s="618">
        <f t="shared" si="127"/>
        <v>0.85957101896105736</v>
      </c>
      <c r="BD146" s="618">
        <f t="shared" si="127"/>
        <v>0.95348407769925114</v>
      </c>
      <c r="BE146" s="618">
        <f t="shared" si="127"/>
        <v>1.023029456261656</v>
      </c>
      <c r="BF146" s="618">
        <f t="shared" si="127"/>
        <v>1.1087744401682926</v>
      </c>
      <c r="BG146" s="618">
        <f t="shared" si="127"/>
        <v>1.0956997024166502</v>
      </c>
      <c r="BH146" s="618">
        <f t="shared" si="127"/>
        <v>1.1523384545270003</v>
      </c>
      <c r="BI146" s="618">
        <f t="shared" si="127"/>
        <v>1.2953911575775194</v>
      </c>
      <c r="BJ146" s="618">
        <f t="shared" si="127"/>
        <v>1.163819033403241</v>
      </c>
      <c r="BK146" s="618">
        <f t="shared" si="127"/>
        <v>1.0466918331214465</v>
      </c>
      <c r="BL146" s="618">
        <f t="shared" si="127"/>
        <v>1.1960790121000084</v>
      </c>
      <c r="BM146" s="618">
        <f t="shared" si="127"/>
        <v>1.2580272355061184</v>
      </c>
      <c r="BN146" s="618">
        <f t="shared" si="127"/>
        <v>1.2658267566155224</v>
      </c>
      <c r="BO146" s="618">
        <f t="shared" si="127"/>
        <v>1.2937917287554221</v>
      </c>
      <c r="BP146" s="618">
        <f t="shared" si="127"/>
        <v>1.5113667480276172</v>
      </c>
      <c r="BQ146" s="618">
        <f t="shared" si="127"/>
        <v>0.86270745408664351</v>
      </c>
      <c r="BR146" s="618">
        <f t="shared" si="127"/>
        <v>0.79024568702292497</v>
      </c>
      <c r="BS146" s="618">
        <f t="shared" si="127"/>
        <v>0.77860700974581787</v>
      </c>
      <c r="BU146" s="631" t="s">
        <v>32</v>
      </c>
      <c r="BV146" s="631"/>
      <c r="BW146" s="618">
        <f t="shared" si="96"/>
        <v>-4.4515239737252191E-3</v>
      </c>
      <c r="BX146" s="618">
        <f t="shared" si="97"/>
        <v>4.3427222218516685E-2</v>
      </c>
      <c r="BY146" s="618">
        <f t="shared" si="98"/>
        <v>0.60845062562653995</v>
      </c>
      <c r="BZ146" s="618">
        <f t="shared" si="99"/>
        <v>2.7293402611421394E-2</v>
      </c>
      <c r="CA146" s="618">
        <f t="shared" si="100"/>
        <v>8.3392840672943655E-2</v>
      </c>
      <c r="CB146" s="618">
        <f t="shared" si="101"/>
        <v>5.0502539446255192E-2</v>
      </c>
      <c r="CC146" s="618">
        <f t="shared" si="102"/>
        <v>3.5600688716292503E-2</v>
      </c>
      <c r="CD146" s="618">
        <f t="shared" si="103"/>
        <v>4.2384446574042681E-2</v>
      </c>
      <c r="CE146" s="618">
        <f t="shared" si="109"/>
        <v>-6.2001594398114713E-3</v>
      </c>
      <c r="CF146" s="618">
        <f t="shared" si="110"/>
        <v>2.7026177483843387E-2</v>
      </c>
      <c r="CG146" s="618">
        <f t="shared" si="111"/>
        <v>6.646385132860369E-2</v>
      </c>
      <c r="CH146" s="618">
        <f t="shared" si="112"/>
        <v>-5.7320132013201318E-2</v>
      </c>
      <c r="CI146" s="618">
        <f t="shared" si="113"/>
        <v>-5.4129850266441952E-2</v>
      </c>
      <c r="CJ146" s="618">
        <f t="shared" si="114"/>
        <v>7.2989580825526146E-2</v>
      </c>
      <c r="CK146" s="618">
        <f t="shared" si="122"/>
        <v>2.8208558555856186E-2</v>
      </c>
      <c r="CL146" s="618">
        <f t="shared" si="123"/>
        <v>3.454130661827772E-3</v>
      </c>
      <c r="CM146" s="618">
        <f t="shared" si="115"/>
        <v>1.2342061041626691E-2</v>
      </c>
      <c r="CN146" s="618">
        <f t="shared" si="116"/>
        <v>9.4853868616157272E-2</v>
      </c>
      <c r="CO146" s="618">
        <f t="shared" si="117"/>
        <v>-0.25828935357626248</v>
      </c>
      <c r="CP146" s="618">
        <f t="shared" si="118"/>
        <v>-3.8901313732729585E-2</v>
      </c>
      <c r="CQ146" s="618">
        <f t="shared" si="119"/>
        <v>-6.5011620256778977E-3</v>
      </c>
      <c r="CZ146" s="3"/>
      <c r="DA146" s="3"/>
      <c r="DC146" s="41"/>
      <c r="DD146" s="41"/>
      <c r="DE146" s="3"/>
      <c r="DF146" s="118"/>
      <c r="DG146" s="700"/>
      <c r="DH146" s="700"/>
      <c r="DI146" s="700"/>
      <c r="DJ146" s="700"/>
      <c r="DK146" s="43"/>
      <c r="DL146" s="43"/>
      <c r="DS146" s="3"/>
      <c r="DT146" s="3"/>
      <c r="DV146" s="41"/>
      <c r="DW146" s="41"/>
      <c r="DY146" s="118"/>
      <c r="DZ146" s="3"/>
      <c r="EA146" s="486"/>
      <c r="EB146" s="486"/>
      <c r="EC146" s="486"/>
      <c r="ED146" s="486"/>
      <c r="EE146" s="43"/>
      <c r="EF146" s="43"/>
      <c r="EL146" s="3"/>
      <c r="EM146" s="3"/>
      <c r="EO146" s="41"/>
      <c r="EP146" s="41"/>
      <c r="FC146" s="3"/>
      <c r="FE146" s="39"/>
      <c r="FF146" s="39"/>
      <c r="FH146" s="41"/>
      <c r="FI146" s="41"/>
      <c r="FM146" s="3"/>
      <c r="FN146" s="3"/>
      <c r="FO146" s="486"/>
      <c r="FP146" s="486"/>
      <c r="FQ146" s="486"/>
      <c r="FR146" s="486"/>
      <c r="FS146" s="43"/>
      <c r="FT146" s="43"/>
      <c r="FX146" s="3"/>
      <c r="FY146" s="3"/>
      <c r="GA146" s="41"/>
      <c r="GB146" s="41"/>
      <c r="GG146" s="3"/>
      <c r="GH146" s="3"/>
      <c r="GI146" s="486"/>
      <c r="GJ146" s="486"/>
      <c r="GK146" s="486"/>
      <c r="GL146" s="486"/>
      <c r="GM146" s="43"/>
      <c r="GN146" s="43"/>
      <c r="GO146" s="393"/>
      <c r="GS146" s="3"/>
      <c r="GT146" s="3"/>
      <c r="GV146" s="41"/>
      <c r="GW146" s="41"/>
      <c r="HA146" s="3"/>
      <c r="HB146" s="3"/>
      <c r="HC146" s="43"/>
      <c r="HD146" s="43"/>
      <c r="HE146" s="43"/>
      <c r="HF146" s="43"/>
      <c r="HG146" s="43"/>
    </row>
    <row r="147" spans="1:215">
      <c r="A147" s="632" t="s">
        <v>33</v>
      </c>
      <c r="B147" s="632"/>
      <c r="C147" s="616">
        <f t="shared" ref="C147:C178" si="128">IFERROR((AA49-$Z49)/$Z49,0)</f>
        <v>9.4996187201701221E-2</v>
      </c>
      <c r="D147" s="616">
        <f t="shared" ref="D147:D178" si="129">IFERROR((AB49-$Z49)/$Z49,0)</f>
        <v>0.11563737135167607</v>
      </c>
      <c r="E147" s="616">
        <f t="shared" ref="E147:E178" si="130">IFERROR((AC49-$Z49)/$Z49,0)</f>
        <v>0.15957794045259396</v>
      </c>
      <c r="F147" s="616">
        <f t="shared" ref="F147:F178" si="131">IFERROR((AD49-$Z49)/$Z49,0)</f>
        <v>0.40338387422652483</v>
      </c>
      <c r="G147" s="616">
        <f t="shared" ref="G147:G178" si="132">IFERROR((AE49-$Z49)/$Z49,0)</f>
        <v>0.41631877671834283</v>
      </c>
      <c r="H147" s="616">
        <f t="shared" ref="H147:H178" si="133">IFERROR((AF49-$Z49)/$Z49,0)</f>
        <v>0.4179031795292959</v>
      </c>
      <c r="I147" s="616">
        <f t="shared" ref="I147:I178" si="134">IFERROR((AG49-$Z49)/$Z49,0)</f>
        <v>0.55659793787296086</v>
      </c>
      <c r="J147" s="616">
        <f t="shared" ref="J147:J178" si="135">IFERROR((AH49-$Z49)/$Z49,0)</f>
        <v>0.56032518711781154</v>
      </c>
      <c r="K147" s="616">
        <f t="shared" ref="K147:K178" si="136">IFERROR((AI49-$Z49)/$Z49,0)</f>
        <v>0.48911907592830439</v>
      </c>
      <c r="L147" s="616">
        <f t="shared" ref="L147:L178" si="137">IFERROR((AJ49-$Z49)/$Z49,0)</f>
        <v>0.59017780126228059</v>
      </c>
      <c r="M147" s="616">
        <f t="shared" ref="M147:M178" si="138">IFERROR((AK49-$Z49)/$Z49,0)</f>
        <v>0.71163548389348774</v>
      </c>
      <c r="N147" s="616">
        <f t="shared" ref="N147:N178" si="139">IFERROR((AL49-$Z49)/$Z49,0)</f>
        <v>0.70523830304095692</v>
      </c>
      <c r="O147" s="616">
        <f t="shared" ref="O147:O178" si="140">IFERROR((AM49-$Z49)/$Z49,0)</f>
        <v>0.84129837942052577</v>
      </c>
      <c r="P147" s="616">
        <f t="shared" ref="P147:P178" si="141">IFERROR((AN49-$Z49)/$Z49,0)</f>
        <v>1.0456529235402039</v>
      </c>
      <c r="Q147" s="616">
        <f t="shared" ref="Q147:Q178" si="142">IFERROR((AO49-$Z49)/$Z49,0)</f>
        <v>1.1142373424881693</v>
      </c>
      <c r="R147" s="616">
        <f t="shared" ref="R147:R178" si="143">IFERROR((AP49-$Z49)/$Z49,0)</f>
        <v>1.1484220577162556</v>
      </c>
      <c r="S147" s="616">
        <f t="shared" ref="S147:S178" si="144">IFERROR((AQ49-$Z49)/$Z49,0)</f>
        <v>1.2189196854037978</v>
      </c>
      <c r="T147" s="616">
        <f t="shared" ref="T147:T178" si="145">IFERROR((AR49-$Z49)/$Z49,0)</f>
        <v>1.6956129758515908</v>
      </c>
      <c r="U147" s="616">
        <f t="shared" ref="U147:U178" si="146">IFERROR((AS49-$Z49)/$Z49,0)</f>
        <v>1.8351100069274704</v>
      </c>
      <c r="V147" s="616">
        <f t="shared" ref="V147:V178" si="147">IFERROR((AT49-$Z49)/$Z49,0)</f>
        <v>1.9901845765184494</v>
      </c>
      <c r="W147" s="616">
        <f t="shared" ref="W147:W178" si="148">IFERROR((AU49-$Z49)/$Z49,0)</f>
        <v>2.1601648813523315</v>
      </c>
      <c r="Y147" s="632" t="s">
        <v>33</v>
      </c>
      <c r="Z147" s="632"/>
      <c r="AA147" s="616">
        <f t="shared" ref="AA147:AU147" si="149">IFERROR((AA49-Z49)/Z49,0)</f>
        <v>9.4996187201701221E-2</v>
      </c>
      <c r="AB147" s="616">
        <f t="shared" si="149"/>
        <v>1.8850462121447264E-2</v>
      </c>
      <c r="AC147" s="616">
        <f t="shared" si="149"/>
        <v>3.9386067757555203E-2</v>
      </c>
      <c r="AD147" s="616">
        <f t="shared" si="149"/>
        <v>0.2102540288743085</v>
      </c>
      <c r="AE147" s="616">
        <f t="shared" si="149"/>
        <v>9.2169382371926224E-3</v>
      </c>
      <c r="AF147" s="616">
        <f t="shared" si="149"/>
        <v>1.1186766969398028E-3</v>
      </c>
      <c r="AG147" s="616">
        <f t="shared" si="149"/>
        <v>9.7816804663424031E-2</v>
      </c>
      <c r="AH147" s="616">
        <f t="shared" si="149"/>
        <v>2.39448424937772E-3</v>
      </c>
      <c r="AI147" s="616">
        <f t="shared" si="149"/>
        <v>-4.5635430215054777E-2</v>
      </c>
      <c r="AJ147" s="616">
        <f t="shared" si="149"/>
        <v>6.7864771170819252E-2</v>
      </c>
      <c r="AK147" s="616">
        <f t="shared" si="149"/>
        <v>7.6379938479077175E-2</v>
      </c>
      <c r="AL147" s="616">
        <f t="shared" si="149"/>
        <v>-3.7374668337554675E-3</v>
      </c>
      <c r="AM147" s="616">
        <f t="shared" si="149"/>
        <v>7.9789479357185722E-2</v>
      </c>
      <c r="AN147" s="616">
        <f t="shared" si="149"/>
        <v>0.11098393742354265</v>
      </c>
      <c r="AO147" s="616">
        <f t="shared" si="149"/>
        <v>3.352690877261498E-2</v>
      </c>
      <c r="AP147" s="616">
        <f t="shared" si="149"/>
        <v>1.6168816310781556E-2</v>
      </c>
      <c r="AQ147" s="616">
        <f t="shared" si="149"/>
        <v>3.2813677105177505E-2</v>
      </c>
      <c r="AR147" s="616">
        <f t="shared" si="149"/>
        <v>0.21483125035282399</v>
      </c>
      <c r="AS147" s="616">
        <f t="shared" si="149"/>
        <v>5.1749651127796066E-2</v>
      </c>
      <c r="AT147" s="616">
        <f t="shared" si="149"/>
        <v>5.4697902096236491E-2</v>
      </c>
      <c r="AU147" s="616">
        <f t="shared" si="149"/>
        <v>5.6846091097090323E-2</v>
      </c>
      <c r="AV147" s="565"/>
      <c r="AW147" s="632" t="s">
        <v>33</v>
      </c>
      <c r="AX147" s="632"/>
      <c r="AY147" s="616">
        <f t="shared" ref="AY147:BS147" si="150">(AY49-$AX49)/$AX49</f>
        <v>7.9353384527391366E-2</v>
      </c>
      <c r="AZ147" s="616">
        <f t="shared" si="150"/>
        <v>-2.7300489265371178E-4</v>
      </c>
      <c r="BA147" s="616">
        <f t="shared" si="150"/>
        <v>-6.076051040633689E-3</v>
      </c>
      <c r="BB147" s="616">
        <f t="shared" si="150"/>
        <v>9.9574398157705829E-2</v>
      </c>
      <c r="BC147" s="616">
        <f t="shared" si="150"/>
        <v>0.47364596529979974</v>
      </c>
      <c r="BD147" s="616">
        <f t="shared" si="150"/>
        <v>0.66097229602003249</v>
      </c>
      <c r="BE147" s="616">
        <f t="shared" si="150"/>
        <v>0.14565608227449939</v>
      </c>
      <c r="BF147" s="616">
        <f t="shared" si="150"/>
        <v>0.2260856550970502</v>
      </c>
      <c r="BG147" s="616">
        <f t="shared" si="150"/>
        <v>0.24297450487780037</v>
      </c>
      <c r="BH147" s="616">
        <f t="shared" si="150"/>
        <v>0.28796033381804875</v>
      </c>
      <c r="BI147" s="616">
        <f t="shared" si="150"/>
        <v>0.34018872685334045</v>
      </c>
      <c r="BJ147" s="616">
        <f t="shared" si="150"/>
        <v>0.48646241689050435</v>
      </c>
      <c r="BK147" s="616">
        <f t="shared" si="150"/>
        <v>0.31272364496879435</v>
      </c>
      <c r="BL147" s="616">
        <f t="shared" si="150"/>
        <v>0.45244205884797217</v>
      </c>
      <c r="BM147" s="616">
        <f t="shared" si="150"/>
        <v>0.364691292008816</v>
      </c>
      <c r="BN147" s="616">
        <f t="shared" si="150"/>
        <v>0.68560647510447337</v>
      </c>
      <c r="BO147" s="616">
        <f t="shared" si="150"/>
        <v>0.31650570283154211</v>
      </c>
      <c r="BP147" s="616">
        <f t="shared" si="150"/>
        <v>0.42603759721098805</v>
      </c>
      <c r="BQ147" s="616">
        <f t="shared" si="150"/>
        <v>0.27910790574788125</v>
      </c>
      <c r="BR147" s="616">
        <f t="shared" si="150"/>
        <v>0.25604339198426052</v>
      </c>
      <c r="BS147" s="616">
        <f t="shared" si="150"/>
        <v>0.23717093227410449</v>
      </c>
      <c r="BU147" s="632" t="s">
        <v>33</v>
      </c>
      <c r="BV147" s="632"/>
      <c r="BW147" s="616">
        <f t="shared" si="96"/>
        <v>7.9353384527391366E-2</v>
      </c>
      <c r="BX147" s="616">
        <f t="shared" si="97"/>
        <v>-7.3772307162320611E-2</v>
      </c>
      <c r="BY147" s="616">
        <f t="shared" si="98"/>
        <v>-5.8046308405995091E-3</v>
      </c>
      <c r="BZ147" s="616">
        <f t="shared" si="99"/>
        <v>0.1062963110094641</v>
      </c>
      <c r="CA147" s="616">
        <f t="shared" si="100"/>
        <v>0.34019668679885262</v>
      </c>
      <c r="CB147" s="616">
        <f t="shared" si="101"/>
        <v>0.12711759481669191</v>
      </c>
      <c r="CC147" s="616">
        <f t="shared" si="102"/>
        <v>-0.3102497344358584</v>
      </c>
      <c r="CD147" s="616">
        <f t="shared" si="103"/>
        <v>7.0203941712483189E-2</v>
      </c>
      <c r="CE147" s="616">
        <f t="shared" si="109"/>
        <v>1.3774608413808865E-2</v>
      </c>
      <c r="CF147" s="616">
        <f t="shared" si="110"/>
        <v>3.6192076960316268E-2</v>
      </c>
      <c r="CG147" s="616">
        <f t="shared" si="111"/>
        <v>4.0551243438115114E-2</v>
      </c>
      <c r="CH147" s="616">
        <f t="shared" si="112"/>
        <v>0.10914409822010904</v>
      </c>
      <c r="CI147" s="616">
        <f t="shared" si="113"/>
        <v>-0.11688070276620245</v>
      </c>
      <c r="CJ147" s="616">
        <f t="shared" si="114"/>
        <v>0.10643398891660789</v>
      </c>
      <c r="CK147" s="616">
        <f t="shared" si="122"/>
        <v>-6.041601887290228E-2</v>
      </c>
      <c r="CL147" s="616">
        <f t="shared" si="123"/>
        <v>0.23515588102219989</v>
      </c>
      <c r="CM147" s="616">
        <f t="shared" si="115"/>
        <v>-0.21897208970442197</v>
      </c>
      <c r="CN147" s="616">
        <f t="shared" si="116"/>
        <v>8.3198951697561654E-2</v>
      </c>
      <c r="CO147" s="616">
        <f t="shared" si="117"/>
        <v>-0.10303353274168127</v>
      </c>
      <c r="CP147" s="616">
        <f t="shared" si="118"/>
        <v>-1.8031718559455821E-2</v>
      </c>
      <c r="CQ147" s="616">
        <f t="shared" si="119"/>
        <v>-1.5025324626995452E-2</v>
      </c>
      <c r="CZ147" s="3"/>
      <c r="DA147" s="3"/>
      <c r="DC147" s="41"/>
      <c r="DD147" s="41"/>
      <c r="DE147" s="3"/>
      <c r="DF147" s="118"/>
      <c r="DG147" s="700"/>
      <c r="DH147" s="700"/>
      <c r="DI147" s="700"/>
      <c r="DJ147" s="700"/>
      <c r="DK147" s="43"/>
      <c r="DL147" s="43"/>
      <c r="DS147" s="3"/>
      <c r="DT147" s="3"/>
      <c r="DV147" s="41"/>
      <c r="DW147" s="41"/>
      <c r="DY147" s="118"/>
      <c r="DZ147" s="3"/>
      <c r="EA147" s="486"/>
      <c r="EB147" s="486"/>
      <c r="EC147" s="486"/>
      <c r="ED147" s="486"/>
      <c r="EE147" s="43"/>
      <c r="EF147" s="43"/>
      <c r="EL147" s="3"/>
      <c r="EM147" s="3"/>
      <c r="EO147" s="41"/>
      <c r="EP147" s="41"/>
      <c r="FC147" s="3"/>
      <c r="FE147" s="39"/>
      <c r="FF147" s="39"/>
      <c r="FH147" s="41"/>
      <c r="FI147" s="41"/>
      <c r="FM147" s="3"/>
      <c r="FN147" s="3"/>
      <c r="FO147" s="486"/>
      <c r="FP147" s="486"/>
      <c r="FQ147" s="486"/>
      <c r="FR147" s="486"/>
      <c r="FS147" s="43"/>
      <c r="FT147" s="43"/>
      <c r="FX147" s="3"/>
      <c r="FY147" s="3"/>
      <c r="GA147" s="41"/>
      <c r="GB147" s="41"/>
      <c r="GG147" s="3"/>
      <c r="GH147" s="3"/>
      <c r="GI147" s="486"/>
      <c r="GJ147" s="486"/>
      <c r="GK147" s="486"/>
      <c r="GL147" s="486"/>
      <c r="GM147" s="43"/>
      <c r="GN147" s="43"/>
      <c r="GO147" s="393"/>
      <c r="GS147" s="3"/>
      <c r="GT147" s="3"/>
      <c r="GV147" s="41"/>
      <c r="GW147" s="41"/>
      <c r="HA147" s="3"/>
      <c r="HB147" s="3"/>
      <c r="HC147" s="43"/>
      <c r="HD147" s="43"/>
      <c r="HE147" s="43"/>
      <c r="HF147" s="43"/>
      <c r="HG147" s="43"/>
    </row>
    <row r="148" spans="1:215">
      <c r="A148" s="631" t="s">
        <v>34</v>
      </c>
      <c r="B148" s="631"/>
      <c r="C148" s="618">
        <f t="shared" si="128"/>
        <v>9.1251378748883824E-2</v>
      </c>
      <c r="D148" s="618">
        <f t="shared" si="129"/>
        <v>0.24280023898313996</v>
      </c>
      <c r="E148" s="618">
        <f t="shared" si="130"/>
        <v>0.30108120174378905</v>
      </c>
      <c r="F148" s="618">
        <f t="shared" si="131"/>
        <v>0.40958479962182881</v>
      </c>
      <c r="G148" s="618">
        <f t="shared" si="132"/>
        <v>0.43452479121802612</v>
      </c>
      <c r="H148" s="618">
        <f t="shared" si="133"/>
        <v>0.49561590682283735</v>
      </c>
      <c r="I148" s="618">
        <f t="shared" si="134"/>
        <v>0.59015284416198321</v>
      </c>
      <c r="J148" s="618">
        <f t="shared" si="135"/>
        <v>0.61677248017227804</v>
      </c>
      <c r="K148" s="618">
        <f t="shared" si="136"/>
        <v>0.73340196438888583</v>
      </c>
      <c r="L148" s="618">
        <f t="shared" si="137"/>
        <v>0.73459116812857805</v>
      </c>
      <c r="M148" s="618">
        <f t="shared" si="138"/>
        <v>1.3901340669152791</v>
      </c>
      <c r="N148" s="618">
        <f t="shared" si="139"/>
        <v>0.81636325437260349</v>
      </c>
      <c r="O148" s="618">
        <f t="shared" si="140"/>
        <v>0.94070165187247246</v>
      </c>
      <c r="P148" s="618">
        <f t="shared" si="141"/>
        <v>-1</v>
      </c>
      <c r="Q148" s="618">
        <f t="shared" si="142"/>
        <v>1.0159367613845265</v>
      </c>
      <c r="R148" s="618">
        <f t="shared" si="143"/>
        <v>1.1643959110247386</v>
      </c>
      <c r="S148" s="618">
        <f t="shared" si="144"/>
        <v>1.0926044566416304</v>
      </c>
      <c r="T148" s="618">
        <f t="shared" si="145"/>
        <v>1.1521603681916066</v>
      </c>
      <c r="U148" s="618">
        <f t="shared" si="146"/>
        <v>1.2097434870528916</v>
      </c>
      <c r="V148" s="618">
        <f t="shared" si="147"/>
        <v>1.3335032039497872</v>
      </c>
      <c r="W148" s="618">
        <f t="shared" si="148"/>
        <v>1.1666053889384946</v>
      </c>
      <c r="Y148" s="631" t="s">
        <v>34</v>
      </c>
      <c r="Z148" s="631"/>
      <c r="AA148" s="618">
        <f t="shared" ref="AA148:AU148" si="151">IFERROR((AA50-Z50)/Z50,0)</f>
        <v>9.1251378748883824E-2</v>
      </c>
      <c r="AB148" s="618">
        <f t="shared" si="151"/>
        <v>0.13887621421198698</v>
      </c>
      <c r="AC148" s="618">
        <f t="shared" si="151"/>
        <v>4.6894875727039299E-2</v>
      </c>
      <c r="AD148" s="618">
        <f t="shared" si="151"/>
        <v>8.3394947012236112E-2</v>
      </c>
      <c r="AE148" s="618">
        <f t="shared" si="151"/>
        <v>1.7693147374239805E-2</v>
      </c>
      <c r="AF148" s="618">
        <f t="shared" si="151"/>
        <v>4.2586308705714289E-2</v>
      </c>
      <c r="AG148" s="618">
        <f t="shared" si="151"/>
        <v>6.3209368734230914E-2</v>
      </c>
      <c r="AH148" s="618">
        <f t="shared" si="151"/>
        <v>1.674030022209811E-2</v>
      </c>
      <c r="AI148" s="618">
        <f t="shared" si="151"/>
        <v>7.2137227499184178E-2</v>
      </c>
      <c r="AJ148" s="618">
        <f t="shared" si="151"/>
        <v>6.8605191647599017E-4</v>
      </c>
      <c r="AK148" s="618">
        <f t="shared" si="151"/>
        <v>0.37792357693943257</v>
      </c>
      <c r="AL148" s="618">
        <f t="shared" si="151"/>
        <v>-0.24005800364294522</v>
      </c>
      <c r="AM148" s="618">
        <f t="shared" si="151"/>
        <v>6.845458759449366E-2</v>
      </c>
      <c r="AN148" s="618">
        <f t="shared" si="151"/>
        <v>-1</v>
      </c>
      <c r="AO148" s="618">
        <f t="shared" si="151"/>
        <v>0</v>
      </c>
      <c r="AP148" s="618">
        <f t="shared" si="151"/>
        <v>7.3642761263131962E-2</v>
      </c>
      <c r="AQ148" s="618">
        <f t="shared" si="151"/>
        <v>-3.3169280175325326E-2</v>
      </c>
      <c r="AR148" s="618">
        <f t="shared" si="151"/>
        <v>2.8460185756058222E-2</v>
      </c>
      <c r="AS148" s="618">
        <f t="shared" si="151"/>
        <v>2.675596099266072E-2</v>
      </c>
      <c r="AT148" s="618">
        <f t="shared" si="151"/>
        <v>5.6006372514283316E-2</v>
      </c>
      <c r="AU148" s="618">
        <f t="shared" si="151"/>
        <v>-7.1522428051006795E-2</v>
      </c>
      <c r="AV148" s="565"/>
      <c r="AW148" s="631" t="s">
        <v>34</v>
      </c>
      <c r="AX148" s="631"/>
      <c r="AY148" s="618">
        <f t="shared" ref="AY148:BS148" si="152">(AY50-$AX50)/$AX50</f>
        <v>1.2175191883022678E-2</v>
      </c>
      <c r="AZ148" s="618">
        <f t="shared" si="152"/>
        <v>4.6568622301591492E-2</v>
      </c>
      <c r="BA148" s="618">
        <f t="shared" si="152"/>
        <v>7.7499960036264234E-2</v>
      </c>
      <c r="BB148" s="618">
        <f t="shared" si="152"/>
        <v>0.11429628428603074</v>
      </c>
      <c r="BC148" s="618">
        <f t="shared" si="152"/>
        <v>0.18273219501389598</v>
      </c>
      <c r="BD148" s="618">
        <f t="shared" si="152"/>
        <v>0.16527987175066283</v>
      </c>
      <c r="BE148" s="618">
        <f t="shared" si="152"/>
        <v>0.19837605646990053</v>
      </c>
      <c r="BF148" s="618">
        <f t="shared" si="152"/>
        <v>0.22209853001961655</v>
      </c>
      <c r="BG148" s="618">
        <f t="shared" si="152"/>
        <v>0.34041744976558419</v>
      </c>
      <c r="BH148" s="618">
        <f t="shared" si="152"/>
        <v>0.30992192227852672</v>
      </c>
      <c r="BI148" s="618">
        <f t="shared" si="152"/>
        <v>0.41499658595514471</v>
      </c>
      <c r="BJ148" s="618">
        <f t="shared" si="152"/>
        <v>0.34182467566573876</v>
      </c>
      <c r="BK148" s="618">
        <f t="shared" si="152"/>
        <v>0.26607891810174544</v>
      </c>
      <c r="BL148" s="618">
        <f t="shared" si="152"/>
        <v>-1</v>
      </c>
      <c r="BM148" s="618">
        <f t="shared" si="152"/>
        <v>0.33913751407294418</v>
      </c>
      <c r="BN148" s="618">
        <f t="shared" si="152"/>
        <v>1.3788635227005437</v>
      </c>
      <c r="BO148" s="618">
        <f t="shared" si="152"/>
        <v>1.8603519549117715</v>
      </c>
      <c r="BP148" s="618">
        <f t="shared" si="152"/>
        <v>2.4817371665026249</v>
      </c>
      <c r="BQ148" s="618">
        <f t="shared" si="152"/>
        <v>2.4855960648280306</v>
      </c>
      <c r="BR148" s="618">
        <f t="shared" si="152"/>
        <v>2.3673987718573088</v>
      </c>
      <c r="BS148" s="618">
        <f t="shared" si="152"/>
        <v>2.4449106525050417</v>
      </c>
      <c r="BU148" s="631" t="s">
        <v>34</v>
      </c>
      <c r="BV148" s="631"/>
      <c r="BW148" s="618">
        <f t="shared" si="96"/>
        <v>1.2175191883022678E-2</v>
      </c>
      <c r="BX148" s="618">
        <f t="shared" si="97"/>
        <v>3.3979720797724974E-2</v>
      </c>
      <c r="BY148" s="618">
        <f t="shared" si="98"/>
        <v>2.9555002008993164E-2</v>
      </c>
      <c r="BZ148" s="618">
        <f t="shared" si="99"/>
        <v>3.4149722148043592E-2</v>
      </c>
      <c r="CA148" s="618">
        <f t="shared" si="100"/>
        <v>6.1416260372540471E-2</v>
      </c>
      <c r="CB148" s="618">
        <f t="shared" si="101"/>
        <v>-1.4755938273100025E-2</v>
      </c>
      <c r="CC148" s="618">
        <f t="shared" si="102"/>
        <v>2.8401919162574663E-2</v>
      </c>
      <c r="CD148" s="618">
        <f t="shared" si="103"/>
        <v>1.9795516959506161E-2</v>
      </c>
      <c r="CE148" s="618">
        <f t="shared" si="109"/>
        <v>9.6816186943673402E-2</v>
      </c>
      <c r="CF148" s="618">
        <f t="shared" si="110"/>
        <v>-2.2750768793998205E-2</v>
      </c>
      <c r="CG148" s="618">
        <f t="shared" si="111"/>
        <v>8.0214447815215792E-2</v>
      </c>
      <c r="CH148" s="618">
        <f t="shared" si="112"/>
        <v>-5.171172214526143E-2</v>
      </c>
      <c r="CI148" s="618">
        <f t="shared" si="113"/>
        <v>-5.6449817131595421E-2</v>
      </c>
      <c r="CJ148" s="618">
        <f t="shared" si="114"/>
        <v>-1</v>
      </c>
      <c r="CK148" s="618" t="e">
        <f t="shared" si="122"/>
        <v>#DIV/0!</v>
      </c>
      <c r="CL148" s="618">
        <f t="shared" si="123"/>
        <v>0.77641466817347671</v>
      </c>
      <c r="CM148" s="618">
        <f t="shared" si="115"/>
        <v>0.20240271357165987</v>
      </c>
      <c r="CN148" s="618">
        <f t="shared" si="116"/>
        <v>0.21724082259311348</v>
      </c>
      <c r="CO148" s="618">
        <f t="shared" si="117"/>
        <v>1.1083255687796864E-3</v>
      </c>
      <c r="CP148" s="618">
        <f t="shared" si="118"/>
        <v>-3.3910209551648932E-2</v>
      </c>
      <c r="CQ148" s="618">
        <f t="shared" si="119"/>
        <v>2.3018325389772758E-2</v>
      </c>
      <c r="CZ148" s="3"/>
      <c r="DA148" s="3"/>
      <c r="DC148" s="41"/>
      <c r="DD148" s="41"/>
      <c r="DE148" s="3"/>
      <c r="DF148" s="118"/>
      <c r="DG148" s="700"/>
      <c r="DH148" s="700"/>
      <c r="DI148" s="700"/>
      <c r="DJ148" s="700"/>
      <c r="DK148" s="43"/>
      <c r="DL148" s="43"/>
      <c r="DS148" s="3"/>
      <c r="DT148" s="3"/>
      <c r="DV148" s="41"/>
      <c r="DW148" s="41"/>
      <c r="DY148" s="118"/>
      <c r="DZ148" s="3"/>
      <c r="EA148" s="486"/>
      <c r="EB148" s="486"/>
      <c r="EC148" s="486"/>
      <c r="ED148" s="486"/>
      <c r="EE148" s="43"/>
      <c r="EF148" s="43"/>
      <c r="EL148" s="3"/>
      <c r="EM148" s="3"/>
      <c r="EO148" s="41"/>
      <c r="EP148" s="41"/>
      <c r="FC148" s="3"/>
      <c r="FE148" s="39"/>
      <c r="FF148" s="39"/>
      <c r="FH148" s="41"/>
      <c r="FI148" s="41"/>
      <c r="FM148" s="3"/>
      <c r="FN148" s="3"/>
      <c r="FO148" s="486"/>
      <c r="FP148" s="486"/>
      <c r="FQ148" s="486"/>
      <c r="FR148" s="486"/>
      <c r="FS148" s="43"/>
      <c r="FT148" s="43"/>
      <c r="FX148" s="3"/>
      <c r="FY148" s="3"/>
      <c r="GA148" s="41"/>
      <c r="GB148" s="41"/>
      <c r="GG148" s="3"/>
      <c r="GH148" s="3"/>
      <c r="GI148" s="486"/>
      <c r="GJ148" s="486"/>
      <c r="GK148" s="486"/>
      <c r="GL148" s="486"/>
      <c r="GM148" s="43"/>
      <c r="GN148" s="43"/>
      <c r="GO148" s="393"/>
      <c r="GS148" s="3"/>
      <c r="GT148" s="3"/>
      <c r="GV148" s="41"/>
      <c r="GW148" s="41"/>
      <c r="HA148" s="3"/>
      <c r="HB148" s="3"/>
      <c r="HC148" s="43"/>
      <c r="HD148" s="43"/>
      <c r="HE148" s="43"/>
      <c r="HF148" s="43"/>
      <c r="HG148" s="43"/>
    </row>
    <row r="149" spans="1:215">
      <c r="A149" s="632" t="s">
        <v>35</v>
      </c>
      <c r="B149" s="632"/>
      <c r="C149" s="616">
        <f t="shared" si="128"/>
        <v>4.9531334377584994E-2</v>
      </c>
      <c r="D149" s="616">
        <f t="shared" si="129"/>
        <v>0.17644275518606559</v>
      </c>
      <c r="E149" s="616">
        <f t="shared" si="130"/>
        <v>0.26471874648365434</v>
      </c>
      <c r="F149" s="616">
        <f t="shared" si="131"/>
        <v>0.29387022371374122</v>
      </c>
      <c r="G149" s="616">
        <f t="shared" si="132"/>
        <v>0.31295347618583536</v>
      </c>
      <c r="H149" s="616">
        <f t="shared" si="133"/>
        <v>0.33263230052226705</v>
      </c>
      <c r="I149" s="616">
        <f t="shared" si="134"/>
        <v>1.6260397201706771</v>
      </c>
      <c r="J149" s="616">
        <f t="shared" si="135"/>
        <v>1.1893720789318689</v>
      </c>
      <c r="K149" s="616">
        <f t="shared" si="136"/>
        <v>1.1080838169706437</v>
      </c>
      <c r="L149" s="616">
        <f t="shared" si="137"/>
        <v>1.1486081273666917</v>
      </c>
      <c r="M149" s="616">
        <f t="shared" si="138"/>
        <v>1.3056215863492104</v>
      </c>
      <c r="N149" s="616">
        <f t="shared" si="139"/>
        <v>1.4282764338569185</v>
      </c>
      <c r="O149" s="616">
        <f t="shared" si="140"/>
        <v>1.4927874599401414</v>
      </c>
      <c r="P149" s="616">
        <f t="shared" si="141"/>
        <v>1.6094870596122706</v>
      </c>
      <c r="Q149" s="616">
        <f t="shared" si="142"/>
        <v>1.6483946160303464</v>
      </c>
      <c r="R149" s="616">
        <f t="shared" si="143"/>
        <v>2.4943477169823667</v>
      </c>
      <c r="S149" s="616">
        <f t="shared" si="144"/>
        <v>2.4853821240870451</v>
      </c>
      <c r="T149" s="616">
        <f t="shared" si="145"/>
        <v>2.6534751029774357</v>
      </c>
      <c r="U149" s="616">
        <f t="shared" si="146"/>
        <v>2.8178571748048151</v>
      </c>
      <c r="V149" s="616">
        <f t="shared" si="147"/>
        <v>2.6656384224360634</v>
      </c>
      <c r="W149" s="616">
        <f t="shared" si="148"/>
        <v>2.6650033027167024</v>
      </c>
      <c r="Y149" s="632" t="s">
        <v>35</v>
      </c>
      <c r="Z149" s="632"/>
      <c r="AA149" s="616">
        <f t="shared" ref="AA149:AU149" si="153">IFERROR((AA51-Z51)/Z51,0)</f>
        <v>4.9531334377584994E-2</v>
      </c>
      <c r="AB149" s="616">
        <f t="shared" si="153"/>
        <v>0.12092199313300565</v>
      </c>
      <c r="AC149" s="616">
        <f t="shared" si="153"/>
        <v>7.5036367820231972E-2</v>
      </c>
      <c r="AD149" s="616">
        <f t="shared" si="153"/>
        <v>2.3049770797766593E-2</v>
      </c>
      <c r="AE149" s="616">
        <f t="shared" si="153"/>
        <v>1.4748969504314173E-2</v>
      </c>
      <c r="AF149" s="616">
        <f t="shared" si="153"/>
        <v>1.4988211458641479E-2</v>
      </c>
      <c r="AG149" s="616">
        <f t="shared" si="153"/>
        <v>0.97056586362308306</v>
      </c>
      <c r="AH149" s="616">
        <f t="shared" si="153"/>
        <v>-0.16628371531654804</v>
      </c>
      <c r="AI149" s="616">
        <f t="shared" si="153"/>
        <v>-3.7128573413105451E-2</v>
      </c>
      <c r="AJ149" s="616">
        <f t="shared" si="153"/>
        <v>1.922329182066505E-2</v>
      </c>
      <c r="AK149" s="616">
        <f t="shared" si="153"/>
        <v>7.3076824471920987E-2</v>
      </c>
      <c r="AL149" s="616">
        <f t="shared" si="153"/>
        <v>5.3198169306665578E-2</v>
      </c>
      <c r="AM149" s="616">
        <f t="shared" si="153"/>
        <v>2.6566590682905771E-2</v>
      </c>
      <c r="AN149" s="616">
        <f t="shared" si="153"/>
        <v>4.6814901610156397E-2</v>
      </c>
      <c r="AO149" s="616">
        <f t="shared" si="153"/>
        <v>1.4910039992249116E-2</v>
      </c>
      <c r="AP149" s="616">
        <f t="shared" si="153"/>
        <v>0.31942109224644599</v>
      </c>
      <c r="AQ149" s="616">
        <f t="shared" si="153"/>
        <v>-2.5657414835247548E-3</v>
      </c>
      <c r="AR149" s="616">
        <f t="shared" si="153"/>
        <v>4.8227991338086251E-2</v>
      </c>
      <c r="AS149" s="616">
        <f t="shared" si="153"/>
        <v>4.4993346661488048E-2</v>
      </c>
      <c r="AT149" s="616">
        <f t="shared" si="153"/>
        <v>-3.9870206086620764E-2</v>
      </c>
      <c r="AU149" s="616">
        <f t="shared" si="153"/>
        <v>-1.7326305711817989E-4</v>
      </c>
      <c r="AV149" s="565"/>
      <c r="AW149" s="632" t="s">
        <v>35</v>
      </c>
      <c r="AX149" s="632"/>
      <c r="AY149" s="616">
        <f t="shared" ref="AY149:BS149" si="154">(AY51-$AX51)/$AX51</f>
        <v>8.6356995232938993E-2</v>
      </c>
      <c r="AZ149" s="616">
        <f t="shared" si="154"/>
        <v>0.11452471543943067</v>
      </c>
      <c r="BA149" s="616">
        <f t="shared" si="154"/>
        <v>0.19815460193188306</v>
      </c>
      <c r="BB149" s="616">
        <f t="shared" si="154"/>
        <v>0.22577179088670238</v>
      </c>
      <c r="BC149" s="616">
        <f t="shared" si="154"/>
        <v>0.28991920467380328</v>
      </c>
      <c r="BD149" s="616">
        <f t="shared" si="154"/>
        <v>0.33263230052226728</v>
      </c>
      <c r="BE149" s="616">
        <f t="shared" si="154"/>
        <v>0.28998442394349067</v>
      </c>
      <c r="BF149" s="616">
        <f t="shared" si="154"/>
        <v>0.38441274156889998</v>
      </c>
      <c r="BG149" s="616">
        <f t="shared" si="154"/>
        <v>0.42525853109305162</v>
      </c>
      <c r="BH149" s="616">
        <f t="shared" si="154"/>
        <v>0.52404154001627168</v>
      </c>
      <c r="BI149" s="616">
        <f t="shared" si="154"/>
        <v>0.57752701563287567</v>
      </c>
      <c r="BJ149" s="616">
        <f t="shared" si="154"/>
        <v>0.60292612167459281</v>
      </c>
      <c r="BK149" s="616">
        <f t="shared" si="154"/>
        <v>0.59971209855365126</v>
      </c>
      <c r="BL149" s="616">
        <f t="shared" si="154"/>
        <v>0.63462328970704407</v>
      </c>
      <c r="BM149" s="616">
        <f t="shared" si="154"/>
        <v>0.68100110389561008</v>
      </c>
      <c r="BN149" s="616">
        <f t="shared" si="154"/>
        <v>0.78854193079913382</v>
      </c>
      <c r="BO149" s="616">
        <f t="shared" si="154"/>
        <v>0.76886337903563751</v>
      </c>
      <c r="BP149" s="616">
        <f t="shared" si="154"/>
        <v>0.9174205765622977</v>
      </c>
      <c r="BQ149" s="616">
        <f t="shared" si="154"/>
        <v>1.2202309612904885</v>
      </c>
      <c r="BR149" s="616">
        <f t="shared" si="154"/>
        <v>1.157045771265069</v>
      </c>
      <c r="BS149" s="616">
        <f t="shared" si="154"/>
        <v>1.2301422005571343</v>
      </c>
      <c r="BU149" s="632" t="s">
        <v>35</v>
      </c>
      <c r="BV149" s="632"/>
      <c r="BW149" s="616">
        <f t="shared" si="96"/>
        <v>8.6356995232938993E-2</v>
      </c>
      <c r="BX149" s="616">
        <f t="shared" si="97"/>
        <v>2.592860388444582E-2</v>
      </c>
      <c r="BY149" s="616">
        <f t="shared" si="98"/>
        <v>7.5036367820231889E-2</v>
      </c>
      <c r="BZ149" s="616">
        <f t="shared" si="99"/>
        <v>2.3049770797766701E-2</v>
      </c>
      <c r="CA149" s="616">
        <f t="shared" si="100"/>
        <v>5.2332264671140605E-2</v>
      </c>
      <c r="CB149" s="616">
        <f t="shared" si="101"/>
        <v>3.3113000948974444E-2</v>
      </c>
      <c r="CC149" s="616">
        <f t="shared" si="102"/>
        <v>-3.2002733658836463E-2</v>
      </c>
      <c r="CD149" s="616">
        <f t="shared" si="103"/>
        <v>7.3201130085541147E-2</v>
      </c>
      <c r="CE149" s="616">
        <f t="shared" si="109"/>
        <v>2.9504054894686032E-2</v>
      </c>
      <c r="CF149" s="616">
        <f t="shared" si="110"/>
        <v>6.9308835392454707E-2</v>
      </c>
      <c r="CG149" s="616">
        <f t="shared" si="111"/>
        <v>3.5094499862538507E-2</v>
      </c>
      <c r="CH149" s="616">
        <f t="shared" si="112"/>
        <v>1.6100583882252845E-2</v>
      </c>
      <c r="CI149" s="616">
        <f t="shared" si="113"/>
        <v>-2.0050974760981843E-3</v>
      </c>
      <c r="CJ149" s="616">
        <f t="shared" si="114"/>
        <v>2.1823421342475981E-2</v>
      </c>
      <c r="CK149" s="616">
        <f t="shared" si="122"/>
        <v>2.8372172647116667E-2</v>
      </c>
      <c r="CL149" s="616">
        <f t="shared" si="123"/>
        <v>6.3974275004522518E-2</v>
      </c>
      <c r="CM149" s="616">
        <f t="shared" si="115"/>
        <v>-1.100256662962539E-2</v>
      </c>
      <c r="CN149" s="616">
        <f t="shared" si="116"/>
        <v>8.3984551485062522E-2</v>
      </c>
      <c r="CO149" s="616">
        <f t="shared" si="117"/>
        <v>0.15792590756019378</v>
      </c>
      <c r="CP149" s="616">
        <f t="shared" si="118"/>
        <v>-2.8458836547659731E-2</v>
      </c>
      <c r="CQ149" s="616">
        <f t="shared" si="119"/>
        <v>3.3887287078380103E-2</v>
      </c>
      <c r="CZ149" s="3"/>
      <c r="DA149" s="3"/>
      <c r="DC149" s="41"/>
      <c r="DD149" s="41"/>
      <c r="DE149" s="3"/>
      <c r="DF149" s="118"/>
      <c r="DG149" s="700"/>
      <c r="DH149" s="700"/>
      <c r="DI149" s="700"/>
      <c r="DJ149" s="700"/>
      <c r="DK149" s="43"/>
      <c r="DL149" s="43"/>
      <c r="DS149" s="3"/>
      <c r="DT149" s="3"/>
      <c r="DV149" s="41"/>
      <c r="DW149" s="41"/>
      <c r="DY149" s="118"/>
      <c r="DZ149" s="3"/>
      <c r="EA149" s="486"/>
      <c r="EB149" s="486"/>
      <c r="EC149" s="486"/>
      <c r="ED149" s="486"/>
      <c r="EE149" s="43"/>
      <c r="EF149" s="43"/>
      <c r="EL149" s="3"/>
      <c r="EM149" s="3"/>
      <c r="EO149" s="41"/>
      <c r="EP149" s="41"/>
      <c r="FC149" s="3"/>
      <c r="FE149" s="39"/>
      <c r="FF149" s="39"/>
      <c r="FH149" s="41"/>
      <c r="FI149" s="41"/>
      <c r="FM149" s="3"/>
      <c r="FN149" s="3"/>
      <c r="FO149" s="486"/>
      <c r="FP149" s="486"/>
      <c r="FQ149" s="486"/>
      <c r="FR149" s="486"/>
      <c r="FS149" s="43"/>
      <c r="FT149" s="43"/>
      <c r="FX149" s="3"/>
      <c r="FY149" s="3"/>
      <c r="GA149" s="41"/>
      <c r="GB149" s="41"/>
      <c r="GG149" s="3"/>
      <c r="GH149" s="3"/>
      <c r="GI149" s="486"/>
      <c r="GJ149" s="486"/>
      <c r="GK149" s="486"/>
      <c r="GL149" s="486"/>
      <c r="GM149" s="43"/>
      <c r="GN149" s="43"/>
      <c r="GO149" s="393"/>
      <c r="GS149" s="3"/>
      <c r="GT149" s="3"/>
      <c r="GV149" s="41"/>
      <c r="GW149" s="41"/>
      <c r="HA149" s="3"/>
      <c r="HB149" s="3"/>
      <c r="HC149" s="43"/>
      <c r="HD149" s="43"/>
      <c r="HE149" s="43"/>
      <c r="HF149" s="43"/>
      <c r="HG149" s="43"/>
    </row>
    <row r="150" spans="1:215">
      <c r="A150" s="631" t="s">
        <v>36</v>
      </c>
      <c r="B150" s="631"/>
      <c r="C150" s="618">
        <f t="shared" si="128"/>
        <v>-4.6063913746011119E-2</v>
      </c>
      <c r="D150" s="618">
        <f t="shared" si="129"/>
        <v>5.6248875258973402E-2</v>
      </c>
      <c r="E150" s="618">
        <f t="shared" si="130"/>
        <v>0.22864336567574664</v>
      </c>
      <c r="F150" s="618">
        <f t="shared" si="131"/>
        <v>0.12169590289862979</v>
      </c>
      <c r="G150" s="618">
        <f t="shared" si="132"/>
        <v>0.32149893799848839</v>
      </c>
      <c r="H150" s="618">
        <f t="shared" si="133"/>
        <v>0.17328343764575505</v>
      </c>
      <c r="I150" s="618">
        <f t="shared" si="134"/>
        <v>0.34933300446217846</v>
      </c>
      <c r="J150" s="618">
        <f t="shared" si="135"/>
        <v>0.2615411497144004</v>
      </c>
      <c r="K150" s="618">
        <f t="shared" si="136"/>
        <v>0.29146749304861813</v>
      </c>
      <c r="L150" s="618">
        <f t="shared" si="137"/>
        <v>0.3854879602465438</v>
      </c>
      <c r="M150" s="618">
        <f t="shared" si="138"/>
        <v>0.43842252873257337</v>
      </c>
      <c r="N150" s="618">
        <f t="shared" si="139"/>
        <v>0.43782926365528529</v>
      </c>
      <c r="O150" s="618">
        <f t="shared" si="140"/>
        <v>0.5623668794396699</v>
      </c>
      <c r="P150" s="618">
        <f t="shared" si="141"/>
        <v>0.56143508094026351</v>
      </c>
      <c r="Q150" s="618">
        <f t="shared" si="142"/>
        <v>0.56163510944069117</v>
      </c>
      <c r="R150" s="618">
        <f t="shared" si="143"/>
        <v>0.64178280628134221</v>
      </c>
      <c r="S150" s="618">
        <f t="shared" si="144"/>
        <v>0.68606471654345824</v>
      </c>
      <c r="T150" s="618">
        <f t="shared" si="145"/>
        <v>0.74933812537068578</v>
      </c>
      <c r="U150" s="618">
        <f t="shared" si="146"/>
        <v>0.82979953376252424</v>
      </c>
      <c r="V150" s="618">
        <f t="shared" si="147"/>
        <v>0.66211669846083709</v>
      </c>
      <c r="W150" s="618">
        <f t="shared" si="148"/>
        <v>0.82809725097220388</v>
      </c>
      <c r="Y150" s="631" t="s">
        <v>36</v>
      </c>
      <c r="Z150" s="631"/>
      <c r="AA150" s="618">
        <f t="shared" ref="AA150:AU150" si="155">IFERROR((AA52-Z52)/Z52,0)</f>
        <v>-4.6063913746011119E-2</v>
      </c>
      <c r="AB150" s="618">
        <f t="shared" si="155"/>
        <v>0.1072532955606665</v>
      </c>
      <c r="AC150" s="618">
        <f t="shared" si="155"/>
        <v>0.16321389253503837</v>
      </c>
      <c r="AD150" s="618">
        <f t="shared" si="155"/>
        <v>-8.7045163604734382E-2</v>
      </c>
      <c r="AE150" s="618">
        <f t="shared" si="155"/>
        <v>0.17812584906794945</v>
      </c>
      <c r="AF150" s="618">
        <f t="shared" si="155"/>
        <v>-0.11215710893965386</v>
      </c>
      <c r="AG150" s="618">
        <f t="shared" si="155"/>
        <v>0.15004862522364981</v>
      </c>
      <c r="AH150" s="618">
        <f t="shared" si="155"/>
        <v>-6.5063149317073465E-2</v>
      </c>
      <c r="AI150" s="618">
        <f t="shared" si="155"/>
        <v>2.3722050874830973E-2</v>
      </c>
      <c r="AJ150" s="618">
        <f t="shared" si="155"/>
        <v>7.2801264998147472E-2</v>
      </c>
      <c r="AK150" s="618">
        <f t="shared" si="155"/>
        <v>3.820644423110689E-2</v>
      </c>
      <c r="AL150" s="618">
        <f t="shared" si="155"/>
        <v>-4.1244145265915603E-4</v>
      </c>
      <c r="AM150" s="618">
        <f t="shared" si="155"/>
        <v>8.6615023725266249E-2</v>
      </c>
      <c r="AN150" s="618">
        <f t="shared" si="155"/>
        <v>-5.9640185136319206E-4</v>
      </c>
      <c r="AO150" s="618">
        <f t="shared" si="155"/>
        <v>1.281055503807316E-4</v>
      </c>
      <c r="AP150" s="618">
        <f t="shared" si="155"/>
        <v>5.13229347599366E-2</v>
      </c>
      <c r="AQ150" s="618">
        <f t="shared" si="155"/>
        <v>2.6971844322340694E-2</v>
      </c>
      <c r="AR150" s="618">
        <f t="shared" si="155"/>
        <v>3.7527271762700848E-2</v>
      </c>
      <c r="AS150" s="618">
        <f t="shared" si="155"/>
        <v>4.5995343738814733E-2</v>
      </c>
      <c r="AT150" s="618">
        <f t="shared" si="155"/>
        <v>-9.1640003294180233E-2</v>
      </c>
      <c r="AU150" s="618">
        <f t="shared" si="155"/>
        <v>9.9860949995309617E-2</v>
      </c>
      <c r="AV150" s="565"/>
      <c r="AW150" s="631" t="s">
        <v>36</v>
      </c>
      <c r="AX150" s="631"/>
      <c r="AY150" s="618">
        <f t="shared" ref="AY150:BS150" si="156">(AY52-$AX52)/$AX52</f>
        <v>1.0174809915236237E-2</v>
      </c>
      <c r="AZ150" s="618">
        <f t="shared" si="156"/>
        <v>6.1681096216945576E-3</v>
      </c>
      <c r="BA150" s="618">
        <f t="shared" si="156"/>
        <v>3.3224216895082773E-4</v>
      </c>
      <c r="BB150" s="618">
        <f t="shared" si="156"/>
        <v>-3.7183725560758461E-3</v>
      </c>
      <c r="BC150" s="618">
        <f t="shared" si="156"/>
        <v>1.8140068487505347E-2</v>
      </c>
      <c r="BD150" s="618">
        <f t="shared" si="156"/>
        <v>2.1854737811672374E-2</v>
      </c>
      <c r="BE150" s="618">
        <f t="shared" si="156"/>
        <v>1.0707288782972883E-2</v>
      </c>
      <c r="BF150" s="618">
        <f t="shared" si="156"/>
        <v>4.8839631607733212E-2</v>
      </c>
      <c r="BG150" s="618">
        <f t="shared" si="156"/>
        <v>0.35413724904991611</v>
      </c>
      <c r="BH150" s="618">
        <f t="shared" si="156"/>
        <v>8.4595449933992303E-2</v>
      </c>
      <c r="BI150" s="618">
        <f t="shared" si="156"/>
        <v>0.17547777508647136</v>
      </c>
      <c r="BJ150" s="618">
        <f t="shared" si="156"/>
        <v>0.26543960131988431</v>
      </c>
      <c r="BK150" s="618">
        <f t="shared" si="156"/>
        <v>4.4090810194060193E-2</v>
      </c>
      <c r="BL150" s="618">
        <f t="shared" si="156"/>
        <v>6.179166882278872E-2</v>
      </c>
      <c r="BM150" s="618">
        <f t="shared" si="156"/>
        <v>0.14207491821674512</v>
      </c>
      <c r="BN150" s="618">
        <f t="shared" si="156"/>
        <v>0.11366077353566921</v>
      </c>
      <c r="BO150" s="618">
        <f t="shared" si="156"/>
        <v>0.18420819346941941</v>
      </c>
      <c r="BP150" s="618">
        <f t="shared" si="156"/>
        <v>0.30182038099570863</v>
      </c>
      <c r="BQ150" s="618">
        <f t="shared" si="156"/>
        <v>0.35464383806625488</v>
      </c>
      <c r="BR150" s="618">
        <f t="shared" si="156"/>
        <v>0.40907013911403689</v>
      </c>
      <c r="BS150" s="618">
        <f t="shared" si="156"/>
        <v>0.49112435265949567</v>
      </c>
      <c r="BU150" s="631" t="s">
        <v>36</v>
      </c>
      <c r="BV150" s="631"/>
      <c r="BW150" s="618">
        <f t="shared" si="96"/>
        <v>1.0174809915236237E-2</v>
      </c>
      <c r="BX150" s="618">
        <f t="shared" si="97"/>
        <v>-3.9663435023467699E-3</v>
      </c>
      <c r="BY150" s="618">
        <f t="shared" si="98"/>
        <v>-5.8000918503945988E-3</v>
      </c>
      <c r="BZ150" s="618">
        <f t="shared" si="99"/>
        <v>-4.0492693869828766E-3</v>
      </c>
      <c r="CA150" s="618">
        <f t="shared" si="100"/>
        <v>2.1940022220084048E-2</v>
      </c>
      <c r="CB150" s="618">
        <f t="shared" si="101"/>
        <v>3.6484855464782398E-3</v>
      </c>
      <c r="CC150" s="618">
        <f t="shared" si="102"/>
        <v>-1.0909034930514717E-2</v>
      </c>
      <c r="CD150" s="618">
        <f t="shared" si="103"/>
        <v>3.7728374226604008E-2</v>
      </c>
      <c r="CE150" s="618">
        <f t="shared" si="109"/>
        <v>0.2910813133311923</v>
      </c>
      <c r="CF150" s="618">
        <f t="shared" si="110"/>
        <v>-0.1990505757854594</v>
      </c>
      <c r="CG150" s="618">
        <f t="shared" si="111"/>
        <v>8.3793754766360209E-2</v>
      </c>
      <c r="CH150" s="618">
        <f t="shared" si="112"/>
        <v>7.6532137093612923E-2</v>
      </c>
      <c r="CI150" s="618">
        <f t="shared" si="113"/>
        <v>-0.1749184954342759</v>
      </c>
      <c r="CJ150" s="618">
        <f t="shared" si="114"/>
        <v>1.6953370775707289E-2</v>
      </c>
      <c r="CK150" s="618">
        <f t="shared" si="122"/>
        <v>7.561111256689991E-2</v>
      </c>
      <c r="CL150" s="618">
        <f t="shared" si="123"/>
        <v>-2.487940521926724E-2</v>
      </c>
      <c r="CM150" s="618">
        <f t="shared" si="115"/>
        <v>6.3347315098272738E-2</v>
      </c>
      <c r="CN150" s="618">
        <f t="shared" si="116"/>
        <v>9.93171540062701E-2</v>
      </c>
      <c r="CO150" s="618">
        <f t="shared" si="117"/>
        <v>4.0576609370751873E-2</v>
      </c>
      <c r="CP150" s="618">
        <f t="shared" si="118"/>
        <v>4.0177572523767718E-2</v>
      </c>
      <c r="CQ150" s="618">
        <f t="shared" si="119"/>
        <v>5.8232880867840259E-2</v>
      </c>
      <c r="CZ150" s="3"/>
      <c r="DA150" s="3"/>
      <c r="DC150" s="41"/>
      <c r="DD150" s="41"/>
      <c r="DE150" s="3"/>
      <c r="DF150" s="118"/>
      <c r="DG150" s="700"/>
      <c r="DH150" s="700"/>
      <c r="DI150" s="700"/>
      <c r="DJ150" s="700"/>
      <c r="DK150" s="43"/>
      <c r="DL150" s="43"/>
      <c r="DS150" s="3"/>
      <c r="DT150" s="3"/>
      <c r="DV150" s="41"/>
      <c r="DW150" s="41"/>
      <c r="DY150" s="118"/>
      <c r="DZ150" s="3"/>
      <c r="EA150" s="486"/>
      <c r="EB150" s="486"/>
      <c r="EC150" s="486"/>
      <c r="ED150" s="486"/>
      <c r="EE150" s="43"/>
      <c r="EF150" s="43"/>
      <c r="EL150" s="3"/>
      <c r="EM150" s="3"/>
      <c r="EO150" s="41"/>
      <c r="EP150" s="41"/>
      <c r="FC150" s="3"/>
      <c r="FE150" s="39"/>
      <c r="FF150" s="39"/>
      <c r="FH150" s="41"/>
      <c r="FI150" s="41"/>
      <c r="FM150" s="3"/>
      <c r="FN150" s="3"/>
      <c r="FO150" s="486"/>
      <c r="FP150" s="486"/>
      <c r="FQ150" s="486"/>
      <c r="FR150" s="486"/>
      <c r="FS150" s="43"/>
      <c r="FT150" s="43"/>
      <c r="FX150" s="3"/>
      <c r="FY150" s="3"/>
      <c r="GA150" s="41"/>
      <c r="GB150" s="41"/>
      <c r="GG150" s="3"/>
      <c r="GH150" s="3"/>
      <c r="GI150" s="486"/>
      <c r="GJ150" s="486"/>
      <c r="GK150" s="486"/>
      <c r="GL150" s="486"/>
      <c r="GM150" s="43"/>
      <c r="GN150" s="43"/>
      <c r="GO150" s="393"/>
      <c r="GS150" s="3"/>
      <c r="GT150" s="3"/>
      <c r="GV150" s="41"/>
      <c r="GW150" s="41"/>
      <c r="HA150" s="3"/>
      <c r="HB150" s="3"/>
      <c r="HC150" s="43"/>
      <c r="HD150" s="43"/>
      <c r="HE150" s="43"/>
      <c r="HF150" s="43"/>
      <c r="HG150" s="43"/>
    </row>
    <row r="151" spans="1:215">
      <c r="A151" s="632" t="s">
        <v>37</v>
      </c>
      <c r="B151" s="632"/>
      <c r="C151" s="616">
        <f t="shared" si="128"/>
        <v>0.12429390557721931</v>
      </c>
      <c r="D151" s="616">
        <f t="shared" si="129"/>
        <v>0.26165710518045637</v>
      </c>
      <c r="E151" s="616">
        <f t="shared" si="130"/>
        <v>-1.1517851624332272E-2</v>
      </c>
      <c r="F151" s="616">
        <f t="shared" si="131"/>
        <v>0.3564056355722765</v>
      </c>
      <c r="G151" s="616">
        <f t="shared" si="132"/>
        <v>0.42281879821240081</v>
      </c>
      <c r="H151" s="616">
        <f t="shared" si="133"/>
        <v>0.30102408082849658</v>
      </c>
      <c r="I151" s="616">
        <f t="shared" si="134"/>
        <v>0.43505089033579381</v>
      </c>
      <c r="J151" s="616">
        <f t="shared" si="135"/>
        <v>0.36951432953170649</v>
      </c>
      <c r="K151" s="616">
        <f t="shared" si="136"/>
        <v>0.43584439752553467</v>
      </c>
      <c r="L151" s="616">
        <f t="shared" si="137"/>
        <v>0.41878749412502186</v>
      </c>
      <c r="M151" s="616">
        <f t="shared" si="138"/>
        <v>0.63013331182208998</v>
      </c>
      <c r="N151" s="616">
        <f t="shared" si="139"/>
        <v>0.71160350446535692</v>
      </c>
      <c r="O151" s="616">
        <f t="shared" si="140"/>
        <v>0.83926797164474565</v>
      </c>
      <c r="P151" s="616">
        <f t="shared" si="141"/>
        <v>0.86344571277373861</v>
      </c>
      <c r="Q151" s="616">
        <f t="shared" si="142"/>
        <v>0.86540226491730976</v>
      </c>
      <c r="R151" s="616">
        <f t="shared" si="143"/>
        <v>0.93790551821275936</v>
      </c>
      <c r="S151" s="616">
        <f t="shared" si="144"/>
        <v>-0.39019761400725517</v>
      </c>
      <c r="T151" s="616">
        <f t="shared" si="145"/>
        <v>-0.75363707134132873</v>
      </c>
      <c r="U151" s="616">
        <f t="shared" si="146"/>
        <v>0.76321284236161324</v>
      </c>
      <c r="V151" s="616">
        <f t="shared" si="147"/>
        <v>0.75321618295312398</v>
      </c>
      <c r="W151" s="616">
        <f t="shared" si="148"/>
        <v>0.75485772235893944</v>
      </c>
      <c r="Y151" s="632" t="s">
        <v>37</v>
      </c>
      <c r="Z151" s="632"/>
      <c r="AA151" s="616">
        <f t="shared" ref="AA151:AU151" si="157">IFERROR((AA53-Z53)/Z53,0)</f>
        <v>0.12429390557721931</v>
      </c>
      <c r="AB151" s="616">
        <f t="shared" si="157"/>
        <v>0.12217730517067417</v>
      </c>
      <c r="AC151" s="616">
        <f t="shared" si="157"/>
        <v>-0.21652076121405117</v>
      </c>
      <c r="AD151" s="616">
        <f t="shared" si="157"/>
        <v>0.37221055312046086</v>
      </c>
      <c r="AE151" s="616">
        <f t="shared" si="157"/>
        <v>4.8962611845905661E-2</v>
      </c>
      <c r="AF151" s="616">
        <f t="shared" si="157"/>
        <v>-8.5601003822078067E-2</v>
      </c>
      <c r="AG151" s="616">
        <f t="shared" si="157"/>
        <v>0.10301639414848379</v>
      </c>
      <c r="AH151" s="616">
        <f t="shared" si="157"/>
        <v>-4.5668457645256143E-2</v>
      </c>
      <c r="AI151" s="616">
        <f t="shared" si="157"/>
        <v>4.8433277814996761E-2</v>
      </c>
      <c r="AJ151" s="616">
        <f t="shared" si="157"/>
        <v>-1.1879353661098536E-2</v>
      </c>
      <c r="AK151" s="616">
        <f t="shared" si="157"/>
        <v>0.14896227840477747</v>
      </c>
      <c r="AL151" s="616">
        <f t="shared" si="157"/>
        <v>4.9977625788287953E-2</v>
      </c>
      <c r="AM151" s="616">
        <f t="shared" si="157"/>
        <v>7.458764068099201E-2</v>
      </c>
      <c r="AN151" s="616">
        <f t="shared" si="157"/>
        <v>1.3145306448941381E-2</v>
      </c>
      <c r="AO151" s="616">
        <f t="shared" si="157"/>
        <v>1.0499646596405362E-3</v>
      </c>
      <c r="AP151" s="616">
        <f t="shared" si="157"/>
        <v>3.8867355668544531E-2</v>
      </c>
      <c r="AQ151" s="616">
        <f t="shared" si="157"/>
        <v>-0.68532914517156784</v>
      </c>
      <c r="AR151" s="616">
        <f t="shared" si="157"/>
        <v>-0.59599546620730603</v>
      </c>
      <c r="AS151" s="616">
        <f t="shared" si="157"/>
        <v>6.1569730558143085</v>
      </c>
      <c r="AT151" s="616">
        <f t="shared" si="157"/>
        <v>-5.6695704388699617E-3</v>
      </c>
      <c r="AU151" s="616">
        <f t="shared" si="157"/>
        <v>9.3630176459496444E-4</v>
      </c>
      <c r="AV151" s="565"/>
      <c r="AW151" s="632" t="s">
        <v>37</v>
      </c>
      <c r="AX151" s="632"/>
      <c r="AY151" s="616">
        <f t="shared" ref="AY151:BS151" si="158">(AY53-$AX53)/$AX53</f>
        <v>5.6836271242586167E-2</v>
      </c>
      <c r="AZ151" s="616">
        <f t="shared" si="158"/>
        <v>-4.207516088150539E-2</v>
      </c>
      <c r="BA151" s="616">
        <f t="shared" si="158"/>
        <v>-3.3006593980325016E-2</v>
      </c>
      <c r="BB151" s="616">
        <f t="shared" si="158"/>
        <v>8.9968814299150851E-2</v>
      </c>
      <c r="BC151" s="616">
        <f t="shared" si="158"/>
        <v>0.31337119834990834</v>
      </c>
      <c r="BD151" s="616">
        <f t="shared" si="158"/>
        <v>0.19694215436221682</v>
      </c>
      <c r="BE151" s="616">
        <f t="shared" si="158"/>
        <v>0.26946809529704857</v>
      </c>
      <c r="BF151" s="616">
        <f t="shared" si="158"/>
        <v>0.21604552018088866</v>
      </c>
      <c r="BG151" s="616">
        <f t="shared" si="158"/>
        <v>0.28330904915636534</v>
      </c>
      <c r="BH151" s="616">
        <f t="shared" si="158"/>
        <v>0.18772639789936738</v>
      </c>
      <c r="BI151" s="616">
        <f t="shared" si="158"/>
        <v>0.23127392122142038</v>
      </c>
      <c r="BJ151" s="616">
        <f t="shared" si="158"/>
        <v>0.26237041203180594</v>
      </c>
      <c r="BK151" s="616">
        <f t="shared" si="158"/>
        <v>0.24340191162501568</v>
      </c>
      <c r="BL151" s="616">
        <f t="shared" si="158"/>
        <v>0.30180694443432998</v>
      </c>
      <c r="BM151" s="616">
        <f t="shared" si="158"/>
        <v>0.35836951685038049</v>
      </c>
      <c r="BN151" s="616">
        <f t="shared" si="158"/>
        <v>0.29941330511476499</v>
      </c>
      <c r="BO151" s="616">
        <f t="shared" si="158"/>
        <v>-0.29535441173752019</v>
      </c>
      <c r="BP151" s="616">
        <f t="shared" si="158"/>
        <v>0.45559226035924139</v>
      </c>
      <c r="BQ151" s="616">
        <f t="shared" si="158"/>
        <v>0.7482222413931221</v>
      </c>
      <c r="BR151" s="616">
        <f t="shared" si="158"/>
        <v>0.744698048060076</v>
      </c>
      <c r="BS151" s="616">
        <f t="shared" si="158"/>
        <v>0.79198926529207592</v>
      </c>
      <c r="BU151" s="632" t="s">
        <v>37</v>
      </c>
      <c r="BV151" s="632"/>
      <c r="BW151" s="616">
        <f t="shared" si="96"/>
        <v>5.6836271242586167E-2</v>
      </c>
      <c r="BX151" s="616">
        <f t="shared" si="97"/>
        <v>-9.3592011189959828E-2</v>
      </c>
      <c r="BY151" s="616">
        <f t="shared" si="98"/>
        <v>9.4668877252681773E-3</v>
      </c>
      <c r="BZ151" s="616">
        <f t="shared" si="99"/>
        <v>0.12717295434895007</v>
      </c>
      <c r="CA151" s="616">
        <f t="shared" si="100"/>
        <v>0.20496217976145037</v>
      </c>
      <c r="CB151" s="616">
        <f t="shared" si="101"/>
        <v>-8.8649000476004408E-2</v>
      </c>
      <c r="CC151" s="616">
        <f t="shared" si="102"/>
        <v>6.0592686681234603E-2</v>
      </c>
      <c r="CD151" s="616">
        <f t="shared" si="103"/>
        <v>-4.2082644939303741E-2</v>
      </c>
      <c r="CE151" s="616">
        <f t="shared" si="109"/>
        <v>5.5313331498866185E-2</v>
      </c>
      <c r="CF151" s="616">
        <f t="shared" si="110"/>
        <v>-7.4481397384233386E-2</v>
      </c>
      <c r="CG151" s="616">
        <f t="shared" si="111"/>
        <v>3.6664608447763626E-2</v>
      </c>
      <c r="CH151" s="616">
        <f t="shared" si="112"/>
        <v>2.5255542470629069E-2</v>
      </c>
      <c r="CI151" s="616">
        <f t="shared" si="113"/>
        <v>-1.5026097115394351E-2</v>
      </c>
      <c r="CJ151" s="616">
        <f t="shared" si="114"/>
        <v>4.6971966395792451E-2</v>
      </c>
      <c r="CK151" s="616">
        <f t="shared" si="122"/>
        <v>4.3449278449369792E-2</v>
      </c>
      <c r="CL151" s="616">
        <f t="shared" si="123"/>
        <v>-4.3402189908027286E-2</v>
      </c>
      <c r="CM151" s="616">
        <f t="shared" si="115"/>
        <v>-0.45772019919386225</v>
      </c>
      <c r="CN151" s="616">
        <f t="shared" si="116"/>
        <v>1.0657083285633724</v>
      </c>
      <c r="CO151" s="616">
        <f t="shared" si="117"/>
        <v>0.20103842882598136</v>
      </c>
      <c r="CP151" s="616">
        <f t="shared" si="118"/>
        <v>-2.0158726102452811E-3</v>
      </c>
      <c r="CQ151" s="616">
        <f t="shared" si="119"/>
        <v>2.7105674408579087E-2</v>
      </c>
      <c r="CZ151" s="3"/>
      <c r="DA151" s="3"/>
      <c r="DC151" s="41"/>
      <c r="DD151" s="41"/>
      <c r="DE151" s="3"/>
      <c r="DF151" s="118"/>
      <c r="DG151" s="700"/>
      <c r="DH151" s="700"/>
      <c r="DI151" s="700"/>
      <c r="DJ151" s="700"/>
      <c r="DK151" s="43"/>
      <c r="DL151" s="43"/>
      <c r="DS151" s="3"/>
      <c r="DT151" s="3"/>
      <c r="DV151" s="41"/>
      <c r="DW151" s="41"/>
      <c r="DY151" s="118"/>
      <c r="DZ151" s="3"/>
      <c r="EA151" s="486"/>
      <c r="EB151" s="486"/>
      <c r="EC151" s="486"/>
      <c r="ED151" s="486"/>
      <c r="EE151" s="43"/>
      <c r="EF151" s="43"/>
      <c r="EL151" s="3"/>
      <c r="EM151" s="3"/>
      <c r="EO151" s="41"/>
      <c r="EP151" s="41"/>
      <c r="FC151" s="3"/>
      <c r="FE151" s="39"/>
      <c r="FF151" s="39"/>
      <c r="FH151" s="41"/>
      <c r="FI151" s="41"/>
      <c r="FM151" s="3"/>
      <c r="FN151" s="3"/>
      <c r="FO151" s="486"/>
      <c r="FP151" s="486"/>
      <c r="FQ151" s="486"/>
      <c r="FR151" s="486"/>
      <c r="FS151" s="43"/>
      <c r="FT151" s="43"/>
      <c r="FX151" s="3"/>
      <c r="FY151" s="3"/>
      <c r="GA151" s="41"/>
      <c r="GB151" s="41"/>
      <c r="GG151" s="3"/>
      <c r="GH151" s="3"/>
      <c r="GI151" s="486"/>
      <c r="GJ151" s="486"/>
      <c r="GK151" s="486"/>
      <c r="GL151" s="486"/>
      <c r="GM151" s="43"/>
      <c r="GN151" s="43"/>
      <c r="GO151" s="393"/>
      <c r="GS151" s="3"/>
      <c r="GT151" s="3"/>
      <c r="GV151" s="41"/>
      <c r="GW151" s="41"/>
      <c r="HA151" s="3"/>
      <c r="HB151" s="3"/>
      <c r="HC151" s="43"/>
      <c r="HD151" s="43"/>
      <c r="HE151" s="43"/>
      <c r="HF151" s="43"/>
      <c r="HG151" s="43"/>
    </row>
    <row r="152" spans="1:215">
      <c r="A152" s="631" t="s">
        <v>38</v>
      </c>
      <c r="B152" s="631"/>
      <c r="C152" s="618">
        <f t="shared" si="128"/>
        <v>0.80453422616427606</v>
      </c>
      <c r="D152" s="618">
        <f t="shared" si="129"/>
        <v>3.565867232479305</v>
      </c>
      <c r="E152" s="618">
        <f t="shared" si="130"/>
        <v>4.0186199800267701</v>
      </c>
      <c r="F152" s="618">
        <f t="shared" si="131"/>
        <v>4.6777152721506106</v>
      </c>
      <c r="G152" s="618">
        <f t="shared" si="132"/>
        <v>2.9640031462545688</v>
      </c>
      <c r="H152" s="618">
        <f t="shared" si="133"/>
        <v>5.2958863253802102</v>
      </c>
      <c r="I152" s="618">
        <f t="shared" si="134"/>
        <v>5.4996353800502726</v>
      </c>
      <c r="J152" s="618">
        <f t="shared" si="135"/>
        <v>5.564819845807321</v>
      </c>
      <c r="K152" s="618">
        <f t="shared" si="136"/>
        <v>4.6324604292156186</v>
      </c>
      <c r="L152" s="618">
        <f t="shared" si="137"/>
        <v>5.1266545577084264</v>
      </c>
      <c r="M152" s="618">
        <f t="shared" si="138"/>
        <v>3.6715844978583441</v>
      </c>
      <c r="N152" s="618">
        <f t="shared" si="139"/>
        <v>6.4184276998152123</v>
      </c>
      <c r="O152" s="618">
        <f t="shared" si="140"/>
        <v>8.5202551397900894</v>
      </c>
      <c r="P152" s="618">
        <f t="shared" si="141"/>
        <v>10.24707454420459</v>
      </c>
      <c r="Q152" s="618">
        <f t="shared" si="142"/>
        <v>12.514520104050783</v>
      </c>
      <c r="R152" s="618">
        <f t="shared" si="143"/>
        <v>10.86312339058474</v>
      </c>
      <c r="S152" s="618">
        <f t="shared" si="144"/>
        <v>9.7800320112158001</v>
      </c>
      <c r="T152" s="618">
        <f t="shared" si="145"/>
        <v>13.795692448292963</v>
      </c>
      <c r="U152" s="618">
        <f t="shared" si="146"/>
        <v>-1</v>
      </c>
      <c r="V152" s="618">
        <f t="shared" si="147"/>
        <v>-1</v>
      </c>
      <c r="W152" s="618">
        <f t="shared" si="148"/>
        <v>-1</v>
      </c>
      <c r="Y152" s="631" t="s">
        <v>38</v>
      </c>
      <c r="Z152" s="631"/>
      <c r="AA152" s="618">
        <f t="shared" ref="AA152:AU152" si="159">IFERROR((AA54-Z54)/Z54,0)</f>
        <v>0.80453422616427606</v>
      </c>
      <c r="AB152" s="618">
        <f t="shared" si="159"/>
        <v>1.5302192478690346</v>
      </c>
      <c r="AC152" s="618">
        <f t="shared" si="159"/>
        <v>9.9160296279928534E-2</v>
      </c>
      <c r="AD152" s="618">
        <f t="shared" si="159"/>
        <v>0.13132998608121838</v>
      </c>
      <c r="AE152" s="618">
        <f t="shared" si="159"/>
        <v>-0.30183129018495497</v>
      </c>
      <c r="AF152" s="618">
        <f t="shared" si="159"/>
        <v>0.58826471450431284</v>
      </c>
      <c r="AG152" s="618">
        <f t="shared" si="159"/>
        <v>3.2362251181172259E-2</v>
      </c>
      <c r="AH152" s="618">
        <f t="shared" si="159"/>
        <v>1.0028941924515204E-2</v>
      </c>
      <c r="AI152" s="618">
        <f t="shared" si="159"/>
        <v>-0.14202361047076742</v>
      </c>
      <c r="AJ152" s="618">
        <f t="shared" si="159"/>
        <v>8.7740364038674648E-2</v>
      </c>
      <c r="AK152" s="618">
        <f t="shared" si="159"/>
        <v>-0.23749830289017096</v>
      </c>
      <c r="AL152" s="618">
        <f t="shared" si="159"/>
        <v>0.58798962176883229</v>
      </c>
      <c r="AM152" s="618">
        <f t="shared" si="159"/>
        <v>0.2833251903266823</v>
      </c>
      <c r="AN152" s="618">
        <f t="shared" si="159"/>
        <v>0.18138373174445985</v>
      </c>
      <c r="AO152" s="618">
        <f t="shared" si="159"/>
        <v>0.20160314141552169</v>
      </c>
      <c r="AP152" s="618">
        <f t="shared" si="159"/>
        <v>-0.12219425482752143</v>
      </c>
      <c r="AQ152" s="618">
        <f t="shared" si="159"/>
        <v>-9.1299006484965278E-2</v>
      </c>
      <c r="AR152" s="618">
        <f t="shared" si="159"/>
        <v>0.37250913846073685</v>
      </c>
      <c r="AS152" s="618">
        <f t="shared" si="159"/>
        <v>-1</v>
      </c>
      <c r="AT152" s="618">
        <f t="shared" si="159"/>
        <v>0</v>
      </c>
      <c r="AU152" s="618">
        <f t="shared" si="159"/>
        <v>0</v>
      </c>
      <c r="AV152" s="565"/>
      <c r="AW152" s="631" t="s">
        <v>38</v>
      </c>
      <c r="AX152" s="631"/>
      <c r="AY152" s="618">
        <f t="shared" ref="AY152:BS152" si="160">(AY54-$AX54)/$AX54</f>
        <v>3.5936315020232451E-2</v>
      </c>
      <c r="AZ152" s="618">
        <f t="shared" si="160"/>
        <v>9.9190259670943734E-2</v>
      </c>
      <c r="BA152" s="618">
        <f t="shared" si="160"/>
        <v>0.16171758796915975</v>
      </c>
      <c r="BB152" s="618">
        <f t="shared" si="160"/>
        <v>0.26171450492235793</v>
      </c>
      <c r="BC152" s="618">
        <f t="shared" si="160"/>
        <v>0.24792691641347545</v>
      </c>
      <c r="BD152" s="618">
        <f t="shared" si="160"/>
        <v>0.24363186674176995</v>
      </c>
      <c r="BE152" s="618">
        <f t="shared" si="160"/>
        <v>0.28387859359017736</v>
      </c>
      <c r="BF152" s="618">
        <f t="shared" si="160"/>
        <v>0.38139462842863647</v>
      </c>
      <c r="BG152" s="618">
        <f t="shared" si="160"/>
        <v>0.45667711884742035</v>
      </c>
      <c r="BH152" s="618">
        <f t="shared" si="160"/>
        <v>0.5491267812083005</v>
      </c>
      <c r="BI152" s="618">
        <f t="shared" si="160"/>
        <v>0.53545844276595056</v>
      </c>
      <c r="BJ152" s="618">
        <f t="shared" si="160"/>
        <v>0.416034888503728</v>
      </c>
      <c r="BK152" s="618">
        <f t="shared" si="160"/>
        <v>0.34802803974197455</v>
      </c>
      <c r="BL152" s="618">
        <f t="shared" si="160"/>
        <v>0.39442769696419067</v>
      </c>
      <c r="BM152" s="618">
        <f t="shared" si="160"/>
        <v>0.46212919064046432</v>
      </c>
      <c r="BN152" s="618">
        <f t="shared" si="160"/>
        <v>0.45084409438745515</v>
      </c>
      <c r="BO152" s="618">
        <f t="shared" si="160"/>
        <v>0.44235676832577503</v>
      </c>
      <c r="BP152" s="618">
        <f t="shared" si="160"/>
        <v>0.5112873255096736</v>
      </c>
      <c r="BQ152" s="618">
        <f t="shared" si="160"/>
        <v>-1</v>
      </c>
      <c r="BR152" s="618">
        <f t="shared" si="160"/>
        <v>-1</v>
      </c>
      <c r="BS152" s="618">
        <f t="shared" si="160"/>
        <v>-1</v>
      </c>
      <c r="BU152" s="631" t="s">
        <v>38</v>
      </c>
      <c r="BV152" s="631"/>
      <c r="BW152" s="618">
        <f t="shared" si="96"/>
        <v>3.5936315020232451E-2</v>
      </c>
      <c r="BX152" s="618">
        <f t="shared" si="97"/>
        <v>6.1059684590240366E-2</v>
      </c>
      <c r="BY152" s="618">
        <f t="shared" si="98"/>
        <v>5.6884900269162104E-2</v>
      </c>
      <c r="BZ152" s="618">
        <f t="shared" si="99"/>
        <v>8.6076786637969693E-2</v>
      </c>
      <c r="CA152" s="618">
        <f t="shared" si="100"/>
        <v>-1.0927661095352873E-2</v>
      </c>
      <c r="CB152" s="618">
        <f t="shared" si="101"/>
        <v>-3.4417477619998905E-3</v>
      </c>
      <c r="CC152" s="618">
        <f t="shared" si="102"/>
        <v>3.2362251181172356E-2</v>
      </c>
      <c r="CD152" s="618">
        <f t="shared" si="103"/>
        <v>7.5954249354504663E-2</v>
      </c>
      <c r="CE152" s="618">
        <f t="shared" si="109"/>
        <v>5.4497454144887776E-2</v>
      </c>
      <c r="CF152" s="618">
        <f t="shared" si="110"/>
        <v>6.3466132037571857E-2</v>
      </c>
      <c r="CG152" s="618">
        <f t="shared" si="111"/>
        <v>-8.8232535956087391E-3</v>
      </c>
      <c r="CH152" s="618">
        <f t="shared" si="112"/>
        <v>-7.7777132181509834E-2</v>
      </c>
      <c r="CI152" s="618">
        <f t="shared" si="113"/>
        <v>-4.8026252258243272E-2</v>
      </c>
      <c r="CJ152" s="618">
        <f t="shared" si="114"/>
        <v>3.4420394720496648E-2</v>
      </c>
      <c r="CK152" s="618">
        <f t="shared" si="122"/>
        <v>4.8551455069105846E-2</v>
      </c>
      <c r="CL152" s="618">
        <f t="shared" si="123"/>
        <v>-7.7182620559445156E-3</v>
      </c>
      <c r="CM152" s="618">
        <f t="shared" si="115"/>
        <v>-5.8499228790419759E-3</v>
      </c>
      <c r="CN152" s="618">
        <f t="shared" si="116"/>
        <v>4.7790226868703323E-2</v>
      </c>
      <c r="CO152" s="618">
        <f t="shared" si="117"/>
        <v>-1</v>
      </c>
      <c r="CP152" s="618" t="e">
        <f t="shared" si="118"/>
        <v>#DIV/0!</v>
      </c>
      <c r="CQ152" s="618" t="e">
        <f t="shared" si="119"/>
        <v>#DIV/0!</v>
      </c>
      <c r="CZ152" s="3"/>
      <c r="DA152" s="3"/>
      <c r="DC152" s="41"/>
      <c r="DD152" s="41"/>
      <c r="DE152" s="3"/>
      <c r="DF152" s="118"/>
      <c r="DG152" s="700"/>
      <c r="DH152" s="700"/>
      <c r="DI152" s="700"/>
      <c r="DJ152" s="700"/>
      <c r="DK152" s="43"/>
      <c r="DL152" s="43"/>
      <c r="DS152" s="3"/>
      <c r="DT152" s="3"/>
      <c r="DV152" s="41"/>
      <c r="DW152" s="41"/>
      <c r="DY152" s="118"/>
      <c r="DZ152" s="3"/>
      <c r="EA152" s="486"/>
      <c r="EB152" s="486"/>
      <c r="EC152" s="486"/>
      <c r="ED152" s="486"/>
      <c r="EE152" s="43"/>
      <c r="EF152" s="43"/>
      <c r="EL152" s="3"/>
      <c r="EM152" s="3"/>
      <c r="EO152" s="41"/>
      <c r="EP152" s="41"/>
      <c r="FC152" s="3"/>
      <c r="FE152" s="39"/>
      <c r="FF152" s="39"/>
      <c r="FH152" s="41"/>
      <c r="FI152" s="41"/>
      <c r="FM152" s="3"/>
      <c r="FN152" s="3"/>
      <c r="FO152" s="486"/>
      <c r="FP152" s="486"/>
      <c r="FQ152" s="486"/>
      <c r="FR152" s="486"/>
      <c r="FS152" s="43"/>
      <c r="FT152" s="43"/>
      <c r="FX152" s="3"/>
      <c r="FY152" s="3"/>
      <c r="GA152" s="41"/>
      <c r="GB152" s="41"/>
      <c r="GG152" s="3"/>
      <c r="GH152" s="3"/>
      <c r="GI152" s="486"/>
      <c r="GJ152" s="486"/>
      <c r="GK152" s="486"/>
      <c r="GL152" s="486"/>
      <c r="GM152" s="43"/>
      <c r="GN152" s="43"/>
      <c r="GO152" s="393"/>
      <c r="GS152" s="3"/>
      <c r="GT152" s="3"/>
      <c r="GV152" s="41"/>
      <c r="GW152" s="41"/>
      <c r="HA152" s="3"/>
      <c r="HB152" s="3"/>
      <c r="HC152" s="43"/>
      <c r="HD152" s="43"/>
      <c r="HE152" s="43"/>
      <c r="HF152" s="43"/>
      <c r="HG152" s="43"/>
    </row>
    <row r="153" spans="1:215">
      <c r="A153" s="632" t="s">
        <v>39</v>
      </c>
      <c r="B153" s="632"/>
      <c r="C153" s="616">
        <f t="shared" si="128"/>
        <v>0.27185485785697711</v>
      </c>
      <c r="D153" s="616">
        <f t="shared" si="129"/>
        <v>0.42531774201860384</v>
      </c>
      <c r="E153" s="616">
        <f t="shared" si="130"/>
        <v>0.51336053308694973</v>
      </c>
      <c r="F153" s="616">
        <f t="shared" si="131"/>
        <v>0.445798079790034</v>
      </c>
      <c r="G153" s="616">
        <f t="shared" si="132"/>
        <v>0.51337301408362568</v>
      </c>
      <c r="H153" s="616">
        <f t="shared" si="133"/>
        <v>0.58003119904072309</v>
      </c>
      <c r="I153" s="616">
        <f t="shared" si="134"/>
        <v>0.67622827961481669</v>
      </c>
      <c r="J153" s="616">
        <f t="shared" si="135"/>
        <v>0.72984675636726382</v>
      </c>
      <c r="K153" s="616">
        <f t="shared" si="136"/>
        <v>0.71675263791903954</v>
      </c>
      <c r="L153" s="616">
        <f t="shared" si="137"/>
        <v>1.0269147804448893</v>
      </c>
      <c r="M153" s="616">
        <f t="shared" si="138"/>
        <v>1.3469619298542679</v>
      </c>
      <c r="N153" s="616">
        <f t="shared" si="139"/>
        <v>1.9429085277531351</v>
      </c>
      <c r="O153" s="616">
        <f t="shared" si="140"/>
        <v>1.9072660221487652</v>
      </c>
      <c r="P153" s="616">
        <f t="shared" si="141"/>
        <v>2.0258180631885829</v>
      </c>
      <c r="Q153" s="616">
        <f t="shared" si="142"/>
        <v>2.4343283889414451</v>
      </c>
      <c r="R153" s="616">
        <f t="shared" si="143"/>
        <v>2.5988136036191904</v>
      </c>
      <c r="S153" s="616">
        <f t="shared" si="144"/>
        <v>2.3229332504794544</v>
      </c>
      <c r="T153" s="616">
        <f t="shared" si="145"/>
        <v>2.7307021360104247</v>
      </c>
      <c r="U153" s="616">
        <f t="shared" si="146"/>
        <v>2.4452079644633238</v>
      </c>
      <c r="V153" s="616">
        <f t="shared" si="147"/>
        <v>2.2294848074636593</v>
      </c>
      <c r="W153" s="616">
        <f t="shared" si="148"/>
        <v>2.2766929983104065</v>
      </c>
      <c r="Y153" s="632" t="s">
        <v>39</v>
      </c>
      <c r="Z153" s="632"/>
      <c r="AA153" s="616">
        <f t="shared" ref="AA153:AU153" si="161">IFERROR((AA55-Z55)/Z55,0)</f>
        <v>0.27185485785697711</v>
      </c>
      <c r="AB153" s="616">
        <f t="shared" si="161"/>
        <v>0.12066068955399938</v>
      </c>
      <c r="AC153" s="616">
        <f t="shared" si="161"/>
        <v>6.1770641361452092E-2</v>
      </c>
      <c r="AD153" s="616">
        <f t="shared" si="161"/>
        <v>-4.4643990522933732E-2</v>
      </c>
      <c r="AE153" s="616">
        <f t="shared" si="161"/>
        <v>4.6738846342502569E-2</v>
      </c>
      <c r="AF153" s="616">
        <f t="shared" si="161"/>
        <v>4.4046103859900126E-2</v>
      </c>
      <c r="AG153" s="616">
        <f t="shared" si="161"/>
        <v>6.0883026001320263E-2</v>
      </c>
      <c r="AH153" s="616">
        <f t="shared" si="161"/>
        <v>3.1987574368312288E-2</v>
      </c>
      <c r="AI153" s="616">
        <f t="shared" si="161"/>
        <v>-7.5695251039013464E-3</v>
      </c>
      <c r="AJ153" s="616">
        <f t="shared" si="161"/>
        <v>0.18066792831715847</v>
      </c>
      <c r="AK153" s="616">
        <f t="shared" si="161"/>
        <v>0.15789867067777327</v>
      </c>
      <c r="AL153" s="616">
        <f t="shared" si="161"/>
        <v>0.25392256700809451</v>
      </c>
      <c r="AM153" s="616">
        <f t="shared" si="161"/>
        <v>-1.2111319556229089E-2</v>
      </c>
      <c r="AN153" s="616">
        <f t="shared" si="161"/>
        <v>4.0777844248389719E-2</v>
      </c>
      <c r="AO153" s="616">
        <f t="shared" si="161"/>
        <v>0.13500822495665099</v>
      </c>
      <c r="AP153" s="616">
        <f t="shared" si="161"/>
        <v>4.7894434092962276E-2</v>
      </c>
      <c r="AQ153" s="616">
        <f t="shared" si="161"/>
        <v>-7.6658694649340511E-2</v>
      </c>
      <c r="AR153" s="616">
        <f t="shared" si="161"/>
        <v>0.12271353493848683</v>
      </c>
      <c r="AS153" s="616">
        <f t="shared" si="161"/>
        <v>-7.6525587178719462E-2</v>
      </c>
      <c r="AT153" s="616">
        <f t="shared" si="161"/>
        <v>-6.261542386549919E-2</v>
      </c>
      <c r="AU153" s="616">
        <f t="shared" si="161"/>
        <v>1.4617870546300303E-2</v>
      </c>
      <c r="AV153" s="565"/>
      <c r="AW153" s="632" t="s">
        <v>39</v>
      </c>
      <c r="AX153" s="632"/>
      <c r="AY153" s="616">
        <f t="shared" ref="AY153:BS153" si="162">(AY55-$AX55)/$AX55</f>
        <v>4.7815384250734609E-2</v>
      </c>
      <c r="AZ153" s="616">
        <f t="shared" si="162"/>
        <v>8.4632037828791307E-2</v>
      </c>
      <c r="BA153" s="616">
        <f t="shared" si="162"/>
        <v>0.12210146843520163</v>
      </c>
      <c r="BB153" s="616">
        <f t="shared" si="162"/>
        <v>0.22246341705824005</v>
      </c>
      <c r="BC153" s="616">
        <f t="shared" si="162"/>
        <v>0.24678969181957233</v>
      </c>
      <c r="BD153" s="616">
        <f t="shared" si="162"/>
        <v>0.26745050112751773</v>
      </c>
      <c r="BE153" s="616">
        <f t="shared" si="162"/>
        <v>0.3446167229430509</v>
      </c>
      <c r="BF153" s="616">
        <f t="shared" si="162"/>
        <v>0.50606218716284301</v>
      </c>
      <c r="BG153" s="616">
        <f t="shared" si="162"/>
        <v>0.600911432322489</v>
      </c>
      <c r="BH153" s="616">
        <f t="shared" si="162"/>
        <v>0.67736776501158225</v>
      </c>
      <c r="BI153" s="616">
        <f t="shared" si="162"/>
        <v>0.81117111965210142</v>
      </c>
      <c r="BJ153" s="616">
        <f t="shared" si="162"/>
        <v>0.82704190845131553</v>
      </c>
      <c r="BK153" s="616">
        <f t="shared" si="162"/>
        <v>0.71999758623107535</v>
      </c>
      <c r="BL153" s="616">
        <f t="shared" si="162"/>
        <v>0.72756841263965588</v>
      </c>
      <c r="BM153" s="616">
        <f t="shared" si="162"/>
        <v>0.76601596508155789</v>
      </c>
      <c r="BN153" s="616">
        <f t="shared" si="162"/>
        <v>0.83088018036694133</v>
      </c>
      <c r="BO153" s="616">
        <f t="shared" si="162"/>
        <v>0.94977970150068458</v>
      </c>
      <c r="BP153" s="616">
        <f t="shared" si="162"/>
        <v>0.94445927580827138</v>
      </c>
      <c r="BQ153" s="616">
        <f t="shared" si="162"/>
        <v>1.1088086472452463</v>
      </c>
      <c r="BR153" s="616">
        <f t="shared" si="162"/>
        <v>0.98477874488145845</v>
      </c>
      <c r="BS153" s="616">
        <f t="shared" si="162"/>
        <v>1.0088554838791928</v>
      </c>
      <c r="BU153" s="632" t="s">
        <v>39</v>
      </c>
      <c r="BV153" s="632"/>
      <c r="BW153" s="616">
        <f t="shared" si="96"/>
        <v>4.7815384250734609E-2</v>
      </c>
      <c r="BX153" s="616">
        <f t="shared" si="97"/>
        <v>3.5136584298562597E-2</v>
      </c>
      <c r="BY153" s="616">
        <f t="shared" si="98"/>
        <v>3.4545753121414675E-2</v>
      </c>
      <c r="BZ153" s="616">
        <f t="shared" si="99"/>
        <v>8.9441063438759807E-2</v>
      </c>
      <c r="CA153" s="616">
        <f t="shared" si="100"/>
        <v>1.9899388743976915E-2</v>
      </c>
      <c r="CB153" s="616">
        <f t="shared" si="101"/>
        <v>1.6571206389902747E-2</v>
      </c>
      <c r="CC153" s="616">
        <f t="shared" si="102"/>
        <v>6.088302600132036E-2</v>
      </c>
      <c r="CD153" s="616">
        <f t="shared" si="103"/>
        <v>0.12006801749901327</v>
      </c>
      <c r="CE153" s="616">
        <f t="shared" si="109"/>
        <v>6.2978305921301519E-2</v>
      </c>
      <c r="CF153" s="616">
        <f t="shared" si="110"/>
        <v>4.7758002813544691E-2</v>
      </c>
      <c r="CG153" s="616">
        <f t="shared" si="111"/>
        <v>7.9769837856395909E-2</v>
      </c>
      <c r="CH153" s="616">
        <f t="shared" si="112"/>
        <v>8.7627218803393043E-3</v>
      </c>
      <c r="CI153" s="616">
        <f t="shared" si="113"/>
        <v>-5.8588870745157576E-2</v>
      </c>
      <c r="CJ153" s="616">
        <f t="shared" si="114"/>
        <v>4.4016494378751152E-3</v>
      </c>
      <c r="CK153" s="616">
        <f t="shared" si="122"/>
        <v>2.2255299506869122E-2</v>
      </c>
      <c r="CL153" s="616">
        <f t="shared" si="123"/>
        <v>3.6729121688539132E-2</v>
      </c>
      <c r="CM153" s="616">
        <f t="shared" si="115"/>
        <v>6.4941180973357646E-2</v>
      </c>
      <c r="CN153" s="616">
        <f t="shared" si="116"/>
        <v>-2.7287317066221799E-3</v>
      </c>
      <c r="CO153" s="616">
        <f t="shared" si="117"/>
        <v>8.4521889186215199E-2</v>
      </c>
      <c r="CP153" s="616">
        <f t="shared" si="118"/>
        <v>-5.8815152586655567E-2</v>
      </c>
      <c r="CQ153" s="616">
        <f t="shared" si="119"/>
        <v>1.2130691675243822E-2</v>
      </c>
      <c r="CZ153" s="3"/>
      <c r="DA153" s="3"/>
      <c r="DC153" s="41"/>
      <c r="DD153" s="41"/>
      <c r="DE153" s="3"/>
      <c r="DF153" s="118"/>
      <c r="DG153" s="700"/>
      <c r="DH153" s="700"/>
      <c r="DI153" s="700"/>
      <c r="DJ153" s="700"/>
      <c r="DK153" s="43"/>
      <c r="DL153" s="43"/>
      <c r="DS153" s="3"/>
      <c r="DT153" s="3"/>
      <c r="DV153" s="41"/>
      <c r="DW153" s="41"/>
      <c r="DY153" s="118"/>
      <c r="DZ153" s="3"/>
      <c r="EA153" s="486"/>
      <c r="EB153" s="486"/>
      <c r="EC153" s="486"/>
      <c r="ED153" s="486"/>
      <c r="EE153" s="43"/>
      <c r="EF153" s="43"/>
      <c r="EL153" s="3"/>
      <c r="EM153" s="3"/>
      <c r="EO153" s="41"/>
      <c r="EP153" s="41"/>
      <c r="FC153" s="3"/>
      <c r="FE153" s="39"/>
      <c r="FF153" s="39"/>
      <c r="FH153" s="41"/>
      <c r="FI153" s="41"/>
      <c r="FM153" s="3"/>
      <c r="FN153" s="3"/>
      <c r="FO153" s="486"/>
      <c r="FP153" s="486"/>
      <c r="FQ153" s="486"/>
      <c r="FR153" s="486"/>
      <c r="FS153" s="43"/>
      <c r="FT153" s="43"/>
      <c r="FX153" s="3"/>
      <c r="FY153" s="3"/>
      <c r="GA153" s="41"/>
      <c r="GB153" s="41"/>
      <c r="GG153" s="3"/>
      <c r="GH153" s="3"/>
      <c r="GI153" s="486"/>
      <c r="GJ153" s="486"/>
      <c r="GK153" s="486"/>
      <c r="GL153" s="486"/>
      <c r="GM153" s="43"/>
      <c r="GN153" s="43"/>
      <c r="GO153" s="393"/>
      <c r="GS153" s="3"/>
      <c r="GT153" s="3"/>
      <c r="GV153" s="41"/>
      <c r="GW153" s="41"/>
      <c r="HA153" s="3"/>
      <c r="HB153" s="3"/>
      <c r="HC153" s="43"/>
      <c r="HD153" s="43"/>
      <c r="HE153" s="43"/>
      <c r="HF153" s="43"/>
      <c r="HG153" s="43"/>
    </row>
    <row r="154" spans="1:215">
      <c r="A154" s="631" t="s">
        <v>40</v>
      </c>
      <c r="B154" s="631"/>
      <c r="C154" s="618">
        <f t="shared" si="128"/>
        <v>0.24067412450526718</v>
      </c>
      <c r="D154" s="618">
        <f t="shared" si="129"/>
        <v>0.39252728006387538</v>
      </c>
      <c r="E154" s="618">
        <f t="shared" si="130"/>
        <v>4.6692694695090062E-2</v>
      </c>
      <c r="F154" s="618">
        <f t="shared" si="131"/>
        <v>0.56401149296999997</v>
      </c>
      <c r="G154" s="618">
        <f t="shared" si="132"/>
        <v>0.61978416339706555</v>
      </c>
      <c r="H154" s="618">
        <f t="shared" si="133"/>
        <v>0.58447325795364469</v>
      </c>
      <c r="I154" s="618">
        <f t="shared" si="134"/>
        <v>0.97699545833082946</v>
      </c>
      <c r="J154" s="618">
        <f t="shared" si="135"/>
        <v>0.45675469549066922</v>
      </c>
      <c r="K154" s="618">
        <f t="shared" si="136"/>
        <v>0.78931999450535317</v>
      </c>
      <c r="L154" s="618">
        <f t="shared" si="137"/>
        <v>0.81155042054082216</v>
      </c>
      <c r="M154" s="618">
        <f t="shared" si="138"/>
        <v>0.8365627262606925</v>
      </c>
      <c r="N154" s="618">
        <f t="shared" si="139"/>
        <v>0.95918743614619173</v>
      </c>
      <c r="O154" s="618">
        <f t="shared" si="140"/>
        <v>1.0574930386828874</v>
      </c>
      <c r="P154" s="618">
        <f t="shared" si="141"/>
        <v>1.1297315492901321</v>
      </c>
      <c r="Q154" s="618">
        <f t="shared" si="142"/>
        <v>1.2460788395992339</v>
      </c>
      <c r="R154" s="618">
        <f t="shared" si="143"/>
        <v>1.3080815668901733</v>
      </c>
      <c r="S154" s="618">
        <f t="shared" si="144"/>
        <v>1.4410761352026582</v>
      </c>
      <c r="T154" s="618">
        <f t="shared" si="145"/>
        <v>1.5521187301641814</v>
      </c>
      <c r="U154" s="618">
        <f t="shared" si="146"/>
        <v>1.3124457332062696</v>
      </c>
      <c r="V154" s="618">
        <f t="shared" si="147"/>
        <v>1.1672551948739525</v>
      </c>
      <c r="W154" s="618">
        <f t="shared" si="148"/>
        <v>1.1877294086672334</v>
      </c>
      <c r="Y154" s="631" t="s">
        <v>40</v>
      </c>
      <c r="Z154" s="631"/>
      <c r="AA154" s="618">
        <f t="shared" ref="AA154:AU154" si="163">IFERROR((AA56-Z56)/Z56,0)</f>
        <v>0.24067412450526718</v>
      </c>
      <c r="AB154" s="618">
        <f t="shared" si="163"/>
        <v>0.122395681959726</v>
      </c>
      <c r="AC154" s="618">
        <f t="shared" si="163"/>
        <v>-0.2483503126437292</v>
      </c>
      <c r="AD154" s="618">
        <f t="shared" si="163"/>
        <v>0.49424133835729978</v>
      </c>
      <c r="AE154" s="618">
        <f t="shared" si="163"/>
        <v>3.5660013163429732E-2</v>
      </c>
      <c r="AF154" s="618">
        <f t="shared" si="163"/>
        <v>-2.1799759647832088E-2</v>
      </c>
      <c r="AG154" s="618">
        <f t="shared" si="163"/>
        <v>0.24773040403605751</v>
      </c>
      <c r="AH154" s="618">
        <f t="shared" si="163"/>
        <v>-0.26314717145551653</v>
      </c>
      <c r="AI154" s="618">
        <f t="shared" si="163"/>
        <v>0.2282919011993767</v>
      </c>
      <c r="AJ154" s="618">
        <f t="shared" si="163"/>
        <v>1.2423952173861689E-2</v>
      </c>
      <c r="AK154" s="618">
        <f t="shared" si="163"/>
        <v>1.3807126446087599E-2</v>
      </c>
      <c r="AL154" s="618">
        <f t="shared" si="163"/>
        <v>6.6768593379420038E-2</v>
      </c>
      <c r="AM154" s="618">
        <f t="shared" si="163"/>
        <v>5.0176721595391133E-2</v>
      </c>
      <c r="AN154" s="618">
        <f t="shared" si="163"/>
        <v>3.5109965987291325E-2</v>
      </c>
      <c r="AO154" s="618">
        <f t="shared" si="163"/>
        <v>5.4630026187047792E-2</v>
      </c>
      <c r="AP154" s="618">
        <f t="shared" si="163"/>
        <v>2.7604875749598506E-2</v>
      </c>
      <c r="AQ154" s="618">
        <f t="shared" si="163"/>
        <v>5.762126010636491E-2</v>
      </c>
      <c r="AR154" s="618">
        <f t="shared" si="163"/>
        <v>4.5489197719064352E-2</v>
      </c>
      <c r="AS154" s="618">
        <f t="shared" si="163"/>
        <v>-9.3911381992205903E-2</v>
      </c>
      <c r="AT154" s="618">
        <f t="shared" si="163"/>
        <v>-6.2786571052202103E-2</v>
      </c>
      <c r="AU154" s="618">
        <f t="shared" si="163"/>
        <v>9.4470710425366977E-3</v>
      </c>
      <c r="AV154" s="565"/>
      <c r="AW154" s="631" t="s">
        <v>40</v>
      </c>
      <c r="AX154" s="631"/>
      <c r="AY154" s="618">
        <f t="shared" ref="AY154:BS154" si="164">(AY56-$AX56)/$AX56</f>
        <v>0.24621284827538004</v>
      </c>
      <c r="AZ154" s="618">
        <f t="shared" si="164"/>
        <v>0.18806890957830638</v>
      </c>
      <c r="BA154" s="618">
        <f t="shared" si="164"/>
        <v>0.24606273177986915</v>
      </c>
      <c r="BB154" s="618">
        <f t="shared" si="164"/>
        <v>0.32294205232424805</v>
      </c>
      <c r="BC154" s="618">
        <f t="shared" si="164"/>
        <v>0.70334445754056507</v>
      </c>
      <c r="BD154" s="618">
        <f t="shared" si="164"/>
        <v>0.69764991923604802</v>
      </c>
      <c r="BE154" s="618">
        <f t="shared" si="164"/>
        <v>0.55335357440279465</v>
      </c>
      <c r="BF154" s="618">
        <f t="shared" si="164"/>
        <v>0.51604043941640665</v>
      </c>
      <c r="BG154" s="618">
        <f t="shared" si="164"/>
        <v>0.88181513558572999</v>
      </c>
      <c r="BH154" s="618">
        <f t="shared" si="164"/>
        <v>0.76556343946096861</v>
      </c>
      <c r="BI154" s="618">
        <f t="shared" si="164"/>
        <v>0.8375473780435706</v>
      </c>
      <c r="BJ154" s="618">
        <f t="shared" si="164"/>
        <v>0.828534409204842</v>
      </c>
      <c r="BK154" s="618">
        <f t="shared" si="164"/>
        <v>0.75815082744723361</v>
      </c>
      <c r="BL154" s="618">
        <f t="shared" si="164"/>
        <v>0.77771771414507751</v>
      </c>
      <c r="BM154" s="618">
        <f t="shared" si="164"/>
        <v>0.98624950787341237</v>
      </c>
      <c r="BN154" s="618">
        <f t="shared" si="164"/>
        <v>1.3651732847727553</v>
      </c>
      <c r="BO154" s="618">
        <f t="shared" si="164"/>
        <v>1.3502134286065881</v>
      </c>
      <c r="BP154" s="618">
        <f t="shared" si="164"/>
        <v>1.2366681220940001</v>
      </c>
      <c r="BQ154" s="618">
        <f t="shared" si="164"/>
        <v>1.3769187060024519</v>
      </c>
      <c r="BR154" s="618">
        <f t="shared" si="164"/>
        <v>1.2738528851189508</v>
      </c>
      <c r="BS154" s="618">
        <f t="shared" si="164"/>
        <v>1.3253858211124452</v>
      </c>
      <c r="BU154" s="631" t="s">
        <v>40</v>
      </c>
      <c r="BV154" s="631"/>
      <c r="BW154" s="618">
        <f t="shared" si="96"/>
        <v>0.24621284827538004</v>
      </c>
      <c r="BX154" s="618">
        <f t="shared" si="97"/>
        <v>-4.6656507174948798E-2</v>
      </c>
      <c r="BY154" s="618">
        <f t="shared" si="98"/>
        <v>4.8813517241308106E-2</v>
      </c>
      <c r="BZ154" s="618">
        <f t="shared" si="99"/>
        <v>6.1697793043344551E-2</v>
      </c>
      <c r="CA154" s="618">
        <f t="shared" si="100"/>
        <v>0.2875427571056467</v>
      </c>
      <c r="CB154" s="618">
        <f t="shared" si="101"/>
        <v>-3.3431513393006687E-3</v>
      </c>
      <c r="CC154" s="618">
        <f t="shared" si="102"/>
        <v>-8.4997703706891164E-2</v>
      </c>
      <c r="CD154" s="618">
        <f t="shared" si="103"/>
        <v>-2.4021018524860629E-2</v>
      </c>
      <c r="CE154" s="618">
        <f t="shared" si="109"/>
        <v>0.24126974891918238</v>
      </c>
      <c r="CF154" s="618">
        <f t="shared" si="110"/>
        <v>-6.1776363642955356E-2</v>
      </c>
      <c r="CG154" s="618">
        <f t="shared" si="111"/>
        <v>4.0771085860601491E-2</v>
      </c>
      <c r="CH154" s="618">
        <f t="shared" si="112"/>
        <v>-4.9048905875421385E-3</v>
      </c>
      <c r="CI154" s="618">
        <f t="shared" si="113"/>
        <v>-3.8491800538889218E-2</v>
      </c>
      <c r="CJ154" s="618">
        <f t="shared" si="114"/>
        <v>1.1129242379195783E-2</v>
      </c>
      <c r="CK154" s="618">
        <f t="shared" si="122"/>
        <v>0.11730309715039315</v>
      </c>
      <c r="CL154" s="618">
        <f t="shared" si="123"/>
        <v>0.19077350322671169</v>
      </c>
      <c r="CM154" s="618">
        <f t="shared" si="115"/>
        <v>-6.3250571374539148E-3</v>
      </c>
      <c r="CN154" s="618">
        <f t="shared" si="116"/>
        <v>-4.8312763909236771E-2</v>
      </c>
      <c r="CO154" s="618">
        <f t="shared" si="117"/>
        <v>6.2705138291660079E-2</v>
      </c>
      <c r="CP154" s="618">
        <f t="shared" si="118"/>
        <v>-4.3361104703845521E-2</v>
      </c>
      <c r="CQ154" s="618">
        <f t="shared" si="119"/>
        <v>2.2663267413097744E-2</v>
      </c>
      <c r="CZ154" s="3"/>
      <c r="DA154" s="3"/>
      <c r="DC154" s="41"/>
      <c r="DD154" s="41"/>
      <c r="DE154" s="3"/>
      <c r="DF154" s="118"/>
      <c r="DG154" s="700"/>
      <c r="DH154" s="700"/>
      <c r="DI154" s="700"/>
      <c r="DJ154" s="700"/>
      <c r="DK154" s="43"/>
      <c r="DL154" s="43"/>
      <c r="DS154" s="3"/>
      <c r="DT154" s="3"/>
      <c r="DV154" s="41"/>
      <c r="DW154" s="41"/>
      <c r="DY154" s="118"/>
      <c r="DZ154" s="3"/>
      <c r="EA154" s="486"/>
      <c r="EB154" s="486"/>
      <c r="EC154" s="486"/>
      <c r="ED154" s="486"/>
      <c r="EE154" s="43"/>
      <c r="EF154" s="43"/>
      <c r="EL154" s="3"/>
      <c r="EM154" s="3"/>
      <c r="EO154" s="41"/>
      <c r="EP154" s="41"/>
      <c r="FC154" s="3"/>
      <c r="FE154" s="39"/>
      <c r="FF154" s="39"/>
      <c r="FH154" s="41"/>
      <c r="FI154" s="41"/>
      <c r="FM154" s="3"/>
      <c r="FN154" s="3"/>
      <c r="FO154" s="486"/>
      <c r="FP154" s="486"/>
      <c r="FQ154" s="486"/>
      <c r="FR154" s="486"/>
      <c r="FS154" s="43"/>
      <c r="FT154" s="43"/>
      <c r="FX154" s="3"/>
      <c r="FY154" s="3"/>
      <c r="GA154" s="41"/>
      <c r="GB154" s="41"/>
      <c r="GG154" s="3"/>
      <c r="GH154" s="3"/>
      <c r="GI154" s="486"/>
      <c r="GJ154" s="486"/>
      <c r="GK154" s="486"/>
      <c r="GL154" s="486"/>
      <c r="GM154" s="43"/>
      <c r="GN154" s="43"/>
      <c r="GO154" s="393"/>
      <c r="GS154" s="3"/>
      <c r="GT154" s="3"/>
      <c r="GV154" s="41"/>
      <c r="GW154" s="41"/>
      <c r="HA154" s="3"/>
      <c r="HB154" s="3"/>
      <c r="HC154" s="43"/>
      <c r="HD154" s="43"/>
      <c r="HE154" s="43"/>
      <c r="HF154" s="43"/>
      <c r="HG154" s="43"/>
    </row>
    <row r="155" spans="1:215">
      <c r="A155" s="631" t="s">
        <v>41</v>
      </c>
      <c r="B155" s="631"/>
      <c r="C155" s="618">
        <f t="shared" si="128"/>
        <v>0.23269763173402747</v>
      </c>
      <c r="D155" s="618">
        <f t="shared" si="129"/>
        <v>0.405339340961548</v>
      </c>
      <c r="E155" s="618">
        <f t="shared" si="130"/>
        <v>0.46411322005598404</v>
      </c>
      <c r="F155" s="618">
        <f t="shared" si="131"/>
        <v>0.67657209153857478</v>
      </c>
      <c r="G155" s="618">
        <f t="shared" si="132"/>
        <v>1.2306229435741294</v>
      </c>
      <c r="H155" s="618">
        <f t="shared" si="133"/>
        <v>0.73773971173206299</v>
      </c>
      <c r="I155" s="618">
        <f t="shared" si="134"/>
        <v>0.44311373569709778</v>
      </c>
      <c r="J155" s="618">
        <f t="shared" si="135"/>
        <v>0.68442042552669058</v>
      </c>
      <c r="K155" s="618">
        <f t="shared" si="136"/>
        <v>0.6893547733634533</v>
      </c>
      <c r="L155" s="618">
        <f t="shared" si="137"/>
        <v>0.69467339660167959</v>
      </c>
      <c r="M155" s="618">
        <f t="shared" si="138"/>
        <v>0.76032387172813443</v>
      </c>
      <c r="N155" s="618">
        <f t="shared" si="139"/>
        <v>0.77546637897166426</v>
      </c>
      <c r="O155" s="618">
        <f t="shared" si="140"/>
        <v>0.72092474709031096</v>
      </c>
      <c r="P155" s="618">
        <f t="shared" si="141"/>
        <v>1.018799722535972</v>
      </c>
      <c r="Q155" s="618">
        <f t="shared" si="142"/>
        <v>0.84757464518980508</v>
      </c>
      <c r="R155" s="618">
        <f t="shared" si="143"/>
        <v>0.93706784363797091</v>
      </c>
      <c r="S155" s="618">
        <f t="shared" si="144"/>
        <v>0.91694111255708888</v>
      </c>
      <c r="T155" s="618">
        <f t="shared" si="145"/>
        <v>1.0401578537052498</v>
      </c>
      <c r="U155" s="618">
        <f t="shared" si="146"/>
        <v>1.0171418442763835</v>
      </c>
      <c r="V155" s="618">
        <f t="shared" si="147"/>
        <v>1.0276483388989834</v>
      </c>
      <c r="W155" s="618">
        <f t="shared" si="148"/>
        <v>1.0717723321710946</v>
      </c>
      <c r="Y155" s="631" t="s">
        <v>41</v>
      </c>
      <c r="Z155" s="631"/>
      <c r="AA155" s="618">
        <f t="shared" ref="AA155:AU155" si="165">IFERROR((AA57-Z57)/Z57,0)</f>
        <v>0.23269763173402747</v>
      </c>
      <c r="AB155" s="618">
        <f t="shared" si="165"/>
        <v>0.14005195173829171</v>
      </c>
      <c r="AC155" s="618">
        <f t="shared" si="165"/>
        <v>4.1821841445228686E-2</v>
      </c>
      <c r="AD155" s="618">
        <f t="shared" si="165"/>
        <v>0.14511095765836121</v>
      </c>
      <c r="AE155" s="618">
        <f t="shared" si="165"/>
        <v>0.33046646477760899</v>
      </c>
      <c r="AF155" s="618">
        <f t="shared" si="165"/>
        <v>-0.22096214569205461</v>
      </c>
      <c r="AG155" s="618">
        <f t="shared" si="165"/>
        <v>-0.16954551596297565</v>
      </c>
      <c r="AH155" s="618">
        <f t="shared" si="165"/>
        <v>0.16721252376759432</v>
      </c>
      <c r="AI155" s="618">
        <f t="shared" si="165"/>
        <v>2.9294039433295574E-3</v>
      </c>
      <c r="AJ155" s="618">
        <f t="shared" si="165"/>
        <v>3.1483163407039047E-3</v>
      </c>
      <c r="AK155" s="618">
        <f t="shared" si="165"/>
        <v>3.8739308269135173E-2</v>
      </c>
      <c r="AL155" s="618">
        <f t="shared" si="165"/>
        <v>8.6021143533457842E-3</v>
      </c>
      <c r="AM155" s="618">
        <f t="shared" si="165"/>
        <v>-3.0719608395481612E-2</v>
      </c>
      <c r="AN155" s="618">
        <f t="shared" si="165"/>
        <v>0.17309006448381861</v>
      </c>
      <c r="AO155" s="618">
        <f t="shared" si="165"/>
        <v>-8.4815286744282833E-2</v>
      </c>
      <c r="AP155" s="618">
        <f t="shared" si="165"/>
        <v>4.843820447588576E-2</v>
      </c>
      <c r="AQ155" s="618">
        <f t="shared" si="165"/>
        <v>-1.0390307777285919E-2</v>
      </c>
      <c r="AR155" s="618">
        <f t="shared" si="165"/>
        <v>6.4277791498663764E-2</v>
      </c>
      <c r="AS155" s="618">
        <f t="shared" si="165"/>
        <v>-1.128148461015676E-2</v>
      </c>
      <c r="AT155" s="618">
        <f t="shared" si="165"/>
        <v>5.2086047654069526E-3</v>
      </c>
      <c r="AU155" s="618">
        <f t="shared" si="165"/>
        <v>2.176116658181005E-2</v>
      </c>
      <c r="AV155" s="565"/>
      <c r="AW155" s="631" t="s">
        <v>41</v>
      </c>
      <c r="AX155" s="631"/>
      <c r="AY155" s="618">
        <f t="shared" ref="AY155:BS155" si="166">(AY57-$AX57)/$AX57</f>
        <v>-3.6365547422131696E-3</v>
      </c>
      <c r="AZ155" s="618">
        <f t="shared" si="166"/>
        <v>0.2296719233413545</v>
      </c>
      <c r="BA155" s="618">
        <f t="shared" si="166"/>
        <v>0.25039734697591659</v>
      </c>
      <c r="BB155" s="618">
        <f t="shared" si="166"/>
        <v>0.32956915320270425</v>
      </c>
      <c r="BC155" s="618">
        <f t="shared" si="166"/>
        <v>0.17362841148834934</v>
      </c>
      <c r="BD155" s="618">
        <f t="shared" si="166"/>
        <v>0.43107976260287556</v>
      </c>
      <c r="BE155" s="618">
        <f t="shared" si="166"/>
        <v>0.38652104017956435</v>
      </c>
      <c r="BF155" s="618">
        <f t="shared" si="166"/>
        <v>0.21739041783781241</v>
      </c>
      <c r="BG155" s="618">
        <f t="shared" si="166"/>
        <v>0.22492227468505455</v>
      </c>
      <c r="BH155" s="618">
        <f t="shared" si="166"/>
        <v>0.22752398742240118</v>
      </c>
      <c r="BI155" s="618">
        <f t="shared" si="166"/>
        <v>0.29000427173275634</v>
      </c>
      <c r="BJ155" s="618">
        <f t="shared" si="166"/>
        <v>0.25917386205083626</v>
      </c>
      <c r="BK155" s="618">
        <f t="shared" si="166"/>
        <v>0.23889956119952271</v>
      </c>
      <c r="BL155" s="618">
        <f t="shared" si="166"/>
        <v>0.25379194218079115</v>
      </c>
      <c r="BM155" s="618">
        <f t="shared" si="166"/>
        <v>0.31284447691073675</v>
      </c>
      <c r="BN155" s="618">
        <f t="shared" si="166"/>
        <v>0.29130653937408585</v>
      </c>
      <c r="BO155" s="618">
        <f t="shared" si="166"/>
        <v>0.33927215824452844</v>
      </c>
      <c r="BP155" s="618">
        <f t="shared" si="166"/>
        <v>0.41733510437519805</v>
      </c>
      <c r="BQ155" s="618">
        <f t="shared" si="166"/>
        <v>0.44666166612743419</v>
      </c>
      <c r="BR155" s="618">
        <f t="shared" si="166"/>
        <v>0.40582706054233308</v>
      </c>
      <c r="BS155" s="618">
        <f t="shared" si="166"/>
        <v>0.41127265619207465</v>
      </c>
      <c r="BU155" s="631" t="s">
        <v>41</v>
      </c>
      <c r="BV155" s="631"/>
      <c r="BW155" s="618">
        <f t="shared" si="96"/>
        <v>-3.6365547422131696E-3</v>
      </c>
      <c r="BX155" s="618">
        <f t="shared" si="97"/>
        <v>0.23416001379216023</v>
      </c>
      <c r="BY155" s="618">
        <f t="shared" si="98"/>
        <v>1.6854433480310311E-2</v>
      </c>
      <c r="BZ155" s="618">
        <f t="shared" si="99"/>
        <v>6.3317317825621208E-2</v>
      </c>
      <c r="CA155" s="618">
        <f t="shared" si="100"/>
        <v>-0.11728667240716317</v>
      </c>
      <c r="CB155" s="618">
        <f t="shared" si="101"/>
        <v>0.21936359804721883</v>
      </c>
      <c r="CC155" s="618">
        <f t="shared" si="102"/>
        <v>-3.113643529013848E-2</v>
      </c>
      <c r="CD155" s="618">
        <f t="shared" si="103"/>
        <v>-0.12198200924513079</v>
      </c>
      <c r="CE155" s="618">
        <f t="shared" si="109"/>
        <v>6.1868869155544638E-3</v>
      </c>
      <c r="CF155" s="618">
        <f t="shared" si="110"/>
        <v>2.1239818975580132E-3</v>
      </c>
      <c r="CG155" s="618">
        <f t="shared" si="111"/>
        <v>5.0899440622381248E-2</v>
      </c>
      <c r="CH155" s="618">
        <f t="shared" si="112"/>
        <v>-2.3899463247907048E-2</v>
      </c>
      <c r="CI155" s="618">
        <f t="shared" si="113"/>
        <v>-1.6101272002495701E-2</v>
      </c>
      <c r="CJ155" s="618">
        <f t="shared" si="114"/>
        <v>1.2020652398043789E-2</v>
      </c>
      <c r="CK155" s="618">
        <f t="shared" si="122"/>
        <v>4.7099149981162096E-2</v>
      </c>
      <c r="CL155" s="618">
        <f t="shared" si="123"/>
        <v>-1.6405551392752932E-2</v>
      </c>
      <c r="CM155" s="618">
        <f t="shared" si="115"/>
        <v>3.7145029013554161E-2</v>
      </c>
      <c r="CN155" s="618">
        <f t="shared" si="116"/>
        <v>5.8287589755462256E-2</v>
      </c>
      <c r="CO155" s="618">
        <f t="shared" si="117"/>
        <v>2.0691339445207717E-2</v>
      </c>
      <c r="CP155" s="618">
        <f t="shared" si="118"/>
        <v>-2.8226783456847371E-2</v>
      </c>
      <c r="CQ155" s="618">
        <f t="shared" si="119"/>
        <v>3.8735885818279871E-3</v>
      </c>
      <c r="CZ155" s="3"/>
      <c r="DA155" s="3"/>
      <c r="DC155" s="41"/>
      <c r="DD155" s="41"/>
      <c r="DE155" s="3"/>
      <c r="DF155" s="118"/>
      <c r="DG155" s="700"/>
      <c r="DH155" s="700"/>
      <c r="DI155" s="700"/>
      <c r="DJ155" s="700"/>
      <c r="DK155" s="43"/>
      <c r="DL155" s="43"/>
      <c r="DS155" s="3"/>
      <c r="DT155" s="3"/>
      <c r="DV155" s="41"/>
      <c r="DW155" s="41"/>
      <c r="DY155" s="118"/>
      <c r="DZ155" s="3"/>
      <c r="EA155" s="486"/>
      <c r="EB155" s="486"/>
      <c r="EC155" s="486"/>
      <c r="ED155" s="486"/>
      <c r="EE155" s="43"/>
      <c r="EF155" s="43"/>
      <c r="EL155" s="3"/>
      <c r="EM155" s="3"/>
      <c r="EO155" s="41"/>
      <c r="EP155" s="41"/>
      <c r="FC155" s="3"/>
      <c r="FE155" s="39"/>
      <c r="FF155" s="39"/>
      <c r="FH155" s="41"/>
      <c r="FI155" s="41"/>
      <c r="FM155" s="3"/>
      <c r="FN155" s="3"/>
      <c r="FO155" s="486"/>
      <c r="FP155" s="486"/>
      <c r="FQ155" s="486"/>
      <c r="FR155" s="486"/>
      <c r="FS155" s="43"/>
      <c r="FT155" s="43"/>
      <c r="FX155" s="3"/>
      <c r="FY155" s="3"/>
      <c r="GA155" s="41"/>
      <c r="GB155" s="41"/>
      <c r="GG155" s="3"/>
      <c r="GH155" s="3"/>
      <c r="GI155" s="486"/>
      <c r="GJ155" s="486"/>
      <c r="GK155" s="486"/>
      <c r="GL155" s="486"/>
      <c r="GM155" s="43"/>
      <c r="GN155" s="43"/>
      <c r="GO155" s="393"/>
      <c r="GS155" s="3"/>
      <c r="GT155" s="3"/>
      <c r="GV155" s="41"/>
      <c r="GW155" s="41"/>
      <c r="HA155" s="3"/>
      <c r="HB155" s="3"/>
      <c r="HC155" s="43"/>
      <c r="HD155" s="43"/>
      <c r="HE155" s="43"/>
      <c r="HF155" s="43"/>
      <c r="HG155" s="43"/>
    </row>
    <row r="156" spans="1:215">
      <c r="A156" s="632" t="s">
        <v>42</v>
      </c>
      <c r="B156" s="632"/>
      <c r="C156" s="616">
        <f t="shared" si="128"/>
        <v>0</v>
      </c>
      <c r="D156" s="616">
        <f t="shared" si="129"/>
        <v>0</v>
      </c>
      <c r="E156" s="616">
        <f t="shared" si="130"/>
        <v>0</v>
      </c>
      <c r="F156" s="616">
        <f t="shared" si="131"/>
        <v>0</v>
      </c>
      <c r="G156" s="616">
        <f t="shared" si="132"/>
        <v>0</v>
      </c>
      <c r="H156" s="616">
        <f t="shared" si="133"/>
        <v>0</v>
      </c>
      <c r="I156" s="616">
        <f t="shared" si="134"/>
        <v>0</v>
      </c>
      <c r="J156" s="616">
        <f t="shared" si="135"/>
        <v>0</v>
      </c>
      <c r="K156" s="616">
        <f t="shared" si="136"/>
        <v>0</v>
      </c>
      <c r="L156" s="616">
        <f t="shared" si="137"/>
        <v>0</v>
      </c>
      <c r="M156" s="616">
        <f t="shared" si="138"/>
        <v>0</v>
      </c>
      <c r="N156" s="616">
        <f t="shared" si="139"/>
        <v>0</v>
      </c>
      <c r="O156" s="616">
        <f t="shared" si="140"/>
        <v>0</v>
      </c>
      <c r="P156" s="616">
        <f t="shared" si="141"/>
        <v>0</v>
      </c>
      <c r="Q156" s="616">
        <f t="shared" si="142"/>
        <v>0</v>
      </c>
      <c r="R156" s="616">
        <f t="shared" si="143"/>
        <v>0</v>
      </c>
      <c r="S156" s="616">
        <f t="shared" si="144"/>
        <v>0</v>
      </c>
      <c r="T156" s="616">
        <f t="shared" si="145"/>
        <v>0</v>
      </c>
      <c r="U156" s="616">
        <f t="shared" si="146"/>
        <v>0</v>
      </c>
      <c r="V156" s="616">
        <f t="shared" si="147"/>
        <v>0</v>
      </c>
      <c r="W156" s="616">
        <f t="shared" si="148"/>
        <v>0</v>
      </c>
      <c r="Y156" s="632" t="s">
        <v>42</v>
      </c>
      <c r="Z156" s="632"/>
      <c r="AA156" s="616">
        <f t="shared" ref="AA156:AU156" si="167">IFERROR((AA58-Z58)/Z58,0)</f>
        <v>0</v>
      </c>
      <c r="AB156" s="616">
        <f t="shared" si="167"/>
        <v>0</v>
      </c>
      <c r="AC156" s="616">
        <f t="shared" si="167"/>
        <v>0</v>
      </c>
      <c r="AD156" s="616">
        <f t="shared" si="167"/>
        <v>0</v>
      </c>
      <c r="AE156" s="616">
        <f t="shared" si="167"/>
        <v>0</v>
      </c>
      <c r="AF156" s="616">
        <f t="shared" si="167"/>
        <v>-4.5873339910203016E-2</v>
      </c>
      <c r="AG156" s="616">
        <f t="shared" si="167"/>
        <v>1.0243960366848255</v>
      </c>
      <c r="AH156" s="616">
        <f t="shared" si="167"/>
        <v>-0.21354504147026085</v>
      </c>
      <c r="AI156" s="616">
        <f t="shared" si="167"/>
        <v>-0.39656207133058985</v>
      </c>
      <c r="AJ156" s="616">
        <f t="shared" si="167"/>
        <v>-1.7120125026639198E-2</v>
      </c>
      <c r="AK156" s="616">
        <f t="shared" si="167"/>
        <v>8.9838103498120839E-2</v>
      </c>
      <c r="AL156" s="616">
        <f t="shared" si="167"/>
        <v>0.14132236885735128</v>
      </c>
      <c r="AM156" s="616">
        <f t="shared" si="167"/>
        <v>-5.8628704241719932E-2</v>
      </c>
      <c r="AN156" s="616">
        <f t="shared" si="167"/>
        <v>0.10499351891858527</v>
      </c>
      <c r="AO156" s="616">
        <f t="shared" si="167"/>
        <v>-0.19461512680147469</v>
      </c>
      <c r="AP156" s="616">
        <f t="shared" si="167"/>
        <v>0.61520321819947288</v>
      </c>
      <c r="AQ156" s="616">
        <f t="shared" si="167"/>
        <v>-1</v>
      </c>
      <c r="AR156" s="616">
        <f t="shared" si="167"/>
        <v>0</v>
      </c>
      <c r="AS156" s="616">
        <f t="shared" si="167"/>
        <v>0</v>
      </c>
      <c r="AT156" s="616">
        <f t="shared" si="167"/>
        <v>-0.24626094048087147</v>
      </c>
      <c r="AU156" s="616">
        <f t="shared" si="167"/>
        <v>0.35247406147960664</v>
      </c>
      <c r="AV156" s="565"/>
      <c r="AW156" s="632" t="s">
        <v>42</v>
      </c>
      <c r="AX156" s="632"/>
      <c r="AY156" s="616">
        <f t="shared" ref="AY156:BS156" si="168">(AY58-$AX58)/$AX58</f>
        <v>2.9296196794414905E-2</v>
      </c>
      <c r="AZ156" s="616">
        <f t="shared" si="168"/>
        <v>-3.004138781489897E-2</v>
      </c>
      <c r="BA156" s="616">
        <f t="shared" si="168"/>
        <v>-4.7670123656092401E-3</v>
      </c>
      <c r="BB156" s="616">
        <f t="shared" si="168"/>
        <v>9.6983914594193366E-2</v>
      </c>
      <c r="BC156" s="616">
        <f t="shared" si="168"/>
        <v>8.4971371891709974E-2</v>
      </c>
      <c r="BD156" s="616">
        <f t="shared" si="168"/>
        <v>5.473218892883859E-2</v>
      </c>
      <c r="BE156" s="616">
        <f t="shared" si="168"/>
        <v>2.8057171089217174E-2</v>
      </c>
      <c r="BF156" s="616">
        <f t="shared" si="168"/>
        <v>5.2726617045652131E-2</v>
      </c>
      <c r="BG156" s="616">
        <f t="shared" si="168"/>
        <v>0.13379223460621412</v>
      </c>
      <c r="BH156" s="616">
        <f t="shared" si="168"/>
        <v>0.21301427021741892</v>
      </c>
      <c r="BI156" s="616">
        <f t="shared" si="168"/>
        <v>0.33637029800455792</v>
      </c>
      <c r="BJ156" s="616">
        <f t="shared" si="168"/>
        <v>0.32919725789646614</v>
      </c>
      <c r="BK156" s="616">
        <f t="shared" si="168"/>
        <v>0.27402576858338279</v>
      </c>
      <c r="BL156" s="616">
        <f t="shared" si="168"/>
        <v>0.2710291147712679</v>
      </c>
      <c r="BM156" s="616">
        <f t="shared" si="168"/>
        <v>0.31610555990323641</v>
      </c>
      <c r="BN156" s="616">
        <f t="shared" si="168"/>
        <v>0.29179640558040398</v>
      </c>
      <c r="BO156" s="616">
        <f t="shared" si="168"/>
        <v>-1</v>
      </c>
      <c r="BP156" s="616">
        <f t="shared" si="168"/>
        <v>-1</v>
      </c>
      <c r="BQ156" s="616">
        <f t="shared" si="168"/>
        <v>0.43317101414083353</v>
      </c>
      <c r="BR156" s="616">
        <f t="shared" si="168"/>
        <v>0.41022288452537181</v>
      </c>
      <c r="BS156" s="616">
        <f t="shared" si="168"/>
        <v>0.36791647792613225</v>
      </c>
      <c r="BU156" s="632" t="s">
        <v>42</v>
      </c>
      <c r="BV156" s="632"/>
      <c r="BW156" s="616">
        <f t="shared" si="96"/>
        <v>2.9296196794414905E-2</v>
      </c>
      <c r="BX156" s="616">
        <f t="shared" si="97"/>
        <v>-5.7648697036005461E-2</v>
      </c>
      <c r="BY156" s="616">
        <f t="shared" si="98"/>
        <v>2.6057168967603871E-2</v>
      </c>
      <c r="BZ156" s="616">
        <f t="shared" si="99"/>
        <v>0.10223829819152043</v>
      </c>
      <c r="CA156" s="616">
        <f t="shared" si="100"/>
        <v>-1.0950518546962636E-2</v>
      </c>
      <c r="CB156" s="616">
        <f t="shared" si="101"/>
        <v>-2.7870950097187933E-2</v>
      </c>
      <c r="CC156" s="616">
        <f t="shared" si="102"/>
        <v>-2.5290797151750859E-2</v>
      </c>
      <c r="CD156" s="616">
        <f t="shared" si="103"/>
        <v>2.3996181000612939E-2</v>
      </c>
      <c r="CE156" s="616">
        <f t="shared" si="109"/>
        <v>7.700538415952915E-2</v>
      </c>
      <c r="CF156" s="616">
        <f t="shared" si="110"/>
        <v>6.9873503445470331E-2</v>
      </c>
      <c r="CG156" s="616">
        <f t="shared" si="111"/>
        <v>0.10169379768716888</v>
      </c>
      <c r="CH156" s="616">
        <f t="shared" si="112"/>
        <v>-5.3675542765372741E-3</v>
      </c>
      <c r="CI156" s="616">
        <f t="shared" si="113"/>
        <v>-4.1507375211107145E-2</v>
      </c>
      <c r="CJ156" s="616">
        <f t="shared" si="114"/>
        <v>-2.3521139728962812E-3</v>
      </c>
      <c r="CK156" s="616">
        <f t="shared" si="122"/>
        <v>3.5464526034936987E-2</v>
      </c>
      <c r="CL156" s="616">
        <f t="shared" si="123"/>
        <v>-1.8470520194914835E-2</v>
      </c>
      <c r="CM156" s="616">
        <f t="shared" si="115"/>
        <v>-1</v>
      </c>
      <c r="CN156" s="616" t="e">
        <f t="shared" si="116"/>
        <v>#DIV/0!</v>
      </c>
      <c r="CO156" s="616" t="e">
        <f t="shared" si="117"/>
        <v>#DIV/0!</v>
      </c>
      <c r="CP156" s="616">
        <f t="shared" si="118"/>
        <v>-1.6012136297090005E-2</v>
      </c>
      <c r="CQ156" s="616">
        <f t="shared" si="119"/>
        <v>-2.9999801494838392E-2</v>
      </c>
      <c r="CZ156" s="3"/>
      <c r="DA156" s="3"/>
      <c r="DC156" s="41"/>
      <c r="DD156" s="41"/>
      <c r="DE156" s="3"/>
      <c r="DF156" s="118"/>
      <c r="DG156" s="700"/>
      <c r="DH156" s="700"/>
      <c r="DI156" s="700"/>
      <c r="DJ156" s="700"/>
      <c r="DK156" s="43"/>
      <c r="DL156" s="43"/>
      <c r="DS156" s="3"/>
      <c r="DT156" s="3"/>
      <c r="DV156" s="41"/>
      <c r="DW156" s="41"/>
      <c r="DY156" s="118"/>
      <c r="DZ156" s="3"/>
      <c r="EA156" s="486"/>
      <c r="EB156" s="486"/>
      <c r="EC156" s="486"/>
      <c r="ED156" s="486"/>
      <c r="EE156" s="43"/>
      <c r="EF156" s="43"/>
      <c r="EL156" s="3"/>
      <c r="EM156" s="3"/>
      <c r="EO156" s="41"/>
      <c r="EP156" s="41"/>
      <c r="FC156" s="3"/>
      <c r="FE156" s="39"/>
      <c r="FF156" s="39"/>
      <c r="FH156" s="41"/>
      <c r="FI156" s="41"/>
      <c r="FM156" s="3"/>
      <c r="FN156" s="3"/>
      <c r="FO156" s="486"/>
      <c r="FP156" s="486"/>
      <c r="FQ156" s="486"/>
      <c r="FR156" s="486"/>
      <c r="FS156" s="43"/>
      <c r="FT156" s="43"/>
      <c r="FX156" s="3"/>
      <c r="FY156" s="3"/>
      <c r="GA156" s="41"/>
      <c r="GB156" s="41"/>
      <c r="GG156" s="3"/>
      <c r="GH156" s="3"/>
      <c r="GI156" s="486"/>
      <c r="GJ156" s="486"/>
      <c r="GK156" s="486"/>
      <c r="GL156" s="486"/>
      <c r="GM156" s="43"/>
      <c r="GN156" s="43"/>
      <c r="GO156" s="393"/>
      <c r="GS156" s="3"/>
      <c r="GT156" s="3"/>
      <c r="GV156" s="41"/>
      <c r="GW156" s="41"/>
      <c r="HA156" s="3"/>
      <c r="HB156" s="3"/>
      <c r="HC156" s="43"/>
      <c r="HD156" s="43"/>
      <c r="HE156" s="43"/>
      <c r="HF156" s="43"/>
      <c r="HG156" s="43"/>
    </row>
    <row r="157" spans="1:215">
      <c r="A157" s="631" t="s">
        <v>43</v>
      </c>
      <c r="B157" s="631"/>
      <c r="C157" s="618">
        <f t="shared" si="128"/>
        <v>9.7505825836135041E-2</v>
      </c>
      <c r="D157" s="618">
        <f t="shared" si="129"/>
        <v>8.0179798774123151E-2</v>
      </c>
      <c r="E157" s="618">
        <f t="shared" si="130"/>
        <v>0.17042323376665539</v>
      </c>
      <c r="F157" s="618">
        <f t="shared" si="131"/>
        <v>0.25585646267850598</v>
      </c>
      <c r="G157" s="618">
        <f t="shared" si="132"/>
        <v>0.32637410818199292</v>
      </c>
      <c r="H157" s="618">
        <f t="shared" si="133"/>
        <v>0.43186152745382095</v>
      </c>
      <c r="I157" s="618">
        <f t="shared" si="134"/>
        <v>0.64646512535005018</v>
      </c>
      <c r="J157" s="618">
        <f t="shared" si="135"/>
        <v>0.61753422665553481</v>
      </c>
      <c r="K157" s="618">
        <f t="shared" si="136"/>
        <v>0.47775472933560942</v>
      </c>
      <c r="L157" s="618">
        <f t="shared" si="137"/>
        <v>0.69275386054899712</v>
      </c>
      <c r="M157" s="618">
        <f t="shared" si="138"/>
        <v>0.70109369670366573</v>
      </c>
      <c r="N157" s="618">
        <f t="shared" si="139"/>
        <v>0.87564470923475912</v>
      </c>
      <c r="O157" s="618">
        <f t="shared" si="140"/>
        <v>1.0137166625682923</v>
      </c>
      <c r="P157" s="618">
        <f t="shared" si="141"/>
        <v>-1</v>
      </c>
      <c r="Q157" s="618">
        <f t="shared" si="142"/>
        <v>-1</v>
      </c>
      <c r="R157" s="618">
        <f t="shared" si="143"/>
        <v>-1</v>
      </c>
      <c r="S157" s="618">
        <f t="shared" si="144"/>
        <v>-1</v>
      </c>
      <c r="T157" s="618">
        <f t="shared" si="145"/>
        <v>-1</v>
      </c>
      <c r="U157" s="618">
        <f t="shared" si="146"/>
        <v>-1</v>
      </c>
      <c r="V157" s="618">
        <f t="shared" si="147"/>
        <v>-1</v>
      </c>
      <c r="W157" s="618">
        <f t="shared" si="148"/>
        <v>-1</v>
      </c>
      <c r="Y157" s="631" t="s">
        <v>43</v>
      </c>
      <c r="Z157" s="631"/>
      <c r="AA157" s="618">
        <f t="shared" ref="AA157:AU157" si="169">IFERROR((AA59-Z59)/Z59,0)</f>
        <v>9.7505825836135041E-2</v>
      </c>
      <c r="AB157" s="618">
        <f t="shared" si="169"/>
        <v>-1.5786729012405982E-2</v>
      </c>
      <c r="AC157" s="618">
        <f t="shared" si="169"/>
        <v>8.3544827532368138E-2</v>
      </c>
      <c r="AD157" s="618">
        <f t="shared" si="169"/>
        <v>7.2993449247337167E-2</v>
      </c>
      <c r="AE157" s="618">
        <f t="shared" si="169"/>
        <v>5.6151039230300265E-2</v>
      </c>
      <c r="AF157" s="618">
        <f t="shared" si="169"/>
        <v>7.9530668324350337E-2</v>
      </c>
      <c r="AG157" s="618">
        <f t="shared" si="169"/>
        <v>0.14987734063771085</v>
      </c>
      <c r="AH157" s="618">
        <f t="shared" si="169"/>
        <v>-1.7571522317160825E-2</v>
      </c>
      <c r="AI157" s="618">
        <f t="shared" si="169"/>
        <v>-8.6415171324651333E-2</v>
      </c>
      <c r="AJ157" s="618">
        <f t="shared" si="169"/>
        <v>0.14549040307253841</v>
      </c>
      <c r="AK157" s="618">
        <f t="shared" si="169"/>
        <v>4.9267860786114392E-3</v>
      </c>
      <c r="AL157" s="618">
        <f t="shared" si="169"/>
        <v>0.10261105127209265</v>
      </c>
      <c r="AM157" s="618">
        <f t="shared" si="169"/>
        <v>7.3613063632858702E-2</v>
      </c>
      <c r="AN157" s="618">
        <f t="shared" si="169"/>
        <v>-1</v>
      </c>
      <c r="AO157" s="618">
        <f t="shared" si="169"/>
        <v>0</v>
      </c>
      <c r="AP157" s="618">
        <f t="shared" si="169"/>
        <v>0</v>
      </c>
      <c r="AQ157" s="618">
        <f t="shared" si="169"/>
        <v>0</v>
      </c>
      <c r="AR157" s="618">
        <f t="shared" si="169"/>
        <v>0</v>
      </c>
      <c r="AS157" s="618">
        <f t="shared" si="169"/>
        <v>0</v>
      </c>
      <c r="AT157" s="618">
        <f t="shared" si="169"/>
        <v>0</v>
      </c>
      <c r="AU157" s="618">
        <f t="shared" si="169"/>
        <v>0</v>
      </c>
      <c r="AV157" s="565"/>
      <c r="AW157" s="631" t="s">
        <v>43</v>
      </c>
      <c r="AX157" s="631"/>
      <c r="AY157" s="618">
        <f t="shared" ref="AY157:BS157" si="170">(AY59-$AX59)/$AX59</f>
        <v>7.8204467165616624E-3</v>
      </c>
      <c r="AZ157" s="618">
        <f t="shared" si="170"/>
        <v>2.0169809953338509E-2</v>
      </c>
      <c r="BA157" s="618">
        <f t="shared" si="170"/>
        <v>4.7220788107007451E-2</v>
      </c>
      <c r="BB157" s="618">
        <f t="shared" si="170"/>
        <v>0.12366104555445273</v>
      </c>
      <c r="BC157" s="618">
        <f t="shared" si="170"/>
        <v>0.18675578100494103</v>
      </c>
      <c r="BD157" s="618">
        <f t="shared" si="170"/>
        <v>0.249110779870899</v>
      </c>
      <c r="BE157" s="618">
        <f t="shared" si="170"/>
        <v>0.24897754932160571</v>
      </c>
      <c r="BF157" s="618">
        <f t="shared" si="170"/>
        <v>0.34253056558621159</v>
      </c>
      <c r="BG157" s="618">
        <f t="shared" si="170"/>
        <v>0.48722424451446211</v>
      </c>
      <c r="BH157" s="618">
        <f t="shared" si="170"/>
        <v>0.47644107900439536</v>
      </c>
      <c r="BI157" s="618">
        <f t="shared" si="170"/>
        <v>0.45699692180215556</v>
      </c>
      <c r="BJ157" s="618">
        <f t="shared" si="170"/>
        <v>0.38894346141476049</v>
      </c>
      <c r="BK157" s="618">
        <f t="shared" si="170"/>
        <v>0.27746631501234786</v>
      </c>
      <c r="BL157" s="618">
        <f t="shared" si="170"/>
        <v>-1</v>
      </c>
      <c r="BM157" s="618">
        <f t="shared" si="170"/>
        <v>-1</v>
      </c>
      <c r="BN157" s="618">
        <f t="shared" si="170"/>
        <v>-1</v>
      </c>
      <c r="BO157" s="618">
        <f t="shared" si="170"/>
        <v>-1</v>
      </c>
      <c r="BP157" s="618">
        <f t="shared" si="170"/>
        <v>-1</v>
      </c>
      <c r="BQ157" s="618">
        <f t="shared" si="170"/>
        <v>-1</v>
      </c>
      <c r="BR157" s="618">
        <f t="shared" si="170"/>
        <v>-1</v>
      </c>
      <c r="BS157" s="618">
        <f t="shared" si="170"/>
        <v>-1</v>
      </c>
      <c r="BU157" s="631" t="s">
        <v>43</v>
      </c>
      <c r="BV157" s="631"/>
      <c r="BW157" s="618">
        <f t="shared" si="96"/>
        <v>7.8204467165616624E-3</v>
      </c>
      <c r="BX157" s="618">
        <f t="shared" si="97"/>
        <v>1.2253535118294707E-2</v>
      </c>
      <c r="BY157" s="618">
        <f t="shared" si="98"/>
        <v>2.6516152399085623E-2</v>
      </c>
      <c r="BZ157" s="618">
        <f t="shared" si="99"/>
        <v>7.2993449247337167E-2</v>
      </c>
      <c r="CA157" s="618">
        <f t="shared" si="100"/>
        <v>5.6151039230300265E-2</v>
      </c>
      <c r="CB157" s="618">
        <f t="shared" si="101"/>
        <v>5.2542401616241519E-2</v>
      </c>
      <c r="CC157" s="618">
        <f t="shared" si="102"/>
        <v>-1.0666031503391448E-4</v>
      </c>
      <c r="CD157" s="618">
        <f t="shared" si="103"/>
        <v>7.4903681267465605E-2</v>
      </c>
      <c r="CE157" s="618">
        <f t="shared" si="109"/>
        <v>0.10777682284281589</v>
      </c>
      <c r="CF157" s="618">
        <f t="shared" si="110"/>
        <v>-7.2505310142971444E-3</v>
      </c>
      <c r="CG157" s="618">
        <f t="shared" si="111"/>
        <v>-1.3169612711772784E-2</v>
      </c>
      <c r="CH157" s="618">
        <f t="shared" si="112"/>
        <v>-4.6708033056940108E-2</v>
      </c>
      <c r="CI157" s="618">
        <f t="shared" si="113"/>
        <v>-8.0260391800875325E-2</v>
      </c>
      <c r="CJ157" s="618">
        <f t="shared" si="114"/>
        <v>-1</v>
      </c>
      <c r="CK157" s="618"/>
      <c r="CL157" s="618">
        <v>0</v>
      </c>
      <c r="CM157" s="618"/>
      <c r="CN157" s="618"/>
      <c r="CO157" s="618"/>
      <c r="CP157" s="618"/>
      <c r="CQ157" s="618"/>
      <c r="CZ157" s="3"/>
      <c r="DA157" s="3"/>
      <c r="DC157" s="41"/>
      <c r="DD157" s="41"/>
      <c r="DE157" s="3"/>
      <c r="DF157" s="118"/>
      <c r="DG157" s="700"/>
      <c r="DH157" s="700"/>
      <c r="DI157" s="700"/>
      <c r="DJ157" s="700"/>
      <c r="DK157" s="43"/>
      <c r="DL157" s="43"/>
      <c r="DS157" s="3"/>
      <c r="DT157" s="3"/>
      <c r="DV157" s="41"/>
      <c r="DW157" s="41"/>
      <c r="DY157" s="118"/>
      <c r="DZ157" s="3"/>
      <c r="EA157" s="486"/>
      <c r="EB157" s="486"/>
      <c r="EC157" s="486"/>
      <c r="ED157" s="486"/>
      <c r="EE157" s="43"/>
      <c r="EF157" s="43"/>
      <c r="EL157" s="3"/>
      <c r="EM157" s="3"/>
      <c r="EO157" s="41"/>
      <c r="EP157" s="41"/>
      <c r="FC157" s="3"/>
      <c r="FE157" s="39"/>
      <c r="FF157" s="39"/>
      <c r="FH157" s="41"/>
      <c r="FI157" s="41"/>
      <c r="FM157" s="3"/>
      <c r="FN157" s="3"/>
      <c r="FO157" s="486"/>
      <c r="FP157" s="486"/>
      <c r="FQ157" s="486"/>
      <c r="FR157" s="486"/>
      <c r="FS157" s="43"/>
      <c r="FT157" s="43"/>
      <c r="FX157" s="3"/>
      <c r="FY157" s="3"/>
      <c r="GA157" s="41"/>
      <c r="GB157" s="41"/>
      <c r="GG157" s="3"/>
      <c r="GH157" s="3"/>
      <c r="GI157" s="486"/>
      <c r="GJ157" s="486"/>
      <c r="GK157" s="486"/>
      <c r="GL157" s="486"/>
      <c r="GM157" s="43"/>
      <c r="GN157" s="43"/>
      <c r="GO157" s="393"/>
      <c r="GS157" s="3"/>
      <c r="GT157" s="3"/>
      <c r="GV157" s="41"/>
      <c r="GW157" s="41"/>
      <c r="HA157" s="3"/>
      <c r="HB157" s="3"/>
      <c r="HC157" s="43"/>
      <c r="HD157" s="43"/>
      <c r="HE157" s="43"/>
      <c r="HF157" s="43"/>
      <c r="HG157" s="43"/>
    </row>
    <row r="158" spans="1:215">
      <c r="A158" s="632" t="s">
        <v>44</v>
      </c>
      <c r="B158" s="632"/>
      <c r="C158" s="616">
        <f t="shared" si="128"/>
        <v>0.45369502193481914</v>
      </c>
      <c r="D158" s="616">
        <f t="shared" si="129"/>
        <v>-0.10722172792309939</v>
      </c>
      <c r="E158" s="616">
        <f t="shared" si="130"/>
        <v>0.90360147168694827</v>
      </c>
      <c r="F158" s="616">
        <f t="shared" si="131"/>
        <v>1.0366450369411726</v>
      </c>
      <c r="G158" s="616">
        <f t="shared" si="132"/>
        <v>1.1007889510665154</v>
      </c>
      <c r="H158" s="616">
        <f t="shared" si="133"/>
        <v>0.42831592525345835</v>
      </c>
      <c r="I158" s="616">
        <f t="shared" si="134"/>
        <v>0.78607857369396805</v>
      </c>
      <c r="J158" s="616">
        <f t="shared" si="135"/>
        <v>1.3885828787082191</v>
      </c>
      <c r="K158" s="616">
        <f t="shared" si="136"/>
        <v>1.4944018850534588</v>
      </c>
      <c r="L158" s="616">
        <f t="shared" si="137"/>
        <v>1.521279222479305</v>
      </c>
      <c r="M158" s="616">
        <f t="shared" si="138"/>
        <v>1.2320172530496956</v>
      </c>
      <c r="N158" s="616">
        <f t="shared" si="139"/>
        <v>1.5165551478179058</v>
      </c>
      <c r="O158" s="616">
        <f t="shared" si="140"/>
        <v>1.6701407883337838</v>
      </c>
      <c r="P158" s="616">
        <f t="shared" si="141"/>
        <v>-1</v>
      </c>
      <c r="Q158" s="616">
        <f t="shared" si="142"/>
        <v>1.7006417344790667</v>
      </c>
      <c r="R158" s="616">
        <f t="shared" si="143"/>
        <v>-1</v>
      </c>
      <c r="S158" s="616">
        <f t="shared" si="144"/>
        <v>-1</v>
      </c>
      <c r="T158" s="616">
        <f t="shared" si="145"/>
        <v>1.7646117717927376</v>
      </c>
      <c r="U158" s="616">
        <f t="shared" si="146"/>
        <v>-1</v>
      </c>
      <c r="V158" s="616">
        <f t="shared" si="147"/>
        <v>-1</v>
      </c>
      <c r="W158" s="616">
        <f t="shared" si="148"/>
        <v>-1</v>
      </c>
      <c r="Y158" s="632" t="s">
        <v>44</v>
      </c>
      <c r="Z158" s="632"/>
      <c r="AA158" s="616">
        <f t="shared" ref="AA158:AU158" si="171">IFERROR((AA60-Z60)/Z60,0)</f>
        <v>0.45369502193481914</v>
      </c>
      <c r="AB158" s="616">
        <f t="shared" si="171"/>
        <v>-0.38585586480949574</v>
      </c>
      <c r="AC158" s="616">
        <f t="shared" si="171"/>
        <v>1.132221998703592</v>
      </c>
      <c r="AD158" s="616">
        <f t="shared" si="171"/>
        <v>6.9890450933683554E-2</v>
      </c>
      <c r="AE158" s="616">
        <f t="shared" si="171"/>
        <v>3.1494891334466452E-2</v>
      </c>
      <c r="AF158" s="616">
        <f t="shared" si="171"/>
        <v>-0.32010498982854041</v>
      </c>
      <c r="AG158" s="616">
        <f t="shared" si="171"/>
        <v>0.25047865259713031</v>
      </c>
      <c r="AH158" s="616">
        <f t="shared" si="171"/>
        <v>0.33733359432678894</v>
      </c>
      <c r="AI158" s="616">
        <f t="shared" si="171"/>
        <v>4.4302003203869691E-2</v>
      </c>
      <c r="AJ158" s="616">
        <f t="shared" si="171"/>
        <v>1.0775062986801075E-2</v>
      </c>
      <c r="AK158" s="616">
        <f t="shared" si="171"/>
        <v>-0.11472825653366679</v>
      </c>
      <c r="AL158" s="616">
        <f t="shared" si="171"/>
        <v>0.12748015024500137</v>
      </c>
      <c r="AM158" s="616">
        <f t="shared" si="171"/>
        <v>6.1030111201437982E-2</v>
      </c>
      <c r="AN158" s="616">
        <f t="shared" si="171"/>
        <v>-1</v>
      </c>
      <c r="AO158" s="616">
        <f t="shared" si="171"/>
        <v>0</v>
      </c>
      <c r="AP158" s="616">
        <f t="shared" si="171"/>
        <v>-1</v>
      </c>
      <c r="AQ158" s="616">
        <f t="shared" si="171"/>
        <v>0</v>
      </c>
      <c r="AR158" s="616">
        <f t="shared" si="171"/>
        <v>0</v>
      </c>
      <c r="AS158" s="616">
        <f t="shared" si="171"/>
        <v>-1</v>
      </c>
      <c r="AT158" s="616">
        <f t="shared" si="171"/>
        <v>0</v>
      </c>
      <c r="AU158" s="616">
        <f t="shared" si="171"/>
        <v>0</v>
      </c>
      <c r="AV158" s="565"/>
      <c r="AW158" s="632" t="s">
        <v>44</v>
      </c>
      <c r="AX158" s="632"/>
      <c r="AY158" s="616">
        <f t="shared" ref="AY158:BS158" si="172">(AY60-$AX60)/$AX60</f>
        <v>2.7026093418885282E-2</v>
      </c>
      <c r="AZ158" s="616">
        <f t="shared" si="172"/>
        <v>-1.3692575610281227E-2</v>
      </c>
      <c r="BA158" s="616">
        <f t="shared" si="172"/>
        <v>0.10450722752825134</v>
      </c>
      <c r="BB158" s="616">
        <f t="shared" si="172"/>
        <v>0.14589259221305545</v>
      </c>
      <c r="BC158" s="616">
        <f t="shared" si="172"/>
        <v>0.16615223406141263</v>
      </c>
      <c r="BD158" s="616">
        <f t="shared" si="172"/>
        <v>0.23333946561568467</v>
      </c>
      <c r="BE158" s="616">
        <f t="shared" si="172"/>
        <v>0.22473959339014957</v>
      </c>
      <c r="BF158" s="616">
        <f t="shared" si="172"/>
        <v>0.24153500251018134</v>
      </c>
      <c r="BG158" s="616">
        <f t="shared" si="172"/>
        <v>0.29990521822765681</v>
      </c>
      <c r="BH158" s="616">
        <f t="shared" si="172"/>
        <v>0.48613184853039593</v>
      </c>
      <c r="BI158" s="616">
        <f t="shared" si="172"/>
        <v>0.54475396421645994</v>
      </c>
      <c r="BJ158" s="616">
        <f t="shared" si="172"/>
        <v>0.59248292666165325</v>
      </c>
      <c r="BK158" s="616">
        <f t="shared" si="172"/>
        <v>0.54316189194999576</v>
      </c>
      <c r="BL158" s="616">
        <f t="shared" si="172"/>
        <v>-1</v>
      </c>
      <c r="BM158" s="616">
        <f t="shared" si="172"/>
        <v>0.4924985563796464</v>
      </c>
      <c r="BN158" s="616">
        <f t="shared" si="172"/>
        <v>-1</v>
      </c>
      <c r="BO158" s="616">
        <f t="shared" si="172"/>
        <v>-1</v>
      </c>
      <c r="BP158" s="616">
        <f t="shared" si="172"/>
        <v>0.68842522076976642</v>
      </c>
      <c r="BQ158" s="616">
        <f t="shared" si="172"/>
        <v>-1</v>
      </c>
      <c r="BR158" s="616">
        <f t="shared" si="172"/>
        <v>-1</v>
      </c>
      <c r="BS158" s="616">
        <f t="shared" si="172"/>
        <v>-1</v>
      </c>
      <c r="BU158" s="632" t="s">
        <v>44</v>
      </c>
      <c r="BV158" s="632"/>
      <c r="BW158" s="616">
        <f t="shared" si="96"/>
        <v>2.7026093418885282E-2</v>
      </c>
      <c r="BX158" s="616">
        <f t="shared" si="97"/>
        <v>-3.964716114818214E-2</v>
      </c>
      <c r="BY158" s="616">
        <f t="shared" si="98"/>
        <v>0.11984073141461864</v>
      </c>
      <c r="BZ158" s="616">
        <f t="shared" si="99"/>
        <v>3.7469528178117377E-2</v>
      </c>
      <c r="CA158" s="616">
        <f t="shared" si="100"/>
        <v>1.7680227611236977E-2</v>
      </c>
      <c r="CB158" s="616">
        <f t="shared" si="101"/>
        <v>5.7614460266714872E-2</v>
      </c>
      <c r="CC158" s="616">
        <f t="shared" si="102"/>
        <v>-6.9728347022788555E-3</v>
      </c>
      <c r="CD158" s="616">
        <f t="shared" si="103"/>
        <v>1.3713453219505317E-2</v>
      </c>
      <c r="CE158" s="616">
        <f t="shared" si="109"/>
        <v>4.7014555046342152E-2</v>
      </c>
      <c r="CF158" s="616">
        <f t="shared" si="110"/>
        <v>0.14326169915422604</v>
      </c>
      <c r="CG158" s="616">
        <f t="shared" si="111"/>
        <v>3.944610684713757E-2</v>
      </c>
      <c r="CH158" s="616">
        <f t="shared" si="112"/>
        <v>3.0897452636998234E-2</v>
      </c>
      <c r="CI158" s="616">
        <f t="shared" si="113"/>
        <v>-3.0971154469486211E-2</v>
      </c>
      <c r="CJ158" s="616">
        <f t="shared" si="114"/>
        <v>-1</v>
      </c>
      <c r="CK158" s="616"/>
      <c r="CL158" s="616">
        <v>0</v>
      </c>
      <c r="CM158" s="616" t="e">
        <f t="shared" ref="CM158:CQ159" si="173">(BO60-BN60)/BN60</f>
        <v>#DIV/0!</v>
      </c>
      <c r="CN158" s="616" t="e">
        <f t="shared" si="173"/>
        <v>#DIV/0!</v>
      </c>
      <c r="CO158" s="616">
        <f t="shared" si="173"/>
        <v>-1</v>
      </c>
      <c r="CP158" s="616" t="e">
        <f t="shared" si="173"/>
        <v>#DIV/0!</v>
      </c>
      <c r="CQ158" s="616" t="e">
        <f t="shared" si="173"/>
        <v>#DIV/0!</v>
      </c>
      <c r="CZ158" s="3"/>
      <c r="DA158" s="3"/>
      <c r="DC158" s="41"/>
      <c r="DD158" s="41"/>
      <c r="DE158" s="3"/>
      <c r="DF158" s="118"/>
      <c r="DG158" s="700"/>
      <c r="DH158" s="700"/>
      <c r="DI158" s="700"/>
      <c r="DJ158" s="700"/>
      <c r="DK158" s="43"/>
      <c r="DL158" s="43"/>
      <c r="DS158" s="3"/>
      <c r="DT158" s="3"/>
      <c r="DV158" s="41"/>
      <c r="DW158" s="41"/>
      <c r="DY158" s="118"/>
      <c r="DZ158" s="3"/>
      <c r="EA158" s="486"/>
      <c r="EB158" s="486"/>
      <c r="EC158" s="486"/>
      <c r="ED158" s="486"/>
      <c r="EE158" s="43"/>
      <c r="EF158" s="43"/>
      <c r="EL158" s="3"/>
      <c r="EM158" s="3"/>
      <c r="EO158" s="41"/>
      <c r="EP158" s="41"/>
      <c r="FC158" s="3"/>
      <c r="FE158" s="39"/>
      <c r="FF158" s="39"/>
      <c r="FH158" s="41"/>
      <c r="FI158" s="41"/>
      <c r="FM158" s="3"/>
      <c r="FN158" s="3"/>
      <c r="FO158" s="486"/>
      <c r="FP158" s="486"/>
      <c r="FQ158" s="486"/>
      <c r="FR158" s="486"/>
      <c r="FS158" s="43"/>
      <c r="FT158" s="43"/>
      <c r="FX158" s="3"/>
      <c r="FY158" s="3"/>
      <c r="GA158" s="41"/>
      <c r="GB158" s="41"/>
      <c r="GG158" s="3"/>
      <c r="GH158" s="3"/>
      <c r="GI158" s="486"/>
      <c r="GJ158" s="486"/>
      <c r="GK158" s="486"/>
      <c r="GL158" s="486"/>
      <c r="GM158" s="43"/>
      <c r="GN158" s="43"/>
      <c r="GO158" s="393"/>
      <c r="GS158" s="3"/>
      <c r="GT158" s="3"/>
      <c r="GV158" s="41"/>
      <c r="GW158" s="41"/>
      <c r="HA158" s="3"/>
      <c r="HB158" s="3"/>
      <c r="HC158" s="43"/>
      <c r="HD158" s="43"/>
      <c r="HE158" s="43"/>
      <c r="HF158" s="43"/>
      <c r="HG158" s="43"/>
    </row>
    <row r="159" spans="1:215">
      <c r="A159" s="631" t="s">
        <v>45</v>
      </c>
      <c r="B159" s="631"/>
      <c r="C159" s="618">
        <f t="shared" si="128"/>
        <v>-8.3613301896271683E-3</v>
      </c>
      <c r="D159" s="618">
        <f t="shared" si="129"/>
        <v>4.12299978976867E-2</v>
      </c>
      <c r="E159" s="618">
        <f t="shared" si="130"/>
        <v>9.5268951501819146E-2</v>
      </c>
      <c r="F159" s="618">
        <f t="shared" si="131"/>
        <v>0.1759768804858976</v>
      </c>
      <c r="G159" s="618">
        <f t="shared" si="132"/>
        <v>0.16812912467756183</v>
      </c>
      <c r="H159" s="618">
        <f t="shared" si="133"/>
        <v>0.22147597411818701</v>
      </c>
      <c r="I159" s="618">
        <f t="shared" si="134"/>
        <v>0.31388325820745711</v>
      </c>
      <c r="J159" s="618">
        <f t="shared" si="135"/>
        <v>0.41901514592538674</v>
      </c>
      <c r="K159" s="618">
        <f t="shared" si="136"/>
        <v>0.37442441293734696</v>
      </c>
      <c r="L159" s="618">
        <f t="shared" si="137"/>
        <v>0.45020687578813573</v>
      </c>
      <c r="M159" s="618">
        <f t="shared" si="138"/>
        <v>0.58657452329952697</v>
      </c>
      <c r="N159" s="618">
        <f t="shared" si="139"/>
        <v>0.68860809431415082</v>
      </c>
      <c r="O159" s="618">
        <f t="shared" si="140"/>
        <v>0.77630644683464656</v>
      </c>
      <c r="P159" s="618">
        <f t="shared" si="141"/>
        <v>0.80344742307183192</v>
      </c>
      <c r="Q159" s="618">
        <f t="shared" si="142"/>
        <v>0.90441037156070614</v>
      </c>
      <c r="R159" s="618">
        <f t="shared" si="143"/>
        <v>-1</v>
      </c>
      <c r="S159" s="618">
        <f t="shared" si="144"/>
        <v>-1</v>
      </c>
      <c r="T159" s="618">
        <f t="shared" si="145"/>
        <v>-1</v>
      </c>
      <c r="U159" s="618">
        <f t="shared" si="146"/>
        <v>-1</v>
      </c>
      <c r="V159" s="618">
        <f t="shared" si="147"/>
        <v>-1</v>
      </c>
      <c r="W159" s="618">
        <f t="shared" si="148"/>
        <v>-1</v>
      </c>
      <c r="Y159" s="631" t="s">
        <v>45</v>
      </c>
      <c r="Z159" s="631"/>
      <c r="AA159" s="618">
        <f t="shared" ref="AA159:AU159" si="174">IFERROR((AA61-Z61)/Z61,0)</f>
        <v>-8.3613301896271683E-3</v>
      </c>
      <c r="AB159" s="618">
        <f t="shared" si="174"/>
        <v>5.0009473810452572E-2</v>
      </c>
      <c r="AC159" s="618">
        <f t="shared" si="174"/>
        <v>5.1899151689099164E-2</v>
      </c>
      <c r="AD159" s="618">
        <f t="shared" si="174"/>
        <v>7.3687772189116429E-2</v>
      </c>
      <c r="AE159" s="618">
        <f t="shared" si="174"/>
        <v>-6.6733929370220097E-3</v>
      </c>
      <c r="AF159" s="618">
        <f t="shared" si="174"/>
        <v>4.5668623710885113E-2</v>
      </c>
      <c r="AG159" s="618">
        <f t="shared" si="174"/>
        <v>7.5652150387960901E-2</v>
      </c>
      <c r="AH159" s="618">
        <f t="shared" si="174"/>
        <v>8.0016155972153877E-2</v>
      </c>
      <c r="AI159" s="618">
        <f t="shared" si="174"/>
        <v>-3.1423718849005453E-2</v>
      </c>
      <c r="AJ159" s="618">
        <f t="shared" si="174"/>
        <v>5.5137599519809545E-2</v>
      </c>
      <c r="AK159" s="618">
        <f t="shared" si="174"/>
        <v>9.4033237456056254E-2</v>
      </c>
      <c r="AL159" s="618">
        <f t="shared" si="174"/>
        <v>6.4310607233519224E-2</v>
      </c>
      <c r="AM159" s="618">
        <f t="shared" si="174"/>
        <v>5.1935290856292782E-2</v>
      </c>
      <c r="AN159" s="618">
        <f t="shared" si="174"/>
        <v>1.5279444763346032E-2</v>
      </c>
      <c r="AO159" s="618">
        <f t="shared" si="174"/>
        <v>5.5983305749442325E-2</v>
      </c>
      <c r="AP159" s="618">
        <f t="shared" si="174"/>
        <v>-1</v>
      </c>
      <c r="AQ159" s="618">
        <f t="shared" si="174"/>
        <v>0</v>
      </c>
      <c r="AR159" s="618">
        <f t="shared" si="174"/>
        <v>0</v>
      </c>
      <c r="AS159" s="618">
        <f t="shared" si="174"/>
        <v>0</v>
      </c>
      <c r="AT159" s="618">
        <f t="shared" si="174"/>
        <v>0</v>
      </c>
      <c r="AU159" s="618">
        <f t="shared" si="174"/>
        <v>0</v>
      </c>
      <c r="AV159" s="565"/>
      <c r="AW159" s="631" t="s">
        <v>45</v>
      </c>
      <c r="AX159" s="631"/>
      <c r="AY159" s="618">
        <f t="shared" ref="AY159:BS159" si="175">(AY61-$AX61)/$AX61</f>
        <v>0.11704916102397009</v>
      </c>
      <c r="AZ159" s="618">
        <f t="shared" si="175"/>
        <v>0.16137192073203507</v>
      </c>
      <c r="BA159" s="618">
        <f t="shared" si="175"/>
        <v>0.26247803262540309</v>
      </c>
      <c r="BB159" s="618">
        <f t="shared" si="175"/>
        <v>0.43067626338137971</v>
      </c>
      <c r="BC159" s="618">
        <f t="shared" si="175"/>
        <v>0.28893077074177786</v>
      </c>
      <c r="BD159" s="618">
        <f t="shared" si="175"/>
        <v>0.12691844908040587</v>
      </c>
      <c r="BE159" s="618">
        <f t="shared" si="175"/>
        <v>-7.0667939316676726E-2</v>
      </c>
      <c r="BF159" s="618">
        <f t="shared" si="175"/>
        <v>0.55017347046622356</v>
      </c>
      <c r="BG159" s="618">
        <f t="shared" si="175"/>
        <v>0.58800088957868524</v>
      </c>
      <c r="BH159" s="618">
        <f t="shared" si="175"/>
        <v>0.56354206524398753</v>
      </c>
      <c r="BI159" s="618">
        <f t="shared" si="175"/>
        <v>0.61953084165630512</v>
      </c>
      <c r="BJ159" s="618">
        <f t="shared" si="175"/>
        <v>3.8177271107234262E-2</v>
      </c>
      <c r="BK159" s="618">
        <f t="shared" si="175"/>
        <v>7.2647789520227976E-2</v>
      </c>
      <c r="BL159" s="618">
        <f t="shared" si="175"/>
        <v>0.17604951008919117</v>
      </c>
      <c r="BM159" s="618">
        <f t="shared" si="175"/>
        <v>0.151292367430615</v>
      </c>
      <c r="BN159" s="618">
        <f t="shared" si="175"/>
        <v>-1</v>
      </c>
      <c r="BO159" s="618">
        <f t="shared" si="175"/>
        <v>-1</v>
      </c>
      <c r="BP159" s="618">
        <f t="shared" si="175"/>
        <v>-1</v>
      </c>
      <c r="BQ159" s="618">
        <f t="shared" si="175"/>
        <v>-1</v>
      </c>
      <c r="BR159" s="618">
        <f t="shared" si="175"/>
        <v>-1</v>
      </c>
      <c r="BS159" s="618">
        <f t="shared" si="175"/>
        <v>-1</v>
      </c>
      <c r="BU159" s="631" t="s">
        <v>45</v>
      </c>
      <c r="BV159" s="631"/>
      <c r="BW159" s="618">
        <f t="shared" si="96"/>
        <v>0.11704916102397009</v>
      </c>
      <c r="BX159" s="618">
        <f t="shared" si="97"/>
        <v>3.9678432476002626E-2</v>
      </c>
      <c r="BY159" s="618">
        <f t="shared" si="98"/>
        <v>8.7057479252330192E-2</v>
      </c>
      <c r="BZ159" s="618">
        <f t="shared" si="99"/>
        <v>0.13322863955596734</v>
      </c>
      <c r="CA159" s="618">
        <f t="shared" si="100"/>
        <v>-9.9075868012647894E-2</v>
      </c>
      <c r="CB159" s="618">
        <f t="shared" si="101"/>
        <v>-0.12569513067651733</v>
      </c>
      <c r="CC159" s="618">
        <f t="shared" si="102"/>
        <v>-0.17533335136923006</v>
      </c>
      <c r="CD159" s="618">
        <f t="shared" si="103"/>
        <v>0.66805121231522491</v>
      </c>
      <c r="CE159" s="618">
        <f t="shared" si="109"/>
        <v>2.4402055533233234E-2</v>
      </c>
      <c r="CF159" s="618">
        <f t="shared" si="110"/>
        <v>-1.5402273698465552E-2</v>
      </c>
      <c r="CG159" s="618">
        <f t="shared" si="111"/>
        <v>3.5808935145969792E-2</v>
      </c>
      <c r="CH159" s="618">
        <f t="shared" si="112"/>
        <v>-0.3589641861679625</v>
      </c>
      <c r="CI159" s="618">
        <f t="shared" si="113"/>
        <v>3.3202921478169431E-2</v>
      </c>
      <c r="CJ159" s="618">
        <f t="shared" si="114"/>
        <v>9.6398577034510574E-2</v>
      </c>
      <c r="CK159" s="618">
        <f>(BM61-BL61)/BL61</f>
        <v>-2.105110579630156E-2</v>
      </c>
      <c r="CL159" s="618">
        <f>(BN61-BM61)/BM61</f>
        <v>-1</v>
      </c>
      <c r="CM159" s="618" t="e">
        <f t="shared" si="173"/>
        <v>#DIV/0!</v>
      </c>
      <c r="CN159" s="618" t="e">
        <f t="shared" si="173"/>
        <v>#DIV/0!</v>
      </c>
      <c r="CO159" s="618" t="e">
        <f t="shared" si="173"/>
        <v>#DIV/0!</v>
      </c>
      <c r="CP159" s="618" t="e">
        <f t="shared" si="173"/>
        <v>#DIV/0!</v>
      </c>
      <c r="CQ159" s="618" t="e">
        <f t="shared" si="173"/>
        <v>#DIV/0!</v>
      </c>
      <c r="CZ159" s="3"/>
      <c r="DA159" s="3"/>
      <c r="DC159" s="41"/>
      <c r="DD159" s="41"/>
      <c r="DE159" s="3"/>
      <c r="DF159" s="118"/>
      <c r="DG159" s="700"/>
      <c r="DH159" s="700"/>
      <c r="DI159" s="700"/>
      <c r="DJ159" s="700"/>
      <c r="DK159" s="43"/>
      <c r="DL159" s="43"/>
      <c r="DS159" s="3"/>
      <c r="DT159" s="3"/>
      <c r="DV159" s="41"/>
      <c r="DW159" s="41"/>
      <c r="DY159" s="118"/>
      <c r="DZ159" s="3"/>
      <c r="EA159" s="486"/>
      <c r="EB159" s="486"/>
      <c r="EC159" s="486"/>
      <c r="ED159" s="486"/>
      <c r="EE159" s="43"/>
      <c r="EF159" s="43"/>
      <c r="EL159" s="3"/>
      <c r="EM159" s="3"/>
      <c r="EO159" s="41"/>
      <c r="EP159" s="41"/>
      <c r="FC159" s="3"/>
      <c r="FE159" s="39"/>
      <c r="FF159" s="39"/>
      <c r="FH159" s="41"/>
      <c r="FI159" s="41"/>
      <c r="FM159" s="3"/>
      <c r="FN159" s="3"/>
      <c r="FO159" s="486"/>
      <c r="FP159" s="486"/>
      <c r="FQ159" s="486"/>
      <c r="FR159" s="486"/>
      <c r="FS159" s="43"/>
      <c r="FT159" s="43"/>
      <c r="FX159" s="3"/>
      <c r="FY159" s="3"/>
      <c r="GA159" s="41"/>
      <c r="GB159" s="41"/>
      <c r="GG159" s="3"/>
      <c r="GH159" s="3"/>
      <c r="GI159" s="486"/>
      <c r="GJ159" s="486"/>
      <c r="GK159" s="486"/>
      <c r="GL159" s="486"/>
      <c r="GM159" s="43"/>
      <c r="GN159" s="43"/>
      <c r="GO159" s="393"/>
      <c r="GS159" s="3"/>
      <c r="GT159" s="3"/>
      <c r="GV159" s="41"/>
      <c r="GW159" s="41"/>
      <c r="HA159" s="3"/>
      <c r="HB159" s="3"/>
      <c r="HC159" s="43"/>
      <c r="HD159" s="43"/>
      <c r="HE159" s="43"/>
      <c r="HF159" s="43"/>
      <c r="HG159" s="43"/>
    </row>
    <row r="160" spans="1:215">
      <c r="A160" s="632" t="s">
        <v>46</v>
      </c>
      <c r="B160" s="632"/>
      <c r="C160" s="616">
        <f t="shared" si="128"/>
        <v>0</v>
      </c>
      <c r="D160" s="616">
        <f t="shared" si="129"/>
        <v>0</v>
      </c>
      <c r="E160" s="616">
        <f t="shared" si="130"/>
        <v>0</v>
      </c>
      <c r="F160" s="616">
        <f t="shared" si="131"/>
        <v>0</v>
      </c>
      <c r="G160" s="616">
        <f t="shared" si="132"/>
        <v>0</v>
      </c>
      <c r="H160" s="616">
        <f t="shared" si="133"/>
        <v>0</v>
      </c>
      <c r="I160" s="616">
        <f t="shared" si="134"/>
        <v>0</v>
      </c>
      <c r="J160" s="616">
        <f t="shared" si="135"/>
        <v>0</v>
      </c>
      <c r="K160" s="616">
        <f t="shared" si="136"/>
        <v>0</v>
      </c>
      <c r="L160" s="616">
        <f t="shared" si="137"/>
        <v>0</v>
      </c>
      <c r="M160" s="616">
        <f t="shared" si="138"/>
        <v>0</v>
      </c>
      <c r="N160" s="616">
        <f t="shared" si="139"/>
        <v>0</v>
      </c>
      <c r="O160" s="616">
        <f t="shared" si="140"/>
        <v>0</v>
      </c>
      <c r="P160" s="616">
        <f t="shared" si="141"/>
        <v>0</v>
      </c>
      <c r="Q160" s="616">
        <f t="shared" si="142"/>
        <v>0</v>
      </c>
      <c r="R160" s="616">
        <f t="shared" si="143"/>
        <v>0</v>
      </c>
      <c r="S160" s="616">
        <f t="shared" si="144"/>
        <v>0</v>
      </c>
      <c r="T160" s="616">
        <f t="shared" si="145"/>
        <v>0</v>
      </c>
      <c r="U160" s="616">
        <f t="shared" si="146"/>
        <v>0</v>
      </c>
      <c r="V160" s="616">
        <f t="shared" si="147"/>
        <v>0</v>
      </c>
      <c r="W160" s="616">
        <f t="shared" si="148"/>
        <v>0</v>
      </c>
      <c r="Y160" s="632" t="s">
        <v>46</v>
      </c>
      <c r="Z160" s="632"/>
      <c r="AA160" s="616">
        <f t="shared" ref="AA160:AU160" si="176">IFERROR((AA62-Z62)/Z62,0)</f>
        <v>0</v>
      </c>
      <c r="AB160" s="616">
        <f t="shared" si="176"/>
        <v>0</v>
      </c>
      <c r="AC160" s="616">
        <f t="shared" si="176"/>
        <v>9.0699854214197989E-2</v>
      </c>
      <c r="AD160" s="616">
        <f t="shared" si="176"/>
        <v>8.4504983123773122E-3</v>
      </c>
      <c r="AE160" s="616">
        <f t="shared" si="176"/>
        <v>0.3461418879453656</v>
      </c>
      <c r="AF160" s="616">
        <f t="shared" si="176"/>
        <v>-0.20370493987533161</v>
      </c>
      <c r="AG160" s="616">
        <f t="shared" si="176"/>
        <v>1.7361241396615903</v>
      </c>
      <c r="AH160" s="616">
        <f t="shared" si="176"/>
        <v>1.0470796214348561E-2</v>
      </c>
      <c r="AI160" s="616">
        <f t="shared" si="176"/>
        <v>7.3677485186578934E-2</v>
      </c>
      <c r="AJ160" s="616">
        <f t="shared" si="176"/>
        <v>0.45048645563616546</v>
      </c>
      <c r="AK160" s="616">
        <f t="shared" si="176"/>
        <v>0.2266626434339363</v>
      </c>
      <c r="AL160" s="616">
        <f t="shared" si="176"/>
        <v>-0.16365911418352783</v>
      </c>
      <c r="AM160" s="616">
        <f t="shared" si="176"/>
        <v>-1</v>
      </c>
      <c r="AN160" s="616">
        <f t="shared" si="176"/>
        <v>0</v>
      </c>
      <c r="AO160" s="616">
        <f t="shared" si="176"/>
        <v>0</v>
      </c>
      <c r="AP160" s="616">
        <f t="shared" si="176"/>
        <v>0</v>
      </c>
      <c r="AQ160" s="616">
        <f t="shared" si="176"/>
        <v>0</v>
      </c>
      <c r="AR160" s="616">
        <f t="shared" si="176"/>
        <v>0</v>
      </c>
      <c r="AS160" s="616">
        <f t="shared" si="176"/>
        <v>0</v>
      </c>
      <c r="AT160" s="616">
        <f t="shared" si="176"/>
        <v>0</v>
      </c>
      <c r="AU160" s="616">
        <f t="shared" si="176"/>
        <v>0</v>
      </c>
      <c r="AV160" s="565"/>
      <c r="AW160" s="632" t="s">
        <v>46</v>
      </c>
      <c r="AX160" s="632"/>
      <c r="AY160" s="616">
        <f t="shared" ref="AY160:BS160" si="177">(AY62-$AX62)/$AX62</f>
        <v>8.1266573565379516E-2</v>
      </c>
      <c r="AZ160" s="616">
        <f t="shared" si="177"/>
        <v>0.12549121918686693</v>
      </c>
      <c r="BA160" s="616">
        <f t="shared" si="177"/>
        <v>0.14751399290257525</v>
      </c>
      <c r="BB160" s="616">
        <f t="shared" si="177"/>
        <v>0.15721105796302767</v>
      </c>
      <c r="BC160" s="616">
        <f t="shared" si="177"/>
        <v>0.15927090479449599</v>
      </c>
      <c r="BD160" s="616">
        <f t="shared" si="177"/>
        <v>0.21159722446977175</v>
      </c>
      <c r="BE160" s="616">
        <f t="shared" si="177"/>
        <v>0.23131558212695502</v>
      </c>
      <c r="BF160" s="616">
        <f t="shared" si="177"/>
        <v>0.25920638898010068</v>
      </c>
      <c r="BG160" s="616">
        <f t="shared" si="177"/>
        <v>0.37881936986666087</v>
      </c>
      <c r="BH160" s="616">
        <f t="shared" si="177"/>
        <v>0.67282883043956632</v>
      </c>
      <c r="BI160" s="616">
        <f t="shared" si="177"/>
        <v>0.80865307528673513</v>
      </c>
      <c r="BJ160" s="616">
        <f t="shared" si="177"/>
        <v>0.81911206135382608</v>
      </c>
      <c r="BK160" s="616">
        <f t="shared" si="177"/>
        <v>-1</v>
      </c>
      <c r="BL160" s="616">
        <f t="shared" si="177"/>
        <v>-1</v>
      </c>
      <c r="BM160" s="616">
        <f t="shared" si="177"/>
        <v>-1</v>
      </c>
      <c r="BN160" s="616">
        <f t="shared" si="177"/>
        <v>-1</v>
      </c>
      <c r="BO160" s="616">
        <f t="shared" si="177"/>
        <v>-1</v>
      </c>
      <c r="BP160" s="616">
        <f t="shared" si="177"/>
        <v>-1</v>
      </c>
      <c r="BQ160" s="616">
        <f t="shared" si="177"/>
        <v>-1</v>
      </c>
      <c r="BR160" s="616">
        <f t="shared" si="177"/>
        <v>-1</v>
      </c>
      <c r="BS160" s="616">
        <f t="shared" si="177"/>
        <v>-1</v>
      </c>
      <c r="BU160" s="632" t="s">
        <v>46</v>
      </c>
      <c r="BV160" s="632"/>
      <c r="BW160" s="616">
        <f t="shared" si="96"/>
        <v>8.1266573565379516E-2</v>
      </c>
      <c r="BX160" s="616">
        <f t="shared" si="97"/>
        <v>4.0900779421730031E-2</v>
      </c>
      <c r="BY160" s="616">
        <f t="shared" si="98"/>
        <v>1.9567255026315618E-2</v>
      </c>
      <c r="BZ160" s="616">
        <f t="shared" si="99"/>
        <v>8.450498312377203E-3</v>
      </c>
      <c r="CA160" s="616">
        <f t="shared" si="100"/>
        <v>1.7800096337604327E-3</v>
      </c>
      <c r="CB160" s="616">
        <f t="shared" si="101"/>
        <v>4.513726641362717E-2</v>
      </c>
      <c r="CC160" s="616">
        <f t="shared" si="102"/>
        <v>1.6274680445733557E-2</v>
      </c>
      <c r="CD160" s="616">
        <f t="shared" si="103"/>
        <v>2.2651225451859804E-2</v>
      </c>
      <c r="CE160" s="616">
        <f t="shared" ref="CE160:CI162" si="178">(BG62-BF62)/BF62</f>
        <v>9.4990767147743918E-2</v>
      </c>
      <c r="CF160" s="616">
        <f t="shared" si="178"/>
        <v>0.21323276057641816</v>
      </c>
      <c r="CG160" s="616">
        <f t="shared" si="178"/>
        <v>8.1194347189412416E-2</v>
      </c>
      <c r="CH160" s="616">
        <f t="shared" si="178"/>
        <v>5.7827486155313888E-3</v>
      </c>
      <c r="CI160" s="616">
        <f t="shared" si="178"/>
        <v>-1</v>
      </c>
      <c r="CJ160" s="616"/>
      <c r="CK160" s="616"/>
      <c r="CL160" s="616"/>
      <c r="CM160" s="616"/>
      <c r="CN160" s="616"/>
      <c r="CO160" s="616"/>
      <c r="CP160" s="616"/>
      <c r="CQ160" s="616"/>
      <c r="CZ160" s="3"/>
      <c r="DA160" s="3"/>
      <c r="DC160" s="41"/>
      <c r="DD160" s="41"/>
      <c r="DE160" s="3"/>
      <c r="DF160" s="118"/>
      <c r="DG160" s="700"/>
      <c r="DH160" s="700"/>
      <c r="DI160" s="700"/>
      <c r="DJ160" s="700"/>
      <c r="DK160" s="43"/>
      <c r="DL160" s="43"/>
      <c r="DS160" s="3"/>
      <c r="DT160" s="3"/>
      <c r="DV160" s="41"/>
      <c r="DW160" s="41"/>
      <c r="DY160" s="118"/>
      <c r="DZ160" s="3"/>
      <c r="EA160" s="486"/>
      <c r="EB160" s="486"/>
      <c r="EC160" s="486"/>
      <c r="ED160" s="486"/>
      <c r="EE160" s="43"/>
      <c r="EF160" s="43"/>
      <c r="EL160" s="3"/>
      <c r="EM160" s="3"/>
      <c r="EO160" s="41"/>
      <c r="EP160" s="41"/>
      <c r="FC160" s="3"/>
      <c r="FE160" s="39"/>
      <c r="FF160" s="39"/>
      <c r="FH160" s="41"/>
      <c r="FI160" s="41"/>
      <c r="FM160" s="3"/>
      <c r="FN160" s="3"/>
      <c r="FO160" s="486"/>
      <c r="FP160" s="486"/>
      <c r="FQ160" s="486"/>
      <c r="FR160" s="486"/>
      <c r="FS160" s="43"/>
      <c r="FT160" s="43"/>
      <c r="FX160" s="3"/>
      <c r="FY160" s="3"/>
      <c r="GA160" s="41"/>
      <c r="GB160" s="41"/>
      <c r="GG160" s="3"/>
      <c r="GH160" s="3"/>
      <c r="GI160" s="486"/>
      <c r="GJ160" s="486"/>
      <c r="GK160" s="486"/>
      <c r="GL160" s="486"/>
      <c r="GM160" s="43"/>
      <c r="GN160" s="43"/>
      <c r="GO160" s="393"/>
      <c r="GS160" s="3"/>
      <c r="GT160" s="3"/>
      <c r="GV160" s="41"/>
      <c r="GW160" s="41"/>
      <c r="HA160" s="3"/>
      <c r="HB160" s="3"/>
      <c r="HC160" s="43"/>
      <c r="HD160" s="43"/>
      <c r="HE160" s="43"/>
      <c r="HF160" s="43"/>
      <c r="HG160" s="43"/>
    </row>
    <row r="161" spans="1:215">
      <c r="A161" s="631" t="s">
        <v>47</v>
      </c>
      <c r="B161" s="631"/>
      <c r="C161" s="618">
        <f t="shared" si="128"/>
        <v>0.29730622387284639</v>
      </c>
      <c r="D161" s="618">
        <f t="shared" si="129"/>
        <v>0.32813565692147795</v>
      </c>
      <c r="E161" s="618">
        <f t="shared" si="130"/>
        <v>0.33539010257490098</v>
      </c>
      <c r="F161" s="618">
        <f t="shared" si="131"/>
        <v>0.62913523158840512</v>
      </c>
      <c r="G161" s="618">
        <f t="shared" si="132"/>
        <v>0.91705443004948806</v>
      </c>
      <c r="H161" s="618">
        <f t="shared" si="133"/>
        <v>0.87530207456835418</v>
      </c>
      <c r="I161" s="618">
        <f t="shared" si="134"/>
        <v>0.57825058913244654</v>
      </c>
      <c r="J161" s="618">
        <f t="shared" si="135"/>
        <v>-0.87992616654096834</v>
      </c>
      <c r="K161" s="618">
        <f t="shared" si="136"/>
        <v>-0.9314507800709223</v>
      </c>
      <c r="L161" s="618">
        <f t="shared" si="137"/>
        <v>-0.99336237119412885</v>
      </c>
      <c r="M161" s="618">
        <f t="shared" si="138"/>
        <v>-0.99336237119412885</v>
      </c>
      <c r="N161" s="618">
        <f t="shared" si="139"/>
        <v>-0.9932726905127236</v>
      </c>
      <c r="O161" s="618">
        <f t="shared" si="140"/>
        <v>-0.99327961161301903</v>
      </c>
      <c r="P161" s="618">
        <f t="shared" si="141"/>
        <v>-0.99312722156832967</v>
      </c>
      <c r="Q161" s="618">
        <f t="shared" si="142"/>
        <v>-0.99336232924806656</v>
      </c>
      <c r="R161" s="618">
        <f t="shared" si="143"/>
        <v>-0.99336232924806656</v>
      </c>
      <c r="S161" s="618">
        <f t="shared" si="144"/>
        <v>-1</v>
      </c>
      <c r="T161" s="618">
        <f t="shared" si="145"/>
        <v>-0.986724658496133</v>
      </c>
      <c r="U161" s="618">
        <f t="shared" si="146"/>
        <v>-1</v>
      </c>
      <c r="V161" s="618">
        <f t="shared" si="147"/>
        <v>-1</v>
      </c>
      <c r="W161" s="618">
        <f t="shared" si="148"/>
        <v>-1</v>
      </c>
      <c r="Y161" s="631" t="s">
        <v>47</v>
      </c>
      <c r="Z161" s="631"/>
      <c r="AA161" s="618">
        <f t="shared" ref="AA161:AU161" si="179">IFERROR((AA63-Z63)/Z63,0)</f>
        <v>0.29730622387284639</v>
      </c>
      <c r="AB161" s="618">
        <f t="shared" si="179"/>
        <v>2.3764191122583597E-2</v>
      </c>
      <c r="AC161" s="618">
        <f t="shared" si="179"/>
        <v>5.4621270166319742E-3</v>
      </c>
      <c r="AD161" s="618">
        <f t="shared" si="179"/>
        <v>0.21996952684245927</v>
      </c>
      <c r="AE161" s="618">
        <f t="shared" si="179"/>
        <v>0.17673130681752064</v>
      </c>
      <c r="AF161" s="618">
        <f t="shared" si="179"/>
        <v>-2.1779431416590569E-2</v>
      </c>
      <c r="AG161" s="618">
        <f t="shared" si="179"/>
        <v>-0.15840193932717808</v>
      </c>
      <c r="AH161" s="618">
        <f t="shared" si="179"/>
        <v>-0.92391966504822565</v>
      </c>
      <c r="AI161" s="618">
        <f t="shared" si="179"/>
        <v>-0.42910775849872324</v>
      </c>
      <c r="AJ161" s="618">
        <f t="shared" si="179"/>
        <v>-0.90316988562760403</v>
      </c>
      <c r="AK161" s="618">
        <f t="shared" si="179"/>
        <v>0</v>
      </c>
      <c r="AL161" s="618">
        <f t="shared" si="179"/>
        <v>1.351095158049071E-2</v>
      </c>
      <c r="AM161" s="618">
        <f t="shared" si="179"/>
        <v>-1.0288065843621966E-3</v>
      </c>
      <c r="AN161" s="618">
        <f t="shared" si="179"/>
        <v>2.2675779421402444E-2</v>
      </c>
      <c r="AO161" s="618">
        <f t="shared" si="179"/>
        <v>-3.4208534739514643E-2</v>
      </c>
      <c r="AP161" s="618">
        <f t="shared" si="179"/>
        <v>0</v>
      </c>
      <c r="AQ161" s="618">
        <f t="shared" si="179"/>
        <v>-1</v>
      </c>
      <c r="AR161" s="618">
        <f t="shared" si="179"/>
        <v>0</v>
      </c>
      <c r="AS161" s="618">
        <f t="shared" si="179"/>
        <v>-1</v>
      </c>
      <c r="AT161" s="618">
        <f t="shared" si="179"/>
        <v>0</v>
      </c>
      <c r="AU161" s="618">
        <f t="shared" si="179"/>
        <v>0</v>
      </c>
      <c r="AV161" s="565"/>
      <c r="AW161" s="631" t="s">
        <v>47</v>
      </c>
      <c r="AX161" s="631"/>
      <c r="AY161" s="618">
        <f t="shared" ref="AY161:BS161" si="180">(AY63-$AX63)/$AX63</f>
        <v>2.5538516895530775E-2</v>
      </c>
      <c r="AZ161" s="618">
        <f t="shared" si="180"/>
        <v>-3.4083158602561558E-2</v>
      </c>
      <c r="BA161" s="618">
        <f t="shared" si="180"/>
        <v>5.564434986158185E-2</v>
      </c>
      <c r="BB161" s="618">
        <f t="shared" si="180"/>
        <v>0.19126489266345842</v>
      </c>
      <c r="BC161" s="618">
        <f t="shared" si="180"/>
        <v>0.16185116972696256</v>
      </c>
      <c r="BD161" s="618">
        <f t="shared" si="180"/>
        <v>0.2312589378479093</v>
      </c>
      <c r="BE161" s="618">
        <f t="shared" si="180"/>
        <v>0.35506363713391864</v>
      </c>
      <c r="BF161" s="618">
        <f t="shared" si="180"/>
        <v>0.3542346304098124</v>
      </c>
      <c r="BG161" s="618">
        <f t="shared" si="180"/>
        <v>0.88616944516112905</v>
      </c>
      <c r="BH161" s="618">
        <f t="shared" si="180"/>
        <v>1.1568292918047995</v>
      </c>
      <c r="BI161" s="618">
        <f t="shared" si="180"/>
        <v>1.3867136381215577</v>
      </c>
      <c r="BJ161" s="618">
        <f t="shared" si="180"/>
        <v>1.3368705049550886</v>
      </c>
      <c r="BK161" s="618">
        <f t="shared" si="180"/>
        <v>1.4245809226105064</v>
      </c>
      <c r="BL161" s="618">
        <f t="shared" si="180"/>
        <v>1.2836395408599266</v>
      </c>
      <c r="BM161" s="618">
        <f t="shared" si="180"/>
        <v>1.1280054067711778</v>
      </c>
      <c r="BN161" s="618">
        <f t="shared" si="180"/>
        <v>1.2943245185335626</v>
      </c>
      <c r="BO161" s="618">
        <f t="shared" si="180"/>
        <v>1.2724254898747165</v>
      </c>
      <c r="BP161" s="618">
        <f t="shared" si="180"/>
        <v>1.3906137639368654</v>
      </c>
      <c r="BQ161" s="618">
        <f t="shared" si="180"/>
        <v>1.5419538986843964</v>
      </c>
      <c r="BR161" s="618">
        <f t="shared" si="180"/>
        <v>1.6082283340770498</v>
      </c>
      <c r="BS161" s="618">
        <f t="shared" si="180"/>
        <v>1.6082824254311505</v>
      </c>
      <c r="BU161" s="631" t="s">
        <v>47</v>
      </c>
      <c r="BV161" s="631"/>
      <c r="BW161" s="618">
        <f t="shared" si="96"/>
        <v>2.5538516895530775E-2</v>
      </c>
      <c r="BX161" s="618">
        <f t="shared" si="97"/>
        <v>-5.8136944167223176E-2</v>
      </c>
      <c r="BY161" s="618">
        <f t="shared" si="98"/>
        <v>9.2893616322426154E-2</v>
      </c>
      <c r="BZ161" s="618">
        <f t="shared" si="99"/>
        <v>0.12847181232927493</v>
      </c>
      <c r="CA161" s="618">
        <f t="shared" si="100"/>
        <v>-2.4691169124217177E-2</v>
      </c>
      <c r="CB161" s="618">
        <f t="shared" si="101"/>
        <v>5.9738949298693486E-2</v>
      </c>
      <c r="CC161" s="618">
        <f t="shared" si="102"/>
        <v>0.10055131011061319</v>
      </c>
      <c r="CD161" s="618">
        <f t="shared" si="103"/>
        <v>-6.1178434826841344E-4</v>
      </c>
      <c r="CE161" s="618">
        <f t="shared" si="178"/>
        <v>0.39279368789317171</v>
      </c>
      <c r="CF161" s="618">
        <f t="shared" si="178"/>
        <v>0.14349710061205506</v>
      </c>
      <c r="CG161" s="618">
        <f t="shared" si="178"/>
        <v>0.1065843955245965</v>
      </c>
      <c r="CH161" s="618">
        <f t="shared" si="178"/>
        <v>-2.088358333834207E-2</v>
      </c>
      <c r="CI161" s="618">
        <f t="shared" si="178"/>
        <v>3.7533281142210079E-2</v>
      </c>
      <c r="CJ161" s="618">
        <f t="shared" ref="CJ161:CQ162" si="181">(BL63-BK63)/BK63</f>
        <v>-5.8130203218307322E-2</v>
      </c>
      <c r="CK161" s="618">
        <f t="shared" si="181"/>
        <v>-6.8151795107796773E-2</v>
      </c>
      <c r="CL161" s="618">
        <f t="shared" si="181"/>
        <v>7.8157278751815204E-2</v>
      </c>
      <c r="CM161" s="618">
        <f t="shared" si="181"/>
        <v>-9.5448697348373187E-3</v>
      </c>
      <c r="CN161" s="618">
        <f t="shared" si="181"/>
        <v>5.2009746673218733E-2</v>
      </c>
      <c r="CO161" s="618">
        <f t="shared" si="181"/>
        <v>6.3305974821421557E-2</v>
      </c>
      <c r="CP161" s="618">
        <f t="shared" si="181"/>
        <v>2.607224128925158E-2</v>
      </c>
      <c r="CQ161" s="618">
        <f t="shared" si="181"/>
        <v>2.0738734179824886E-5</v>
      </c>
      <c r="CZ161" s="3"/>
      <c r="DA161" s="3"/>
      <c r="DC161" s="41"/>
      <c r="DD161" s="41"/>
      <c r="DE161" s="3"/>
      <c r="DF161" s="118"/>
      <c r="DG161" s="700"/>
      <c r="DH161" s="700"/>
      <c r="DI161" s="700"/>
      <c r="DJ161" s="700"/>
      <c r="DK161" s="43"/>
      <c r="DL161" s="43"/>
      <c r="DS161" s="3"/>
      <c r="DT161" s="3"/>
      <c r="DV161" s="41"/>
      <c r="DW161" s="41"/>
      <c r="DY161" s="118"/>
      <c r="DZ161" s="3"/>
      <c r="EA161" s="486"/>
      <c r="EB161" s="486"/>
      <c r="EC161" s="486"/>
      <c r="ED161" s="486"/>
      <c r="EE161" s="43"/>
      <c r="EF161" s="43"/>
      <c r="EL161" s="3"/>
      <c r="EM161" s="3"/>
      <c r="EO161" s="41"/>
      <c r="EP161" s="41"/>
      <c r="FC161" s="3"/>
      <c r="FE161" s="39"/>
      <c r="FF161" s="39"/>
      <c r="FH161" s="41"/>
      <c r="FI161" s="41"/>
      <c r="FM161" s="3"/>
      <c r="FN161" s="3"/>
      <c r="FO161" s="486"/>
      <c r="FP161" s="486"/>
      <c r="FQ161" s="486"/>
      <c r="FR161" s="486"/>
      <c r="FS161" s="43"/>
      <c r="FT161" s="43"/>
      <c r="FX161" s="3"/>
      <c r="FY161" s="3"/>
      <c r="GA161" s="41"/>
      <c r="GB161" s="41"/>
      <c r="GG161" s="3"/>
      <c r="GH161" s="3"/>
      <c r="GI161" s="486"/>
      <c r="GJ161" s="486"/>
      <c r="GK161" s="486"/>
      <c r="GL161" s="486"/>
      <c r="GM161" s="43"/>
      <c r="GN161" s="43"/>
      <c r="GO161" s="393"/>
      <c r="GS161" s="3"/>
      <c r="GT161" s="3"/>
      <c r="GV161" s="41"/>
      <c r="GW161" s="41"/>
      <c r="HA161" s="3"/>
      <c r="HB161" s="3"/>
      <c r="HC161" s="43"/>
      <c r="HD161" s="43"/>
      <c r="HE161" s="43"/>
      <c r="HF161" s="43"/>
      <c r="HG161" s="43"/>
    </row>
    <row r="162" spans="1:215">
      <c r="A162" s="632" t="s">
        <v>48</v>
      </c>
      <c r="B162" s="632"/>
      <c r="C162" s="616">
        <f t="shared" si="128"/>
        <v>0.31546409967846728</v>
      </c>
      <c r="D162" s="616">
        <f t="shared" si="129"/>
        <v>0.55852911478219291</v>
      </c>
      <c r="E162" s="616">
        <f t="shared" si="130"/>
        <v>0.59582989681546061</v>
      </c>
      <c r="F162" s="616">
        <f t="shared" si="131"/>
        <v>0.61592779295543754</v>
      </c>
      <c r="G162" s="616">
        <f t="shared" si="132"/>
        <v>0.91520392737365097</v>
      </c>
      <c r="H162" s="616">
        <f t="shared" si="133"/>
        <v>0.56476047882478675</v>
      </c>
      <c r="I162" s="616">
        <f t="shared" si="134"/>
        <v>0.58184365757956691</v>
      </c>
      <c r="J162" s="616">
        <f t="shared" si="135"/>
        <v>0.66753117636327464</v>
      </c>
      <c r="K162" s="616">
        <f t="shared" si="136"/>
        <v>0.53822081286138779</v>
      </c>
      <c r="L162" s="616">
        <f t="shared" si="137"/>
        <v>-5.1341836024954415E-2</v>
      </c>
      <c r="M162" s="616">
        <f t="shared" si="138"/>
        <v>0.84467607917021403</v>
      </c>
      <c r="N162" s="616">
        <f t="shared" si="139"/>
        <v>2.2186912854615923</v>
      </c>
      <c r="O162" s="616">
        <f t="shared" si="140"/>
        <v>1.7896728623351896</v>
      </c>
      <c r="P162" s="616">
        <f t="shared" si="141"/>
        <v>0.26834799157133671</v>
      </c>
      <c r="Q162" s="616">
        <f t="shared" si="142"/>
        <v>0.27498764077950366</v>
      </c>
      <c r="R162" s="616">
        <f t="shared" si="143"/>
        <v>0.20753610592395888</v>
      </c>
      <c r="S162" s="616">
        <f t="shared" si="144"/>
        <v>0.22380798861962795</v>
      </c>
      <c r="T162" s="616">
        <f t="shared" si="145"/>
        <v>0.37795386311700629</v>
      </c>
      <c r="U162" s="616">
        <f t="shared" si="146"/>
        <v>0.30341813326748046</v>
      </c>
      <c r="V162" s="616">
        <f t="shared" si="147"/>
        <v>0.31858910585925498</v>
      </c>
      <c r="W162" s="616">
        <f t="shared" si="148"/>
        <v>0.32798635169090817</v>
      </c>
      <c r="Y162" s="632" t="s">
        <v>48</v>
      </c>
      <c r="Z162" s="632"/>
      <c r="AA162" s="616">
        <f t="shared" ref="AA162:AU162" si="182">IFERROR((AA64-Z64)/Z64,0)</f>
        <v>0.31546409967846728</v>
      </c>
      <c r="AB162" s="616">
        <f t="shared" si="182"/>
        <v>0.1847751034506657</v>
      </c>
      <c r="AC162" s="616">
        <f t="shared" si="182"/>
        <v>2.3933323849699484E-2</v>
      </c>
      <c r="AD162" s="616">
        <f t="shared" si="182"/>
        <v>1.2594009035726848E-2</v>
      </c>
      <c r="AE162" s="616">
        <f t="shared" si="182"/>
        <v>0.18520390312171989</v>
      </c>
      <c r="AF162" s="616">
        <f t="shared" si="182"/>
        <v>-0.1829797044273154</v>
      </c>
      <c r="AG162" s="616">
        <f t="shared" si="182"/>
        <v>1.0917440072112858E-2</v>
      </c>
      <c r="AH162" s="616">
        <f t="shared" si="182"/>
        <v>5.4169398077444066E-2</v>
      </c>
      <c r="AI162" s="616">
        <f t="shared" si="182"/>
        <v>-7.7545994542603011E-2</v>
      </c>
      <c r="AJ162" s="616">
        <f t="shared" si="182"/>
        <v>-0.38327569355250224</v>
      </c>
      <c r="AK162" s="616">
        <f t="shared" si="182"/>
        <v>0.94451083564251925</v>
      </c>
      <c r="AL162" s="616">
        <f t="shared" si="182"/>
        <v>0.74485446079479056</v>
      </c>
      <c r="AM162" s="616">
        <f t="shared" si="182"/>
        <v>-0.13328970848003432</v>
      </c>
      <c r="AN162" s="616">
        <f t="shared" si="182"/>
        <v>-0.54534167475478712</v>
      </c>
      <c r="AO162" s="616">
        <f t="shared" si="182"/>
        <v>5.2348797430121679E-3</v>
      </c>
      <c r="AP162" s="616">
        <f t="shared" si="182"/>
        <v>-5.2903677414712948E-2</v>
      </c>
      <c r="AQ162" s="616">
        <f t="shared" si="182"/>
        <v>1.3475276321628883E-2</v>
      </c>
      <c r="AR162" s="616">
        <f t="shared" si="182"/>
        <v>0.12595593093916996</v>
      </c>
      <c r="AS162" s="616">
        <f t="shared" si="182"/>
        <v>-5.4091600484302109E-2</v>
      </c>
      <c r="AT162" s="616">
        <f t="shared" si="182"/>
        <v>1.163937512035612E-2</v>
      </c>
      <c r="AU162" s="616">
        <f t="shared" si="182"/>
        <v>7.1267431149671613E-3</v>
      </c>
      <c r="AV162" s="565"/>
      <c r="AW162" s="632" t="s">
        <v>48</v>
      </c>
      <c r="AX162" s="632"/>
      <c r="AY162" s="616">
        <f t="shared" ref="AY162:BS162" si="183">(AY64-$AX64)/$AX64</f>
        <v>1.1895461291128697E-2</v>
      </c>
      <c r="AZ162" s="616">
        <f t="shared" si="183"/>
        <v>0.10171885700120528</v>
      </c>
      <c r="BA162" s="616">
        <f t="shared" si="183"/>
        <v>1.0692267983125055E-2</v>
      </c>
      <c r="BB162" s="616">
        <f t="shared" si="183"/>
        <v>0.17015460869186849</v>
      </c>
      <c r="BC162" s="616">
        <f t="shared" si="183"/>
        <v>0.32083029474044905</v>
      </c>
      <c r="BD162" s="616">
        <f t="shared" si="183"/>
        <v>0.28533896474893206</v>
      </c>
      <c r="BE162" s="616">
        <f t="shared" si="183"/>
        <v>0.17173604265153108</v>
      </c>
      <c r="BF162" s="616">
        <f t="shared" si="183"/>
        <v>0.392998582821941</v>
      </c>
      <c r="BG162" s="616">
        <f t="shared" si="183"/>
        <v>0.30605993136476795</v>
      </c>
      <c r="BH162" s="616">
        <f t="shared" si="183"/>
        <v>0.26751818846838815</v>
      </c>
      <c r="BI162" s="616">
        <f t="shared" si="183"/>
        <v>0.45189049217340416</v>
      </c>
      <c r="BJ162" s="616">
        <f t="shared" si="183"/>
        <v>0.38508166503870633</v>
      </c>
      <c r="BK162" s="616">
        <f t="shared" si="183"/>
        <v>0.27114269646592687</v>
      </c>
      <c r="BL162" s="616">
        <f t="shared" si="183"/>
        <v>0.36632164451048593</v>
      </c>
      <c r="BM162" s="616">
        <f t="shared" si="183"/>
        <v>0.4315093393701146</v>
      </c>
      <c r="BN162" s="616">
        <f t="shared" si="183"/>
        <v>0.37286612136344827</v>
      </c>
      <c r="BO162" s="616">
        <f t="shared" si="183"/>
        <v>0.28337283857271051</v>
      </c>
      <c r="BP162" s="616">
        <f t="shared" si="183"/>
        <v>0.53479927015377049</v>
      </c>
      <c r="BQ162" s="616">
        <f t="shared" si="183"/>
        <v>0.59363669439144295</v>
      </c>
      <c r="BR162" s="616">
        <f t="shared" si="183"/>
        <v>0.46185312113053278</v>
      </c>
      <c r="BS162" s="616">
        <f t="shared" si="183"/>
        <v>0.48338900986750377</v>
      </c>
      <c r="BU162" s="632" t="s">
        <v>48</v>
      </c>
      <c r="BV162" s="632"/>
      <c r="BW162" s="616">
        <f t="shared" si="96"/>
        <v>1.1895461291128697E-2</v>
      </c>
      <c r="BX162" s="616">
        <f t="shared" si="97"/>
        <v>8.8767465757249642E-2</v>
      </c>
      <c r="BY162" s="616">
        <f t="shared" si="98"/>
        <v>-8.2622339120025284E-2</v>
      </c>
      <c r="BZ162" s="616">
        <f t="shared" si="99"/>
        <v>0.15777536423322661</v>
      </c>
      <c r="CA162" s="616">
        <f t="shared" si="100"/>
        <v>0.1287656220206857</v>
      </c>
      <c r="CB162" s="616">
        <f t="shared" si="101"/>
        <v>-2.6870469380391691E-2</v>
      </c>
      <c r="CC162" s="616">
        <f t="shared" si="102"/>
        <v>-8.8383628920478005E-2</v>
      </c>
      <c r="CD162" s="616">
        <f t="shared" si="103"/>
        <v>0.1888330921951612</v>
      </c>
      <c r="CE162" s="616">
        <f t="shared" si="178"/>
        <v>-6.2411155710619927E-2</v>
      </c>
      <c r="CF162" s="616">
        <f t="shared" si="178"/>
        <v>-2.950993439949235E-2</v>
      </c>
      <c r="CG162" s="616">
        <f t="shared" si="178"/>
        <v>0.14545929627077239</v>
      </c>
      <c r="CH162" s="616">
        <f t="shared" si="178"/>
        <v>-4.6015059327710411E-2</v>
      </c>
      <c r="CI162" s="616">
        <f t="shared" si="178"/>
        <v>-8.2261552837460589E-2</v>
      </c>
      <c r="CJ162" s="616">
        <f t="shared" si="181"/>
        <v>7.4876682459946248E-2</v>
      </c>
      <c r="CK162" s="616">
        <f t="shared" si="181"/>
        <v>4.7710358041633413E-2</v>
      </c>
      <c r="CL162" s="616">
        <f t="shared" si="181"/>
        <v>-4.0966004477812346E-2</v>
      </c>
      <c r="CM162" s="616">
        <f t="shared" si="181"/>
        <v>-6.5187188610830046E-2</v>
      </c>
      <c r="CN162" s="616">
        <f t="shared" si="181"/>
        <v>0.1959106691557235</v>
      </c>
      <c r="CO162" s="616">
        <f t="shared" si="181"/>
        <v>3.83355826275429E-2</v>
      </c>
      <c r="CP162" s="616">
        <f t="shared" si="181"/>
        <v>-8.2693611238183681E-2</v>
      </c>
      <c r="CQ162" s="616">
        <f t="shared" si="181"/>
        <v>1.4731910084315502E-2</v>
      </c>
      <c r="CZ162" s="3"/>
      <c r="DA162" s="3"/>
      <c r="DC162" s="41"/>
      <c r="DD162" s="41"/>
      <c r="DE162" s="3"/>
      <c r="DF162" s="118"/>
      <c r="DG162" s="700"/>
      <c r="DH162" s="700"/>
      <c r="DI162" s="700"/>
      <c r="DJ162" s="700"/>
      <c r="DK162" s="43"/>
      <c r="DL162" s="43"/>
      <c r="DS162" s="3"/>
      <c r="DT162" s="3"/>
      <c r="DV162" s="41"/>
      <c r="DW162" s="41"/>
      <c r="DY162" s="118"/>
      <c r="DZ162" s="3"/>
      <c r="EA162" s="486"/>
      <c r="EB162" s="486"/>
      <c r="EC162" s="486"/>
      <c r="ED162" s="486"/>
      <c r="EE162" s="43"/>
      <c r="EF162" s="43"/>
      <c r="EL162" s="3"/>
      <c r="EM162" s="3"/>
      <c r="EO162" s="41"/>
      <c r="EP162" s="41"/>
      <c r="FC162" s="3"/>
      <c r="FE162" s="39"/>
      <c r="FF162" s="39"/>
      <c r="FH162" s="41"/>
      <c r="FI162" s="41"/>
      <c r="FM162" s="3"/>
      <c r="FN162" s="3"/>
      <c r="FO162" s="486"/>
      <c r="FP162" s="486"/>
      <c r="FQ162" s="486"/>
      <c r="FR162" s="486"/>
      <c r="FS162" s="43"/>
      <c r="FT162" s="43"/>
      <c r="FX162" s="3"/>
      <c r="FY162" s="3"/>
      <c r="GA162" s="41"/>
      <c r="GB162" s="41"/>
      <c r="GG162" s="3"/>
      <c r="GH162" s="3"/>
      <c r="GI162" s="486"/>
      <c r="GJ162" s="486"/>
      <c r="GK162" s="486"/>
      <c r="GL162" s="486"/>
      <c r="GM162" s="43"/>
      <c r="GN162" s="43"/>
      <c r="GO162" s="393"/>
      <c r="GS162" s="3"/>
      <c r="GT162" s="3"/>
      <c r="GV162" s="41"/>
      <c r="GW162" s="41"/>
      <c r="HA162" s="3"/>
      <c r="HB162" s="3"/>
      <c r="HC162" s="43"/>
      <c r="HD162" s="43"/>
      <c r="HE162" s="43"/>
      <c r="HF162" s="43"/>
      <c r="HG162" s="43"/>
    </row>
    <row r="163" spans="1:215">
      <c r="A163" s="631" t="s">
        <v>49</v>
      </c>
      <c r="B163" s="631"/>
      <c r="C163" s="618">
        <f t="shared" si="128"/>
        <v>-0.1669464981970625</v>
      </c>
      <c r="D163" s="618">
        <f t="shared" si="129"/>
        <v>0.13453372812289288</v>
      </c>
      <c r="E163" s="618">
        <f t="shared" si="130"/>
        <v>0.7537607223476297</v>
      </c>
      <c r="F163" s="618">
        <f t="shared" si="131"/>
        <v>0.91933921608865188</v>
      </c>
      <c r="G163" s="618">
        <f t="shared" si="132"/>
        <v>0.65161455249039901</v>
      </c>
      <c r="H163" s="618">
        <f t="shared" si="133"/>
        <v>0.13552578347160743</v>
      </c>
      <c r="I163" s="618">
        <f t="shared" si="134"/>
        <v>0.44259564363401832</v>
      </c>
      <c r="J163" s="618">
        <f t="shared" si="135"/>
        <v>0.21701034856791071</v>
      </c>
      <c r="K163" s="618">
        <f t="shared" si="136"/>
        <v>-1</v>
      </c>
      <c r="L163" s="618">
        <f t="shared" si="137"/>
        <v>-1</v>
      </c>
      <c r="M163" s="618">
        <f t="shared" si="138"/>
        <v>-1</v>
      </c>
      <c r="N163" s="618">
        <f t="shared" si="139"/>
        <v>-1</v>
      </c>
      <c r="O163" s="618">
        <f t="shared" si="140"/>
        <v>-1</v>
      </c>
      <c r="P163" s="618">
        <f t="shared" si="141"/>
        <v>-1</v>
      </c>
      <c r="Q163" s="618">
        <f t="shared" si="142"/>
        <v>-1</v>
      </c>
      <c r="R163" s="618">
        <f t="shared" si="143"/>
        <v>-1</v>
      </c>
      <c r="S163" s="618">
        <f t="shared" si="144"/>
        <v>-1</v>
      </c>
      <c r="T163" s="618">
        <f t="shared" si="145"/>
        <v>-1</v>
      </c>
      <c r="U163" s="618">
        <f t="shared" si="146"/>
        <v>-1</v>
      </c>
      <c r="V163" s="618">
        <f t="shared" si="147"/>
        <v>-1</v>
      </c>
      <c r="W163" s="618">
        <f t="shared" si="148"/>
        <v>-1</v>
      </c>
      <c r="Y163" s="631" t="s">
        <v>49</v>
      </c>
      <c r="Z163" s="631"/>
      <c r="AA163" s="618">
        <f t="shared" ref="AA163:AU163" si="184">IFERROR((AA65-Z65)/Z65,0)</f>
        <v>-0.1669464981970625</v>
      </c>
      <c r="AB163" s="618">
        <f t="shared" si="184"/>
        <v>0.36189779608089551</v>
      </c>
      <c r="AC163" s="618">
        <f t="shared" si="184"/>
        <v>0.54579866501567942</v>
      </c>
      <c r="AD163" s="618">
        <f t="shared" si="184"/>
        <v>9.441338925607512E-2</v>
      </c>
      <c r="AE163" s="618">
        <f t="shared" si="184"/>
        <v>-0.13948793488617336</v>
      </c>
      <c r="AF163" s="618">
        <f t="shared" si="184"/>
        <v>-0.312475309835823</v>
      </c>
      <c r="AG163" s="618">
        <f t="shared" si="184"/>
        <v>0.27042086109539126</v>
      </c>
      <c r="AH163" s="618">
        <f t="shared" si="184"/>
        <v>-0.15637458497922502</v>
      </c>
      <c r="AI163" s="618">
        <f t="shared" si="184"/>
        <v>-1</v>
      </c>
      <c r="AJ163" s="618">
        <f t="shared" si="184"/>
        <v>0</v>
      </c>
      <c r="AK163" s="618">
        <f t="shared" si="184"/>
        <v>0</v>
      </c>
      <c r="AL163" s="618">
        <f t="shared" si="184"/>
        <v>0</v>
      </c>
      <c r="AM163" s="618">
        <f t="shared" si="184"/>
        <v>0</v>
      </c>
      <c r="AN163" s="618">
        <f t="shared" si="184"/>
        <v>0</v>
      </c>
      <c r="AO163" s="618">
        <f t="shared" si="184"/>
        <v>0</v>
      </c>
      <c r="AP163" s="618">
        <f t="shared" si="184"/>
        <v>0</v>
      </c>
      <c r="AQ163" s="618">
        <f t="shared" si="184"/>
        <v>0</v>
      </c>
      <c r="AR163" s="618">
        <f t="shared" si="184"/>
        <v>0</v>
      </c>
      <c r="AS163" s="618">
        <f t="shared" si="184"/>
        <v>0</v>
      </c>
      <c r="AT163" s="618">
        <f t="shared" si="184"/>
        <v>0</v>
      </c>
      <c r="AU163" s="618">
        <f t="shared" si="184"/>
        <v>0</v>
      </c>
      <c r="AV163" s="565"/>
      <c r="AW163" s="631" t="s">
        <v>49</v>
      </c>
      <c r="AX163" s="631"/>
      <c r="AY163" s="618">
        <f t="shared" ref="AY163:BH163" si="185">(AY65-$AX65)/$AX65</f>
        <v>2.021900753533333E-3</v>
      </c>
      <c r="AZ163" s="618">
        <f t="shared" si="185"/>
        <v>2.7502244337714379E-2</v>
      </c>
      <c r="BA163" s="618">
        <f t="shared" si="185"/>
        <v>6.3601516248562598E-2</v>
      </c>
      <c r="BB163" s="618">
        <f t="shared" si="185"/>
        <v>0.18988684555361171</v>
      </c>
      <c r="BC163" s="618">
        <f t="shared" si="185"/>
        <v>0.27247033132121934</v>
      </c>
      <c r="BD163" s="618">
        <f t="shared" si="185"/>
        <v>0.41940722933950936</v>
      </c>
      <c r="BE163" s="618">
        <f t="shared" si="185"/>
        <v>0.33372050071824344</v>
      </c>
      <c r="BF163" s="618">
        <f t="shared" si="185"/>
        <v>0.43515371293385691</v>
      </c>
      <c r="BG163" s="618">
        <f t="shared" si="185"/>
        <v>-1</v>
      </c>
      <c r="BH163" s="618">
        <f t="shared" si="185"/>
        <v>-1</v>
      </c>
      <c r="BI163" s="618" t="e">
        <f>(#REF!-$AX65)/$AX65</f>
        <v>#REF!</v>
      </c>
      <c r="BJ163" s="618">
        <f t="shared" ref="BJ163:BS163" si="186">(BJ65-$AX65)/$AX65</f>
        <v>-1</v>
      </c>
      <c r="BK163" s="618">
        <f t="shared" si="186"/>
        <v>-1</v>
      </c>
      <c r="BL163" s="618">
        <f t="shared" si="186"/>
        <v>-1</v>
      </c>
      <c r="BM163" s="618">
        <f t="shared" si="186"/>
        <v>-1</v>
      </c>
      <c r="BN163" s="618">
        <f t="shared" si="186"/>
        <v>-1</v>
      </c>
      <c r="BO163" s="618">
        <f t="shared" si="186"/>
        <v>-1</v>
      </c>
      <c r="BP163" s="618">
        <f t="shared" si="186"/>
        <v>-1</v>
      </c>
      <c r="BQ163" s="618">
        <f t="shared" si="186"/>
        <v>-1</v>
      </c>
      <c r="BR163" s="618">
        <f t="shared" si="186"/>
        <v>-1</v>
      </c>
      <c r="BS163" s="618">
        <f t="shared" si="186"/>
        <v>-1</v>
      </c>
      <c r="BU163" s="631" t="s">
        <v>49</v>
      </c>
      <c r="BV163" s="631"/>
      <c r="BW163" s="618">
        <f t="shared" si="96"/>
        <v>2.021900753533333E-3</v>
      </c>
      <c r="BX163" s="618">
        <f t="shared" si="97"/>
        <v>2.5428928813850775E-2</v>
      </c>
      <c r="BY163" s="618">
        <f t="shared" si="98"/>
        <v>3.5133034608713989E-2</v>
      </c>
      <c r="BZ163" s="618">
        <f t="shared" si="99"/>
        <v>0.11873368679509888</v>
      </c>
      <c r="CA163" s="618">
        <f t="shared" si="100"/>
        <v>6.9404486717545399E-2</v>
      </c>
      <c r="CB163" s="618">
        <f t="shared" si="101"/>
        <v>0.11547373200106276</v>
      </c>
      <c r="CC163" s="618">
        <f t="shared" si="102"/>
        <v>-6.0367966887937004E-2</v>
      </c>
      <c r="CD163" s="618">
        <f t="shared" si="103"/>
        <v>7.6052825281600608E-2</v>
      </c>
      <c r="CE163" s="618">
        <v>0</v>
      </c>
      <c r="CF163" s="618">
        <v>0</v>
      </c>
      <c r="CG163" s="618">
        <v>0</v>
      </c>
      <c r="CH163" s="618">
        <v>0</v>
      </c>
      <c r="CI163" s="618">
        <v>0</v>
      </c>
      <c r="CJ163" s="618">
        <v>0</v>
      </c>
      <c r="CK163" s="618">
        <v>0</v>
      </c>
      <c r="CL163" s="618">
        <v>0</v>
      </c>
      <c r="CM163" s="618"/>
      <c r="CN163" s="618"/>
      <c r="CO163" s="618"/>
      <c r="CP163" s="618"/>
      <c r="CQ163" s="618"/>
      <c r="CZ163" s="3"/>
      <c r="DA163" s="3"/>
      <c r="DC163" s="41"/>
      <c r="DD163" s="41"/>
      <c r="DE163" s="3"/>
      <c r="DF163" s="118"/>
      <c r="DG163" s="700"/>
      <c r="DH163" s="700"/>
      <c r="DI163" s="700"/>
      <c r="DJ163" s="700"/>
      <c r="DK163" s="43"/>
      <c r="DL163" s="43"/>
      <c r="DS163" s="3"/>
      <c r="DT163" s="3"/>
      <c r="DV163" s="41"/>
      <c r="DW163" s="41"/>
      <c r="DY163" s="118"/>
      <c r="DZ163" s="3"/>
      <c r="EA163" s="486"/>
      <c r="EB163" s="486"/>
      <c r="EC163" s="486"/>
      <c r="ED163" s="486"/>
      <c r="EE163" s="43"/>
      <c r="EF163" s="43"/>
      <c r="EL163" s="3"/>
      <c r="EM163" s="3"/>
      <c r="EO163" s="41"/>
      <c r="EP163" s="41"/>
      <c r="FC163" s="3"/>
      <c r="FE163" s="39"/>
      <c r="FF163" s="39"/>
      <c r="FH163" s="41"/>
      <c r="FI163" s="41"/>
      <c r="FM163" s="3"/>
      <c r="FN163" s="3"/>
      <c r="FO163" s="486"/>
      <c r="FP163" s="486"/>
      <c r="FQ163" s="486"/>
      <c r="FR163" s="486"/>
      <c r="FS163" s="43"/>
      <c r="FT163" s="43"/>
      <c r="FX163" s="3"/>
      <c r="FY163" s="3"/>
      <c r="GA163" s="41"/>
      <c r="GB163" s="41"/>
      <c r="GG163" s="3"/>
      <c r="GH163" s="3"/>
      <c r="GI163" s="486"/>
      <c r="GJ163" s="486"/>
      <c r="GK163" s="486"/>
      <c r="GL163" s="486"/>
      <c r="GM163" s="43"/>
      <c r="GN163" s="43"/>
      <c r="GO163" s="393"/>
      <c r="GS163" s="3"/>
      <c r="GT163" s="3"/>
      <c r="GV163" s="41"/>
      <c r="GW163" s="41"/>
      <c r="HA163" s="3"/>
      <c r="HB163" s="3"/>
      <c r="HC163" s="43"/>
      <c r="HD163" s="43"/>
      <c r="HE163" s="43"/>
      <c r="HF163" s="43"/>
      <c r="HG163" s="43"/>
    </row>
    <row r="164" spans="1:215">
      <c r="A164" s="632" t="s">
        <v>50</v>
      </c>
      <c r="B164" s="632"/>
      <c r="C164" s="616">
        <f t="shared" si="128"/>
        <v>8.6828616362445377E-2</v>
      </c>
      <c r="D164" s="616">
        <f t="shared" si="129"/>
        <v>0.12458357879180006</v>
      </c>
      <c r="E164" s="616">
        <f t="shared" si="130"/>
        <v>8.0672644118885264E-2</v>
      </c>
      <c r="F164" s="616">
        <f t="shared" si="131"/>
        <v>0.71093453630575043</v>
      </c>
      <c r="G164" s="616">
        <f t="shared" si="132"/>
        <v>0.75948839274811841</v>
      </c>
      <c r="H164" s="616">
        <f t="shared" si="133"/>
        <v>0.6140932636388915</v>
      </c>
      <c r="I164" s="616">
        <f t="shared" si="134"/>
        <v>0.64391165975179598</v>
      </c>
      <c r="J164" s="616">
        <f t="shared" si="135"/>
        <v>0.84129788699403962</v>
      </c>
      <c r="K164" s="616">
        <f t="shared" si="136"/>
        <v>0.83977438067229737</v>
      </c>
      <c r="L164" s="616">
        <f t="shared" si="137"/>
        <v>1.1000820074723057</v>
      </c>
      <c r="M164" s="616">
        <f t="shared" si="138"/>
        <v>1.2754765397050043</v>
      </c>
      <c r="N164" s="616">
        <f t="shared" si="139"/>
        <v>1.1482322366707909</v>
      </c>
      <c r="O164" s="616">
        <f t="shared" si="140"/>
        <v>1.4018897342070988</v>
      </c>
      <c r="P164" s="616">
        <f t="shared" si="141"/>
        <v>1.4620001395514137</v>
      </c>
      <c r="Q164" s="616">
        <f t="shared" si="142"/>
        <v>1.4191936366236715</v>
      </c>
      <c r="R164" s="616">
        <f t="shared" si="143"/>
        <v>1.5659231210421465</v>
      </c>
      <c r="S164" s="616">
        <f t="shared" si="144"/>
        <v>1.2191883509037111</v>
      </c>
      <c r="T164" s="616">
        <f t="shared" si="145"/>
        <v>1.7024858961649212</v>
      </c>
      <c r="U164" s="616">
        <f t="shared" si="146"/>
        <v>2.122812494811483</v>
      </c>
      <c r="V164" s="616">
        <f t="shared" si="147"/>
        <v>1.7964116161419792</v>
      </c>
      <c r="W164" s="616">
        <f t="shared" si="148"/>
        <v>1.732181291577757</v>
      </c>
      <c r="Y164" s="632" t="s">
        <v>50</v>
      </c>
      <c r="Z164" s="632"/>
      <c r="AA164" s="616">
        <f t="shared" ref="AA164:AU164" si="187">IFERROR((AA66-Z66)/Z66,0)</f>
        <v>8.6828616362445377E-2</v>
      </c>
      <c r="AB164" s="616">
        <f t="shared" si="187"/>
        <v>3.4738653234691629E-2</v>
      </c>
      <c r="AC164" s="616">
        <f t="shared" si="187"/>
        <v>-3.9046395039922827E-2</v>
      </c>
      <c r="AD164" s="616">
        <f t="shared" si="187"/>
        <v>0.58321259043319484</v>
      </c>
      <c r="AE164" s="616">
        <f t="shared" si="187"/>
        <v>2.8378558858952917E-2</v>
      </c>
      <c r="AF164" s="616">
        <f t="shared" si="187"/>
        <v>-8.2634889612506354E-2</v>
      </c>
      <c r="AG164" s="616">
        <f t="shared" si="187"/>
        <v>1.8473775205331361E-2</v>
      </c>
      <c r="AH164" s="616">
        <f t="shared" si="187"/>
        <v>0.12007106712294123</v>
      </c>
      <c r="AI164" s="616">
        <f t="shared" si="187"/>
        <v>-8.2740893393917802E-4</v>
      </c>
      <c r="AJ164" s="616">
        <f t="shared" si="187"/>
        <v>0.14148888555828557</v>
      </c>
      <c r="AK164" s="616">
        <f t="shared" si="187"/>
        <v>8.3517944351042955E-2</v>
      </c>
      <c r="AL164" s="616">
        <f t="shared" si="187"/>
        <v>-5.5919848354362603E-2</v>
      </c>
      <c r="AM164" s="616">
        <f t="shared" si="187"/>
        <v>0.11807731641222005</v>
      </c>
      <c r="AN164" s="616">
        <f t="shared" si="187"/>
        <v>2.5026296789664337E-2</v>
      </c>
      <c r="AO164" s="616">
        <f t="shared" si="187"/>
        <v>-1.7386880788537187E-2</v>
      </c>
      <c r="AP164" s="616">
        <f t="shared" si="187"/>
        <v>6.0652228162792664E-2</v>
      </c>
      <c r="AQ164" s="616">
        <f t="shared" si="187"/>
        <v>-0.13513061529201603</v>
      </c>
      <c r="AR164" s="616">
        <f t="shared" si="187"/>
        <v>0.21778121945548193</v>
      </c>
      <c r="AS164" s="616">
        <f t="shared" si="187"/>
        <v>0.15553331813610727</v>
      </c>
      <c r="AT164" s="616">
        <f t="shared" si="187"/>
        <v>-0.104521446360233</v>
      </c>
      <c r="AU164" s="616">
        <f t="shared" si="187"/>
        <v>-2.2968837703812851E-2</v>
      </c>
      <c r="AV164" s="565"/>
      <c r="AW164" s="632" t="s">
        <v>50</v>
      </c>
      <c r="AX164" s="632"/>
      <c r="AY164" s="616">
        <f t="shared" ref="AY164:BH164" si="188">(AY66-$AX66)/$AX66</f>
        <v>8.6828616362445266E-2</v>
      </c>
      <c r="AZ164" s="616">
        <f t="shared" si="188"/>
        <v>0.32643191344673844</v>
      </c>
      <c r="BA164" s="616">
        <f t="shared" si="188"/>
        <v>0.44089685882518037</v>
      </c>
      <c r="BB164" s="616">
        <f t="shared" si="188"/>
        <v>0.54319585627577505</v>
      </c>
      <c r="BC164" s="616">
        <f t="shared" si="188"/>
        <v>0.49882344567432307</v>
      </c>
      <c r="BD164" s="616">
        <f t="shared" si="188"/>
        <v>0.42419993850490428</v>
      </c>
      <c r="BE164" s="616">
        <f t="shared" si="188"/>
        <v>0.38434666084361785</v>
      </c>
      <c r="BF164" s="616">
        <f t="shared" si="188"/>
        <v>0.44932210028520492</v>
      </c>
      <c r="BG164" s="616">
        <f t="shared" si="188"/>
        <v>0.4317390249853777</v>
      </c>
      <c r="BH164" s="616">
        <f t="shared" si="188"/>
        <v>0.47905133271249761</v>
      </c>
      <c r="BI164" s="616">
        <f>(BI65-$AX66)/$AX66</f>
        <v>-1</v>
      </c>
      <c r="BJ164" s="616">
        <f t="shared" ref="BJ164:BS164" si="189">(BJ66-$AX66)/$AX66</f>
        <v>0.64885419322224291</v>
      </c>
      <c r="BK164" s="616">
        <f t="shared" si="189"/>
        <v>0.53449103911089491</v>
      </c>
      <c r="BL164" s="616">
        <f t="shared" si="189"/>
        <v>0.66414465316674898</v>
      </c>
      <c r="BM164" s="616">
        <f t="shared" si="189"/>
        <v>0.67774224657740001</v>
      </c>
      <c r="BN164" s="616">
        <f t="shared" si="189"/>
        <v>0.60588889101391885</v>
      </c>
      <c r="BO164" s="616">
        <f t="shared" si="189"/>
        <v>0.65218072902863466</v>
      </c>
      <c r="BP164" s="616">
        <f t="shared" si="189"/>
        <v>0.73088585233793124</v>
      </c>
      <c r="BQ164" s="616">
        <f t="shared" si="189"/>
        <v>0.77382698525021432</v>
      </c>
      <c r="BR164" s="616">
        <f t="shared" si="189"/>
        <v>0.73321174426026536</v>
      </c>
      <c r="BS164" s="616">
        <f t="shared" si="189"/>
        <v>0.69885631591693864</v>
      </c>
      <c r="BU164" s="632" t="s">
        <v>50</v>
      </c>
      <c r="BV164" s="632"/>
      <c r="BW164" s="616">
        <f t="shared" si="96"/>
        <v>8.6828616362445266E-2</v>
      </c>
      <c r="BX164" s="616">
        <f t="shared" si="97"/>
        <v>0.22046097561014913</v>
      </c>
      <c r="BY164" s="616">
        <f t="shared" si="98"/>
        <v>8.6295379520087312E-2</v>
      </c>
      <c r="BZ164" s="616">
        <f t="shared" si="99"/>
        <v>7.0996752351867198E-2</v>
      </c>
      <c r="CA164" s="616">
        <f t="shared" si="100"/>
        <v>-2.8753583299877934E-2</v>
      </c>
      <c r="CB164" s="616">
        <f t="shared" si="101"/>
        <v>-4.9788057015511623E-2</v>
      </c>
      <c r="CC164" s="616">
        <f t="shared" si="102"/>
        <v>-2.7982923312806475E-2</v>
      </c>
      <c r="CD164" s="616">
        <f t="shared" si="103"/>
        <v>4.6935815485689966E-2</v>
      </c>
      <c r="CE164" s="616">
        <f t="shared" ref="CE164:CE177" si="190">(BG66-BF66)/BF66</f>
        <v>-1.2131930711859813E-2</v>
      </c>
      <c r="CF164" s="616">
        <f t="shared" ref="CF164:CF177" si="191">(BH66-BG66)/BG66</f>
        <v>3.3045343391127538E-2</v>
      </c>
      <c r="CG164" s="616">
        <f>(BI65-BH66)/BH66</f>
        <v>-1</v>
      </c>
      <c r="CH164" s="616"/>
      <c r="CI164" s="616">
        <f t="shared" ref="CI164:CQ166" si="192">(BK66-BJ66)/BJ66</f>
        <v>-6.9359167463956234E-2</v>
      </c>
      <c r="CJ164" s="616">
        <f t="shared" si="192"/>
        <v>8.449291051642574E-2</v>
      </c>
      <c r="CK164" s="616">
        <f t="shared" si="192"/>
        <v>8.1709203492471433E-3</v>
      </c>
      <c r="CL164" s="616">
        <f t="shared" si="192"/>
        <v>-4.2827410295033196E-2</v>
      </c>
      <c r="CM164" s="616">
        <f t="shared" si="192"/>
        <v>2.8826301915251592E-2</v>
      </c>
      <c r="CN164" s="616">
        <f t="shared" si="192"/>
        <v>4.7637114951443363E-2</v>
      </c>
      <c r="CO164" s="616">
        <f t="shared" si="192"/>
        <v>2.4808760701511265E-2</v>
      </c>
      <c r="CP164" s="616">
        <f t="shared" si="192"/>
        <v>-2.289695744155109E-2</v>
      </c>
      <c r="CQ164" s="616">
        <f t="shared" si="192"/>
        <v>-1.9821829881489502E-2</v>
      </c>
      <c r="CZ164" s="3"/>
      <c r="DA164" s="3"/>
      <c r="DC164" s="41"/>
      <c r="DD164" s="41"/>
      <c r="DE164" s="3"/>
      <c r="DF164" s="118"/>
      <c r="DG164" s="700"/>
      <c r="DH164" s="700"/>
      <c r="DI164" s="700"/>
      <c r="DJ164" s="700"/>
      <c r="DK164" s="43"/>
      <c r="DL164" s="43"/>
      <c r="DS164" s="3"/>
      <c r="DT164" s="3"/>
      <c r="DV164" s="41"/>
      <c r="DW164" s="41"/>
      <c r="DY164" s="118"/>
      <c r="DZ164" s="3"/>
      <c r="EA164" s="486"/>
      <c r="EB164" s="486"/>
      <c r="EC164" s="486"/>
      <c r="ED164" s="486"/>
      <c r="EE164" s="43"/>
      <c r="EF164" s="43"/>
      <c r="EL164" s="3"/>
      <c r="EM164" s="3"/>
      <c r="EO164" s="41"/>
      <c r="EP164" s="41"/>
      <c r="FC164" s="3"/>
      <c r="FE164" s="39"/>
      <c r="FF164" s="39"/>
      <c r="FH164" s="41"/>
      <c r="FI164" s="41"/>
      <c r="FM164" s="3"/>
      <c r="FN164" s="3"/>
      <c r="FO164" s="486"/>
      <c r="FP164" s="486"/>
      <c r="FQ164" s="486"/>
      <c r="FR164" s="486"/>
      <c r="FS164" s="43"/>
      <c r="FT164" s="43"/>
      <c r="FX164" s="3"/>
      <c r="FY164" s="3"/>
      <c r="GA164" s="41"/>
      <c r="GB164" s="41"/>
      <c r="GG164" s="3"/>
      <c r="GH164" s="3"/>
      <c r="GI164" s="486"/>
      <c r="GJ164" s="486"/>
      <c r="GK164" s="486"/>
      <c r="GL164" s="486"/>
      <c r="GM164" s="43"/>
      <c r="GN164" s="43"/>
      <c r="GO164" s="393"/>
      <c r="GS164" s="3"/>
      <c r="GT164" s="3"/>
      <c r="GV164" s="41"/>
      <c r="GW164" s="41"/>
      <c r="HA164" s="3"/>
      <c r="HB164" s="3"/>
      <c r="HC164" s="43"/>
      <c r="HD164" s="43"/>
      <c r="HE164" s="43"/>
      <c r="HF164" s="43"/>
      <c r="HG164" s="43"/>
    </row>
    <row r="165" spans="1:215">
      <c r="A165" s="631" t="s">
        <v>51</v>
      </c>
      <c r="B165" s="631"/>
      <c r="C165" s="618">
        <f t="shared" si="128"/>
        <v>-1.2294918802519976E-2</v>
      </c>
      <c r="D165" s="618">
        <f t="shared" si="129"/>
        <v>0.15208947618321167</v>
      </c>
      <c r="E165" s="618">
        <f t="shared" si="130"/>
        <v>0.20877404189157917</v>
      </c>
      <c r="F165" s="618">
        <f t="shared" si="131"/>
        <v>0.42461885704736158</v>
      </c>
      <c r="G165" s="618">
        <f t="shared" si="132"/>
        <v>0.52676312489716659</v>
      </c>
      <c r="H165" s="618">
        <f t="shared" si="133"/>
        <v>0.18953547870511989</v>
      </c>
      <c r="I165" s="618">
        <f t="shared" si="134"/>
        <v>0.56521817253614548</v>
      </c>
      <c r="J165" s="618">
        <f t="shared" si="135"/>
        <v>0.62809494231402285</v>
      </c>
      <c r="K165" s="618">
        <f t="shared" si="136"/>
        <v>0.59990644723693465</v>
      </c>
      <c r="L165" s="618">
        <f t="shared" si="137"/>
        <v>0.66747465437679776</v>
      </c>
      <c r="M165" s="618">
        <f t="shared" si="138"/>
        <v>0.73575807156821615</v>
      </c>
      <c r="N165" s="618">
        <f t="shared" si="139"/>
        <v>0.75249692277645719</v>
      </c>
      <c r="O165" s="618">
        <f t="shared" si="140"/>
        <v>0.85341329593101867</v>
      </c>
      <c r="P165" s="618">
        <f t="shared" si="141"/>
        <v>0.9232840331646075</v>
      </c>
      <c r="Q165" s="618">
        <f t="shared" si="142"/>
        <v>1.067227396044689</v>
      </c>
      <c r="R165" s="618">
        <f t="shared" si="143"/>
        <v>1.0399908702086358</v>
      </c>
      <c r="S165" s="618">
        <f t="shared" si="144"/>
        <v>1.0353606191252807</v>
      </c>
      <c r="T165" s="618">
        <f t="shared" si="145"/>
        <v>1.135445164234659</v>
      </c>
      <c r="U165" s="618">
        <f t="shared" si="146"/>
        <v>1.1723275718407358</v>
      </c>
      <c r="V165" s="618">
        <f t="shared" si="147"/>
        <v>1.1140027793367948</v>
      </c>
      <c r="W165" s="618">
        <f t="shared" si="148"/>
        <v>1.1667693680115083</v>
      </c>
      <c r="Y165" s="631" t="s">
        <v>51</v>
      </c>
      <c r="Z165" s="631"/>
      <c r="AA165" s="618">
        <f t="shared" ref="AA165:AU165" si="193">IFERROR((AA67-Z67)/Z67,0)</f>
        <v>-1.2294918802519976E-2</v>
      </c>
      <c r="AB165" s="618">
        <f t="shared" si="193"/>
        <v>0.16643064626784573</v>
      </c>
      <c r="AC165" s="618">
        <f t="shared" si="193"/>
        <v>4.9201530679855984E-2</v>
      </c>
      <c r="AD165" s="618">
        <f t="shared" si="193"/>
        <v>0.17856506483048926</v>
      </c>
      <c r="AE165" s="618">
        <f t="shared" si="193"/>
        <v>7.1699365303578302E-2</v>
      </c>
      <c r="AF165" s="618">
        <f t="shared" si="193"/>
        <v>-0.22087751576706455</v>
      </c>
      <c r="AG165" s="618">
        <f t="shared" si="193"/>
        <v>0.3158230255057029</v>
      </c>
      <c r="AH165" s="618">
        <f t="shared" si="193"/>
        <v>4.0171249530023871E-2</v>
      </c>
      <c r="AI165" s="618">
        <f t="shared" si="193"/>
        <v>-1.731379070376798E-2</v>
      </c>
      <c r="AJ165" s="618">
        <f t="shared" si="193"/>
        <v>4.223259882260897E-2</v>
      </c>
      <c r="AK165" s="618">
        <f t="shared" si="193"/>
        <v>4.0950197960843142E-2</v>
      </c>
      <c r="AL165" s="618">
        <f t="shared" si="193"/>
        <v>9.6435393171572115E-3</v>
      </c>
      <c r="AM165" s="618">
        <f t="shared" si="193"/>
        <v>5.7584336864158953E-2</v>
      </c>
      <c r="AN165" s="618">
        <f t="shared" si="193"/>
        <v>3.7698411566908965E-2</v>
      </c>
      <c r="AO165" s="618">
        <f t="shared" si="193"/>
        <v>7.4842488367791671E-2</v>
      </c>
      <c r="AP165" s="618">
        <f t="shared" si="193"/>
        <v>-1.3175389358793343E-2</v>
      </c>
      <c r="AQ165" s="618">
        <f t="shared" si="193"/>
        <v>-2.2697410811851316E-3</v>
      </c>
      <c r="AR165" s="618">
        <f t="shared" si="193"/>
        <v>4.9172880800057335E-2</v>
      </c>
      <c r="AS165" s="618">
        <f t="shared" si="193"/>
        <v>1.7271531118569119E-2</v>
      </c>
      <c r="AT165" s="618">
        <f t="shared" si="193"/>
        <v>-2.6848985972460462E-2</v>
      </c>
      <c r="AU165" s="618">
        <f t="shared" si="193"/>
        <v>2.4960510549218575E-2</v>
      </c>
      <c r="AV165" s="565"/>
      <c r="AW165" s="631" t="s">
        <v>51</v>
      </c>
      <c r="AX165" s="631"/>
      <c r="AY165" s="618">
        <f t="shared" ref="AY165:BH165" si="194">(AY67-$AX67)/$AX67</f>
        <v>4.1323357033914668E-2</v>
      </c>
      <c r="AZ165" s="618">
        <f t="shared" si="194"/>
        <v>2.341454767443725E-2</v>
      </c>
      <c r="BA165" s="618">
        <f t="shared" si="194"/>
        <v>0.12489992469910217</v>
      </c>
      <c r="BB165" s="618">
        <f t="shared" si="194"/>
        <v>0.3060480950322394</v>
      </c>
      <c r="BC165" s="618">
        <f t="shared" si="194"/>
        <v>0.36555211170926694</v>
      </c>
      <c r="BD165" s="618">
        <f t="shared" si="194"/>
        <v>0.49116768937677513</v>
      </c>
      <c r="BE165" s="618">
        <f t="shared" si="194"/>
        <v>0.38633609567487159</v>
      </c>
      <c r="BF165" s="618">
        <f t="shared" si="194"/>
        <v>0.41627212086556609</v>
      </c>
      <c r="BG165" s="618">
        <f t="shared" si="194"/>
        <v>0.44754604686895766</v>
      </c>
      <c r="BH165" s="618">
        <f t="shared" si="194"/>
        <v>0.4649376098767235</v>
      </c>
      <c r="BI165" s="618">
        <f t="shared" ref="BI165:BI177" si="195">(BI67-$AX67)/$AX67</f>
        <v>0.59435839694097459</v>
      </c>
      <c r="BJ165" s="618">
        <f t="shared" ref="BJ165:BS165" si="196">(BJ67-$AX67)/$AX67</f>
        <v>0.54597587139989756</v>
      </c>
      <c r="BK165" s="618">
        <f t="shared" si="196"/>
        <v>0.42750483446259502</v>
      </c>
      <c r="BL165" s="618">
        <f t="shared" si="196"/>
        <v>0.53845937111142284</v>
      </c>
      <c r="BM165" s="618">
        <f t="shared" si="196"/>
        <v>0.59998656150008667</v>
      </c>
      <c r="BN165" s="618">
        <f t="shared" si="196"/>
        <v>0.57192307802649733</v>
      </c>
      <c r="BO165" s="618">
        <f t="shared" si="196"/>
        <v>0.7545569424724996</v>
      </c>
      <c r="BP165" s="618">
        <f t="shared" si="196"/>
        <v>1.2671626932746951</v>
      </c>
      <c r="BQ165" s="618">
        <f t="shared" si="196"/>
        <v>1.2832428700830754</v>
      </c>
      <c r="BR165" s="618">
        <f t="shared" si="196"/>
        <v>1.2158538362311921</v>
      </c>
      <c r="BS165" s="618">
        <f t="shared" si="196"/>
        <v>1.24679638996594</v>
      </c>
      <c r="BU165" s="631" t="s">
        <v>51</v>
      </c>
      <c r="BV165" s="631"/>
      <c r="BW165" s="618">
        <f t="shared" si="96"/>
        <v>4.1323357033914668E-2</v>
      </c>
      <c r="BX165" s="618">
        <f t="shared" si="97"/>
        <v>-1.7198125095828565E-2</v>
      </c>
      <c r="BY165" s="618">
        <f t="shared" si="98"/>
        <v>9.9163508331277767E-2</v>
      </c>
      <c r="BZ165" s="618">
        <f t="shared" si="99"/>
        <v>0.16103492084559637</v>
      </c>
      <c r="CA165" s="618">
        <f t="shared" si="100"/>
        <v>4.556035639373502E-2</v>
      </c>
      <c r="CB165" s="618">
        <f t="shared" si="101"/>
        <v>9.1988856807723507E-2</v>
      </c>
      <c r="CC165" s="618">
        <f t="shared" si="102"/>
        <v>-7.0301679984574567E-2</v>
      </c>
      <c r="CD165" s="618">
        <f t="shared" si="103"/>
        <v>2.1593627464573471E-2</v>
      </c>
      <c r="CE165" s="618">
        <f t="shared" si="190"/>
        <v>2.2081862336087145E-2</v>
      </c>
      <c r="CF165" s="618">
        <f t="shared" si="191"/>
        <v>1.2014514526417846E-2</v>
      </c>
      <c r="CG165" s="618">
        <f t="shared" ref="CG165:CG177" si="197">(BI67-BH67)/BH67</f>
        <v>8.8345596557618589E-2</v>
      </c>
      <c r="CH165" s="618">
        <f t="shared" ref="CH165:CH177" si="198">(BJ67-BI67)/BI67</f>
        <v>-3.0346078795022768E-2</v>
      </c>
      <c r="CI165" s="618">
        <f t="shared" si="192"/>
        <v>-7.6631879661890029E-2</v>
      </c>
      <c r="CJ165" s="618">
        <f t="shared" si="192"/>
        <v>7.772620727452613E-2</v>
      </c>
      <c r="CK165" s="618">
        <f t="shared" si="192"/>
        <v>3.999273009349285E-2</v>
      </c>
      <c r="CL165" s="618">
        <f t="shared" si="192"/>
        <v>-1.7539824489074523E-2</v>
      </c>
      <c r="CM165" s="618">
        <f t="shared" si="192"/>
        <v>0.11618498831081078</v>
      </c>
      <c r="CN165" s="618">
        <f t="shared" si="192"/>
        <v>0.29215680517033432</v>
      </c>
      <c r="CO165" s="618">
        <f t="shared" si="192"/>
        <v>7.0926435302064092E-3</v>
      </c>
      <c r="CP165" s="618">
        <f t="shared" si="192"/>
        <v>-2.951461482038098E-2</v>
      </c>
      <c r="CQ165" s="618">
        <f t="shared" si="192"/>
        <v>1.3964167324039819E-2</v>
      </c>
      <c r="CZ165" s="3"/>
      <c r="DA165" s="3"/>
      <c r="DC165" s="41"/>
      <c r="DD165" s="41"/>
      <c r="DE165" s="3"/>
      <c r="DF165" s="118"/>
      <c r="DG165" s="700"/>
      <c r="DH165" s="700"/>
      <c r="DI165" s="700"/>
      <c r="DJ165" s="700"/>
      <c r="DK165" s="43"/>
      <c r="DL165" s="43"/>
      <c r="DS165" s="3"/>
      <c r="DT165" s="3"/>
      <c r="DV165" s="41"/>
      <c r="DW165" s="41"/>
      <c r="DY165" s="118"/>
      <c r="DZ165" s="3"/>
      <c r="EA165" s="486"/>
      <c r="EB165" s="486"/>
      <c r="EC165" s="486"/>
      <c r="ED165" s="486"/>
      <c r="EE165" s="43"/>
      <c r="EF165" s="43"/>
      <c r="EL165" s="3"/>
      <c r="EM165" s="3"/>
      <c r="EO165" s="41"/>
      <c r="EP165" s="41"/>
      <c r="FC165" s="3"/>
      <c r="FE165" s="39"/>
      <c r="FF165" s="39"/>
      <c r="FH165" s="41"/>
      <c r="FI165" s="41"/>
      <c r="FM165" s="3"/>
      <c r="FN165" s="3"/>
      <c r="FO165" s="486"/>
      <c r="FP165" s="486"/>
      <c r="FQ165" s="486"/>
      <c r="FR165" s="486"/>
      <c r="FS165" s="43"/>
      <c r="FT165" s="43"/>
      <c r="FX165" s="3"/>
      <c r="FY165" s="3"/>
      <c r="GA165" s="41"/>
      <c r="GB165" s="41"/>
      <c r="GG165" s="3"/>
      <c r="GH165" s="3"/>
      <c r="GI165" s="486"/>
      <c r="GJ165" s="486"/>
      <c r="GK165" s="486"/>
      <c r="GL165" s="486"/>
      <c r="GM165" s="43"/>
      <c r="GN165" s="43"/>
      <c r="GO165" s="393"/>
      <c r="GS165" s="3"/>
      <c r="GT165" s="3"/>
      <c r="GV165" s="41"/>
      <c r="GW165" s="41"/>
      <c r="HA165" s="3"/>
      <c r="HB165" s="3"/>
      <c r="HC165" s="43"/>
      <c r="HD165" s="43"/>
      <c r="HE165" s="43"/>
      <c r="HF165" s="43"/>
      <c r="HG165" s="43"/>
    </row>
    <row r="166" spans="1:215">
      <c r="A166" s="632" t="s">
        <v>52</v>
      </c>
      <c r="B166" s="632"/>
      <c r="C166" s="616">
        <f t="shared" si="128"/>
        <v>0.12983666896710389</v>
      </c>
      <c r="D166" s="616">
        <f t="shared" si="129"/>
        <v>0.26606962299581111</v>
      </c>
      <c r="E166" s="616">
        <f t="shared" si="130"/>
        <v>0.54511378756648166</v>
      </c>
      <c r="F166" s="616">
        <f t="shared" si="131"/>
        <v>0.79733485574883811</v>
      </c>
      <c r="G166" s="616">
        <f t="shared" si="132"/>
        <v>0.96870175100710998</v>
      </c>
      <c r="H166" s="616">
        <f t="shared" si="133"/>
        <v>1.02745758903494</v>
      </c>
      <c r="I166" s="616">
        <f t="shared" si="134"/>
        <v>1.1418492304235479</v>
      </c>
      <c r="J166" s="616">
        <f t="shared" si="135"/>
        <v>1.1929919973831573</v>
      </c>
      <c r="K166" s="616">
        <f t="shared" si="136"/>
        <v>1.2966317321221266</v>
      </c>
      <c r="L166" s="616">
        <f t="shared" si="137"/>
        <v>1.3970322068834271</v>
      </c>
      <c r="M166" s="616">
        <f t="shared" si="138"/>
        <v>1.1206884191717359</v>
      </c>
      <c r="N166" s="616">
        <f t="shared" si="139"/>
        <v>1.0934186100010168</v>
      </c>
      <c r="O166" s="616">
        <f t="shared" si="140"/>
        <v>-1</v>
      </c>
      <c r="P166" s="616">
        <f t="shared" si="141"/>
        <v>1.1923558233539455</v>
      </c>
      <c r="Q166" s="616">
        <f t="shared" si="142"/>
        <v>1.2089593999604111</v>
      </c>
      <c r="R166" s="616">
        <f t="shared" si="143"/>
        <v>1.4381822878572841</v>
      </c>
      <c r="S166" s="616">
        <f t="shared" si="144"/>
        <v>1.5226239962337027</v>
      </c>
      <c r="T166" s="616">
        <f t="shared" si="145"/>
        <v>1.4946679536886096</v>
      </c>
      <c r="U166" s="616">
        <f t="shared" si="146"/>
        <v>1.7972990117291721</v>
      </c>
      <c r="V166" s="616">
        <f t="shared" si="147"/>
        <v>1.8675361707428733</v>
      </c>
      <c r="W166" s="616">
        <f t="shared" si="148"/>
        <v>1.8430650993123909</v>
      </c>
      <c r="Y166" s="632" t="s">
        <v>52</v>
      </c>
      <c r="Z166" s="632"/>
      <c r="AA166" s="616">
        <f t="shared" ref="AA166:AU166" si="199">IFERROR((AA68-Z68)/Z68,0)</f>
        <v>0.12983666896710389</v>
      </c>
      <c r="AB166" s="616">
        <f t="shared" si="199"/>
        <v>0.12057756467866396</v>
      </c>
      <c r="AC166" s="616">
        <f t="shared" si="199"/>
        <v>0.22040191116061061</v>
      </c>
      <c r="AD166" s="616">
        <f t="shared" si="199"/>
        <v>0.16323786002815938</v>
      </c>
      <c r="AE166" s="616">
        <f t="shared" si="199"/>
        <v>9.5345001912219604E-2</v>
      </c>
      <c r="AF166" s="616">
        <f t="shared" si="199"/>
        <v>2.9844966612018749E-2</v>
      </c>
      <c r="AG166" s="616">
        <f t="shared" si="199"/>
        <v>5.6421225285929522E-2</v>
      </c>
      <c r="AH166" s="616">
        <f t="shared" si="199"/>
        <v>2.3877855748742887E-2</v>
      </c>
      <c r="AI166" s="616">
        <f t="shared" si="199"/>
        <v>4.7259513423961438E-2</v>
      </c>
      <c r="AJ166" s="616">
        <f t="shared" si="199"/>
        <v>4.3716401440003085E-2</v>
      </c>
      <c r="AK166" s="616">
        <f t="shared" si="199"/>
        <v>-0.11528580505432087</v>
      </c>
      <c r="AL166" s="616">
        <f t="shared" si="199"/>
        <v>-1.2858941900276739E-2</v>
      </c>
      <c r="AM166" s="616">
        <f t="shared" si="199"/>
        <v>-1</v>
      </c>
      <c r="AN166" s="616">
        <f t="shared" si="199"/>
        <v>0</v>
      </c>
      <c r="AO166" s="616">
        <f t="shared" si="199"/>
        <v>7.5733949888958721E-3</v>
      </c>
      <c r="AP166" s="616">
        <f t="shared" si="199"/>
        <v>0.10376962469341044</v>
      </c>
      <c r="AQ166" s="616">
        <f t="shared" si="199"/>
        <v>3.463305791242851E-2</v>
      </c>
      <c r="AR166" s="616">
        <f t="shared" si="199"/>
        <v>-1.1082128207307888E-2</v>
      </c>
      <c r="AS166" s="616">
        <f t="shared" si="199"/>
        <v>0.12131115790103167</v>
      </c>
      <c r="AT166" s="616">
        <f t="shared" si="199"/>
        <v>2.5108920683557381E-2</v>
      </c>
      <c r="AU166" s="616">
        <f t="shared" si="199"/>
        <v>-8.5338318240438388E-3</v>
      </c>
      <c r="AV166" s="565"/>
      <c r="AW166" s="632" t="s">
        <v>52</v>
      </c>
      <c r="AX166" s="632"/>
      <c r="AY166" s="616">
        <f t="shared" ref="AY166:BH166" si="200">(AY68-$AX68)/$AX68</f>
        <v>6.0662995356872924E-2</v>
      </c>
      <c r="AZ166" s="616">
        <f t="shared" si="200"/>
        <v>-1.1259913469938E-2</v>
      </c>
      <c r="BA166" s="616">
        <f t="shared" si="200"/>
        <v>3.873195802788669E-2</v>
      </c>
      <c r="BB166" s="616">
        <f t="shared" si="200"/>
        <v>0.13515885626242408</v>
      </c>
      <c r="BC166" s="616">
        <f t="shared" si="200"/>
        <v>4.4617255636425712E-2</v>
      </c>
      <c r="BD166" s="616">
        <f t="shared" si="200"/>
        <v>-6.2128462215129854E-2</v>
      </c>
      <c r="BE166" s="616">
        <f t="shared" si="200"/>
        <v>-9.6635018460816527E-2</v>
      </c>
      <c r="BF166" s="616">
        <f t="shared" si="200"/>
        <v>0.13858721719063019</v>
      </c>
      <c r="BG166" s="616">
        <f t="shared" si="200"/>
        <v>0.13130283458175987</v>
      </c>
      <c r="BH166" s="616">
        <f t="shared" si="200"/>
        <v>0.20619159310890797</v>
      </c>
      <c r="BI166" s="616">
        <f t="shared" si="195"/>
        <v>0.21863784209175358</v>
      </c>
      <c r="BJ166" s="616">
        <f t="shared" ref="BJ166:BS166" si="201">(BJ68-$AX68)/$AX68</f>
        <v>0.24178098157586814</v>
      </c>
      <c r="BK166" s="616">
        <f t="shared" si="201"/>
        <v>-1</v>
      </c>
      <c r="BL166" s="616">
        <f t="shared" si="201"/>
        <v>0.15253579243179113</v>
      </c>
      <c r="BM166" s="616">
        <f t="shared" si="201"/>
        <v>0.15330416243727993</v>
      </c>
      <c r="BN166" s="616">
        <f t="shared" si="201"/>
        <v>-5.42682824971676E-2</v>
      </c>
      <c r="BO166" s="616">
        <f t="shared" si="201"/>
        <v>-4.4374066573360883E-2</v>
      </c>
      <c r="BP166" s="616">
        <f t="shared" si="201"/>
        <v>0.19960961353421258</v>
      </c>
      <c r="BQ166" s="616">
        <f t="shared" si="201"/>
        <v>0.19148198480445022</v>
      </c>
      <c r="BR166" s="616">
        <f t="shared" si="201"/>
        <v>0.17936701186324588</v>
      </c>
      <c r="BS166" s="616">
        <f t="shared" si="201"/>
        <v>0.17696780993039837</v>
      </c>
      <c r="BU166" s="632" t="s">
        <v>52</v>
      </c>
      <c r="BV166" s="632"/>
      <c r="BW166" s="616">
        <f t="shared" si="96"/>
        <v>6.0662995356872924E-2</v>
      </c>
      <c r="BX166" s="616">
        <f t="shared" si="97"/>
        <v>-6.7809388223835976E-2</v>
      </c>
      <c r="BY166" s="616">
        <f t="shared" si="98"/>
        <v>5.0561186078000406E-2</v>
      </c>
      <c r="BZ166" s="616">
        <f t="shared" si="99"/>
        <v>9.2831357973823525E-2</v>
      </c>
      <c r="CA166" s="616">
        <f t="shared" si="100"/>
        <v>-7.9761171862863134E-2</v>
      </c>
      <c r="CB166" s="616">
        <f t="shared" si="101"/>
        <v>-0.10218643936388117</v>
      </c>
      <c r="CC166" s="616">
        <f t="shared" si="102"/>
        <v>-3.679241223929948E-2</v>
      </c>
      <c r="CD166" s="616">
        <f t="shared" si="103"/>
        <v>0.26038449625384769</v>
      </c>
      <c r="CE166" s="616">
        <f t="shared" si="190"/>
        <v>-6.3977379149257772E-3</v>
      </c>
      <c r="CF166" s="616">
        <f t="shared" si="191"/>
        <v>6.6196915837158948E-2</v>
      </c>
      <c r="CG166" s="616">
        <f t="shared" si="197"/>
        <v>1.0318633502299517E-2</v>
      </c>
      <c r="CH166" s="616">
        <f t="shared" si="198"/>
        <v>1.8990990337531349E-2</v>
      </c>
      <c r="CI166" s="616">
        <f t="shared" si="192"/>
        <v>-1</v>
      </c>
      <c r="CJ166" s="616" t="e">
        <f t="shared" si="192"/>
        <v>#DIV/0!</v>
      </c>
      <c r="CK166" s="616">
        <f t="shared" si="192"/>
        <v>6.6667778175249234E-4</v>
      </c>
      <c r="CL166" s="616">
        <f t="shared" si="192"/>
        <v>-0.17998066051871717</v>
      </c>
      <c r="CM166" s="616">
        <f t="shared" si="192"/>
        <v>1.0461969013719883E-2</v>
      </c>
      <c r="CN166" s="616">
        <f t="shared" si="192"/>
        <v>0.25531295413123428</v>
      </c>
      <c r="CO166" s="616">
        <f t="shared" si="192"/>
        <v>-6.7752280725870955E-3</v>
      </c>
      <c r="CP166" s="616">
        <f t="shared" si="192"/>
        <v>-1.0167986671819213E-2</v>
      </c>
      <c r="CQ166" s="616">
        <f t="shared" si="192"/>
        <v>-2.0343132449135389E-3</v>
      </c>
      <c r="CZ166" s="3"/>
      <c r="DA166" s="3"/>
      <c r="DC166" s="41"/>
      <c r="DD166" s="41"/>
      <c r="DE166" s="3"/>
      <c r="DF166" s="118"/>
      <c r="DG166" s="700"/>
      <c r="DH166" s="700"/>
      <c r="DI166" s="700"/>
      <c r="DJ166" s="700"/>
      <c r="DK166" s="43"/>
      <c r="DL166" s="43"/>
      <c r="DS166" s="3"/>
      <c r="DT166" s="3"/>
      <c r="DV166" s="41"/>
      <c r="DW166" s="41"/>
      <c r="DY166" s="118"/>
      <c r="DZ166" s="3"/>
      <c r="EA166" s="486"/>
      <c r="EB166" s="486"/>
      <c r="EC166" s="486"/>
      <c r="ED166" s="486"/>
      <c r="EE166" s="43"/>
      <c r="EF166" s="43"/>
      <c r="EL166" s="3"/>
      <c r="EM166" s="3"/>
      <c r="EO166" s="41"/>
      <c r="EP166" s="41"/>
      <c r="FC166" s="3"/>
      <c r="FE166" s="39"/>
      <c r="FF166" s="39"/>
      <c r="FH166" s="41"/>
      <c r="FI166" s="41"/>
      <c r="FM166" s="3"/>
      <c r="FN166" s="3"/>
      <c r="FO166" s="486"/>
      <c r="FP166" s="486"/>
      <c r="FQ166" s="486"/>
      <c r="FR166" s="486"/>
      <c r="FS166" s="43"/>
      <c r="FT166" s="43"/>
      <c r="FX166" s="3"/>
      <c r="FY166" s="3"/>
      <c r="GA166" s="41"/>
      <c r="GB166" s="41"/>
      <c r="GG166" s="3"/>
      <c r="GH166" s="3"/>
      <c r="GI166" s="486"/>
      <c r="GJ166" s="486"/>
      <c r="GK166" s="486"/>
      <c r="GL166" s="486"/>
      <c r="GM166" s="43"/>
      <c r="GN166" s="43"/>
      <c r="GO166" s="393"/>
      <c r="GS166" s="3"/>
      <c r="GT166" s="3"/>
      <c r="GV166" s="41"/>
      <c r="GW166" s="41"/>
      <c r="HA166" s="3"/>
      <c r="HB166" s="3"/>
      <c r="HC166" s="43"/>
      <c r="HD166" s="43"/>
      <c r="HE166" s="43"/>
      <c r="HF166" s="43"/>
      <c r="HG166" s="43"/>
    </row>
    <row r="167" spans="1:215">
      <c r="A167" s="631" t="s">
        <v>53</v>
      </c>
      <c r="B167" s="631"/>
      <c r="C167" s="618">
        <f t="shared" si="128"/>
        <v>6.2409346532947531E-2</v>
      </c>
      <c r="D167" s="618">
        <f t="shared" si="129"/>
        <v>0.16932690499640918</v>
      </c>
      <c r="E167" s="618">
        <f t="shared" si="130"/>
        <v>0.49984929055249022</v>
      </c>
      <c r="F167" s="618">
        <f t="shared" si="131"/>
        <v>0.55973778730573953</v>
      </c>
      <c r="G167" s="618">
        <f t="shared" si="132"/>
        <v>0.84949003153560254</v>
      </c>
      <c r="H167" s="618">
        <f t="shared" si="133"/>
        <v>0.97564445244270459</v>
      </c>
      <c r="I167" s="618">
        <f t="shared" si="134"/>
        <v>0.94844794637539376</v>
      </c>
      <c r="J167" s="618">
        <f t="shared" si="135"/>
        <v>1.0877874507023235</v>
      </c>
      <c r="K167" s="618">
        <f t="shared" si="136"/>
        <v>1.1176658187038346</v>
      </c>
      <c r="L167" s="618">
        <f t="shared" si="137"/>
        <v>1.2264836829971995</v>
      </c>
      <c r="M167" s="618">
        <f t="shared" si="138"/>
        <v>1.1723422329393385</v>
      </c>
      <c r="N167" s="618">
        <f t="shared" si="139"/>
        <v>1.3960961127627658</v>
      </c>
      <c r="O167" s="618">
        <f t="shared" si="140"/>
        <v>1.7042491469979879</v>
      </c>
      <c r="P167" s="618">
        <f t="shared" si="141"/>
        <v>-1</v>
      </c>
      <c r="Q167" s="618">
        <f t="shared" si="142"/>
        <v>1.9808255232946794</v>
      </c>
      <c r="R167" s="618">
        <f t="shared" si="143"/>
        <v>1.9425417513317931</v>
      </c>
      <c r="S167" s="618">
        <f t="shared" si="144"/>
        <v>1.9362429144297539</v>
      </c>
      <c r="T167" s="618">
        <f t="shared" si="145"/>
        <v>1.895322063656026</v>
      </c>
      <c r="U167" s="618">
        <f t="shared" si="146"/>
        <v>2.2105549731736152</v>
      </c>
      <c r="V167" s="618">
        <f t="shared" si="147"/>
        <v>1.9677711134047433</v>
      </c>
      <c r="W167" s="618">
        <f t="shared" si="148"/>
        <v>1.4954295327976064</v>
      </c>
      <c r="Y167" s="631" t="s">
        <v>53</v>
      </c>
      <c r="Z167" s="631"/>
      <c r="AA167" s="618">
        <f t="shared" ref="AA167:AU167" si="202">IFERROR((AA69-Z69)/Z69,0)</f>
        <v>6.2409346532947531E-2</v>
      </c>
      <c r="AB167" s="618">
        <f t="shared" si="202"/>
        <v>0.10063687674847267</v>
      </c>
      <c r="AC167" s="618">
        <f t="shared" si="202"/>
        <v>0.28266037849962589</v>
      </c>
      <c r="AD167" s="618">
        <f t="shared" si="202"/>
        <v>3.9929676355141323E-2</v>
      </c>
      <c r="AE167" s="618">
        <f t="shared" si="202"/>
        <v>0.18576984323139045</v>
      </c>
      <c r="AF167" s="618">
        <f t="shared" si="202"/>
        <v>6.8210381649020324E-2</v>
      </c>
      <c r="AG167" s="618">
        <f t="shared" si="202"/>
        <v>-1.3765890939376703E-2</v>
      </c>
      <c r="AH167" s="618">
        <f t="shared" si="202"/>
        <v>7.1513075104796361E-2</v>
      </c>
      <c r="AI167" s="618">
        <f t="shared" si="202"/>
        <v>1.4311020018565655E-2</v>
      </c>
      <c r="AJ167" s="618">
        <f t="shared" si="202"/>
        <v>5.1385758476268584E-2</v>
      </c>
      <c r="AK167" s="618">
        <f t="shared" si="202"/>
        <v>-2.4317020812377122E-2</v>
      </c>
      <c r="AL167" s="618">
        <f t="shared" si="202"/>
        <v>0.10300121059685506</v>
      </c>
      <c r="AM167" s="618">
        <f t="shared" si="202"/>
        <v>0.12860629112240121</v>
      </c>
      <c r="AN167" s="618">
        <f t="shared" si="202"/>
        <v>-1</v>
      </c>
      <c r="AO167" s="618">
        <f t="shared" si="202"/>
        <v>0</v>
      </c>
      <c r="AP167" s="618">
        <f t="shared" si="202"/>
        <v>-1.2843345463766545E-2</v>
      </c>
      <c r="AQ167" s="618">
        <f t="shared" si="202"/>
        <v>-2.140610884854358E-3</v>
      </c>
      <c r="AR167" s="618">
        <f t="shared" si="202"/>
        <v>-1.3936466418574666E-2</v>
      </c>
      <c r="AS167" s="618">
        <f t="shared" si="202"/>
        <v>0.10887663015959394</v>
      </c>
      <c r="AT167" s="618">
        <f t="shared" si="202"/>
        <v>-7.5620527228936182E-2</v>
      </c>
      <c r="AU167" s="618">
        <f t="shared" si="202"/>
        <v>-0.15915701129163165</v>
      </c>
      <c r="AV167" s="565"/>
      <c r="AW167" s="631" t="s">
        <v>53</v>
      </c>
      <c r="AX167" s="631"/>
      <c r="AY167" s="618">
        <f t="shared" ref="AY167:BH167" si="203">(AY69-$AX69)/$AX69</f>
        <v>-2.2305647112163336E-2</v>
      </c>
      <c r="AZ167" s="618">
        <f t="shared" si="203"/>
        <v>2.3410898048139103E-2</v>
      </c>
      <c r="BA167" s="618">
        <f t="shared" si="203"/>
        <v>3.519009857740503E-2</v>
      </c>
      <c r="BB167" s="618">
        <f t="shared" si="203"/>
        <v>-2.1340996200320199E-2</v>
      </c>
      <c r="BC167" s="618">
        <f t="shared" si="203"/>
        <v>7.2920532914220737E-2</v>
      </c>
      <c r="BD167" s="618">
        <f t="shared" si="203"/>
        <v>0.6941473997417178</v>
      </c>
      <c r="BE167" s="618">
        <f t="shared" si="203"/>
        <v>0.75504644651294717</v>
      </c>
      <c r="BF167" s="618">
        <f t="shared" si="203"/>
        <v>0.93219481920756853</v>
      </c>
      <c r="BG167" s="618">
        <f t="shared" si="203"/>
        <v>0.98512342033212918</v>
      </c>
      <c r="BH167" s="618">
        <f t="shared" si="203"/>
        <v>0.96143428591782509</v>
      </c>
      <c r="BI167" s="618">
        <f t="shared" si="195"/>
        <v>1.0213721056583962</v>
      </c>
      <c r="BJ167" s="618">
        <f t="shared" ref="BJ167:BS167" si="204">(BJ69-$AX69)/$AX69</f>
        <v>1.097119899256898</v>
      </c>
      <c r="BK167" s="618">
        <f t="shared" si="204"/>
        <v>0.87562335576619788</v>
      </c>
      <c r="BL167" s="618">
        <f t="shared" si="204"/>
        <v>-1</v>
      </c>
      <c r="BM167" s="618">
        <f t="shared" si="204"/>
        <v>1.1630774911749922</v>
      </c>
      <c r="BN167" s="618">
        <f t="shared" si="204"/>
        <v>1.1601119866858882</v>
      </c>
      <c r="BO167" s="618">
        <f t="shared" si="204"/>
        <v>1.198589802743026</v>
      </c>
      <c r="BP167" s="618">
        <f t="shared" si="204"/>
        <v>1.3373292787953242</v>
      </c>
      <c r="BQ167" s="618">
        <f t="shared" si="204"/>
        <v>1.4381790732197912</v>
      </c>
      <c r="BR167" s="618">
        <f t="shared" si="204"/>
        <v>1.4578541303281962</v>
      </c>
      <c r="BS167" s="618">
        <f t="shared" si="204"/>
        <v>1.5090054057745597</v>
      </c>
      <c r="BU167" s="631" t="s">
        <v>53</v>
      </c>
      <c r="BV167" s="631"/>
      <c r="BW167" s="618">
        <f t="shared" si="96"/>
        <v>-2.2305647112163336E-2</v>
      </c>
      <c r="BX167" s="618">
        <f t="shared" si="97"/>
        <v>4.6759547117428371E-2</v>
      </c>
      <c r="BY167" s="618">
        <f t="shared" si="98"/>
        <v>1.1509747015330158E-2</v>
      </c>
      <c r="BZ167" s="618">
        <f t="shared" si="99"/>
        <v>-5.4609385131689593E-2</v>
      </c>
      <c r="CA167" s="618">
        <f t="shared" si="100"/>
        <v>9.6317030496390538E-2</v>
      </c>
      <c r="CB167" s="618">
        <f t="shared" si="101"/>
        <v>0.57900547875633179</v>
      </c>
      <c r="CC167" s="618">
        <f t="shared" si="102"/>
        <v>3.5946722688069407E-2</v>
      </c>
      <c r="CD167" s="618">
        <f t="shared" si="103"/>
        <v>0.10093657238906274</v>
      </c>
      <c r="CE167" s="618">
        <f t="shared" si="190"/>
        <v>2.7392994018205524E-2</v>
      </c>
      <c r="CF167" s="618">
        <f t="shared" si="191"/>
        <v>-1.1933330780179243E-2</v>
      </c>
      <c r="CG167" s="618">
        <f t="shared" si="197"/>
        <v>3.0558158471531004E-2</v>
      </c>
      <c r="CH167" s="618">
        <f t="shared" si="198"/>
        <v>3.7473453495505446E-2</v>
      </c>
      <c r="CI167" s="618">
        <f t="shared" ref="CI167:CI177" si="205">(BK69-BJ69)/BJ69</f>
        <v>-0.10561939904780179</v>
      </c>
      <c r="CJ167" s="618">
        <f t="shared" ref="CJ167:CJ177" si="206">(BL69-BK69)/BK69</f>
        <v>-1</v>
      </c>
      <c r="CK167" s="618"/>
      <c r="CL167" s="618">
        <v>0</v>
      </c>
      <c r="CM167" s="618">
        <f t="shared" ref="CM167:CM177" si="207">(BO69-BN69)/BN69</f>
        <v>1.7812880209128211E-2</v>
      </c>
      <c r="CN167" s="618">
        <f t="shared" ref="CN167:CN177" si="208">(BP69-BO69)/BO69</f>
        <v>6.3103847693281701E-2</v>
      </c>
      <c r="CO167" s="618">
        <f t="shared" ref="CO167:CO177" si="209">(BQ69-BP69)/BP69</f>
        <v>4.3147448388806312E-2</v>
      </c>
      <c r="CP167" s="618">
        <f t="shared" ref="CP167:CP177" si="210">(BR69-BQ69)/BQ69</f>
        <v>8.069570165911857E-3</v>
      </c>
      <c r="CQ167" s="618">
        <f t="shared" ref="CQ167:CQ177" si="211">(BS69-BR69)/BR69</f>
        <v>2.0811355244883114E-2</v>
      </c>
      <c r="CZ167" s="3"/>
      <c r="DA167" s="3"/>
      <c r="DC167" s="41"/>
      <c r="DD167" s="41"/>
      <c r="DE167" s="3"/>
      <c r="DF167" s="118"/>
      <c r="DG167" s="700"/>
      <c r="DH167" s="700"/>
      <c r="DI167" s="700"/>
      <c r="DJ167" s="700"/>
      <c r="DK167" s="43"/>
      <c r="DL167" s="43"/>
      <c r="DS167" s="3"/>
      <c r="DT167" s="3"/>
      <c r="DV167" s="41"/>
      <c r="DW167" s="41"/>
      <c r="DY167" s="118"/>
      <c r="DZ167" s="3"/>
      <c r="EA167" s="486"/>
      <c r="EB167" s="486"/>
      <c r="EC167" s="486"/>
      <c r="ED167" s="486"/>
      <c r="EE167" s="43"/>
      <c r="EF167" s="43"/>
      <c r="EL167" s="3"/>
      <c r="EM167" s="3"/>
      <c r="EO167" s="41"/>
      <c r="EP167" s="41"/>
      <c r="FC167" s="3"/>
      <c r="FE167" s="39"/>
      <c r="FF167" s="39"/>
      <c r="FH167" s="41"/>
      <c r="FI167" s="41"/>
      <c r="FM167" s="3"/>
      <c r="FN167" s="3"/>
      <c r="FO167" s="486"/>
      <c r="FP167" s="486"/>
      <c r="FQ167" s="486"/>
      <c r="FR167" s="486"/>
      <c r="FS167" s="43"/>
      <c r="FT167" s="43"/>
      <c r="FX167" s="3"/>
      <c r="FY167" s="3"/>
      <c r="GA167" s="41"/>
      <c r="GB167" s="41"/>
      <c r="GG167" s="3"/>
      <c r="GH167" s="3"/>
      <c r="GI167" s="486"/>
      <c r="GJ167" s="486"/>
      <c r="GK167" s="486"/>
      <c r="GL167" s="486"/>
      <c r="GM167" s="43"/>
      <c r="GN167" s="43"/>
      <c r="GO167" s="393"/>
      <c r="GS167" s="3"/>
      <c r="GT167" s="3"/>
      <c r="GV167" s="41"/>
      <c r="GW167" s="41"/>
      <c r="HA167" s="3"/>
      <c r="HB167" s="3"/>
      <c r="HC167" s="43"/>
      <c r="HD167" s="43"/>
      <c r="HE167" s="43"/>
      <c r="HF167" s="43"/>
      <c r="HG167" s="43"/>
    </row>
    <row r="168" spans="1:215">
      <c r="A168" s="632" t="s">
        <v>54</v>
      </c>
      <c r="B168" s="632"/>
      <c r="C168" s="616">
        <f t="shared" si="128"/>
        <v>0.19787044440358548</v>
      </c>
      <c r="D168" s="616">
        <f t="shared" si="129"/>
        <v>0.37890431429278787</v>
      </c>
      <c r="E168" s="616">
        <f t="shared" si="130"/>
        <v>0.50768421609363468</v>
      </c>
      <c r="F168" s="616">
        <f t="shared" si="131"/>
        <v>0.55452108641200248</v>
      </c>
      <c r="G168" s="616">
        <f t="shared" si="132"/>
        <v>0.47522330842160604</v>
      </c>
      <c r="H168" s="616">
        <f t="shared" si="133"/>
        <v>0.51087046343937659</v>
      </c>
      <c r="I168" s="616">
        <f t="shared" si="134"/>
        <v>0.67387849360183749</v>
      </c>
      <c r="J168" s="616">
        <f t="shared" si="135"/>
        <v>0.79989110195530877</v>
      </c>
      <c r="K168" s="616">
        <f t="shared" si="136"/>
        <v>1.0077235918773</v>
      </c>
      <c r="L168" s="616">
        <f t="shared" si="137"/>
        <v>0.95218231470669124</v>
      </c>
      <c r="M168" s="616">
        <f t="shared" si="138"/>
        <v>1.139313742525885</v>
      </c>
      <c r="N168" s="616">
        <f t="shared" si="139"/>
        <v>1.2798048182084723</v>
      </c>
      <c r="O168" s="616">
        <f t="shared" si="140"/>
        <v>0.96515323617606119</v>
      </c>
      <c r="P168" s="616">
        <f t="shared" si="141"/>
        <v>1.1313668824629803</v>
      </c>
      <c r="Q168" s="616">
        <f t="shared" si="142"/>
        <v>0.95767017234161689</v>
      </c>
      <c r="R168" s="616">
        <f t="shared" si="143"/>
        <v>-1</v>
      </c>
      <c r="S168" s="616">
        <f t="shared" si="144"/>
        <v>0.96217333014627171</v>
      </c>
      <c r="T168" s="616">
        <f t="shared" si="145"/>
        <v>1.1899523877680556</v>
      </c>
      <c r="U168" s="616">
        <f t="shared" si="146"/>
        <v>2.9662961606141263</v>
      </c>
      <c r="V168" s="616">
        <f t="shared" si="147"/>
        <v>2.1606515879151913</v>
      </c>
      <c r="W168" s="616">
        <f t="shared" si="148"/>
        <v>2.3298759970828065</v>
      </c>
      <c r="Y168" s="632" t="s">
        <v>54</v>
      </c>
      <c r="Z168" s="632"/>
      <c r="AA168" s="616">
        <f t="shared" ref="AA168:AU168" si="212">IFERROR((AA70-Z70)/Z70,0)</f>
        <v>0.19787044440358548</v>
      </c>
      <c r="AB168" s="616">
        <f t="shared" si="212"/>
        <v>0.15112975759188912</v>
      </c>
      <c r="AC168" s="616">
        <f t="shared" si="212"/>
        <v>9.3392921079440805E-2</v>
      </c>
      <c r="AD168" s="616">
        <f t="shared" si="212"/>
        <v>3.1065437853903387E-2</v>
      </c>
      <c r="AE168" s="616">
        <f t="shared" si="212"/>
        <v>-5.1011066162778153E-2</v>
      </c>
      <c r="AF168" s="616">
        <f t="shared" si="212"/>
        <v>2.4163904416552827E-2</v>
      </c>
      <c r="AG168" s="616">
        <f t="shared" si="212"/>
        <v>0.10789014287259684</v>
      </c>
      <c r="AH168" s="616">
        <f t="shared" si="212"/>
        <v>7.528181336646389E-2</v>
      </c>
      <c r="AI168" s="616">
        <f t="shared" si="212"/>
        <v>0.11546948017922459</v>
      </c>
      <c r="AJ168" s="616">
        <f t="shared" si="212"/>
        <v>-2.7663806609293028E-2</v>
      </c>
      <c r="AK168" s="616">
        <f t="shared" si="212"/>
        <v>9.5857557160233572E-2</v>
      </c>
      <c r="AL168" s="616">
        <f t="shared" si="212"/>
        <v>6.5671094842175703E-2</v>
      </c>
      <c r="AM168" s="616">
        <f t="shared" si="212"/>
        <v>-0.13801689491983446</v>
      </c>
      <c r="AN168" s="616">
        <f t="shared" si="212"/>
        <v>8.4580501523814938E-2</v>
      </c>
      <c r="AO168" s="616">
        <f t="shared" si="212"/>
        <v>-8.1495453246717295E-2</v>
      </c>
      <c r="AP168" s="616">
        <f t="shared" si="212"/>
        <v>-1</v>
      </c>
      <c r="AQ168" s="616">
        <f t="shared" si="212"/>
        <v>0</v>
      </c>
      <c r="AR168" s="616">
        <f t="shared" si="212"/>
        <v>0.11608508490165034</v>
      </c>
      <c r="AS168" s="616">
        <f t="shared" si="212"/>
        <v>0.81113351265891009</v>
      </c>
      <c r="AT168" s="616">
        <f t="shared" si="212"/>
        <v>-0.20312264643752467</v>
      </c>
      <c r="AU168" s="616">
        <f t="shared" si="212"/>
        <v>5.3540988135056547E-2</v>
      </c>
      <c r="AV168" s="565"/>
      <c r="AW168" s="632" t="s">
        <v>54</v>
      </c>
      <c r="AX168" s="632"/>
      <c r="AY168" s="616">
        <f t="shared" ref="AY168:BH168" si="213">(AY70-$AX70)/$AX70</f>
        <v>1.6967560963044186E-2</v>
      </c>
      <c r="AZ168" s="616">
        <f t="shared" si="213"/>
        <v>2.8901816149593015E-2</v>
      </c>
      <c r="BA168" s="616">
        <f t="shared" si="213"/>
        <v>0.12940570329223072</v>
      </c>
      <c r="BB168" s="616">
        <f t="shared" si="213"/>
        <v>0.23727188510343061</v>
      </c>
      <c r="BC168" s="616">
        <f t="shared" si="213"/>
        <v>0.22634209720489967</v>
      </c>
      <c r="BD168" s="616">
        <f t="shared" si="213"/>
        <v>0.28269818936894026</v>
      </c>
      <c r="BE168" s="616">
        <f t="shared" si="213"/>
        <v>0.26882917882355034</v>
      </c>
      <c r="BF168" s="616">
        <f t="shared" si="213"/>
        <v>0.33212880203641548</v>
      </c>
      <c r="BG168" s="616">
        <f t="shared" si="213"/>
        <v>0.37787819374990184</v>
      </c>
      <c r="BH168" s="616">
        <f t="shared" si="213"/>
        <v>0.39987925190068052</v>
      </c>
      <c r="BI168" s="616">
        <f t="shared" si="195"/>
        <v>0.6047507798425179</v>
      </c>
      <c r="BJ168" s="616">
        <f t="shared" ref="BJ168:BS168" si="214">(BJ70-$AX70)/$AX70</f>
        <v>0.52991238651135608</v>
      </c>
      <c r="BK168" s="616">
        <f t="shared" si="214"/>
        <v>0.38852385374962184</v>
      </c>
      <c r="BL168" s="616">
        <f t="shared" si="214"/>
        <v>0.42112507492093587</v>
      </c>
      <c r="BM168" s="616">
        <f t="shared" si="214"/>
        <v>0.44790172570042047</v>
      </c>
      <c r="BN168" s="616">
        <f t="shared" si="214"/>
        <v>-1</v>
      </c>
      <c r="BO168" s="616">
        <f t="shared" si="214"/>
        <v>0.49209350109222944</v>
      </c>
      <c r="BP168" s="616">
        <f t="shared" si="214"/>
        <v>0.70827887622225827</v>
      </c>
      <c r="BQ168" s="616">
        <f t="shared" si="214"/>
        <v>0.79017519090363153</v>
      </c>
      <c r="BR168" s="616">
        <f t="shared" si="214"/>
        <v>0.89766912202624061</v>
      </c>
      <c r="BS168" s="616">
        <f t="shared" si="214"/>
        <v>0.9214743636227829</v>
      </c>
      <c r="BU168" s="632" t="s">
        <v>54</v>
      </c>
      <c r="BV168" s="632"/>
      <c r="BW168" s="616">
        <f t="shared" si="96"/>
        <v>1.6967560963044186E-2</v>
      </c>
      <c r="BX168" s="616">
        <f t="shared" si="97"/>
        <v>1.1735138508496156E-2</v>
      </c>
      <c r="BY168" s="616">
        <f t="shared" si="98"/>
        <v>9.7680736456223105E-2</v>
      </c>
      <c r="BZ168" s="616">
        <f t="shared" si="99"/>
        <v>9.5507027719772181E-2</v>
      </c>
      <c r="CA168" s="616">
        <f t="shared" si="100"/>
        <v>-8.8337802144572587E-3</v>
      </c>
      <c r="CB168" s="616">
        <f t="shared" si="101"/>
        <v>4.5954625787117939E-2</v>
      </c>
      <c r="CC168" s="616">
        <f t="shared" si="102"/>
        <v>-1.081237243518149E-2</v>
      </c>
      <c r="CD168" s="616">
        <f t="shared" si="103"/>
        <v>4.9888215269100381E-2</v>
      </c>
      <c r="CE168" s="616">
        <f t="shared" si="190"/>
        <v>3.434306926143299E-2</v>
      </c>
      <c r="CF168" s="616">
        <f t="shared" si="191"/>
        <v>1.5967346207071235E-2</v>
      </c>
      <c r="CG168" s="616">
        <f t="shared" si="197"/>
        <v>0.14634942811222751</v>
      </c>
      <c r="CH168" s="616">
        <f t="shared" si="198"/>
        <v>-4.6635523890199385E-2</v>
      </c>
      <c r="CI168" s="616">
        <f t="shared" si="205"/>
        <v>-9.2416097815993969E-2</v>
      </c>
      <c r="CJ168" s="616">
        <f t="shared" si="206"/>
        <v>2.3479050131747069E-2</v>
      </c>
      <c r="CK168" s="616">
        <f t="shared" ref="CK168:CL173" si="215">(BM70-BL70)/BL70</f>
        <v>1.884186779335684E-2</v>
      </c>
      <c r="CL168" s="616">
        <f t="shared" si="215"/>
        <v>-1</v>
      </c>
      <c r="CM168" s="616" t="e">
        <f t="shared" si="207"/>
        <v>#DIV/0!</v>
      </c>
      <c r="CN168" s="616">
        <f t="shared" si="208"/>
        <v>0.14488728418948185</v>
      </c>
      <c r="CO168" s="616">
        <f t="shared" si="209"/>
        <v>4.7940834380907085E-2</v>
      </c>
      <c r="CP168" s="616">
        <f t="shared" si="210"/>
        <v>6.0046598605999597E-2</v>
      </c>
      <c r="CQ168" s="616">
        <f t="shared" si="211"/>
        <v>1.2544463795207957E-2</v>
      </c>
      <c r="CZ168" s="3"/>
      <c r="DA168" s="3"/>
      <c r="DC168" s="41"/>
      <c r="DD168" s="41"/>
      <c r="DE168" s="3"/>
      <c r="DF168" s="118"/>
      <c r="DG168" s="700"/>
      <c r="DH168" s="700"/>
      <c r="DI168" s="700"/>
      <c r="DJ168" s="700"/>
      <c r="DK168" s="43"/>
      <c r="DL168" s="43"/>
      <c r="DS168" s="3"/>
      <c r="DT168" s="3"/>
      <c r="DV168" s="41"/>
      <c r="DW168" s="41"/>
      <c r="DY168" s="118"/>
      <c r="DZ168" s="3"/>
      <c r="EA168" s="486"/>
      <c r="EB168" s="486"/>
      <c r="EC168" s="486"/>
      <c r="ED168" s="486"/>
      <c r="EE168" s="43"/>
      <c r="EF168" s="43"/>
      <c r="EL168" s="3"/>
      <c r="EM168" s="3"/>
      <c r="EO168" s="41"/>
      <c r="EP168" s="41"/>
      <c r="FC168" s="3"/>
      <c r="FE168" s="39"/>
      <c r="FF168" s="39"/>
      <c r="FH168" s="41"/>
      <c r="FI168" s="41"/>
      <c r="FM168" s="3"/>
      <c r="FN168" s="3"/>
      <c r="FO168" s="486"/>
      <c r="FP168" s="486"/>
      <c r="FQ168" s="486"/>
      <c r="FR168" s="486"/>
      <c r="FS168" s="43"/>
      <c r="FT168" s="43"/>
      <c r="FX168" s="3"/>
      <c r="FY168" s="3"/>
      <c r="GA168" s="41"/>
      <c r="GB168" s="41"/>
      <c r="GG168" s="3"/>
      <c r="GH168" s="3"/>
      <c r="GI168" s="486"/>
      <c r="GJ168" s="486"/>
      <c r="GK168" s="486"/>
      <c r="GL168" s="486"/>
      <c r="GM168" s="43"/>
      <c r="GN168" s="43"/>
      <c r="GO168" s="393"/>
      <c r="GS168" s="3"/>
      <c r="GT168" s="3"/>
      <c r="GV168" s="41"/>
      <c r="GW168" s="41"/>
      <c r="HA168" s="3"/>
      <c r="HB168" s="3"/>
      <c r="HC168" s="43"/>
      <c r="HD168" s="43"/>
      <c r="HE168" s="43"/>
      <c r="HF168" s="43"/>
      <c r="HG168" s="43"/>
    </row>
    <row r="169" spans="1:215">
      <c r="A169" s="631" t="s">
        <v>513</v>
      </c>
      <c r="B169" s="631"/>
      <c r="C169" s="616">
        <f t="shared" si="128"/>
        <v>9.8034089365747659E-2</v>
      </c>
      <c r="D169" s="616">
        <f t="shared" si="129"/>
        <v>-1</v>
      </c>
      <c r="E169" s="616">
        <f t="shared" si="130"/>
        <v>-1</v>
      </c>
      <c r="F169" s="616">
        <f t="shared" si="131"/>
        <v>-1</v>
      </c>
      <c r="G169" s="616">
        <f t="shared" si="132"/>
        <v>-1</v>
      </c>
      <c r="H169" s="616">
        <f t="shared" si="133"/>
        <v>-1</v>
      </c>
      <c r="I169" s="616">
        <f t="shared" si="134"/>
        <v>-1</v>
      </c>
      <c r="J169" s="616">
        <f t="shared" si="135"/>
        <v>-1</v>
      </c>
      <c r="K169" s="616">
        <f t="shared" si="136"/>
        <v>-1</v>
      </c>
      <c r="L169" s="616">
        <f t="shared" si="137"/>
        <v>-1</v>
      </c>
      <c r="M169" s="616">
        <f t="shared" si="138"/>
        <v>0.21570399642007687</v>
      </c>
      <c r="N169" s="616">
        <f t="shared" si="139"/>
        <v>-1</v>
      </c>
      <c r="O169" s="616">
        <f t="shared" si="140"/>
        <v>0.24587862650048586</v>
      </c>
      <c r="P169" s="616">
        <f t="shared" si="141"/>
        <v>-1</v>
      </c>
      <c r="Q169" s="616">
        <f t="shared" si="142"/>
        <v>0.40978045111210926</v>
      </c>
      <c r="R169" s="616">
        <f t="shared" si="143"/>
        <v>-1</v>
      </c>
      <c r="S169" s="616">
        <f t="shared" si="144"/>
        <v>0.46339807143827239</v>
      </c>
      <c r="T169" s="616">
        <f t="shared" si="145"/>
        <v>0.5133898877617471</v>
      </c>
      <c r="U169" s="616">
        <f t="shared" si="146"/>
        <v>0.79266352988086664</v>
      </c>
      <c r="V169" s="616">
        <f t="shared" si="147"/>
        <v>0.38774590206751014</v>
      </c>
      <c r="W169" s="616">
        <f t="shared" si="148"/>
        <v>0.41473131422880161</v>
      </c>
      <c r="Y169" s="631" t="s">
        <v>513</v>
      </c>
      <c r="Z169" s="631"/>
      <c r="AA169" s="616">
        <f t="shared" ref="AA169:AU169" si="216">IFERROR((AA71-Z71)/Z71,0)</f>
        <v>9.8034089365747659E-2</v>
      </c>
      <c r="AB169" s="616">
        <f t="shared" si="216"/>
        <v>-1</v>
      </c>
      <c r="AC169" s="616">
        <f t="shared" si="216"/>
        <v>0</v>
      </c>
      <c r="AD169" s="616">
        <f t="shared" si="216"/>
        <v>0</v>
      </c>
      <c r="AE169" s="616">
        <f t="shared" si="216"/>
        <v>0</v>
      </c>
      <c r="AF169" s="616">
        <f t="shared" si="216"/>
        <v>0</v>
      </c>
      <c r="AG169" s="616">
        <f t="shared" si="216"/>
        <v>0</v>
      </c>
      <c r="AH169" s="616">
        <f t="shared" si="216"/>
        <v>0</v>
      </c>
      <c r="AI169" s="616">
        <f t="shared" si="216"/>
        <v>0</v>
      </c>
      <c r="AJ169" s="616">
        <f t="shared" si="216"/>
        <v>0</v>
      </c>
      <c r="AK169" s="616">
        <f t="shared" si="216"/>
        <v>0</v>
      </c>
      <c r="AL169" s="616">
        <f t="shared" si="216"/>
        <v>-1</v>
      </c>
      <c r="AM169" s="616">
        <f t="shared" si="216"/>
        <v>0</v>
      </c>
      <c r="AN169" s="616">
        <f t="shared" si="216"/>
        <v>-1</v>
      </c>
      <c r="AO169" s="616">
        <f t="shared" si="216"/>
        <v>0</v>
      </c>
      <c r="AP169" s="616">
        <f t="shared" si="216"/>
        <v>-1</v>
      </c>
      <c r="AQ169" s="616">
        <f t="shared" si="216"/>
        <v>0</v>
      </c>
      <c r="AR169" s="616">
        <f t="shared" si="216"/>
        <v>3.4161461122018039E-2</v>
      </c>
      <c r="AS169" s="616">
        <f t="shared" si="216"/>
        <v>0.18453515804321635</v>
      </c>
      <c r="AT169" s="616">
        <f t="shared" si="216"/>
        <v>-0.22587486221704176</v>
      </c>
      <c r="AU169" s="616">
        <f t="shared" si="216"/>
        <v>1.9445499439838195E-2</v>
      </c>
      <c r="AV169" s="565"/>
      <c r="AW169" s="631" t="s">
        <v>513</v>
      </c>
      <c r="AX169" s="631"/>
      <c r="AY169" s="616">
        <f t="shared" ref="AY169:BH169" si="217">(AY71-$AX71)/$AX71</f>
        <v>-4.7208515047710932E-2</v>
      </c>
      <c r="AZ169" s="616">
        <f t="shared" si="217"/>
        <v>-1</v>
      </c>
      <c r="BA169" s="616">
        <f t="shared" si="217"/>
        <v>-1</v>
      </c>
      <c r="BB169" s="616">
        <f t="shared" si="217"/>
        <v>-1</v>
      </c>
      <c r="BC169" s="616">
        <f t="shared" si="217"/>
        <v>-1</v>
      </c>
      <c r="BD169" s="616">
        <f t="shared" si="217"/>
        <v>-1</v>
      </c>
      <c r="BE169" s="616">
        <f t="shared" si="217"/>
        <v>-1</v>
      </c>
      <c r="BF169" s="616">
        <f t="shared" si="217"/>
        <v>-1</v>
      </c>
      <c r="BG169" s="616">
        <f t="shared" si="217"/>
        <v>-1</v>
      </c>
      <c r="BH169" s="616">
        <f t="shared" si="217"/>
        <v>-1</v>
      </c>
      <c r="BI169" s="616">
        <f t="shared" si="195"/>
        <v>1.7331385405506008</v>
      </c>
      <c r="BJ169" s="616">
        <f t="shared" ref="BJ169:BS169" si="218">(BJ71-$AX71)/$AX71</f>
        <v>-1</v>
      </c>
      <c r="BK169" s="616">
        <f t="shared" si="218"/>
        <v>1.6971348135921001</v>
      </c>
      <c r="BL169" s="616">
        <f t="shared" si="218"/>
        <v>-1</v>
      </c>
      <c r="BM169" s="616">
        <f t="shared" si="218"/>
        <v>1.894725842967049</v>
      </c>
      <c r="BN169" s="616">
        <f t="shared" si="218"/>
        <v>-1</v>
      </c>
      <c r="BO169" s="616">
        <f t="shared" si="218"/>
        <v>1.7977502821723927</v>
      </c>
      <c r="BP169" s="616">
        <f t="shared" si="218"/>
        <v>1.9506046730921105</v>
      </c>
      <c r="BQ169" s="616">
        <f t="shared" si="218"/>
        <v>2.0291998608581525</v>
      </c>
      <c r="BR169" s="616">
        <f t="shared" si="218"/>
        <v>1.9073731926747004</v>
      </c>
      <c r="BS169" s="616">
        <f t="shared" si="218"/>
        <v>1.9020129522642086</v>
      </c>
      <c r="BU169" s="631" t="s">
        <v>513</v>
      </c>
      <c r="BV169" s="631"/>
      <c r="BW169" s="616">
        <f t="shared" si="96"/>
        <v>-4.7208515047710932E-2</v>
      </c>
      <c r="BX169" s="616">
        <f t="shared" si="97"/>
        <v>-1</v>
      </c>
      <c r="BY169" s="616" t="e">
        <f t="shared" si="98"/>
        <v>#DIV/0!</v>
      </c>
      <c r="BZ169" s="616" t="e">
        <f t="shared" si="99"/>
        <v>#DIV/0!</v>
      </c>
      <c r="CA169" s="616" t="e">
        <f t="shared" si="100"/>
        <v>#DIV/0!</v>
      </c>
      <c r="CB169" s="616" t="e">
        <f t="shared" si="101"/>
        <v>#DIV/0!</v>
      </c>
      <c r="CC169" s="616" t="e">
        <f t="shared" si="102"/>
        <v>#DIV/0!</v>
      </c>
      <c r="CD169" s="616" t="e">
        <f t="shared" si="103"/>
        <v>#DIV/0!</v>
      </c>
      <c r="CE169" s="616" t="e">
        <f t="shared" si="190"/>
        <v>#DIV/0!</v>
      </c>
      <c r="CF169" s="616" t="e">
        <f t="shared" si="191"/>
        <v>#DIV/0!</v>
      </c>
      <c r="CG169" s="616" t="e">
        <f t="shared" si="197"/>
        <v>#DIV/0!</v>
      </c>
      <c r="CH169" s="616">
        <f t="shared" si="198"/>
        <v>-1</v>
      </c>
      <c r="CI169" s="616" t="e">
        <f t="shared" si="205"/>
        <v>#DIV/0!</v>
      </c>
      <c r="CJ169" s="616">
        <f t="shared" si="206"/>
        <v>-1</v>
      </c>
      <c r="CK169" s="616" t="e">
        <f t="shared" si="215"/>
        <v>#DIV/0!</v>
      </c>
      <c r="CL169" s="616">
        <f t="shared" si="215"/>
        <v>-1</v>
      </c>
      <c r="CM169" s="616" t="e">
        <f t="shared" si="207"/>
        <v>#DIV/0!</v>
      </c>
      <c r="CN169" s="616">
        <f t="shared" si="208"/>
        <v>5.4634751319202687E-2</v>
      </c>
      <c r="CO169" s="616">
        <f t="shared" si="209"/>
        <v>2.6636976645087906E-2</v>
      </c>
      <c r="CP169" s="616">
        <f t="shared" si="210"/>
        <v>-4.0217441495900286E-2</v>
      </c>
      <c r="CQ169" s="616">
        <f t="shared" si="211"/>
        <v>-1.8436712644930115E-3</v>
      </c>
      <c r="CZ169" s="3"/>
      <c r="DA169" s="3"/>
      <c r="DC169" s="41"/>
      <c r="DD169" s="41"/>
      <c r="DE169" s="3"/>
      <c r="DF169" s="118"/>
      <c r="DG169" s="700"/>
      <c r="DH169" s="700"/>
      <c r="DI169" s="700"/>
      <c r="DJ169" s="700"/>
      <c r="DK169" s="43"/>
      <c r="DL169" s="43"/>
      <c r="DS169" s="3"/>
      <c r="DT169" s="3"/>
      <c r="DV169" s="41"/>
      <c r="DW169" s="41"/>
      <c r="DY169" s="118"/>
      <c r="DZ169" s="3"/>
      <c r="EA169" s="486"/>
      <c r="EB169" s="486"/>
      <c r="EC169" s="486"/>
      <c r="ED169" s="486"/>
      <c r="EE169" s="43"/>
      <c r="EF169" s="43"/>
      <c r="EL169" s="3"/>
      <c r="EM169" s="3"/>
      <c r="EO169" s="41"/>
      <c r="EP169" s="41"/>
      <c r="FC169" s="3"/>
      <c r="FE169" s="39"/>
      <c r="FF169" s="39"/>
      <c r="FH169" s="41"/>
      <c r="FI169" s="41"/>
      <c r="FM169" s="3"/>
      <c r="FN169" s="3"/>
      <c r="FO169" s="486"/>
      <c r="FP169" s="486"/>
      <c r="FQ169" s="486"/>
      <c r="FR169" s="486"/>
      <c r="FS169" s="43"/>
      <c r="FT169" s="43"/>
      <c r="FX169" s="3"/>
      <c r="FY169" s="3"/>
      <c r="GA169" s="41"/>
      <c r="GB169" s="41"/>
      <c r="GG169" s="3"/>
      <c r="GH169" s="3"/>
      <c r="GI169" s="486"/>
      <c r="GJ169" s="486"/>
      <c r="GK169" s="486"/>
      <c r="GL169" s="486"/>
      <c r="GM169" s="43"/>
      <c r="GN169" s="43"/>
      <c r="GO169" s="393"/>
      <c r="GS169" s="3"/>
      <c r="GT169" s="3"/>
      <c r="GV169" s="41"/>
      <c r="GW169" s="41"/>
      <c r="HA169" s="3"/>
      <c r="HB169" s="3"/>
      <c r="HC169" s="43"/>
      <c r="HD169" s="43"/>
      <c r="HE169" s="43"/>
      <c r="HF169" s="43"/>
      <c r="HG169" s="43"/>
    </row>
    <row r="170" spans="1:215">
      <c r="A170" s="632" t="s">
        <v>55</v>
      </c>
      <c r="B170" s="632"/>
      <c r="C170" s="616">
        <f t="shared" si="128"/>
        <v>8.3036394234838745E-3</v>
      </c>
      <c r="D170" s="616">
        <f t="shared" si="129"/>
        <v>1.3138967498096486E-3</v>
      </c>
      <c r="E170" s="616">
        <f t="shared" si="130"/>
        <v>-1</v>
      </c>
      <c r="F170" s="616">
        <f t="shared" si="131"/>
        <v>0.10556208455948037</v>
      </c>
      <c r="G170" s="616">
        <f t="shared" si="132"/>
        <v>-1</v>
      </c>
      <c r="H170" s="616">
        <f t="shared" si="133"/>
        <v>0.20353412370843249</v>
      </c>
      <c r="I170" s="616">
        <f t="shared" si="134"/>
        <v>-1</v>
      </c>
      <c r="J170" s="616">
        <f t="shared" si="135"/>
        <v>-0.96629890093359538</v>
      </c>
      <c r="K170" s="616">
        <f t="shared" si="136"/>
        <v>-0.12511775711478607</v>
      </c>
      <c r="L170" s="616">
        <f t="shared" si="137"/>
        <v>-5.5134774310615392E-2</v>
      </c>
      <c r="M170" s="616">
        <f t="shared" si="138"/>
        <v>-0.13313370250933118</v>
      </c>
      <c r="N170" s="616">
        <f t="shared" si="139"/>
        <v>-1</v>
      </c>
      <c r="O170" s="616">
        <f t="shared" si="140"/>
        <v>-1</v>
      </c>
      <c r="P170" s="616">
        <f t="shared" si="141"/>
        <v>-1</v>
      </c>
      <c r="Q170" s="616">
        <f t="shared" si="142"/>
        <v>-1</v>
      </c>
      <c r="R170" s="616">
        <f t="shared" si="143"/>
        <v>-1</v>
      </c>
      <c r="S170" s="616">
        <f t="shared" si="144"/>
        <v>-1</v>
      </c>
      <c r="T170" s="616">
        <f t="shared" si="145"/>
        <v>-1</v>
      </c>
      <c r="U170" s="616">
        <f t="shared" si="146"/>
        <v>-1</v>
      </c>
      <c r="V170" s="616">
        <f t="shared" si="147"/>
        <v>-1</v>
      </c>
      <c r="W170" s="616">
        <f t="shared" si="148"/>
        <v>-1</v>
      </c>
      <c r="Y170" s="632" t="s">
        <v>55</v>
      </c>
      <c r="Z170" s="632"/>
      <c r="AA170" s="616">
        <f t="shared" ref="AA170:AU170" si="219">IFERROR((AA72-Z72)/Z72,0)</f>
        <v>8.3036394234838745E-3</v>
      </c>
      <c r="AB170" s="616">
        <f t="shared" si="219"/>
        <v>-6.9321803476487896E-3</v>
      </c>
      <c r="AC170" s="616">
        <f t="shared" si="219"/>
        <v>-1</v>
      </c>
      <c r="AD170" s="616">
        <f t="shared" si="219"/>
        <v>0</v>
      </c>
      <c r="AE170" s="616">
        <f t="shared" si="219"/>
        <v>-1</v>
      </c>
      <c r="AF170" s="616">
        <f t="shared" si="219"/>
        <v>0</v>
      </c>
      <c r="AG170" s="616">
        <f t="shared" si="219"/>
        <v>-1</v>
      </c>
      <c r="AH170" s="616">
        <f t="shared" si="219"/>
        <v>0</v>
      </c>
      <c r="AI170" s="616">
        <f t="shared" si="219"/>
        <v>24.960050773458317</v>
      </c>
      <c r="AJ170" s="616">
        <f t="shared" si="219"/>
        <v>7.9991316972417473E-2</v>
      </c>
      <c r="AK170" s="616">
        <f t="shared" si="219"/>
        <v>-8.2550321546447938E-2</v>
      </c>
      <c r="AL170" s="616">
        <f t="shared" si="219"/>
        <v>-1</v>
      </c>
      <c r="AM170" s="616">
        <f t="shared" si="219"/>
        <v>0</v>
      </c>
      <c r="AN170" s="616">
        <f t="shared" si="219"/>
        <v>0</v>
      </c>
      <c r="AO170" s="616">
        <f t="shared" si="219"/>
        <v>0</v>
      </c>
      <c r="AP170" s="616">
        <f t="shared" si="219"/>
        <v>0</v>
      </c>
      <c r="AQ170" s="616">
        <f t="shared" si="219"/>
        <v>0</v>
      </c>
      <c r="AR170" s="616">
        <f t="shared" si="219"/>
        <v>0</v>
      </c>
      <c r="AS170" s="616">
        <f t="shared" si="219"/>
        <v>0</v>
      </c>
      <c r="AT170" s="616">
        <f t="shared" si="219"/>
        <v>0</v>
      </c>
      <c r="AU170" s="616">
        <f t="shared" si="219"/>
        <v>0</v>
      </c>
      <c r="AV170" s="565"/>
      <c r="AW170" s="632" t="s">
        <v>55</v>
      </c>
      <c r="AX170" s="632"/>
      <c r="AY170" s="616">
        <f t="shared" ref="AY170:BH170" si="220">(AY72-$AX72)/$AX72</f>
        <v>2.3131634120887909E-2</v>
      </c>
      <c r="AZ170" s="616">
        <f t="shared" si="220"/>
        <v>3.0764305477745158E-2</v>
      </c>
      <c r="BA170" s="616">
        <f t="shared" si="220"/>
        <v>8.9358196763469774E-2</v>
      </c>
      <c r="BB170" s="616">
        <f t="shared" si="220"/>
        <v>0.18685341430650076</v>
      </c>
      <c r="BC170" s="616">
        <f t="shared" si="220"/>
        <v>0.20458490928125703</v>
      </c>
      <c r="BD170" s="616">
        <f t="shared" si="220"/>
        <v>0.27433024863245792</v>
      </c>
      <c r="BE170" s="616">
        <f t="shared" si="220"/>
        <v>0.25374323003742449</v>
      </c>
      <c r="BF170" s="616">
        <f t="shared" si="220"/>
        <v>0.34675858920422903</v>
      </c>
      <c r="BG170" s="616">
        <f t="shared" si="220"/>
        <v>0.35794601976251128</v>
      </c>
      <c r="BH170" s="616">
        <f t="shared" si="220"/>
        <v>0.33346718175438056</v>
      </c>
      <c r="BI170" s="616">
        <f t="shared" si="195"/>
        <v>0.40022444641574267</v>
      </c>
      <c r="BJ170" s="616">
        <f t="shared" ref="BJ170:BS170" si="221">(BJ72-$AX72)/$AX72</f>
        <v>0.39888378919914103</v>
      </c>
      <c r="BK170" s="616">
        <f t="shared" si="221"/>
        <v>0.36095143932736451</v>
      </c>
      <c r="BL170" s="616">
        <f t="shared" si="221"/>
        <v>0.39798475918483361</v>
      </c>
      <c r="BM170" s="616">
        <f t="shared" si="221"/>
        <v>0.47897858526654841</v>
      </c>
      <c r="BN170" s="616">
        <f t="shared" si="221"/>
        <v>0.56816882225187781</v>
      </c>
      <c r="BO170" s="616">
        <f t="shared" si="221"/>
        <v>0.47120954682936511</v>
      </c>
      <c r="BP170" s="616">
        <f t="shared" si="221"/>
        <v>0.56615866253800118</v>
      </c>
      <c r="BQ170" s="616">
        <f t="shared" si="221"/>
        <v>-1</v>
      </c>
      <c r="BR170" s="616">
        <f t="shared" si="221"/>
        <v>-1</v>
      </c>
      <c r="BS170" s="616">
        <f t="shared" si="221"/>
        <v>-1</v>
      </c>
      <c r="BU170" s="632" t="s">
        <v>55</v>
      </c>
      <c r="BV170" s="632"/>
      <c r="BW170" s="616">
        <f t="shared" si="96"/>
        <v>2.3131634120887909E-2</v>
      </c>
      <c r="BX170" s="616">
        <f t="shared" si="97"/>
        <v>7.4601068936897058E-3</v>
      </c>
      <c r="BY170" s="616">
        <f t="shared" si="98"/>
        <v>5.6845091525134978E-2</v>
      </c>
      <c r="BZ170" s="616">
        <f t="shared" si="99"/>
        <v>8.9497850966462178E-2</v>
      </c>
      <c r="CA170" s="616">
        <f t="shared" si="100"/>
        <v>1.4939919926941516E-2</v>
      </c>
      <c r="CB170" s="616">
        <f t="shared" si="101"/>
        <v>5.7899894655675216E-2</v>
      </c>
      <c r="CC170" s="616">
        <f t="shared" si="102"/>
        <v>-1.6155167482782645E-2</v>
      </c>
      <c r="CD170" s="616">
        <f t="shared" si="103"/>
        <v>7.4190118788540163E-2</v>
      </c>
      <c r="CE170" s="616">
        <f t="shared" si="190"/>
        <v>8.3069309139454962E-3</v>
      </c>
      <c r="CF170" s="616">
        <f t="shared" si="191"/>
        <v>-1.8026370453526418E-2</v>
      </c>
      <c r="CG170" s="616">
        <f t="shared" si="197"/>
        <v>5.0062922863637858E-2</v>
      </c>
      <c r="CH170" s="616">
        <f t="shared" si="198"/>
        <v>-9.5745879886142873E-4</v>
      </c>
      <c r="CI170" s="616">
        <f t="shared" si="205"/>
        <v>-2.7116155155027386E-2</v>
      </c>
      <c r="CJ170" s="616">
        <f t="shared" si="206"/>
        <v>2.7211345524401978E-2</v>
      </c>
      <c r="CK170" s="616">
        <f t="shared" si="215"/>
        <v>5.7936129524718417E-2</v>
      </c>
      <c r="CL170" s="616">
        <f t="shared" si="215"/>
        <v>6.03052930406393E-2</v>
      </c>
      <c r="CM170" s="616">
        <f t="shared" si="207"/>
        <v>-6.1829615566058725E-2</v>
      </c>
      <c r="CN170" s="616">
        <f t="shared" si="208"/>
        <v>6.453813184754198E-2</v>
      </c>
      <c r="CO170" s="616">
        <f t="shared" si="209"/>
        <v>-1</v>
      </c>
      <c r="CP170" s="616" t="e">
        <f t="shared" si="210"/>
        <v>#DIV/0!</v>
      </c>
      <c r="CQ170" s="616" t="e">
        <f t="shared" si="211"/>
        <v>#DIV/0!</v>
      </c>
      <c r="CZ170" s="3"/>
      <c r="DA170" s="3"/>
      <c r="DC170" s="41"/>
      <c r="DD170" s="41"/>
      <c r="DE170" s="3"/>
      <c r="DF170" s="118"/>
      <c r="DG170" s="700"/>
      <c r="DH170" s="700"/>
      <c r="DI170" s="700"/>
      <c r="DJ170" s="700"/>
      <c r="DK170" s="43"/>
      <c r="DL170" s="43"/>
      <c r="DS170" s="3"/>
      <c r="DT170" s="3"/>
      <c r="DV170" s="41"/>
      <c r="DW170" s="41"/>
      <c r="DY170" s="118"/>
      <c r="DZ170" s="3"/>
      <c r="EA170" s="486"/>
      <c r="EB170" s="486"/>
      <c r="EC170" s="486"/>
      <c r="ED170" s="486"/>
      <c r="EE170" s="43"/>
      <c r="EF170" s="43"/>
      <c r="EL170" s="3"/>
      <c r="EM170" s="3"/>
      <c r="EO170" s="41"/>
      <c r="EP170" s="41"/>
      <c r="FC170" s="3"/>
      <c r="FE170" s="39"/>
      <c r="FF170" s="39"/>
      <c r="FH170" s="41"/>
      <c r="FI170" s="41"/>
      <c r="FM170" s="3"/>
      <c r="FN170" s="3"/>
      <c r="FO170" s="486"/>
      <c r="FP170" s="486"/>
      <c r="FQ170" s="486"/>
      <c r="FR170" s="486"/>
      <c r="FS170" s="43"/>
      <c r="FT170" s="43"/>
      <c r="FX170" s="3"/>
      <c r="FY170" s="3"/>
      <c r="GA170" s="41"/>
      <c r="GB170" s="41"/>
      <c r="GG170" s="3"/>
      <c r="GH170" s="3"/>
      <c r="GI170" s="486"/>
      <c r="GJ170" s="486"/>
      <c r="GK170" s="486"/>
      <c r="GL170" s="486"/>
      <c r="GM170" s="43"/>
      <c r="GN170" s="43"/>
      <c r="GO170" s="393"/>
      <c r="GS170" s="3"/>
      <c r="GT170" s="3"/>
      <c r="GV170" s="41"/>
      <c r="GW170" s="41"/>
      <c r="HA170" s="3"/>
      <c r="HB170" s="3"/>
      <c r="HC170" s="43"/>
      <c r="HD170" s="43"/>
      <c r="HE170" s="43"/>
      <c r="HF170" s="43"/>
      <c r="HG170" s="43"/>
    </row>
    <row r="171" spans="1:215">
      <c r="A171" s="631" t="s">
        <v>56</v>
      </c>
      <c r="B171" s="631"/>
      <c r="C171" s="618">
        <f t="shared" si="128"/>
        <v>0.50591230409627297</v>
      </c>
      <c r="D171" s="618">
        <f t="shared" si="129"/>
        <v>0.69514368273908367</v>
      </c>
      <c r="E171" s="618">
        <f t="shared" si="130"/>
        <v>1.1574060938853812</v>
      </c>
      <c r="F171" s="618">
        <f t="shared" si="131"/>
        <v>1.2925444732287641</v>
      </c>
      <c r="G171" s="618">
        <f t="shared" si="132"/>
        <v>1.9541850994223005</v>
      </c>
      <c r="H171" s="618">
        <f t="shared" si="133"/>
        <v>2.6988664264497584</v>
      </c>
      <c r="I171" s="618">
        <f t="shared" si="134"/>
        <v>2.6850710502251207</v>
      </c>
      <c r="J171" s="618">
        <f t="shared" si="135"/>
        <v>2.6328244183178846</v>
      </c>
      <c r="K171" s="618">
        <f t="shared" si="136"/>
        <v>1.957424426611261</v>
      </c>
      <c r="L171" s="618">
        <f t="shared" si="137"/>
        <v>1.9382356279067736</v>
      </c>
      <c r="M171" s="618">
        <f t="shared" si="138"/>
        <v>2.1003531232199251</v>
      </c>
      <c r="N171" s="618">
        <f t="shared" si="139"/>
        <v>2.444892698991918</v>
      </c>
      <c r="O171" s="618">
        <f t="shared" si="140"/>
        <v>3.5741646060537278</v>
      </c>
      <c r="P171" s="618">
        <f t="shared" si="141"/>
        <v>4.0500761681110964</v>
      </c>
      <c r="Q171" s="618">
        <f t="shared" si="142"/>
        <v>4.6407816943367148</v>
      </c>
      <c r="R171" s="618">
        <f t="shared" si="143"/>
        <v>4.4833777829187005</v>
      </c>
      <c r="S171" s="618">
        <f t="shared" si="144"/>
        <v>4.6521839950938126</v>
      </c>
      <c r="T171" s="618">
        <f t="shared" si="145"/>
        <v>5.2989325552109667</v>
      </c>
      <c r="U171" s="618">
        <f t="shared" si="146"/>
        <v>6.0478986112960147</v>
      </c>
      <c r="V171" s="618">
        <f t="shared" si="147"/>
        <v>5.6723521760290874</v>
      </c>
      <c r="W171" s="618">
        <f t="shared" si="148"/>
        <v>5.2582251738880865</v>
      </c>
      <c r="Y171" s="631" t="s">
        <v>56</v>
      </c>
      <c r="Z171" s="631"/>
      <c r="AA171" s="618">
        <f t="shared" ref="AA171:AU171" si="222">IFERROR((AA73-Z73)/Z73,0)</f>
        <v>0.50591230409627297</v>
      </c>
      <c r="AB171" s="618">
        <f t="shared" si="222"/>
        <v>0.12565896309371893</v>
      </c>
      <c r="AC171" s="618">
        <f t="shared" si="222"/>
        <v>0.27269807028944859</v>
      </c>
      <c r="AD171" s="618">
        <f t="shared" si="222"/>
        <v>6.2639286931838373E-2</v>
      </c>
      <c r="AE171" s="618">
        <f t="shared" si="222"/>
        <v>0.28860536138768894</v>
      </c>
      <c r="AF171" s="618">
        <f t="shared" si="222"/>
        <v>0.25207673248811746</v>
      </c>
      <c r="AG171" s="618">
        <f t="shared" si="222"/>
        <v>-3.7296227098091413E-3</v>
      </c>
      <c r="AH171" s="618">
        <f t="shared" si="222"/>
        <v>-1.4177917113441883E-2</v>
      </c>
      <c r="AI171" s="618">
        <f t="shared" si="222"/>
        <v>-0.18591594691475788</v>
      </c>
      <c r="AJ171" s="618">
        <f t="shared" si="222"/>
        <v>-6.4883479462142738E-3</v>
      </c>
      <c r="AK171" s="618">
        <f t="shared" si="222"/>
        <v>5.5175117262002964E-2</v>
      </c>
      <c r="AL171" s="618">
        <f t="shared" si="222"/>
        <v>0.11112913983622801</v>
      </c>
      <c r="AM171" s="618">
        <f t="shared" si="222"/>
        <v>0.32781047357215787</v>
      </c>
      <c r="AN171" s="618">
        <f t="shared" si="222"/>
        <v>0.10404338344700534</v>
      </c>
      <c r="AO171" s="618">
        <f t="shared" si="222"/>
        <v>0.11696962710298346</v>
      </c>
      <c r="AP171" s="618">
        <f t="shared" si="222"/>
        <v>-2.7904627398724867E-2</v>
      </c>
      <c r="AQ171" s="618">
        <f t="shared" si="222"/>
        <v>3.0785077895045206E-2</v>
      </c>
      <c r="AR171" s="618">
        <f t="shared" si="222"/>
        <v>0.11442454114702248</v>
      </c>
      <c r="AS171" s="618">
        <f t="shared" si="222"/>
        <v>0.11890364748634187</v>
      </c>
      <c r="AT171" s="618">
        <f t="shared" si="222"/>
        <v>-5.3284880498283546E-2</v>
      </c>
      <c r="AU171" s="618">
        <f t="shared" si="222"/>
        <v>-6.2066118696309576E-2</v>
      </c>
      <c r="AV171" s="565"/>
      <c r="AW171" s="631" t="s">
        <v>56</v>
      </c>
      <c r="AX171" s="631"/>
      <c r="AY171" s="618">
        <f t="shared" ref="AY171:BH171" si="223">(AY73-$AX73)/$AX73</f>
        <v>3.9415360641818888E-3</v>
      </c>
      <c r="AZ171" s="618">
        <f t="shared" si="223"/>
        <v>7.7122548407126221E-2</v>
      </c>
      <c r="BA171" s="618">
        <f t="shared" si="223"/>
        <v>7.8703046942690535E-2</v>
      </c>
      <c r="BB171" s="618">
        <f t="shared" si="223"/>
        <v>0.11045122922018243</v>
      </c>
      <c r="BC171" s="618">
        <f t="shared" si="223"/>
        <v>0.1447467260261415</v>
      </c>
      <c r="BD171" s="618">
        <f t="shared" si="223"/>
        <v>0.21369054617882693</v>
      </c>
      <c r="BE171" s="618">
        <f t="shared" si="223"/>
        <v>0.24755009512829623</v>
      </c>
      <c r="BF171" s="618">
        <f t="shared" si="223"/>
        <v>0.31931160000501968</v>
      </c>
      <c r="BG171" s="618">
        <f t="shared" si="223"/>
        <v>0.34931467796602761</v>
      </c>
      <c r="BH171" s="618">
        <f t="shared" si="223"/>
        <v>0.41759871095293072</v>
      </c>
      <c r="BI171" s="618">
        <f t="shared" si="195"/>
        <v>0.45584691191779952</v>
      </c>
      <c r="BJ171" s="618">
        <f t="shared" ref="BJ171:BS171" si="224">(BJ73-$AX73)/$AX73</f>
        <v>0.43176849968463338</v>
      </c>
      <c r="BK171" s="618">
        <f t="shared" si="224"/>
        <v>0.42221836349866976</v>
      </c>
      <c r="BL171" s="618">
        <f t="shared" si="224"/>
        <v>0.45296165595802668</v>
      </c>
      <c r="BM171" s="618">
        <f t="shared" si="224"/>
        <v>0.50740308276243606</v>
      </c>
      <c r="BN171" s="618">
        <f t="shared" si="224"/>
        <v>0.48990330919342545</v>
      </c>
      <c r="BO171" s="618">
        <f t="shared" si="224"/>
        <v>0.42288594275497204</v>
      </c>
      <c r="BP171" s="618">
        <f t="shared" si="224"/>
        <v>0.55987154201686173</v>
      </c>
      <c r="BQ171" s="618">
        <f t="shared" si="224"/>
        <v>0.57610079561847849</v>
      </c>
      <c r="BR171" s="618">
        <f t="shared" si="224"/>
        <v>0.58568842591178016</v>
      </c>
      <c r="BS171" s="618">
        <f t="shared" si="224"/>
        <v>0.51749684087848669</v>
      </c>
      <c r="BU171" s="631" t="s">
        <v>56</v>
      </c>
      <c r="BV171" s="631"/>
      <c r="BW171" s="618">
        <f t="shared" si="96"/>
        <v>3.9415360641818888E-3</v>
      </c>
      <c r="BX171" s="618">
        <f t="shared" si="97"/>
        <v>7.289369919870102E-2</v>
      </c>
      <c r="BY171" s="618">
        <f t="shared" si="98"/>
        <v>1.4673339982545117E-3</v>
      </c>
      <c r="BZ171" s="618">
        <f t="shared" si="99"/>
        <v>2.9431809215218256E-2</v>
      </c>
      <c r="CA171" s="618">
        <f t="shared" si="100"/>
        <v>3.0884289110151359E-2</v>
      </c>
      <c r="CB171" s="618">
        <f t="shared" si="101"/>
        <v>6.0226265413325167E-2</v>
      </c>
      <c r="CC171" s="618">
        <f t="shared" si="102"/>
        <v>2.7898008315276432E-2</v>
      </c>
      <c r="CD171" s="618">
        <f t="shared" si="103"/>
        <v>5.7521942531168317E-2</v>
      </c>
      <c r="CE171" s="618">
        <f t="shared" si="190"/>
        <v>2.2741464534150838E-2</v>
      </c>
      <c r="CF171" s="618">
        <f t="shared" si="191"/>
        <v>5.060645533763497E-2</v>
      </c>
      <c r="CG171" s="618">
        <f t="shared" si="197"/>
        <v>2.698097893948976E-2</v>
      </c>
      <c r="CH171" s="618">
        <f t="shared" si="198"/>
        <v>-1.6539110009477206E-2</v>
      </c>
      <c r="CI171" s="618">
        <f t="shared" si="205"/>
        <v>-6.6701678295528607E-3</v>
      </c>
      <c r="CJ171" s="618">
        <f t="shared" si="206"/>
        <v>2.1616436159443298E-2</v>
      </c>
      <c r="CK171" s="618">
        <f t="shared" si="215"/>
        <v>3.746927978530365E-2</v>
      </c>
      <c r="CL171" s="618">
        <f t="shared" si="215"/>
        <v>-1.1609219703160584E-2</v>
      </c>
      <c r="CM171" s="618">
        <f t="shared" si="207"/>
        <v>-4.4981017241134881E-2</v>
      </c>
      <c r="CN171" s="618">
        <f t="shared" si="208"/>
        <v>9.6273070908733605E-2</v>
      </c>
      <c r="CO171" s="618">
        <f t="shared" si="209"/>
        <v>1.0404224427758209E-2</v>
      </c>
      <c r="CP171" s="618">
        <f t="shared" si="210"/>
        <v>6.08313270315901E-3</v>
      </c>
      <c r="CQ171" s="618">
        <f t="shared" si="211"/>
        <v>-4.3004403588354945E-2</v>
      </c>
      <c r="CZ171" s="3"/>
      <c r="DA171" s="3"/>
      <c r="DC171" s="41"/>
      <c r="DD171" s="41"/>
      <c r="DE171" s="3"/>
      <c r="DF171" s="118"/>
      <c r="DG171" s="700"/>
      <c r="DH171" s="700"/>
      <c r="DI171" s="700"/>
      <c r="DJ171" s="700"/>
      <c r="DK171" s="43"/>
      <c r="DL171" s="43"/>
      <c r="DS171" s="3"/>
      <c r="DT171" s="3"/>
      <c r="DV171" s="41"/>
      <c r="DW171" s="41"/>
      <c r="DY171" s="118"/>
      <c r="DZ171" s="3"/>
      <c r="EA171" s="486"/>
      <c r="EB171" s="486"/>
      <c r="EC171" s="486"/>
      <c r="ED171" s="486"/>
      <c r="EE171" s="43"/>
      <c r="EF171" s="43"/>
      <c r="EL171" s="3"/>
      <c r="EM171" s="3"/>
      <c r="EO171" s="41"/>
      <c r="EP171" s="41"/>
      <c r="FC171" s="3"/>
      <c r="FE171" s="39"/>
      <c r="FF171" s="39"/>
      <c r="FH171" s="41"/>
      <c r="FI171" s="41"/>
      <c r="FM171" s="3"/>
      <c r="FN171" s="3"/>
      <c r="FO171" s="486"/>
      <c r="FP171" s="486"/>
      <c r="FQ171" s="486"/>
      <c r="FR171" s="486"/>
      <c r="FS171" s="43"/>
      <c r="FT171" s="43"/>
      <c r="FX171" s="3"/>
      <c r="FY171" s="3"/>
      <c r="GA171" s="41"/>
      <c r="GB171" s="41"/>
      <c r="GG171" s="3"/>
      <c r="GH171" s="3"/>
      <c r="GI171" s="486"/>
      <c r="GJ171" s="486"/>
      <c r="GK171" s="486"/>
      <c r="GL171" s="486"/>
      <c r="GM171" s="43"/>
      <c r="GN171" s="43"/>
      <c r="GO171" s="393"/>
      <c r="GS171" s="3"/>
      <c r="GT171" s="3"/>
      <c r="GV171" s="41"/>
      <c r="GW171" s="41"/>
      <c r="HA171" s="3"/>
      <c r="HB171" s="3"/>
      <c r="HC171" s="43"/>
      <c r="HD171" s="43"/>
      <c r="HE171" s="43"/>
      <c r="HF171" s="43"/>
      <c r="HG171" s="43"/>
    </row>
    <row r="172" spans="1:215">
      <c r="A172" s="632" t="s">
        <v>57</v>
      </c>
      <c r="B172" s="632"/>
      <c r="C172" s="616">
        <f t="shared" si="128"/>
        <v>5.316676992455021E-2</v>
      </c>
      <c r="D172" s="616">
        <f t="shared" si="129"/>
        <v>7.2788365499138127E-2</v>
      </c>
      <c r="E172" s="616">
        <f t="shared" si="130"/>
        <v>4.4394581308300499E-2</v>
      </c>
      <c r="F172" s="616">
        <f t="shared" si="131"/>
        <v>6.7823451841469332E-2</v>
      </c>
      <c r="G172" s="616">
        <f t="shared" si="132"/>
        <v>0.16145729252077071</v>
      </c>
      <c r="H172" s="616">
        <f t="shared" si="133"/>
        <v>0.58192079702839938</v>
      </c>
      <c r="I172" s="616">
        <f t="shared" si="134"/>
        <v>0.47503110570298329</v>
      </c>
      <c r="J172" s="616">
        <f t="shared" si="135"/>
        <v>0.63471789197809014</v>
      </c>
      <c r="K172" s="616">
        <f t="shared" si="136"/>
        <v>0.58519022798808795</v>
      </c>
      <c r="L172" s="616">
        <f t="shared" si="137"/>
        <v>-0.76146649573915115</v>
      </c>
      <c r="M172" s="616">
        <f t="shared" si="138"/>
        <v>0.76256748021756449</v>
      </c>
      <c r="N172" s="616">
        <f t="shared" si="139"/>
        <v>-0.36870331786537042</v>
      </c>
      <c r="O172" s="616">
        <f t="shared" si="140"/>
        <v>-0.76410506092276986</v>
      </c>
      <c r="P172" s="616">
        <f t="shared" si="141"/>
        <v>0.24330266397917838</v>
      </c>
      <c r="Q172" s="616">
        <f t="shared" si="142"/>
        <v>-0.41242893405269354</v>
      </c>
      <c r="R172" s="616">
        <f t="shared" si="143"/>
        <v>-1</v>
      </c>
      <c r="S172" s="616">
        <f t="shared" si="144"/>
        <v>-0.47162795593860252</v>
      </c>
      <c r="T172" s="616">
        <f t="shared" si="145"/>
        <v>-1</v>
      </c>
      <c r="U172" s="616">
        <f t="shared" si="146"/>
        <v>0.74768770684434327</v>
      </c>
      <c r="V172" s="616">
        <f t="shared" si="147"/>
        <v>0.84803717555949298</v>
      </c>
      <c r="W172" s="616">
        <f t="shared" si="148"/>
        <v>0.85486908081681279</v>
      </c>
      <c r="Y172" s="632" t="s">
        <v>57</v>
      </c>
      <c r="Z172" s="632"/>
      <c r="AA172" s="616">
        <f t="shared" ref="AA172:AU172" si="225">IFERROR((AA74-Z74)/Z74,0)</f>
        <v>5.316676992455021E-2</v>
      </c>
      <c r="AB172" s="616">
        <f t="shared" si="225"/>
        <v>1.8631043187959325E-2</v>
      </c>
      <c r="AC172" s="616">
        <f t="shared" si="225"/>
        <v>-2.6467274537999678E-2</v>
      </c>
      <c r="AD172" s="616">
        <f t="shared" si="225"/>
        <v>2.2432968298073487E-2</v>
      </c>
      <c r="AE172" s="616">
        <f t="shared" si="225"/>
        <v>8.7686630704569307E-2</v>
      </c>
      <c r="AF172" s="616">
        <f t="shared" si="225"/>
        <v>0.36201374533115638</v>
      </c>
      <c r="AG172" s="616">
        <f t="shared" si="225"/>
        <v>-6.7569559440779747E-2</v>
      </c>
      <c r="AH172" s="616">
        <f t="shared" si="225"/>
        <v>0.10825994493112871</v>
      </c>
      <c r="AI172" s="616">
        <f t="shared" si="225"/>
        <v>-3.0297376833669599E-2</v>
      </c>
      <c r="AJ172" s="616">
        <f t="shared" si="225"/>
        <v>-0.84952373535408821</v>
      </c>
      <c r="AK172" s="616">
        <f t="shared" si="225"/>
        <v>6.3891820173408629</v>
      </c>
      <c r="AL172" s="616">
        <f t="shared" si="225"/>
        <v>-0.6418311983966114</v>
      </c>
      <c r="AM172" s="616">
        <f t="shared" si="225"/>
        <v>-0.62633268041329027</v>
      </c>
      <c r="AN172" s="616">
        <f t="shared" si="225"/>
        <v>4.2705779481438171</v>
      </c>
      <c r="AO172" s="616">
        <f t="shared" si="225"/>
        <v>-0.52741107779276297</v>
      </c>
      <c r="AP172" s="616">
        <f t="shared" si="225"/>
        <v>-1</v>
      </c>
      <c r="AQ172" s="616">
        <f t="shared" si="225"/>
        <v>0</v>
      </c>
      <c r="AR172" s="616">
        <f t="shared" si="225"/>
        <v>-1</v>
      </c>
      <c r="AS172" s="616">
        <f t="shared" si="225"/>
        <v>0</v>
      </c>
      <c r="AT172" s="616">
        <f t="shared" si="225"/>
        <v>5.7418421107019502E-2</v>
      </c>
      <c r="AU172" s="616">
        <f t="shared" si="225"/>
        <v>3.6968440611869413E-3</v>
      </c>
      <c r="AV172" s="565"/>
      <c r="AW172" s="632" t="s">
        <v>57</v>
      </c>
      <c r="AX172" s="632"/>
      <c r="AY172" s="616">
        <f t="shared" ref="AY172:BH172" si="226">(AY74-$AX74)/$AX74</f>
        <v>0.10454075870135772</v>
      </c>
      <c r="AZ172" s="616">
        <f t="shared" si="226"/>
        <v>7.2788365499138405E-2</v>
      </c>
      <c r="BA172" s="616">
        <f t="shared" si="226"/>
        <v>0.17685438186447541</v>
      </c>
      <c r="BB172" s="616">
        <f t="shared" si="226"/>
        <v>0.30656446749708255</v>
      </c>
      <c r="BC172" s="616">
        <f t="shared" si="226"/>
        <v>0.27901943310519028</v>
      </c>
      <c r="BD172" s="616">
        <f t="shared" si="226"/>
        <v>0.37119588785576108</v>
      </c>
      <c r="BE172" s="616">
        <f t="shared" si="226"/>
        <v>0.37364315830433054</v>
      </c>
      <c r="BF172" s="616">
        <f t="shared" si="226"/>
        <v>0.44787722921162532</v>
      </c>
      <c r="BG172" s="616">
        <f t="shared" si="226"/>
        <v>0.50720988391621702</v>
      </c>
      <c r="BH172" s="616">
        <f t="shared" si="226"/>
        <v>0.49235566950723281</v>
      </c>
      <c r="BI172" s="616">
        <f t="shared" si="195"/>
        <v>0.64157555532514332</v>
      </c>
      <c r="BJ172" s="616">
        <f t="shared" ref="BJ172:BS172" si="227">(BJ74-$AX74)/$AX74</f>
        <v>0.46924883920810351</v>
      </c>
      <c r="BK172" s="616">
        <f t="shared" si="227"/>
        <v>0.33813156989966331</v>
      </c>
      <c r="BL172" s="616">
        <f t="shared" si="227"/>
        <v>0.41719720374039693</v>
      </c>
      <c r="BM172" s="616">
        <f t="shared" si="227"/>
        <v>0.47053472377779609</v>
      </c>
      <c r="BN172" s="616">
        <f t="shared" si="227"/>
        <v>-1</v>
      </c>
      <c r="BO172" s="616">
        <f t="shared" si="227"/>
        <v>0.48126955211548478</v>
      </c>
      <c r="BP172" s="616">
        <f t="shared" si="227"/>
        <v>-1</v>
      </c>
      <c r="BQ172" s="616">
        <f t="shared" si="227"/>
        <v>0.60400131189307493</v>
      </c>
      <c r="BR172" s="616">
        <f t="shared" si="227"/>
        <v>0.60796797323449236</v>
      </c>
      <c r="BS172" s="616">
        <f t="shared" si="227"/>
        <v>0.6079655339471659</v>
      </c>
      <c r="BU172" s="632" t="s">
        <v>57</v>
      </c>
      <c r="BV172" s="632"/>
      <c r="BW172" s="616">
        <f t="shared" si="96"/>
        <v>0.10454075870135772</v>
      </c>
      <c r="BX172" s="616">
        <f t="shared" si="97"/>
        <v>-2.8747144867294506E-2</v>
      </c>
      <c r="BY172" s="616">
        <f t="shared" si="98"/>
        <v>9.7005168691327109E-2</v>
      </c>
      <c r="BZ172" s="616">
        <f t="shared" si="99"/>
        <v>0.11021761709134237</v>
      </c>
      <c r="CA172" s="616">
        <f t="shared" si="100"/>
        <v>-2.1082032365887647E-2</v>
      </c>
      <c r="CB172" s="616">
        <f t="shared" si="101"/>
        <v>7.2068064303593665E-2</v>
      </c>
      <c r="CC172" s="616">
        <f t="shared" si="102"/>
        <v>1.7847708487490077E-3</v>
      </c>
      <c r="CD172" s="616">
        <f t="shared" si="103"/>
        <v>5.4041743271179471E-2</v>
      </c>
      <c r="CE172" s="616">
        <f t="shared" si="190"/>
        <v>4.0979064735273525E-2</v>
      </c>
      <c r="CF172" s="616">
        <f t="shared" si="191"/>
        <v>-9.8554385606788603E-3</v>
      </c>
      <c r="CG172" s="616">
        <f t="shared" si="197"/>
        <v>9.9989492362220891E-2</v>
      </c>
      <c r="CH172" s="616">
        <f t="shared" si="198"/>
        <v>-0.10497641461462151</v>
      </c>
      <c r="CI172" s="616">
        <f t="shared" si="205"/>
        <v>-8.9241022901954362E-2</v>
      </c>
      <c r="CJ172" s="616">
        <f t="shared" si="206"/>
        <v>5.9086591796546746E-2</v>
      </c>
      <c r="CK172" s="616">
        <f t="shared" si="215"/>
        <v>3.7635919614169316E-2</v>
      </c>
      <c r="CL172" s="616">
        <f t="shared" si="215"/>
        <v>-1</v>
      </c>
      <c r="CM172" s="616" t="e">
        <f t="shared" si="207"/>
        <v>#DIV/0!</v>
      </c>
      <c r="CN172" s="616">
        <f t="shared" si="208"/>
        <v>-1</v>
      </c>
      <c r="CO172" s="616" t="e">
        <f t="shared" si="209"/>
        <v>#DIV/0!</v>
      </c>
      <c r="CP172" s="616">
        <f t="shared" si="210"/>
        <v>2.4729788635495763E-3</v>
      </c>
      <c r="CQ172" s="616">
        <f t="shared" si="211"/>
        <v>-1.5169999446957504E-6</v>
      </c>
      <c r="CZ172" s="3"/>
      <c r="DA172" s="3"/>
      <c r="DC172" s="41"/>
      <c r="DD172" s="41"/>
      <c r="DE172" s="3"/>
      <c r="DF172" s="118"/>
      <c r="DG172" s="700"/>
      <c r="DH172" s="700"/>
      <c r="DI172" s="700"/>
      <c r="DJ172" s="700"/>
      <c r="DK172" s="43"/>
      <c r="DL172" s="43"/>
      <c r="DS172" s="3"/>
      <c r="DT172" s="3"/>
      <c r="DV172" s="41"/>
      <c r="DW172" s="41"/>
      <c r="DY172" s="118"/>
      <c r="DZ172" s="3"/>
      <c r="EA172" s="486"/>
      <c r="EB172" s="486"/>
      <c r="EC172" s="486"/>
      <c r="ED172" s="486"/>
      <c r="EE172" s="43"/>
      <c r="EF172" s="43"/>
      <c r="EL172" s="3"/>
      <c r="EM172" s="3"/>
      <c r="EO172" s="41"/>
      <c r="EP172" s="41"/>
      <c r="FC172" s="3"/>
      <c r="FE172" s="39"/>
      <c r="FF172" s="39"/>
      <c r="FH172" s="41"/>
      <c r="FI172" s="41"/>
      <c r="FM172" s="3"/>
      <c r="FN172" s="3"/>
      <c r="FO172" s="486"/>
      <c r="FP172" s="486"/>
      <c r="FQ172" s="486"/>
      <c r="FR172" s="486"/>
      <c r="FS172" s="43"/>
      <c r="FT172" s="43"/>
      <c r="FX172" s="3"/>
      <c r="FY172" s="3"/>
      <c r="GA172" s="41"/>
      <c r="GB172" s="41"/>
      <c r="GG172" s="3"/>
      <c r="GH172" s="3"/>
      <c r="GI172" s="486"/>
      <c r="GJ172" s="486"/>
      <c r="GK172" s="486"/>
      <c r="GL172" s="486"/>
      <c r="GM172" s="43"/>
      <c r="GN172" s="43"/>
      <c r="GO172" s="393"/>
      <c r="GS172" s="3"/>
      <c r="GT172" s="3"/>
      <c r="GV172" s="41"/>
      <c r="GW172" s="41"/>
      <c r="HA172" s="3"/>
      <c r="HB172" s="3"/>
      <c r="HC172" s="43"/>
      <c r="HD172" s="43"/>
      <c r="HE172" s="43"/>
      <c r="HF172" s="43"/>
      <c r="HG172" s="43"/>
    </row>
    <row r="173" spans="1:215">
      <c r="A173" s="631" t="s">
        <v>58</v>
      </c>
      <c r="B173" s="631"/>
      <c r="C173" s="618">
        <f t="shared" si="128"/>
        <v>0.11098504468217978</v>
      </c>
      <c r="D173" s="618">
        <f t="shared" si="129"/>
        <v>0.20169048409157561</v>
      </c>
      <c r="E173" s="618">
        <f t="shared" si="130"/>
        <v>0.2806541876118957</v>
      </c>
      <c r="F173" s="618">
        <f t="shared" si="131"/>
        <v>0.23769842733007818</v>
      </c>
      <c r="G173" s="618">
        <f t="shared" si="132"/>
        <v>0.47629992104753371</v>
      </c>
      <c r="H173" s="618">
        <f t="shared" si="133"/>
        <v>0.55220268016993801</v>
      </c>
      <c r="I173" s="618">
        <f t="shared" si="134"/>
        <v>0.61186288607843853</v>
      </c>
      <c r="J173" s="618">
        <f t="shared" si="135"/>
        <v>0.6429610276813551</v>
      </c>
      <c r="K173" s="618">
        <f t="shared" si="136"/>
        <v>0.70151601611356063</v>
      </c>
      <c r="L173" s="618">
        <f t="shared" si="137"/>
        <v>0.68649667012559257</v>
      </c>
      <c r="M173" s="618">
        <f t="shared" si="138"/>
        <v>0.80419378645845241</v>
      </c>
      <c r="N173" s="618">
        <f t="shared" si="139"/>
        <v>1.1557244635007258</v>
      </c>
      <c r="O173" s="618">
        <f t="shared" si="140"/>
        <v>1.5418384277865862</v>
      </c>
      <c r="P173" s="618">
        <f t="shared" si="141"/>
        <v>0.9683787470963463</v>
      </c>
      <c r="Q173" s="618">
        <f t="shared" si="142"/>
        <v>1.6458239178566603</v>
      </c>
      <c r="R173" s="618">
        <f t="shared" si="143"/>
        <v>1.2280126160071589</v>
      </c>
      <c r="S173" s="618">
        <f t="shared" si="144"/>
        <v>1.0195364337247013</v>
      </c>
      <c r="T173" s="618">
        <f t="shared" si="145"/>
        <v>1.2202963438979813</v>
      </c>
      <c r="U173" s="618">
        <f t="shared" si="146"/>
        <v>-1</v>
      </c>
      <c r="V173" s="618">
        <f t="shared" si="147"/>
        <v>-1</v>
      </c>
      <c r="W173" s="618">
        <f t="shared" si="148"/>
        <v>-1</v>
      </c>
      <c r="Y173" s="631" t="s">
        <v>58</v>
      </c>
      <c r="Z173" s="631"/>
      <c r="AA173" s="618">
        <f t="shared" ref="AA173:AU173" si="228">IFERROR((AA75-Z75)/Z75,0)</f>
        <v>0.11098504468217978</v>
      </c>
      <c r="AB173" s="618">
        <f t="shared" si="228"/>
        <v>8.1644158797244668E-2</v>
      </c>
      <c r="AC173" s="618">
        <f t="shared" si="228"/>
        <v>6.5710517446606151E-2</v>
      </c>
      <c r="AD173" s="618">
        <f t="shared" si="228"/>
        <v>-3.354204491527836E-2</v>
      </c>
      <c r="AE173" s="618">
        <f t="shared" si="228"/>
        <v>0.19277837674251452</v>
      </c>
      <c r="AF173" s="618">
        <f t="shared" si="228"/>
        <v>5.1414186264093435E-2</v>
      </c>
      <c r="AG173" s="618">
        <f t="shared" si="228"/>
        <v>3.8435834875616144E-2</v>
      </c>
      <c r="AH173" s="618">
        <f t="shared" si="228"/>
        <v>1.9293292172373504E-2</v>
      </c>
      <c r="AI173" s="618">
        <f t="shared" si="228"/>
        <v>3.563991320892243E-2</v>
      </c>
      <c r="AJ173" s="618">
        <f t="shared" si="228"/>
        <v>-8.8270376803585918E-3</v>
      </c>
      <c r="AK173" s="618">
        <f t="shared" si="228"/>
        <v>6.9787932830068983E-2</v>
      </c>
      <c r="AL173" s="618">
        <f t="shared" si="228"/>
        <v>0.19484086447959206</v>
      </c>
      <c r="AM173" s="618">
        <f t="shared" si="228"/>
        <v>0.1791109999553662</v>
      </c>
      <c r="AN173" s="618">
        <f t="shared" si="228"/>
        <v>-0.22560823474118463</v>
      </c>
      <c r="AO173" s="618">
        <f t="shared" si="228"/>
        <v>0.34416403436566617</v>
      </c>
      <c r="AP173" s="618">
        <f t="shared" si="228"/>
        <v>-0.1579134949342976</v>
      </c>
      <c r="AQ173" s="618">
        <f t="shared" si="228"/>
        <v>-9.3570467592804615E-2</v>
      </c>
      <c r="AR173" s="618">
        <f t="shared" si="228"/>
        <v>9.9408907321870563E-2</v>
      </c>
      <c r="AS173" s="618">
        <f t="shared" si="228"/>
        <v>-1</v>
      </c>
      <c r="AT173" s="618">
        <f t="shared" si="228"/>
        <v>0</v>
      </c>
      <c r="AU173" s="618">
        <f t="shared" si="228"/>
        <v>0</v>
      </c>
      <c r="AV173" s="565"/>
      <c r="AW173" s="631" t="s">
        <v>58</v>
      </c>
      <c r="AX173" s="631"/>
      <c r="AY173" s="618">
        <f t="shared" ref="AY173:BH173" si="229">(AY75-$AX75)/$AX75</f>
        <v>7.7907816385781054E-3</v>
      </c>
      <c r="AZ173" s="618">
        <f t="shared" si="229"/>
        <v>-3.6035242109149157E-2</v>
      </c>
      <c r="BA173" s="618">
        <f t="shared" si="229"/>
        <v>7.0586405849470193E-2</v>
      </c>
      <c r="BB173" s="618">
        <f t="shared" si="229"/>
        <v>6.549690700589339E-2</v>
      </c>
      <c r="BC173" s="618">
        <f t="shared" si="229"/>
        <v>0.1264810267123572</v>
      </c>
      <c r="BD173" s="618">
        <f t="shared" si="229"/>
        <v>0.14969049447369634</v>
      </c>
      <c r="BE173" s="618">
        <f t="shared" si="229"/>
        <v>0.1488277402329245</v>
      </c>
      <c r="BF173" s="618">
        <f t="shared" si="229"/>
        <v>0.1969120442754704</v>
      </c>
      <c r="BG173" s="618">
        <f t="shared" si="229"/>
        <v>0.24183774073447245</v>
      </c>
      <c r="BH173" s="618">
        <f t="shared" si="229"/>
        <v>0.27988320572103709</v>
      </c>
      <c r="BI173" s="618">
        <f t="shared" si="195"/>
        <v>0.33174707504738937</v>
      </c>
      <c r="BJ173" s="618">
        <f t="shared" ref="BJ173:BS173" si="230">(BJ75-$AX75)/$AX75</f>
        <v>0.29210103055526865</v>
      </c>
      <c r="BK173" s="618">
        <f t="shared" si="230"/>
        <v>0.25970157662428872</v>
      </c>
      <c r="BL173" s="618">
        <f t="shared" si="230"/>
        <v>0.26722589655147944</v>
      </c>
      <c r="BM173" s="618">
        <f t="shared" si="230"/>
        <v>0.31041355727873315</v>
      </c>
      <c r="BN173" s="618">
        <f t="shared" si="230"/>
        <v>0.28021047154447715</v>
      </c>
      <c r="BO173" s="618">
        <f t="shared" si="230"/>
        <v>0.28092067731429493</v>
      </c>
      <c r="BP173" s="618">
        <f t="shared" si="230"/>
        <v>0.40915036616442391</v>
      </c>
      <c r="BQ173" s="618">
        <f t="shared" si="230"/>
        <v>-1</v>
      </c>
      <c r="BR173" s="618">
        <f t="shared" si="230"/>
        <v>-1</v>
      </c>
      <c r="BS173" s="618">
        <f t="shared" si="230"/>
        <v>-1</v>
      </c>
      <c r="BU173" s="631" t="s">
        <v>58</v>
      </c>
      <c r="BV173" s="631"/>
      <c r="BW173" s="618">
        <f t="shared" si="96"/>
        <v>7.7907816385781054E-3</v>
      </c>
      <c r="BX173" s="618">
        <f t="shared" si="97"/>
        <v>-4.3487224279299373E-2</v>
      </c>
      <c r="BY173" s="618">
        <f t="shared" si="98"/>
        <v>0.11060741286009966</v>
      </c>
      <c r="BZ173" s="618">
        <f t="shared" si="99"/>
        <v>-4.7539356148824565E-3</v>
      </c>
      <c r="CA173" s="618">
        <f t="shared" si="100"/>
        <v>5.723537938541054E-2</v>
      </c>
      <c r="CB173" s="618">
        <f t="shared" si="101"/>
        <v>2.0603514139138367E-2</v>
      </c>
      <c r="CC173" s="618">
        <f t="shared" si="102"/>
        <v>-7.5042304421835137E-4</v>
      </c>
      <c r="CD173" s="618">
        <f t="shared" si="103"/>
        <v>4.1855103562172702E-2</v>
      </c>
      <c r="CE173" s="618">
        <f t="shared" si="190"/>
        <v>3.7534668210475755E-2</v>
      </c>
      <c r="CF173" s="618">
        <f t="shared" si="191"/>
        <v>3.0636421924222602E-2</v>
      </c>
      <c r="CG173" s="618">
        <f t="shared" si="197"/>
        <v>4.0522345394112882E-2</v>
      </c>
      <c r="CH173" s="618">
        <f t="shared" si="198"/>
        <v>-2.9769950492070714E-2</v>
      </c>
      <c r="CI173" s="618">
        <f t="shared" si="205"/>
        <v>-2.5075015935136714E-2</v>
      </c>
      <c r="CJ173" s="618">
        <f t="shared" si="206"/>
        <v>5.9730971738196966E-3</v>
      </c>
      <c r="CK173" s="618">
        <f t="shared" si="215"/>
        <v>3.4080475189767589E-2</v>
      </c>
      <c r="CL173" s="618">
        <f t="shared" si="215"/>
        <v>-2.3048514391881887E-2</v>
      </c>
      <c r="CM173" s="618">
        <f t="shared" si="207"/>
        <v>5.5475703847431034E-4</v>
      </c>
      <c r="CN173" s="618">
        <f t="shared" si="208"/>
        <v>0.1001074392201928</v>
      </c>
      <c r="CO173" s="618">
        <f t="shared" si="209"/>
        <v>-1</v>
      </c>
      <c r="CP173" s="618" t="e">
        <f t="shared" si="210"/>
        <v>#DIV/0!</v>
      </c>
      <c r="CQ173" s="618" t="e">
        <f t="shared" si="211"/>
        <v>#DIV/0!</v>
      </c>
      <c r="CZ173" s="3"/>
      <c r="DA173" s="3"/>
      <c r="DC173" s="41"/>
      <c r="DD173" s="41"/>
      <c r="DE173" s="3"/>
      <c r="DF173" s="118"/>
      <c r="DG173" s="700"/>
      <c r="DH173" s="700"/>
      <c r="DI173" s="700"/>
      <c r="DJ173" s="700"/>
      <c r="DK173" s="43"/>
      <c r="DL173" s="43"/>
      <c r="DS173" s="3"/>
      <c r="DT173" s="3"/>
      <c r="DV173" s="41"/>
      <c r="DW173" s="41"/>
      <c r="DY173" s="118"/>
      <c r="DZ173" s="3"/>
      <c r="EA173" s="486"/>
      <c r="EB173" s="486"/>
      <c r="EC173" s="486"/>
      <c r="ED173" s="486"/>
      <c r="EE173" s="43"/>
      <c r="EF173" s="43"/>
      <c r="EL173" s="3"/>
      <c r="EM173" s="3"/>
      <c r="EO173" s="41"/>
      <c r="EP173" s="41"/>
      <c r="FC173" s="3"/>
      <c r="FE173" s="39"/>
      <c r="FF173" s="39"/>
      <c r="FH173" s="41"/>
      <c r="FI173" s="41"/>
      <c r="FM173" s="3"/>
      <c r="FN173" s="3"/>
      <c r="FO173" s="486"/>
      <c r="FP173" s="486"/>
      <c r="FQ173" s="486"/>
      <c r="FR173" s="486"/>
      <c r="FS173" s="43"/>
      <c r="FT173" s="43"/>
      <c r="FX173" s="3"/>
      <c r="FY173" s="3"/>
      <c r="GA173" s="41"/>
      <c r="GB173" s="41"/>
      <c r="GG173" s="3"/>
      <c r="GH173" s="3"/>
      <c r="GI173" s="486"/>
      <c r="GJ173" s="486"/>
      <c r="GK173" s="486"/>
      <c r="GL173" s="486"/>
      <c r="GM173" s="43"/>
      <c r="GN173" s="43"/>
      <c r="GO173" s="393"/>
      <c r="GS173" s="3"/>
      <c r="GT173" s="3"/>
      <c r="GV173" s="41"/>
      <c r="GW173" s="41"/>
      <c r="HA173" s="3"/>
      <c r="HB173" s="3"/>
      <c r="HC173" s="43"/>
      <c r="HD173" s="43"/>
      <c r="HE173" s="43"/>
      <c r="HF173" s="43"/>
      <c r="HG173" s="43"/>
    </row>
    <row r="174" spans="1:215">
      <c r="A174" s="632" t="s">
        <v>59</v>
      </c>
      <c r="B174" s="632"/>
      <c r="C174" s="616">
        <f t="shared" si="128"/>
        <v>0.20770038174897429</v>
      </c>
      <c r="D174" s="616">
        <f t="shared" si="129"/>
        <v>0.38763413618705345</v>
      </c>
      <c r="E174" s="616">
        <f t="shared" si="130"/>
        <v>0.42813095651741928</v>
      </c>
      <c r="F174" s="616">
        <f t="shared" si="131"/>
        <v>0.76079144195376436</v>
      </c>
      <c r="G174" s="616">
        <f t="shared" si="132"/>
        <v>0.48594413359300503</v>
      </c>
      <c r="H174" s="616">
        <f t="shared" si="133"/>
        <v>0.61126217320732257</v>
      </c>
      <c r="I174" s="616">
        <f t="shared" si="134"/>
        <v>0.74335577323289548</v>
      </c>
      <c r="J174" s="616">
        <f t="shared" si="135"/>
        <v>0.7642932155405382</v>
      </c>
      <c r="K174" s="616">
        <f t="shared" si="136"/>
        <v>1.1951313366598491</v>
      </c>
      <c r="L174" s="616">
        <f t="shared" si="137"/>
        <v>0.84571459182720621</v>
      </c>
      <c r="M174" s="616">
        <f t="shared" si="138"/>
        <v>1.2177727031197285</v>
      </c>
      <c r="N174" s="616">
        <f t="shared" si="139"/>
        <v>0.75571744796728524</v>
      </c>
      <c r="O174" s="616">
        <f t="shared" si="140"/>
        <v>4.6459440699891941</v>
      </c>
      <c r="P174" s="616">
        <f t="shared" si="141"/>
        <v>-1</v>
      </c>
      <c r="Q174" s="616">
        <f t="shared" si="142"/>
        <v>0.93002840622942284</v>
      </c>
      <c r="R174" s="616">
        <f t="shared" si="143"/>
        <v>-1</v>
      </c>
      <c r="S174" s="616">
        <f t="shared" si="144"/>
        <v>1.1016659757063052</v>
      </c>
      <c r="T174" s="616">
        <f t="shared" si="145"/>
        <v>-1</v>
      </c>
      <c r="U174" s="616">
        <f t="shared" si="146"/>
        <v>-1</v>
      </c>
      <c r="V174" s="616">
        <f t="shared" si="147"/>
        <v>-1</v>
      </c>
      <c r="W174" s="616">
        <f t="shared" si="148"/>
        <v>-1</v>
      </c>
      <c r="Y174" s="632" t="s">
        <v>59</v>
      </c>
      <c r="Z174" s="632"/>
      <c r="AA174" s="616">
        <f t="shared" ref="AA174:AU174" si="231">IFERROR((AA76-Z76)/Z76,0)</f>
        <v>0.20770038174897429</v>
      </c>
      <c r="AB174" s="616">
        <f t="shared" si="231"/>
        <v>0.14898873690633574</v>
      </c>
      <c r="AC174" s="616">
        <f t="shared" si="231"/>
        <v>2.9184076172731763E-2</v>
      </c>
      <c r="AD174" s="616">
        <f t="shared" si="231"/>
        <v>0.23293416049712773</v>
      </c>
      <c r="AE174" s="616">
        <f t="shared" si="231"/>
        <v>-0.15609305100653503</v>
      </c>
      <c r="AF174" s="616">
        <f t="shared" si="231"/>
        <v>8.4335633339928551E-2</v>
      </c>
      <c r="AG174" s="616">
        <f t="shared" si="231"/>
        <v>8.1981444250399077E-2</v>
      </c>
      <c r="AH174" s="616">
        <f t="shared" si="231"/>
        <v>1.2009850558968863E-2</v>
      </c>
      <c r="AI174" s="616">
        <f t="shared" si="231"/>
        <v>0.24419870649863162</v>
      </c>
      <c r="AJ174" s="616">
        <f t="shared" si="231"/>
        <v>-0.15917805873261398</v>
      </c>
      <c r="AK174" s="616">
        <f t="shared" si="231"/>
        <v>0.2015794386304304</v>
      </c>
      <c r="AL174" s="616">
        <f t="shared" si="231"/>
        <v>-0.20834202463691281</v>
      </c>
      <c r="AM174" s="616">
        <f t="shared" si="231"/>
        <v>2.2157475432769047</v>
      </c>
      <c r="AN174" s="616">
        <f t="shared" si="231"/>
        <v>-1</v>
      </c>
      <c r="AO174" s="616">
        <f t="shared" si="231"/>
        <v>0</v>
      </c>
      <c r="AP174" s="616">
        <f t="shared" si="231"/>
        <v>-1</v>
      </c>
      <c r="AQ174" s="616">
        <f t="shared" si="231"/>
        <v>0</v>
      </c>
      <c r="AR174" s="616">
        <f t="shared" si="231"/>
        <v>-1</v>
      </c>
      <c r="AS174" s="616">
        <f t="shared" si="231"/>
        <v>0</v>
      </c>
      <c r="AT174" s="616">
        <f t="shared" si="231"/>
        <v>0</v>
      </c>
      <c r="AU174" s="616">
        <f t="shared" si="231"/>
        <v>0</v>
      </c>
      <c r="AV174" s="565"/>
      <c r="AW174" s="632" t="s">
        <v>59</v>
      </c>
      <c r="AX174" s="632"/>
      <c r="AY174" s="616">
        <f t="shared" ref="AY174:BH174" si="232">(AY76-$AX76)/$AX76</f>
        <v>-2.3980915974298207E-2</v>
      </c>
      <c r="AZ174" s="616">
        <f t="shared" si="232"/>
        <v>-3.4319917469825989E-2</v>
      </c>
      <c r="BA174" s="616">
        <f t="shared" si="232"/>
        <v>1.2610442396853059E-3</v>
      </c>
      <c r="BB174" s="616">
        <f t="shared" si="232"/>
        <v>-4.0787900192806439E-2</v>
      </c>
      <c r="BC174" s="616">
        <f t="shared" si="232"/>
        <v>5.8698750475726673E-3</v>
      </c>
      <c r="BD174" s="616">
        <f t="shared" si="232"/>
        <v>6.3433034316832823E-2</v>
      </c>
      <c r="BE174" s="616">
        <f t="shared" si="232"/>
        <v>-1.3758733999676242E-2</v>
      </c>
      <c r="BF174" s="616">
        <f t="shared" si="232"/>
        <v>3.7626139104494666E-2</v>
      </c>
      <c r="BG174" s="616">
        <f t="shared" si="232"/>
        <v>8.4635906605386654E-2</v>
      </c>
      <c r="BH174" s="616">
        <f t="shared" si="232"/>
        <v>0.18114845875865088</v>
      </c>
      <c r="BI174" s="616">
        <f t="shared" si="195"/>
        <v>0.33119902339638757</v>
      </c>
      <c r="BJ174" s="616">
        <f t="shared" ref="BJ174:BS174" si="233">(BJ76-$AX76)/$AX76</f>
        <v>0.19060506704456526</v>
      </c>
      <c r="BK174" s="616">
        <f t="shared" si="233"/>
        <v>0.14576251792509304</v>
      </c>
      <c r="BL174" s="616">
        <f t="shared" si="233"/>
        <v>-1</v>
      </c>
      <c r="BM174" s="616">
        <f t="shared" si="233"/>
        <v>0.23175188698680688</v>
      </c>
      <c r="BN174" s="616">
        <f t="shared" si="233"/>
        <v>-1</v>
      </c>
      <c r="BO174" s="616">
        <f t="shared" si="233"/>
        <v>0.20317051522854224</v>
      </c>
      <c r="BP174" s="616">
        <f t="shared" si="233"/>
        <v>-1</v>
      </c>
      <c r="BQ174" s="616">
        <f t="shared" si="233"/>
        <v>-1</v>
      </c>
      <c r="BR174" s="616">
        <f t="shared" si="233"/>
        <v>-1</v>
      </c>
      <c r="BS174" s="616">
        <f t="shared" si="233"/>
        <v>-1</v>
      </c>
      <c r="BU174" s="632" t="s">
        <v>59</v>
      </c>
      <c r="BV174" s="632"/>
      <c r="BW174" s="616">
        <f t="shared" si="96"/>
        <v>-2.3980915974298207E-2</v>
      </c>
      <c r="BX174" s="616">
        <f t="shared" si="97"/>
        <v>-1.0593032108433161E-2</v>
      </c>
      <c r="BY174" s="616">
        <f t="shared" si="98"/>
        <v>3.6845496094613218E-2</v>
      </c>
      <c r="BZ174" s="616">
        <f t="shared" si="99"/>
        <v>-4.199598563671466E-2</v>
      </c>
      <c r="CA174" s="616">
        <f t="shared" si="100"/>
        <v>4.8641770938625095E-2</v>
      </c>
      <c r="CB174" s="616">
        <f t="shared" si="101"/>
        <v>5.7227242506430277E-2</v>
      </c>
      <c r="CC174" s="616">
        <f t="shared" si="102"/>
        <v>-7.2587333499657888E-2</v>
      </c>
      <c r="CD174" s="616">
        <f t="shared" si="103"/>
        <v>5.2101726905588674E-2</v>
      </c>
      <c r="CE174" s="616">
        <f t="shared" si="190"/>
        <v>4.5305111088915863E-2</v>
      </c>
      <c r="CF174" s="616">
        <f t="shared" si="191"/>
        <v>8.8981520495040642E-2</v>
      </c>
      <c r="CG174" s="616">
        <f t="shared" si="197"/>
        <v>0.1270378533071406</v>
      </c>
      <c r="CH174" s="616">
        <f t="shared" si="198"/>
        <v>-0.10561452786609958</v>
      </c>
      <c r="CI174" s="616">
        <f t="shared" si="205"/>
        <v>-3.7663663930798397E-2</v>
      </c>
      <c r="CJ174" s="616">
        <f t="shared" si="206"/>
        <v>-1</v>
      </c>
      <c r="CK174" s="616"/>
      <c r="CL174" s="616">
        <v>0</v>
      </c>
      <c r="CM174" s="616" t="e">
        <f t="shared" si="207"/>
        <v>#DIV/0!</v>
      </c>
      <c r="CN174" s="616">
        <f t="shared" si="208"/>
        <v>-1</v>
      </c>
      <c r="CO174" s="616" t="e">
        <f t="shared" si="209"/>
        <v>#DIV/0!</v>
      </c>
      <c r="CP174" s="616" t="e">
        <f t="shared" si="210"/>
        <v>#DIV/0!</v>
      </c>
      <c r="CQ174" s="616" t="e">
        <f t="shared" si="211"/>
        <v>#DIV/0!</v>
      </c>
      <c r="CZ174" s="3"/>
      <c r="DA174" s="3"/>
      <c r="DC174" s="41"/>
      <c r="DD174" s="41"/>
      <c r="DE174" s="3"/>
      <c r="DF174" s="118"/>
      <c r="DG174" s="700"/>
      <c r="DH174" s="700"/>
      <c r="DI174" s="700"/>
      <c r="DJ174" s="700"/>
      <c r="DK174" s="43"/>
      <c r="DL174" s="43"/>
      <c r="DS174" s="3"/>
      <c r="DT174" s="3"/>
      <c r="DV174" s="41"/>
      <c r="DW174" s="41"/>
      <c r="DY174" s="118"/>
      <c r="DZ174" s="3"/>
      <c r="EA174" s="486"/>
      <c r="EB174" s="486"/>
      <c r="EC174" s="486"/>
      <c r="ED174" s="486"/>
      <c r="EE174" s="43"/>
      <c r="EF174" s="43"/>
      <c r="EL174" s="3"/>
      <c r="EM174" s="3"/>
      <c r="EO174" s="41"/>
      <c r="EP174" s="41"/>
      <c r="FC174" s="3"/>
      <c r="FE174" s="39"/>
      <c r="FF174" s="39"/>
      <c r="FH174" s="41"/>
      <c r="FI174" s="41"/>
      <c r="FM174" s="3"/>
      <c r="FN174" s="3"/>
      <c r="FO174" s="486"/>
      <c r="FP174" s="486"/>
      <c r="FQ174" s="486"/>
      <c r="FR174" s="486"/>
      <c r="FS174" s="43"/>
      <c r="FT174" s="43"/>
      <c r="FX174" s="3"/>
      <c r="FY174" s="3"/>
      <c r="GA174" s="41"/>
      <c r="GB174" s="41"/>
      <c r="GG174" s="3"/>
      <c r="GH174" s="3"/>
      <c r="GI174" s="486"/>
      <c r="GJ174" s="486"/>
      <c r="GK174" s="486"/>
      <c r="GL174" s="486"/>
      <c r="GM174" s="43"/>
      <c r="GN174" s="43"/>
      <c r="GO174" s="393"/>
      <c r="GS174" s="3"/>
      <c r="GT174" s="3"/>
      <c r="GV174" s="41"/>
      <c r="GW174" s="41"/>
      <c r="HA174" s="3"/>
      <c r="HB174" s="3"/>
      <c r="HC174" s="43"/>
      <c r="HD174" s="43"/>
      <c r="HE174" s="43"/>
      <c r="HF174" s="43"/>
      <c r="HG174" s="43"/>
    </row>
    <row r="175" spans="1:215">
      <c r="A175" s="631" t="s">
        <v>60</v>
      </c>
      <c r="B175" s="631"/>
      <c r="C175" s="618">
        <f t="shared" si="128"/>
        <v>-3.8926519475298246E-3</v>
      </c>
      <c r="D175" s="618">
        <f t="shared" si="129"/>
        <v>0.13143635609254334</v>
      </c>
      <c r="E175" s="618">
        <f t="shared" si="130"/>
        <v>0.63924097766484567</v>
      </c>
      <c r="F175" s="618">
        <f t="shared" si="131"/>
        <v>0.55611657254331737</v>
      </c>
      <c r="G175" s="618">
        <f t="shared" si="132"/>
        <v>0.65470423836237923</v>
      </c>
      <c r="H175" s="618">
        <f t="shared" si="133"/>
        <v>0.74005717552521477</v>
      </c>
      <c r="I175" s="618">
        <f t="shared" si="134"/>
        <v>0.80735680341795713</v>
      </c>
      <c r="J175" s="618">
        <f t="shared" si="135"/>
        <v>0.77931333536455583</v>
      </c>
      <c r="K175" s="618">
        <f t="shared" si="136"/>
        <v>0.78961841628162643</v>
      </c>
      <c r="L175" s="618">
        <f t="shared" si="137"/>
        <v>0.96045891442013009</v>
      </c>
      <c r="M175" s="618">
        <f t="shared" si="138"/>
        <v>1.0486415913350577</v>
      </c>
      <c r="N175" s="618">
        <f t="shared" si="139"/>
        <v>1.155846381031145</v>
      </c>
      <c r="O175" s="618">
        <f t="shared" si="140"/>
        <v>1.2806242177440583</v>
      </c>
      <c r="P175" s="618">
        <f t="shared" si="141"/>
        <v>1.2628345167777029</v>
      </c>
      <c r="Q175" s="618">
        <f t="shared" si="142"/>
        <v>1.4185956280616823</v>
      </c>
      <c r="R175" s="618">
        <f t="shared" si="143"/>
        <v>1.3185425384451772</v>
      </c>
      <c r="S175" s="618">
        <f t="shared" si="144"/>
        <v>1.3261100285301697</v>
      </c>
      <c r="T175" s="618">
        <f t="shared" si="145"/>
        <v>1.5864169292284296</v>
      </c>
      <c r="U175" s="618">
        <f t="shared" si="146"/>
        <v>2.0453579861557447</v>
      </c>
      <c r="V175" s="618">
        <f t="shared" si="147"/>
        <v>2.3164334720393218</v>
      </c>
      <c r="W175" s="618">
        <f t="shared" si="148"/>
        <v>1.5436941462158591</v>
      </c>
      <c r="Y175" s="631" t="s">
        <v>60</v>
      </c>
      <c r="Z175" s="631"/>
      <c r="AA175" s="618">
        <f t="shared" ref="AA175:AU175" si="234">IFERROR((AA77-Z77)/Z77,0)</f>
        <v>-3.8926519475298246E-3</v>
      </c>
      <c r="AB175" s="618">
        <f t="shared" si="234"/>
        <v>0.13585785538542647</v>
      </c>
      <c r="AC175" s="618">
        <f t="shared" si="234"/>
        <v>0.44881412802221071</v>
      </c>
      <c r="AD175" s="618">
        <f t="shared" si="234"/>
        <v>-5.0709081980089263E-2</v>
      </c>
      <c r="AE175" s="618">
        <f t="shared" si="234"/>
        <v>6.3354935972393264E-2</v>
      </c>
      <c r="AF175" s="618">
        <f t="shared" si="234"/>
        <v>5.1581989810642673E-2</v>
      </c>
      <c r="AG175" s="618">
        <f t="shared" si="234"/>
        <v>3.8676676168660273E-2</v>
      </c>
      <c r="AH175" s="618">
        <f t="shared" si="234"/>
        <v>-1.5516287652978834E-2</v>
      </c>
      <c r="AI175" s="618">
        <f t="shared" si="234"/>
        <v>5.7916055099756971E-3</v>
      </c>
      <c r="AJ175" s="618">
        <f t="shared" si="234"/>
        <v>9.5461969202053076E-2</v>
      </c>
      <c r="AK175" s="618">
        <f t="shared" si="234"/>
        <v>4.4980629926136807E-2</v>
      </c>
      <c r="AL175" s="618">
        <f t="shared" si="234"/>
        <v>5.2329695027925283E-2</v>
      </c>
      <c r="AM175" s="618">
        <f t="shared" si="234"/>
        <v>5.787881632513725E-2</v>
      </c>
      <c r="AN175" s="618">
        <f t="shared" si="234"/>
        <v>-7.800364842197819E-3</v>
      </c>
      <c r="AO175" s="618">
        <f t="shared" si="234"/>
        <v>6.8834512700374037E-2</v>
      </c>
      <c r="AP175" s="618">
        <f t="shared" si="234"/>
        <v>-4.1368258693450927E-2</v>
      </c>
      <c r="AQ175" s="618">
        <f t="shared" si="234"/>
        <v>3.2638996091343396E-3</v>
      </c>
      <c r="AR175" s="618">
        <f t="shared" si="234"/>
        <v>0.11190652957321343</v>
      </c>
      <c r="AS175" s="618">
        <f t="shared" si="234"/>
        <v>0.17744279808136923</v>
      </c>
      <c r="AT175" s="618">
        <f t="shared" si="234"/>
        <v>8.9012683275953672E-2</v>
      </c>
      <c r="AU175" s="618">
        <f t="shared" si="234"/>
        <v>-0.23300311383852207</v>
      </c>
      <c r="AV175" s="565"/>
      <c r="AW175" s="631" t="s">
        <v>60</v>
      </c>
      <c r="AX175" s="631"/>
      <c r="AY175" s="618">
        <f t="shared" ref="AY175:BH175" si="235">(AY77-$AX77)/$AX77</f>
        <v>9.0974714533657783E-2</v>
      </c>
      <c r="AZ175" s="618">
        <f t="shared" si="235"/>
        <v>5.6007265686373868E-2</v>
      </c>
      <c r="BA175" s="618">
        <f t="shared" si="235"/>
        <v>0.19690611067591893</v>
      </c>
      <c r="BB175" s="618">
        <f t="shared" si="235"/>
        <v>0.28311366507957736</v>
      </c>
      <c r="BC175" s="618">
        <f t="shared" si="235"/>
        <v>0.29618498671719706</v>
      </c>
      <c r="BD175" s="618">
        <f t="shared" si="235"/>
        <v>0.30504288164391102</v>
      </c>
      <c r="BE175" s="618">
        <f t="shared" si="235"/>
        <v>0.36344460608723067</v>
      </c>
      <c r="BF175" s="618">
        <f t="shared" si="235"/>
        <v>0.43387116466449388</v>
      </c>
      <c r="BG175" s="618">
        <f t="shared" si="235"/>
        <v>0.4671830125812339</v>
      </c>
      <c r="BH175" s="618">
        <f t="shared" si="235"/>
        <v>0.49866509384244956</v>
      </c>
      <c r="BI175" s="618">
        <f t="shared" si="195"/>
        <v>0.54333173645867472</v>
      </c>
      <c r="BJ175" s="618">
        <f t="shared" ref="BJ175:BS175" si="236">(BJ77-$AX77)/$AX77</f>
        <v>0.54073672848243381</v>
      </c>
      <c r="BK175" s="618">
        <f t="shared" si="236"/>
        <v>0.50319894869174253</v>
      </c>
      <c r="BL175" s="618">
        <f t="shared" si="236"/>
        <v>0.53167343158658587</v>
      </c>
      <c r="BM175" s="618">
        <f t="shared" si="236"/>
        <v>0.5409779128157628</v>
      </c>
      <c r="BN175" s="618">
        <f t="shared" si="236"/>
        <v>0.54795984664137309</v>
      </c>
      <c r="BO175" s="618">
        <f t="shared" si="236"/>
        <v>0.65462024846132483</v>
      </c>
      <c r="BP175" s="618">
        <f t="shared" si="236"/>
        <v>0.83851692339179795</v>
      </c>
      <c r="BQ175" s="618">
        <f t="shared" si="236"/>
        <v>0.92044584559152598</v>
      </c>
      <c r="BR175" s="618">
        <f t="shared" si="236"/>
        <v>0.92919323380556695</v>
      </c>
      <c r="BS175" s="618">
        <f t="shared" si="236"/>
        <v>0.73312494239026016</v>
      </c>
      <c r="BU175" s="631" t="s">
        <v>60</v>
      </c>
      <c r="BV175" s="631"/>
      <c r="BW175" s="618">
        <f t="shared" si="96"/>
        <v>9.0974714533657783E-2</v>
      </c>
      <c r="BX175" s="618">
        <f t="shared" si="97"/>
        <v>-3.2051566715027784E-2</v>
      </c>
      <c r="BY175" s="618">
        <f t="shared" si="98"/>
        <v>0.13342601852077687</v>
      </c>
      <c r="BZ175" s="618">
        <f t="shared" si="99"/>
        <v>7.2025327329121203E-2</v>
      </c>
      <c r="CA175" s="618">
        <f t="shared" si="100"/>
        <v>1.0187189173773635E-2</v>
      </c>
      <c r="CB175" s="618">
        <f t="shared" si="101"/>
        <v>6.8338200314663868E-3</v>
      </c>
      <c r="CC175" s="618">
        <f t="shared" si="102"/>
        <v>4.4750808777833662E-2</v>
      </c>
      <c r="CD175" s="618">
        <f t="shared" si="103"/>
        <v>5.1653406572468731E-2</v>
      </c>
      <c r="CE175" s="618">
        <f t="shared" si="190"/>
        <v>2.323210671757564E-2</v>
      </c>
      <c r="CF175" s="618">
        <f t="shared" si="191"/>
        <v>2.1457501205544127E-2</v>
      </c>
      <c r="CG175" s="618">
        <f t="shared" si="197"/>
        <v>2.980428569381282E-2</v>
      </c>
      <c r="CH175" s="618">
        <f t="shared" si="198"/>
        <v>-1.681432393916439E-3</v>
      </c>
      <c r="CI175" s="618">
        <f t="shared" si="205"/>
        <v>-2.4363526290221253E-2</v>
      </c>
      <c r="CJ175" s="618">
        <f t="shared" si="206"/>
        <v>1.8942591012071349E-2</v>
      </c>
      <c r="CK175" s="618">
        <f t="shared" ref="CK175:CL177" si="237">(BM77-BL77)/BL77</f>
        <v>6.0747160832703628E-3</v>
      </c>
      <c r="CL175" s="618">
        <f t="shared" si="237"/>
        <v>4.5308461383800451E-3</v>
      </c>
      <c r="CM175" s="618">
        <f t="shared" si="207"/>
        <v>6.890385564675601E-2</v>
      </c>
      <c r="CN175" s="618">
        <f t="shared" si="208"/>
        <v>0.11114131783500385</v>
      </c>
      <c r="CO175" s="618">
        <f t="shared" si="209"/>
        <v>4.4562506418804736E-2</v>
      </c>
      <c r="CP175" s="618">
        <f t="shared" si="210"/>
        <v>4.5548736685915798E-3</v>
      </c>
      <c r="CQ175" s="618">
        <f t="shared" si="211"/>
        <v>-0.10163227196714678</v>
      </c>
      <c r="CZ175" s="3"/>
      <c r="DA175" s="3"/>
      <c r="DC175" s="41"/>
      <c r="DD175" s="41"/>
      <c r="DE175" s="3"/>
      <c r="DF175" s="118"/>
      <c r="DG175" s="700"/>
      <c r="DH175" s="700"/>
      <c r="DI175" s="700"/>
      <c r="DJ175" s="700"/>
      <c r="DK175" s="43"/>
      <c r="DL175" s="43"/>
      <c r="DS175" s="3"/>
      <c r="DT175" s="3"/>
      <c r="DV175" s="41"/>
      <c r="DW175" s="41"/>
      <c r="DY175" s="118"/>
      <c r="DZ175" s="3"/>
      <c r="EA175" s="486"/>
      <c r="EB175" s="486"/>
      <c r="EC175" s="486"/>
      <c r="ED175" s="486"/>
      <c r="EE175" s="43"/>
      <c r="EF175" s="43"/>
      <c r="EL175" s="3"/>
      <c r="EM175" s="3"/>
      <c r="EO175" s="41"/>
      <c r="EP175" s="41"/>
      <c r="FC175" s="3"/>
      <c r="FE175" s="39"/>
      <c r="FF175" s="39"/>
      <c r="FH175" s="41"/>
      <c r="FI175" s="41"/>
      <c r="FM175" s="3"/>
      <c r="FN175" s="3"/>
      <c r="FO175" s="486"/>
      <c r="FP175" s="486"/>
      <c r="FQ175" s="486"/>
      <c r="FR175" s="486"/>
      <c r="FS175" s="43"/>
      <c r="FT175" s="43"/>
      <c r="FX175" s="3"/>
      <c r="FY175" s="3"/>
      <c r="GA175" s="41"/>
      <c r="GB175" s="41"/>
      <c r="GG175" s="3"/>
      <c r="GH175" s="3"/>
      <c r="GI175" s="486"/>
      <c r="GJ175" s="486"/>
      <c r="GK175" s="486"/>
      <c r="GL175" s="486"/>
      <c r="GM175" s="43"/>
      <c r="GN175" s="43"/>
      <c r="GO175" s="393"/>
      <c r="GS175" s="3"/>
      <c r="GT175" s="3"/>
      <c r="GV175" s="41"/>
      <c r="GW175" s="41"/>
      <c r="HA175" s="3"/>
      <c r="HB175" s="3"/>
      <c r="HC175" s="43"/>
      <c r="HD175" s="43"/>
      <c r="HE175" s="43"/>
      <c r="HF175" s="43"/>
      <c r="HG175" s="43"/>
    </row>
    <row r="176" spans="1:215">
      <c r="A176" s="632" t="s">
        <v>61</v>
      </c>
      <c r="B176" s="632"/>
      <c r="C176" s="616">
        <f t="shared" si="128"/>
        <v>0.12697680264291877</v>
      </c>
      <c r="D176" s="616">
        <f t="shared" si="129"/>
        <v>0.36998186232263669</v>
      </c>
      <c r="E176" s="616">
        <f t="shared" si="130"/>
        <v>0.43135431276791103</v>
      </c>
      <c r="F176" s="616">
        <f t="shared" si="131"/>
        <v>0.59504494989607459</v>
      </c>
      <c r="G176" s="616">
        <f t="shared" si="132"/>
        <v>0.68534692532571784</v>
      </c>
      <c r="H176" s="616">
        <f t="shared" si="133"/>
        <v>0.90852122305400185</v>
      </c>
      <c r="I176" s="616">
        <f t="shared" si="134"/>
        <v>1.0171655232043986</v>
      </c>
      <c r="J176" s="616">
        <f t="shared" si="135"/>
        <v>1.0492019703601063</v>
      </c>
      <c r="K176" s="616">
        <f t="shared" si="136"/>
        <v>0.97937261661343666</v>
      </c>
      <c r="L176" s="616">
        <f t="shared" si="137"/>
        <v>1.0307263238532991</v>
      </c>
      <c r="M176" s="616">
        <f t="shared" si="138"/>
        <v>1.2297795877903015</v>
      </c>
      <c r="N176" s="616">
        <f t="shared" si="139"/>
        <v>1.72940359711825</v>
      </c>
      <c r="O176" s="616">
        <f t="shared" si="140"/>
        <v>1.7828520089449169</v>
      </c>
      <c r="P176" s="616">
        <f t="shared" si="141"/>
        <v>1.9220460088660574</v>
      </c>
      <c r="Q176" s="616">
        <f t="shared" si="142"/>
        <v>1.6552017675786204</v>
      </c>
      <c r="R176" s="616">
        <f t="shared" si="143"/>
        <v>2.0762585125977999</v>
      </c>
      <c r="S176" s="616">
        <f t="shared" si="144"/>
        <v>1.8970926204437537</v>
      </c>
      <c r="T176" s="616">
        <f t="shared" si="145"/>
        <v>2.490207344069487</v>
      </c>
      <c r="U176" s="616">
        <f t="shared" si="146"/>
        <v>1.7858021979259961</v>
      </c>
      <c r="V176" s="616">
        <f t="shared" si="147"/>
        <v>2.1145264770659775</v>
      </c>
      <c r="W176" s="616">
        <f t="shared" si="148"/>
        <v>2.1149806231024444</v>
      </c>
      <c r="Y176" s="632" t="s">
        <v>61</v>
      </c>
      <c r="Z176" s="632"/>
      <c r="AA176" s="616">
        <f t="shared" ref="AA176:AU176" si="238">IFERROR((AA78-Z78)/Z78,0)</f>
        <v>0.12697680264291877</v>
      </c>
      <c r="AB176" s="616">
        <f t="shared" si="238"/>
        <v>0.21562560924930924</v>
      </c>
      <c r="AC176" s="616">
        <f t="shared" si="238"/>
        <v>4.4798002172981251E-2</v>
      </c>
      <c r="AD176" s="616">
        <f t="shared" si="238"/>
        <v>0.11436066924032486</v>
      </c>
      <c r="AE176" s="616">
        <f t="shared" si="238"/>
        <v>5.6614063093035016E-2</v>
      </c>
      <c r="AF176" s="616">
        <f t="shared" si="238"/>
        <v>0.13242039035087819</v>
      </c>
      <c r="AG176" s="616">
        <f t="shared" si="238"/>
        <v>5.6925906213683521E-2</v>
      </c>
      <c r="AH176" s="616">
        <f t="shared" si="238"/>
        <v>1.5881912905598271E-2</v>
      </c>
      <c r="AI176" s="616">
        <f t="shared" si="238"/>
        <v>-3.4076364729631062E-2</v>
      </c>
      <c r="AJ176" s="616">
        <f t="shared" si="238"/>
        <v>2.5944436539556061E-2</v>
      </c>
      <c r="AK176" s="616">
        <f t="shared" si="238"/>
        <v>9.8020723717856487E-2</v>
      </c>
      <c r="AL176" s="616">
        <f t="shared" si="238"/>
        <v>0.22406878781371967</v>
      </c>
      <c r="AM176" s="616">
        <f t="shared" si="238"/>
        <v>1.9582450863294319E-2</v>
      </c>
      <c r="AN176" s="616">
        <f t="shared" si="238"/>
        <v>5.0018470070894709E-2</v>
      </c>
      <c r="AO176" s="616">
        <f t="shared" si="238"/>
        <v>-9.1321026594988475E-2</v>
      </c>
      <c r="AP176" s="616">
        <f t="shared" si="238"/>
        <v>0.15857805992768584</v>
      </c>
      <c r="AQ176" s="616">
        <f t="shared" si="238"/>
        <v>-5.8241494146324714E-2</v>
      </c>
      <c r="AR176" s="616">
        <f t="shared" si="238"/>
        <v>0.20472756702368888</v>
      </c>
      <c r="AS176" s="616">
        <f t="shared" si="238"/>
        <v>-0.20182329492269455</v>
      </c>
      <c r="AT176" s="616">
        <f t="shared" si="238"/>
        <v>0.11799986351676849</v>
      </c>
      <c r="AU176" s="616">
        <f t="shared" si="238"/>
        <v>1.458154360898856E-4</v>
      </c>
      <c r="AV176" s="565"/>
      <c r="AW176" s="632" t="s">
        <v>61</v>
      </c>
      <c r="AX176" s="632"/>
      <c r="AY176" s="616">
        <f t="shared" ref="AY176:BH176" si="239">(AY78-$AX78)/$AX78</f>
        <v>-7.926731810219062E-2</v>
      </c>
      <c r="AZ176" s="616">
        <f t="shared" si="239"/>
        <v>7.3396046489974925E-3</v>
      </c>
      <c r="BA176" s="616">
        <f t="shared" si="239"/>
        <v>0.30123119342537363</v>
      </c>
      <c r="BB176" s="616">
        <f t="shared" si="239"/>
        <v>0.36829836388143633</v>
      </c>
      <c r="BC176" s="616">
        <f t="shared" si="239"/>
        <v>0.44576329378431678</v>
      </c>
      <c r="BD176" s="616">
        <f t="shared" si="239"/>
        <v>0.33855560892927733</v>
      </c>
      <c r="BE176" s="616">
        <f t="shared" si="239"/>
        <v>0.31370023570034328</v>
      </c>
      <c r="BF176" s="616">
        <f t="shared" si="239"/>
        <v>0.61326422858377339</v>
      </c>
      <c r="BG176" s="616">
        <f t="shared" si="239"/>
        <v>0.59925673295832005</v>
      </c>
      <c r="BH176" s="616">
        <f t="shared" si="239"/>
        <v>0.69767471430838757</v>
      </c>
      <c r="BI176" s="616">
        <f t="shared" si="195"/>
        <v>0.69918646354058456</v>
      </c>
      <c r="BJ176" s="616">
        <f t="shared" ref="BJ176:BS176" si="240">(BJ78-$AX78)/$AX78</f>
        <v>0.64896325480189543</v>
      </c>
      <c r="BK176" s="616">
        <f t="shared" si="240"/>
        <v>0.5973432311904433</v>
      </c>
      <c r="BL176" s="616">
        <f t="shared" si="240"/>
        <v>0.64197193232532379</v>
      </c>
      <c r="BM176" s="616">
        <f t="shared" si="240"/>
        <v>0.6647071911550162</v>
      </c>
      <c r="BN176" s="616">
        <f t="shared" si="240"/>
        <v>0.69647256303538696</v>
      </c>
      <c r="BO176" s="616">
        <f t="shared" si="240"/>
        <v>0.68424706770350296</v>
      </c>
      <c r="BP176" s="616">
        <f t="shared" si="240"/>
        <v>0.7889222412523148</v>
      </c>
      <c r="BQ176" s="616">
        <f t="shared" si="240"/>
        <v>0.89288399341689118</v>
      </c>
      <c r="BR176" s="616">
        <f t="shared" si="240"/>
        <v>0.90886815293567613</v>
      </c>
      <c r="BS176" s="616">
        <f t="shared" si="240"/>
        <v>0.90886815293567613</v>
      </c>
      <c r="BU176" s="632" t="s">
        <v>61</v>
      </c>
      <c r="BV176" s="632"/>
      <c r="BW176" s="616">
        <f t="shared" si="96"/>
        <v>-7.926731810219062E-2</v>
      </c>
      <c r="BX176" s="616">
        <f t="shared" si="97"/>
        <v>9.406304832437834E-2</v>
      </c>
      <c r="BY176" s="616">
        <f t="shared" si="98"/>
        <v>0.29175025723204956</v>
      </c>
      <c r="BZ176" s="616">
        <f t="shared" si="99"/>
        <v>5.154131778805153E-2</v>
      </c>
      <c r="CA176" s="616">
        <f t="shared" si="100"/>
        <v>5.6614063093035183E-2</v>
      </c>
      <c r="CB176" s="616">
        <f t="shared" si="101"/>
        <v>-7.4152999537303949E-2</v>
      </c>
      <c r="CC176" s="616">
        <f t="shared" si="102"/>
        <v>-1.8568801373008387E-2</v>
      </c>
      <c r="CD176" s="616">
        <f t="shared" si="103"/>
        <v>0.22803070650568191</v>
      </c>
      <c r="CE176" s="616">
        <f t="shared" si="190"/>
        <v>-8.6827039100408204E-3</v>
      </c>
      <c r="CF176" s="616">
        <f t="shared" si="191"/>
        <v>6.1539826171632207E-2</v>
      </c>
      <c r="CG176" s="616">
        <f t="shared" si="197"/>
        <v>8.9048226933917071E-4</v>
      </c>
      <c r="CH176" s="616">
        <f t="shared" si="198"/>
        <v>-2.9557208591480547E-2</v>
      </c>
      <c r="CI176" s="616">
        <f t="shared" si="205"/>
        <v>-3.1304532384897617E-2</v>
      </c>
      <c r="CJ176" s="616">
        <f t="shared" si="206"/>
        <v>2.7939330923648961E-2</v>
      </c>
      <c r="CK176" s="616">
        <f t="shared" si="237"/>
        <v>1.3846313924194316E-2</v>
      </c>
      <c r="CL176" s="616">
        <f t="shared" si="237"/>
        <v>1.9081657152169341E-2</v>
      </c>
      <c r="CM176" s="616">
        <f t="shared" si="207"/>
        <v>-7.2064208984374996E-3</v>
      </c>
      <c r="CN176" s="616">
        <f t="shared" si="208"/>
        <v>6.2149535870374459E-2</v>
      </c>
      <c r="CO176" s="616">
        <f t="shared" si="209"/>
        <v>5.8114181694000934E-2</v>
      </c>
      <c r="CP176" s="616">
        <f t="shared" si="210"/>
        <v>8.4443418478760326E-3</v>
      </c>
      <c r="CQ176" s="616">
        <f t="shared" si="211"/>
        <v>0</v>
      </c>
      <c r="CZ176" s="3"/>
      <c r="DA176" s="3"/>
      <c r="DC176" s="41"/>
      <c r="DD176" s="41"/>
      <c r="DE176" s="3"/>
      <c r="DF176" s="118"/>
      <c r="DG176" s="700"/>
      <c r="DH176" s="700"/>
      <c r="DI176" s="700"/>
      <c r="DJ176" s="700"/>
      <c r="DK176" s="43"/>
      <c r="DL176" s="43"/>
      <c r="DS176" s="3"/>
      <c r="DT176" s="3"/>
      <c r="DV176" s="41"/>
      <c r="DW176" s="41"/>
      <c r="DY176" s="118"/>
      <c r="DZ176" s="3"/>
      <c r="EA176" s="486"/>
      <c r="EB176" s="486"/>
      <c r="EC176" s="486"/>
      <c r="ED176" s="486"/>
      <c r="EE176" s="43"/>
      <c r="EF176" s="43"/>
      <c r="EL176" s="3"/>
      <c r="EM176" s="3"/>
      <c r="EO176" s="41"/>
      <c r="EP176" s="41"/>
      <c r="FC176" s="3"/>
      <c r="FE176" s="39"/>
      <c r="FF176" s="39"/>
      <c r="FH176" s="41"/>
      <c r="FI176" s="41"/>
      <c r="FM176" s="3"/>
      <c r="FN176" s="3"/>
      <c r="FO176" s="486"/>
      <c r="FP176" s="486"/>
      <c r="FQ176" s="486"/>
      <c r="FR176" s="486"/>
      <c r="FS176" s="43"/>
      <c r="FT176" s="43"/>
      <c r="FX176" s="3"/>
      <c r="FY176" s="3"/>
      <c r="GA176" s="41"/>
      <c r="GB176" s="41"/>
      <c r="GG176" s="3"/>
      <c r="GH176" s="3"/>
      <c r="GI176" s="486"/>
      <c r="GJ176" s="486"/>
      <c r="GK176" s="486"/>
      <c r="GL176" s="486"/>
      <c r="GM176" s="43"/>
      <c r="GN176" s="43"/>
      <c r="GO176" s="393"/>
      <c r="GS176" s="3"/>
      <c r="GT176" s="3"/>
      <c r="GV176" s="41"/>
      <c r="GW176" s="41"/>
      <c r="HA176" s="3"/>
      <c r="HB176" s="3"/>
      <c r="HC176" s="43"/>
      <c r="HD176" s="43"/>
      <c r="HE176" s="43"/>
      <c r="HF176" s="43"/>
      <c r="HG176" s="43"/>
    </row>
    <row r="177" spans="1:215">
      <c r="A177" s="631" t="s">
        <v>62</v>
      </c>
      <c r="B177" s="631"/>
      <c r="C177" s="618">
        <f t="shared" si="128"/>
        <v>0.1469149757854917</v>
      </c>
      <c r="D177" s="618">
        <f t="shared" si="129"/>
        <v>0.15625579329170397</v>
      </c>
      <c r="E177" s="618">
        <f t="shared" si="130"/>
        <v>0.2226361794569835</v>
      </c>
      <c r="F177" s="618">
        <f t="shared" si="131"/>
        <v>0.17510885722930394</v>
      </c>
      <c r="G177" s="618">
        <f t="shared" si="132"/>
        <v>0.16652431129127132</v>
      </c>
      <c r="H177" s="618">
        <f t="shared" si="133"/>
        <v>0.27089689026879554</v>
      </c>
      <c r="I177" s="618">
        <f t="shared" si="134"/>
        <v>0.73400686688503902</v>
      </c>
      <c r="J177" s="618">
        <f t="shared" si="135"/>
        <v>0.48306421506998182</v>
      </c>
      <c r="K177" s="618">
        <f t="shared" si="136"/>
        <v>0.37628287038403518</v>
      </c>
      <c r="L177" s="618">
        <f t="shared" si="137"/>
        <v>0.57842697835280765</v>
      </c>
      <c r="M177" s="618">
        <f t="shared" si="138"/>
        <v>0.58334635010324432</v>
      </c>
      <c r="N177" s="618">
        <f t="shared" si="139"/>
        <v>0.72342948387374229</v>
      </c>
      <c r="O177" s="618">
        <f t="shared" si="140"/>
        <v>-1</v>
      </c>
      <c r="P177" s="618">
        <f t="shared" si="141"/>
        <v>0.58408283397024308</v>
      </c>
      <c r="Q177" s="618">
        <f t="shared" si="142"/>
        <v>0.93034917112193938</v>
      </c>
      <c r="R177" s="618">
        <f t="shared" si="143"/>
        <v>-1</v>
      </c>
      <c r="S177" s="618">
        <f t="shared" si="144"/>
        <v>-1</v>
      </c>
      <c r="T177" s="618">
        <f t="shared" si="145"/>
        <v>-1</v>
      </c>
      <c r="U177" s="618">
        <f t="shared" si="146"/>
        <v>-1</v>
      </c>
      <c r="V177" s="618">
        <f t="shared" si="147"/>
        <v>-1</v>
      </c>
      <c r="W177" s="618">
        <f t="shared" si="148"/>
        <v>-1</v>
      </c>
      <c r="Y177" s="631" t="s">
        <v>62</v>
      </c>
      <c r="Z177" s="631"/>
      <c r="AA177" s="618">
        <f t="shared" ref="AA177:AU177" si="241">IFERROR((AA79-Z79)/Z79,0)</f>
        <v>0.1469149757854917</v>
      </c>
      <c r="AB177" s="618">
        <f t="shared" si="241"/>
        <v>8.1442981419045449E-3</v>
      </c>
      <c r="AC177" s="618">
        <f t="shared" si="241"/>
        <v>5.7409776063740647E-2</v>
      </c>
      <c r="AD177" s="618">
        <f t="shared" si="241"/>
        <v>-3.8872824987714771E-2</v>
      </c>
      <c r="AE177" s="618">
        <f t="shared" si="241"/>
        <v>-7.3053197456731398E-3</v>
      </c>
      <c r="AF177" s="618">
        <f t="shared" si="241"/>
        <v>8.9473127964208587E-2</v>
      </c>
      <c r="AG177" s="618">
        <f t="shared" si="241"/>
        <v>0.3643961836418495</v>
      </c>
      <c r="AH177" s="618">
        <f t="shared" si="241"/>
        <v>-0.14471837257821779</v>
      </c>
      <c r="AI177" s="618">
        <f t="shared" si="241"/>
        <v>-7.200048629108613E-2</v>
      </c>
      <c r="AJ177" s="618">
        <f t="shared" si="241"/>
        <v>0.14687686108624354</v>
      </c>
      <c r="AK177" s="618">
        <f t="shared" si="241"/>
        <v>3.1166292884643888E-3</v>
      </c>
      <c r="AL177" s="618">
        <f t="shared" si="241"/>
        <v>8.8472830825273102E-2</v>
      </c>
      <c r="AM177" s="618">
        <f t="shared" si="241"/>
        <v>-1</v>
      </c>
      <c r="AN177" s="618">
        <f t="shared" si="241"/>
        <v>0</v>
      </c>
      <c r="AO177" s="618">
        <f t="shared" si="241"/>
        <v>0.2185910545371145</v>
      </c>
      <c r="AP177" s="618">
        <f t="shared" si="241"/>
        <v>-1</v>
      </c>
      <c r="AQ177" s="618">
        <f t="shared" si="241"/>
        <v>0</v>
      </c>
      <c r="AR177" s="618">
        <f t="shared" si="241"/>
        <v>0</v>
      </c>
      <c r="AS177" s="618">
        <f t="shared" si="241"/>
        <v>0</v>
      </c>
      <c r="AT177" s="618">
        <f t="shared" si="241"/>
        <v>0</v>
      </c>
      <c r="AU177" s="618">
        <f t="shared" si="241"/>
        <v>0</v>
      </c>
      <c r="AV177" s="565"/>
      <c r="AW177" s="631" t="s">
        <v>62</v>
      </c>
      <c r="AX177" s="631"/>
      <c r="AY177" s="618">
        <f t="shared" ref="AY177:BH177" si="242">(AY79-$AX79)/$AX79</f>
        <v>5.1338727803367214E-2</v>
      </c>
      <c r="AZ177" s="618">
        <f t="shared" si="242"/>
        <v>4.6518553650593229E-2</v>
      </c>
      <c r="BA177" s="618">
        <f t="shared" si="242"/>
        <v>4.8356899490527468E-2</v>
      </c>
      <c r="BB177" s="618">
        <f t="shared" si="242"/>
        <v>0.12614598817808309</v>
      </c>
      <c r="BC177" s="618">
        <f t="shared" si="242"/>
        <v>0.16652431129127143</v>
      </c>
      <c r="BD177" s="618">
        <f t="shared" si="242"/>
        <v>0.17028421978918251</v>
      </c>
      <c r="BE177" s="618">
        <f t="shared" si="242"/>
        <v>0.16001848270781543</v>
      </c>
      <c r="BF177" s="618">
        <f t="shared" si="242"/>
        <v>0.22860711137922152</v>
      </c>
      <c r="BG177" s="618">
        <f t="shared" si="242"/>
        <v>0.2709978876905354</v>
      </c>
      <c r="BH177" s="618">
        <f t="shared" si="242"/>
        <v>0.2853545212631009</v>
      </c>
      <c r="BI177" s="618">
        <f t="shared" si="195"/>
        <v>0.35204472589777852</v>
      </c>
      <c r="BJ177" s="618">
        <f t="shared" ref="BJ177:BS177" si="243">(BJ79-$AX79)/$AX79</f>
        <v>0.42046142012720206</v>
      </c>
      <c r="BK177" s="618">
        <f t="shared" si="243"/>
        <v>0.35458952399118737</v>
      </c>
      <c r="BL177" s="618">
        <f t="shared" si="243"/>
        <v>0.34920155313003293</v>
      </c>
      <c r="BM177" s="618">
        <f t="shared" si="243"/>
        <v>0.43342830738988841</v>
      </c>
      <c r="BN177" s="618">
        <f t="shared" si="243"/>
        <v>-1</v>
      </c>
      <c r="BO177" s="618">
        <f t="shared" si="243"/>
        <v>-1</v>
      </c>
      <c r="BP177" s="618">
        <f t="shared" si="243"/>
        <v>-1</v>
      </c>
      <c r="BQ177" s="618">
        <f t="shared" si="243"/>
        <v>-1</v>
      </c>
      <c r="BR177" s="618">
        <f t="shared" si="243"/>
        <v>-1</v>
      </c>
      <c r="BS177" s="618">
        <f t="shared" si="243"/>
        <v>-1</v>
      </c>
      <c r="BU177" s="631" t="s">
        <v>62</v>
      </c>
      <c r="BV177" s="631"/>
      <c r="BW177" s="618">
        <f t="shared" si="96"/>
        <v>5.1338727803367214E-2</v>
      </c>
      <c r="BX177" s="618">
        <f t="shared" si="97"/>
        <v>-4.5847965316041326E-3</v>
      </c>
      <c r="BY177" s="618">
        <f t="shared" si="98"/>
        <v>1.7566299551226255E-3</v>
      </c>
      <c r="BZ177" s="618">
        <f t="shared" si="99"/>
        <v>7.4200960307848382E-2</v>
      </c>
      <c r="CA177" s="618">
        <f t="shared" si="100"/>
        <v>3.58553185262541E-2</v>
      </c>
      <c r="CB177" s="618">
        <f t="shared" si="101"/>
        <v>3.2231720003752704E-3</v>
      </c>
      <c r="CC177" s="618">
        <f t="shared" si="102"/>
        <v>-8.7720033371178549E-3</v>
      </c>
      <c r="CD177" s="618">
        <f t="shared" si="103"/>
        <v>5.9127186069743091E-2</v>
      </c>
      <c r="CE177" s="618">
        <f t="shared" si="190"/>
        <v>3.4503118139798526E-2</v>
      </c>
      <c r="CF177" s="618">
        <f t="shared" si="191"/>
        <v>1.1295560528941716E-2</v>
      </c>
      <c r="CG177" s="618">
        <f t="shared" si="197"/>
        <v>5.1884677364453527E-2</v>
      </c>
      <c r="CH177" s="618">
        <f t="shared" si="198"/>
        <v>5.060238978706405E-2</v>
      </c>
      <c r="CI177" s="618">
        <f t="shared" si="205"/>
        <v>-4.6373590442263378E-2</v>
      </c>
      <c r="CJ177" s="618">
        <f t="shared" si="206"/>
        <v>-3.9775672007851112E-3</v>
      </c>
      <c r="CK177" s="618">
        <f t="shared" si="237"/>
        <v>6.2427110363500966E-2</v>
      </c>
      <c r="CL177" s="618">
        <f t="shared" si="237"/>
        <v>-1</v>
      </c>
      <c r="CM177" s="618" t="e">
        <f t="shared" si="207"/>
        <v>#DIV/0!</v>
      </c>
      <c r="CN177" s="618" t="e">
        <f t="shared" si="208"/>
        <v>#DIV/0!</v>
      </c>
      <c r="CO177" s="618" t="e">
        <f t="shared" si="209"/>
        <v>#DIV/0!</v>
      </c>
      <c r="CP177" s="618" t="e">
        <f t="shared" si="210"/>
        <v>#DIV/0!</v>
      </c>
      <c r="CQ177" s="618" t="e">
        <f t="shared" si="211"/>
        <v>#DIV/0!</v>
      </c>
      <c r="CZ177" s="3"/>
      <c r="DA177" s="3"/>
      <c r="DC177" s="41"/>
      <c r="DD177" s="41"/>
      <c r="DE177" s="3"/>
      <c r="DF177" s="118"/>
      <c r="DG177" s="700"/>
      <c r="DH177" s="700"/>
      <c r="DI177" s="700"/>
      <c r="DJ177" s="700"/>
      <c r="DK177" s="43"/>
      <c r="DL177" s="43"/>
      <c r="DS177" s="3"/>
      <c r="DT177" s="3"/>
      <c r="DV177" s="41"/>
      <c r="DW177" s="41"/>
      <c r="DY177" s="118"/>
      <c r="DZ177" s="3"/>
      <c r="EA177" s="486"/>
      <c r="EB177" s="486"/>
      <c r="EC177" s="486"/>
      <c r="ED177" s="486"/>
      <c r="EE177" s="43"/>
      <c r="EF177" s="43"/>
      <c r="EL177" s="3"/>
      <c r="EM177" s="3"/>
      <c r="EO177" s="41"/>
      <c r="EP177" s="41"/>
      <c r="FC177" s="3"/>
      <c r="FE177" s="39"/>
      <c r="FF177" s="39"/>
      <c r="FH177" s="41"/>
      <c r="FI177" s="41"/>
      <c r="FM177" s="3"/>
      <c r="FN177" s="3"/>
      <c r="FO177" s="486"/>
      <c r="FP177" s="486"/>
      <c r="FQ177" s="486"/>
      <c r="FR177" s="486"/>
      <c r="FS177" s="43"/>
      <c r="FT177" s="43"/>
      <c r="FX177" s="3"/>
      <c r="FY177" s="3"/>
      <c r="GA177" s="41"/>
      <c r="GB177" s="41"/>
      <c r="GG177" s="3"/>
      <c r="GH177" s="3"/>
      <c r="GI177" s="486"/>
      <c r="GJ177" s="486"/>
      <c r="GK177" s="486"/>
      <c r="GL177" s="486"/>
      <c r="GM177" s="43"/>
      <c r="GN177" s="43"/>
      <c r="GO177" s="393"/>
      <c r="GS177" s="3"/>
      <c r="GT177" s="3"/>
      <c r="GV177" s="41"/>
      <c r="GW177" s="41"/>
      <c r="HA177" s="3"/>
      <c r="HB177" s="3"/>
      <c r="HC177" s="43"/>
      <c r="HD177" s="43"/>
      <c r="HE177" s="43"/>
      <c r="HF177" s="43"/>
      <c r="HG177" s="43"/>
    </row>
    <row r="178" spans="1:215">
      <c r="A178" s="632" t="s">
        <v>63</v>
      </c>
      <c r="B178" s="632"/>
      <c r="C178" s="616">
        <f t="shared" si="128"/>
        <v>8.3612494196564691E-2</v>
      </c>
      <c r="D178" s="616">
        <f t="shared" si="129"/>
        <v>0.27832598255756996</v>
      </c>
      <c r="E178" s="616">
        <f t="shared" si="130"/>
        <v>0.40485000027618107</v>
      </c>
      <c r="F178" s="616">
        <f t="shared" si="131"/>
        <v>0.54699324635666391</v>
      </c>
      <c r="G178" s="616">
        <f t="shared" si="132"/>
        <v>0.70857082720284148</v>
      </c>
      <c r="H178" s="616">
        <f t="shared" si="133"/>
        <v>0.8515860784999475</v>
      </c>
      <c r="I178" s="616">
        <f t="shared" si="134"/>
        <v>0.87402883853091473</v>
      </c>
      <c r="J178" s="616">
        <f t="shared" si="135"/>
        <v>1.0429587359398425</v>
      </c>
      <c r="K178" s="616">
        <f t="shared" si="136"/>
        <v>1.0348704696501776</v>
      </c>
      <c r="L178" s="616">
        <f t="shared" si="137"/>
        <v>1.1898558131597641</v>
      </c>
      <c r="M178" s="616">
        <f t="shared" si="138"/>
        <v>1.3755259140646781</v>
      </c>
      <c r="N178" s="616">
        <f t="shared" si="139"/>
        <v>1.3385922268707848</v>
      </c>
      <c r="O178" s="616">
        <f t="shared" si="140"/>
        <v>1.5254715354763237</v>
      </c>
      <c r="P178" s="616">
        <f t="shared" si="141"/>
        <v>1.5503913775705547</v>
      </c>
      <c r="Q178" s="616">
        <f t="shared" si="142"/>
        <v>1.556319792032788</v>
      </c>
      <c r="R178" s="616">
        <f t="shared" si="143"/>
        <v>1.6279671071317787</v>
      </c>
      <c r="S178" s="616">
        <f t="shared" si="144"/>
        <v>1.6177202972405449</v>
      </c>
      <c r="T178" s="616">
        <f t="shared" si="145"/>
        <v>1.7646724362334376</v>
      </c>
      <c r="U178" s="616">
        <f t="shared" si="146"/>
        <v>1.7772280903420077</v>
      </c>
      <c r="V178" s="616">
        <f t="shared" si="147"/>
        <v>1.906851643989298</v>
      </c>
      <c r="W178" s="616">
        <f t="shared" si="148"/>
        <v>1.8926327405907308</v>
      </c>
      <c r="Y178" s="632" t="s">
        <v>63</v>
      </c>
      <c r="Z178" s="632"/>
      <c r="AA178" s="616">
        <f t="shared" ref="AA178:AU178" si="244">IFERROR((AA80-Z80)/Z80,0)</f>
        <v>8.3612494196564691E-2</v>
      </c>
      <c r="AB178" s="616">
        <f t="shared" si="244"/>
        <v>0.17968922414961075</v>
      </c>
      <c r="AC178" s="616">
        <f t="shared" si="244"/>
        <v>9.8976332676483841E-2</v>
      </c>
      <c r="AD178" s="616">
        <f t="shared" si="244"/>
        <v>0.10118037231913633</v>
      </c>
      <c r="AE178" s="616">
        <f t="shared" si="244"/>
        <v>0.1044462095918714</v>
      </c>
      <c r="AF178" s="616">
        <f t="shared" si="244"/>
        <v>8.3704607980016263E-2</v>
      </c>
      <c r="AG178" s="616">
        <f t="shared" si="244"/>
        <v>1.212082996927109E-2</v>
      </c>
      <c r="AH178" s="616">
        <f t="shared" si="244"/>
        <v>9.0142634913427944E-2</v>
      </c>
      <c r="AI178" s="616">
        <f t="shared" si="244"/>
        <v>-3.9590943015028303E-3</v>
      </c>
      <c r="AJ178" s="616">
        <f t="shared" si="244"/>
        <v>7.6164721942340904E-2</v>
      </c>
      <c r="AK178" s="616">
        <f t="shared" si="244"/>
        <v>8.4786450226149362E-2</v>
      </c>
      <c r="AL178" s="616">
        <f t="shared" si="244"/>
        <v>-1.5547583368895912E-2</v>
      </c>
      <c r="AM178" s="616">
        <f t="shared" si="244"/>
        <v>7.9911027864655815E-2</v>
      </c>
      <c r="AN178" s="616">
        <f t="shared" si="244"/>
        <v>9.867401688822084E-3</v>
      </c>
      <c r="AO178" s="616">
        <f t="shared" si="244"/>
        <v>2.3245116472596673E-3</v>
      </c>
      <c r="AP178" s="616">
        <f t="shared" si="244"/>
        <v>2.8027524303607047E-2</v>
      </c>
      <c r="AQ178" s="616">
        <f t="shared" si="244"/>
        <v>-3.8991393246232365E-3</v>
      </c>
      <c r="AR178" s="616">
        <f t="shared" si="244"/>
        <v>5.6137448736521295E-2</v>
      </c>
      <c r="AS178" s="616">
        <f t="shared" si="244"/>
        <v>4.5414617457090849E-3</v>
      </c>
      <c r="AT178" s="616">
        <f t="shared" si="244"/>
        <v>4.6673715456812724E-2</v>
      </c>
      <c r="AU178" s="616">
        <f t="shared" si="244"/>
        <v>-4.8915132727769799E-3</v>
      </c>
      <c r="AV178" s="565"/>
      <c r="AW178" s="632" t="s">
        <v>63</v>
      </c>
      <c r="AX178" s="632"/>
      <c r="AY178" s="616">
        <v>0</v>
      </c>
      <c r="AZ178" s="616">
        <v>0</v>
      </c>
      <c r="BA178" s="616">
        <v>0</v>
      </c>
      <c r="BB178" s="616">
        <v>0</v>
      </c>
      <c r="BC178" s="616">
        <v>0</v>
      </c>
      <c r="BD178" s="616">
        <v>0</v>
      </c>
      <c r="BE178" s="616">
        <v>0</v>
      </c>
      <c r="BF178" s="616">
        <v>0</v>
      </c>
      <c r="BG178" s="616">
        <v>0</v>
      </c>
      <c r="BH178" s="616">
        <v>0</v>
      </c>
      <c r="BI178" s="616">
        <v>0</v>
      </c>
      <c r="BJ178" s="616">
        <v>0</v>
      </c>
      <c r="BK178" s="616">
        <v>0</v>
      </c>
      <c r="BL178" s="616">
        <v>0</v>
      </c>
      <c r="BM178" s="616">
        <v>0</v>
      </c>
      <c r="BN178" s="616">
        <v>0</v>
      </c>
      <c r="BO178" s="616">
        <v>0</v>
      </c>
      <c r="BP178" s="616">
        <v>0</v>
      </c>
      <c r="BQ178" s="616">
        <v>0</v>
      </c>
      <c r="BR178" s="616">
        <v>0</v>
      </c>
      <c r="BS178" s="616">
        <v>0</v>
      </c>
      <c r="BU178" s="632" t="s">
        <v>63</v>
      </c>
      <c r="BV178" s="632"/>
      <c r="BW178" s="616">
        <v>0</v>
      </c>
      <c r="BX178" s="616">
        <v>0</v>
      </c>
      <c r="BY178" s="616">
        <v>0</v>
      </c>
      <c r="BZ178" s="616">
        <v>0</v>
      </c>
      <c r="CA178" s="616">
        <v>0</v>
      </c>
      <c r="CB178" s="616">
        <v>0</v>
      </c>
      <c r="CC178" s="616">
        <v>0</v>
      </c>
      <c r="CD178" s="616">
        <v>0</v>
      </c>
      <c r="CE178" s="616">
        <v>0</v>
      </c>
      <c r="CF178" s="616">
        <v>0</v>
      </c>
      <c r="CG178" s="616">
        <v>0</v>
      </c>
      <c r="CH178" s="616">
        <v>0</v>
      </c>
      <c r="CI178" s="616">
        <v>0</v>
      </c>
      <c r="CJ178" s="616">
        <v>0</v>
      </c>
      <c r="CK178" s="616">
        <v>0</v>
      </c>
      <c r="CL178" s="616">
        <v>0</v>
      </c>
      <c r="CM178" s="616"/>
      <c r="CN178" s="616"/>
      <c r="CO178" s="616"/>
      <c r="CP178" s="616"/>
      <c r="CQ178" s="616"/>
      <c r="CZ178" s="3"/>
      <c r="DA178" s="3"/>
      <c r="DC178" s="41"/>
      <c r="DD178" s="41"/>
      <c r="DE178" s="3"/>
      <c r="DF178" s="118"/>
      <c r="DG178" s="700"/>
      <c r="DH178" s="700"/>
      <c r="DI178" s="700"/>
      <c r="DJ178" s="700"/>
      <c r="DK178" s="43"/>
      <c r="DL178" s="43"/>
      <c r="DS178" s="3"/>
      <c r="DT178" s="3"/>
      <c r="DV178" s="41"/>
      <c r="DW178" s="41"/>
      <c r="DY178" s="118"/>
      <c r="DZ178" s="3"/>
      <c r="EA178" s="486"/>
      <c r="EB178" s="486"/>
      <c r="EC178" s="486"/>
      <c r="ED178" s="486"/>
      <c r="EE178" s="43"/>
      <c r="EF178" s="43"/>
      <c r="EL178" s="3"/>
      <c r="EM178" s="3"/>
      <c r="EO178" s="41"/>
      <c r="EP178" s="41"/>
      <c r="FC178" s="3"/>
      <c r="FE178" s="39"/>
      <c r="FF178" s="39"/>
      <c r="FH178" s="41"/>
      <c r="FI178" s="41"/>
      <c r="FM178" s="3"/>
      <c r="FN178" s="3"/>
      <c r="FO178" s="486"/>
      <c r="FP178" s="486"/>
      <c r="FQ178" s="486"/>
      <c r="FR178" s="486"/>
      <c r="FS178" s="43"/>
      <c r="FT178" s="43"/>
      <c r="FX178" s="3"/>
      <c r="FY178" s="3"/>
      <c r="GA178" s="41"/>
      <c r="GB178" s="41"/>
      <c r="GG178" s="3"/>
      <c r="GH178" s="3"/>
      <c r="GI178" s="486"/>
      <c r="GJ178" s="486"/>
      <c r="GK178" s="486"/>
      <c r="GL178" s="486"/>
      <c r="GM178" s="43"/>
      <c r="GN178" s="43"/>
      <c r="GO178" s="393"/>
      <c r="GS178" s="3"/>
      <c r="GT178" s="3"/>
      <c r="GV178" s="41"/>
      <c r="GW178" s="41"/>
      <c r="HA178" s="3"/>
      <c r="HB178" s="3"/>
      <c r="HC178" s="43"/>
      <c r="HD178" s="43"/>
      <c r="HE178" s="43"/>
      <c r="HF178" s="43"/>
      <c r="HG178" s="43"/>
    </row>
    <row r="179" spans="1:215">
      <c r="A179" s="631" t="s">
        <v>64</v>
      </c>
      <c r="B179" s="631"/>
      <c r="C179" s="618">
        <f t="shared" ref="C179:C203" si="245">IFERROR((AA81-$Z81)/$Z81,0)</f>
        <v>0.32833483744282044</v>
      </c>
      <c r="D179" s="618">
        <f t="shared" ref="D179:D203" si="246">IFERROR((AB81-$Z81)/$Z81,0)</f>
        <v>-8.020171639508511E-2</v>
      </c>
      <c r="E179" s="618">
        <f t="shared" ref="E179:E203" si="247">IFERROR((AC81-$Z81)/$Z81,0)</f>
        <v>-0.12018265682876976</v>
      </c>
      <c r="F179" s="618">
        <f t="shared" ref="F179:F203" si="248">IFERROR((AD81-$Z81)/$Z81,0)</f>
        <v>-0.10719932161944265</v>
      </c>
      <c r="G179" s="618">
        <f t="shared" ref="G179:G203" si="249">IFERROR((AE81-$Z81)/$Z81,0)</f>
        <v>-1</v>
      </c>
      <c r="H179" s="618">
        <f t="shared" ref="H179:H203" si="250">IFERROR((AF81-$Z81)/$Z81,0)</f>
        <v>-1</v>
      </c>
      <c r="I179" s="618">
        <f t="shared" ref="I179:I203" si="251">IFERROR((AG81-$Z81)/$Z81,0)</f>
        <v>0.11299713668994357</v>
      </c>
      <c r="J179" s="618">
        <f t="shared" ref="J179:J203" si="252">IFERROR((AH81-$Z81)/$Z81,0)</f>
        <v>0.60677871453725463</v>
      </c>
      <c r="K179" s="618">
        <f t="shared" ref="K179:K203" si="253">IFERROR((AI81-$Z81)/$Z81,0)</f>
        <v>0.74451510466653115</v>
      </c>
      <c r="L179" s="618">
        <f t="shared" ref="L179:L203" si="254">IFERROR((AJ81-$Z81)/$Z81,0)</f>
        <v>0.73083294520812203</v>
      </c>
      <c r="M179" s="618">
        <f t="shared" ref="M179:M203" si="255">IFERROR((AK81-$Z81)/$Z81,0)</f>
        <v>0.8842799544829556</v>
      </c>
      <c r="N179" s="618">
        <f t="shared" ref="N179:N203" si="256">IFERROR((AL81-$Z81)/$Z81,0)</f>
        <v>1.0151752648830275</v>
      </c>
      <c r="O179" s="618">
        <f t="shared" ref="O179:O203" si="257">IFERROR((AM81-$Z81)/$Z81,0)</f>
        <v>0.83965384136570231</v>
      </c>
      <c r="P179" s="618">
        <f t="shared" ref="P179:P203" si="258">IFERROR((AN81-$Z81)/$Z81,0)</f>
        <v>1.7851546978927488</v>
      </c>
      <c r="Q179" s="618">
        <f t="shared" ref="Q179:Q203" si="259">IFERROR((AO81-$Z81)/$Z81,0)</f>
        <v>1.5596377091451317</v>
      </c>
      <c r="R179" s="618">
        <f t="shared" ref="R179:R203" si="260">IFERROR((AP81-$Z81)/$Z81,0)</f>
        <v>1.6471001180086255</v>
      </c>
      <c r="S179" s="618">
        <f t="shared" ref="S179:S203" si="261">IFERROR((AQ81-$Z81)/$Z81,0)</f>
        <v>1.8722591432820399</v>
      </c>
      <c r="T179" s="618">
        <f t="shared" ref="T179:T203" si="262">IFERROR((AR81-$Z81)/$Z81,0)</f>
        <v>2.1849203511383042</v>
      </c>
      <c r="U179" s="618">
        <f t="shared" ref="U179:U203" si="263">IFERROR((AS81-$Z81)/$Z81,0)</f>
        <v>2.2241372384231632</v>
      </c>
      <c r="V179" s="618">
        <f t="shared" ref="V179:V203" si="264">IFERROR((AT81-$Z81)/$Z81,0)</f>
        <v>2.2628370673563962</v>
      </c>
      <c r="W179" s="618">
        <f t="shared" ref="W179:W203" si="265">IFERROR((AU81-$Z81)/$Z81,0)</f>
        <v>2.1818975484672603</v>
      </c>
      <c r="Y179" s="631" t="s">
        <v>64</v>
      </c>
      <c r="Z179" s="631"/>
      <c r="AA179" s="618">
        <f t="shared" ref="AA179:AU179" si="266">IFERROR((AA81-Z81)/Z81,0)</f>
        <v>0.32833483744282044</v>
      </c>
      <c r="AB179" s="618">
        <f t="shared" si="266"/>
        <v>-0.30755540118512587</v>
      </c>
      <c r="AC179" s="618">
        <f t="shared" si="266"/>
        <v>-4.3467074407868588E-2</v>
      </c>
      <c r="AD179" s="618">
        <f t="shared" si="266"/>
        <v>1.4756853010568909E-2</v>
      </c>
      <c r="AE179" s="618">
        <f t="shared" si="266"/>
        <v>-1</v>
      </c>
      <c r="AF179" s="618">
        <f t="shared" si="266"/>
        <v>0</v>
      </c>
      <c r="AG179" s="618">
        <f t="shared" si="266"/>
        <v>0</v>
      </c>
      <c r="AH179" s="618">
        <f t="shared" si="266"/>
        <v>0.44365035773211314</v>
      </c>
      <c r="AI179" s="618">
        <f t="shared" si="266"/>
        <v>8.5722065448784593E-2</v>
      </c>
      <c r="AJ179" s="618">
        <f t="shared" si="266"/>
        <v>-7.8429584368801437E-3</v>
      </c>
      <c r="AK179" s="618">
        <f t="shared" si="266"/>
        <v>8.8655008387526713E-2</v>
      </c>
      <c r="AL179" s="618">
        <f t="shared" si="266"/>
        <v>6.9467018469656985E-2</v>
      </c>
      <c r="AM179" s="618">
        <f t="shared" si="266"/>
        <v>-8.709983026092448E-2</v>
      </c>
      <c r="AN179" s="618">
        <f t="shared" si="266"/>
        <v>0.51395585151233436</v>
      </c>
      <c r="AO179" s="618">
        <f t="shared" si="266"/>
        <v>-8.0971081756515531E-2</v>
      </c>
      <c r="AP179" s="618">
        <f t="shared" si="266"/>
        <v>3.4169839173335402E-2</v>
      </c>
      <c r="AQ179" s="618">
        <f t="shared" si="266"/>
        <v>8.5058749286293839E-2</v>
      </c>
      <c r="AR179" s="618">
        <f t="shared" si="266"/>
        <v>0.10885550093470886</v>
      </c>
      <c r="AS179" s="618">
        <f t="shared" si="266"/>
        <v>1.2313302362755383E-2</v>
      </c>
      <c r="AT179" s="618">
        <f t="shared" si="266"/>
        <v>1.2003158076534012E-2</v>
      </c>
      <c r="AU179" s="618">
        <f t="shared" si="266"/>
        <v>-2.4806485036874503E-2</v>
      </c>
      <c r="AV179" s="565"/>
      <c r="AW179" s="631" t="s">
        <v>64</v>
      </c>
      <c r="AX179" s="631"/>
      <c r="AY179" s="618">
        <f t="shared" ref="AY179:BS179" si="267">(AY81-$AX81)/$AX81</f>
        <v>4.3691657990787329E-2</v>
      </c>
      <c r="AZ179" s="618">
        <f t="shared" si="267"/>
        <v>-1.3618635146638402E-3</v>
      </c>
      <c r="BA179" s="618">
        <f t="shared" si="267"/>
        <v>0.15633136531075964</v>
      </c>
      <c r="BB179" s="618">
        <f t="shared" si="267"/>
        <v>0.30093813135452635</v>
      </c>
      <c r="BC179" s="618">
        <f t="shared" si="267"/>
        <v>0.35934624732969195</v>
      </c>
      <c r="BD179" s="618">
        <f t="shared" si="267"/>
        <v>0.56389257663870118</v>
      </c>
      <c r="BE179" s="618">
        <f t="shared" si="267"/>
        <v>0.6853956641304858</v>
      </c>
      <c r="BF179" s="618">
        <f t="shared" si="267"/>
        <v>0.86841478602790134</v>
      </c>
      <c r="BG179" s="618">
        <f t="shared" si="267"/>
        <v>0.93934723712710777</v>
      </c>
      <c r="BH179" s="618">
        <f t="shared" si="267"/>
        <v>1.0042840841314167</v>
      </c>
      <c r="BI179" s="618">
        <f t="shared" si="267"/>
        <v>1.1218415618435027</v>
      </c>
      <c r="BJ179" s="618">
        <f t="shared" si="267"/>
        <v>1.1494831604038305</v>
      </c>
      <c r="BK179" s="618">
        <f t="shared" si="267"/>
        <v>1.2540130404389063</v>
      </c>
      <c r="BL179" s="618">
        <f t="shared" si="267"/>
        <v>1.3680579305358809</v>
      </c>
      <c r="BM179" s="618">
        <f t="shared" si="267"/>
        <v>1.4204694651190446</v>
      </c>
      <c r="BN179" s="618">
        <f t="shared" si="267"/>
        <v>1.3896675604578999</v>
      </c>
      <c r="BO179" s="618">
        <f t="shared" si="267"/>
        <v>1.4243081972328739</v>
      </c>
      <c r="BP179" s="618">
        <f t="shared" si="267"/>
        <v>1.4581863149881975</v>
      </c>
      <c r="BQ179" s="618">
        <f t="shared" si="267"/>
        <v>1.5343484419867062</v>
      </c>
      <c r="BR179" s="618">
        <f t="shared" si="267"/>
        <v>1.5585558639786525</v>
      </c>
      <c r="BS179" s="618">
        <f t="shared" si="267"/>
        <v>1.5171082392339217</v>
      </c>
      <c r="BU179" s="631" t="s">
        <v>64</v>
      </c>
      <c r="BV179" s="631"/>
      <c r="BW179" s="618">
        <f t="shared" ref="BW179:CF181" si="268">(AY81-AX81)/AX81</f>
        <v>4.3691657990787329E-2</v>
      </c>
      <c r="BX179" s="618">
        <f t="shared" si="268"/>
        <v>-4.3167463455810101E-2</v>
      </c>
      <c r="BY179" s="618">
        <f t="shared" si="268"/>
        <v>0.15790827834836951</v>
      </c>
      <c r="BZ179" s="618">
        <f t="shared" si="268"/>
        <v>0.12505651094650033</v>
      </c>
      <c r="CA179" s="618">
        <f t="shared" si="268"/>
        <v>4.4896920589414635E-2</v>
      </c>
      <c r="CB179" s="618">
        <f t="shared" si="268"/>
        <v>0.15047404567513339</v>
      </c>
      <c r="CC179" s="618">
        <f t="shared" si="268"/>
        <v>7.7692732420875821E-2</v>
      </c>
      <c r="CD179" s="618">
        <f t="shared" si="268"/>
        <v>0.10859119065779556</v>
      </c>
      <c r="CE179" s="618">
        <f t="shared" si="268"/>
        <v>3.7963974396714686E-2</v>
      </c>
      <c r="CF179" s="618">
        <f t="shared" si="268"/>
        <v>3.3483868056812943E-2</v>
      </c>
      <c r="CG179" s="618">
        <f t="shared" ref="CG179:CP181" si="269">(BI81-BH81)/BH81</f>
        <v>5.8653101445462617E-2</v>
      </c>
      <c r="CH179" s="618">
        <f t="shared" si="269"/>
        <v>1.3027173686008909E-2</v>
      </c>
      <c r="CI179" s="618">
        <f t="shared" si="269"/>
        <v>4.8630239101495214E-2</v>
      </c>
      <c r="CJ179" s="618">
        <f t="shared" si="269"/>
        <v>5.0596375464965149E-2</v>
      </c>
      <c r="CK179" s="618">
        <f t="shared" si="269"/>
        <v>2.2132707949126588E-2</v>
      </c>
      <c r="CL179" s="618">
        <f t="shared" si="269"/>
        <v>-1.2725591090912505E-2</v>
      </c>
      <c r="CM179" s="618">
        <f t="shared" si="269"/>
        <v>1.4496006619571964E-2</v>
      </c>
      <c r="CN179" s="618">
        <f t="shared" si="269"/>
        <v>1.3974344431121557E-2</v>
      </c>
      <c r="CO179" s="618">
        <f t="shared" si="269"/>
        <v>3.0983057115780227E-2</v>
      </c>
      <c r="CP179" s="618">
        <f t="shared" si="269"/>
        <v>9.5517339253357696E-3</v>
      </c>
      <c r="CQ179" s="618">
        <f t="shared" ref="CQ179:CQ181" si="270">(BS81-BR81)/BR81</f>
        <v>-1.6199616873042669E-2</v>
      </c>
      <c r="CZ179" s="3"/>
      <c r="DA179" s="3"/>
      <c r="DC179" s="41"/>
      <c r="DD179" s="41"/>
      <c r="DE179" s="3"/>
      <c r="DF179" s="118"/>
      <c r="DG179" s="700"/>
      <c r="DH179" s="700"/>
      <c r="DI179" s="700"/>
      <c r="DJ179" s="700"/>
      <c r="DK179" s="43"/>
      <c r="DL179" s="43"/>
      <c r="DS179" s="3"/>
      <c r="DT179" s="3"/>
      <c r="DV179" s="41"/>
      <c r="DW179" s="41"/>
      <c r="DY179" s="118"/>
      <c r="DZ179" s="3"/>
      <c r="EA179" s="486"/>
      <c r="EB179" s="486"/>
      <c r="EC179" s="486"/>
      <c r="ED179" s="486"/>
      <c r="EE179" s="43"/>
      <c r="EF179" s="43"/>
      <c r="EL179" s="3"/>
      <c r="EM179" s="3"/>
      <c r="EO179" s="41"/>
      <c r="EP179" s="41"/>
      <c r="FC179" s="3"/>
      <c r="FE179" s="39"/>
      <c r="FF179" s="39"/>
      <c r="FH179" s="41"/>
      <c r="FI179" s="41"/>
      <c r="FM179" s="3"/>
      <c r="FN179" s="3"/>
      <c r="FO179" s="486"/>
      <c r="FP179" s="486"/>
      <c r="FQ179" s="486"/>
      <c r="FR179" s="486"/>
      <c r="FS179" s="43"/>
      <c r="FT179" s="43"/>
      <c r="FX179" s="3"/>
      <c r="FY179" s="3"/>
      <c r="GA179" s="41"/>
      <c r="GB179" s="41"/>
      <c r="GG179" s="3"/>
      <c r="GH179" s="3"/>
      <c r="GI179" s="486"/>
      <c r="GJ179" s="486"/>
      <c r="GK179" s="486"/>
      <c r="GL179" s="486"/>
      <c r="GM179" s="43"/>
      <c r="GN179" s="43"/>
      <c r="GO179" s="393"/>
      <c r="GS179" s="3"/>
      <c r="GT179" s="3"/>
      <c r="GV179" s="41"/>
      <c r="GW179" s="41"/>
      <c r="HA179" s="3"/>
      <c r="HB179" s="3"/>
      <c r="HC179" s="43"/>
      <c r="HD179" s="43"/>
      <c r="HE179" s="43"/>
      <c r="HF179" s="43"/>
      <c r="HG179" s="43"/>
    </row>
    <row r="180" spans="1:215">
      <c r="A180" s="632" t="s">
        <v>65</v>
      </c>
      <c r="B180" s="632"/>
      <c r="C180" s="616">
        <f t="shared" si="245"/>
        <v>0.12369197293389673</v>
      </c>
      <c r="D180" s="616">
        <f t="shared" si="246"/>
        <v>0.11395079142989452</v>
      </c>
      <c r="E180" s="616">
        <f t="shared" si="247"/>
        <v>0.18918266641717596</v>
      </c>
      <c r="F180" s="616">
        <f t="shared" si="248"/>
        <v>0.16536445084826018</v>
      </c>
      <c r="G180" s="616">
        <f t="shared" si="249"/>
        <v>0.23381478589874485</v>
      </c>
      <c r="H180" s="616">
        <f t="shared" si="250"/>
        <v>0.21556990844120755</v>
      </c>
      <c r="I180" s="616">
        <f t="shared" si="251"/>
        <v>0.35001533673057633</v>
      </c>
      <c r="J180" s="616">
        <f t="shared" si="252"/>
        <v>0.35102463257610927</v>
      </c>
      <c r="K180" s="616">
        <f t="shared" si="253"/>
        <v>0.40490736912532488</v>
      </c>
      <c r="L180" s="616">
        <f t="shared" si="254"/>
        <v>0.44788166992675599</v>
      </c>
      <c r="M180" s="616">
        <f t="shared" si="255"/>
        <v>0.61639337671626215</v>
      </c>
      <c r="N180" s="616">
        <f t="shared" si="256"/>
        <v>0.54865615000414447</v>
      </c>
      <c r="O180" s="616">
        <f t="shared" si="257"/>
        <v>0.6823810249403035</v>
      </c>
      <c r="P180" s="616">
        <f t="shared" si="258"/>
        <v>0.71492194398271569</v>
      </c>
      <c r="Q180" s="616">
        <f t="shared" si="259"/>
        <v>0.6538790264501525</v>
      </c>
      <c r="R180" s="616">
        <f t="shared" si="260"/>
        <v>0.80050238960159747</v>
      </c>
      <c r="S180" s="616">
        <f t="shared" si="261"/>
        <v>0.74550234244983682</v>
      </c>
      <c r="T180" s="616">
        <f t="shared" si="262"/>
        <v>0.90089221057877056</v>
      </c>
      <c r="U180" s="616">
        <f t="shared" si="263"/>
        <v>0.83111380896389719</v>
      </c>
      <c r="V180" s="616">
        <f t="shared" si="264"/>
        <v>1.0235674426522916</v>
      </c>
      <c r="W180" s="616">
        <f t="shared" si="265"/>
        <v>0.83023281554082329</v>
      </c>
      <c r="Y180" s="632" t="s">
        <v>65</v>
      </c>
      <c r="Z180" s="632"/>
      <c r="AA180" s="616">
        <f t="shared" ref="AA180:AU180" si="271">IFERROR((AA82-Z82)/Z82,0)</f>
        <v>0.12369197293389673</v>
      </c>
      <c r="AB180" s="616">
        <f t="shared" si="271"/>
        <v>-8.6689072616302036E-3</v>
      </c>
      <c r="AC180" s="616">
        <f t="shared" si="271"/>
        <v>6.7536084687108991E-2</v>
      </c>
      <c r="AD180" s="616">
        <f t="shared" si="271"/>
        <v>-2.0029063861716358E-2</v>
      </c>
      <c r="AE180" s="616">
        <f t="shared" si="271"/>
        <v>5.8737277424809185E-2</v>
      </c>
      <c r="AF180" s="616">
        <f t="shared" si="271"/>
        <v>-1.4787371383499207E-2</v>
      </c>
      <c r="AG180" s="616">
        <f t="shared" si="271"/>
        <v>0.11060279409332827</v>
      </c>
      <c r="AH180" s="616">
        <f t="shared" si="271"/>
        <v>7.476180589008972E-4</v>
      </c>
      <c r="AI180" s="616">
        <f t="shared" si="271"/>
        <v>3.9882867602845248E-2</v>
      </c>
      <c r="AJ180" s="616">
        <f t="shared" si="271"/>
        <v>3.0588707658488753E-2</v>
      </c>
      <c r="AK180" s="616">
        <f t="shared" si="271"/>
        <v>0.11638499905729907</v>
      </c>
      <c r="AL180" s="616">
        <f t="shared" si="271"/>
        <v>-4.1906399573182665E-2</v>
      </c>
      <c r="AM180" s="616">
        <f t="shared" si="271"/>
        <v>8.6348977425234869E-2</v>
      </c>
      <c r="AN180" s="616">
        <f t="shared" si="271"/>
        <v>1.9342181444044121E-2</v>
      </c>
      <c r="AO180" s="616">
        <f t="shared" si="271"/>
        <v>-3.5595157987656195E-2</v>
      </c>
      <c r="AP180" s="616">
        <f t="shared" si="271"/>
        <v>8.8654224889805872E-2</v>
      </c>
      <c r="AQ180" s="616">
        <f t="shared" si="271"/>
        <v>-3.0547055904730402E-2</v>
      </c>
      <c r="AR180" s="616">
        <f t="shared" si="271"/>
        <v>8.9023007503296683E-2</v>
      </c>
      <c r="AS180" s="616">
        <f t="shared" si="271"/>
        <v>-3.6708236914510639E-2</v>
      </c>
      <c r="AT180" s="616">
        <f t="shared" si="271"/>
        <v>0.10510195092531731</v>
      </c>
      <c r="AU180" s="616">
        <f t="shared" si="271"/>
        <v>-9.5541479387543607E-2</v>
      </c>
      <c r="AV180" s="565"/>
      <c r="AW180" s="632" t="s">
        <v>65</v>
      </c>
      <c r="AX180" s="632"/>
      <c r="AY180" s="616">
        <f t="shared" ref="AY180:BS180" si="272">(AY82-$AX82)/$AX82</f>
        <v>7.4835800197640426E-2</v>
      </c>
      <c r="AZ180" s="616">
        <f t="shared" si="272"/>
        <v>-5.4919408334743687E-2</v>
      </c>
      <c r="BA180" s="616">
        <f t="shared" si="272"/>
        <v>4.3697552972521453E-2</v>
      </c>
      <c r="BB180" s="616">
        <f t="shared" si="272"/>
        <v>0.17507582127199567</v>
      </c>
      <c r="BC180" s="616">
        <f t="shared" si="272"/>
        <v>0.92575145636898692</v>
      </c>
      <c r="BD180" s="616">
        <f t="shared" si="272"/>
        <v>1.4374709101555465</v>
      </c>
      <c r="BE180" s="616">
        <f t="shared" si="272"/>
        <v>1.4081354655194069</v>
      </c>
      <c r="BF180" s="616">
        <f t="shared" si="272"/>
        <v>1.788334102237922</v>
      </c>
      <c r="BG180" s="616">
        <f t="shared" si="272"/>
        <v>1.8521547470531394</v>
      </c>
      <c r="BH180" s="616">
        <f t="shared" si="272"/>
        <v>1.8933475876414743</v>
      </c>
      <c r="BI180" s="616">
        <f t="shared" si="272"/>
        <v>2.1410889872844114</v>
      </c>
      <c r="BJ180" s="616">
        <f t="shared" si="272"/>
        <v>2.1920090111977988</v>
      </c>
      <c r="BK180" s="616">
        <f t="shared" si="272"/>
        <v>1.956910177384924</v>
      </c>
      <c r="BL180" s="616">
        <f t="shared" si="272"/>
        <v>1.9673006262250154</v>
      </c>
      <c r="BM180" s="616">
        <f t="shared" si="272"/>
        <v>2.2602293883523243</v>
      </c>
      <c r="BN180" s="616">
        <f t="shared" si="272"/>
        <v>2.188366382581445</v>
      </c>
      <c r="BO180" s="616">
        <f t="shared" si="272"/>
        <v>2.0991603698385575</v>
      </c>
      <c r="BP180" s="616">
        <f t="shared" si="272"/>
        <v>2.927453169615803</v>
      </c>
      <c r="BQ180" s="616">
        <f t="shared" si="272"/>
        <v>2.9032429119736194</v>
      </c>
      <c r="BR180" s="616">
        <f t="shared" si="272"/>
        <v>2.633671332871081</v>
      </c>
      <c r="BS180" s="616">
        <f t="shared" si="272"/>
        <v>2.5829133931350019</v>
      </c>
      <c r="BU180" s="632" t="s">
        <v>65</v>
      </c>
      <c r="BV180" s="632"/>
      <c r="BW180" s="616">
        <f t="shared" si="268"/>
        <v>7.4835800197640426E-2</v>
      </c>
      <c r="BX180" s="616">
        <f t="shared" si="268"/>
        <v>-0.12072095896742997</v>
      </c>
      <c r="BY180" s="616">
        <f t="shared" si="268"/>
        <v>0.10434767381425061</v>
      </c>
      <c r="BZ180" s="616">
        <f t="shared" si="268"/>
        <v>0.12587771996331695</v>
      </c>
      <c r="CA180" s="616">
        <f t="shared" si="268"/>
        <v>0.63883165793029439</v>
      </c>
      <c r="CB180" s="616">
        <f t="shared" si="268"/>
        <v>0.26572455759758773</v>
      </c>
      <c r="CC180" s="616">
        <f t="shared" si="268"/>
        <v>-1.2035197841301656E-2</v>
      </c>
      <c r="CD180" s="616">
        <f t="shared" si="268"/>
        <v>0.15788091748256813</v>
      </c>
      <c r="CE180" s="616">
        <f t="shared" si="268"/>
        <v>2.2888449689007731E-2</v>
      </c>
      <c r="CF180" s="616">
        <f t="shared" si="268"/>
        <v>1.4442708843514016E-2</v>
      </c>
      <c r="CG180" s="616">
        <f t="shared" si="269"/>
        <v>8.5624485872741157E-2</v>
      </c>
      <c r="CH180" s="616">
        <f t="shared" si="269"/>
        <v>1.6210945987050796E-2</v>
      </c>
      <c r="CI180" s="616">
        <f t="shared" si="269"/>
        <v>-7.3652308934007163E-2</v>
      </c>
      <c r="CJ180" s="616">
        <f t="shared" si="269"/>
        <v>3.5139548436607447E-3</v>
      </c>
      <c r="CK180" s="616">
        <f t="shared" si="269"/>
        <v>9.8718936510309455E-2</v>
      </c>
      <c r="CL180" s="616">
        <f t="shared" si="269"/>
        <v>-2.2042315803796175E-2</v>
      </c>
      <c r="CM180" s="616">
        <f t="shared" si="269"/>
        <v>-2.7978595317725754E-2</v>
      </c>
      <c r="CN180" s="616">
        <f t="shared" si="269"/>
        <v>0.26726361366720525</v>
      </c>
      <c r="CO180" s="616">
        <f t="shared" si="269"/>
        <v>-6.1643657089237771E-3</v>
      </c>
      <c r="CP180" s="616">
        <f t="shared" si="269"/>
        <v>-6.9063490328925795E-2</v>
      </c>
      <c r="CQ180" s="616">
        <f t="shared" si="270"/>
        <v>-1.3968775677896467E-2</v>
      </c>
      <c r="CZ180" s="3"/>
      <c r="DA180" s="3"/>
      <c r="DC180" s="41"/>
      <c r="DD180" s="41"/>
      <c r="DE180" s="3"/>
      <c r="DF180" s="118"/>
      <c r="DG180" s="700"/>
      <c r="DH180" s="700"/>
      <c r="DI180" s="700"/>
      <c r="DJ180" s="700"/>
      <c r="DK180" s="43"/>
      <c r="DL180" s="43"/>
      <c r="DS180" s="3"/>
      <c r="DT180" s="3"/>
      <c r="DV180" s="41"/>
      <c r="DW180" s="41"/>
      <c r="DY180" s="118"/>
      <c r="DZ180" s="3"/>
      <c r="EA180" s="486"/>
      <c r="EB180" s="486"/>
      <c r="EC180" s="486"/>
      <c r="ED180" s="486"/>
      <c r="EE180" s="43"/>
      <c r="EF180" s="43"/>
      <c r="EL180" s="3"/>
      <c r="EM180" s="3"/>
      <c r="EO180" s="41"/>
      <c r="EP180" s="41"/>
      <c r="FC180" s="3"/>
      <c r="FE180" s="39"/>
      <c r="FF180" s="39"/>
      <c r="FH180" s="41"/>
      <c r="FI180" s="41"/>
      <c r="FM180" s="3"/>
      <c r="FN180" s="3"/>
      <c r="FO180" s="486"/>
      <c r="FP180" s="486"/>
      <c r="FQ180" s="486"/>
      <c r="FR180" s="486"/>
      <c r="FS180" s="43"/>
      <c r="FT180" s="43"/>
      <c r="FX180" s="3"/>
      <c r="FY180" s="3"/>
      <c r="GA180" s="41"/>
      <c r="GB180" s="41"/>
      <c r="GG180" s="3"/>
      <c r="GH180" s="3"/>
      <c r="GI180" s="486"/>
      <c r="GJ180" s="486"/>
      <c r="GK180" s="486"/>
      <c r="GL180" s="486"/>
      <c r="GM180" s="43"/>
      <c r="GN180" s="43"/>
      <c r="GO180" s="393"/>
      <c r="GS180" s="3"/>
      <c r="GT180" s="3"/>
      <c r="GV180" s="41"/>
      <c r="GW180" s="41"/>
      <c r="HA180" s="3"/>
      <c r="HB180" s="3"/>
      <c r="HC180" s="43"/>
      <c r="HD180" s="43"/>
      <c r="HE180" s="43"/>
      <c r="HF180" s="43"/>
      <c r="HG180" s="43"/>
    </row>
    <row r="181" spans="1:215">
      <c r="A181" s="631" t="s">
        <v>66</v>
      </c>
      <c r="B181" s="631"/>
      <c r="C181" s="618">
        <f t="shared" si="245"/>
        <v>-1.0373347646108349E-2</v>
      </c>
      <c r="D181" s="618">
        <f t="shared" si="246"/>
        <v>0.11924603906240393</v>
      </c>
      <c r="E181" s="618">
        <f t="shared" si="247"/>
        <v>0.36305965613830954</v>
      </c>
      <c r="F181" s="618">
        <f t="shared" si="248"/>
        <v>0.55723778463370643</v>
      </c>
      <c r="G181" s="618">
        <f t="shared" si="249"/>
        <v>0.64674264865551423</v>
      </c>
      <c r="H181" s="618">
        <f t="shared" si="250"/>
        <v>0.72510173496874086</v>
      </c>
      <c r="I181" s="618">
        <f t="shared" si="251"/>
        <v>0.89908947259882033</v>
      </c>
      <c r="J181" s="618">
        <f t="shared" si="252"/>
        <v>0.79465657534078205</v>
      </c>
      <c r="K181" s="618">
        <f t="shared" si="253"/>
        <v>1.1233618723877707</v>
      </c>
      <c r="L181" s="618">
        <f t="shared" si="254"/>
        <v>1.2945250107095432</v>
      </c>
      <c r="M181" s="618">
        <f t="shared" si="255"/>
        <v>1.3696714617194725</v>
      </c>
      <c r="N181" s="618">
        <f t="shared" si="256"/>
        <v>1.5973117339717633</v>
      </c>
      <c r="O181" s="618">
        <f t="shared" si="257"/>
        <v>1.842839162465931</v>
      </c>
      <c r="P181" s="618">
        <f t="shared" si="258"/>
        <v>1.9885584863967178</v>
      </c>
      <c r="Q181" s="618">
        <f t="shared" si="259"/>
        <v>2.3993907282899012</v>
      </c>
      <c r="R181" s="618">
        <f t="shared" si="260"/>
        <v>-1</v>
      </c>
      <c r="S181" s="618">
        <f t="shared" si="261"/>
        <v>2.5313867572231938</v>
      </c>
      <c r="T181" s="618">
        <f t="shared" si="262"/>
        <v>2.70337917381964</v>
      </c>
      <c r="U181" s="618">
        <f t="shared" si="263"/>
        <v>-1</v>
      </c>
      <c r="V181" s="618">
        <f t="shared" si="264"/>
        <v>-1</v>
      </c>
      <c r="W181" s="618">
        <f t="shared" si="265"/>
        <v>-1</v>
      </c>
      <c r="Y181" s="631" t="s">
        <v>66</v>
      </c>
      <c r="Z181" s="631"/>
      <c r="AA181" s="618">
        <f t="shared" ref="AA181:AU181" si="273">IFERROR((AA83-Z83)/Z83,0)</f>
        <v>-1.0373347646108349E-2</v>
      </c>
      <c r="AB181" s="618">
        <f t="shared" si="273"/>
        <v>0.13097806773918638</v>
      </c>
      <c r="AC181" s="618">
        <f t="shared" si="273"/>
        <v>0.2178373731660905</v>
      </c>
      <c r="AD181" s="618">
        <f t="shared" si="273"/>
        <v>0.14245754220730431</v>
      </c>
      <c r="AE181" s="618">
        <f t="shared" si="273"/>
        <v>5.7476683975312789E-2</v>
      </c>
      <c r="AF181" s="618">
        <f t="shared" si="273"/>
        <v>4.7584293986193377E-2</v>
      </c>
      <c r="AG181" s="618">
        <f t="shared" si="273"/>
        <v>0.10085650840368095</v>
      </c>
      <c r="AH181" s="618">
        <f t="shared" si="273"/>
        <v>-5.4991035843680605E-2</v>
      </c>
      <c r="AI181" s="618">
        <f t="shared" si="273"/>
        <v>0.18315777044116183</v>
      </c>
      <c r="AJ181" s="618">
        <f t="shared" si="273"/>
        <v>8.0609499750174715E-2</v>
      </c>
      <c r="AK181" s="618">
        <f t="shared" si="273"/>
        <v>3.2750329876200183E-2</v>
      </c>
      <c r="AL181" s="618">
        <f t="shared" si="273"/>
        <v>9.6064064546361738E-2</v>
      </c>
      <c r="AM181" s="618">
        <f t="shared" si="273"/>
        <v>9.4531366906317194E-2</v>
      </c>
      <c r="AN181" s="618">
        <f t="shared" si="273"/>
        <v>5.125837784097053E-2</v>
      </c>
      <c r="AO181" s="618">
        <f t="shared" si="273"/>
        <v>0.13746836267826251</v>
      </c>
      <c r="AP181" s="618">
        <f t="shared" si="273"/>
        <v>-1</v>
      </c>
      <c r="AQ181" s="618">
        <f t="shared" si="273"/>
        <v>0</v>
      </c>
      <c r="AR181" s="618">
        <f t="shared" si="273"/>
        <v>4.8703930897585221E-2</v>
      </c>
      <c r="AS181" s="618">
        <f t="shared" si="273"/>
        <v>-1</v>
      </c>
      <c r="AT181" s="618">
        <f t="shared" si="273"/>
        <v>0</v>
      </c>
      <c r="AU181" s="618">
        <f t="shared" si="273"/>
        <v>0</v>
      </c>
      <c r="AV181" s="565"/>
      <c r="AW181" s="631" t="s">
        <v>66</v>
      </c>
      <c r="AX181" s="631"/>
      <c r="AY181" s="618">
        <f t="shared" ref="AY181:BS181" si="274">(AY83-$AX83)/$AX83</f>
        <v>0.18755198282466989</v>
      </c>
      <c r="AZ181" s="618">
        <f t="shared" si="274"/>
        <v>0.14305978457436999</v>
      </c>
      <c r="BA181" s="618">
        <f t="shared" si="274"/>
        <v>0.27895597522764792</v>
      </c>
      <c r="BB181" s="618">
        <f t="shared" si="274"/>
        <v>0.30121223010011833</v>
      </c>
      <c r="BC181" s="618">
        <f t="shared" si="274"/>
        <v>0.31617543796333436</v>
      </c>
      <c r="BD181" s="618">
        <f t="shared" si="274"/>
        <v>0.35138530495617032</v>
      </c>
      <c r="BE181" s="618">
        <f t="shared" si="274"/>
        <v>0.42431710444911525</v>
      </c>
      <c r="BF181" s="618">
        <f t="shared" si="274"/>
        <v>0.44525638118730176</v>
      </c>
      <c r="BG181" s="618">
        <f t="shared" si="274"/>
        <v>0.42128319480109427</v>
      </c>
      <c r="BH181" s="618">
        <f t="shared" si="274"/>
        <v>0.47543998140757271</v>
      </c>
      <c r="BI181" s="618">
        <f t="shared" si="274"/>
        <v>0.64506909700238102</v>
      </c>
      <c r="BJ181" s="618">
        <f t="shared" si="274"/>
        <v>0.90075662061013451</v>
      </c>
      <c r="BK181" s="618">
        <f t="shared" si="274"/>
        <v>0.75374267620243385</v>
      </c>
      <c r="BL181" s="618">
        <f t="shared" si="274"/>
        <v>0.69258258649362303</v>
      </c>
      <c r="BM181" s="618">
        <f t="shared" si="274"/>
        <v>0.84029217779932741</v>
      </c>
      <c r="BN181" s="618">
        <f t="shared" si="274"/>
        <v>-1</v>
      </c>
      <c r="BO181" s="618">
        <f t="shared" si="274"/>
        <v>0.82512561526176076</v>
      </c>
      <c r="BP181" s="618">
        <f t="shared" si="274"/>
        <v>1.0008269742227953</v>
      </c>
      <c r="BQ181" s="618">
        <f t="shared" si="274"/>
        <v>-1</v>
      </c>
      <c r="BR181" s="618">
        <f t="shared" si="274"/>
        <v>-1</v>
      </c>
      <c r="BS181" s="618">
        <f t="shared" si="274"/>
        <v>-1</v>
      </c>
      <c r="BU181" s="631" t="s">
        <v>66</v>
      </c>
      <c r="BV181" s="631"/>
      <c r="BW181" s="618">
        <f t="shared" si="268"/>
        <v>0.18755198282466989</v>
      </c>
      <c r="BX181" s="618">
        <f t="shared" si="268"/>
        <v>-3.7465474264522139E-2</v>
      </c>
      <c r="BY181" s="618">
        <f t="shared" si="268"/>
        <v>0.1188880865963457</v>
      </c>
      <c r="BZ181" s="618">
        <f t="shared" si="268"/>
        <v>1.7401892874779265E-2</v>
      </c>
      <c r="CA181" s="618">
        <f t="shared" si="268"/>
        <v>1.149943684595151E-2</v>
      </c>
      <c r="CB181" s="618">
        <f t="shared" si="268"/>
        <v>2.6751651776240525E-2</v>
      </c>
      <c r="CC181" s="618">
        <f t="shared" si="268"/>
        <v>5.3968175638339007E-2</v>
      </c>
      <c r="CD181" s="618">
        <f t="shared" si="268"/>
        <v>1.470127450746668E-2</v>
      </c>
      <c r="CE181" s="618">
        <f t="shared" si="268"/>
        <v>-1.6587497345289793E-2</v>
      </c>
      <c r="CF181" s="618">
        <f t="shared" si="268"/>
        <v>3.810414898633737E-2</v>
      </c>
      <c r="CG181" s="618">
        <f t="shared" si="269"/>
        <v>0.11496849599600908</v>
      </c>
      <c r="CH181" s="618">
        <f t="shared" si="269"/>
        <v>0.15542661647079953</v>
      </c>
      <c r="CI181" s="618">
        <f t="shared" si="269"/>
        <v>-7.7344959798435337E-2</v>
      </c>
      <c r="CJ181" s="618">
        <f t="shared" si="269"/>
        <v>-3.48740385569263E-2</v>
      </c>
      <c r="CK181" s="618">
        <f t="shared" si="269"/>
        <v>8.7268764599369719E-2</v>
      </c>
      <c r="CL181" s="618">
        <f t="shared" si="269"/>
        <v>-1</v>
      </c>
      <c r="CM181" s="618" t="e">
        <f t="shared" si="269"/>
        <v>#DIV/0!</v>
      </c>
      <c r="CN181" s="618">
        <f t="shared" si="269"/>
        <v>9.6268091079218923E-2</v>
      </c>
      <c r="CO181" s="618">
        <f t="shared" si="269"/>
        <v>-1</v>
      </c>
      <c r="CP181" s="618" t="e">
        <f t="shared" si="269"/>
        <v>#DIV/0!</v>
      </c>
      <c r="CQ181" s="618" t="e">
        <f t="shared" si="270"/>
        <v>#DIV/0!</v>
      </c>
      <c r="CZ181" s="3"/>
      <c r="DA181" s="3"/>
      <c r="DC181" s="41"/>
      <c r="DD181" s="41"/>
      <c r="DE181" s="3"/>
      <c r="DF181" s="118"/>
      <c r="DG181" s="700"/>
      <c r="DH181" s="700"/>
      <c r="DI181" s="700"/>
      <c r="DJ181" s="700"/>
      <c r="DK181" s="43"/>
      <c r="DL181" s="43"/>
      <c r="DS181" s="3"/>
      <c r="DT181" s="3"/>
      <c r="DV181" s="41"/>
      <c r="DW181" s="41"/>
      <c r="DY181" s="118"/>
      <c r="DZ181" s="3"/>
      <c r="EA181" s="486"/>
      <c r="EB181" s="486"/>
      <c r="EC181" s="486"/>
      <c r="ED181" s="486"/>
      <c r="EE181" s="43"/>
      <c r="EF181" s="43"/>
      <c r="EL181" s="3"/>
      <c r="EM181" s="3"/>
      <c r="EO181" s="41"/>
      <c r="EP181" s="41"/>
      <c r="FC181" s="3"/>
      <c r="FE181" s="39"/>
      <c r="FF181" s="39"/>
      <c r="FH181" s="41"/>
      <c r="FI181" s="41"/>
      <c r="FM181" s="3"/>
      <c r="FN181" s="3"/>
      <c r="FO181" s="486"/>
      <c r="FP181" s="486"/>
      <c r="FQ181" s="486"/>
      <c r="FR181" s="486"/>
      <c r="FS181" s="43"/>
      <c r="FT181" s="43"/>
      <c r="FX181" s="3"/>
      <c r="FY181" s="3"/>
      <c r="GA181" s="41"/>
      <c r="GB181" s="41"/>
      <c r="GG181" s="3"/>
      <c r="GH181" s="3"/>
      <c r="GI181" s="486"/>
      <c r="GJ181" s="486"/>
      <c r="GK181" s="486"/>
      <c r="GL181" s="486"/>
      <c r="GM181" s="43"/>
      <c r="GN181" s="43"/>
      <c r="GO181" s="393"/>
      <c r="GS181" s="3"/>
      <c r="GT181" s="3"/>
      <c r="GV181" s="41"/>
      <c r="GW181" s="41"/>
      <c r="HA181" s="3"/>
      <c r="HB181" s="3"/>
      <c r="HC181" s="43"/>
      <c r="HD181" s="43"/>
      <c r="HE181" s="43"/>
      <c r="HF181" s="43"/>
      <c r="HG181" s="43"/>
    </row>
    <row r="182" spans="1:215">
      <c r="A182" s="632" t="s">
        <v>67</v>
      </c>
      <c r="B182" s="632"/>
      <c r="C182" s="616">
        <f t="shared" si="245"/>
        <v>-9.8713483498071158E-2</v>
      </c>
      <c r="D182" s="616">
        <f t="shared" si="246"/>
        <v>-5.5775577414484877E-2</v>
      </c>
      <c r="E182" s="616">
        <f t="shared" si="247"/>
        <v>0.16789715392572965</v>
      </c>
      <c r="F182" s="616">
        <f t="shared" si="248"/>
        <v>0.13367371001905212</v>
      </c>
      <c r="G182" s="616">
        <f t="shared" si="249"/>
        <v>0.21005539688803282</v>
      </c>
      <c r="H182" s="616">
        <f t="shared" si="250"/>
        <v>1.7070035251249609E-2</v>
      </c>
      <c r="I182" s="616">
        <f t="shared" si="251"/>
        <v>-4.503176750989135E-4</v>
      </c>
      <c r="J182" s="616">
        <f t="shared" si="252"/>
        <v>0.18946619364016967</v>
      </c>
      <c r="K182" s="616">
        <f t="shared" si="253"/>
        <v>0.26018767770509316</v>
      </c>
      <c r="L182" s="616">
        <f t="shared" si="254"/>
        <v>0.18562190071971243</v>
      </c>
      <c r="M182" s="616">
        <f t="shared" si="255"/>
        <v>0.28689031962184508</v>
      </c>
      <c r="N182" s="616">
        <f t="shared" si="256"/>
        <v>0.46595864148572808</v>
      </c>
      <c r="O182" s="616">
        <f t="shared" si="257"/>
        <v>0.70302682838936514</v>
      </c>
      <c r="P182" s="616">
        <f t="shared" si="258"/>
        <v>-1</v>
      </c>
      <c r="Q182" s="616">
        <f t="shared" si="259"/>
        <v>1.1187769784831982</v>
      </c>
      <c r="R182" s="616">
        <f t="shared" si="260"/>
        <v>-1</v>
      </c>
      <c r="S182" s="616">
        <f t="shared" si="261"/>
        <v>0.89180693391785881</v>
      </c>
      <c r="T182" s="616">
        <f t="shared" si="262"/>
        <v>-1</v>
      </c>
      <c r="U182" s="616">
        <f t="shared" si="263"/>
        <v>-1</v>
      </c>
      <c r="V182" s="616">
        <f t="shared" si="264"/>
        <v>-1</v>
      </c>
      <c r="W182" s="616">
        <f t="shared" si="265"/>
        <v>-1</v>
      </c>
      <c r="Y182" s="632" t="s">
        <v>67</v>
      </c>
      <c r="Z182" s="632"/>
      <c r="AA182" s="616">
        <f t="shared" ref="AA182:AU182" si="275">IFERROR((AA84-Z84)/Z84,0)</f>
        <v>-9.8713483498071158E-2</v>
      </c>
      <c r="AB182" s="616">
        <f t="shared" si="275"/>
        <v>4.7640683952797594E-2</v>
      </c>
      <c r="AC182" s="616">
        <f t="shared" si="275"/>
        <v>0.23688513661587404</v>
      </c>
      <c r="AD182" s="616">
        <f t="shared" si="275"/>
        <v>-2.9303474018786684E-2</v>
      </c>
      <c r="AE182" s="616">
        <f t="shared" si="275"/>
        <v>6.7375371056013156E-2</v>
      </c>
      <c r="AF182" s="616">
        <f t="shared" si="275"/>
        <v>-0.15948473279247749</v>
      </c>
      <c r="AG182" s="616">
        <f t="shared" si="275"/>
        <v>-1.7226299388537605E-2</v>
      </c>
      <c r="AH182" s="616">
        <f t="shared" si="275"/>
        <v>0.19000207260686888</v>
      </c>
      <c r="AI182" s="616">
        <f t="shared" si="275"/>
        <v>5.9456489342073517E-2</v>
      </c>
      <c r="AJ182" s="616">
        <f t="shared" si="275"/>
        <v>-5.9170374623223769E-2</v>
      </c>
      <c r="AK182" s="616">
        <f t="shared" si="275"/>
        <v>8.5413755296405464E-2</v>
      </c>
      <c r="AL182" s="616">
        <f t="shared" si="275"/>
        <v>0.13914808366613754</v>
      </c>
      <c r="AM182" s="616">
        <f t="shared" si="275"/>
        <v>0.16171546740457282</v>
      </c>
      <c r="AN182" s="616">
        <f t="shared" si="275"/>
        <v>-1</v>
      </c>
      <c r="AO182" s="616">
        <f t="shared" si="275"/>
        <v>0</v>
      </c>
      <c r="AP182" s="616">
        <f t="shared" si="275"/>
        <v>-1</v>
      </c>
      <c r="AQ182" s="616">
        <f t="shared" si="275"/>
        <v>0</v>
      </c>
      <c r="AR182" s="616">
        <f t="shared" si="275"/>
        <v>-1</v>
      </c>
      <c r="AS182" s="616">
        <f t="shared" si="275"/>
        <v>0</v>
      </c>
      <c r="AT182" s="616">
        <f t="shared" si="275"/>
        <v>0</v>
      </c>
      <c r="AU182" s="616">
        <f t="shared" si="275"/>
        <v>0</v>
      </c>
      <c r="AV182" s="565"/>
      <c r="AW182" s="632" t="s">
        <v>67</v>
      </c>
      <c r="AX182" s="632"/>
      <c r="AY182" s="616">
        <f t="shared" ref="AY182:BS182" si="276">(AY84-$AX84)/$AX84</f>
        <v>2.4064671338526085E-3</v>
      </c>
      <c r="AZ182" s="616">
        <f t="shared" si="276"/>
        <v>2.2525960068216493E-2</v>
      </c>
      <c r="BA182" s="616">
        <f t="shared" si="276"/>
        <v>0.11092656105130398</v>
      </c>
      <c r="BB182" s="616">
        <f t="shared" si="276"/>
        <v>0.17108331594507536</v>
      </c>
      <c r="BC182" s="616">
        <f t="shared" si="276"/>
        <v>0.18054185062247122</v>
      </c>
      <c r="BD182" s="616">
        <f t="shared" si="276"/>
        <v>0.25025194577226784</v>
      </c>
      <c r="BE182" s="616">
        <f t="shared" si="276"/>
        <v>0.22871473144329296</v>
      </c>
      <c r="BF182" s="616">
        <f t="shared" si="276"/>
        <v>0.27144191375807364</v>
      </c>
      <c r="BG182" s="616">
        <f t="shared" si="276"/>
        <v>0.30488009757202961</v>
      </c>
      <c r="BH182" s="616">
        <f t="shared" si="276"/>
        <v>0.35676481691072337</v>
      </c>
      <c r="BI182" s="616">
        <f t="shared" si="276"/>
        <v>0.32761162501896995</v>
      </c>
      <c r="BJ182" s="616">
        <f t="shared" si="276"/>
        <v>0.361919089378547</v>
      </c>
      <c r="BK182" s="616">
        <f t="shared" si="276"/>
        <v>0.29528780380653613</v>
      </c>
      <c r="BL182" s="616">
        <f t="shared" si="276"/>
        <v>-1</v>
      </c>
      <c r="BM182" s="616">
        <f t="shared" si="276"/>
        <v>0.33183626494226826</v>
      </c>
      <c r="BN182" s="616">
        <f t="shared" si="276"/>
        <v>-1</v>
      </c>
      <c r="BO182" s="616">
        <f t="shared" si="276"/>
        <v>0.46154223985051179</v>
      </c>
      <c r="BP182" s="616">
        <f t="shared" si="276"/>
        <v>-1</v>
      </c>
      <c r="BQ182" s="616">
        <f t="shared" si="276"/>
        <v>-1</v>
      </c>
      <c r="BR182" s="616">
        <f t="shared" si="276"/>
        <v>-1</v>
      </c>
      <c r="BS182" s="616">
        <f t="shared" si="276"/>
        <v>-1</v>
      </c>
      <c r="BU182" s="632" t="s">
        <v>67</v>
      </c>
      <c r="BV182" s="632"/>
      <c r="BW182" s="616">
        <f t="shared" ref="BW182:CJ182" si="277">(AY84-AX84)/AX84</f>
        <v>2.4064671338526085E-3</v>
      </c>
      <c r="BX182" s="616">
        <f t="shared" si="277"/>
        <v>2.0071192269829306E-2</v>
      </c>
      <c r="BY182" s="616">
        <f t="shared" si="277"/>
        <v>8.6453160540970478E-2</v>
      </c>
      <c r="BZ182" s="616">
        <f t="shared" si="277"/>
        <v>5.4150073463760919E-2</v>
      </c>
      <c r="CA182" s="616">
        <f t="shared" si="277"/>
        <v>8.07673933067923E-3</v>
      </c>
      <c r="CB182" s="616">
        <f t="shared" si="277"/>
        <v>5.904923668147824E-2</v>
      </c>
      <c r="CC182" s="616">
        <f t="shared" si="277"/>
        <v>-1.7226299388537702E-2</v>
      </c>
      <c r="CD182" s="616">
        <f t="shared" si="277"/>
        <v>3.4773883002600425E-2</v>
      </c>
      <c r="CE182" s="616">
        <f t="shared" si="277"/>
        <v>2.6299419149334834E-2</v>
      </c>
      <c r="CF182" s="616">
        <f t="shared" si="277"/>
        <v>3.9762058931877967E-2</v>
      </c>
      <c r="CG182" s="616">
        <f t="shared" si="277"/>
        <v>-2.1487284699888951E-2</v>
      </c>
      <c r="CH182" s="616">
        <f t="shared" si="277"/>
        <v>2.5841491376732129E-2</v>
      </c>
      <c r="CI182" s="616">
        <f t="shared" si="277"/>
        <v>-4.8924555130815547E-2</v>
      </c>
      <c r="CJ182" s="616">
        <f t="shared" si="277"/>
        <v>-1</v>
      </c>
      <c r="CK182" s="616"/>
      <c r="CL182" s="616">
        <v>0</v>
      </c>
      <c r="CM182" s="616" t="e">
        <f>(BO84-BN84)/BN84</f>
        <v>#DIV/0!</v>
      </c>
      <c r="CN182" s="616">
        <f>(BP84-BO84)/BO84</f>
        <v>-1</v>
      </c>
      <c r="CO182" s="616" t="e">
        <f>(BQ84-BP84)/BP84</f>
        <v>#DIV/0!</v>
      </c>
      <c r="CP182" s="616" t="e">
        <f>(BR84-BQ84)/BQ84</f>
        <v>#DIV/0!</v>
      </c>
      <c r="CQ182" s="616" t="e">
        <f>(BS84-BR84)/BR84</f>
        <v>#DIV/0!</v>
      </c>
      <c r="CZ182" s="3"/>
      <c r="DA182" s="3"/>
      <c r="DC182" s="41"/>
      <c r="DD182" s="41"/>
      <c r="DE182" s="3"/>
      <c r="DF182" s="118"/>
      <c r="DG182" s="700"/>
      <c r="DH182" s="700"/>
      <c r="DI182" s="700"/>
      <c r="DJ182" s="700"/>
      <c r="DK182" s="43"/>
      <c r="DL182" s="43"/>
      <c r="DS182" s="3"/>
      <c r="DT182" s="3"/>
      <c r="DV182" s="41"/>
      <c r="DW182" s="41"/>
      <c r="DY182" s="118"/>
      <c r="DZ182" s="3"/>
      <c r="EA182" s="486"/>
      <c r="EB182" s="486"/>
      <c r="EC182" s="486"/>
      <c r="ED182" s="486"/>
      <c r="EE182" s="43"/>
      <c r="EF182" s="43"/>
      <c r="EL182" s="3"/>
      <c r="EM182" s="3"/>
      <c r="EO182" s="41"/>
      <c r="EP182" s="41"/>
      <c r="FC182" s="3"/>
      <c r="FE182" s="39"/>
      <c r="FF182" s="39"/>
      <c r="FH182" s="41"/>
      <c r="FI182" s="41"/>
      <c r="FM182" s="3"/>
      <c r="FN182" s="3"/>
      <c r="FO182" s="486"/>
      <c r="FP182" s="486"/>
      <c r="FQ182" s="486"/>
      <c r="FR182" s="486"/>
      <c r="FS182" s="43"/>
      <c r="FT182" s="43"/>
      <c r="FX182" s="3"/>
      <c r="FY182" s="3"/>
      <c r="GA182" s="41"/>
      <c r="GB182" s="41"/>
      <c r="GG182" s="3"/>
      <c r="GH182" s="3"/>
      <c r="GI182" s="486"/>
      <c r="GJ182" s="486"/>
      <c r="GK182" s="486"/>
      <c r="GL182" s="486"/>
      <c r="GM182" s="43"/>
      <c r="GN182" s="43"/>
      <c r="GO182" s="393"/>
      <c r="GS182" s="3"/>
      <c r="GT182" s="3"/>
      <c r="GV182" s="41"/>
      <c r="GW182" s="41"/>
      <c r="HA182" s="3"/>
      <c r="HB182" s="3"/>
      <c r="HC182" s="43"/>
      <c r="HD182" s="43"/>
      <c r="HE182" s="43"/>
      <c r="HF182" s="43"/>
      <c r="HG182" s="43"/>
    </row>
    <row r="183" spans="1:215">
      <c r="A183" s="631" t="s">
        <v>68</v>
      </c>
      <c r="B183" s="631"/>
      <c r="C183" s="618">
        <f t="shared" si="245"/>
        <v>0</v>
      </c>
      <c r="D183" s="618">
        <f t="shared" si="246"/>
        <v>0</v>
      </c>
      <c r="E183" s="618">
        <f t="shared" si="247"/>
        <v>0</v>
      </c>
      <c r="F183" s="618">
        <f t="shared" si="248"/>
        <v>0</v>
      </c>
      <c r="G183" s="618">
        <f t="shared" si="249"/>
        <v>0</v>
      </c>
      <c r="H183" s="618">
        <f t="shared" si="250"/>
        <v>0</v>
      </c>
      <c r="I183" s="618">
        <f t="shared" si="251"/>
        <v>0</v>
      </c>
      <c r="J183" s="618">
        <f t="shared" si="252"/>
        <v>0</v>
      </c>
      <c r="K183" s="618">
        <f t="shared" si="253"/>
        <v>0</v>
      </c>
      <c r="L183" s="618">
        <f t="shared" si="254"/>
        <v>0</v>
      </c>
      <c r="M183" s="618">
        <f t="shared" si="255"/>
        <v>0</v>
      </c>
      <c r="N183" s="618">
        <f t="shared" si="256"/>
        <v>0</v>
      </c>
      <c r="O183" s="618">
        <f t="shared" si="257"/>
        <v>0</v>
      </c>
      <c r="P183" s="618">
        <f t="shared" si="258"/>
        <v>0</v>
      </c>
      <c r="Q183" s="618">
        <f t="shared" si="259"/>
        <v>0</v>
      </c>
      <c r="R183" s="618">
        <f t="shared" si="260"/>
        <v>0</v>
      </c>
      <c r="S183" s="618">
        <f t="shared" si="261"/>
        <v>0</v>
      </c>
      <c r="T183" s="618">
        <f t="shared" si="262"/>
        <v>0</v>
      </c>
      <c r="U183" s="618">
        <f t="shared" si="263"/>
        <v>0</v>
      </c>
      <c r="V183" s="618">
        <f t="shared" si="264"/>
        <v>0</v>
      </c>
      <c r="W183" s="618">
        <f t="shared" si="265"/>
        <v>0</v>
      </c>
      <c r="Y183" s="631" t="s">
        <v>68</v>
      </c>
      <c r="Z183" s="631"/>
      <c r="AA183" s="618">
        <f t="shared" ref="AA183:AU183" si="278">IFERROR((AA85-Z85)/Z85,0)</f>
        <v>0</v>
      </c>
      <c r="AB183" s="618">
        <f t="shared" si="278"/>
        <v>0</v>
      </c>
      <c r="AC183" s="618">
        <f t="shared" si="278"/>
        <v>0</v>
      </c>
      <c r="AD183" s="618">
        <f t="shared" si="278"/>
        <v>0</v>
      </c>
      <c r="AE183" s="618">
        <f t="shared" si="278"/>
        <v>0</v>
      </c>
      <c r="AF183" s="618">
        <f t="shared" si="278"/>
        <v>0</v>
      </c>
      <c r="AG183" s="618">
        <f t="shared" si="278"/>
        <v>0</v>
      </c>
      <c r="AH183" s="618">
        <f t="shared" si="278"/>
        <v>0</v>
      </c>
      <c r="AI183" s="618">
        <f t="shared" si="278"/>
        <v>0</v>
      </c>
      <c r="AJ183" s="618">
        <f t="shared" si="278"/>
        <v>0</v>
      </c>
      <c r="AK183" s="618">
        <f t="shared" si="278"/>
        <v>0</v>
      </c>
      <c r="AL183" s="618">
        <f t="shared" si="278"/>
        <v>0</v>
      </c>
      <c r="AM183" s="618">
        <f t="shared" si="278"/>
        <v>0</v>
      </c>
      <c r="AN183" s="618">
        <f t="shared" si="278"/>
        <v>0</v>
      </c>
      <c r="AO183" s="618">
        <f t="shared" si="278"/>
        <v>0</v>
      </c>
      <c r="AP183" s="618">
        <f t="shared" si="278"/>
        <v>0</v>
      </c>
      <c r="AQ183" s="618">
        <f t="shared" si="278"/>
        <v>0</v>
      </c>
      <c r="AR183" s="618">
        <f t="shared" si="278"/>
        <v>0</v>
      </c>
      <c r="AS183" s="618">
        <f t="shared" si="278"/>
        <v>0</v>
      </c>
      <c r="AT183" s="618">
        <f t="shared" si="278"/>
        <v>0</v>
      </c>
      <c r="AU183" s="618">
        <f t="shared" si="278"/>
        <v>0</v>
      </c>
      <c r="AV183" s="565"/>
      <c r="AW183" s="631" t="s">
        <v>68</v>
      </c>
      <c r="AX183" s="631"/>
      <c r="AY183" s="618">
        <f t="shared" ref="AY183:BS183" si="279">(AY85-$AX85)/$AX85</f>
        <v>4.0403300871833747E-2</v>
      </c>
      <c r="AZ183" s="618">
        <f t="shared" si="279"/>
        <v>9.0182280735820172E-2</v>
      </c>
      <c r="BA183" s="618">
        <f t="shared" si="279"/>
        <v>0.16835753562610281</v>
      </c>
      <c r="BB183" s="618">
        <f t="shared" si="279"/>
        <v>0.23125906367259724</v>
      </c>
      <c r="BC183" s="618">
        <f t="shared" si="279"/>
        <v>0.34874836329474712</v>
      </c>
      <c r="BD183" s="618">
        <f t="shared" si="279"/>
        <v>0.4734550248654919</v>
      </c>
      <c r="BE183" s="618">
        <f t="shared" si="279"/>
        <v>0.46898774136762272</v>
      </c>
      <c r="BF183" s="618">
        <f t="shared" si="279"/>
        <v>0.58139649516295</v>
      </c>
      <c r="BG183" s="618">
        <f t="shared" si="279"/>
        <v>0.62675047858135524</v>
      </c>
      <c r="BH183" s="618">
        <f t="shared" si="279"/>
        <v>-1</v>
      </c>
      <c r="BI183" s="618">
        <f t="shared" si="279"/>
        <v>-1</v>
      </c>
      <c r="BJ183" s="618">
        <f t="shared" si="279"/>
        <v>-1</v>
      </c>
      <c r="BK183" s="618">
        <f t="shared" si="279"/>
        <v>-1</v>
      </c>
      <c r="BL183" s="618">
        <f t="shared" si="279"/>
        <v>-1</v>
      </c>
      <c r="BM183" s="618">
        <f t="shared" si="279"/>
        <v>-1</v>
      </c>
      <c r="BN183" s="618">
        <f t="shared" si="279"/>
        <v>-1</v>
      </c>
      <c r="BO183" s="618">
        <f t="shared" si="279"/>
        <v>-1</v>
      </c>
      <c r="BP183" s="618">
        <f t="shared" si="279"/>
        <v>-1</v>
      </c>
      <c r="BQ183" s="618">
        <f t="shared" si="279"/>
        <v>-1</v>
      </c>
      <c r="BR183" s="618">
        <f t="shared" si="279"/>
        <v>-1</v>
      </c>
      <c r="BS183" s="618">
        <f t="shared" si="279"/>
        <v>-1</v>
      </c>
      <c r="BU183" s="631" t="s">
        <v>68</v>
      </c>
      <c r="BV183" s="631"/>
      <c r="BW183" s="618">
        <f t="shared" ref="BW183:CF183" si="280">(AY85-AX85)/AX85</f>
        <v>4.0403300871833747E-2</v>
      </c>
      <c r="BX183" s="618">
        <f t="shared" si="280"/>
        <v>4.7845849606852266E-2</v>
      </c>
      <c r="BY183" s="618">
        <f t="shared" si="280"/>
        <v>7.1708425528176939E-2</v>
      </c>
      <c r="BZ183" s="618">
        <f t="shared" si="280"/>
        <v>5.3837567806490468E-2</v>
      </c>
      <c r="CA183" s="618">
        <f t="shared" si="280"/>
        <v>9.5422078982877107E-2</v>
      </c>
      <c r="CB183" s="618">
        <f t="shared" si="280"/>
        <v>9.2461029028505407E-2</v>
      </c>
      <c r="CC183" s="618">
        <f t="shared" si="280"/>
        <v>-3.0318424536079423E-3</v>
      </c>
      <c r="CD183" s="618">
        <f t="shared" si="280"/>
        <v>7.6521233383932158E-2</v>
      </c>
      <c r="CE183" s="618">
        <f t="shared" si="280"/>
        <v>2.8679704019283214E-2</v>
      </c>
      <c r="CF183" s="618">
        <f t="shared" si="280"/>
        <v>-1</v>
      </c>
      <c r="CG183" s="618"/>
      <c r="CH183" s="618">
        <v>0</v>
      </c>
      <c r="CI183" s="618">
        <v>0</v>
      </c>
      <c r="CJ183" s="618">
        <v>0</v>
      </c>
      <c r="CK183" s="618">
        <v>0</v>
      </c>
      <c r="CL183" s="618">
        <v>0</v>
      </c>
      <c r="CM183" s="618"/>
      <c r="CN183" s="618"/>
      <c r="CO183" s="618"/>
      <c r="CP183" s="618"/>
      <c r="CQ183" s="618"/>
      <c r="CZ183" s="3"/>
      <c r="DA183" s="3"/>
      <c r="DC183" s="41"/>
      <c r="DD183" s="41"/>
      <c r="DE183" s="3"/>
      <c r="DF183" s="118"/>
      <c r="DG183" s="700"/>
      <c r="DH183" s="700"/>
      <c r="DI183" s="700"/>
      <c r="DJ183" s="700"/>
      <c r="DK183" s="43"/>
      <c r="DL183" s="43"/>
      <c r="DS183" s="3"/>
      <c r="DT183" s="3"/>
      <c r="DV183" s="41"/>
      <c r="DW183" s="41"/>
      <c r="DY183" s="118"/>
      <c r="DZ183" s="3"/>
      <c r="EA183" s="486"/>
      <c r="EB183" s="486"/>
      <c r="EC183" s="486"/>
      <c r="ED183" s="486"/>
      <c r="EE183" s="43"/>
      <c r="EF183" s="43"/>
      <c r="EL183" s="3"/>
      <c r="EM183" s="3"/>
      <c r="EO183" s="41"/>
      <c r="EP183" s="41"/>
      <c r="FC183" s="3"/>
      <c r="FE183" s="39"/>
      <c r="FF183" s="39"/>
      <c r="FH183" s="41"/>
      <c r="FI183" s="41"/>
      <c r="FM183" s="3"/>
      <c r="FN183" s="3"/>
      <c r="FO183" s="486"/>
      <c r="FP183" s="486"/>
      <c r="FQ183" s="486"/>
      <c r="FR183" s="486"/>
      <c r="FS183" s="43"/>
      <c r="FT183" s="43"/>
      <c r="FX183" s="3"/>
      <c r="FY183" s="3"/>
      <c r="GA183" s="41"/>
      <c r="GB183" s="41"/>
      <c r="GG183" s="3"/>
      <c r="GH183" s="3"/>
      <c r="GI183" s="486"/>
      <c r="GJ183" s="486"/>
      <c r="GK183" s="486"/>
      <c r="GL183" s="486"/>
      <c r="GM183" s="43"/>
      <c r="GN183" s="43"/>
      <c r="GO183" s="393"/>
      <c r="GS183" s="3"/>
      <c r="GT183" s="3"/>
      <c r="GV183" s="41"/>
      <c r="GW183" s="41"/>
      <c r="HA183" s="3"/>
      <c r="HB183" s="3"/>
      <c r="HC183" s="43"/>
      <c r="HD183" s="43"/>
      <c r="HE183" s="43"/>
      <c r="HF183" s="43"/>
      <c r="HG183" s="43"/>
    </row>
    <row r="184" spans="1:215">
      <c r="A184" s="632" t="s">
        <v>69</v>
      </c>
      <c r="B184" s="632"/>
      <c r="C184" s="616">
        <f t="shared" si="245"/>
        <v>6.5675286116241766E-2</v>
      </c>
      <c r="D184" s="616">
        <f t="shared" si="246"/>
        <v>9.7806657920629689E-2</v>
      </c>
      <c r="E184" s="616">
        <f t="shared" si="247"/>
        <v>0.15465381229393588</v>
      </c>
      <c r="F184" s="616">
        <f t="shared" si="248"/>
        <v>0.3069361827001087</v>
      </c>
      <c r="G184" s="616">
        <f t="shared" si="249"/>
        <v>0.29611330721030188</v>
      </c>
      <c r="H184" s="616">
        <f t="shared" si="250"/>
        <v>0.16567459563964038</v>
      </c>
      <c r="I184" s="616">
        <f t="shared" si="251"/>
        <v>-1.0952253543008036E-2</v>
      </c>
      <c r="J184" s="616">
        <f t="shared" si="252"/>
        <v>-0.16692867376706774</v>
      </c>
      <c r="K184" s="616">
        <f t="shared" si="253"/>
        <v>-0.46844983687490294</v>
      </c>
      <c r="L184" s="616">
        <f t="shared" si="254"/>
        <v>-0.18613704234347764</v>
      </c>
      <c r="M184" s="616">
        <f t="shared" si="255"/>
        <v>-0.32346101396488924</v>
      </c>
      <c r="N184" s="616">
        <f t="shared" si="256"/>
        <v>0.10918329564481889</v>
      </c>
      <c r="O184" s="616">
        <f t="shared" si="257"/>
        <v>0.87304405240717409</v>
      </c>
      <c r="P184" s="616">
        <f t="shared" si="258"/>
        <v>-1</v>
      </c>
      <c r="Q184" s="616">
        <f t="shared" si="259"/>
        <v>-1</v>
      </c>
      <c r="R184" s="616">
        <f t="shared" si="260"/>
        <v>-1</v>
      </c>
      <c r="S184" s="616">
        <f t="shared" si="261"/>
        <v>-1</v>
      </c>
      <c r="T184" s="616">
        <f t="shared" si="262"/>
        <v>-1</v>
      </c>
      <c r="U184" s="616">
        <f t="shared" si="263"/>
        <v>-1</v>
      </c>
      <c r="V184" s="616">
        <f t="shared" si="264"/>
        <v>-1</v>
      </c>
      <c r="W184" s="616">
        <f t="shared" si="265"/>
        <v>-1</v>
      </c>
      <c r="Y184" s="632" t="s">
        <v>69</v>
      </c>
      <c r="Z184" s="632"/>
      <c r="AA184" s="616">
        <f t="shared" ref="AA184:AU184" si="281">IFERROR((AA86-Z86)/Z86,0)</f>
        <v>6.5675286116241766E-2</v>
      </c>
      <c r="AB184" s="616">
        <f t="shared" si="281"/>
        <v>3.0151184158063594E-2</v>
      </c>
      <c r="AC184" s="616">
        <f t="shared" si="281"/>
        <v>5.1782482792535764E-2</v>
      </c>
      <c r="AD184" s="616">
        <f t="shared" si="281"/>
        <v>0.13188573820549326</v>
      </c>
      <c r="AE184" s="616">
        <f t="shared" si="281"/>
        <v>-8.2811047953748485E-3</v>
      </c>
      <c r="AF184" s="616">
        <f t="shared" si="281"/>
        <v>-0.10063835533901905</v>
      </c>
      <c r="AG184" s="616">
        <f t="shared" si="281"/>
        <v>-0.15152328946975807</v>
      </c>
      <c r="AH184" s="616">
        <f t="shared" si="281"/>
        <v>-0.15770363036850843</v>
      </c>
      <c r="AI184" s="616">
        <f t="shared" si="281"/>
        <v>-0.36193919249541889</v>
      </c>
      <c r="AJ184" s="616">
        <f t="shared" si="281"/>
        <v>0.53111223383254746</v>
      </c>
      <c r="AK184" s="616">
        <f t="shared" si="281"/>
        <v>-0.16873107484438055</v>
      </c>
      <c r="AL184" s="616">
        <f t="shared" si="281"/>
        <v>0.63949649397921748</v>
      </c>
      <c r="AM184" s="616">
        <f t="shared" si="281"/>
        <v>0.68866954610805609</v>
      </c>
      <c r="AN184" s="616">
        <f t="shared" si="281"/>
        <v>-1</v>
      </c>
      <c r="AO184" s="616">
        <f t="shared" si="281"/>
        <v>0</v>
      </c>
      <c r="AP184" s="616">
        <f t="shared" si="281"/>
        <v>0</v>
      </c>
      <c r="AQ184" s="616">
        <f t="shared" si="281"/>
        <v>0</v>
      </c>
      <c r="AR184" s="616">
        <f t="shared" si="281"/>
        <v>0</v>
      </c>
      <c r="AS184" s="616">
        <f t="shared" si="281"/>
        <v>0</v>
      </c>
      <c r="AT184" s="616">
        <f t="shared" si="281"/>
        <v>0</v>
      </c>
      <c r="AU184" s="616">
        <f t="shared" si="281"/>
        <v>0</v>
      </c>
      <c r="AV184" s="565"/>
      <c r="AW184" s="632" t="s">
        <v>69</v>
      </c>
      <c r="AX184" s="632"/>
      <c r="AY184" s="616">
        <v>0</v>
      </c>
      <c r="AZ184" s="616">
        <v>0</v>
      </c>
      <c r="BA184" s="616">
        <v>0</v>
      </c>
      <c r="BB184" s="616">
        <v>0</v>
      </c>
      <c r="BC184" s="616">
        <v>0</v>
      </c>
      <c r="BD184" s="616">
        <v>0</v>
      </c>
      <c r="BE184" s="616">
        <v>0</v>
      </c>
      <c r="BF184" s="616">
        <v>0</v>
      </c>
      <c r="BG184" s="616">
        <v>0</v>
      </c>
      <c r="BH184" s="616">
        <v>0</v>
      </c>
      <c r="BI184" s="616">
        <v>0</v>
      </c>
      <c r="BJ184" s="616">
        <v>0</v>
      </c>
      <c r="BK184" s="616">
        <v>0</v>
      </c>
      <c r="BL184" s="616">
        <v>0</v>
      </c>
      <c r="BM184" s="616">
        <v>0</v>
      </c>
      <c r="BN184" s="616">
        <v>0</v>
      </c>
      <c r="BO184" s="616">
        <v>0</v>
      </c>
      <c r="BP184" s="616">
        <v>0</v>
      </c>
      <c r="BQ184" s="616">
        <v>0</v>
      </c>
      <c r="BR184" s="616">
        <v>0</v>
      </c>
      <c r="BS184" s="616">
        <v>0</v>
      </c>
      <c r="BU184" s="632" t="s">
        <v>69</v>
      </c>
      <c r="BV184" s="632"/>
      <c r="BW184" s="616">
        <v>0</v>
      </c>
      <c r="BX184" s="616">
        <v>0</v>
      </c>
      <c r="BY184" s="616">
        <v>0</v>
      </c>
      <c r="BZ184" s="616">
        <v>0</v>
      </c>
      <c r="CA184" s="616">
        <v>0</v>
      </c>
      <c r="CB184" s="616">
        <f t="shared" ref="CB184:CJ184" si="282">(BD86-BC86)/BC86</f>
        <v>20.497644473993123</v>
      </c>
      <c r="CC184" s="616">
        <f t="shared" si="282"/>
        <v>6.9730206816836227E-2</v>
      </c>
      <c r="CD184" s="616">
        <f t="shared" si="282"/>
        <v>3.8474723225823376E-2</v>
      </c>
      <c r="CE184" s="616">
        <f t="shared" si="282"/>
        <v>3.779385767640378E-2</v>
      </c>
      <c r="CF184" s="616">
        <f t="shared" si="282"/>
        <v>0.11431131381157296</v>
      </c>
      <c r="CG184" s="616">
        <f t="shared" si="282"/>
        <v>0.15939401177445814</v>
      </c>
      <c r="CH184" s="616">
        <f t="shared" si="282"/>
        <v>0.1003237357598868</v>
      </c>
      <c r="CI184" s="616">
        <f t="shared" si="282"/>
        <v>-0.32802159586313701</v>
      </c>
      <c r="CJ184" s="616">
        <f t="shared" si="282"/>
        <v>-1</v>
      </c>
      <c r="CK184" s="616"/>
      <c r="CL184" s="616">
        <v>0</v>
      </c>
      <c r="CM184" s="616"/>
      <c r="CN184" s="616"/>
      <c r="CO184" s="616"/>
      <c r="CP184" s="616"/>
      <c r="CQ184" s="616"/>
      <c r="CZ184" s="3"/>
      <c r="DA184" s="3"/>
      <c r="DC184" s="41"/>
      <c r="DD184" s="41"/>
      <c r="DE184" s="3"/>
      <c r="DF184" s="118"/>
      <c r="DG184" s="700"/>
      <c r="DH184" s="700"/>
      <c r="DI184" s="700"/>
      <c r="DJ184" s="700"/>
      <c r="DK184" s="43"/>
      <c r="DL184" s="43"/>
      <c r="DS184" s="3"/>
      <c r="DT184" s="3"/>
      <c r="DV184" s="41"/>
      <c r="DW184" s="41"/>
      <c r="DY184" s="118"/>
      <c r="DZ184" s="3"/>
      <c r="EA184" s="486"/>
      <c r="EB184" s="486"/>
      <c r="EC184" s="486"/>
      <c r="ED184" s="486"/>
      <c r="EE184" s="43"/>
      <c r="EF184" s="43"/>
      <c r="EL184" s="3"/>
      <c r="EM184" s="3"/>
      <c r="EO184" s="41"/>
      <c r="EP184" s="41"/>
      <c r="FC184" s="3"/>
      <c r="FE184" s="39"/>
      <c r="FF184" s="39"/>
      <c r="FH184" s="41"/>
      <c r="FI184" s="41"/>
      <c r="FM184" s="3"/>
      <c r="FN184" s="3"/>
      <c r="FO184" s="486"/>
      <c r="FP184" s="486"/>
      <c r="FQ184" s="486"/>
      <c r="FR184" s="486"/>
      <c r="FS184" s="43"/>
      <c r="FT184" s="43"/>
      <c r="FX184" s="3"/>
      <c r="FY184" s="3"/>
      <c r="GA184" s="41"/>
      <c r="GB184" s="41"/>
      <c r="GG184" s="3"/>
      <c r="GH184" s="3"/>
      <c r="GI184" s="486"/>
      <c r="GJ184" s="486"/>
      <c r="GK184" s="486"/>
      <c r="GL184" s="486"/>
      <c r="GM184" s="43"/>
      <c r="GN184" s="43"/>
      <c r="GO184" s="393"/>
      <c r="GS184" s="3"/>
      <c r="GT184" s="3"/>
      <c r="GV184" s="41"/>
      <c r="GW184" s="41"/>
      <c r="HA184" s="3"/>
      <c r="HB184" s="3"/>
      <c r="HC184" s="43"/>
      <c r="HD184" s="43"/>
      <c r="HE184" s="43"/>
      <c r="HF184" s="43"/>
      <c r="HG184" s="43"/>
    </row>
    <row r="185" spans="1:215">
      <c r="A185" s="631" t="s">
        <v>70</v>
      </c>
      <c r="B185" s="631"/>
      <c r="C185" s="618">
        <f t="shared" si="245"/>
        <v>5.6176483870924353E-2</v>
      </c>
      <c r="D185" s="618">
        <f t="shared" si="246"/>
        <v>0.20348001484810246</v>
      </c>
      <c r="E185" s="618">
        <f t="shared" si="247"/>
        <v>-4.828680776933205E-2</v>
      </c>
      <c r="F185" s="618">
        <f t="shared" si="248"/>
        <v>0.30387592753215398</v>
      </c>
      <c r="G185" s="618">
        <f t="shared" si="249"/>
        <v>0.35926227498827829</v>
      </c>
      <c r="H185" s="618">
        <f t="shared" si="250"/>
        <v>0.34680808019737736</v>
      </c>
      <c r="I185" s="618">
        <f t="shared" si="251"/>
        <v>0.42992612297954363</v>
      </c>
      <c r="J185" s="618">
        <f t="shared" si="252"/>
        <v>0.38507633518183965</v>
      </c>
      <c r="K185" s="618">
        <f t="shared" si="253"/>
        <v>0.49073382695645346</v>
      </c>
      <c r="L185" s="618">
        <f t="shared" si="254"/>
        <v>0.47585145582267258</v>
      </c>
      <c r="M185" s="618">
        <f t="shared" si="255"/>
        <v>0.4958068062615128</v>
      </c>
      <c r="N185" s="618">
        <f t="shared" si="256"/>
        <v>0.69688404026024076</v>
      </c>
      <c r="O185" s="618">
        <f t="shared" si="257"/>
        <v>0.56657762129530231</v>
      </c>
      <c r="P185" s="618">
        <f t="shared" si="258"/>
        <v>0.65417065600292545</v>
      </c>
      <c r="Q185" s="618">
        <f t="shared" si="259"/>
        <v>0.40361810513881169</v>
      </c>
      <c r="R185" s="618">
        <f t="shared" si="260"/>
        <v>-0.80469335645322748</v>
      </c>
      <c r="S185" s="618">
        <f t="shared" si="261"/>
        <v>-0.88445356424833443</v>
      </c>
      <c r="T185" s="618">
        <f t="shared" si="262"/>
        <v>-0.91900367420776152</v>
      </c>
      <c r="U185" s="618">
        <f t="shared" si="263"/>
        <v>-0.91317188979555219</v>
      </c>
      <c r="V185" s="618">
        <f t="shared" si="264"/>
        <v>-0.90910249143865896</v>
      </c>
      <c r="W185" s="618">
        <f t="shared" si="265"/>
        <v>-0.9155523348494341</v>
      </c>
      <c r="Y185" s="631" t="s">
        <v>70</v>
      </c>
      <c r="Z185" s="631"/>
      <c r="AA185" s="618">
        <f t="shared" ref="AA185:AU185" si="283">IFERROR((AA87-Z87)/Z87,0)</f>
        <v>5.6176483870924353E-2</v>
      </c>
      <c r="AB185" s="618">
        <f t="shared" si="283"/>
        <v>0.13946867140736313</v>
      </c>
      <c r="AC185" s="618">
        <f t="shared" si="283"/>
        <v>-0.20919900580917528</v>
      </c>
      <c r="AD185" s="618">
        <f t="shared" si="283"/>
        <v>0.37003031814245557</v>
      </c>
      <c r="AE185" s="618">
        <f t="shared" si="283"/>
        <v>4.2478234536436336E-2</v>
      </c>
      <c r="AF185" s="618">
        <f t="shared" si="283"/>
        <v>-9.162466302545122E-3</v>
      </c>
      <c r="AG185" s="618">
        <f t="shared" si="283"/>
        <v>6.1714838219551788E-2</v>
      </c>
      <c r="AH185" s="618">
        <f t="shared" si="283"/>
        <v>-3.1365108362556723E-2</v>
      </c>
      <c r="AI185" s="618">
        <f t="shared" si="283"/>
        <v>7.6282793295102097E-2</v>
      </c>
      <c r="AJ185" s="618">
        <f t="shared" si="283"/>
        <v>-9.9832517815506873E-3</v>
      </c>
      <c r="AK185" s="618">
        <f t="shared" si="283"/>
        <v>1.3521245895113942E-2</v>
      </c>
      <c r="AL185" s="618">
        <f t="shared" si="283"/>
        <v>0.13442727573976115</v>
      </c>
      <c r="AM185" s="618">
        <f t="shared" si="283"/>
        <v>-7.6791587329063521E-2</v>
      </c>
      <c r="AN185" s="618">
        <f t="shared" si="283"/>
        <v>5.5913625674799412E-2</v>
      </c>
      <c r="AO185" s="618">
        <f t="shared" si="283"/>
        <v>-0.15146717175453914</v>
      </c>
      <c r="AP185" s="618">
        <f t="shared" si="283"/>
        <v>-0.86085485586732469</v>
      </c>
      <c r="AQ185" s="618">
        <f t="shared" si="283"/>
        <v>-0.40838450933700965</v>
      </c>
      <c r="AR185" s="618">
        <f t="shared" si="283"/>
        <v>-0.29901493485859548</v>
      </c>
      <c r="AS185" s="618">
        <f t="shared" si="283"/>
        <v>7.2000604412209124E-2</v>
      </c>
      <c r="AT185" s="618">
        <f t="shared" si="283"/>
        <v>4.6867291563887518E-2</v>
      </c>
      <c r="AU185" s="618">
        <f t="shared" si="283"/>
        <v>-7.0957317894169925E-2</v>
      </c>
      <c r="AV185" s="565"/>
      <c r="AW185" s="631" t="s">
        <v>70</v>
      </c>
      <c r="AX185" s="631"/>
      <c r="AY185" s="618">
        <v>0</v>
      </c>
      <c r="AZ185" s="618">
        <v>0</v>
      </c>
      <c r="BA185" s="618">
        <v>0</v>
      </c>
      <c r="BB185" s="618">
        <v>0</v>
      </c>
      <c r="BC185" s="618">
        <v>0</v>
      </c>
      <c r="BD185" s="618">
        <v>0</v>
      </c>
      <c r="BE185" s="618">
        <v>0</v>
      </c>
      <c r="BF185" s="618">
        <v>0</v>
      </c>
      <c r="BG185" s="618">
        <v>0</v>
      </c>
      <c r="BH185" s="618">
        <v>0</v>
      </c>
      <c r="BI185" s="618">
        <v>0</v>
      </c>
      <c r="BJ185" s="618">
        <v>0</v>
      </c>
      <c r="BK185" s="618">
        <v>0</v>
      </c>
      <c r="BL185" s="618">
        <v>0</v>
      </c>
      <c r="BM185" s="618">
        <v>0</v>
      </c>
      <c r="BN185" s="618">
        <v>0</v>
      </c>
      <c r="BO185" s="618">
        <v>0</v>
      </c>
      <c r="BP185" s="618">
        <v>0</v>
      </c>
      <c r="BQ185" s="618">
        <v>0</v>
      </c>
      <c r="BR185" s="618">
        <v>0</v>
      </c>
      <c r="BS185" s="618">
        <v>0</v>
      </c>
      <c r="BU185" s="631" t="s">
        <v>70</v>
      </c>
      <c r="BV185" s="631"/>
      <c r="BW185" s="618">
        <v>0</v>
      </c>
      <c r="BX185" s="618">
        <v>0</v>
      </c>
      <c r="BY185" s="618">
        <v>0</v>
      </c>
      <c r="BZ185" s="618">
        <f t="shared" ref="BZ185:BZ203" si="284">(BB87-BA87)/BA87</f>
        <v>-1</v>
      </c>
      <c r="CA185" s="618">
        <v>0</v>
      </c>
      <c r="CB185" s="618">
        <v>0</v>
      </c>
      <c r="CC185" s="618">
        <v>0</v>
      </c>
      <c r="CD185" s="618">
        <v>0</v>
      </c>
      <c r="CE185" s="618">
        <v>0</v>
      </c>
      <c r="CF185" s="618">
        <v>0</v>
      </c>
      <c r="CG185" s="618">
        <v>0</v>
      </c>
      <c r="CH185" s="618">
        <v>0</v>
      </c>
      <c r="CI185" s="618">
        <v>0</v>
      </c>
      <c r="CJ185" s="618">
        <v>0</v>
      </c>
      <c r="CK185" s="618">
        <v>0</v>
      </c>
      <c r="CL185" s="618">
        <f t="shared" ref="CL185:CL197" si="285">(BN87-BM87)/BM87</f>
        <v>0.24168084320011324</v>
      </c>
      <c r="CM185" s="618">
        <f t="shared" ref="CM185:CM197" si="286">(BO87-BN87)/BN87</f>
        <v>-3.839560903525438E-2</v>
      </c>
      <c r="CN185" s="618">
        <f t="shared" ref="CN185:CN197" si="287">(BP87-BO87)/BO87</f>
        <v>0.10136066667837511</v>
      </c>
      <c r="CO185" s="618">
        <f t="shared" ref="CO185:CO197" si="288">(BQ87-BP87)/BP87</f>
        <v>-5.5612807290659639E-3</v>
      </c>
      <c r="CP185" s="618">
        <f t="shared" ref="CP185:CP197" si="289">(BR87-BQ87)/BQ87</f>
        <v>-4.5115886572872341E-2</v>
      </c>
      <c r="CQ185" s="618">
        <f t="shared" ref="CQ185:CQ197" si="290">(BS87-BR87)/BR87</f>
        <v>7.5884001385434054E-3</v>
      </c>
      <c r="CZ185" s="3"/>
      <c r="DA185" s="3"/>
      <c r="DC185" s="41"/>
      <c r="DD185" s="41"/>
      <c r="DE185" s="3"/>
      <c r="DF185" s="118"/>
      <c r="DG185" s="700"/>
      <c r="DH185" s="700"/>
      <c r="DI185" s="700"/>
      <c r="DJ185" s="700"/>
      <c r="DK185" s="43"/>
      <c r="DL185" s="43"/>
      <c r="DS185" s="3"/>
      <c r="DT185" s="3"/>
      <c r="DV185" s="41"/>
      <c r="DW185" s="41"/>
      <c r="DY185" s="118"/>
      <c r="DZ185" s="3"/>
      <c r="EA185" s="486"/>
      <c r="EB185" s="486"/>
      <c r="EC185" s="486"/>
      <c r="ED185" s="486"/>
      <c r="EE185" s="43"/>
      <c r="EF185" s="43"/>
      <c r="EL185" s="3"/>
      <c r="EM185" s="3"/>
      <c r="EO185" s="41"/>
      <c r="EP185" s="41"/>
      <c r="FC185" s="3"/>
      <c r="FE185" s="39"/>
      <c r="FF185" s="39"/>
      <c r="FH185" s="41"/>
      <c r="FI185" s="41"/>
      <c r="FM185" s="3"/>
      <c r="FN185" s="3"/>
      <c r="FO185" s="486"/>
      <c r="FP185" s="486"/>
      <c r="FQ185" s="486"/>
      <c r="FR185" s="486"/>
      <c r="FS185" s="43"/>
      <c r="FT185" s="43"/>
      <c r="FX185" s="3"/>
      <c r="FY185" s="3"/>
      <c r="GA185" s="41"/>
      <c r="GB185" s="41"/>
      <c r="GG185" s="3"/>
      <c r="GH185" s="3"/>
      <c r="GI185" s="486"/>
      <c r="GJ185" s="486"/>
      <c r="GK185" s="486"/>
      <c r="GL185" s="486"/>
      <c r="GM185" s="43"/>
      <c r="GN185" s="43"/>
      <c r="GO185" s="393"/>
      <c r="GS185" s="3"/>
      <c r="GT185" s="3"/>
      <c r="GV185" s="41"/>
      <c r="GW185" s="41"/>
      <c r="HA185" s="3"/>
      <c r="HB185" s="3"/>
      <c r="HC185" s="43"/>
      <c r="HD185" s="43"/>
      <c r="HE185" s="43"/>
      <c r="HF185" s="43"/>
      <c r="HG185" s="43"/>
    </row>
    <row r="186" spans="1:215">
      <c r="A186" s="632" t="s">
        <v>300</v>
      </c>
      <c r="B186" s="632"/>
      <c r="C186" s="616">
        <f t="shared" si="245"/>
        <v>0.25671184368817318</v>
      </c>
      <c r="D186" s="616">
        <f t="shared" si="246"/>
        <v>0.35001591375299773</v>
      </c>
      <c r="E186" s="616">
        <f t="shared" si="247"/>
        <v>0.42072106983027241</v>
      </c>
      <c r="F186" s="616">
        <f t="shared" si="248"/>
        <v>0.32446326234492884</v>
      </c>
      <c r="G186" s="616">
        <f t="shared" si="249"/>
        <v>0.48396598845390104</v>
      </c>
      <c r="H186" s="616">
        <f t="shared" si="250"/>
        <v>0.57922955918904195</v>
      </c>
      <c r="I186" s="616">
        <f t="shared" si="251"/>
        <v>0.7244013329206126</v>
      </c>
      <c r="J186" s="616">
        <f t="shared" si="252"/>
        <v>0.71004971609822043</v>
      </c>
      <c r="K186" s="616">
        <f t="shared" si="253"/>
        <v>0.81772079480142212</v>
      </c>
      <c r="L186" s="616">
        <f t="shared" si="254"/>
        <v>0.77935682660592032</v>
      </c>
      <c r="M186" s="616">
        <f t="shared" si="255"/>
        <v>0.86137810970604722</v>
      </c>
      <c r="N186" s="616">
        <f t="shared" si="256"/>
        <v>1.1871299706245326</v>
      </c>
      <c r="O186" s="616">
        <f t="shared" si="257"/>
        <v>1.3436734203895868</v>
      </c>
      <c r="P186" s="616">
        <f t="shared" si="258"/>
        <v>1.2621494687000765</v>
      </c>
      <c r="Q186" s="616">
        <f t="shared" si="259"/>
        <v>1.3814710869263727</v>
      </c>
      <c r="R186" s="616">
        <f t="shared" si="260"/>
        <v>1.4178327343129702</v>
      </c>
      <c r="S186" s="616">
        <f t="shared" si="261"/>
        <v>1.4298359008728705</v>
      </c>
      <c r="T186" s="616">
        <f t="shared" si="262"/>
        <v>1.4534519529285246</v>
      </c>
      <c r="U186" s="616">
        <f t="shared" si="263"/>
        <v>1.6076945126098918</v>
      </c>
      <c r="V186" s="616">
        <f t="shared" si="264"/>
        <v>1.4695593019507875</v>
      </c>
      <c r="W186" s="616">
        <f t="shared" si="265"/>
        <v>1.4951784736985287</v>
      </c>
      <c r="Y186" s="632" t="s">
        <v>300</v>
      </c>
      <c r="Z186" s="632"/>
      <c r="AA186" s="616">
        <f t="shared" ref="AA186:AU186" si="291">IFERROR((AA88-Z88)/Z88,0)</f>
        <v>0.25671184368817318</v>
      </c>
      <c r="AB186" s="616">
        <f t="shared" si="291"/>
        <v>7.4244601523765094E-2</v>
      </c>
      <c r="AC186" s="616">
        <f t="shared" si="291"/>
        <v>5.2373572309023196E-2</v>
      </c>
      <c r="AD186" s="616">
        <f t="shared" si="291"/>
        <v>-6.7752783800723873E-2</v>
      </c>
      <c r="AE186" s="616">
        <f t="shared" si="291"/>
        <v>0.12042819959126437</v>
      </c>
      <c r="AF186" s="616">
        <f t="shared" si="291"/>
        <v>6.4195252099000677E-2</v>
      </c>
      <c r="AG186" s="616">
        <f t="shared" si="291"/>
        <v>9.1925694327883847E-2</v>
      </c>
      <c r="AH186" s="616">
        <f t="shared" si="291"/>
        <v>-8.3226662775102399E-3</v>
      </c>
      <c r="AI186" s="616">
        <f t="shared" si="291"/>
        <v>6.2963712510576683E-2</v>
      </c>
      <c r="AJ186" s="616">
        <f t="shared" si="291"/>
        <v>-2.1105534087094421E-2</v>
      </c>
      <c r="AK186" s="616">
        <f t="shared" si="291"/>
        <v>4.6096028561387795E-2</v>
      </c>
      <c r="AL186" s="616">
        <f t="shared" si="291"/>
        <v>0.17500574398069446</v>
      </c>
      <c r="AM186" s="616">
        <f t="shared" si="291"/>
        <v>7.157482722453537E-2</v>
      </c>
      <c r="AN186" s="616">
        <f t="shared" si="291"/>
        <v>-3.4784689274651025E-2</v>
      </c>
      <c r="AO186" s="616">
        <f t="shared" si="291"/>
        <v>5.2747008929902098E-2</v>
      </c>
      <c r="AP186" s="616">
        <f t="shared" si="291"/>
        <v>1.526856554598254E-2</v>
      </c>
      <c r="AQ186" s="616">
        <f t="shared" si="291"/>
        <v>4.9644321501466603E-3</v>
      </c>
      <c r="AR186" s="616">
        <f t="shared" si="291"/>
        <v>9.7191962828314469E-3</v>
      </c>
      <c r="AS186" s="616">
        <f t="shared" si="291"/>
        <v>6.2867568895024817E-2</v>
      </c>
      <c r="AT186" s="616">
        <f t="shared" si="291"/>
        <v>-5.2972159887260943E-2</v>
      </c>
      <c r="AU186" s="616">
        <f t="shared" si="291"/>
        <v>1.0373985239999616E-2</v>
      </c>
      <c r="AV186" s="565"/>
      <c r="AW186" s="632" t="s">
        <v>300</v>
      </c>
      <c r="AX186" s="632"/>
      <c r="AY186" s="616">
        <f t="shared" ref="AY186:BS186" si="292">(AY88-$AX88)/$AX88</f>
        <v>2.107837299664066E-2</v>
      </c>
      <c r="AZ186" s="616">
        <f t="shared" si="292"/>
        <v>2.8689645022269661E-3</v>
      </c>
      <c r="BA186" s="616">
        <f t="shared" si="292"/>
        <v>5.5392794731059562E-2</v>
      </c>
      <c r="BB186" s="616">
        <f t="shared" si="292"/>
        <v>0.22985874360600539</v>
      </c>
      <c r="BC186" s="616">
        <f t="shared" si="292"/>
        <v>0.24017157606504602</v>
      </c>
      <c r="BD186" s="616">
        <f t="shared" si="292"/>
        <v>0.30349106472746334</v>
      </c>
      <c r="BE186" s="616">
        <f t="shared" si="292"/>
        <v>6.7486539427045925E-2</v>
      </c>
      <c r="BF186" s="616">
        <f t="shared" si="292"/>
        <v>0.31948579404621119</v>
      </c>
      <c r="BG186" s="616">
        <f t="shared" si="292"/>
        <v>0.3383990414497422</v>
      </c>
      <c r="BH186" s="616">
        <f t="shared" si="292"/>
        <v>0.31667098241114883</v>
      </c>
      <c r="BI186" s="616">
        <f t="shared" si="292"/>
        <v>0.35921599704379759</v>
      </c>
      <c r="BJ186" s="616">
        <f t="shared" si="292"/>
        <v>0.30535698954765594</v>
      </c>
      <c r="BK186" s="616">
        <f t="shared" si="292"/>
        <v>0.23040605847441448</v>
      </c>
      <c r="BL186" s="616">
        <f t="shared" si="292"/>
        <v>0.29659431382036572</v>
      </c>
      <c r="BM186" s="616">
        <f t="shared" si="292"/>
        <v>0.31205058065720903</v>
      </c>
      <c r="BN186" s="616">
        <f t="shared" si="292"/>
        <v>0.29410125428920386</v>
      </c>
      <c r="BO186" s="616">
        <f t="shared" si="292"/>
        <v>0.32396722816843254</v>
      </c>
      <c r="BP186" s="616">
        <f t="shared" si="292"/>
        <v>0.49051622568264269</v>
      </c>
      <c r="BQ186" s="616">
        <f t="shared" si="292"/>
        <v>0.63353345331696442</v>
      </c>
      <c r="BR186" s="616">
        <f t="shared" si="292"/>
        <v>0.6603298745394286</v>
      </c>
      <c r="BS186" s="616">
        <f t="shared" si="292"/>
        <v>0.5825495427025279</v>
      </c>
      <c r="BU186" s="632" t="s">
        <v>300</v>
      </c>
      <c r="BV186" s="632"/>
      <c r="BW186" s="616">
        <f t="shared" ref="BW186:BW203" si="293">(AY88-AX88)/AX88</f>
        <v>2.107837299664066E-2</v>
      </c>
      <c r="BX186" s="616">
        <f t="shared" ref="BX186:BX203" si="294">(AZ88-AY88)/AY88</f>
        <v>-1.7833507178271812E-2</v>
      </c>
      <c r="BY186" s="616">
        <f t="shared" ref="BY186:BY203" si="295">(BA88-AZ88)/AZ88</f>
        <v>5.2373572309023189E-2</v>
      </c>
      <c r="BZ186" s="616">
        <f t="shared" si="284"/>
        <v>0.16530902024909513</v>
      </c>
      <c r="CA186" s="616">
        <f t="shared" ref="CA186:CA197" si="296">(BC88-BB88)/BB88</f>
        <v>8.3853796321380087E-3</v>
      </c>
      <c r="CB186" s="616">
        <f t="shared" ref="CB186:CB197" si="297">(BD88-BC88)/BC88</f>
        <v>5.1057039110124103E-2</v>
      </c>
      <c r="CC186" s="616">
        <f t="shared" ref="CC186:CC197" si="298">(BE88-BD88)/BD88</f>
        <v>-0.18105572925408717</v>
      </c>
      <c r="CD186" s="616">
        <f t="shared" ref="CD186:CD197" si="299">(BF88-BE88)/BE88</f>
        <v>0.23606785220394566</v>
      </c>
      <c r="CE186" s="616">
        <f t="shared" ref="CE186:CE197" si="300">(BG88-BF88)/BF88</f>
        <v>1.4333801461805344E-2</v>
      </c>
      <c r="CF186" s="616">
        <f t="shared" ref="CF186:CF197" si="301">(BH88-BG88)/BG88</f>
        <v>-1.6234365361662045E-2</v>
      </c>
      <c r="CG186" s="616">
        <f t="shared" ref="CG186:CG197" si="302">(BI88-BH88)/BH88</f>
        <v>3.2312563427758081E-2</v>
      </c>
      <c r="CH186" s="616">
        <f t="shared" ref="CH186:CH197" si="303">(BJ88-BI88)/BI88</f>
        <v>-3.9625054158633585E-2</v>
      </c>
      <c r="CI186" s="616">
        <f t="shared" ref="CI186:CI197" si="304">(BK88-BJ88)/BJ88</f>
        <v>-5.7417956676521234E-2</v>
      </c>
      <c r="CJ186" s="616">
        <f t="shared" ref="CJ186:CJ197" si="305">(BL88-BK88)/BK88</f>
        <v>5.3793830817135554E-2</v>
      </c>
      <c r="CK186" s="616">
        <f t="shared" ref="CK186:CK197" si="306">(BM88-BL88)/BL88</f>
        <v>1.1920665293758719E-2</v>
      </c>
      <c r="CL186" s="616">
        <f t="shared" si="285"/>
        <v>-1.3680361590186818E-2</v>
      </c>
      <c r="CM186" s="616">
        <f t="shared" si="286"/>
        <v>2.3078544882203053E-2</v>
      </c>
      <c r="CN186" s="616">
        <f t="shared" si="287"/>
        <v>0.1257954079004002</v>
      </c>
      <c r="CO186" s="616">
        <f t="shared" si="288"/>
        <v>9.5951473167506907E-2</v>
      </c>
      <c r="CP186" s="616">
        <f t="shared" si="289"/>
        <v>1.640396232354642E-2</v>
      </c>
      <c r="CQ186" s="616">
        <f t="shared" si="290"/>
        <v>-4.6846312307954358E-2</v>
      </c>
      <c r="CZ186" s="3"/>
      <c r="DA186" s="3"/>
      <c r="DC186" s="41"/>
      <c r="DD186" s="41"/>
      <c r="DE186" s="3"/>
      <c r="DF186" s="118"/>
      <c r="DG186" s="700"/>
      <c r="DH186" s="700"/>
      <c r="DI186" s="700"/>
      <c r="DJ186" s="700"/>
      <c r="DK186" s="43"/>
      <c r="DL186" s="43"/>
      <c r="DS186" s="3"/>
      <c r="DT186" s="3"/>
      <c r="DV186" s="41"/>
      <c r="DW186" s="41"/>
      <c r="DY186" s="118"/>
      <c r="DZ186" s="3"/>
      <c r="EA186" s="486"/>
      <c r="EB186" s="486"/>
      <c r="EC186" s="486"/>
      <c r="ED186" s="486"/>
      <c r="EE186" s="43"/>
      <c r="EF186" s="43"/>
      <c r="EL186" s="3"/>
      <c r="EM186" s="3"/>
      <c r="EO186" s="41"/>
      <c r="EP186" s="41"/>
      <c r="FC186" s="3"/>
      <c r="FE186" s="39"/>
      <c r="FF186" s="39"/>
      <c r="FH186" s="41"/>
      <c r="FI186" s="41"/>
      <c r="FM186" s="3"/>
      <c r="FN186" s="3"/>
      <c r="FO186" s="486"/>
      <c r="FP186" s="486"/>
      <c r="FQ186" s="486"/>
      <c r="FR186" s="486"/>
      <c r="FS186" s="43"/>
      <c r="FT186" s="43"/>
      <c r="FX186" s="3"/>
      <c r="FY186" s="3"/>
      <c r="GA186" s="41"/>
      <c r="GB186" s="41"/>
      <c r="GG186" s="3"/>
      <c r="GH186" s="3"/>
      <c r="GI186" s="486"/>
      <c r="GJ186" s="486"/>
      <c r="GK186" s="486"/>
      <c r="GL186" s="486"/>
      <c r="GM186" s="43"/>
      <c r="GN186" s="43"/>
      <c r="GO186" s="393"/>
      <c r="GS186" s="3"/>
      <c r="GT186" s="3"/>
      <c r="GV186" s="41"/>
      <c r="GW186" s="41"/>
      <c r="HA186" s="3"/>
      <c r="HB186" s="3"/>
      <c r="HC186" s="43"/>
      <c r="HD186" s="43"/>
      <c r="HE186" s="43"/>
      <c r="HF186" s="43"/>
      <c r="HG186" s="43"/>
    </row>
    <row r="187" spans="1:215">
      <c r="A187" s="633" t="s">
        <v>301</v>
      </c>
      <c r="B187" s="633"/>
      <c r="C187" s="618">
        <f t="shared" si="245"/>
        <v>-9.3510886494178706E-3</v>
      </c>
      <c r="D187" s="618">
        <f t="shared" si="246"/>
        <v>0.2429493739320891</v>
      </c>
      <c r="E187" s="618">
        <f t="shared" si="247"/>
        <v>0.27125693146796209</v>
      </c>
      <c r="F187" s="618">
        <f t="shared" si="248"/>
        <v>0.5014340259265524</v>
      </c>
      <c r="G187" s="618">
        <f t="shared" si="249"/>
        <v>0.62337012826440708</v>
      </c>
      <c r="H187" s="618">
        <f t="shared" si="250"/>
        <v>0.44979085907180433</v>
      </c>
      <c r="I187" s="618">
        <f t="shared" si="251"/>
        <v>1.1651288007955869</v>
      </c>
      <c r="J187" s="618">
        <f t="shared" si="252"/>
        <v>1.4612381934303256</v>
      </c>
      <c r="K187" s="618">
        <f t="shared" si="253"/>
        <v>1.182876028082015</v>
      </c>
      <c r="L187" s="618">
        <f t="shared" si="254"/>
        <v>1.3623679389975207</v>
      </c>
      <c r="M187" s="618">
        <f t="shared" si="255"/>
        <v>1.4251259906123435</v>
      </c>
      <c r="N187" s="618">
        <f t="shared" si="256"/>
        <v>1.6953296594686811</v>
      </c>
      <c r="O187" s="618">
        <f t="shared" si="257"/>
        <v>1.8138972155762076</v>
      </c>
      <c r="P187" s="618">
        <f t="shared" si="258"/>
        <v>2.0318130403759431</v>
      </c>
      <c r="Q187" s="618">
        <f t="shared" si="259"/>
        <v>2.0279738946177237</v>
      </c>
      <c r="R187" s="618">
        <f t="shared" si="260"/>
        <v>1.9958746119019988</v>
      </c>
      <c r="S187" s="618">
        <f t="shared" si="261"/>
        <v>-1</v>
      </c>
      <c r="T187" s="618">
        <f t="shared" si="262"/>
        <v>-1</v>
      </c>
      <c r="U187" s="618">
        <f t="shared" si="263"/>
        <v>-1</v>
      </c>
      <c r="V187" s="618">
        <f t="shared" si="264"/>
        <v>-1</v>
      </c>
      <c r="W187" s="618">
        <f t="shared" si="265"/>
        <v>-1</v>
      </c>
      <c r="Y187" s="633" t="s">
        <v>301</v>
      </c>
      <c r="Z187" s="633"/>
      <c r="AA187" s="618">
        <f t="shared" ref="AA187:AU187" si="307">IFERROR((AA89-Z89)/Z89,0)</f>
        <v>-9.3510886494178706E-3</v>
      </c>
      <c r="AB187" s="618">
        <f t="shared" si="307"/>
        <v>0.25468201669705365</v>
      </c>
      <c r="AC187" s="618">
        <f t="shared" si="307"/>
        <v>2.2774505647258667E-2</v>
      </c>
      <c r="AD187" s="618">
        <f t="shared" si="307"/>
        <v>0.18106260722039663</v>
      </c>
      <c r="AE187" s="618">
        <f t="shared" si="307"/>
        <v>8.1213093770541492E-2</v>
      </c>
      <c r="AF187" s="618">
        <f t="shared" si="307"/>
        <v>-0.1069252576294363</v>
      </c>
      <c r="AG187" s="618">
        <f t="shared" si="307"/>
        <v>0.49340767825075232</v>
      </c>
      <c r="AH187" s="618">
        <f t="shared" si="307"/>
        <v>0.13676294570832542</v>
      </c>
      <c r="AI187" s="618">
        <f t="shared" si="307"/>
        <v>-0.11309842586196267</v>
      </c>
      <c r="AJ187" s="618">
        <f t="shared" si="307"/>
        <v>8.2227258262218605E-2</v>
      </c>
      <c r="AK187" s="618">
        <f t="shared" si="307"/>
        <v>2.6565739645727789E-2</v>
      </c>
      <c r="AL187" s="618">
        <f t="shared" si="307"/>
        <v>0.11141840461167593</v>
      </c>
      <c r="AM187" s="618">
        <f t="shared" si="307"/>
        <v>4.3990001627815481E-2</v>
      </c>
      <c r="AN187" s="618">
        <f t="shared" si="307"/>
        <v>7.7442709560772788E-2</v>
      </c>
      <c r="AO187" s="618">
        <f t="shared" si="307"/>
        <v>-1.2662871051387179E-3</v>
      </c>
      <c r="AP187" s="618">
        <f t="shared" si="307"/>
        <v>-1.0600911313265222E-2</v>
      </c>
      <c r="AQ187" s="618">
        <f t="shared" si="307"/>
        <v>-1</v>
      </c>
      <c r="AR187" s="618">
        <f t="shared" si="307"/>
        <v>0</v>
      </c>
      <c r="AS187" s="618">
        <f t="shared" si="307"/>
        <v>0</v>
      </c>
      <c r="AT187" s="618">
        <f t="shared" si="307"/>
        <v>0</v>
      </c>
      <c r="AU187" s="618">
        <f t="shared" si="307"/>
        <v>0</v>
      </c>
      <c r="AV187" s="565"/>
      <c r="AW187" s="633" t="s">
        <v>301</v>
      </c>
      <c r="AX187" s="633"/>
      <c r="AY187" s="618">
        <f t="shared" ref="AY187:BS187" si="308">(AY89-$AX89)/$AX89</f>
        <v>-5.888353421694692E-2</v>
      </c>
      <c r="AZ187" s="618">
        <f t="shared" si="308"/>
        <v>3.5791144943407474E-2</v>
      </c>
      <c r="BA187" s="618">
        <f t="shared" si="308"/>
        <v>5.9380776223301728E-2</v>
      </c>
      <c r="BB187" s="618">
        <f t="shared" si="308"/>
        <v>9.7201788177095932E-2</v>
      </c>
      <c r="BC187" s="618">
        <f t="shared" si="308"/>
        <v>0.10157258703656204</v>
      </c>
      <c r="BD187" s="618">
        <f t="shared" si="308"/>
        <v>0.14775109676517839</v>
      </c>
      <c r="BE187" s="618">
        <f t="shared" si="308"/>
        <v>8.2564400397793503E-2</v>
      </c>
      <c r="BF187" s="618">
        <f t="shared" si="308"/>
        <v>0.17438784566425081</v>
      </c>
      <c r="BG187" s="618">
        <f t="shared" si="308"/>
        <v>0.24226394941023058</v>
      </c>
      <c r="BH187" s="618">
        <f t="shared" si="308"/>
        <v>0.2884259613612275</v>
      </c>
      <c r="BI187" s="618">
        <f t="shared" si="308"/>
        <v>0.34176116994756739</v>
      </c>
      <c r="BJ187" s="618">
        <f t="shared" si="308"/>
        <v>0.38312716503840843</v>
      </c>
      <c r="BK187" s="618">
        <f t="shared" si="308"/>
        <v>0.34909718734630235</v>
      </c>
      <c r="BL187" s="618">
        <f t="shared" si="308"/>
        <v>0.35719078808586108</v>
      </c>
      <c r="BM187" s="618">
        <f t="shared" si="308"/>
        <v>0.55476704379676312</v>
      </c>
      <c r="BN187" s="618">
        <f t="shared" si="308"/>
        <v>0.46768115697313528</v>
      </c>
      <c r="BO187" s="618">
        <f t="shared" si="308"/>
        <v>-1</v>
      </c>
      <c r="BP187" s="618">
        <f t="shared" si="308"/>
        <v>-1</v>
      </c>
      <c r="BQ187" s="618">
        <f t="shared" si="308"/>
        <v>-1</v>
      </c>
      <c r="BR187" s="618">
        <f t="shared" si="308"/>
        <v>-1</v>
      </c>
      <c r="BS187" s="618">
        <f t="shared" si="308"/>
        <v>-1</v>
      </c>
      <c r="BU187" s="633" t="s">
        <v>301</v>
      </c>
      <c r="BV187" s="633"/>
      <c r="BW187" s="618">
        <f t="shared" si="293"/>
        <v>-5.888353421694692E-2</v>
      </c>
      <c r="BX187" s="618">
        <f t="shared" si="294"/>
        <v>0.10059826026057318</v>
      </c>
      <c r="BY187" s="618">
        <f t="shared" si="295"/>
        <v>2.2774505647258764E-2</v>
      </c>
      <c r="BZ187" s="618">
        <f t="shared" si="284"/>
        <v>3.5701055562501638E-2</v>
      </c>
      <c r="CA187" s="618">
        <f t="shared" si="296"/>
        <v>3.983587072645769E-3</v>
      </c>
      <c r="CB187" s="618">
        <f t="shared" si="297"/>
        <v>4.1920532765657548E-2</v>
      </c>
      <c r="CC187" s="618">
        <f t="shared" si="298"/>
        <v>-5.6795150578472169E-2</v>
      </c>
      <c r="CD187" s="618">
        <f t="shared" si="299"/>
        <v>8.4820307441032E-2</v>
      </c>
      <c r="CE187" s="618">
        <f t="shared" si="300"/>
        <v>5.7797008029820053E-2</v>
      </c>
      <c r="CF187" s="618">
        <f t="shared" si="301"/>
        <v>3.7159584300029372E-2</v>
      </c>
      <c r="CG187" s="618">
        <f t="shared" si="302"/>
        <v>4.1395633265563059E-2</v>
      </c>
      <c r="CH187" s="618">
        <f t="shared" si="303"/>
        <v>3.0829626029837756E-2</v>
      </c>
      <c r="CI187" s="618">
        <f t="shared" si="304"/>
        <v>-2.4603650736019726E-2</v>
      </c>
      <c r="CJ187" s="618">
        <f t="shared" si="305"/>
        <v>5.999271820793739E-3</v>
      </c>
      <c r="CK187" s="618">
        <f t="shared" si="306"/>
        <v>0.14557736277414418</v>
      </c>
      <c r="CL187" s="618">
        <f t="shared" si="285"/>
        <v>-5.6012176982451901E-2</v>
      </c>
      <c r="CM187" s="618">
        <f t="shared" si="286"/>
        <v>-1</v>
      </c>
      <c r="CN187" s="618" t="e">
        <f t="shared" si="287"/>
        <v>#DIV/0!</v>
      </c>
      <c r="CO187" s="618" t="e">
        <f t="shared" si="288"/>
        <v>#DIV/0!</v>
      </c>
      <c r="CP187" s="618" t="e">
        <f t="shared" si="289"/>
        <v>#DIV/0!</v>
      </c>
      <c r="CQ187" s="618" t="e">
        <f t="shared" si="290"/>
        <v>#DIV/0!</v>
      </c>
      <c r="CZ187" s="3"/>
      <c r="DA187" s="3"/>
      <c r="DC187" s="41"/>
      <c r="DD187" s="41"/>
      <c r="DE187" s="3"/>
      <c r="DF187" s="118"/>
      <c r="DG187" s="700"/>
      <c r="DH187" s="700"/>
      <c r="DI187" s="700"/>
      <c r="DJ187" s="700"/>
      <c r="DK187" s="43"/>
      <c r="DL187" s="43"/>
      <c r="DS187" s="3"/>
      <c r="DT187" s="3"/>
      <c r="DV187" s="41"/>
      <c r="DW187" s="41"/>
      <c r="DY187" s="118"/>
      <c r="DZ187" s="3"/>
      <c r="EA187" s="486"/>
      <c r="EB187" s="486"/>
      <c r="EC187" s="486"/>
      <c r="ED187" s="486"/>
      <c r="EE187" s="43"/>
      <c r="EF187" s="43"/>
      <c r="EL187" s="3"/>
      <c r="EM187" s="3"/>
      <c r="EO187" s="41"/>
      <c r="EP187" s="41"/>
      <c r="FC187" s="3"/>
      <c r="FE187" s="39"/>
      <c r="FF187" s="39"/>
      <c r="FH187" s="41"/>
      <c r="FI187" s="41"/>
      <c r="FM187" s="3"/>
      <c r="FN187" s="3"/>
      <c r="FO187" s="486"/>
      <c r="FP187" s="486"/>
      <c r="FQ187" s="486"/>
      <c r="FR187" s="486"/>
      <c r="FS187" s="43"/>
      <c r="FT187" s="43"/>
      <c r="FX187" s="3"/>
      <c r="FY187" s="3"/>
      <c r="GA187" s="41"/>
      <c r="GB187" s="41"/>
      <c r="GG187" s="3"/>
      <c r="GH187" s="3"/>
      <c r="GI187" s="486"/>
      <c r="GJ187" s="486"/>
      <c r="GK187" s="486"/>
      <c r="GL187" s="486"/>
      <c r="GM187" s="43"/>
      <c r="GN187" s="43"/>
      <c r="GO187" s="393"/>
      <c r="GS187" s="3"/>
      <c r="GT187" s="3"/>
      <c r="GV187" s="41"/>
      <c r="GW187" s="41"/>
      <c r="HA187" s="3"/>
      <c r="HB187" s="3"/>
      <c r="HC187" s="43"/>
      <c r="HD187" s="43"/>
      <c r="HE187" s="43"/>
      <c r="HF187" s="43"/>
      <c r="HG187" s="43"/>
    </row>
    <row r="188" spans="1:215">
      <c r="A188" s="632" t="s">
        <v>73</v>
      </c>
      <c r="B188" s="632"/>
      <c r="C188" s="616">
        <f t="shared" si="245"/>
        <v>-0.10246389879991169</v>
      </c>
      <c r="D188" s="616">
        <f t="shared" si="246"/>
        <v>-7.5072976335234659E-2</v>
      </c>
      <c r="E188" s="616">
        <f t="shared" si="247"/>
        <v>4.2832202587275101E-4</v>
      </c>
      <c r="F188" s="616">
        <f t="shared" si="248"/>
        <v>-6.8419898890912878E-2</v>
      </c>
      <c r="G188" s="616">
        <f t="shared" si="249"/>
        <v>3.8475203354625641E-2</v>
      </c>
      <c r="H188" s="616">
        <f t="shared" si="250"/>
        <v>5.761733886682719E-2</v>
      </c>
      <c r="I188" s="616">
        <f t="shared" si="251"/>
        <v>-8.7960696005756492E-4</v>
      </c>
      <c r="J188" s="616">
        <f t="shared" si="252"/>
        <v>9.8223308755225294E-2</v>
      </c>
      <c r="K188" s="616">
        <f t="shared" si="253"/>
        <v>8.5343456007000953E-2</v>
      </c>
      <c r="L188" s="616">
        <f t="shared" si="254"/>
        <v>0.19735163250331619</v>
      </c>
      <c r="M188" s="616">
        <f t="shared" si="255"/>
        <v>0.28154322225309936</v>
      </c>
      <c r="N188" s="616">
        <f t="shared" si="256"/>
        <v>0.3114984424556958</v>
      </c>
      <c r="O188" s="616">
        <f t="shared" si="257"/>
        <v>0.20749177640846067</v>
      </c>
      <c r="P188" s="616">
        <f t="shared" si="258"/>
        <v>0.27876906904755167</v>
      </c>
      <c r="Q188" s="616">
        <f t="shared" si="259"/>
        <v>0.24621595722265313</v>
      </c>
      <c r="R188" s="616">
        <f t="shared" si="260"/>
        <v>0.54383916864066184</v>
      </c>
      <c r="S188" s="616">
        <f t="shared" si="261"/>
        <v>0.31630300578091208</v>
      </c>
      <c r="T188" s="616">
        <f t="shared" si="262"/>
        <v>0.47382813156130554</v>
      </c>
      <c r="U188" s="616">
        <f t="shared" si="263"/>
        <v>0.46610249494124983</v>
      </c>
      <c r="V188" s="616">
        <f t="shared" si="264"/>
        <v>0.45589473802829816</v>
      </c>
      <c r="W188" s="616">
        <f t="shared" si="265"/>
        <v>0.52022957805443348</v>
      </c>
      <c r="Y188" s="632" t="s">
        <v>73</v>
      </c>
      <c r="Z188" s="632"/>
      <c r="AA188" s="616">
        <f t="shared" ref="AA188:AU188" si="309">IFERROR((AA90-Z90)/Z90,0)</f>
        <v>-0.10246389879991169</v>
      </c>
      <c r="AB188" s="616">
        <f t="shared" si="309"/>
        <v>3.0517906107679509E-2</v>
      </c>
      <c r="AC188" s="616">
        <f t="shared" si="309"/>
        <v>8.1629465276032889E-2</v>
      </c>
      <c r="AD188" s="616">
        <f t="shared" si="309"/>
        <v>-6.8818744332794987E-2</v>
      </c>
      <c r="AE188" s="616">
        <f t="shared" si="309"/>
        <v>0.11474601284234731</v>
      </c>
      <c r="AF188" s="616">
        <f t="shared" si="309"/>
        <v>1.8432924975354238E-2</v>
      </c>
      <c r="AG188" s="616">
        <f t="shared" si="309"/>
        <v>-5.5310123687609625E-2</v>
      </c>
      <c r="AH188" s="616">
        <f t="shared" si="309"/>
        <v>9.9190164073971576E-2</v>
      </c>
      <c r="AI188" s="616">
        <f t="shared" si="309"/>
        <v>-1.1727899640759704E-2</v>
      </c>
      <c r="AJ188" s="616">
        <f t="shared" si="309"/>
        <v>0.10320067429014169</v>
      </c>
      <c r="AK188" s="616">
        <f t="shared" si="309"/>
        <v>7.0314841074516188E-2</v>
      </c>
      <c r="AL188" s="616">
        <f t="shared" si="309"/>
        <v>2.337433469464396E-2</v>
      </c>
      <c r="AM188" s="616">
        <f t="shared" si="309"/>
        <v>-7.9303690100073154E-2</v>
      </c>
      <c r="AN188" s="616">
        <f t="shared" si="309"/>
        <v>5.9029215793996323E-2</v>
      </c>
      <c r="AO188" s="616">
        <f t="shared" si="309"/>
        <v>-2.5456599328872277E-2</v>
      </c>
      <c r="AP188" s="616">
        <f t="shared" si="309"/>
        <v>0.23882153786675861</v>
      </c>
      <c r="AQ188" s="616">
        <f t="shared" si="309"/>
        <v>-0.14738333336891146</v>
      </c>
      <c r="AR188" s="616">
        <f t="shared" si="309"/>
        <v>0.11967238932721261</v>
      </c>
      <c r="AS188" s="616">
        <f t="shared" si="309"/>
        <v>-5.2418843517877123E-3</v>
      </c>
      <c r="AT188" s="616">
        <f t="shared" si="309"/>
        <v>-6.9625124765651039E-3</v>
      </c>
      <c r="AU188" s="616">
        <f t="shared" si="309"/>
        <v>4.4189211174197447E-2</v>
      </c>
      <c r="AV188" s="565"/>
      <c r="AW188" s="632" t="s">
        <v>73</v>
      </c>
      <c r="AX188" s="632"/>
      <c r="AY188" s="616">
        <f t="shared" ref="AY188:BS188" si="310">(AY90-$AX90)/$AX90</f>
        <v>-7.2096135977352219E-2</v>
      </c>
      <c r="AZ188" s="616">
        <f t="shared" si="310"/>
        <v>-0.14688408065703321</v>
      </c>
      <c r="BA188" s="616">
        <f t="shared" si="310"/>
        <v>-0.12147260796887629</v>
      </c>
      <c r="BB188" s="616">
        <f t="shared" si="310"/>
        <v>1.3477252854941118E-2</v>
      </c>
      <c r="BC188" s="616">
        <f t="shared" si="310"/>
        <v>3.3530083338651415E-2</v>
      </c>
      <c r="BD188" s="616">
        <f t="shared" si="310"/>
        <v>6.0222307681770219E-2</v>
      </c>
      <c r="BE188" s="616">
        <f t="shared" si="310"/>
        <v>9.3425124015651395E-2</v>
      </c>
      <c r="BF188" s="616">
        <f t="shared" si="310"/>
        <v>6.9788227008031209E-2</v>
      </c>
      <c r="BG188" s="616">
        <f t="shared" si="310"/>
        <v>4.9623384004311488E-2</v>
      </c>
      <c r="BH188" s="616">
        <f t="shared" si="310"/>
        <v>2.0533373382751463E-2</v>
      </c>
      <c r="BI188" s="616">
        <f t="shared" si="310"/>
        <v>0.12361888813415721</v>
      </c>
      <c r="BJ188" s="616">
        <f t="shared" si="310"/>
        <v>0.11478142606889685</v>
      </c>
      <c r="BK188" s="616">
        <f t="shared" si="310"/>
        <v>1.0369556116351355</v>
      </c>
      <c r="BL188" s="616">
        <f t="shared" si="310"/>
        <v>1.3028438483659535</v>
      </c>
      <c r="BM188" s="616">
        <f t="shared" si="310"/>
        <v>1.4067000025726963</v>
      </c>
      <c r="BN188" s="616">
        <f t="shared" si="310"/>
        <v>1.5307782172150797</v>
      </c>
      <c r="BO188" s="616">
        <f t="shared" si="310"/>
        <v>1.5206693587537992</v>
      </c>
      <c r="BP188" s="616">
        <f t="shared" si="310"/>
        <v>1.7346704058745679</v>
      </c>
      <c r="BQ188" s="616">
        <f t="shared" si="310"/>
        <v>2.0072697879597148</v>
      </c>
      <c r="BR188" s="616">
        <f t="shared" si="310"/>
        <v>1.7765097132646546</v>
      </c>
      <c r="BS188" s="616">
        <f t="shared" si="310"/>
        <v>1.8399893216401506</v>
      </c>
      <c r="BU188" s="632" t="s">
        <v>73</v>
      </c>
      <c r="BV188" s="632"/>
      <c r="BW188" s="616">
        <f t="shared" si="293"/>
        <v>-7.2096135977352219E-2</v>
      </c>
      <c r="BX188" s="616">
        <f t="shared" si="294"/>
        <v>-8.0598807246539922E-2</v>
      </c>
      <c r="BY188" s="616">
        <f t="shared" si="295"/>
        <v>2.9786658661495522E-2</v>
      </c>
      <c r="BZ188" s="616">
        <f t="shared" si="284"/>
        <v>0.1536091669399382</v>
      </c>
      <c r="CA188" s="616">
        <f t="shared" si="296"/>
        <v>1.9786167303925132E-2</v>
      </c>
      <c r="CB188" s="616">
        <f t="shared" si="297"/>
        <v>2.5826267443414805E-2</v>
      </c>
      <c r="CC188" s="616">
        <f t="shared" si="298"/>
        <v>3.1316843734858602E-2</v>
      </c>
      <c r="CD188" s="616">
        <f t="shared" si="299"/>
        <v>-2.1617298238778938E-2</v>
      </c>
      <c r="CE188" s="616">
        <f t="shared" si="300"/>
        <v>-1.8849378311178909E-2</v>
      </c>
      <c r="CF188" s="616">
        <f t="shared" si="301"/>
        <v>-2.7714712786391708E-2</v>
      </c>
      <c r="CG188" s="616">
        <f t="shared" si="302"/>
        <v>0.10101140975890799</v>
      </c>
      <c r="CH188" s="616">
        <f t="shared" si="303"/>
        <v>-7.8651775602807325E-3</v>
      </c>
      <c r="CI188" s="616">
        <f t="shared" si="304"/>
        <v>0.82722421095419785</v>
      </c>
      <c r="CJ188" s="616">
        <f t="shared" si="305"/>
        <v>0.13053217027021041</v>
      </c>
      <c r="CK188" s="616">
        <f t="shared" si="306"/>
        <v>4.5099086627361541E-2</v>
      </c>
      <c r="CL188" s="616">
        <f t="shared" si="285"/>
        <v>5.1555330747391548E-2</v>
      </c>
      <c r="CM188" s="616">
        <f t="shared" si="286"/>
        <v>-3.9943675793150573E-3</v>
      </c>
      <c r="CN188" s="616">
        <f t="shared" si="287"/>
        <v>8.4898499828065244E-2</v>
      </c>
      <c r="CO188" s="616">
        <f t="shared" si="288"/>
        <v>9.968271916774836E-2</v>
      </c>
      <c r="CP188" s="616">
        <f t="shared" si="289"/>
        <v>-7.6734078072729126E-2</v>
      </c>
      <c r="CQ188" s="616">
        <f t="shared" si="290"/>
        <v>2.2863096092271915E-2</v>
      </c>
      <c r="CZ188" s="3"/>
      <c r="DA188" s="3"/>
      <c r="DC188" s="41"/>
      <c r="DD188" s="41"/>
      <c r="DE188" s="3"/>
      <c r="DF188" s="118"/>
      <c r="DG188" s="700"/>
      <c r="DH188" s="700"/>
      <c r="DI188" s="700"/>
      <c r="DJ188" s="700"/>
      <c r="DK188" s="43"/>
      <c r="DL188" s="43"/>
      <c r="DS188" s="3"/>
      <c r="DT188" s="3"/>
      <c r="DV188" s="41"/>
      <c r="DW188" s="41"/>
      <c r="DY188" s="118"/>
      <c r="DZ188" s="3"/>
      <c r="EA188" s="486"/>
      <c r="EB188" s="486"/>
      <c r="EC188" s="486"/>
      <c r="ED188" s="486"/>
      <c r="EE188" s="43"/>
      <c r="EF188" s="43"/>
      <c r="EL188" s="3"/>
      <c r="EM188" s="3"/>
      <c r="EO188" s="41"/>
      <c r="EP188" s="41"/>
      <c r="FC188" s="3"/>
      <c r="FE188" s="39"/>
      <c r="FF188" s="39"/>
      <c r="FH188" s="41"/>
      <c r="FI188" s="41"/>
      <c r="FM188" s="3"/>
      <c r="FN188" s="3"/>
      <c r="FO188" s="486"/>
      <c r="FP188" s="486"/>
      <c r="FQ188" s="486"/>
      <c r="FR188" s="486"/>
      <c r="FS188" s="43"/>
      <c r="FT188" s="43"/>
      <c r="FX188" s="3"/>
      <c r="FY188" s="3"/>
      <c r="GA188" s="41"/>
      <c r="GB188" s="41"/>
      <c r="GG188" s="3"/>
      <c r="GH188" s="3"/>
      <c r="GI188" s="486"/>
      <c r="GJ188" s="486"/>
      <c r="GK188" s="486"/>
      <c r="GL188" s="486"/>
      <c r="GM188" s="43"/>
      <c r="GN188" s="43"/>
      <c r="GO188" s="393"/>
      <c r="GS188" s="3"/>
      <c r="GT188" s="3"/>
      <c r="GV188" s="41"/>
      <c r="GW188" s="41"/>
      <c r="HA188" s="3"/>
      <c r="HB188" s="3"/>
      <c r="HC188" s="43"/>
      <c r="HD188" s="43"/>
      <c r="HE188" s="43"/>
      <c r="HF188" s="43"/>
      <c r="HG188" s="43"/>
    </row>
    <row r="189" spans="1:215">
      <c r="A189" s="631" t="s">
        <v>74</v>
      </c>
      <c r="B189" s="631"/>
      <c r="C189" s="618">
        <f t="shared" si="245"/>
        <v>7.8364543864762562E-2</v>
      </c>
      <c r="D189" s="618">
        <f t="shared" si="246"/>
        <v>0.13428013742790781</v>
      </c>
      <c r="E189" s="618">
        <f t="shared" si="247"/>
        <v>0.11242785255645943</v>
      </c>
      <c r="F189" s="618">
        <f t="shared" si="248"/>
        <v>0.1376169704918612</v>
      </c>
      <c r="G189" s="618">
        <f t="shared" si="249"/>
        <v>0.26463925174213726</v>
      </c>
      <c r="H189" s="618">
        <f t="shared" si="250"/>
        <v>0.23842174293208979</v>
      </c>
      <c r="I189" s="618">
        <f t="shared" si="251"/>
        <v>0.1926988111956052</v>
      </c>
      <c r="J189" s="618">
        <f t="shared" si="252"/>
        <v>0.31732868984217005</v>
      </c>
      <c r="K189" s="618">
        <f t="shared" si="253"/>
        <v>0.27598743188221475</v>
      </c>
      <c r="L189" s="618">
        <f t="shared" si="254"/>
        <v>0.36607734294268829</v>
      </c>
      <c r="M189" s="618">
        <f t="shared" si="255"/>
        <v>0.40115099184794617</v>
      </c>
      <c r="N189" s="618">
        <f t="shared" si="256"/>
        <v>0.46677027856530945</v>
      </c>
      <c r="O189" s="618">
        <f t="shared" si="257"/>
        <v>0.31988029154853709</v>
      </c>
      <c r="P189" s="618">
        <f t="shared" si="258"/>
        <v>0.569163785184989</v>
      </c>
      <c r="Q189" s="618">
        <f t="shared" si="259"/>
        <v>0.59751232081820826</v>
      </c>
      <c r="R189" s="618">
        <f t="shared" si="260"/>
        <v>0.76970745784867067</v>
      </c>
      <c r="S189" s="618">
        <f t="shared" si="261"/>
        <v>0.7059950827128767</v>
      </c>
      <c r="T189" s="618">
        <f t="shared" si="262"/>
        <v>0.82069389611651367</v>
      </c>
      <c r="U189" s="618">
        <f t="shared" si="263"/>
        <v>0.87817244508624592</v>
      </c>
      <c r="V189" s="618">
        <f t="shared" si="264"/>
        <v>0.92365166529768672</v>
      </c>
      <c r="W189" s="618">
        <f t="shared" si="265"/>
        <v>0.79954602863375823</v>
      </c>
      <c r="Y189" s="631" t="s">
        <v>74</v>
      </c>
      <c r="Z189" s="631"/>
      <c r="AA189" s="618">
        <f t="shared" ref="AA189:AU189" si="311">IFERROR((AA91-Z91)/Z91,0)</f>
        <v>7.8364543864762562E-2</v>
      </c>
      <c r="AB189" s="618">
        <f t="shared" si="311"/>
        <v>5.1852218140211417E-2</v>
      </c>
      <c r="AC189" s="618">
        <f t="shared" si="311"/>
        <v>-1.926533327207916E-2</v>
      </c>
      <c r="AD189" s="618">
        <f t="shared" si="311"/>
        <v>2.2643372221861326E-2</v>
      </c>
      <c r="AE189" s="618">
        <f t="shared" si="311"/>
        <v>0.11165645779295696</v>
      </c>
      <c r="AF189" s="618">
        <f t="shared" si="311"/>
        <v>-2.0731215462378591E-2</v>
      </c>
      <c r="AG189" s="618">
        <f t="shared" si="311"/>
        <v>-3.692032378907599E-2</v>
      </c>
      <c r="AH189" s="618">
        <f t="shared" si="311"/>
        <v>0.10449400760417567</v>
      </c>
      <c r="AI189" s="618">
        <f t="shared" si="311"/>
        <v>-3.1382644497713337E-2</v>
      </c>
      <c r="AJ189" s="618">
        <f t="shared" si="311"/>
        <v>7.0604073997485639E-2</v>
      </c>
      <c r="AK189" s="618">
        <f t="shared" si="311"/>
        <v>2.5674716798761311E-2</v>
      </c>
      <c r="AL189" s="618">
        <f t="shared" si="311"/>
        <v>4.6832416419888827E-2</v>
      </c>
      <c r="AM189" s="618">
        <f t="shared" si="311"/>
        <v>-0.1001451891706244</v>
      </c>
      <c r="AN189" s="618">
        <f t="shared" si="311"/>
        <v>0.18886825966920259</v>
      </c>
      <c r="AO189" s="618">
        <f t="shared" si="311"/>
        <v>1.80660144599738E-2</v>
      </c>
      <c r="AP189" s="618">
        <f t="shared" si="311"/>
        <v>0.10778955178403136</v>
      </c>
      <c r="AQ189" s="618">
        <f t="shared" si="311"/>
        <v>-3.6001642448433437E-2</v>
      </c>
      <c r="AR189" s="618">
        <f t="shared" si="311"/>
        <v>6.7232792500927174E-2</v>
      </c>
      <c r="AS189" s="618">
        <f t="shared" si="311"/>
        <v>3.1569584042837939E-2</v>
      </c>
      <c r="AT189" s="618">
        <f t="shared" si="311"/>
        <v>2.4214613695577022E-2</v>
      </c>
      <c r="AU189" s="618">
        <f t="shared" si="311"/>
        <v>-6.4515649534045469E-2</v>
      </c>
      <c r="AV189" s="565"/>
      <c r="AW189" s="631" t="s">
        <v>74</v>
      </c>
      <c r="AX189" s="631"/>
      <c r="AY189" s="618">
        <f t="shared" ref="AY189:BS189" si="312">(AY91-$AX91)/$AX91</f>
        <v>4.5686830414315156E-2</v>
      </c>
      <c r="AZ189" s="618">
        <f t="shared" si="312"/>
        <v>8.2490110470291346E-3</v>
      </c>
      <c r="BA189" s="618">
        <f t="shared" si="312"/>
        <v>8.451747632744426E-2</v>
      </c>
      <c r="BB189" s="618">
        <f t="shared" si="312"/>
        <v>0.18556251330952581</v>
      </c>
      <c r="BC189" s="618">
        <f t="shared" si="312"/>
        <v>0.23653615725897859</v>
      </c>
      <c r="BD189" s="618">
        <f t="shared" si="312"/>
        <v>-0.16604596435549507</v>
      </c>
      <c r="BE189" s="618">
        <f t="shared" si="312"/>
        <v>-0.21244015006766395</v>
      </c>
      <c r="BF189" s="618">
        <f t="shared" si="312"/>
        <v>-0.14168837898071363</v>
      </c>
      <c r="BG189" s="618">
        <f t="shared" si="312"/>
        <v>-0.10964851075605953</v>
      </c>
      <c r="BH189" s="618">
        <f t="shared" si="312"/>
        <v>-8.4247752959498795E-2</v>
      </c>
      <c r="BI189" s="618">
        <f t="shared" si="312"/>
        <v>-1.6296943985664458E-2</v>
      </c>
      <c r="BJ189" s="618">
        <f t="shared" si="312"/>
        <v>4.3017712341524676E-2</v>
      </c>
      <c r="BK189" s="618">
        <f t="shared" si="312"/>
        <v>-7.6288386635224262E-2</v>
      </c>
      <c r="BL189" s="618">
        <f t="shared" si="312"/>
        <v>-1.3538179816232891E-2</v>
      </c>
      <c r="BM189" s="618">
        <f t="shared" si="312"/>
        <v>1.6727559280750801E-2</v>
      </c>
      <c r="BN189" s="618">
        <f t="shared" si="312"/>
        <v>3.3677540978619379E-2</v>
      </c>
      <c r="BO189" s="618">
        <f t="shared" si="312"/>
        <v>3.1922744397241604E-2</v>
      </c>
      <c r="BP189" s="618">
        <f t="shared" si="312"/>
        <v>0.17562229700090387</v>
      </c>
      <c r="BQ189" s="618">
        <f t="shared" si="312"/>
        <v>0.29495243899207757</v>
      </c>
      <c r="BR189" s="618">
        <f t="shared" si="312"/>
        <v>0.36894103769650249</v>
      </c>
      <c r="BS189" s="618">
        <f t="shared" si="312"/>
        <v>0.16289682013960655</v>
      </c>
      <c r="BU189" s="631" t="s">
        <v>74</v>
      </c>
      <c r="BV189" s="631"/>
      <c r="BW189" s="618">
        <f t="shared" si="293"/>
        <v>4.5686830414315156E-2</v>
      </c>
      <c r="BX189" s="618">
        <f t="shared" si="294"/>
        <v>-3.5802133371472845E-2</v>
      </c>
      <c r="BY189" s="618">
        <f t="shared" si="295"/>
        <v>7.5644473185461553E-2</v>
      </c>
      <c r="BZ189" s="618">
        <f t="shared" si="284"/>
        <v>9.3170501340610404E-2</v>
      </c>
      <c r="CA189" s="618">
        <f t="shared" si="296"/>
        <v>4.2995323635156631E-2</v>
      </c>
      <c r="CB189" s="618">
        <f t="shared" si="297"/>
        <v>-0.3255724624396546</v>
      </c>
      <c r="CC189" s="618">
        <f t="shared" si="298"/>
        <v>-5.5631586069745484E-2</v>
      </c>
      <c r="CD189" s="618">
        <f t="shared" si="299"/>
        <v>8.9836691259755089E-2</v>
      </c>
      <c r="CE189" s="618">
        <f t="shared" si="300"/>
        <v>3.7328946084413034E-2</v>
      </c>
      <c r="CF189" s="618">
        <f t="shared" si="301"/>
        <v>2.8528910327459873E-2</v>
      </c>
      <c r="CG189" s="618">
        <f t="shared" si="302"/>
        <v>7.4202175526661918E-2</v>
      </c>
      <c r="CH189" s="618">
        <f t="shared" si="303"/>
        <v>6.0297318346772259E-2</v>
      </c>
      <c r="CI189" s="618">
        <f t="shared" si="304"/>
        <v>-0.11438549658846395</v>
      </c>
      <c r="CJ189" s="618">
        <f t="shared" si="305"/>
        <v>6.7932681489640614E-2</v>
      </c>
      <c r="CK189" s="618">
        <f t="shared" si="306"/>
        <v>3.0681105419108377E-2</v>
      </c>
      <c r="CL189" s="618">
        <f t="shared" si="285"/>
        <v>1.6671114639460805E-2</v>
      </c>
      <c r="CM189" s="618">
        <f t="shared" si="286"/>
        <v>-1.6976247541534543E-3</v>
      </c>
      <c r="CN189" s="618">
        <f t="shared" si="287"/>
        <v>0.1392541771017935</v>
      </c>
      <c r="CO189" s="618">
        <f t="shared" si="288"/>
        <v>0.10150380976576696</v>
      </c>
      <c r="CP189" s="618">
        <f t="shared" si="289"/>
        <v>5.713615147287858E-2</v>
      </c>
      <c r="CQ189" s="618">
        <f t="shared" si="290"/>
        <v>-0.15051358085049713</v>
      </c>
      <c r="CZ189" s="3"/>
      <c r="DA189" s="3"/>
      <c r="DC189" s="41"/>
      <c r="DD189" s="41"/>
      <c r="DE189" s="3"/>
      <c r="DF189" s="118"/>
      <c r="DG189" s="700"/>
      <c r="DH189" s="700"/>
      <c r="DI189" s="700"/>
      <c r="DJ189" s="700"/>
      <c r="DK189" s="43"/>
      <c r="DL189" s="43"/>
      <c r="DS189" s="3"/>
      <c r="DT189" s="3"/>
      <c r="DV189" s="41"/>
      <c r="DW189" s="41"/>
      <c r="DY189" s="118"/>
      <c r="DZ189" s="3"/>
      <c r="EA189" s="486"/>
      <c r="EB189" s="486"/>
      <c r="EC189" s="486"/>
      <c r="ED189" s="486"/>
      <c r="EE189" s="43"/>
      <c r="EF189" s="43"/>
      <c r="EL189" s="3"/>
      <c r="EM189" s="3"/>
      <c r="EO189" s="41"/>
      <c r="EP189" s="41"/>
      <c r="FC189" s="3"/>
      <c r="FE189" s="39"/>
      <c r="FF189" s="39"/>
      <c r="FH189" s="41"/>
      <c r="FI189" s="41"/>
      <c r="FM189" s="3"/>
      <c r="FN189" s="3"/>
      <c r="FO189" s="486"/>
      <c r="FP189" s="486"/>
      <c r="FQ189" s="486"/>
      <c r="FR189" s="486"/>
      <c r="FS189" s="43"/>
      <c r="FT189" s="43"/>
      <c r="FX189" s="3"/>
      <c r="FY189" s="3"/>
      <c r="GA189" s="41"/>
      <c r="GB189" s="41"/>
      <c r="GG189" s="3"/>
      <c r="GH189" s="3"/>
      <c r="GI189" s="486"/>
      <c r="GJ189" s="486"/>
      <c r="GK189" s="486"/>
      <c r="GL189" s="486"/>
      <c r="GM189" s="43"/>
      <c r="GN189" s="43"/>
      <c r="GO189" s="393"/>
      <c r="GS189" s="3"/>
      <c r="GT189" s="3"/>
      <c r="GV189" s="41"/>
      <c r="GW189" s="41"/>
      <c r="HA189" s="3"/>
      <c r="HB189" s="3"/>
      <c r="HC189" s="43"/>
      <c r="HD189" s="43"/>
      <c r="HE189" s="43"/>
      <c r="HF189" s="43"/>
      <c r="HG189" s="43"/>
    </row>
    <row r="190" spans="1:215">
      <c r="A190" s="632" t="s">
        <v>75</v>
      </c>
      <c r="B190" s="632"/>
      <c r="C190" s="616">
        <f t="shared" si="245"/>
        <v>0.57455680290938227</v>
      </c>
      <c r="D190" s="616">
        <f t="shared" si="246"/>
        <v>0.75441061949376187</v>
      </c>
      <c r="E190" s="616">
        <f t="shared" si="247"/>
        <v>0.58088342051179731</v>
      </c>
      <c r="F190" s="616">
        <f t="shared" si="248"/>
        <v>0.67401731094877149</v>
      </c>
      <c r="G190" s="616">
        <f t="shared" si="249"/>
        <v>0.98947569471672903</v>
      </c>
      <c r="H190" s="616">
        <f t="shared" si="250"/>
        <v>1.1806016336289147</v>
      </c>
      <c r="I190" s="616">
        <f t="shared" si="251"/>
        <v>1.489524867666534</v>
      </c>
      <c r="J190" s="616">
        <f t="shared" si="252"/>
        <v>1.4516200287118266</v>
      </c>
      <c r="K190" s="616">
        <f t="shared" si="253"/>
        <v>1.5291455837644379</v>
      </c>
      <c r="L190" s="616">
        <f t="shared" si="254"/>
        <v>1.4607131423507727</v>
      </c>
      <c r="M190" s="616">
        <f t="shared" si="255"/>
        <v>1.5786133124632984</v>
      </c>
      <c r="N190" s="616">
        <f t="shared" si="256"/>
        <v>1.7320300690000012</v>
      </c>
      <c r="O190" s="616">
        <f t="shared" si="257"/>
        <v>1.4516131703793542</v>
      </c>
      <c r="P190" s="616">
        <f t="shared" si="258"/>
        <v>-0.76934755000953692</v>
      </c>
      <c r="Q190" s="616">
        <f t="shared" si="259"/>
        <v>-0.79758964552255707</v>
      </c>
      <c r="R190" s="616">
        <f t="shared" si="260"/>
        <v>-0.84385032737538346</v>
      </c>
      <c r="S190" s="616">
        <f t="shared" si="261"/>
        <v>-0.84863556710515986</v>
      </c>
      <c r="T190" s="616">
        <f t="shared" si="262"/>
        <v>-0.80150562396203018</v>
      </c>
      <c r="U190" s="616">
        <f t="shared" si="263"/>
        <v>-0.84169021145144829</v>
      </c>
      <c r="V190" s="616">
        <f t="shared" si="264"/>
        <v>-0.6334019425385613</v>
      </c>
      <c r="W190" s="616">
        <f t="shared" si="265"/>
        <v>-0.54709125179578311</v>
      </c>
      <c r="Y190" s="632" t="s">
        <v>75</v>
      </c>
      <c r="Z190" s="632"/>
      <c r="AA190" s="616">
        <f t="shared" ref="AA190:AU190" si="313">IFERROR((AA92-Z92)/Z92,0)</f>
        <v>0.57455680290938227</v>
      </c>
      <c r="AB190" s="616">
        <f t="shared" si="313"/>
        <v>0.11422504177178952</v>
      </c>
      <c r="AC190" s="616">
        <f t="shared" si="313"/>
        <v>-9.8909113438925778E-2</v>
      </c>
      <c r="AD190" s="616">
        <f t="shared" si="313"/>
        <v>5.8912560678777259E-2</v>
      </c>
      <c r="AE190" s="616">
        <f t="shared" si="313"/>
        <v>0.18844391972814623</v>
      </c>
      <c r="AF190" s="616">
        <f t="shared" si="313"/>
        <v>9.6068496548986054E-2</v>
      </c>
      <c r="AG190" s="616">
        <f t="shared" si="313"/>
        <v>0.14166880794430811</v>
      </c>
      <c r="AH190" s="616">
        <f t="shared" si="313"/>
        <v>-1.5225732205774695E-2</v>
      </c>
      <c r="AI190" s="616">
        <f t="shared" si="313"/>
        <v>3.162217396851099E-2</v>
      </c>
      <c r="AJ190" s="616">
        <f t="shared" si="313"/>
        <v>-2.70575335215812E-2</v>
      </c>
      <c r="AK190" s="616">
        <f t="shared" si="313"/>
        <v>4.7913008665403878E-2</v>
      </c>
      <c r="AL190" s="616">
        <f t="shared" si="313"/>
        <v>5.9495836694547485E-2</v>
      </c>
      <c r="AM190" s="616">
        <f t="shared" si="313"/>
        <v>-0.10264048767343439</v>
      </c>
      <c r="AN190" s="616">
        <f t="shared" si="313"/>
        <v>-0.9059180898613084</v>
      </c>
      <c r="AO190" s="616">
        <f t="shared" si="313"/>
        <v>-0.1224443768717301</v>
      </c>
      <c r="AP190" s="616">
        <f t="shared" si="313"/>
        <v>-0.22854898887093134</v>
      </c>
      <c r="AQ190" s="616">
        <f t="shared" si="313"/>
        <v>-3.0645211413796752E-2</v>
      </c>
      <c r="AR190" s="616">
        <f t="shared" si="313"/>
        <v>0.31136735520869124</v>
      </c>
      <c r="AS190" s="616">
        <f t="shared" si="313"/>
        <v>-0.20244698258721067</v>
      </c>
      <c r="AT190" s="616">
        <f t="shared" si="313"/>
        <v>1.3157005060935167</v>
      </c>
      <c r="AU190" s="616">
        <f t="shared" si="313"/>
        <v>0.23543684693925809</v>
      </c>
      <c r="AV190" s="565"/>
      <c r="AW190" s="632" t="s">
        <v>75</v>
      </c>
      <c r="AX190" s="632"/>
      <c r="AY190" s="616">
        <f t="shared" ref="AY190:BS190" si="314">(AY92-$AX92)/$AX92</f>
        <v>1.287279719316986E-2</v>
      </c>
      <c r="AZ190" s="616">
        <f t="shared" si="314"/>
        <v>8.7529389861630183E-2</v>
      </c>
      <c r="BA190" s="616">
        <f t="shared" si="314"/>
        <v>0.10245817483059545</v>
      </c>
      <c r="BB190" s="616">
        <f t="shared" si="314"/>
        <v>-0.23641315640933228</v>
      </c>
      <c r="BC190" s="616">
        <f t="shared" si="314"/>
        <v>2.3823749327907318E-2</v>
      </c>
      <c r="BD190" s="616">
        <f t="shared" si="314"/>
        <v>9.9628618912867839E-3</v>
      </c>
      <c r="BE190" s="616">
        <f t="shared" si="314"/>
        <v>2.4397792436946938E-2</v>
      </c>
      <c r="BF190" s="616">
        <f t="shared" si="314"/>
        <v>7.4043238442208018E-2</v>
      </c>
      <c r="BG190" s="616">
        <f t="shared" si="314"/>
        <v>0.10484107418404201</v>
      </c>
      <c r="BH190" s="616">
        <f t="shared" si="314"/>
        <v>0.11149519589134256</v>
      </c>
      <c r="BI190" s="616">
        <f t="shared" si="314"/>
        <v>0.21114932071792455</v>
      </c>
      <c r="BJ190" s="616">
        <f t="shared" si="314"/>
        <v>0.12779694137986414</v>
      </c>
      <c r="BK190" s="616">
        <f t="shared" si="314"/>
        <v>0.46778472333207582</v>
      </c>
      <c r="BL190" s="616">
        <f t="shared" si="314"/>
        <v>1.2854644474328705</v>
      </c>
      <c r="BM190" s="616">
        <f t="shared" si="314"/>
        <v>1.3728780356787755</v>
      </c>
      <c r="BN190" s="616">
        <f t="shared" si="314"/>
        <v>1.426833313657343</v>
      </c>
      <c r="BO190" s="616">
        <f t="shared" si="314"/>
        <v>1.4531426602486843</v>
      </c>
      <c r="BP190" s="616">
        <f t="shared" si="314"/>
        <v>1.778815985382258</v>
      </c>
      <c r="BQ190" s="616">
        <f t="shared" si="314"/>
        <v>1.8698853917477467</v>
      </c>
      <c r="BR190" s="616">
        <f t="shared" si="314"/>
        <v>1.877055979262473</v>
      </c>
      <c r="BS190" s="616">
        <f t="shared" si="314"/>
        <v>2.0647960404796626</v>
      </c>
      <c r="BU190" s="632" t="s">
        <v>75</v>
      </c>
      <c r="BV190" s="632"/>
      <c r="BW190" s="616">
        <f t="shared" si="293"/>
        <v>1.287279719316986E-2</v>
      </c>
      <c r="BX190" s="616">
        <f t="shared" si="294"/>
        <v>7.37077675255427E-2</v>
      </c>
      <c r="BY190" s="616">
        <f t="shared" si="295"/>
        <v>1.3727247381208422E-2</v>
      </c>
      <c r="BZ190" s="616">
        <f t="shared" si="284"/>
        <v>-0.30737794773212052</v>
      </c>
      <c r="CA190" s="616">
        <f t="shared" si="296"/>
        <v>0.34080852482149826</v>
      </c>
      <c r="CB190" s="616">
        <f t="shared" si="297"/>
        <v>-1.3538353105912579E-2</v>
      </c>
      <c r="CC190" s="616">
        <f t="shared" si="298"/>
        <v>1.4292535983579506E-2</v>
      </c>
      <c r="CD190" s="616">
        <f t="shared" si="299"/>
        <v>4.8463054461645401E-2</v>
      </c>
      <c r="CE190" s="616">
        <f t="shared" si="300"/>
        <v>2.8674670292141272E-2</v>
      </c>
      <c r="CF190" s="616">
        <f t="shared" si="301"/>
        <v>6.0226958091821742E-3</v>
      </c>
      <c r="CG190" s="616">
        <f t="shared" si="302"/>
        <v>8.9657719794880672E-2</v>
      </c>
      <c r="CH190" s="616">
        <f t="shared" si="303"/>
        <v>-6.8820894263188145E-2</v>
      </c>
      <c r="CI190" s="616">
        <f t="shared" si="304"/>
        <v>0.30146187622767912</v>
      </c>
      <c r="CJ190" s="616">
        <f t="shared" si="305"/>
        <v>0.55708423115656069</v>
      </c>
      <c r="CK190" s="616">
        <f t="shared" si="306"/>
        <v>3.8247625485529527E-2</v>
      </c>
      <c r="CL190" s="616">
        <f t="shared" si="285"/>
        <v>2.2738327536136155E-2</v>
      </c>
      <c r="CM190" s="616">
        <f t="shared" si="286"/>
        <v>1.0841019217628903E-2</v>
      </c>
      <c r="CN190" s="616">
        <f t="shared" si="287"/>
        <v>0.1327575971878289</v>
      </c>
      <c r="CO190" s="616">
        <f t="shared" si="288"/>
        <v>3.2772737325735921E-2</v>
      </c>
      <c r="CP190" s="616">
        <f t="shared" si="289"/>
        <v>2.4985623242464506E-3</v>
      </c>
      <c r="CQ190" s="616">
        <f t="shared" si="290"/>
        <v>6.5254226045791619E-2</v>
      </c>
      <c r="CZ190" s="3"/>
      <c r="DA190" s="3"/>
      <c r="DC190" s="41"/>
      <c r="DD190" s="41"/>
      <c r="DE190" s="3"/>
      <c r="DF190" s="118"/>
      <c r="DG190" s="700"/>
      <c r="DH190" s="700"/>
      <c r="DI190" s="700"/>
      <c r="DJ190" s="700"/>
      <c r="DK190" s="43"/>
      <c r="DL190" s="43"/>
      <c r="DS190" s="3"/>
      <c r="DT190" s="3"/>
      <c r="DV190" s="41"/>
      <c r="DW190" s="41"/>
      <c r="DY190" s="118"/>
      <c r="DZ190" s="3"/>
      <c r="EA190" s="486"/>
      <c r="EB190" s="486"/>
      <c r="EC190" s="486"/>
      <c r="ED190" s="486"/>
      <c r="EE190" s="43"/>
      <c r="EF190" s="43"/>
      <c r="EL190" s="3"/>
      <c r="EM190" s="3"/>
      <c r="EO190" s="41"/>
      <c r="EP190" s="41"/>
      <c r="FC190" s="3"/>
      <c r="FE190" s="39"/>
      <c r="FF190" s="39"/>
      <c r="FH190" s="41"/>
      <c r="FI190" s="41"/>
      <c r="FM190" s="3"/>
      <c r="FN190" s="3"/>
      <c r="FO190" s="486"/>
      <c r="FP190" s="486"/>
      <c r="FQ190" s="486"/>
      <c r="FR190" s="486"/>
      <c r="FS190" s="43"/>
      <c r="FT190" s="43"/>
      <c r="FX190" s="3"/>
      <c r="FY190" s="3"/>
      <c r="GA190" s="41"/>
      <c r="GB190" s="41"/>
      <c r="GG190" s="3"/>
      <c r="GH190" s="3"/>
      <c r="GI190" s="486"/>
      <c r="GJ190" s="486"/>
      <c r="GK190" s="486"/>
      <c r="GL190" s="486"/>
      <c r="GM190" s="43"/>
      <c r="GN190" s="43"/>
      <c r="GO190" s="393"/>
      <c r="GS190" s="3"/>
      <c r="GT190" s="3"/>
      <c r="GV190" s="41"/>
      <c r="GW190" s="41"/>
      <c r="HA190" s="3"/>
      <c r="HB190" s="3"/>
      <c r="HC190" s="43"/>
      <c r="HD190" s="43"/>
      <c r="HE190" s="43"/>
      <c r="HF190" s="43"/>
      <c r="HG190" s="43"/>
    </row>
    <row r="191" spans="1:215">
      <c r="A191" s="631" t="s">
        <v>76</v>
      </c>
      <c r="B191" s="631"/>
      <c r="C191" s="618">
        <f t="shared" si="245"/>
        <v>1.6422185844931041</v>
      </c>
      <c r="D191" s="618">
        <f t="shared" si="246"/>
        <v>0.2923130481040781</v>
      </c>
      <c r="E191" s="618">
        <f t="shared" si="247"/>
        <v>0.22934871610327512</v>
      </c>
      <c r="F191" s="618">
        <f t="shared" si="248"/>
        <v>1.4502012485625104</v>
      </c>
      <c r="G191" s="618">
        <f t="shared" si="249"/>
        <v>8.8122521063625059E-2</v>
      </c>
      <c r="H191" s="618">
        <f t="shared" si="250"/>
        <v>-0.27582461712575074</v>
      </c>
      <c r="I191" s="618">
        <f t="shared" si="251"/>
        <v>0.23529946724870338</v>
      </c>
      <c r="J191" s="618">
        <f t="shared" si="252"/>
        <v>0.96871471467947579</v>
      </c>
      <c r="K191" s="618">
        <f t="shared" si="253"/>
        <v>0.71189658027385982</v>
      </c>
      <c r="L191" s="618">
        <f t="shared" si="254"/>
        <v>0.54335302792054885</v>
      </c>
      <c r="M191" s="618">
        <f t="shared" si="255"/>
        <v>1.1255345766804614</v>
      </c>
      <c r="N191" s="618">
        <f t="shared" si="256"/>
        <v>1.0908472323270255</v>
      </c>
      <c r="O191" s="618">
        <f t="shared" si="257"/>
        <v>1.8316761456239035</v>
      </c>
      <c r="P191" s="618">
        <f t="shared" si="258"/>
        <v>2.0500380070981352</v>
      </c>
      <c r="Q191" s="618">
        <f t="shared" si="259"/>
        <v>1.7693093008519327</v>
      </c>
      <c r="R191" s="618">
        <f t="shared" si="260"/>
        <v>1.7596267807270765</v>
      </c>
      <c r="S191" s="618">
        <f t="shared" si="261"/>
        <v>1.6977783775467368</v>
      </c>
      <c r="T191" s="618">
        <f t="shared" si="262"/>
        <v>-1</v>
      </c>
      <c r="U191" s="618">
        <f t="shared" si="263"/>
        <v>1.3266439536769754</v>
      </c>
      <c r="V191" s="618">
        <f t="shared" si="264"/>
        <v>0.88514326655036368</v>
      </c>
      <c r="W191" s="618">
        <f t="shared" si="265"/>
        <v>0.87264818856736059</v>
      </c>
      <c r="Y191" s="631" t="s">
        <v>76</v>
      </c>
      <c r="Z191" s="631"/>
      <c r="AA191" s="618">
        <f t="shared" ref="AA191:AU191" si="315">IFERROR((AA93-Z93)/Z93,0)</f>
        <v>1.6422185844931041</v>
      </c>
      <c r="AB191" s="618">
        <f t="shared" si="315"/>
        <v>-0.51089850942366233</v>
      </c>
      <c r="AC191" s="618">
        <f t="shared" si="315"/>
        <v>-4.8722197839893719E-2</v>
      </c>
      <c r="AD191" s="618">
        <f t="shared" si="315"/>
        <v>0.99308887418781322</v>
      </c>
      <c r="AE191" s="618">
        <f t="shared" si="315"/>
        <v>-0.55590483773444843</v>
      </c>
      <c r="AF191" s="618">
        <f t="shared" si="315"/>
        <v>-0.33447257192473362</v>
      </c>
      <c r="AG191" s="618">
        <f t="shared" si="315"/>
        <v>0.70580151778399947</v>
      </c>
      <c r="AH191" s="618">
        <f t="shared" si="315"/>
        <v>0.59371453390509199</v>
      </c>
      <c r="AI191" s="618">
        <f t="shared" si="315"/>
        <v>-0.13044964437492318</v>
      </c>
      <c r="AJ191" s="618">
        <f t="shared" si="315"/>
        <v>-9.8454284152111743E-2</v>
      </c>
      <c r="AK191" s="618">
        <f t="shared" si="315"/>
        <v>0.37721865200492738</v>
      </c>
      <c r="AL191" s="618">
        <f t="shared" si="315"/>
        <v>-1.631935078073804E-2</v>
      </c>
      <c r="AM191" s="618">
        <f t="shared" si="315"/>
        <v>0.354319962665262</v>
      </c>
      <c r="AN191" s="618">
        <f t="shared" si="315"/>
        <v>7.7113995472854566E-2</v>
      </c>
      <c r="AO191" s="618">
        <f t="shared" si="315"/>
        <v>-9.2041051814070116E-2</v>
      </c>
      <c r="AP191" s="618">
        <f t="shared" si="315"/>
        <v>-3.4963664484416838E-3</v>
      </c>
      <c r="AQ191" s="618">
        <f t="shared" si="315"/>
        <v>-2.2411872363423267E-2</v>
      </c>
      <c r="AR191" s="618">
        <f t="shared" si="315"/>
        <v>-1</v>
      </c>
      <c r="AS191" s="618">
        <f t="shared" si="315"/>
        <v>0</v>
      </c>
      <c r="AT191" s="618">
        <f t="shared" si="315"/>
        <v>-0.18975859474711368</v>
      </c>
      <c r="AU191" s="618">
        <f t="shared" si="315"/>
        <v>-6.6281848200683193E-3</v>
      </c>
      <c r="AV191" s="565"/>
      <c r="AW191" s="631" t="s">
        <v>76</v>
      </c>
      <c r="AX191" s="631"/>
      <c r="AY191" s="618">
        <f t="shared" ref="AY191:BS191" si="316">(AY93-$AX93)/$AX93</f>
        <v>-7.6097168260809455E-4</v>
      </c>
      <c r="AZ191" s="618">
        <f t="shared" si="316"/>
        <v>9.6508040815581425E-2</v>
      </c>
      <c r="BA191" s="618">
        <f t="shared" si="316"/>
        <v>7.2886152235585339E-2</v>
      </c>
      <c r="BB191" s="618">
        <f t="shared" si="316"/>
        <v>0.13847734781692383</v>
      </c>
      <c r="BC191" s="618">
        <f t="shared" si="316"/>
        <v>0.23100729655682828</v>
      </c>
      <c r="BD191" s="618">
        <f t="shared" si="316"/>
        <v>1.422695826342943</v>
      </c>
      <c r="BE191" s="618">
        <f t="shared" si="316"/>
        <v>1.3458212105328911</v>
      </c>
      <c r="BF191" s="618">
        <f t="shared" si="316"/>
        <v>1.5674962324789823</v>
      </c>
      <c r="BG191" s="618">
        <f t="shared" si="316"/>
        <v>1.6915028503249299</v>
      </c>
      <c r="BH191" s="618">
        <f t="shared" si="316"/>
        <v>1.7201098738802036</v>
      </c>
      <c r="BI191" s="618">
        <f t="shared" si="316"/>
        <v>1.9256220113785414</v>
      </c>
      <c r="BJ191" s="618">
        <f t="shared" si="316"/>
        <v>1.8202183064184048</v>
      </c>
      <c r="BK191" s="618">
        <f t="shared" si="316"/>
        <v>1.6287927385758829</v>
      </c>
      <c r="BL191" s="618">
        <f t="shared" si="316"/>
        <v>1.7778397104419774</v>
      </c>
      <c r="BM191" s="618">
        <f t="shared" si="316"/>
        <v>1.6970627441302648</v>
      </c>
      <c r="BN191" s="618">
        <f t="shared" si="316"/>
        <v>1.6545868338623386</v>
      </c>
      <c r="BO191" s="618">
        <f t="shared" si="316"/>
        <v>1.7005690811752909</v>
      </c>
      <c r="BP191" s="618">
        <f t="shared" si="316"/>
        <v>-1</v>
      </c>
      <c r="BQ191" s="618">
        <f t="shared" si="316"/>
        <v>2.2324875761297642</v>
      </c>
      <c r="BR191" s="618">
        <f t="shared" si="316"/>
        <v>2.3249190845297303</v>
      </c>
      <c r="BS191" s="618">
        <f t="shared" si="316"/>
        <v>2.3248061833571936</v>
      </c>
      <c r="BU191" s="631" t="s">
        <v>76</v>
      </c>
      <c r="BV191" s="631"/>
      <c r="BW191" s="618">
        <f t="shared" si="293"/>
        <v>-7.6097168260809455E-4</v>
      </c>
      <c r="BX191" s="618">
        <f t="shared" si="294"/>
        <v>9.7343087831526939E-2</v>
      </c>
      <c r="BY191" s="618">
        <f t="shared" si="295"/>
        <v>-2.154283206389088E-2</v>
      </c>
      <c r="BZ191" s="618">
        <f t="shared" si="284"/>
        <v>6.113528023888215E-2</v>
      </c>
      <c r="CA191" s="618">
        <f t="shared" si="296"/>
        <v>8.1275177690038669E-2</v>
      </c>
      <c r="CB191" s="618">
        <f t="shared" si="297"/>
        <v>0.96805968016543076</v>
      </c>
      <c r="CC191" s="618">
        <f t="shared" si="298"/>
        <v>-3.1731022513913396E-2</v>
      </c>
      <c r="CD191" s="618">
        <f t="shared" si="299"/>
        <v>9.4497833402970285E-2</v>
      </c>
      <c r="CE191" s="618">
        <f t="shared" si="300"/>
        <v>4.829865620726391E-2</v>
      </c>
      <c r="CF191" s="618">
        <f t="shared" si="301"/>
        <v>1.0628643232467767E-2</v>
      </c>
      <c r="CG191" s="618">
        <f t="shared" si="302"/>
        <v>7.5552880959612545E-2</v>
      </c>
      <c r="CH191" s="618">
        <f t="shared" si="303"/>
        <v>-3.6027793252235922E-2</v>
      </c>
      <c r="CI191" s="618">
        <f t="shared" si="304"/>
        <v>-6.7876152497437989E-2</v>
      </c>
      <c r="CJ191" s="618">
        <f t="shared" si="305"/>
        <v>5.6697878717832662E-2</v>
      </c>
      <c r="CK191" s="618">
        <f t="shared" si="306"/>
        <v>-2.9079059532509968E-2</v>
      </c>
      <c r="CL191" s="618">
        <f t="shared" si="285"/>
        <v>-1.5748951469656526E-2</v>
      </c>
      <c r="CM191" s="618">
        <f t="shared" si="286"/>
        <v>1.7321809453130447E-2</v>
      </c>
      <c r="CN191" s="618">
        <f t="shared" si="287"/>
        <v>-1</v>
      </c>
      <c r="CO191" s="618" t="e">
        <f t="shared" si="288"/>
        <v>#DIV/0!</v>
      </c>
      <c r="CP191" s="618">
        <f t="shared" si="289"/>
        <v>2.8594544054097604E-2</v>
      </c>
      <c r="CQ191" s="618">
        <f t="shared" si="290"/>
        <v>-3.3956066197835108E-5</v>
      </c>
      <c r="CZ191" s="3"/>
      <c r="DA191" s="3"/>
      <c r="DC191" s="41"/>
      <c r="DD191" s="41"/>
      <c r="DE191" s="3"/>
      <c r="DF191" s="118"/>
      <c r="DG191" s="700"/>
      <c r="DH191" s="700"/>
      <c r="DI191" s="700"/>
      <c r="DJ191" s="700"/>
      <c r="DK191" s="43"/>
      <c r="DL191" s="43"/>
      <c r="DS191" s="3"/>
      <c r="DT191" s="3"/>
      <c r="DV191" s="41"/>
      <c r="DW191" s="41"/>
      <c r="DY191" s="118"/>
      <c r="DZ191" s="3"/>
      <c r="EA191" s="486"/>
      <c r="EB191" s="486"/>
      <c r="EC191" s="486"/>
      <c r="ED191" s="486"/>
      <c r="EE191" s="43"/>
      <c r="EF191" s="43"/>
      <c r="EL191" s="3"/>
      <c r="EM191" s="3"/>
      <c r="EO191" s="41"/>
      <c r="EP191" s="41"/>
      <c r="FC191" s="3"/>
      <c r="FE191" s="39"/>
      <c r="FF191" s="39"/>
      <c r="FH191" s="41"/>
      <c r="FI191" s="41"/>
      <c r="FM191" s="3"/>
      <c r="FN191" s="3"/>
      <c r="FO191" s="486"/>
      <c r="FP191" s="486"/>
      <c r="FQ191" s="486"/>
      <c r="FR191" s="486"/>
      <c r="FS191" s="43"/>
      <c r="FT191" s="43"/>
      <c r="FX191" s="3"/>
      <c r="FY191" s="3"/>
      <c r="GA191" s="41"/>
      <c r="GB191" s="41"/>
      <c r="GG191" s="3"/>
      <c r="GH191" s="3"/>
      <c r="GI191" s="486"/>
      <c r="GJ191" s="486"/>
      <c r="GK191" s="486"/>
      <c r="GL191" s="486"/>
      <c r="GM191" s="43"/>
      <c r="GN191" s="43"/>
      <c r="GO191" s="393"/>
      <c r="GS191" s="3"/>
      <c r="GT191" s="3"/>
      <c r="GV191" s="41"/>
      <c r="GW191" s="41"/>
      <c r="HA191" s="3"/>
      <c r="HB191" s="3"/>
      <c r="HC191" s="43"/>
      <c r="HD191" s="43"/>
      <c r="HE191" s="43"/>
      <c r="HF191" s="43"/>
      <c r="HG191" s="43"/>
    </row>
    <row r="192" spans="1:215">
      <c r="A192" s="632" t="s">
        <v>77</v>
      </c>
      <c r="B192" s="632"/>
      <c r="C192" s="616">
        <f t="shared" si="245"/>
        <v>6.6423031952838288E-2</v>
      </c>
      <c r="D192" s="616">
        <f t="shared" si="246"/>
        <v>0.17673362582356814</v>
      </c>
      <c r="E192" s="616">
        <f t="shared" si="247"/>
        <v>0.25617726150590731</v>
      </c>
      <c r="F192" s="616">
        <f t="shared" si="248"/>
        <v>0.60430083879706975</v>
      </c>
      <c r="G192" s="616">
        <f t="shared" si="249"/>
        <v>0.67202785353312733</v>
      </c>
      <c r="H192" s="616">
        <f t="shared" si="250"/>
        <v>0.80566836757185689</v>
      </c>
      <c r="I192" s="616">
        <f t="shared" si="251"/>
        <v>0.7787237525248073</v>
      </c>
      <c r="J192" s="616">
        <f t="shared" si="252"/>
        <v>0.83795884864782566</v>
      </c>
      <c r="K192" s="616">
        <f t="shared" si="253"/>
        <v>1.1540840635570127</v>
      </c>
      <c r="L192" s="616">
        <f t="shared" si="254"/>
        <v>1.0867417813516937</v>
      </c>
      <c r="M192" s="616">
        <f t="shared" si="255"/>
        <v>-1</v>
      </c>
      <c r="N192" s="616">
        <f t="shared" si="256"/>
        <v>1.2401564453719887</v>
      </c>
      <c r="O192" s="616">
        <f t="shared" si="257"/>
        <v>1.425800286245011</v>
      </c>
      <c r="P192" s="616">
        <f t="shared" si="258"/>
        <v>1.5601485227873875</v>
      </c>
      <c r="Q192" s="616">
        <f t="shared" si="259"/>
        <v>1.2944384232578834</v>
      </c>
      <c r="R192" s="616">
        <f t="shared" si="260"/>
        <v>1.5163637816402433</v>
      </c>
      <c r="S192" s="616">
        <f t="shared" si="261"/>
        <v>1.6042282631129672</v>
      </c>
      <c r="T192" s="616">
        <f t="shared" si="262"/>
        <v>1.6992806804155116</v>
      </c>
      <c r="U192" s="616">
        <f t="shared" si="263"/>
        <v>2.4970338524550746</v>
      </c>
      <c r="V192" s="616">
        <f t="shared" si="264"/>
        <v>2.4677526009522133</v>
      </c>
      <c r="W192" s="616">
        <f t="shared" si="265"/>
        <v>2.4628432535547686</v>
      </c>
      <c r="Y192" s="632" t="s">
        <v>77</v>
      </c>
      <c r="Z192" s="632"/>
      <c r="AA192" s="616">
        <f t="shared" ref="AA192:AU192" si="317">IFERROR((AA94-Z94)/Z94,0)</f>
        <v>6.6423031952838288E-2</v>
      </c>
      <c r="AB192" s="616">
        <f t="shared" si="317"/>
        <v>0.10343980818637107</v>
      </c>
      <c r="AC192" s="616">
        <f t="shared" si="317"/>
        <v>6.7511995866301897E-2</v>
      </c>
      <c r="AD192" s="616">
        <f t="shared" si="317"/>
        <v>0.27712934150219476</v>
      </c>
      <c r="AE192" s="616">
        <f t="shared" si="317"/>
        <v>4.2215906828821738E-2</v>
      </c>
      <c r="AF192" s="616">
        <f t="shared" si="317"/>
        <v>7.9927205612236971E-2</v>
      </c>
      <c r="AG192" s="616">
        <f t="shared" si="317"/>
        <v>-1.4922239061695959E-2</v>
      </c>
      <c r="AH192" s="616">
        <f t="shared" si="317"/>
        <v>3.3302021204212905E-2</v>
      </c>
      <c r="AI192" s="616">
        <f t="shared" si="317"/>
        <v>0.17199798305699732</v>
      </c>
      <c r="AJ192" s="616">
        <f t="shared" si="317"/>
        <v>-3.1262606387847953E-2</v>
      </c>
      <c r="AK192" s="616">
        <f t="shared" si="317"/>
        <v>-1</v>
      </c>
      <c r="AL192" s="616">
        <f t="shared" si="317"/>
        <v>0</v>
      </c>
      <c r="AM192" s="616">
        <f t="shared" si="317"/>
        <v>8.2870926830378291E-2</v>
      </c>
      <c r="AN192" s="616">
        <f t="shared" si="317"/>
        <v>5.5383057419924428E-2</v>
      </c>
      <c r="AO192" s="616">
        <f t="shared" si="317"/>
        <v>-0.10378698624883276</v>
      </c>
      <c r="AP192" s="616">
        <f t="shared" si="317"/>
        <v>9.6723170311647289E-2</v>
      </c>
      <c r="AQ192" s="616">
        <f t="shared" si="317"/>
        <v>3.4917241343956726E-2</v>
      </c>
      <c r="AR192" s="616">
        <f t="shared" si="317"/>
        <v>3.6499264925772427E-2</v>
      </c>
      <c r="AS192" s="616">
        <f t="shared" si="317"/>
        <v>0.29554287474719426</v>
      </c>
      <c r="AT192" s="616">
        <f t="shared" si="317"/>
        <v>-8.3731678726256652E-3</v>
      </c>
      <c r="AU192" s="616">
        <f t="shared" si="317"/>
        <v>-1.4157144301749419E-3</v>
      </c>
      <c r="AV192" s="565"/>
      <c r="AW192" s="632" t="s">
        <v>77</v>
      </c>
      <c r="AX192" s="632"/>
      <c r="AY192" s="616">
        <f t="shared" ref="AY192:BS192" si="318">(AY94-$AX94)/$AX94</f>
        <v>-6.6756532629616047E-2</v>
      </c>
      <c r="AZ192" s="616">
        <f t="shared" si="318"/>
        <v>-6.7857487890987028E-2</v>
      </c>
      <c r="BA192" s="616">
        <f t="shared" si="318"/>
        <v>0.10249600078975914</v>
      </c>
      <c r="BB192" s="616">
        <f t="shared" si="318"/>
        <v>7.6360704611367361E-2</v>
      </c>
      <c r="BC192" s="616">
        <f t="shared" si="318"/>
        <v>0.13610677762374457</v>
      </c>
      <c r="BD192" s="616">
        <f t="shared" si="318"/>
        <v>7.836687542442522E-2</v>
      </c>
      <c r="BE192" s="616">
        <f t="shared" si="318"/>
        <v>0.10117283787053954</v>
      </c>
      <c r="BF192" s="616">
        <f t="shared" si="318"/>
        <v>0.19161173565958961</v>
      </c>
      <c r="BG192" s="616">
        <f t="shared" si="318"/>
        <v>0.25884299131077498</v>
      </c>
      <c r="BH192" s="616">
        <f t="shared" si="318"/>
        <v>0.18658898084506093</v>
      </c>
      <c r="BI192" s="616">
        <f t="shared" si="318"/>
        <v>-1</v>
      </c>
      <c r="BJ192" s="616">
        <f t="shared" si="318"/>
        <v>0.20253766362643832</v>
      </c>
      <c r="BK192" s="616">
        <f t="shared" si="318"/>
        <v>0.13639675260845585</v>
      </c>
      <c r="BL192" s="616">
        <f t="shared" si="318"/>
        <v>0.16779031851112608</v>
      </c>
      <c r="BM192" s="616">
        <f t="shared" si="318"/>
        <v>0.23290440210927565</v>
      </c>
      <c r="BN192" s="616">
        <f t="shared" si="318"/>
        <v>0.13066012528279369</v>
      </c>
      <c r="BO192" s="616">
        <f t="shared" si="318"/>
        <v>0.1830974100218731</v>
      </c>
      <c r="BP192" s="616">
        <f t="shared" si="318"/>
        <v>0.25437691343040547</v>
      </c>
      <c r="BQ192" s="616">
        <f t="shared" si="318"/>
        <v>0.28264641142693131</v>
      </c>
      <c r="BR192" s="616">
        <f t="shared" si="318"/>
        <v>0.2391812628265495</v>
      </c>
      <c r="BS192" s="616">
        <f t="shared" si="318"/>
        <v>0.21641179273421707</v>
      </c>
      <c r="BU192" s="632" t="s">
        <v>77</v>
      </c>
      <c r="BV192" s="632"/>
      <c r="BW192" s="616">
        <f t="shared" si="293"/>
        <v>-6.6756532629616047E-2</v>
      </c>
      <c r="BX192" s="616">
        <f t="shared" si="294"/>
        <v>-1.179708511084628E-3</v>
      </c>
      <c r="BY192" s="616">
        <f t="shared" si="295"/>
        <v>0.18275476814732328</v>
      </c>
      <c r="BZ192" s="616">
        <f t="shared" si="284"/>
        <v>-2.3705570051655588E-2</v>
      </c>
      <c r="CA192" s="616">
        <f t="shared" si="296"/>
        <v>5.5507482534815515E-2</v>
      </c>
      <c r="CB192" s="616">
        <f t="shared" si="297"/>
        <v>-5.082260165729037E-2</v>
      </c>
      <c r="CC192" s="616">
        <f t="shared" si="298"/>
        <v>2.114861181834644E-2</v>
      </c>
      <c r="CD192" s="616">
        <f t="shared" si="299"/>
        <v>8.2129611881765832E-2</v>
      </c>
      <c r="CE192" s="616">
        <f t="shared" si="300"/>
        <v>5.6420437663758836E-2</v>
      </c>
      <c r="CF192" s="616">
        <f t="shared" si="301"/>
        <v>-5.7397158314778603E-2</v>
      </c>
      <c r="CG192" s="616">
        <f t="shared" si="302"/>
        <v>-1</v>
      </c>
      <c r="CH192" s="616" t="e">
        <f t="shared" si="303"/>
        <v>#DIV/0!</v>
      </c>
      <c r="CI192" s="616">
        <f t="shared" si="304"/>
        <v>-5.5001113909833255E-2</v>
      </c>
      <c r="CJ192" s="616">
        <f t="shared" si="305"/>
        <v>2.7625532922907647E-2</v>
      </c>
      <c r="CK192" s="616">
        <f t="shared" si="306"/>
        <v>5.575836908903882E-2</v>
      </c>
      <c r="CL192" s="616">
        <f t="shared" si="285"/>
        <v>-8.2929606424926847E-2</v>
      </c>
      <c r="CM192" s="616">
        <f t="shared" si="286"/>
        <v>4.6377583826053947E-2</v>
      </c>
      <c r="CN192" s="616">
        <f t="shared" si="287"/>
        <v>6.0248211858746743E-2</v>
      </c>
      <c r="CO192" s="616">
        <f t="shared" si="288"/>
        <v>2.2536685500067006E-2</v>
      </c>
      <c r="CP192" s="616">
        <f t="shared" si="289"/>
        <v>-3.3887085492273171E-2</v>
      </c>
      <c r="CQ192" s="616">
        <f t="shared" si="290"/>
        <v>-1.8374608118586051E-2</v>
      </c>
      <c r="CZ192" s="3"/>
      <c r="DA192" s="3"/>
      <c r="DC192" s="41"/>
      <c r="DD192" s="41"/>
      <c r="DE192" s="3"/>
      <c r="DF192" s="118"/>
      <c r="DG192" s="700"/>
      <c r="DH192" s="700"/>
      <c r="DI192" s="700"/>
      <c r="DJ192" s="700"/>
      <c r="DK192" s="43"/>
      <c r="DL192" s="43"/>
      <c r="DS192" s="3"/>
      <c r="DT192" s="3"/>
      <c r="DV192" s="41"/>
      <c r="DW192" s="41"/>
      <c r="DY192" s="118"/>
      <c r="DZ192" s="3"/>
      <c r="EA192" s="486"/>
      <c r="EB192" s="486"/>
      <c r="EC192" s="486"/>
      <c r="ED192" s="486"/>
      <c r="EE192" s="43"/>
      <c r="EF192" s="43"/>
      <c r="EL192" s="3"/>
      <c r="EM192" s="3"/>
      <c r="EO192" s="41"/>
      <c r="EP192" s="41"/>
      <c r="FC192" s="3"/>
      <c r="FE192" s="39"/>
      <c r="FF192" s="39"/>
      <c r="FH192" s="41"/>
      <c r="FI192" s="41"/>
      <c r="FM192" s="3"/>
      <c r="FN192" s="3"/>
      <c r="FO192" s="486"/>
      <c r="FP192" s="486"/>
      <c r="FQ192" s="486"/>
      <c r="FR192" s="486"/>
      <c r="FS192" s="43"/>
      <c r="FT192" s="43"/>
      <c r="FX192" s="3"/>
      <c r="FY192" s="3"/>
      <c r="GA192" s="41"/>
      <c r="GB192" s="41"/>
      <c r="GG192" s="3"/>
      <c r="GH192" s="3"/>
      <c r="GI192" s="486"/>
      <c r="GJ192" s="486"/>
      <c r="GK192" s="486"/>
      <c r="GL192" s="486"/>
      <c r="GM192" s="43"/>
      <c r="GN192" s="43"/>
      <c r="GO192" s="393"/>
      <c r="GS192" s="3"/>
      <c r="GT192" s="3"/>
      <c r="GV192" s="41"/>
      <c r="GW192" s="41"/>
      <c r="HA192" s="3"/>
      <c r="HB192" s="3"/>
      <c r="HC192" s="43"/>
      <c r="HD192" s="43"/>
      <c r="HE192" s="43"/>
      <c r="HF192" s="43"/>
      <c r="HG192" s="43"/>
    </row>
    <row r="193" spans="1:215">
      <c r="A193" s="631" t="s">
        <v>78</v>
      </c>
      <c r="B193" s="631"/>
      <c r="C193" s="618">
        <f t="shared" si="245"/>
        <v>8.3676826441250252E-4</v>
      </c>
      <c r="D193" s="618">
        <f t="shared" si="246"/>
        <v>0.17041651053343576</v>
      </c>
      <c r="E193" s="618">
        <f t="shared" si="247"/>
        <v>0.13991612205278681</v>
      </c>
      <c r="F193" s="618">
        <f t="shared" si="248"/>
        <v>0.18143051912446831</v>
      </c>
      <c r="G193" s="618">
        <f t="shared" si="249"/>
        <v>0.33840355271022593</v>
      </c>
      <c r="H193" s="618">
        <f t="shared" si="250"/>
        <v>0.42796538464524064</v>
      </c>
      <c r="I193" s="618">
        <f t="shared" si="251"/>
        <v>-0.28371937936246827</v>
      </c>
      <c r="J193" s="618">
        <f t="shared" si="252"/>
        <v>-0.9035950867253939</v>
      </c>
      <c r="K193" s="618">
        <f t="shared" si="253"/>
        <v>-0.92521631068290022</v>
      </c>
      <c r="L193" s="618">
        <f t="shared" si="254"/>
        <v>-0.91259030146239495</v>
      </c>
      <c r="M193" s="618">
        <f t="shared" si="255"/>
        <v>-0.92920259495193913</v>
      </c>
      <c r="N193" s="618">
        <f t="shared" si="256"/>
        <v>-1</v>
      </c>
      <c r="O193" s="618">
        <f t="shared" si="257"/>
        <v>-1</v>
      </c>
      <c r="P193" s="618">
        <f t="shared" si="258"/>
        <v>-1</v>
      </c>
      <c r="Q193" s="618">
        <f t="shared" si="259"/>
        <v>-1</v>
      </c>
      <c r="R193" s="618">
        <f t="shared" si="260"/>
        <v>-1</v>
      </c>
      <c r="S193" s="618">
        <f t="shared" si="261"/>
        <v>-1</v>
      </c>
      <c r="T193" s="618">
        <f t="shared" si="262"/>
        <v>-1</v>
      </c>
      <c r="U193" s="618">
        <f t="shared" si="263"/>
        <v>-1</v>
      </c>
      <c r="V193" s="618">
        <f t="shared" si="264"/>
        <v>-1</v>
      </c>
      <c r="W193" s="618">
        <f t="shared" si="265"/>
        <v>-1</v>
      </c>
      <c r="Y193" s="631" t="s">
        <v>78</v>
      </c>
      <c r="Z193" s="631"/>
      <c r="AA193" s="618">
        <f t="shared" ref="AA193:AU193" si="319">IFERROR((AA95-Z95)/Z95,0)</f>
        <v>8.3676826441250252E-4</v>
      </c>
      <c r="AB193" s="618">
        <f t="shared" si="319"/>
        <v>0.16943796195966868</v>
      </c>
      <c r="AC193" s="618">
        <f t="shared" si="319"/>
        <v>-2.605943115647601E-2</v>
      </c>
      <c r="AD193" s="618">
        <f t="shared" si="319"/>
        <v>3.6418817374844592E-2</v>
      </c>
      <c r="AE193" s="618">
        <f t="shared" si="319"/>
        <v>0.13286691942077711</v>
      </c>
      <c r="AF193" s="618">
        <f t="shared" si="319"/>
        <v>6.6916911385698857E-2</v>
      </c>
      <c r="AG193" s="618">
        <f t="shared" si="319"/>
        <v>-0.49839076749365163</v>
      </c>
      <c r="AH193" s="618">
        <f t="shared" si="319"/>
        <v>-0.86540901638690149</v>
      </c>
      <c r="AI193" s="618">
        <f t="shared" si="319"/>
        <v>-0.22427512481567244</v>
      </c>
      <c r="AJ193" s="618">
        <f t="shared" si="319"/>
        <v>0.1688337301328923</v>
      </c>
      <c r="AK193" s="618">
        <f t="shared" si="319"/>
        <v>-0.19005091846183778</v>
      </c>
      <c r="AL193" s="618">
        <f t="shared" si="319"/>
        <v>-1</v>
      </c>
      <c r="AM193" s="618">
        <f t="shared" si="319"/>
        <v>0</v>
      </c>
      <c r="AN193" s="618">
        <f t="shared" si="319"/>
        <v>0</v>
      </c>
      <c r="AO193" s="618">
        <f t="shared" si="319"/>
        <v>0</v>
      </c>
      <c r="AP193" s="618">
        <f t="shared" si="319"/>
        <v>0</v>
      </c>
      <c r="AQ193" s="618">
        <f t="shared" si="319"/>
        <v>0</v>
      </c>
      <c r="AR193" s="618">
        <f t="shared" si="319"/>
        <v>0</v>
      </c>
      <c r="AS193" s="618">
        <f t="shared" si="319"/>
        <v>0</v>
      </c>
      <c r="AT193" s="618">
        <f t="shared" si="319"/>
        <v>0</v>
      </c>
      <c r="AU193" s="618">
        <f t="shared" si="319"/>
        <v>0</v>
      </c>
      <c r="AV193" s="565"/>
      <c r="AW193" s="631" t="s">
        <v>78</v>
      </c>
      <c r="AX193" s="631"/>
      <c r="AY193" s="618">
        <f t="shared" ref="AY193:BS193" si="320">(AY95-$AX95)/$AX95</f>
        <v>-3.6837938233265928E-2</v>
      </c>
      <c r="AZ193" s="618">
        <f t="shared" si="320"/>
        <v>-5.8051157286766544E-4</v>
      </c>
      <c r="BA193" s="618">
        <f t="shared" si="320"/>
        <v>6.7155518517502538E-2</v>
      </c>
      <c r="BB193" s="618">
        <f t="shared" si="320"/>
        <v>5.5746421345269616E-2</v>
      </c>
      <c r="BC193" s="618">
        <f t="shared" si="320"/>
        <v>9.6351846369014796E-2</v>
      </c>
      <c r="BD193" s="618">
        <f t="shared" si="320"/>
        <v>0.22288524961640277</v>
      </c>
      <c r="BE193" s="618">
        <f t="shared" si="320"/>
        <v>1.2758419719547109</v>
      </c>
      <c r="BF193" s="618">
        <f t="shared" si="320"/>
        <v>1.4057863970077795</v>
      </c>
      <c r="BG193" s="618">
        <f t="shared" si="320"/>
        <v>1.6171280710500004</v>
      </c>
      <c r="BH193" s="618">
        <f t="shared" si="320"/>
        <v>1.6768204849441473</v>
      </c>
      <c r="BI193" s="618">
        <f t="shared" si="320"/>
        <v>1.8035323834397026</v>
      </c>
      <c r="BJ193" s="618">
        <f t="shared" si="320"/>
        <v>1.6753773777163563</v>
      </c>
      <c r="BK193" s="618">
        <f t="shared" si="320"/>
        <v>1.5447027543846321</v>
      </c>
      <c r="BL193" s="618">
        <f t="shared" si="320"/>
        <v>1.7228412958315686</v>
      </c>
      <c r="BM193" s="618">
        <f t="shared" si="320"/>
        <v>1.8055426227166653</v>
      </c>
      <c r="BN193" s="618">
        <f t="shared" si="320"/>
        <v>1.9389982425843226</v>
      </c>
      <c r="BO193" s="618">
        <f t="shared" si="320"/>
        <v>1.8665892062663256</v>
      </c>
      <c r="BP193" s="618">
        <f t="shared" si="320"/>
        <v>1.9827371983025137</v>
      </c>
      <c r="BQ193" s="618">
        <f t="shared" si="320"/>
        <v>-1</v>
      </c>
      <c r="BR193" s="618">
        <f t="shared" si="320"/>
        <v>-1</v>
      </c>
      <c r="BS193" s="618">
        <f t="shared" si="320"/>
        <v>-1</v>
      </c>
      <c r="BU193" s="631" t="s">
        <v>78</v>
      </c>
      <c r="BV193" s="631"/>
      <c r="BW193" s="618">
        <f t="shared" si="293"/>
        <v>-3.6837938233265928E-2</v>
      </c>
      <c r="BX193" s="618">
        <f t="shared" si="294"/>
        <v>3.7644159897547297E-2</v>
      </c>
      <c r="BY193" s="618">
        <f t="shared" si="295"/>
        <v>6.7775374479611059E-2</v>
      </c>
      <c r="BZ193" s="618">
        <f t="shared" si="284"/>
        <v>-1.0691128869466457E-2</v>
      </c>
      <c r="CA193" s="618">
        <f t="shared" si="296"/>
        <v>3.8461342802378909E-2</v>
      </c>
      <c r="CB193" s="618">
        <f t="shared" si="297"/>
        <v>0.1154131346305033</v>
      </c>
      <c r="CC193" s="618">
        <f t="shared" si="298"/>
        <v>0.86104294958877103</v>
      </c>
      <c r="CD193" s="618">
        <f t="shared" si="299"/>
        <v>5.7097297024300837E-2</v>
      </c>
      <c r="CE193" s="618">
        <f t="shared" si="300"/>
        <v>8.784723128581956E-2</v>
      </c>
      <c r="CF193" s="618">
        <f t="shared" si="301"/>
        <v>2.2808365610551842E-2</v>
      </c>
      <c r="CG193" s="618">
        <f t="shared" si="302"/>
        <v>4.7336718770739396E-2</v>
      </c>
      <c r="CH193" s="618">
        <f t="shared" si="303"/>
        <v>-4.5711976248375134E-2</v>
      </c>
      <c r="CI193" s="618">
        <f t="shared" si="304"/>
        <v>-4.8843435853249649E-2</v>
      </c>
      <c r="CJ193" s="618">
        <f t="shared" si="305"/>
        <v>7.0003673765038438E-2</v>
      </c>
      <c r="CK193" s="618">
        <f t="shared" si="306"/>
        <v>3.0373171955231128E-2</v>
      </c>
      <c r="CL193" s="618">
        <f t="shared" si="285"/>
        <v>4.7568559032772614E-2</v>
      </c>
      <c r="CM193" s="618">
        <f t="shared" si="286"/>
        <v>-2.463731868526951E-2</v>
      </c>
      <c r="CN193" s="618">
        <f t="shared" si="287"/>
        <v>4.0517836243257312E-2</v>
      </c>
      <c r="CO193" s="618">
        <f t="shared" si="288"/>
        <v>-1</v>
      </c>
      <c r="CP193" s="618" t="e">
        <f t="shared" si="289"/>
        <v>#DIV/0!</v>
      </c>
      <c r="CQ193" s="618" t="e">
        <f t="shared" si="290"/>
        <v>#DIV/0!</v>
      </c>
      <c r="CZ193" s="3"/>
      <c r="DA193" s="3"/>
      <c r="DC193" s="41"/>
      <c r="DD193" s="41"/>
      <c r="DE193" s="3"/>
      <c r="DF193" s="118"/>
      <c r="DG193" s="700"/>
      <c r="DH193" s="700"/>
      <c r="DI193" s="700"/>
      <c r="DJ193" s="700"/>
      <c r="DK193" s="43"/>
      <c r="DL193" s="43"/>
      <c r="DS193" s="3"/>
      <c r="DT193" s="3"/>
      <c r="DV193" s="41"/>
      <c r="DW193" s="41"/>
      <c r="DY193" s="118"/>
      <c r="DZ193" s="3"/>
      <c r="EA193" s="486"/>
      <c r="EB193" s="486"/>
      <c r="EC193" s="486"/>
      <c r="ED193" s="486"/>
      <c r="EE193" s="43"/>
      <c r="EF193" s="43"/>
      <c r="EL193" s="3"/>
      <c r="EM193" s="3"/>
      <c r="EO193" s="41"/>
      <c r="EP193" s="41"/>
      <c r="FC193" s="3"/>
      <c r="FE193" s="39"/>
      <c r="FF193" s="39"/>
      <c r="FH193" s="41"/>
      <c r="FI193" s="41"/>
      <c r="FM193" s="3"/>
      <c r="FN193" s="3"/>
      <c r="FO193" s="486"/>
      <c r="FP193" s="486"/>
      <c r="FQ193" s="486"/>
      <c r="FR193" s="486"/>
      <c r="FS193" s="43"/>
      <c r="FT193" s="43"/>
      <c r="FX193" s="3"/>
      <c r="FY193" s="3"/>
      <c r="GA193" s="41"/>
      <c r="GB193" s="41"/>
      <c r="GG193" s="3"/>
      <c r="GH193" s="3"/>
      <c r="GI193" s="486"/>
      <c r="GJ193" s="486"/>
      <c r="GK193" s="486"/>
      <c r="GL193" s="486"/>
      <c r="GM193" s="43"/>
      <c r="GN193" s="43"/>
      <c r="GO193" s="393"/>
      <c r="GS193" s="3"/>
      <c r="GT193" s="3"/>
      <c r="GV193" s="41"/>
      <c r="GW193" s="41"/>
      <c r="HA193" s="3"/>
      <c r="HB193" s="3"/>
      <c r="HC193" s="43"/>
      <c r="HD193" s="43"/>
      <c r="HE193" s="43"/>
      <c r="HF193" s="43"/>
      <c r="HG193" s="43"/>
    </row>
    <row r="194" spans="1:215">
      <c r="A194" s="632" t="s">
        <v>79</v>
      </c>
      <c r="B194" s="632"/>
      <c r="C194" s="616">
        <f t="shared" si="245"/>
        <v>0.18585504318912366</v>
      </c>
      <c r="D194" s="616">
        <f t="shared" si="246"/>
        <v>0.21996242425185739</v>
      </c>
      <c r="E194" s="616">
        <f t="shared" si="247"/>
        <v>0.3253431725212948</v>
      </c>
      <c r="F194" s="616">
        <f t="shared" si="248"/>
        <v>0.38346945949030853</v>
      </c>
      <c r="G194" s="616">
        <f t="shared" si="249"/>
        <v>0.58984124595894616</v>
      </c>
      <c r="H194" s="616">
        <f t="shared" si="250"/>
        <v>0.63574366920774605</v>
      </c>
      <c r="I194" s="616">
        <f t="shared" si="251"/>
        <v>0.56331743429396286</v>
      </c>
      <c r="J194" s="616">
        <f t="shared" si="252"/>
        <v>0.88669599745430905</v>
      </c>
      <c r="K194" s="616">
        <f t="shared" si="253"/>
        <v>0.78166523846253178</v>
      </c>
      <c r="L194" s="616">
        <f t="shared" si="254"/>
        <v>0.94662894103635464</v>
      </c>
      <c r="M194" s="616">
        <f t="shared" si="255"/>
        <v>0.97818868551031413</v>
      </c>
      <c r="N194" s="616">
        <f t="shared" si="256"/>
        <v>1.3793511226174502</v>
      </c>
      <c r="O194" s="616">
        <f t="shared" si="257"/>
        <v>1.2859848353832606</v>
      </c>
      <c r="P194" s="616">
        <f t="shared" si="258"/>
        <v>1.2973750876234222</v>
      </c>
      <c r="Q194" s="616">
        <f t="shared" si="259"/>
        <v>1.2432185884443154</v>
      </c>
      <c r="R194" s="616">
        <f t="shared" si="260"/>
        <v>1.7112580532842643</v>
      </c>
      <c r="S194" s="616">
        <f t="shared" si="261"/>
        <v>1.4038830146607821</v>
      </c>
      <c r="T194" s="616">
        <f t="shared" si="262"/>
        <v>1.629143845665177</v>
      </c>
      <c r="U194" s="616">
        <f t="shared" si="263"/>
        <v>1.5821773310712655</v>
      </c>
      <c r="V194" s="616">
        <f t="shared" si="264"/>
        <v>1.4512577059611595</v>
      </c>
      <c r="W194" s="616">
        <f t="shared" si="265"/>
        <v>1.619843044544981</v>
      </c>
      <c r="Y194" s="632" t="s">
        <v>79</v>
      </c>
      <c r="Z194" s="632"/>
      <c r="AA194" s="616">
        <f t="shared" ref="AA194:AU194" si="321">IFERROR((AA96-Z96)/Z96,0)</f>
        <v>0.18585504318912366</v>
      </c>
      <c r="AB194" s="616">
        <f t="shared" si="321"/>
        <v>2.8761846786103495E-2</v>
      </c>
      <c r="AC194" s="616">
        <f t="shared" si="321"/>
        <v>8.6380323012048704E-2</v>
      </c>
      <c r="AD194" s="616">
        <f t="shared" si="321"/>
        <v>4.3857536805683252E-2</v>
      </c>
      <c r="AE194" s="616">
        <f t="shared" si="321"/>
        <v>0.14916974498639685</v>
      </c>
      <c r="AF194" s="616">
        <f t="shared" si="321"/>
        <v>2.8872331350991515E-2</v>
      </c>
      <c r="AG194" s="616">
        <f t="shared" si="321"/>
        <v>-4.4277252161924609E-2</v>
      </c>
      <c r="AH194" s="616">
        <f t="shared" si="321"/>
        <v>0.20685406307541937</v>
      </c>
      <c r="AI194" s="616">
        <f t="shared" si="321"/>
        <v>-5.5669148147604944E-2</v>
      </c>
      <c r="AJ194" s="616">
        <f t="shared" si="321"/>
        <v>9.2589617293188264E-2</v>
      </c>
      <c r="AK194" s="616">
        <f t="shared" si="321"/>
        <v>1.6212511695812774E-2</v>
      </c>
      <c r="AL194" s="616">
        <f t="shared" si="321"/>
        <v>0.20279280740282263</v>
      </c>
      <c r="AM194" s="616">
        <f t="shared" si="321"/>
        <v>-3.9240230811953554E-2</v>
      </c>
      <c r="AN194" s="616">
        <f t="shared" si="321"/>
        <v>4.9826455818338406E-3</v>
      </c>
      <c r="AO194" s="616">
        <f t="shared" si="321"/>
        <v>-2.3573207296824272E-2</v>
      </c>
      <c r="AP194" s="616">
        <f t="shared" si="321"/>
        <v>0.208646391952617</v>
      </c>
      <c r="AQ194" s="616">
        <f t="shared" si="321"/>
        <v>-0.11336989419031708</v>
      </c>
      <c r="AR194" s="616">
        <f t="shared" si="321"/>
        <v>9.3707068784369255E-2</v>
      </c>
      <c r="AS194" s="616">
        <f t="shared" si="321"/>
        <v>-1.7863805615408977E-2</v>
      </c>
      <c r="AT194" s="616">
        <f t="shared" si="321"/>
        <v>-5.070125259592121E-2</v>
      </c>
      <c r="AU194" s="616">
        <f t="shared" si="321"/>
        <v>6.8775036657240232E-2</v>
      </c>
      <c r="AV194" s="565"/>
      <c r="AW194" s="632" t="s">
        <v>79</v>
      </c>
      <c r="AX194" s="632"/>
      <c r="AY194" s="616">
        <f t="shared" ref="AY194:BS194" si="322">(AY96-$AX96)/$AX96</f>
        <v>1.2065942032096847E-2</v>
      </c>
      <c r="AZ194" s="616">
        <f t="shared" si="322"/>
        <v>3.6193129854572077E-2</v>
      </c>
      <c r="BA194" s="616">
        <f t="shared" si="322"/>
        <v>3.853498100750397</v>
      </c>
      <c r="BB194" s="616">
        <f t="shared" si="322"/>
        <v>4.5338778379612332</v>
      </c>
      <c r="BC194" s="616">
        <f t="shared" si="322"/>
        <v>4.7234284854522057</v>
      </c>
      <c r="BD194" s="616">
        <f t="shared" si="322"/>
        <v>7.3761356854258704</v>
      </c>
      <c r="BE194" s="616">
        <f t="shared" si="322"/>
        <v>8.0102531927287508</v>
      </c>
      <c r="BF194" s="616">
        <f t="shared" si="322"/>
        <v>7.6109825906294146</v>
      </c>
      <c r="BG194" s="616">
        <f t="shared" si="322"/>
        <v>8.1010035466017456</v>
      </c>
      <c r="BH194" s="616">
        <f t="shared" si="322"/>
        <v>8.8583268435745399</v>
      </c>
      <c r="BI194" s="616">
        <f t="shared" si="322"/>
        <v>9.6220781996702414</v>
      </c>
      <c r="BJ194" s="616">
        <f t="shared" si="322"/>
        <v>8.7828101362250024</v>
      </c>
      <c r="BK194" s="616">
        <f t="shared" si="322"/>
        <v>7.6059604520986914</v>
      </c>
      <c r="BL194" s="616">
        <f t="shared" si="322"/>
        <v>7.7327922323625256</v>
      </c>
      <c r="BM194" s="616">
        <f t="shared" si="322"/>
        <v>8.0757713107398477</v>
      </c>
      <c r="BN194" s="616">
        <f t="shared" si="322"/>
        <v>8.4939377333808501</v>
      </c>
      <c r="BO194" s="616">
        <f t="shared" si="322"/>
        <v>8.5966763847561953</v>
      </c>
      <c r="BP194" s="616">
        <f t="shared" si="322"/>
        <v>8.604361515971874</v>
      </c>
      <c r="BQ194" s="616">
        <f t="shared" si="322"/>
        <v>9.6067295175877376</v>
      </c>
      <c r="BR194" s="616">
        <f t="shared" si="322"/>
        <v>9.8776406743552645</v>
      </c>
      <c r="BS194" s="616">
        <f t="shared" si="322"/>
        <v>9.9310616762344761</v>
      </c>
      <c r="BU194" s="632" t="s">
        <v>79</v>
      </c>
      <c r="BV194" s="632"/>
      <c r="BW194" s="616">
        <f t="shared" si="293"/>
        <v>1.2065942032096847E-2</v>
      </c>
      <c r="BX194" s="616">
        <f t="shared" si="294"/>
        <v>2.3839541299088648E-2</v>
      </c>
      <c r="BY194" s="616">
        <f t="shared" si="295"/>
        <v>3.6839705465250261</v>
      </c>
      <c r="BZ194" s="616">
        <f t="shared" si="284"/>
        <v>0.1401833735353977</v>
      </c>
      <c r="CA194" s="616">
        <f t="shared" si="296"/>
        <v>3.4252770487757302E-2</v>
      </c>
      <c r="CB194" s="616">
        <f t="shared" si="297"/>
        <v>0.46348219545615149</v>
      </c>
      <c r="CC194" s="616">
        <f t="shared" si="298"/>
        <v>7.5705257306924775E-2</v>
      </c>
      <c r="CD194" s="616">
        <f t="shared" si="299"/>
        <v>-4.4312917024523418E-2</v>
      </c>
      <c r="CE194" s="616">
        <f t="shared" si="300"/>
        <v>5.6906508730557491E-2</v>
      </c>
      <c r="CF194" s="616">
        <f t="shared" si="301"/>
        <v>8.321316359178578E-2</v>
      </c>
      <c r="CG194" s="616">
        <f t="shared" si="302"/>
        <v>7.7472716031270566E-2</v>
      </c>
      <c r="CH194" s="616">
        <f t="shared" si="303"/>
        <v>-7.9011663035138846E-2</v>
      </c>
      <c r="CI194" s="616">
        <f t="shared" si="304"/>
        <v>-0.12029771279813824</v>
      </c>
      <c r="CJ194" s="616">
        <f t="shared" si="305"/>
        <v>1.4737667105233374E-2</v>
      </c>
      <c r="CK194" s="616">
        <f t="shared" si="306"/>
        <v>3.927484695058802E-2</v>
      </c>
      <c r="CL194" s="616">
        <f t="shared" si="285"/>
        <v>4.6075028592463943E-2</v>
      </c>
      <c r="CM194" s="616">
        <f t="shared" si="286"/>
        <v>1.0821500441709812E-2</v>
      </c>
      <c r="CN194" s="616">
        <f t="shared" si="287"/>
        <v>8.0081175060619755E-4</v>
      </c>
      <c r="CO194" s="616">
        <f t="shared" si="288"/>
        <v>0.10436591749997592</v>
      </c>
      <c r="CP194" s="616">
        <f t="shared" si="289"/>
        <v>2.554144105572884E-2</v>
      </c>
      <c r="CQ194" s="616">
        <f t="shared" si="290"/>
        <v>4.9110835224732896E-3</v>
      </c>
      <c r="CZ194" s="3"/>
      <c r="DA194" s="3"/>
      <c r="DC194" s="41"/>
      <c r="DD194" s="41"/>
      <c r="DE194" s="3"/>
      <c r="DF194" s="118"/>
      <c r="DG194" s="700"/>
      <c r="DH194" s="700"/>
      <c r="DI194" s="700"/>
      <c r="DJ194" s="700"/>
      <c r="DK194" s="43"/>
      <c r="DL194" s="43"/>
      <c r="DS194" s="3"/>
      <c r="DT194" s="3"/>
      <c r="DV194" s="41"/>
      <c r="DW194" s="41"/>
      <c r="DY194" s="118"/>
      <c r="DZ194" s="3"/>
      <c r="EA194" s="486"/>
      <c r="EB194" s="486"/>
      <c r="EC194" s="486"/>
      <c r="ED194" s="486"/>
      <c r="EE194" s="43"/>
      <c r="EF194" s="43"/>
      <c r="EL194" s="3"/>
      <c r="EM194" s="3"/>
      <c r="EO194" s="41"/>
      <c r="EP194" s="41"/>
      <c r="FC194" s="3"/>
      <c r="FE194" s="39"/>
      <c r="FF194" s="39"/>
      <c r="FH194" s="41"/>
      <c r="FI194" s="41"/>
      <c r="FM194" s="3"/>
      <c r="FN194" s="3"/>
      <c r="FO194" s="486"/>
      <c r="FP194" s="486"/>
      <c r="FQ194" s="486"/>
      <c r="FR194" s="486"/>
      <c r="FS194" s="43"/>
      <c r="FT194" s="43"/>
      <c r="FX194" s="3"/>
      <c r="FY194" s="3"/>
      <c r="GA194" s="41"/>
      <c r="GB194" s="41"/>
      <c r="GG194" s="3"/>
      <c r="GH194" s="3"/>
      <c r="GI194" s="486"/>
      <c r="GJ194" s="486"/>
      <c r="GK194" s="486"/>
      <c r="GL194" s="486"/>
      <c r="GM194" s="43"/>
      <c r="GN194" s="43"/>
      <c r="GO194" s="393"/>
      <c r="GS194" s="3"/>
      <c r="GT194" s="3"/>
      <c r="GV194" s="41"/>
      <c r="GW194" s="41"/>
      <c r="HA194" s="3"/>
      <c r="HB194" s="3"/>
      <c r="HC194" s="43"/>
      <c r="HD194" s="43"/>
      <c r="HE194" s="43"/>
      <c r="HF194" s="43"/>
      <c r="HG194" s="43"/>
    </row>
    <row r="195" spans="1:215">
      <c r="A195" s="631" t="s">
        <v>80</v>
      </c>
      <c r="B195" s="631"/>
      <c r="C195" s="618">
        <f t="shared" si="245"/>
        <v>0.1057969292474976</v>
      </c>
      <c r="D195" s="618">
        <f t="shared" si="246"/>
        <v>0.3008781030655362</v>
      </c>
      <c r="E195" s="618">
        <f t="shared" si="247"/>
        <v>0.21192959526114155</v>
      </c>
      <c r="F195" s="618">
        <f t="shared" si="248"/>
        <v>0.14701176889950227</v>
      </c>
      <c r="G195" s="618">
        <f t="shared" si="249"/>
        <v>-5.3896111423453914E-3</v>
      </c>
      <c r="H195" s="618">
        <f t="shared" si="250"/>
        <v>7.0733665254361358E-3</v>
      </c>
      <c r="I195" s="618">
        <f t="shared" si="251"/>
        <v>0.11152894262480373</v>
      </c>
      <c r="J195" s="618">
        <f t="shared" si="252"/>
        <v>0.27443973836585905</v>
      </c>
      <c r="K195" s="618">
        <f t="shared" si="253"/>
        <v>0.26946555981243969</v>
      </c>
      <c r="L195" s="618">
        <f t="shared" si="254"/>
        <v>3.296646689580425E-2</v>
      </c>
      <c r="M195" s="618">
        <f t="shared" si="255"/>
        <v>0.35696461795271578</v>
      </c>
      <c r="N195" s="618">
        <f t="shared" si="256"/>
        <v>0.32359749842057378</v>
      </c>
      <c r="O195" s="618">
        <f t="shared" si="257"/>
        <v>-0.83751876474372722</v>
      </c>
      <c r="P195" s="618">
        <f t="shared" si="258"/>
        <v>0.51307207110606223</v>
      </c>
      <c r="Q195" s="618">
        <f t="shared" si="259"/>
        <v>-1</v>
      </c>
      <c r="R195" s="618">
        <f t="shared" si="260"/>
        <v>0.50397667665521007</v>
      </c>
      <c r="S195" s="618">
        <f t="shared" si="261"/>
        <v>0.53155266299969295</v>
      </c>
      <c r="T195" s="618">
        <f t="shared" si="262"/>
        <v>-0.9717045777280604</v>
      </c>
      <c r="U195" s="618">
        <f t="shared" si="263"/>
        <v>0.43604373996557172</v>
      </c>
      <c r="V195" s="618">
        <f t="shared" si="264"/>
        <v>0.97162169407236976</v>
      </c>
      <c r="W195" s="618">
        <f t="shared" si="265"/>
        <v>0.84024899873066305</v>
      </c>
      <c r="Y195" s="631" t="s">
        <v>80</v>
      </c>
      <c r="Z195" s="631"/>
      <c r="AA195" s="618">
        <f t="shared" ref="AA195:AU195" si="323">IFERROR((AA97-Z97)/Z97,0)</f>
        <v>0.1057969292474976</v>
      </c>
      <c r="AB195" s="618">
        <f t="shared" si="323"/>
        <v>0.17641681637766227</v>
      </c>
      <c r="AC195" s="618">
        <f t="shared" si="323"/>
        <v>-6.8375743734010369E-2</v>
      </c>
      <c r="AD195" s="618">
        <f t="shared" si="323"/>
        <v>-5.3565674619614402E-2</v>
      </c>
      <c r="AE195" s="618">
        <f t="shared" si="323"/>
        <v>-0.13286819209193362</v>
      </c>
      <c r="AF195" s="618">
        <f t="shared" si="323"/>
        <v>1.2530512256257146E-2</v>
      </c>
      <c r="AG195" s="618">
        <f t="shared" si="323"/>
        <v>0.1037219129920554</v>
      </c>
      <c r="AH195" s="618">
        <f t="shared" si="323"/>
        <v>0.14656460078884856</v>
      </c>
      <c r="AI195" s="618">
        <f t="shared" si="323"/>
        <v>-3.9030315860971759E-3</v>
      </c>
      <c r="AJ195" s="618">
        <f t="shared" si="323"/>
        <v>-0.1862981560142345</v>
      </c>
      <c r="AK195" s="618">
        <f t="shared" si="323"/>
        <v>0.31365795641998645</v>
      </c>
      <c r="AL195" s="618">
        <f t="shared" si="323"/>
        <v>-2.4589528047152576E-2</v>
      </c>
      <c r="AM195" s="618">
        <f t="shared" si="323"/>
        <v>-0.87724271506242735</v>
      </c>
      <c r="AN195" s="618">
        <f t="shared" si="323"/>
        <v>8.3122880849568617</v>
      </c>
      <c r="AO195" s="618">
        <f t="shared" si="323"/>
        <v>-1</v>
      </c>
      <c r="AP195" s="618">
        <f t="shared" si="323"/>
        <v>0</v>
      </c>
      <c r="AQ195" s="618">
        <f t="shared" si="323"/>
        <v>1.8335381640233215E-2</v>
      </c>
      <c r="AR195" s="618">
        <f t="shared" si="323"/>
        <v>-0.98152500860367398</v>
      </c>
      <c r="AS195" s="618">
        <f t="shared" si="323"/>
        <v>49.75180452032663</v>
      </c>
      <c r="AT195" s="618">
        <f t="shared" si="323"/>
        <v>0.37295378908140936</v>
      </c>
      <c r="AU195" s="618">
        <f t="shared" si="323"/>
        <v>-6.6631796422546671E-2</v>
      </c>
      <c r="AV195" s="565"/>
      <c r="AW195" s="631" t="s">
        <v>80</v>
      </c>
      <c r="AX195" s="631"/>
      <c r="AY195" s="618">
        <f t="shared" ref="AY195:BS195" si="324">(AY97-$AX97)/$AX97</f>
        <v>4.5480733106724902E-2</v>
      </c>
      <c r="AZ195" s="618">
        <f t="shared" si="324"/>
        <v>-3.2404716728113653E-2</v>
      </c>
      <c r="BA195" s="618">
        <f t="shared" si="324"/>
        <v>3.8204728425616386E-3</v>
      </c>
      <c r="BB195" s="618">
        <f t="shared" si="324"/>
        <v>0.10407549947545658</v>
      </c>
      <c r="BC195" s="618">
        <f t="shared" si="324"/>
        <v>8.5029515117441348E-2</v>
      </c>
      <c r="BD195" s="618">
        <f t="shared" si="324"/>
        <v>9.8625490755021042E-2</v>
      </c>
      <c r="BE195" s="618">
        <f t="shared" si="324"/>
        <v>6.1004899778221565E-2</v>
      </c>
      <c r="BF195" s="618">
        <f t="shared" si="324"/>
        <v>-2.0749130195838378E-2</v>
      </c>
      <c r="BG195" s="618">
        <f t="shared" si="324"/>
        <v>0.13203139778305975</v>
      </c>
      <c r="BH195" s="618">
        <f t="shared" si="324"/>
        <v>8.9834501415028994E-2</v>
      </c>
      <c r="BI195" s="618">
        <f t="shared" si="324"/>
        <v>0.19689091446543722</v>
      </c>
      <c r="BJ195" s="618">
        <f t="shared" si="324"/>
        <v>0.22817641203873229</v>
      </c>
      <c r="BK195" s="618">
        <f t="shared" si="324"/>
        <v>0.19816025157007361</v>
      </c>
      <c r="BL195" s="618">
        <f t="shared" si="324"/>
        <v>0.22431302200763911</v>
      </c>
      <c r="BM195" s="618">
        <f t="shared" si="324"/>
        <v>-1</v>
      </c>
      <c r="BN195" s="618">
        <f t="shared" si="324"/>
        <v>0.17869284097034471</v>
      </c>
      <c r="BO195" s="618">
        <f t="shared" si="324"/>
        <v>0.22462872284875282</v>
      </c>
      <c r="BP195" s="618">
        <f t="shared" si="324"/>
        <v>0.63305564059370611</v>
      </c>
      <c r="BQ195" s="618">
        <f t="shared" si="324"/>
        <v>0.6800659802375435</v>
      </c>
      <c r="BR195" s="618">
        <f t="shared" si="324"/>
        <v>0.67321648652337052</v>
      </c>
      <c r="BS195" s="618">
        <f t="shared" si="324"/>
        <v>0.64660790867095819</v>
      </c>
      <c r="BU195" s="631" t="s">
        <v>80</v>
      </c>
      <c r="BV195" s="631"/>
      <c r="BW195" s="618">
        <f t="shared" si="293"/>
        <v>4.5480733106724902E-2</v>
      </c>
      <c r="BX195" s="618">
        <f t="shared" si="294"/>
        <v>-7.4497259842748187E-2</v>
      </c>
      <c r="BY195" s="618">
        <f t="shared" si="295"/>
        <v>3.7438369323361316E-2</v>
      </c>
      <c r="BZ195" s="618">
        <f t="shared" si="284"/>
        <v>9.9873462780648889E-2</v>
      </c>
      <c r="CA195" s="618">
        <f t="shared" si="296"/>
        <v>-1.7250617704191368E-2</v>
      </c>
      <c r="CB195" s="618">
        <f t="shared" si="297"/>
        <v>1.2530512256257004E-2</v>
      </c>
      <c r="CC195" s="618">
        <f t="shared" si="298"/>
        <v>-3.4243326131951517E-2</v>
      </c>
      <c r="CD195" s="618">
        <f t="shared" si="299"/>
        <v>-7.7053395315279619E-2</v>
      </c>
      <c r="CE195" s="618">
        <f t="shared" si="300"/>
        <v>0.15601776081082511</v>
      </c>
      <c r="CF195" s="618">
        <f t="shared" si="301"/>
        <v>-3.7275376328490581E-2</v>
      </c>
      <c r="CG195" s="618">
        <f t="shared" si="302"/>
        <v>9.8231807592260453E-2</v>
      </c>
      <c r="CH195" s="618">
        <f t="shared" si="303"/>
        <v>2.6138971559716451E-2</v>
      </c>
      <c r="CI195" s="618">
        <f t="shared" si="304"/>
        <v>-2.4439616470758343E-2</v>
      </c>
      <c r="CJ195" s="618">
        <f t="shared" si="305"/>
        <v>2.1827439529307383E-2</v>
      </c>
      <c r="CK195" s="618">
        <f t="shared" si="306"/>
        <v>-1</v>
      </c>
      <c r="CL195" s="618" t="e">
        <f t="shared" si="285"/>
        <v>#DIV/0!</v>
      </c>
      <c r="CM195" s="618">
        <f t="shared" si="286"/>
        <v>3.8971885025272532E-2</v>
      </c>
      <c r="CN195" s="618">
        <f t="shared" si="287"/>
        <v>0.33351081035798624</v>
      </c>
      <c r="CO195" s="618">
        <f t="shared" si="288"/>
        <v>2.8786734802707971E-2</v>
      </c>
      <c r="CP195" s="618">
        <f t="shared" si="289"/>
        <v>-4.0769194750343062E-3</v>
      </c>
      <c r="CQ195" s="618">
        <f t="shared" si="290"/>
        <v>-1.5902651011824517E-2</v>
      </c>
      <c r="CZ195" s="3"/>
      <c r="DA195" s="3"/>
      <c r="DC195" s="41"/>
      <c r="DD195" s="41"/>
      <c r="DE195" s="3"/>
      <c r="DF195" s="118"/>
      <c r="DG195" s="700"/>
      <c r="DH195" s="700"/>
      <c r="DI195" s="700"/>
      <c r="DJ195" s="700"/>
      <c r="DK195" s="43"/>
      <c r="DL195" s="43"/>
      <c r="DS195" s="3"/>
      <c r="DT195" s="3"/>
      <c r="DV195" s="41"/>
      <c r="DW195" s="41"/>
      <c r="DY195" s="118"/>
      <c r="DZ195" s="3"/>
      <c r="EA195" s="486"/>
      <c r="EB195" s="486"/>
      <c r="EC195" s="486"/>
      <c r="ED195" s="486"/>
      <c r="EE195" s="43"/>
      <c r="EF195" s="43"/>
      <c r="EL195" s="3"/>
      <c r="EM195" s="3"/>
      <c r="EO195" s="41"/>
      <c r="EP195" s="41"/>
      <c r="FC195" s="3"/>
      <c r="FE195" s="39"/>
      <c r="FF195" s="39"/>
      <c r="FH195" s="41"/>
      <c r="FI195" s="41"/>
      <c r="FM195" s="3"/>
      <c r="FN195" s="3"/>
      <c r="FO195" s="486"/>
      <c r="FP195" s="486"/>
      <c r="FQ195" s="486"/>
      <c r="FR195" s="486"/>
      <c r="FS195" s="43"/>
      <c r="FT195" s="43"/>
      <c r="FX195" s="3"/>
      <c r="FY195" s="3"/>
      <c r="GA195" s="41"/>
      <c r="GB195" s="41"/>
      <c r="GG195" s="3"/>
      <c r="GH195" s="3"/>
      <c r="GI195" s="486"/>
      <c r="GJ195" s="486"/>
      <c r="GK195" s="486"/>
      <c r="GL195" s="486"/>
      <c r="GM195" s="43"/>
      <c r="GN195" s="43"/>
      <c r="GO195" s="393"/>
      <c r="GS195" s="3"/>
      <c r="GT195" s="3"/>
      <c r="GV195" s="41"/>
      <c r="GW195" s="41"/>
      <c r="HA195" s="3"/>
      <c r="HB195" s="3"/>
      <c r="HC195" s="43"/>
      <c r="HD195" s="43"/>
      <c r="HE195" s="43"/>
      <c r="HF195" s="43"/>
      <c r="HG195" s="43"/>
    </row>
    <row r="196" spans="1:215">
      <c r="A196" s="632" t="s">
        <v>81</v>
      </c>
      <c r="B196" s="632"/>
      <c r="C196" s="616">
        <f t="shared" si="245"/>
        <v>-0.16902969974964616</v>
      </c>
      <c r="D196" s="616">
        <f t="shared" si="246"/>
        <v>-0.10160106414905841</v>
      </c>
      <c r="E196" s="616">
        <f t="shared" si="247"/>
        <v>-1</v>
      </c>
      <c r="F196" s="616">
        <f t="shared" si="248"/>
        <v>-1</v>
      </c>
      <c r="G196" s="616">
        <f t="shared" si="249"/>
        <v>-1</v>
      </c>
      <c r="H196" s="616">
        <f t="shared" si="250"/>
        <v>-1</v>
      </c>
      <c r="I196" s="616">
        <f t="shared" si="251"/>
        <v>-1</v>
      </c>
      <c r="J196" s="616">
        <f t="shared" si="252"/>
        <v>-0.94051491957890987</v>
      </c>
      <c r="K196" s="616">
        <f t="shared" si="253"/>
        <v>-0.94290305904129779</v>
      </c>
      <c r="L196" s="616">
        <f t="shared" si="254"/>
        <v>-0.9233878509649176</v>
      </c>
      <c r="M196" s="616">
        <f t="shared" si="255"/>
        <v>-0.91268536930580546</v>
      </c>
      <c r="N196" s="616">
        <f t="shared" si="256"/>
        <v>-0.89992042116758209</v>
      </c>
      <c r="O196" s="616">
        <f t="shared" si="257"/>
        <v>-0.9095302912662715</v>
      </c>
      <c r="P196" s="616">
        <f t="shared" si="258"/>
        <v>-0.91055029440295543</v>
      </c>
      <c r="Q196" s="616">
        <f t="shared" si="259"/>
        <v>-0.91142178911028537</v>
      </c>
      <c r="R196" s="616">
        <f t="shared" si="260"/>
        <v>-0.91071003293518094</v>
      </c>
      <c r="S196" s="616">
        <f t="shared" si="261"/>
        <v>-0.69176446214584042</v>
      </c>
      <c r="T196" s="616">
        <f t="shared" si="262"/>
        <v>0.59048907098005876</v>
      </c>
      <c r="U196" s="616">
        <f t="shared" si="263"/>
        <v>-1</v>
      </c>
      <c r="V196" s="616">
        <f t="shared" si="264"/>
        <v>-1</v>
      </c>
      <c r="W196" s="616">
        <f t="shared" si="265"/>
        <v>-1</v>
      </c>
      <c r="Y196" s="632" t="s">
        <v>81</v>
      </c>
      <c r="Z196" s="632"/>
      <c r="AA196" s="616">
        <f t="shared" ref="AA196:AU196" si="325">IFERROR((AA98-Z98)/Z98,0)</f>
        <v>-0.16902969974964616</v>
      </c>
      <c r="AB196" s="616">
        <f t="shared" si="325"/>
        <v>8.1144459170529842E-2</v>
      </c>
      <c r="AC196" s="616">
        <f t="shared" si="325"/>
        <v>-1</v>
      </c>
      <c r="AD196" s="616">
        <f t="shared" si="325"/>
        <v>0</v>
      </c>
      <c r="AE196" s="616">
        <f t="shared" si="325"/>
        <v>0</v>
      </c>
      <c r="AF196" s="616">
        <f t="shared" si="325"/>
        <v>0</v>
      </c>
      <c r="AG196" s="616">
        <f t="shared" si="325"/>
        <v>0</v>
      </c>
      <c r="AH196" s="616">
        <f t="shared" si="325"/>
        <v>0</v>
      </c>
      <c r="AI196" s="616">
        <f t="shared" si="325"/>
        <v>-4.014686448236119E-2</v>
      </c>
      <c r="AJ196" s="616">
        <f t="shared" si="325"/>
        <v>0.34179078158487292</v>
      </c>
      <c r="AK196" s="616">
        <f t="shared" si="325"/>
        <v>0.13969692527762462</v>
      </c>
      <c r="AL196" s="616">
        <f t="shared" si="325"/>
        <v>0.14619483626896826</v>
      </c>
      <c r="AM196" s="616">
        <f t="shared" si="325"/>
        <v>-9.6022287571583459E-2</v>
      </c>
      <c r="AN196" s="616">
        <f t="shared" si="325"/>
        <v>-1.12745265897338E-2</v>
      </c>
      <c r="AO196" s="616">
        <f t="shared" si="325"/>
        <v>-9.7428460106498589E-3</v>
      </c>
      <c r="AP196" s="616">
        <f t="shared" si="325"/>
        <v>8.0353415129438121E-3</v>
      </c>
      <c r="AQ196" s="616">
        <f t="shared" si="325"/>
        <v>2.4520735978141839</v>
      </c>
      <c r="AR196" s="616">
        <f t="shared" si="325"/>
        <v>4.1599795469806979</v>
      </c>
      <c r="AS196" s="616">
        <f t="shared" si="325"/>
        <v>-1</v>
      </c>
      <c r="AT196" s="616">
        <f t="shared" si="325"/>
        <v>0</v>
      </c>
      <c r="AU196" s="616">
        <f t="shared" si="325"/>
        <v>0</v>
      </c>
      <c r="AV196" s="565"/>
      <c r="AW196" s="632" t="s">
        <v>81</v>
      </c>
      <c r="AX196" s="632"/>
      <c r="AY196" s="616">
        <f t="shared" ref="AY196:BS196" si="326">(AY98-$AX98)/$AX98</f>
        <v>2.0164431110925512E-2</v>
      </c>
      <c r="AZ196" s="616">
        <f t="shared" si="326"/>
        <v>8.2891574463188622E-2</v>
      </c>
      <c r="BA196" s="616">
        <f t="shared" si="326"/>
        <v>0.1938732389691207</v>
      </c>
      <c r="BB196" s="616">
        <f t="shared" si="326"/>
        <v>0.18380324583165411</v>
      </c>
      <c r="BC196" s="616">
        <f t="shared" si="326"/>
        <v>0.18442202519138876</v>
      </c>
      <c r="BD196" s="616">
        <f t="shared" si="326"/>
        <v>0.30048076457638295</v>
      </c>
      <c r="BE196" s="616">
        <f t="shared" si="326"/>
        <v>0.34294282771224255</v>
      </c>
      <c r="BF196" s="616">
        <f t="shared" si="326"/>
        <v>0.49491305383285344</v>
      </c>
      <c r="BG196" s="616">
        <f t="shared" si="326"/>
        <v>0.48948515925309305</v>
      </c>
      <c r="BH196" s="616">
        <f t="shared" si="326"/>
        <v>0.65234791093809241</v>
      </c>
      <c r="BI196" s="616">
        <f t="shared" si="326"/>
        <v>0.6396523626227878</v>
      </c>
      <c r="BJ196" s="616">
        <f t="shared" si="326"/>
        <v>0.62139689341055726</v>
      </c>
      <c r="BK196" s="616">
        <f t="shared" si="326"/>
        <v>0.5900479298577731</v>
      </c>
      <c r="BL196" s="616">
        <f t="shared" si="326"/>
        <v>0.60985991622232605</v>
      </c>
      <c r="BM196" s="616">
        <f t="shared" si="326"/>
        <v>0.63319342842593507</v>
      </c>
      <c r="BN196" s="616">
        <f t="shared" si="326"/>
        <v>0.61055911805521157</v>
      </c>
      <c r="BO196" s="616">
        <f t="shared" si="326"/>
        <v>0.65120351574136792</v>
      </c>
      <c r="BP196" s="616">
        <f t="shared" si="326"/>
        <v>0.73186670310457014</v>
      </c>
      <c r="BQ196" s="616">
        <f t="shared" si="326"/>
        <v>-1</v>
      </c>
      <c r="BR196" s="616">
        <f t="shared" si="326"/>
        <v>-1</v>
      </c>
      <c r="BS196" s="616">
        <f t="shared" si="326"/>
        <v>-1</v>
      </c>
      <c r="BU196" s="632" t="s">
        <v>81</v>
      </c>
      <c r="BV196" s="632"/>
      <c r="BW196" s="616">
        <f t="shared" si="293"/>
        <v>2.0164431110925512E-2</v>
      </c>
      <c r="BX196" s="616">
        <f t="shared" si="294"/>
        <v>6.1487287185611153E-2</v>
      </c>
      <c r="BY196" s="616">
        <f t="shared" si="295"/>
        <v>0.10248640503177611</v>
      </c>
      <c r="BZ196" s="616">
        <f t="shared" si="284"/>
        <v>-8.4347255711684933E-3</v>
      </c>
      <c r="CA196" s="616">
        <f t="shared" si="296"/>
        <v>5.2270456422000115E-4</v>
      </c>
      <c r="CB196" s="616">
        <f t="shared" si="297"/>
        <v>9.7987657200346703E-2</v>
      </c>
      <c r="CC196" s="616">
        <f t="shared" si="298"/>
        <v>3.2651050513377744E-2</v>
      </c>
      <c r="CD196" s="616">
        <f t="shared" si="299"/>
        <v>0.11316209669141188</v>
      </c>
      <c r="CE196" s="616">
        <f t="shared" si="300"/>
        <v>-3.6309098819116343E-3</v>
      </c>
      <c r="CF196" s="616">
        <f t="shared" si="301"/>
        <v>0.10934164108534483</v>
      </c>
      <c r="CG196" s="616">
        <f t="shared" si="302"/>
        <v>-7.683338497457828E-3</v>
      </c>
      <c r="CH196" s="616">
        <f t="shared" si="303"/>
        <v>-1.1133743730304532E-2</v>
      </c>
      <c r="CI196" s="616">
        <f t="shared" si="304"/>
        <v>-1.9334540284484329E-2</v>
      </c>
      <c r="CJ196" s="616">
        <f t="shared" si="305"/>
        <v>1.2459993181667871E-2</v>
      </c>
      <c r="CK196" s="616">
        <f t="shared" si="306"/>
        <v>1.4494125835720597E-2</v>
      </c>
      <c r="CL196" s="616">
        <f t="shared" si="285"/>
        <v>-1.3858928144560554E-2</v>
      </c>
      <c r="CM196" s="616">
        <f t="shared" si="286"/>
        <v>2.5236203521194191E-2</v>
      </c>
      <c r="CN196" s="616">
        <f t="shared" si="287"/>
        <v>4.885114802277149E-2</v>
      </c>
      <c r="CO196" s="616">
        <f t="shared" si="288"/>
        <v>-1</v>
      </c>
      <c r="CP196" s="616" t="e">
        <f t="shared" si="289"/>
        <v>#DIV/0!</v>
      </c>
      <c r="CQ196" s="616" t="e">
        <f t="shared" si="290"/>
        <v>#DIV/0!</v>
      </c>
      <c r="CZ196" s="3"/>
      <c r="DA196" s="3"/>
      <c r="DC196" s="41"/>
      <c r="DD196" s="41"/>
      <c r="DE196" s="3"/>
      <c r="DF196" s="118"/>
      <c r="DG196" s="700"/>
      <c r="DH196" s="700"/>
      <c r="DI196" s="700"/>
      <c r="DJ196" s="700"/>
      <c r="DK196" s="43"/>
      <c r="DL196" s="43"/>
      <c r="DS196" s="3"/>
      <c r="DT196" s="3"/>
      <c r="DV196" s="41"/>
      <c r="DW196" s="41"/>
      <c r="DY196" s="118"/>
      <c r="DZ196" s="3"/>
      <c r="EA196" s="486"/>
      <c r="EB196" s="486"/>
      <c r="EC196" s="486"/>
      <c r="ED196" s="486"/>
      <c r="EE196" s="43"/>
      <c r="EF196" s="43"/>
      <c r="EL196" s="3"/>
      <c r="EM196" s="3"/>
      <c r="EO196" s="41"/>
      <c r="EP196" s="41"/>
      <c r="FC196" s="3"/>
      <c r="FE196" s="39"/>
      <c r="FF196" s="39"/>
      <c r="FH196" s="41"/>
      <c r="FI196" s="41"/>
      <c r="FM196" s="3"/>
      <c r="FN196" s="3"/>
      <c r="FO196" s="486"/>
      <c r="FP196" s="486"/>
      <c r="FQ196" s="486"/>
      <c r="FR196" s="486"/>
      <c r="FS196" s="43"/>
      <c r="FT196" s="43"/>
      <c r="FX196" s="3"/>
      <c r="FY196" s="3"/>
      <c r="GA196" s="41"/>
      <c r="GB196" s="41"/>
      <c r="GG196" s="3"/>
      <c r="GH196" s="3"/>
      <c r="GI196" s="486"/>
      <c r="GJ196" s="486"/>
      <c r="GK196" s="486"/>
      <c r="GL196" s="486"/>
      <c r="GM196" s="43"/>
      <c r="GN196" s="43"/>
      <c r="GO196" s="393"/>
      <c r="GS196" s="3"/>
      <c r="GT196" s="3"/>
      <c r="GV196" s="41"/>
      <c r="GW196" s="41"/>
      <c r="HA196" s="3"/>
      <c r="HB196" s="3"/>
      <c r="HC196" s="43"/>
      <c r="HD196" s="43"/>
      <c r="HE196" s="43"/>
      <c r="HF196" s="43"/>
      <c r="HG196" s="43"/>
    </row>
    <row r="197" spans="1:215">
      <c r="A197" s="631" t="s">
        <v>82</v>
      </c>
      <c r="B197" s="631"/>
      <c r="C197" s="618">
        <f t="shared" si="245"/>
        <v>0.57387163715223877</v>
      </c>
      <c r="D197" s="618">
        <f t="shared" si="246"/>
        <v>0.500316654231165</v>
      </c>
      <c r="E197" s="618">
        <f t="shared" si="247"/>
        <v>0.79020871164169226</v>
      </c>
      <c r="F197" s="618">
        <f t="shared" si="248"/>
        <v>1.2679994083335293</v>
      </c>
      <c r="G197" s="618">
        <f t="shared" si="249"/>
        <v>1.2174611798812995</v>
      </c>
      <c r="H197" s="618">
        <f t="shared" si="250"/>
        <v>1.2986160166062475</v>
      </c>
      <c r="I197" s="618">
        <f t="shared" si="251"/>
        <v>1.215848789782471</v>
      </c>
      <c r="J197" s="618">
        <f t="shared" si="252"/>
        <v>1.492379249072324</v>
      </c>
      <c r="K197" s="618">
        <f t="shared" si="253"/>
        <v>0.91301300059935553</v>
      </c>
      <c r="L197" s="618">
        <f t="shared" si="254"/>
        <v>0.75652506029524369</v>
      </c>
      <c r="M197" s="618">
        <f t="shared" si="255"/>
        <v>1.5693931056544113</v>
      </c>
      <c r="N197" s="618">
        <f t="shared" si="256"/>
        <v>1.3502529237131651</v>
      </c>
      <c r="O197" s="618">
        <f t="shared" si="257"/>
        <v>1.7050535031078093</v>
      </c>
      <c r="P197" s="618">
        <f t="shared" si="258"/>
        <v>1.7890627575265994</v>
      </c>
      <c r="Q197" s="618">
        <f t="shared" si="259"/>
        <v>1.947697506177593</v>
      </c>
      <c r="R197" s="618">
        <f t="shared" si="260"/>
        <v>2.1243992457546677</v>
      </c>
      <c r="S197" s="618">
        <f t="shared" si="261"/>
        <v>2.0837230894338279</v>
      </c>
      <c r="T197" s="618">
        <f t="shared" si="262"/>
        <v>-1</v>
      </c>
      <c r="U197" s="618">
        <f t="shared" si="263"/>
        <v>2.2826043282244619</v>
      </c>
      <c r="V197" s="618">
        <f t="shared" si="264"/>
        <v>2.5442961547998029</v>
      </c>
      <c r="W197" s="618">
        <f t="shared" si="265"/>
        <v>2.4143388070094658</v>
      </c>
      <c r="Y197" s="631" t="s">
        <v>82</v>
      </c>
      <c r="Z197" s="631"/>
      <c r="AA197" s="618">
        <f t="shared" ref="AA197:AU197" si="327">IFERROR((AA99-Z99)/Z99,0)</f>
        <v>0.57387163715223877</v>
      </c>
      <c r="AB197" s="618">
        <f t="shared" si="327"/>
        <v>-4.6735058428376032E-2</v>
      </c>
      <c r="AC197" s="618">
        <f t="shared" si="327"/>
        <v>0.19322058219708427</v>
      </c>
      <c r="AD197" s="618">
        <f t="shared" si="327"/>
        <v>0.26689105777710359</v>
      </c>
      <c r="AE197" s="618">
        <f t="shared" si="327"/>
        <v>-2.2283175324707884E-2</v>
      </c>
      <c r="AF197" s="618">
        <f t="shared" si="327"/>
        <v>3.6598086794598229E-2</v>
      </c>
      <c r="AG197" s="618">
        <f t="shared" si="327"/>
        <v>-3.6007417605127767E-2</v>
      </c>
      <c r="AH197" s="618">
        <f t="shared" si="327"/>
        <v>0.12479662897800883</v>
      </c>
      <c r="AI197" s="618">
        <f t="shared" si="327"/>
        <v>-0.2324550923334045</v>
      </c>
      <c r="AJ197" s="618">
        <f t="shared" si="327"/>
        <v>-8.1801817475931154E-2</v>
      </c>
      <c r="AK197" s="618">
        <f t="shared" si="327"/>
        <v>0.46277053697288983</v>
      </c>
      <c r="AL197" s="618">
        <f t="shared" si="327"/>
        <v>-8.5288693839408569E-2</v>
      </c>
      <c r="AM197" s="618">
        <f t="shared" si="327"/>
        <v>0.15096272227335206</v>
      </c>
      <c r="AN197" s="618">
        <f t="shared" si="327"/>
        <v>3.1056411387897807E-2</v>
      </c>
      <c r="AO197" s="618">
        <f t="shared" si="327"/>
        <v>5.6877439642725743E-2</v>
      </c>
      <c r="AP197" s="618">
        <f t="shared" si="327"/>
        <v>5.994568275976566E-2</v>
      </c>
      <c r="AQ197" s="618">
        <f t="shared" si="327"/>
        <v>-1.3018872788459708E-2</v>
      </c>
      <c r="AR197" s="618">
        <f t="shared" si="327"/>
        <v>-1</v>
      </c>
      <c r="AS197" s="618">
        <f t="shared" si="327"/>
        <v>0</v>
      </c>
      <c r="AT197" s="618">
        <f t="shared" si="327"/>
        <v>7.972079495699938E-2</v>
      </c>
      <c r="AU197" s="618">
        <f t="shared" si="327"/>
        <v>-3.6666616477391237E-2</v>
      </c>
      <c r="AV197" s="565"/>
      <c r="AW197" s="631" t="s">
        <v>82</v>
      </c>
      <c r="AX197" s="631"/>
      <c r="AY197" s="618">
        <f t="shared" ref="AY197:BS197" si="328">(AY99-$AX99)/$AX99</f>
        <v>2.0054285290158243E-2</v>
      </c>
      <c r="AZ197" s="618">
        <f t="shared" si="328"/>
        <v>5.5313746442915684E-3</v>
      </c>
      <c r="BA197" s="618">
        <f t="shared" si="328"/>
        <v>7.7390045304119054E-2</v>
      </c>
      <c r="BB197" s="618">
        <f t="shared" si="328"/>
        <v>0.12406478811023489</v>
      </c>
      <c r="BC197" s="618">
        <f t="shared" si="328"/>
        <v>0.14116685719955199</v>
      </c>
      <c r="BD197" s="618">
        <f t="shared" si="328"/>
        <v>0.18293138088646002</v>
      </c>
      <c r="BE197" s="618">
        <f t="shared" si="328"/>
        <v>0.18807211707485694</v>
      </c>
      <c r="BF197" s="618">
        <f t="shared" si="328"/>
        <v>0.4306331892653889</v>
      </c>
      <c r="BG197" s="618">
        <f t="shared" si="328"/>
        <v>0.32212861674583115</v>
      </c>
      <c r="BH197" s="618">
        <f t="shared" si="328"/>
        <v>0.35607242647182635</v>
      </c>
      <c r="BI197" s="618">
        <f t="shared" si="328"/>
        <v>0.37621018363564401</v>
      </c>
      <c r="BJ197" s="618">
        <f t="shared" si="328"/>
        <v>0.35561637790466555</v>
      </c>
      <c r="BK197" s="618">
        <f t="shared" si="328"/>
        <v>0.28251803475721587</v>
      </c>
      <c r="BL197" s="618">
        <f t="shared" si="328"/>
        <v>0.33352328554041349</v>
      </c>
      <c r="BM197" s="618">
        <f t="shared" si="328"/>
        <v>0.39687798573942967</v>
      </c>
      <c r="BN197" s="618">
        <f t="shared" si="328"/>
        <v>0.3635116421907435</v>
      </c>
      <c r="BO197" s="618">
        <f t="shared" si="328"/>
        <v>0.37018687014250296</v>
      </c>
      <c r="BP197" s="618">
        <f t="shared" si="328"/>
        <v>-1</v>
      </c>
      <c r="BQ197" s="618">
        <f t="shared" si="328"/>
        <v>0.55688856739567338</v>
      </c>
      <c r="BR197" s="618">
        <f t="shared" si="328"/>
        <v>0.55679613024043872</v>
      </c>
      <c r="BS197" s="618">
        <f t="shared" si="328"/>
        <v>0.53065782994091215</v>
      </c>
      <c r="BU197" s="631" t="s">
        <v>82</v>
      </c>
      <c r="BV197" s="631"/>
      <c r="BW197" s="618">
        <f t="shared" si="293"/>
        <v>2.0054285290158243E-2</v>
      </c>
      <c r="BX197" s="618">
        <f t="shared" si="294"/>
        <v>-1.4237389965707146E-2</v>
      </c>
      <c r="BY197" s="618">
        <f t="shared" si="295"/>
        <v>7.1463379932075827E-2</v>
      </c>
      <c r="BZ197" s="618">
        <f t="shared" si="284"/>
        <v>4.3322047581143899E-2</v>
      </c>
      <c r="CA197" s="618">
        <f t="shared" si="296"/>
        <v>1.5214486985282154E-2</v>
      </c>
      <c r="CB197" s="618">
        <f t="shared" si="297"/>
        <v>3.6598086794598181E-2</v>
      </c>
      <c r="CC197" s="618">
        <f t="shared" si="298"/>
        <v>4.3457602625644751E-3</v>
      </c>
      <c r="CD197" s="618">
        <f t="shared" si="299"/>
        <v>0.2041635930213897</v>
      </c>
      <c r="CE197" s="618">
        <f t="shared" si="300"/>
        <v>-7.5843740613394703E-2</v>
      </c>
      <c r="CF197" s="618">
        <f t="shared" si="301"/>
        <v>2.5673606407175014E-2</v>
      </c>
      <c r="CG197" s="618">
        <f t="shared" si="302"/>
        <v>1.4850060196424236E-2</v>
      </c>
      <c r="CH197" s="618">
        <f t="shared" si="303"/>
        <v>-1.4964142814707421E-2</v>
      </c>
      <c r="CI197" s="618">
        <f t="shared" si="304"/>
        <v>-5.392258779023866E-2</v>
      </c>
      <c r="CJ197" s="618">
        <f t="shared" si="305"/>
        <v>3.9769616801414442E-2</v>
      </c>
      <c r="CK197" s="618">
        <f t="shared" si="306"/>
        <v>4.7509256783125113E-2</v>
      </c>
      <c r="CL197" s="618">
        <f t="shared" si="285"/>
        <v>-2.3886369381806723E-2</v>
      </c>
      <c r="CM197" s="618">
        <f t="shared" si="286"/>
        <v>4.8956149292824838E-3</v>
      </c>
      <c r="CN197" s="618">
        <f t="shared" si="287"/>
        <v>-1</v>
      </c>
      <c r="CO197" s="618" t="e">
        <f t="shared" si="288"/>
        <v>#DIV/0!</v>
      </c>
      <c r="CP197" s="618">
        <f t="shared" si="289"/>
        <v>-5.9373006630344212E-5</v>
      </c>
      <c r="CQ197" s="618">
        <f t="shared" si="290"/>
        <v>-1.6789802975351448E-2</v>
      </c>
      <c r="CZ197" s="3"/>
      <c r="DA197" s="3"/>
      <c r="DC197" s="41"/>
      <c r="DD197" s="41"/>
      <c r="DE197" s="3"/>
      <c r="DF197" s="118"/>
      <c r="DG197" s="700"/>
      <c r="DH197" s="700"/>
      <c r="DI197" s="700"/>
      <c r="DJ197" s="700"/>
      <c r="DK197" s="43"/>
      <c r="DL197" s="43"/>
      <c r="DS197" s="3"/>
      <c r="DT197" s="3"/>
      <c r="DV197" s="41"/>
      <c r="DW197" s="41"/>
      <c r="DY197" s="118"/>
      <c r="DZ197" s="3"/>
      <c r="EA197" s="486"/>
      <c r="EB197" s="486"/>
      <c r="EC197" s="486"/>
      <c r="ED197" s="486"/>
      <c r="EE197" s="43"/>
      <c r="EF197" s="43"/>
      <c r="EL197" s="3"/>
      <c r="EM197" s="3"/>
      <c r="EO197" s="41"/>
      <c r="EP197" s="41"/>
      <c r="FC197" s="3"/>
      <c r="FE197" s="39"/>
      <c r="FF197" s="39"/>
      <c r="FH197" s="41"/>
      <c r="FI197" s="41"/>
      <c r="FM197" s="3"/>
      <c r="FN197" s="3"/>
      <c r="FO197" s="486"/>
      <c r="FP197" s="486"/>
      <c r="FQ197" s="486"/>
      <c r="FR197" s="486"/>
      <c r="FS197" s="43"/>
      <c r="FT197" s="43"/>
      <c r="FX197" s="3"/>
      <c r="FY197" s="3"/>
      <c r="GA197" s="41"/>
      <c r="GB197" s="41"/>
      <c r="GG197" s="3"/>
      <c r="GH197" s="3"/>
      <c r="GI197" s="486"/>
      <c r="GJ197" s="486"/>
      <c r="GK197" s="486"/>
      <c r="GL197" s="486"/>
      <c r="GM197" s="43"/>
      <c r="GN197" s="43"/>
      <c r="GO197" s="393"/>
      <c r="GS197" s="3"/>
      <c r="GT197" s="3"/>
      <c r="GV197" s="41"/>
      <c r="GW197" s="41"/>
      <c r="HA197" s="3"/>
      <c r="HB197" s="3"/>
      <c r="HC197" s="43"/>
      <c r="HD197" s="43"/>
      <c r="HE197" s="43"/>
      <c r="HF197" s="43"/>
      <c r="HG197" s="43"/>
    </row>
    <row r="198" spans="1:215">
      <c r="A198" s="632" t="s">
        <v>83</v>
      </c>
      <c r="B198" s="632"/>
      <c r="C198" s="616">
        <f t="shared" si="245"/>
        <v>4.7413052662856496E-2</v>
      </c>
      <c r="D198" s="616">
        <f t="shared" si="246"/>
        <v>0.2115546543906395</v>
      </c>
      <c r="E198" s="616">
        <f t="shared" si="247"/>
        <v>0.35287169641059574</v>
      </c>
      <c r="F198" s="616">
        <f t="shared" si="248"/>
        <v>0.3681942903305182</v>
      </c>
      <c r="G198" s="616">
        <f t="shared" si="249"/>
        <v>0.3257994837247955</v>
      </c>
      <c r="H198" s="616">
        <f t="shared" si="250"/>
        <v>0.8134409244331291</v>
      </c>
      <c r="I198" s="616">
        <f t="shared" si="251"/>
        <v>0.47141451049032213</v>
      </c>
      <c r="J198" s="616">
        <f t="shared" si="252"/>
        <v>1.2931820186647498</v>
      </c>
      <c r="K198" s="616">
        <f t="shared" si="253"/>
        <v>-1</v>
      </c>
      <c r="L198" s="616">
        <f t="shared" si="254"/>
        <v>-1</v>
      </c>
      <c r="M198" s="616">
        <f t="shared" si="255"/>
        <v>-1</v>
      </c>
      <c r="N198" s="616">
        <f t="shared" si="256"/>
        <v>-1</v>
      </c>
      <c r="O198" s="616">
        <f t="shared" si="257"/>
        <v>-1</v>
      </c>
      <c r="P198" s="616">
        <f t="shared" si="258"/>
        <v>-1</v>
      </c>
      <c r="Q198" s="616">
        <f t="shared" si="259"/>
        <v>-1</v>
      </c>
      <c r="R198" s="616">
        <f t="shared" si="260"/>
        <v>-1</v>
      </c>
      <c r="S198" s="616">
        <f t="shared" si="261"/>
        <v>-1</v>
      </c>
      <c r="T198" s="616">
        <f t="shared" si="262"/>
        <v>-1</v>
      </c>
      <c r="U198" s="616">
        <f t="shared" si="263"/>
        <v>-1</v>
      </c>
      <c r="V198" s="616">
        <f t="shared" si="264"/>
        <v>-1</v>
      </c>
      <c r="W198" s="616">
        <f t="shared" si="265"/>
        <v>-1</v>
      </c>
      <c r="Y198" s="632" t="s">
        <v>83</v>
      </c>
      <c r="Z198" s="632"/>
      <c r="AA198" s="616">
        <f t="shared" ref="AA198:AU198" si="329">IFERROR((AA100-Z100)/Z100,0)</f>
        <v>4.7413052662856496E-2</v>
      </c>
      <c r="AB198" s="616">
        <f t="shared" si="329"/>
        <v>0.15671143424314118</v>
      </c>
      <c r="AC198" s="616">
        <f t="shared" si="329"/>
        <v>0.11664107888804466</v>
      </c>
      <c r="AD198" s="616">
        <f t="shared" si="329"/>
        <v>1.132597714962622E-2</v>
      </c>
      <c r="AE198" s="616">
        <f t="shared" si="329"/>
        <v>-3.0985954922733469E-2</v>
      </c>
      <c r="AF198" s="616">
        <f t="shared" si="329"/>
        <v>0.36780934575288793</v>
      </c>
      <c r="AG198" s="616">
        <f t="shared" si="329"/>
        <v>-0.18860631704874664</v>
      </c>
      <c r="AH198" s="616">
        <f t="shared" si="329"/>
        <v>0.55848810944550797</v>
      </c>
      <c r="AI198" s="616">
        <f t="shared" si="329"/>
        <v>-1</v>
      </c>
      <c r="AJ198" s="616">
        <f t="shared" si="329"/>
        <v>0</v>
      </c>
      <c r="AK198" s="616">
        <f t="shared" si="329"/>
        <v>0</v>
      </c>
      <c r="AL198" s="616">
        <f t="shared" si="329"/>
        <v>0</v>
      </c>
      <c r="AM198" s="616">
        <f t="shared" si="329"/>
        <v>0</v>
      </c>
      <c r="AN198" s="616">
        <f t="shared" si="329"/>
        <v>0</v>
      </c>
      <c r="AO198" s="616">
        <f t="shared" si="329"/>
        <v>0</v>
      </c>
      <c r="AP198" s="616">
        <f t="shared" si="329"/>
        <v>0</v>
      </c>
      <c r="AQ198" s="616">
        <f t="shared" si="329"/>
        <v>0</v>
      </c>
      <c r="AR198" s="616">
        <f t="shared" si="329"/>
        <v>0</v>
      </c>
      <c r="AS198" s="616">
        <f t="shared" si="329"/>
        <v>0</v>
      </c>
      <c r="AT198" s="616">
        <f t="shared" si="329"/>
        <v>0</v>
      </c>
      <c r="AU198" s="616">
        <f t="shared" si="329"/>
        <v>0</v>
      </c>
      <c r="AV198" s="569"/>
      <c r="AW198" s="632" t="s">
        <v>83</v>
      </c>
      <c r="AX198" s="632"/>
      <c r="AY198" s="616">
        <f t="shared" ref="AY198:BS198" si="330">(AY100-$AX100)/$AX100</f>
        <v>4.7413052662856454E-2</v>
      </c>
      <c r="AZ198" s="616">
        <f t="shared" si="330"/>
        <v>0.11059176652475292</v>
      </c>
      <c r="BA198" s="616">
        <f t="shared" si="330"/>
        <v>0.21317298862906689</v>
      </c>
      <c r="BB198" s="616">
        <f t="shared" si="330"/>
        <v>0.27896422791765835</v>
      </c>
      <c r="BC198" s="616">
        <f t="shared" si="330"/>
        <v>0.35462121163185634</v>
      </c>
      <c r="BD198" s="616">
        <f t="shared" si="330"/>
        <v>0.39387151800372505</v>
      </c>
      <c r="BE198" s="616">
        <f t="shared" si="330"/>
        <v>0.37545269458877928</v>
      </c>
      <c r="BF198" s="616">
        <f t="shared" si="330"/>
        <v>0.4608937958964841</v>
      </c>
      <c r="BG198" s="616">
        <f t="shared" si="330"/>
        <v>-1</v>
      </c>
      <c r="BH198" s="616">
        <f t="shared" si="330"/>
        <v>-1</v>
      </c>
      <c r="BI198" s="616">
        <f t="shared" si="330"/>
        <v>-1</v>
      </c>
      <c r="BJ198" s="616">
        <f t="shared" si="330"/>
        <v>-1</v>
      </c>
      <c r="BK198" s="616">
        <f t="shared" si="330"/>
        <v>-1</v>
      </c>
      <c r="BL198" s="616">
        <f t="shared" si="330"/>
        <v>-1</v>
      </c>
      <c r="BM198" s="616">
        <f t="shared" si="330"/>
        <v>-1</v>
      </c>
      <c r="BN198" s="616">
        <f t="shared" si="330"/>
        <v>-1</v>
      </c>
      <c r="BO198" s="616">
        <f t="shared" si="330"/>
        <v>-1</v>
      </c>
      <c r="BP198" s="616">
        <f t="shared" si="330"/>
        <v>-1</v>
      </c>
      <c r="BQ198" s="616">
        <f t="shared" si="330"/>
        <v>-1</v>
      </c>
      <c r="BR198" s="616">
        <f t="shared" si="330"/>
        <v>-1</v>
      </c>
      <c r="BS198" s="616">
        <f t="shared" si="330"/>
        <v>-1</v>
      </c>
      <c r="BU198" s="632" t="s">
        <v>83</v>
      </c>
      <c r="BV198" s="632"/>
      <c r="BW198" s="616">
        <f t="shared" si="293"/>
        <v>4.7413052662856454E-2</v>
      </c>
      <c r="BX198" s="616">
        <f t="shared" si="294"/>
        <v>6.0318814722879491E-2</v>
      </c>
      <c r="BY198" s="616">
        <f t="shared" si="295"/>
        <v>9.2366272825261067E-2</v>
      </c>
      <c r="BZ198" s="616">
        <f t="shared" si="284"/>
        <v>5.4230715574155784E-2</v>
      </c>
      <c r="CA198" s="616">
        <f t="shared" ref="CA198:CF200" si="331">(BC100-BB100)/BB100</f>
        <v>5.9154886479803E-2</v>
      </c>
      <c r="CB198" s="616">
        <f t="shared" si="331"/>
        <v>2.8975115725956738E-2</v>
      </c>
      <c r="CC198" s="616">
        <f t="shared" si="331"/>
        <v>-1.3214147198677877E-2</v>
      </c>
      <c r="CD198" s="616">
        <f t="shared" si="331"/>
        <v>6.2118531334332254E-2</v>
      </c>
      <c r="CE198" s="616">
        <f t="shared" si="331"/>
        <v>-1</v>
      </c>
      <c r="CF198" s="616" t="e">
        <f t="shared" si="331"/>
        <v>#DIV/0!</v>
      </c>
      <c r="CG198" s="616">
        <v>0</v>
      </c>
      <c r="CH198" s="616">
        <v>0</v>
      </c>
      <c r="CI198" s="616">
        <v>0</v>
      </c>
      <c r="CJ198" s="616">
        <v>0</v>
      </c>
      <c r="CK198" s="616">
        <v>0</v>
      </c>
      <c r="CL198" s="616">
        <v>0</v>
      </c>
      <c r="CM198" s="616" t="e">
        <f t="shared" ref="CM198:CQ200" si="332">(BO100-BN100)/BN100</f>
        <v>#DIV/0!</v>
      </c>
      <c r="CN198" s="616" t="e">
        <f t="shared" si="332"/>
        <v>#DIV/0!</v>
      </c>
      <c r="CO198" s="616" t="e">
        <f t="shared" si="332"/>
        <v>#DIV/0!</v>
      </c>
      <c r="CP198" s="616" t="e">
        <f t="shared" si="332"/>
        <v>#DIV/0!</v>
      </c>
      <c r="CQ198" s="616" t="e">
        <f t="shared" si="332"/>
        <v>#DIV/0!</v>
      </c>
      <c r="CZ198" s="3"/>
      <c r="DA198" s="3"/>
      <c r="DC198" s="41"/>
      <c r="DD198" s="41"/>
      <c r="DE198" s="3"/>
      <c r="DF198" s="118"/>
      <c r="DG198" s="700"/>
      <c r="DH198" s="700"/>
      <c r="DI198" s="700"/>
      <c r="DJ198" s="700"/>
      <c r="DK198" s="43"/>
      <c r="DL198" s="43"/>
      <c r="DS198" s="3"/>
      <c r="DT198" s="3"/>
      <c r="DV198" s="41"/>
      <c r="DW198" s="41"/>
      <c r="DY198" s="118"/>
      <c r="DZ198" s="3"/>
      <c r="EA198" s="486"/>
      <c r="EB198" s="486"/>
      <c r="EC198" s="486"/>
      <c r="ED198" s="486"/>
      <c r="EE198" s="43"/>
      <c r="EF198" s="43"/>
      <c r="EL198" s="3"/>
      <c r="EM198" s="3"/>
      <c r="EO198" s="41"/>
      <c r="EP198" s="41"/>
      <c r="FC198" s="3"/>
      <c r="FE198" s="39"/>
      <c r="FF198" s="39"/>
      <c r="FH198" s="41"/>
      <c r="FI198" s="41"/>
      <c r="FM198" s="3"/>
      <c r="FN198" s="3"/>
      <c r="FO198" s="486"/>
      <c r="FP198" s="486"/>
      <c r="FQ198" s="486"/>
      <c r="FR198" s="486"/>
      <c r="FS198" s="43"/>
      <c r="FT198" s="43"/>
      <c r="FX198" s="3"/>
      <c r="FY198" s="3"/>
      <c r="GA198" s="41"/>
      <c r="GB198" s="41"/>
      <c r="GG198" s="3"/>
      <c r="GH198" s="3"/>
      <c r="GI198" s="486"/>
      <c r="GJ198" s="486"/>
      <c r="GK198" s="486"/>
      <c r="GL198" s="486"/>
      <c r="GM198" s="43"/>
      <c r="GN198" s="43"/>
      <c r="GO198" s="393"/>
      <c r="GS198" s="3"/>
      <c r="GT198" s="3"/>
      <c r="GV198" s="41"/>
      <c r="GW198" s="41"/>
      <c r="HA198" s="3"/>
      <c r="HB198" s="3"/>
      <c r="HC198" s="43"/>
      <c r="HD198" s="43"/>
      <c r="HE198" s="43"/>
      <c r="HF198" s="43"/>
      <c r="HG198" s="43"/>
    </row>
    <row r="199" spans="1:215">
      <c r="A199" s="631" t="s">
        <v>84</v>
      </c>
      <c r="B199" s="631"/>
      <c r="C199" s="618">
        <f t="shared" si="245"/>
        <v>0.8673029291906269</v>
      </c>
      <c r="D199" s="618">
        <f t="shared" si="246"/>
        <v>1.1155856077868249</v>
      </c>
      <c r="E199" s="618">
        <f t="shared" si="247"/>
        <v>0.47098047622357769</v>
      </c>
      <c r="F199" s="618">
        <f t="shared" si="248"/>
        <v>1.115208448172585</v>
      </c>
      <c r="G199" s="618">
        <f t="shared" si="249"/>
        <v>0.40501588068829342</v>
      </c>
      <c r="H199" s="618">
        <f t="shared" si="250"/>
        <v>0.34402083198546707</v>
      </c>
      <c r="I199" s="618">
        <f t="shared" si="251"/>
        <v>1.509789009231729</v>
      </c>
      <c r="J199" s="618">
        <f t="shared" si="252"/>
        <v>0.45661425613915657</v>
      </c>
      <c r="K199" s="618">
        <f t="shared" si="253"/>
        <v>1.8496909312566403</v>
      </c>
      <c r="L199" s="618">
        <f t="shared" si="254"/>
        <v>1.9811404351162212</v>
      </c>
      <c r="M199" s="618">
        <f t="shared" si="255"/>
        <v>1.0461051647991708</v>
      </c>
      <c r="N199" s="618">
        <f t="shared" si="256"/>
        <v>1.3427432291389765</v>
      </c>
      <c r="O199" s="618">
        <f t="shared" si="257"/>
        <v>2.5613527863712049</v>
      </c>
      <c r="P199" s="618">
        <f t="shared" si="258"/>
        <v>0.29059254804333556</v>
      </c>
      <c r="Q199" s="618">
        <f t="shared" si="259"/>
        <v>1.7295533643150858</v>
      </c>
      <c r="R199" s="618">
        <f t="shared" si="260"/>
        <v>2.0334905317538667</v>
      </c>
      <c r="S199" s="618">
        <f t="shared" si="261"/>
        <v>2.3573864258151049</v>
      </c>
      <c r="T199" s="618">
        <f t="shared" si="262"/>
        <v>2.2789507231965898</v>
      </c>
      <c r="U199" s="618">
        <f t="shared" si="263"/>
        <v>2.6619782997616701</v>
      </c>
      <c r="V199" s="618">
        <f t="shared" si="264"/>
        <v>2.577741170032513</v>
      </c>
      <c r="W199" s="618">
        <f t="shared" si="265"/>
        <v>2.1338275991490332</v>
      </c>
      <c r="Y199" s="631" t="s">
        <v>84</v>
      </c>
      <c r="Z199" s="631"/>
      <c r="AA199" s="618">
        <f t="shared" ref="AA199:AU199" si="333">IFERROR((AA101-Z101)/Z101,0)</f>
        <v>0.8673029291906269</v>
      </c>
      <c r="AB199" s="618">
        <f t="shared" si="333"/>
        <v>0.13296325663871522</v>
      </c>
      <c r="AC199" s="618">
        <f t="shared" si="333"/>
        <v>-0.30469347550420672</v>
      </c>
      <c r="AD199" s="618">
        <f t="shared" si="333"/>
        <v>0.43795820703407456</v>
      </c>
      <c r="AE199" s="618">
        <f t="shared" si="333"/>
        <v>-0.33575535692373765</v>
      </c>
      <c r="AF199" s="618">
        <f t="shared" si="333"/>
        <v>-4.3412355362806236E-2</v>
      </c>
      <c r="AG199" s="618">
        <f t="shared" si="333"/>
        <v>0.86737359236026146</v>
      </c>
      <c r="AH199" s="618">
        <f t="shared" si="333"/>
        <v>-0.41962680895433502</v>
      </c>
      <c r="AI199" s="618">
        <f t="shared" si="333"/>
        <v>0.95637995388697961</v>
      </c>
      <c r="AJ199" s="618">
        <f t="shared" si="333"/>
        <v>4.6127635252576411E-2</v>
      </c>
      <c r="AK199" s="618">
        <f t="shared" si="333"/>
        <v>-0.31365019215560624</v>
      </c>
      <c r="AL199" s="618">
        <f t="shared" si="333"/>
        <v>0.14497693932995917</v>
      </c>
      <c r="AM199" s="618">
        <f t="shared" si="333"/>
        <v>0.52016351688703921</v>
      </c>
      <c r="AN199" s="618">
        <f t="shared" si="333"/>
        <v>-0.63761170952165946</v>
      </c>
      <c r="AO199" s="618">
        <f t="shared" si="333"/>
        <v>1.1149613551181243</v>
      </c>
      <c r="AP199" s="618">
        <f t="shared" si="333"/>
        <v>0.11135051302250194</v>
      </c>
      <c r="AQ199" s="618">
        <f t="shared" si="333"/>
        <v>0.10677333278965988</v>
      </c>
      <c r="AR199" s="618">
        <f t="shared" si="333"/>
        <v>-2.3362131333890989E-2</v>
      </c>
      <c r="AS199" s="618">
        <f t="shared" si="333"/>
        <v>0.11681406916407516</v>
      </c>
      <c r="AT199" s="618">
        <f t="shared" si="333"/>
        <v>-2.300317556077254E-2</v>
      </c>
      <c r="AU199" s="618">
        <f t="shared" si="333"/>
        <v>-0.12407649122349612</v>
      </c>
      <c r="AV199" s="486"/>
      <c r="AW199" s="631" t="s">
        <v>84</v>
      </c>
      <c r="AX199" s="631"/>
      <c r="AY199" s="618">
        <f t="shared" ref="AY199:BS199" si="334">(AY101-$AX101)/$AX101</f>
        <v>1.9294681648417435E-2</v>
      </c>
      <c r="AZ199" s="618">
        <f t="shared" si="334"/>
        <v>1.3178413525118985E-2</v>
      </c>
      <c r="BA199" s="618">
        <f t="shared" si="334"/>
        <v>0.1711806458313439</v>
      </c>
      <c r="BB199" s="618">
        <f t="shared" si="334"/>
        <v>0.10796632999516345</v>
      </c>
      <c r="BC199" s="618">
        <f t="shared" si="334"/>
        <v>0.45720218482814434</v>
      </c>
      <c r="BD199" s="618">
        <f t="shared" si="334"/>
        <v>0.7318668435012734</v>
      </c>
      <c r="BE199" s="618">
        <f t="shared" si="334"/>
        <v>0.29587065170536236</v>
      </c>
      <c r="BF199" s="618">
        <f t="shared" si="334"/>
        <v>0.35252185978253087</v>
      </c>
      <c r="BG199" s="618">
        <f t="shared" si="334"/>
        <v>0.75815086020662725</v>
      </c>
      <c r="BH199" s="618">
        <f t="shared" si="334"/>
        <v>0.77966753195335559</v>
      </c>
      <c r="BI199" s="618">
        <f t="shared" si="334"/>
        <v>0.8855318814613331</v>
      </c>
      <c r="BJ199" s="618">
        <f t="shared" si="334"/>
        <v>0.87600173223298627</v>
      </c>
      <c r="BK199" s="618">
        <f t="shared" si="334"/>
        <v>0.78120377845062716</v>
      </c>
      <c r="BL199" s="618">
        <f t="shared" si="334"/>
        <v>0.7739933237932396</v>
      </c>
      <c r="BM199" s="618">
        <f t="shared" si="334"/>
        <v>0.56351401126150591</v>
      </c>
      <c r="BN199" s="618">
        <f t="shared" si="334"/>
        <v>1.014993115777908</v>
      </c>
      <c r="BO199" s="618">
        <f t="shared" si="334"/>
        <v>1.0457590314152938</v>
      </c>
      <c r="BP199" s="618">
        <f t="shared" si="334"/>
        <v>0.9929841576758206</v>
      </c>
      <c r="BQ199" s="618">
        <f t="shared" si="334"/>
        <v>1.1277164546898495</v>
      </c>
      <c r="BR199" s="618">
        <f t="shared" si="334"/>
        <v>1.1420360150316717</v>
      </c>
      <c r="BS199" s="618">
        <f t="shared" si="334"/>
        <v>1.0911067321787171</v>
      </c>
      <c r="BU199" s="631" t="s">
        <v>84</v>
      </c>
      <c r="BV199" s="631"/>
      <c r="BW199" s="618">
        <f t="shared" si="293"/>
        <v>1.9294681648417435E-2</v>
      </c>
      <c r="BX199" s="618">
        <f t="shared" si="294"/>
        <v>-6.0004905680535276E-3</v>
      </c>
      <c r="BY199" s="618">
        <f t="shared" si="295"/>
        <v>0.15594709697425635</v>
      </c>
      <c r="BZ199" s="618">
        <f t="shared" si="284"/>
        <v>-5.3974863793372185E-2</v>
      </c>
      <c r="CA199" s="618">
        <f t="shared" si="331"/>
        <v>0.31520439329099958</v>
      </c>
      <c r="CB199" s="618">
        <f t="shared" si="331"/>
        <v>0.18848767970075597</v>
      </c>
      <c r="CC199" s="618">
        <f t="shared" si="331"/>
        <v>-0.25174925741661991</v>
      </c>
      <c r="CD199" s="618">
        <f t="shared" si="331"/>
        <v>4.3716715092371038E-2</v>
      </c>
      <c r="CE199" s="618">
        <f t="shared" si="331"/>
        <v>0.29990568913194254</v>
      </c>
      <c r="CF199" s="618">
        <f t="shared" si="331"/>
        <v>1.2238239751621496E-2</v>
      </c>
      <c r="CG199" s="618">
        <f t="shared" ref="CG199:CL200" si="335">(BI101-BH101)/BH101</f>
        <v>5.9485464339387777E-2</v>
      </c>
      <c r="CH199" s="618">
        <f t="shared" si="335"/>
        <v>-5.0543559204954056E-3</v>
      </c>
      <c r="CI199" s="618">
        <f t="shared" si="335"/>
        <v>-5.0531911646756342E-2</v>
      </c>
      <c r="CJ199" s="618">
        <f t="shared" si="335"/>
        <v>-4.0480795878725679E-3</v>
      </c>
      <c r="CK199" s="618">
        <f t="shared" si="335"/>
        <v>-0.11864718412901157</v>
      </c>
      <c r="CL199" s="618">
        <f t="shared" si="335"/>
        <v>0.28875923161835348</v>
      </c>
      <c r="CM199" s="618">
        <f t="shared" si="332"/>
        <v>1.5268496649681249E-2</v>
      </c>
      <c r="CN199" s="618">
        <f t="shared" si="332"/>
        <v>-2.5797209216259744E-2</v>
      </c>
      <c r="CO199" s="618">
        <f t="shared" si="332"/>
        <v>6.7603295538059383E-2</v>
      </c>
      <c r="CP199" s="618">
        <f t="shared" si="332"/>
        <v>6.7300134424676172E-3</v>
      </c>
      <c r="CQ199" s="618">
        <f t="shared" si="332"/>
        <v>-2.3776109503089532E-2</v>
      </c>
    </row>
    <row r="200" spans="1:215">
      <c r="A200" s="632" t="s">
        <v>85</v>
      </c>
      <c r="B200" s="632"/>
      <c r="C200" s="616">
        <f t="shared" si="245"/>
        <v>-1.909466935183322E-2</v>
      </c>
      <c r="D200" s="616">
        <f t="shared" si="246"/>
        <v>-1.266649246076137E-2</v>
      </c>
      <c r="E200" s="616">
        <f t="shared" si="247"/>
        <v>-0.2162176346599565</v>
      </c>
      <c r="F200" s="616">
        <f t="shared" si="248"/>
        <v>-3.4354707389240946E-3</v>
      </c>
      <c r="G200" s="616">
        <f t="shared" si="249"/>
        <v>-4.8370665196528467E-2</v>
      </c>
      <c r="H200" s="616">
        <f t="shared" si="250"/>
        <v>-9.9378374911071432E-2</v>
      </c>
      <c r="I200" s="616">
        <f t="shared" si="251"/>
        <v>1.5228727205215077E-2</v>
      </c>
      <c r="J200" s="616">
        <f t="shared" si="252"/>
        <v>-1.1066172712021365E-2</v>
      </c>
      <c r="K200" s="616">
        <f t="shared" si="253"/>
        <v>-7.638734567463433E-2</v>
      </c>
      <c r="L200" s="616">
        <f t="shared" si="254"/>
        <v>-0.11825770348915085</v>
      </c>
      <c r="M200" s="616">
        <f t="shared" si="255"/>
        <v>-1.6995267546332831E-2</v>
      </c>
      <c r="N200" s="616">
        <f t="shared" si="256"/>
        <v>-1.2824097320790916E-2</v>
      </c>
      <c r="O200" s="616">
        <f t="shared" si="257"/>
        <v>7.6601845889134629E-2</v>
      </c>
      <c r="P200" s="616">
        <f t="shared" si="258"/>
        <v>0.33052528754218691</v>
      </c>
      <c r="Q200" s="616">
        <f t="shared" si="259"/>
        <v>4.5334249963199298E-2</v>
      </c>
      <c r="R200" s="616">
        <f t="shared" si="260"/>
        <v>0.28069630457580502</v>
      </c>
      <c r="S200" s="616">
        <f t="shared" si="261"/>
        <v>-0.6665892301454388</v>
      </c>
      <c r="T200" s="616">
        <f t="shared" si="262"/>
        <v>-0.81008856027224874</v>
      </c>
      <c r="U200" s="616">
        <f t="shared" si="263"/>
        <v>-0.8592465668145316</v>
      </c>
      <c r="V200" s="616">
        <f t="shared" si="264"/>
        <v>-0.85340341916388951</v>
      </c>
      <c r="W200" s="616">
        <f t="shared" si="265"/>
        <v>-0.86866261664204358</v>
      </c>
      <c r="Y200" s="632" t="s">
        <v>85</v>
      </c>
      <c r="Z200" s="632"/>
      <c r="AA200" s="616">
        <f t="shared" ref="AA200:AU200" si="336">IFERROR((AA102-Z102)/Z102,0)</f>
        <v>-1.909466935183322E-2</v>
      </c>
      <c r="AB200" s="616">
        <f t="shared" si="336"/>
        <v>6.5533101821602033E-3</v>
      </c>
      <c r="AC200" s="616">
        <f t="shared" si="336"/>
        <v>-0.206162497924852</v>
      </c>
      <c r="AD200" s="616">
        <f t="shared" si="336"/>
        <v>0.27148118320921522</v>
      </c>
      <c r="AE200" s="616">
        <f t="shared" si="336"/>
        <v>-4.5090100177378911E-2</v>
      </c>
      <c r="AF200" s="616">
        <f t="shared" si="336"/>
        <v>-5.3600396550487775E-2</v>
      </c>
      <c r="AG200" s="616">
        <f t="shared" si="336"/>
        <v>0.12725333139204831</v>
      </c>
      <c r="AH200" s="616">
        <f t="shared" si="336"/>
        <v>-2.5900468744243163E-2</v>
      </c>
      <c r="AI200" s="616">
        <f t="shared" si="336"/>
        <v>-6.6052117098418725E-2</v>
      </c>
      <c r="AJ200" s="616">
        <f t="shared" si="336"/>
        <v>-4.5333243994041948E-2</v>
      </c>
      <c r="AK200" s="616">
        <f t="shared" si="336"/>
        <v>0.11484357316590638</v>
      </c>
      <c r="AL200" s="616">
        <f t="shared" si="336"/>
        <v>4.2432860064979564E-3</v>
      </c>
      <c r="AM200" s="616">
        <f t="shared" si="336"/>
        <v>9.0587648024250081E-2</v>
      </c>
      <c r="AN200" s="616">
        <f t="shared" si="336"/>
        <v>0.23585640561794147</v>
      </c>
      <c r="AO200" s="616">
        <f t="shared" si="336"/>
        <v>-0.21434469547422641</v>
      </c>
      <c r="AP200" s="616">
        <f t="shared" si="336"/>
        <v>0.2251548293006678</v>
      </c>
      <c r="AQ200" s="616">
        <f t="shared" si="336"/>
        <v>-0.73966445545027615</v>
      </c>
      <c r="AR200" s="616">
        <f t="shared" si="336"/>
        <v>-0.43039800480772256</v>
      </c>
      <c r="AS200" s="616">
        <f t="shared" si="336"/>
        <v>-0.25884700054274551</v>
      </c>
      <c r="AT200" s="616">
        <f t="shared" si="336"/>
        <v>4.1513357922451026E-2</v>
      </c>
      <c r="AU200" s="616">
        <f t="shared" si="336"/>
        <v>-0.10408972290570227</v>
      </c>
      <c r="AW200" s="632" t="s">
        <v>85</v>
      </c>
      <c r="AX200" s="632"/>
      <c r="AY200" s="616">
        <f t="shared" ref="AY200:BS200" si="337">(AY102-$AX102)/$AX102</f>
        <v>-4.9276371833315256E-2</v>
      </c>
      <c r="AZ200" s="616">
        <f t="shared" si="337"/>
        <v>-4.304598500043031E-2</v>
      </c>
      <c r="BA200" s="616">
        <f t="shared" si="337"/>
        <v>1.2887979824056185E-2</v>
      </c>
      <c r="BB200" s="616">
        <f t="shared" si="337"/>
        <v>7.3223339204235502E-2</v>
      </c>
      <c r="BC200" s="616">
        <f t="shared" si="337"/>
        <v>0.14308139032606326</v>
      </c>
      <c r="BD200" s="616">
        <f t="shared" si="337"/>
        <v>0.13155024690660255</v>
      </c>
      <c r="BE200" s="616">
        <f t="shared" si="337"/>
        <v>0.13887837987764509</v>
      </c>
      <c r="BF200" s="616">
        <f t="shared" si="337"/>
        <v>0.21010783575074529</v>
      </c>
      <c r="BG200" s="616">
        <f t="shared" si="337"/>
        <v>0.224090195434795</v>
      </c>
      <c r="BH200" s="616">
        <f t="shared" si="337"/>
        <v>0.23038858674420751</v>
      </c>
      <c r="BI200" s="616">
        <f t="shared" si="337"/>
        <v>0.28458993668398513</v>
      </c>
      <c r="BJ200" s="616">
        <f t="shared" si="337"/>
        <v>0.25538866170754476</v>
      </c>
      <c r="BK200" s="616">
        <f t="shared" si="337"/>
        <v>0.25797713159946811</v>
      </c>
      <c r="BL200" s="616">
        <f t="shared" si="337"/>
        <v>0.28492551784249059</v>
      </c>
      <c r="BM200" s="616">
        <f t="shared" si="337"/>
        <v>0.28342721289084261</v>
      </c>
      <c r="BN200" s="616">
        <f t="shared" si="337"/>
        <v>0.36419288219435181</v>
      </c>
      <c r="BO200" s="616">
        <f t="shared" si="337"/>
        <v>1.5368580868213491</v>
      </c>
      <c r="BP200" s="616">
        <f t="shared" si="337"/>
        <v>1.7226668255323654</v>
      </c>
      <c r="BQ200" s="616">
        <f t="shared" si="337"/>
        <v>1.7957410584155624</v>
      </c>
      <c r="BR200" s="616">
        <f t="shared" si="337"/>
        <v>1.8763966023334133</v>
      </c>
      <c r="BS200" s="616">
        <f t="shared" si="337"/>
        <v>1.6025007656161219</v>
      </c>
      <c r="BU200" s="632" t="s">
        <v>85</v>
      </c>
      <c r="BV200" s="632"/>
      <c r="BW200" s="616">
        <f t="shared" si="293"/>
        <v>-4.9276371833315256E-2</v>
      </c>
      <c r="BX200" s="616">
        <f t="shared" si="294"/>
        <v>6.5533101821601157E-3</v>
      </c>
      <c r="BY200" s="616">
        <f t="shared" si="295"/>
        <v>5.8450002766864038E-2</v>
      </c>
      <c r="BZ200" s="616">
        <f t="shared" si="284"/>
        <v>5.956765267434596E-2</v>
      </c>
      <c r="CA200" s="616">
        <f t="shared" si="331"/>
        <v>6.5091811340615743E-2</v>
      </c>
      <c r="CB200" s="616">
        <f t="shared" si="331"/>
        <v>-1.0087771104533041E-2</v>
      </c>
      <c r="CC200" s="616">
        <f t="shared" si="331"/>
        <v>6.476188742900249E-3</v>
      </c>
      <c r="CD200" s="616">
        <f t="shared" si="331"/>
        <v>6.2543513979739188E-2</v>
      </c>
      <c r="CE200" s="616">
        <f t="shared" si="331"/>
        <v>1.1554639405648609E-2</v>
      </c>
      <c r="CF200" s="616">
        <f t="shared" si="331"/>
        <v>5.1453653765892032E-3</v>
      </c>
      <c r="CG200" s="616">
        <f t="shared" si="335"/>
        <v>4.4052221000523487E-2</v>
      </c>
      <c r="CH200" s="616">
        <f t="shared" si="335"/>
        <v>-2.2731981734046534E-2</v>
      </c>
      <c r="CI200" s="616">
        <f t="shared" si="335"/>
        <v>2.0618872631863469E-3</v>
      </c>
      <c r="CJ200" s="616">
        <f t="shared" si="335"/>
        <v>2.1422000103259974E-2</v>
      </c>
      <c r="CK200" s="616">
        <f t="shared" si="335"/>
        <v>-1.1660636595993536E-3</v>
      </c>
      <c r="CL200" s="616">
        <f t="shared" si="335"/>
        <v>6.2929684279944012E-2</v>
      </c>
      <c r="CM200" s="616">
        <f t="shared" si="332"/>
        <v>0.85960366743793915</v>
      </c>
      <c r="CN200" s="616">
        <f t="shared" si="332"/>
        <v>7.3243647201342729E-2</v>
      </c>
      <c r="CO200" s="616">
        <f t="shared" si="332"/>
        <v>2.6839212274498106E-2</v>
      </c>
      <c r="CP200" s="616">
        <f t="shared" si="332"/>
        <v>2.8849432845387019E-2</v>
      </c>
      <c r="CQ200" s="616">
        <f t="shared" si="332"/>
        <v>-9.5221860745871939E-2</v>
      </c>
    </row>
    <row r="201" spans="1:215">
      <c r="A201" s="631" t="s">
        <v>86</v>
      </c>
      <c r="B201" s="631"/>
      <c r="C201" s="618">
        <f t="shared" si="245"/>
        <v>1.1237004524514156</v>
      </c>
      <c r="D201" s="618">
        <f t="shared" si="246"/>
        <v>1.1751175255790964</v>
      </c>
      <c r="E201" s="618">
        <f t="shared" si="247"/>
        <v>2.3528905310763717</v>
      </c>
      <c r="F201" s="618">
        <f t="shared" si="248"/>
        <v>1.2753971942913065</v>
      </c>
      <c r="G201" s="618">
        <f t="shared" si="249"/>
        <v>1.9008916646564251</v>
      </c>
      <c r="H201" s="618">
        <f t="shared" si="250"/>
        <v>1.2935001539550763</v>
      </c>
      <c r="I201" s="618">
        <f t="shared" si="251"/>
        <v>2.5537308120002589</v>
      </c>
      <c r="J201" s="618">
        <f t="shared" si="252"/>
        <v>2.311655085714734</v>
      </c>
      <c r="K201" s="618">
        <f t="shared" si="253"/>
        <v>-1</v>
      </c>
      <c r="L201" s="618">
        <f t="shared" si="254"/>
        <v>-1</v>
      </c>
      <c r="M201" s="618">
        <f t="shared" si="255"/>
        <v>-1</v>
      </c>
      <c r="N201" s="618">
        <f t="shared" si="256"/>
        <v>-1</v>
      </c>
      <c r="O201" s="618">
        <f t="shared" si="257"/>
        <v>3.4037310081213711E-2</v>
      </c>
      <c r="P201" s="618">
        <f t="shared" si="258"/>
        <v>-1</v>
      </c>
      <c r="Q201" s="618">
        <f t="shared" si="259"/>
        <v>-1</v>
      </c>
      <c r="R201" s="618">
        <f t="shared" si="260"/>
        <v>-1</v>
      </c>
      <c r="S201" s="618">
        <f t="shared" si="261"/>
        <v>-1</v>
      </c>
      <c r="T201" s="618">
        <f t="shared" si="262"/>
        <v>-1</v>
      </c>
      <c r="U201" s="618">
        <f t="shared" si="263"/>
        <v>-1</v>
      </c>
      <c r="V201" s="618">
        <f t="shared" si="264"/>
        <v>-1</v>
      </c>
      <c r="W201" s="618">
        <f t="shared" si="265"/>
        <v>-1</v>
      </c>
      <c r="Y201" s="631" t="s">
        <v>86</v>
      </c>
      <c r="Z201" s="631"/>
      <c r="AA201" s="618">
        <f t="shared" ref="AA201:AU201" si="338">IFERROR((AA103-Z103)/Z103,0)</f>
        <v>1.1237004524514156</v>
      </c>
      <c r="AB201" s="618">
        <f t="shared" si="338"/>
        <v>2.4211076033971424E-2</v>
      </c>
      <c r="AC201" s="618">
        <f t="shared" si="338"/>
        <v>0.54147557161708237</v>
      </c>
      <c r="AD201" s="618">
        <f t="shared" si="338"/>
        <v>-0.32136251595400567</v>
      </c>
      <c r="AE201" s="618">
        <f t="shared" si="338"/>
        <v>0.27489463023616612</v>
      </c>
      <c r="AF201" s="618">
        <f t="shared" si="338"/>
        <v>-0.20938097003125644</v>
      </c>
      <c r="AG201" s="618">
        <f t="shared" si="338"/>
        <v>0.54947921231744856</v>
      </c>
      <c r="AH201" s="618">
        <f t="shared" si="338"/>
        <v>-6.8118757185570269E-2</v>
      </c>
      <c r="AI201" s="618">
        <f t="shared" si="338"/>
        <v>-1</v>
      </c>
      <c r="AJ201" s="618">
        <f t="shared" si="338"/>
        <v>0</v>
      </c>
      <c r="AK201" s="618">
        <f t="shared" si="338"/>
        <v>0</v>
      </c>
      <c r="AL201" s="618">
        <f t="shared" si="338"/>
        <v>0</v>
      </c>
      <c r="AM201" s="618">
        <f t="shared" si="338"/>
        <v>0</v>
      </c>
      <c r="AN201" s="618">
        <f t="shared" si="338"/>
        <v>-1</v>
      </c>
      <c r="AO201" s="618">
        <f t="shared" si="338"/>
        <v>0</v>
      </c>
      <c r="AP201" s="618">
        <f t="shared" si="338"/>
        <v>0</v>
      </c>
      <c r="AQ201" s="618">
        <f t="shared" si="338"/>
        <v>0</v>
      </c>
      <c r="AR201" s="618">
        <f t="shared" si="338"/>
        <v>0</v>
      </c>
      <c r="AS201" s="618">
        <f t="shared" si="338"/>
        <v>0</v>
      </c>
      <c r="AT201" s="618">
        <f t="shared" si="338"/>
        <v>0</v>
      </c>
      <c r="AU201" s="618">
        <f t="shared" si="338"/>
        <v>0</v>
      </c>
      <c r="AW201" s="631" t="s">
        <v>86</v>
      </c>
      <c r="AX201" s="631"/>
      <c r="AY201" s="618">
        <f t="shared" ref="AY201:BS201" si="339">(AY103-$AX103)/$AX103</f>
        <v>4.2543858476149631E-2</v>
      </c>
      <c r="AZ201" s="618">
        <f t="shared" si="339"/>
        <v>2.8237375728300332E-2</v>
      </c>
      <c r="BA201" s="618">
        <f t="shared" si="339"/>
        <v>0.14303086286694491</v>
      </c>
      <c r="BB201" s="618">
        <f t="shared" si="339"/>
        <v>0.29077077203434126</v>
      </c>
      <c r="BC201" s="618">
        <f t="shared" si="339"/>
        <v>0.34495886270434273</v>
      </c>
      <c r="BD201" s="618">
        <f t="shared" si="339"/>
        <v>0.37610009237304592</v>
      </c>
      <c r="BE201" s="618">
        <f t="shared" si="339"/>
        <v>0.42149232480010373</v>
      </c>
      <c r="BF201" s="618">
        <f t="shared" si="339"/>
        <v>0.48561887533810849</v>
      </c>
      <c r="BG201" s="618">
        <f t="shared" si="339"/>
        <v>-1</v>
      </c>
      <c r="BH201" s="618">
        <f t="shared" si="339"/>
        <v>-1</v>
      </c>
      <c r="BI201" s="618">
        <f t="shared" si="339"/>
        <v>-1</v>
      </c>
      <c r="BJ201" s="618">
        <f t="shared" si="339"/>
        <v>-1</v>
      </c>
      <c r="BK201" s="618">
        <f t="shared" si="339"/>
        <v>1.7551379230666782</v>
      </c>
      <c r="BL201" s="618">
        <f t="shared" si="339"/>
        <v>-1</v>
      </c>
      <c r="BM201" s="618">
        <f t="shared" si="339"/>
        <v>-1</v>
      </c>
      <c r="BN201" s="618">
        <f t="shared" si="339"/>
        <v>-1</v>
      </c>
      <c r="BO201" s="618">
        <f t="shared" si="339"/>
        <v>-1</v>
      </c>
      <c r="BP201" s="618">
        <f t="shared" si="339"/>
        <v>-1</v>
      </c>
      <c r="BQ201" s="618">
        <f t="shared" si="339"/>
        <v>-1</v>
      </c>
      <c r="BR201" s="618">
        <f t="shared" si="339"/>
        <v>-1</v>
      </c>
      <c r="BS201" s="618">
        <f t="shared" si="339"/>
        <v>-1</v>
      </c>
      <c r="BU201" s="631" t="s">
        <v>86</v>
      </c>
      <c r="BV201" s="631"/>
      <c r="BW201" s="618">
        <f t="shared" si="293"/>
        <v>4.2543858476149631E-2</v>
      </c>
      <c r="BX201" s="618">
        <f t="shared" si="294"/>
        <v>-1.3722667522842244E-2</v>
      </c>
      <c r="BY201" s="618">
        <f t="shared" si="295"/>
        <v>0.11164103722385735</v>
      </c>
      <c r="BZ201" s="618">
        <f t="shared" si="284"/>
        <v>0.12925277345253458</v>
      </c>
      <c r="CA201" s="618">
        <f t="shared" ref="CA201:CE202" si="340">(BC103-BB103)/BB103</f>
        <v>4.1981188173789659E-2</v>
      </c>
      <c r="CB201" s="618">
        <f t="shared" si="340"/>
        <v>2.3154038783079783E-2</v>
      </c>
      <c r="CC201" s="618">
        <f t="shared" si="340"/>
        <v>3.2986141544965805E-2</v>
      </c>
      <c r="CD201" s="618">
        <f t="shared" si="340"/>
        <v>4.5112132805235169E-2</v>
      </c>
      <c r="CE201" s="618">
        <f t="shared" si="340"/>
        <v>-1</v>
      </c>
      <c r="CF201" s="618">
        <v>0</v>
      </c>
      <c r="CG201" s="618">
        <v>0</v>
      </c>
      <c r="CH201" s="618">
        <v>0</v>
      </c>
      <c r="CI201" s="618">
        <v>0</v>
      </c>
      <c r="CJ201" s="618">
        <v>0</v>
      </c>
      <c r="CK201" s="618"/>
      <c r="CL201" s="618">
        <v>0</v>
      </c>
      <c r="CM201" s="618"/>
      <c r="CN201" s="618"/>
      <c r="CO201" s="618"/>
      <c r="CP201" s="618"/>
      <c r="CQ201" s="618"/>
    </row>
    <row r="202" spans="1:215">
      <c r="A202" s="632" t="s">
        <v>87</v>
      </c>
      <c r="B202" s="632"/>
      <c r="C202" s="616">
        <f t="shared" si="245"/>
        <v>7.9894314362743857E-2</v>
      </c>
      <c r="D202" s="616">
        <f t="shared" si="246"/>
        <v>-4.6289156292798159E-2</v>
      </c>
      <c r="E202" s="616">
        <f t="shared" si="247"/>
        <v>0.24360172579450437</v>
      </c>
      <c r="F202" s="616">
        <f t="shared" si="248"/>
        <v>0.18796495261251547</v>
      </c>
      <c r="G202" s="616">
        <f t="shared" si="249"/>
        <v>0.28182956375666851</v>
      </c>
      <c r="H202" s="616">
        <f t="shared" si="250"/>
        <v>0.16354653989580403</v>
      </c>
      <c r="I202" s="616">
        <f t="shared" si="251"/>
        <v>0.23489040860546676</v>
      </c>
      <c r="J202" s="616">
        <f t="shared" si="252"/>
        <v>0.35179498273943494</v>
      </c>
      <c r="K202" s="616">
        <f t="shared" si="253"/>
        <v>0.49394515920031346</v>
      </c>
      <c r="L202" s="616">
        <f t="shared" si="254"/>
        <v>0.47444504373063268</v>
      </c>
      <c r="M202" s="616">
        <f t="shared" si="255"/>
        <v>0.51818181477914615</v>
      </c>
      <c r="N202" s="616">
        <f t="shared" si="256"/>
        <v>0.44609399943182171</v>
      </c>
      <c r="O202" s="616">
        <f t="shared" si="257"/>
        <v>0.60225908851190835</v>
      </c>
      <c r="P202" s="616">
        <f t="shared" si="258"/>
        <v>0.5973767983420275</v>
      </c>
      <c r="Q202" s="616">
        <f t="shared" si="259"/>
        <v>0.5834333758656014</v>
      </c>
      <c r="R202" s="616">
        <f t="shared" si="260"/>
        <v>0.74125770998732254</v>
      </c>
      <c r="S202" s="616">
        <f t="shared" si="261"/>
        <v>0.65618346691260254</v>
      </c>
      <c r="T202" s="616">
        <f t="shared" si="262"/>
        <v>0.84755936021188027</v>
      </c>
      <c r="U202" s="616">
        <f t="shared" si="263"/>
        <v>0.96813456016906074</v>
      </c>
      <c r="V202" s="616">
        <f t="shared" si="264"/>
        <v>1.8893449369445707</v>
      </c>
      <c r="W202" s="616">
        <f t="shared" si="265"/>
        <v>2.279795575621038</v>
      </c>
      <c r="Y202" s="632" t="s">
        <v>87</v>
      </c>
      <c r="Z202" s="632"/>
      <c r="AA202" s="616">
        <f t="shared" ref="AA202:AU202" si="341">IFERROR((AA104-Z104)/Z104,0)</f>
        <v>7.9894314362743857E-2</v>
      </c>
      <c r="AB202" s="616">
        <f t="shared" si="341"/>
        <v>-0.1168479813045447</v>
      </c>
      <c r="AC202" s="616">
        <f t="shared" si="341"/>
        <v>0.30396097936818861</v>
      </c>
      <c r="AD202" s="616">
        <f t="shared" si="341"/>
        <v>-4.4738417475614252E-2</v>
      </c>
      <c r="AE202" s="616">
        <f t="shared" si="341"/>
        <v>7.901294641540603E-2</v>
      </c>
      <c r="AF202" s="616">
        <f t="shared" si="341"/>
        <v>-9.2276716971803549E-2</v>
      </c>
      <c r="AG202" s="616">
        <f t="shared" si="341"/>
        <v>6.1315870284012544E-2</v>
      </c>
      <c r="AH202" s="616">
        <f t="shared" si="341"/>
        <v>9.4667974841577907E-2</v>
      </c>
      <c r="AI202" s="616">
        <f t="shared" si="341"/>
        <v>0.10515660900945853</v>
      </c>
      <c r="AJ202" s="616">
        <f t="shared" si="341"/>
        <v>-1.3052765256871195E-2</v>
      </c>
      <c r="AK202" s="616">
        <f t="shared" si="341"/>
        <v>2.966320869976332E-2</v>
      </c>
      <c r="AL202" s="616">
        <f t="shared" si="341"/>
        <v>-4.7482992251366929E-2</v>
      </c>
      <c r="AM202" s="616">
        <f t="shared" si="341"/>
        <v>0.10799096679845482</v>
      </c>
      <c r="AN202" s="616">
        <f t="shared" si="341"/>
        <v>-3.0471290223201574E-3</v>
      </c>
      <c r="AO202" s="616">
        <f t="shared" si="341"/>
        <v>-8.7289501706162408E-3</v>
      </c>
      <c r="AP202" s="616">
        <f t="shared" si="341"/>
        <v>9.967222904812445E-2</v>
      </c>
      <c r="AQ202" s="616">
        <f t="shared" si="341"/>
        <v>-4.8857927569687175E-2</v>
      </c>
      <c r="AR202" s="616">
        <f t="shared" si="341"/>
        <v>0.11555235100615616</v>
      </c>
      <c r="AS202" s="616">
        <f t="shared" si="341"/>
        <v>6.5261881460389332E-2</v>
      </c>
      <c r="AT202" s="616">
        <f t="shared" si="341"/>
        <v>0.46806270029442448</v>
      </c>
      <c r="AU202" s="616">
        <f t="shared" si="341"/>
        <v>0.13513465757721588</v>
      </c>
      <c r="AV202" s="442"/>
      <c r="AW202" s="632" t="s">
        <v>87</v>
      </c>
      <c r="AX202" s="632"/>
      <c r="AY202" s="616">
        <f t="shared" ref="AY202:BS202" si="342">(AY104-$AX104)/$AX104</f>
        <v>6.3532279296641778E-2</v>
      </c>
      <c r="AZ202" s="616">
        <f t="shared" si="342"/>
        <v>-0.15396618703393394</v>
      </c>
      <c r="BA202" s="616">
        <f t="shared" si="342"/>
        <v>-4.3383287850381223E-2</v>
      </c>
      <c r="BB202" s="616">
        <f t="shared" si="342"/>
        <v>-6.5027583592001642E-2</v>
      </c>
      <c r="BC202" s="616">
        <f t="shared" si="342"/>
        <v>6.8191303130557018E-2</v>
      </c>
      <c r="BD202" s="616">
        <f t="shared" si="342"/>
        <v>0.10065213233386866</v>
      </c>
      <c r="BE202" s="616">
        <f t="shared" si="342"/>
        <v>0.16813957570787405</v>
      </c>
      <c r="BF202" s="616">
        <f t="shared" si="342"/>
        <v>0.14813319025323599</v>
      </c>
      <c r="BG202" s="616">
        <f t="shared" si="342"/>
        <v>0.25627007853061162</v>
      </c>
      <c r="BH202" s="616">
        <f t="shared" si="342"/>
        <v>0.22932203764124451</v>
      </c>
      <c r="BI202" s="616">
        <f t="shared" si="342"/>
        <v>0.30803624063656909</v>
      </c>
      <c r="BJ202" s="616">
        <f t="shared" si="342"/>
        <v>0.30371426849676458</v>
      </c>
      <c r="BK202" s="616">
        <f t="shared" si="342"/>
        <v>0.16750533462439779</v>
      </c>
      <c r="BL202" s="616">
        <f t="shared" si="342"/>
        <v>0.27272404018868907</v>
      </c>
      <c r="BM202" s="616">
        <f t="shared" si="342"/>
        <v>0.23912797746151607</v>
      </c>
      <c r="BN202" s="616">
        <f t="shared" si="342"/>
        <v>0.4101256617049015</v>
      </c>
      <c r="BO202" s="616">
        <f t="shared" si="342"/>
        <v>0.23194976825590607</v>
      </c>
      <c r="BP202" s="616">
        <f t="shared" si="342"/>
        <v>0.48941871028039463</v>
      </c>
      <c r="BQ202" s="616">
        <f t="shared" si="342"/>
        <v>0.48774075054169697</v>
      </c>
      <c r="BR202" s="616">
        <f t="shared" si="342"/>
        <v>0.32109535624735885</v>
      </c>
      <c r="BS202" s="616">
        <f t="shared" si="342"/>
        <v>-6.4265146833641734E-2</v>
      </c>
      <c r="BU202" s="632" t="s">
        <v>87</v>
      </c>
      <c r="BV202" s="632"/>
      <c r="BW202" s="616">
        <f t="shared" si="293"/>
        <v>6.3532279296641778E-2</v>
      </c>
      <c r="BX202" s="616">
        <f t="shared" si="294"/>
        <v>-0.20450574990955281</v>
      </c>
      <c r="BY202" s="616">
        <f t="shared" si="295"/>
        <v>0.13070742266891894</v>
      </c>
      <c r="BZ202" s="616">
        <f t="shared" si="284"/>
        <v>-2.2625880843105278E-2</v>
      </c>
      <c r="CA202" s="616">
        <f t="shared" si="340"/>
        <v>0.14248429620454739</v>
      </c>
      <c r="CB202" s="616">
        <f t="shared" si="340"/>
        <v>3.0388591545520378E-2</v>
      </c>
      <c r="CC202" s="616">
        <f t="shared" si="340"/>
        <v>6.1315870284012641E-2</v>
      </c>
      <c r="CD202" s="616">
        <f t="shared" si="340"/>
        <v>-1.7126708032740464E-2</v>
      </c>
      <c r="CE202" s="616">
        <f t="shared" si="340"/>
        <v>9.4184968429947238E-2</v>
      </c>
      <c r="CF202" s="616">
        <f t="shared" ref="CF202:CQ203" si="343">(BH104-BG104)/BG104</f>
        <v>-2.1450833980609246E-2</v>
      </c>
      <c r="CG202" s="616">
        <f t="shared" si="343"/>
        <v>6.4030579933600701E-2</v>
      </c>
      <c r="CH202" s="616">
        <f t="shared" si="343"/>
        <v>-3.3041684974272696E-3</v>
      </c>
      <c r="CI202" s="616">
        <f t="shared" si="343"/>
        <v>-0.10447759694263468</v>
      </c>
      <c r="CJ202" s="616">
        <f t="shared" si="343"/>
        <v>9.0122676482794456E-2</v>
      </c>
      <c r="CK202" s="616">
        <f t="shared" si="343"/>
        <v>-2.6396973472892188E-2</v>
      </c>
      <c r="CL202" s="616">
        <f t="shared" si="343"/>
        <v>0.13799840480859141</v>
      </c>
      <c r="CM202" s="616">
        <f t="shared" si="343"/>
        <v>-0.12635462093043057</v>
      </c>
      <c r="CN202" s="616">
        <f t="shared" si="343"/>
        <v>0.20899305203733434</v>
      </c>
      <c r="CO202" s="616">
        <f t="shared" si="343"/>
        <v>-1.1265869880081054E-3</v>
      </c>
      <c r="CP202" s="616">
        <f t="shared" si="343"/>
        <v>-0.11201238806805643</v>
      </c>
      <c r="CQ202" s="616">
        <f t="shared" si="343"/>
        <v>-0.29169771981913362</v>
      </c>
      <c r="CZ202" s="3"/>
      <c r="DA202" s="3"/>
      <c r="DC202" s="41"/>
      <c r="DD202" s="41"/>
      <c r="DE202" s="3"/>
      <c r="DF202" s="118"/>
      <c r="DG202" s="700"/>
      <c r="DH202" s="700"/>
      <c r="DI202" s="700"/>
      <c r="DJ202" s="700"/>
      <c r="DK202" s="43"/>
      <c r="DL202" s="43"/>
      <c r="DS202" s="3"/>
      <c r="DT202" s="3"/>
      <c r="DV202" s="41"/>
      <c r="DW202" s="41"/>
      <c r="DY202" s="118"/>
      <c r="DZ202" s="3"/>
      <c r="EA202" s="486"/>
      <c r="EB202" s="486"/>
      <c r="EC202" s="486"/>
      <c r="ED202" s="486"/>
      <c r="EE202" s="43"/>
      <c r="EF202" s="43"/>
      <c r="EL202" s="3"/>
      <c r="EM202" s="3"/>
      <c r="EO202" s="41"/>
      <c r="EP202" s="41"/>
      <c r="FC202" s="3"/>
      <c r="FE202" s="39"/>
      <c r="FF202" s="39"/>
      <c r="FH202" s="41"/>
      <c r="FI202" s="41"/>
      <c r="FM202" s="3"/>
      <c r="FN202" s="3"/>
      <c r="FO202" s="486"/>
      <c r="FP202" s="486"/>
      <c r="FQ202" s="486"/>
      <c r="FR202" s="486"/>
      <c r="FS202" s="43"/>
      <c r="FT202" s="43"/>
      <c r="FX202" s="3"/>
      <c r="FY202" s="3"/>
      <c r="GA202" s="41"/>
      <c r="GB202" s="41"/>
      <c r="GG202" s="3"/>
      <c r="GH202" s="3"/>
      <c r="GI202" s="486"/>
      <c r="GJ202" s="486"/>
      <c r="GK202" s="486"/>
      <c r="GL202" s="486"/>
      <c r="GM202" s="43"/>
      <c r="GN202" s="43"/>
      <c r="GO202" s="393"/>
      <c r="GS202" s="3"/>
      <c r="GT202" s="3"/>
      <c r="GV202" s="41"/>
      <c r="GW202" s="41"/>
      <c r="HA202" s="3"/>
      <c r="HB202" s="3"/>
      <c r="HC202" s="43"/>
      <c r="HD202" s="43"/>
      <c r="HE202" s="43"/>
      <c r="HF202" s="43"/>
      <c r="HG202" s="43"/>
    </row>
    <row r="203" spans="1:215">
      <c r="A203" s="631" t="s">
        <v>88</v>
      </c>
      <c r="B203" s="631"/>
      <c r="C203" s="618">
        <f t="shared" si="245"/>
        <v>0</v>
      </c>
      <c r="D203" s="618">
        <f t="shared" si="246"/>
        <v>0</v>
      </c>
      <c r="E203" s="618">
        <f t="shared" si="247"/>
        <v>0</v>
      </c>
      <c r="F203" s="618">
        <f t="shared" si="248"/>
        <v>0</v>
      </c>
      <c r="G203" s="618">
        <f t="shared" si="249"/>
        <v>0</v>
      </c>
      <c r="H203" s="618">
        <f t="shared" si="250"/>
        <v>0</v>
      </c>
      <c r="I203" s="618">
        <f t="shared" si="251"/>
        <v>0</v>
      </c>
      <c r="J203" s="618">
        <f t="shared" si="252"/>
        <v>0</v>
      </c>
      <c r="K203" s="618">
        <f t="shared" si="253"/>
        <v>0</v>
      </c>
      <c r="L203" s="618">
        <f t="shared" si="254"/>
        <v>0</v>
      </c>
      <c r="M203" s="618">
        <f t="shared" si="255"/>
        <v>0</v>
      </c>
      <c r="N203" s="618">
        <f t="shared" si="256"/>
        <v>0</v>
      </c>
      <c r="O203" s="618">
        <f t="shared" si="257"/>
        <v>0</v>
      </c>
      <c r="P203" s="618">
        <f t="shared" si="258"/>
        <v>0</v>
      </c>
      <c r="Q203" s="618">
        <f t="shared" si="259"/>
        <v>0</v>
      </c>
      <c r="R203" s="618">
        <f t="shared" si="260"/>
        <v>0</v>
      </c>
      <c r="S203" s="618">
        <f t="shared" si="261"/>
        <v>0</v>
      </c>
      <c r="T203" s="618">
        <f t="shared" si="262"/>
        <v>0</v>
      </c>
      <c r="U203" s="618">
        <f t="shared" si="263"/>
        <v>0</v>
      </c>
      <c r="V203" s="618">
        <f t="shared" si="264"/>
        <v>0</v>
      </c>
      <c r="W203" s="618">
        <f t="shared" si="265"/>
        <v>0</v>
      </c>
      <c r="Y203" s="631" t="s">
        <v>88</v>
      </c>
      <c r="Z203" s="631"/>
      <c r="AA203" s="618">
        <f t="shared" ref="AA203:AU203" si="344">IFERROR((AA105-Z105)/Z105,0)</f>
        <v>0</v>
      </c>
      <c r="AB203" s="618">
        <f t="shared" si="344"/>
        <v>0</v>
      </c>
      <c r="AC203" s="618">
        <f t="shared" si="344"/>
        <v>0</v>
      </c>
      <c r="AD203" s="618">
        <f t="shared" si="344"/>
        <v>0</v>
      </c>
      <c r="AE203" s="618">
        <f t="shared" si="344"/>
        <v>0</v>
      </c>
      <c r="AF203" s="618">
        <f t="shared" si="344"/>
        <v>-0.91888789327838993</v>
      </c>
      <c r="AG203" s="618">
        <f t="shared" si="344"/>
        <v>-2.1858731705559277E-2</v>
      </c>
      <c r="AH203" s="618">
        <f t="shared" si="344"/>
        <v>-0.32300224047796855</v>
      </c>
      <c r="AI203" s="618">
        <f t="shared" si="344"/>
        <v>-0.58235967368253372</v>
      </c>
      <c r="AJ203" s="618">
        <f t="shared" si="344"/>
        <v>2.4825426406673743</v>
      </c>
      <c r="AK203" s="618">
        <f t="shared" si="344"/>
        <v>-0.19085528183787673</v>
      </c>
      <c r="AL203" s="618">
        <f t="shared" si="344"/>
        <v>0.80840036800832327</v>
      </c>
      <c r="AM203" s="618">
        <f t="shared" si="344"/>
        <v>-0.18443088699485904</v>
      </c>
      <c r="AN203" s="618">
        <f t="shared" si="344"/>
        <v>1.0912126308480632</v>
      </c>
      <c r="AO203" s="618">
        <f t="shared" si="344"/>
        <v>5.6206500460325619E-3</v>
      </c>
      <c r="AP203" s="618">
        <f t="shared" si="344"/>
        <v>8.5183049209944572E-2</v>
      </c>
      <c r="AQ203" s="618">
        <f t="shared" si="344"/>
        <v>1.0319818414816335E-2</v>
      </c>
      <c r="AR203" s="618">
        <f t="shared" si="344"/>
        <v>7.3310636381084981E-2</v>
      </c>
      <c r="AS203" s="618">
        <f t="shared" si="344"/>
        <v>-4.6862344905496657E-2</v>
      </c>
      <c r="AT203" s="618">
        <f t="shared" si="344"/>
        <v>-0.25673068455534276</v>
      </c>
      <c r="AU203" s="618">
        <f t="shared" si="344"/>
        <v>0.11773451607032111</v>
      </c>
      <c r="AV203" s="442"/>
      <c r="AW203" s="631" t="s">
        <v>88</v>
      </c>
      <c r="AX203" s="631"/>
      <c r="AY203" s="618">
        <f t="shared" ref="AY203:BS203" si="345">(AY105-$AX105)/$AX105</f>
        <v>4.8675853311981807E-2</v>
      </c>
      <c r="AZ203" s="618">
        <f t="shared" si="345"/>
        <v>4.00153567589763E-2</v>
      </c>
      <c r="BA203" s="618">
        <f t="shared" si="345"/>
        <v>0.12778078279957561</v>
      </c>
      <c r="BB203" s="618">
        <f t="shared" si="345"/>
        <v>0.15264728774682623</v>
      </c>
      <c r="BC203" s="618">
        <f t="shared" si="345"/>
        <v>-1</v>
      </c>
      <c r="BD203" s="618">
        <f t="shared" si="345"/>
        <v>0.18536273757545102</v>
      </c>
      <c r="BE203" s="618">
        <f t="shared" si="345"/>
        <v>0.25220838844270388</v>
      </c>
      <c r="BF203" s="618">
        <f t="shared" si="345"/>
        <v>0.3087795345734432</v>
      </c>
      <c r="BG203" s="618">
        <f t="shared" si="345"/>
        <v>0.3437831735272826</v>
      </c>
      <c r="BH203" s="618">
        <f t="shared" si="345"/>
        <v>0.37876666429943323</v>
      </c>
      <c r="BI203" s="618">
        <f t="shared" si="345"/>
        <v>0.43195590609594614</v>
      </c>
      <c r="BJ203" s="618">
        <f t="shared" si="345"/>
        <v>0.39877574877994032</v>
      </c>
      <c r="BK203" s="618">
        <f t="shared" si="345"/>
        <v>0.28260072800435282</v>
      </c>
      <c r="BL203" s="618">
        <f t="shared" si="345"/>
        <v>0.27374668787565359</v>
      </c>
      <c r="BM203" s="618">
        <f t="shared" si="345"/>
        <v>0.31359407785848314</v>
      </c>
      <c r="BN203" s="618">
        <f t="shared" si="345"/>
        <v>0.32920943483104431</v>
      </c>
      <c r="BO203" s="618">
        <f t="shared" si="345"/>
        <v>0.31805887576349939</v>
      </c>
      <c r="BP203" s="618">
        <f t="shared" si="345"/>
        <v>0.41655132188624699</v>
      </c>
      <c r="BQ203" s="618">
        <f t="shared" si="345"/>
        <v>0.45960714961430993</v>
      </c>
      <c r="BR203" s="618">
        <f t="shared" si="345"/>
        <v>0.46322301847883712</v>
      </c>
      <c r="BS203" s="618">
        <f t="shared" si="345"/>
        <v>0.46839663368736811</v>
      </c>
      <c r="BU203" s="631" t="s">
        <v>88</v>
      </c>
      <c r="BV203" s="631"/>
      <c r="BW203" s="618">
        <f t="shared" si="293"/>
        <v>4.8675853311981807E-2</v>
      </c>
      <c r="BX203" s="618">
        <f t="shared" si="294"/>
        <v>-8.25850669265768E-3</v>
      </c>
      <c r="BY203" s="618">
        <f t="shared" si="295"/>
        <v>8.43885866398211E-2</v>
      </c>
      <c r="BZ203" s="618">
        <f t="shared" si="284"/>
        <v>2.2049058936367594E-2</v>
      </c>
      <c r="CA203" s="618">
        <f>(BC105-BB105)/BB105</f>
        <v>-1</v>
      </c>
      <c r="CB203" s="618">
        <v>0</v>
      </c>
      <c r="CC203" s="618">
        <f>(BE105-BD105)/BD105</f>
        <v>5.6392569757996107E-2</v>
      </c>
      <c r="CD203" s="618">
        <f>(BF105-BE105)/BE105</f>
        <v>4.5177102032588554E-2</v>
      </c>
      <c r="CE203" s="618">
        <f>(BG105-BF105)/BF105</f>
        <v>2.6745252373806264E-2</v>
      </c>
      <c r="CF203" s="618">
        <f t="shared" si="343"/>
        <v>2.6033582992651134E-2</v>
      </c>
      <c r="CG203" s="618">
        <f t="shared" si="343"/>
        <v>3.8577406296328567E-2</v>
      </c>
      <c r="CH203" s="618">
        <f t="shared" si="343"/>
        <v>-2.3171214403149828E-2</v>
      </c>
      <c r="CI203" s="618">
        <f t="shared" si="343"/>
        <v>-8.3054786213529394E-2</v>
      </c>
      <c r="CJ203" s="618">
        <f t="shared" si="343"/>
        <v>-6.9031928139285919E-3</v>
      </c>
      <c r="CK203" s="618">
        <f t="shared" si="343"/>
        <v>3.1283606357624186E-2</v>
      </c>
      <c r="CL203" s="618">
        <f t="shared" si="343"/>
        <v>1.1887505612097784E-2</v>
      </c>
      <c r="CM203" s="618">
        <f t="shared" si="343"/>
        <v>-8.3888654228234695E-3</v>
      </c>
      <c r="CN203" s="618">
        <f t="shared" si="343"/>
        <v>7.4725376789936501E-2</v>
      </c>
      <c r="CO203" s="618">
        <f t="shared" si="343"/>
        <v>3.0394823726351654E-2</v>
      </c>
      <c r="CP203" s="618">
        <f t="shared" si="343"/>
        <v>2.4772890880143095E-3</v>
      </c>
      <c r="CQ203" s="618">
        <f t="shared" si="343"/>
        <v>3.5357666898306822E-3</v>
      </c>
      <c r="CZ203" s="3"/>
      <c r="DA203" s="3"/>
      <c r="DC203" s="41"/>
      <c r="DD203" s="41"/>
      <c r="DE203" s="3"/>
      <c r="DF203" s="118"/>
      <c r="DG203" s="700"/>
      <c r="DH203" s="700"/>
      <c r="DI203" s="700"/>
      <c r="DJ203" s="700"/>
      <c r="DK203" s="43"/>
      <c r="DL203" s="43"/>
      <c r="DS203" s="3"/>
      <c r="DT203" s="3"/>
      <c r="DV203" s="41"/>
      <c r="DW203" s="41"/>
      <c r="DY203" s="118"/>
      <c r="DZ203" s="3"/>
      <c r="EA203" s="486"/>
      <c r="EB203" s="486"/>
      <c r="EC203" s="486"/>
      <c r="ED203" s="486"/>
      <c r="EE203" s="43"/>
      <c r="EF203" s="43"/>
      <c r="EL203" s="3"/>
      <c r="EM203" s="3"/>
      <c r="EO203" s="41"/>
      <c r="EP203" s="41"/>
      <c r="FC203" s="3"/>
      <c r="FE203" s="39"/>
      <c r="FF203" s="39"/>
      <c r="FH203" s="41"/>
      <c r="FI203" s="41"/>
      <c r="FM203" s="3"/>
      <c r="FN203" s="3"/>
      <c r="FO203" s="486"/>
      <c r="FP203" s="486"/>
      <c r="FQ203" s="486"/>
      <c r="FR203" s="486"/>
      <c r="FS203" s="43"/>
      <c r="FT203" s="43"/>
      <c r="FX203" s="3"/>
      <c r="FY203" s="3"/>
      <c r="GA203" s="41"/>
      <c r="GB203" s="41"/>
      <c r="GG203" s="3"/>
      <c r="GH203" s="3"/>
      <c r="GI203" s="486"/>
      <c r="GJ203" s="486"/>
      <c r="GK203" s="486"/>
      <c r="GL203" s="486"/>
      <c r="GM203" s="43"/>
      <c r="GN203" s="43"/>
      <c r="GO203" s="393"/>
      <c r="GS203" s="3"/>
      <c r="GT203" s="3"/>
      <c r="GV203" s="41"/>
      <c r="GW203" s="41"/>
      <c r="HA203" s="3"/>
      <c r="HB203" s="3"/>
      <c r="HC203" s="43"/>
      <c r="HD203" s="43"/>
      <c r="HE203" s="43"/>
      <c r="HF203" s="43"/>
      <c r="HG203" s="43"/>
    </row>
    <row r="204" spans="1:215">
      <c r="B204" s="563"/>
      <c r="C204" s="563"/>
      <c r="D204" s="563"/>
      <c r="E204" s="563"/>
      <c r="F204" s="563"/>
      <c r="G204" s="563"/>
      <c r="H204" s="563"/>
      <c r="I204" s="563"/>
      <c r="J204" s="563"/>
      <c r="K204" s="563"/>
      <c r="L204" s="563"/>
      <c r="M204" s="563"/>
      <c r="N204" s="563"/>
      <c r="O204" s="566"/>
      <c r="P204" s="566"/>
      <c r="Q204" s="566"/>
      <c r="R204" s="563"/>
      <c r="S204" s="43"/>
      <c r="T204" s="43"/>
      <c r="U204" s="43"/>
      <c r="V204" s="43"/>
      <c r="W204" s="43"/>
      <c r="AH204" s="3"/>
      <c r="AI204" s="3"/>
      <c r="AJ204" s="3"/>
      <c r="AK204" s="3"/>
      <c r="AL204" s="3"/>
      <c r="AM204" s="41"/>
      <c r="AN204" s="41"/>
      <c r="AO204" s="41"/>
      <c r="AP204" s="43"/>
      <c r="AQ204" s="258"/>
      <c r="AR204" s="42"/>
      <c r="AS204" s="42"/>
      <c r="AT204" s="42"/>
      <c r="AU204" s="42"/>
      <c r="AV204" s="442"/>
      <c r="AW204" s="486"/>
      <c r="AX204" s="563"/>
      <c r="AY204" s="563"/>
      <c r="AZ204" s="563"/>
      <c r="BA204" s="563"/>
      <c r="BB204" s="563"/>
      <c r="BC204" s="563"/>
      <c r="BD204" s="563"/>
      <c r="BE204" s="563"/>
      <c r="BF204" s="563"/>
      <c r="BG204" s="563"/>
      <c r="BH204" s="563"/>
      <c r="BI204" s="563"/>
      <c r="BJ204" s="563"/>
      <c r="BK204" s="564"/>
      <c r="BL204" s="564"/>
      <c r="BM204" s="564"/>
      <c r="BN204" s="564"/>
      <c r="BO204" s="258"/>
      <c r="BP204" s="42"/>
      <c r="BQ204" s="42"/>
      <c r="BR204" s="42"/>
      <c r="BS204" s="42"/>
      <c r="CC204" s="3"/>
      <c r="CD204" s="3"/>
      <c r="CE204" s="3"/>
      <c r="CG204" s="3"/>
      <c r="CH204" s="3"/>
      <c r="CI204" s="41"/>
      <c r="CJ204" s="41"/>
      <c r="CK204" s="41"/>
      <c r="CL204" s="41"/>
      <c r="CM204" s="258"/>
      <c r="CN204" s="42"/>
      <c r="CO204" s="42"/>
      <c r="CP204" s="42"/>
      <c r="CQ204" s="42"/>
      <c r="CZ204" s="3"/>
      <c r="DA204" s="3"/>
      <c r="DC204" s="41"/>
      <c r="DD204" s="41"/>
      <c r="DE204" s="3"/>
      <c r="DF204" s="118"/>
      <c r="DG204" s="700"/>
      <c r="DH204" s="700"/>
      <c r="DI204" s="700"/>
      <c r="DJ204" s="700"/>
      <c r="DK204" s="43"/>
      <c r="DL204" s="43"/>
      <c r="DS204" s="3"/>
      <c r="DT204" s="3"/>
      <c r="DV204" s="41"/>
      <c r="DW204" s="41"/>
      <c r="DY204" s="118"/>
      <c r="DZ204" s="3"/>
      <c r="EA204" s="486"/>
      <c r="EB204" s="486"/>
      <c r="EC204" s="486"/>
      <c r="ED204" s="486"/>
      <c r="EE204" s="43"/>
      <c r="EF204" s="43"/>
      <c r="EL204" s="3"/>
      <c r="EM204" s="3"/>
      <c r="EO204" s="41"/>
      <c r="EP204" s="41"/>
      <c r="FC204" s="3"/>
      <c r="FE204" s="39"/>
      <c r="FF204" s="39"/>
      <c r="FH204" s="41"/>
      <c r="FI204" s="41"/>
      <c r="FM204" s="3"/>
      <c r="FN204" s="3"/>
      <c r="FO204" s="486"/>
      <c r="FP204" s="486"/>
      <c r="FQ204" s="486"/>
      <c r="FR204" s="486"/>
      <c r="FS204" s="43"/>
      <c r="FT204" s="43"/>
      <c r="FX204" s="3"/>
      <c r="FY204" s="3"/>
      <c r="GA204" s="41"/>
      <c r="GB204" s="41"/>
      <c r="GG204" s="3"/>
      <c r="GH204" s="3"/>
      <c r="GI204" s="486"/>
      <c r="GJ204" s="486"/>
      <c r="GK204" s="486"/>
      <c r="GL204" s="486"/>
      <c r="GM204" s="43"/>
      <c r="GN204" s="43"/>
      <c r="GO204" s="393"/>
      <c r="GS204" s="3"/>
      <c r="GT204" s="3"/>
      <c r="GV204" s="41"/>
      <c r="GW204" s="41"/>
      <c r="HA204" s="3"/>
      <c r="HB204" s="3"/>
      <c r="HC204" s="43"/>
      <c r="HD204" s="43"/>
      <c r="HE204" s="43"/>
      <c r="HF204" s="43"/>
      <c r="HG204" s="43"/>
    </row>
    <row r="205" spans="1:215">
      <c r="S205" s="442"/>
      <c r="AV205" s="442"/>
      <c r="CC205" s="3"/>
      <c r="CD205" s="3"/>
      <c r="CF205" s="41"/>
      <c r="CG205" s="41"/>
      <c r="CH205" s="3"/>
      <c r="CI205" s="486"/>
      <c r="CJ205" s="486"/>
      <c r="CK205" s="486"/>
      <c r="CL205" s="486"/>
      <c r="CM205" s="258"/>
      <c r="CN205" s="43"/>
      <c r="CZ205" s="3"/>
      <c r="DA205" s="3"/>
      <c r="DC205" s="41"/>
      <c r="DD205" s="41"/>
      <c r="DE205" s="3"/>
      <c r="DF205" s="118"/>
      <c r="DG205" s="700"/>
      <c r="DH205" s="700"/>
      <c r="DI205" s="700"/>
      <c r="DJ205" s="700"/>
      <c r="DK205" s="43"/>
      <c r="DL205" s="43"/>
      <c r="DS205" s="3"/>
      <c r="DT205" s="3"/>
      <c r="DV205" s="41"/>
      <c r="DW205" s="41"/>
      <c r="DY205" s="118"/>
      <c r="DZ205" s="3"/>
      <c r="EA205" s="486"/>
      <c r="EB205" s="486"/>
      <c r="EC205" s="486"/>
      <c r="ED205" s="486"/>
      <c r="EE205" s="43"/>
      <c r="EF205" s="43"/>
      <c r="EL205" s="3"/>
      <c r="EM205" s="3"/>
      <c r="EO205" s="41"/>
      <c r="EP205" s="41"/>
      <c r="FC205" s="3"/>
      <c r="FE205" s="39"/>
      <c r="FF205" s="39"/>
      <c r="FH205" s="41"/>
      <c r="FI205" s="41"/>
      <c r="FM205" s="3"/>
      <c r="FN205" s="3"/>
      <c r="FO205" s="486"/>
      <c r="FP205" s="486"/>
      <c r="FQ205" s="486"/>
      <c r="FR205" s="486"/>
      <c r="FS205" s="43"/>
      <c r="FT205" s="43"/>
      <c r="FX205" s="3"/>
      <c r="FY205" s="3"/>
      <c r="GA205" s="41"/>
      <c r="GB205" s="41"/>
      <c r="GG205" s="3"/>
      <c r="GH205" s="3"/>
      <c r="GI205" s="486"/>
      <c r="GJ205" s="486"/>
      <c r="GK205" s="486"/>
      <c r="GL205" s="486"/>
      <c r="GM205" s="43"/>
      <c r="GN205" s="43"/>
      <c r="GO205" s="393"/>
      <c r="GS205" s="3"/>
      <c r="GT205" s="3"/>
      <c r="GV205" s="41"/>
      <c r="GW205" s="41"/>
      <c r="HA205" s="3"/>
      <c r="HB205" s="3"/>
      <c r="HC205" s="43"/>
      <c r="HD205" s="43"/>
      <c r="HE205" s="43"/>
      <c r="HF205" s="43"/>
      <c r="HG205" s="43"/>
    </row>
    <row r="206" spans="1:215">
      <c r="S206" s="442"/>
      <c r="AV206" s="442"/>
      <c r="CC206" s="3"/>
      <c r="CD206" s="3"/>
      <c r="CF206" s="41"/>
      <c r="CG206" s="41"/>
      <c r="CH206" s="3"/>
      <c r="CI206" s="486"/>
      <c r="CJ206" s="486"/>
      <c r="CK206" s="486"/>
      <c r="CL206" s="486"/>
      <c r="CM206" s="258"/>
      <c r="CN206" s="43"/>
      <c r="CZ206" s="3"/>
      <c r="DA206" s="3"/>
      <c r="DC206" s="41"/>
      <c r="DD206" s="41"/>
      <c r="DE206" s="3"/>
      <c r="DF206" s="118"/>
      <c r="DG206" s="700"/>
      <c r="DH206" s="700"/>
      <c r="DI206" s="700"/>
      <c r="DJ206" s="700"/>
      <c r="DK206" s="43"/>
      <c r="DL206" s="43"/>
      <c r="DS206" s="3"/>
      <c r="DT206" s="3"/>
      <c r="DV206" s="41"/>
      <c r="DW206" s="41"/>
      <c r="DY206" s="118"/>
      <c r="DZ206" s="3"/>
      <c r="EA206" s="486"/>
      <c r="EB206" s="486"/>
      <c r="EC206" s="486"/>
      <c r="ED206" s="486"/>
      <c r="EE206" s="43"/>
      <c r="EF206" s="43"/>
      <c r="EL206" s="3"/>
      <c r="EM206" s="3"/>
      <c r="EO206" s="41"/>
      <c r="EP206" s="41"/>
      <c r="FC206" s="3"/>
      <c r="FE206" s="39"/>
      <c r="FF206" s="39"/>
      <c r="FH206" s="41"/>
      <c r="FI206" s="41"/>
      <c r="FM206" s="3"/>
      <c r="FN206" s="3"/>
      <c r="FO206" s="486"/>
      <c r="FP206" s="486"/>
      <c r="FQ206" s="486"/>
      <c r="FR206" s="486"/>
      <c r="FS206" s="43"/>
      <c r="FT206" s="43"/>
      <c r="FX206" s="3"/>
      <c r="FY206" s="3"/>
      <c r="GA206" s="41"/>
      <c r="GB206" s="41"/>
      <c r="GG206" s="3"/>
      <c r="GH206" s="3"/>
      <c r="GI206" s="486"/>
      <c r="GJ206" s="486"/>
      <c r="GK206" s="486"/>
      <c r="GL206" s="486"/>
      <c r="GM206" s="43"/>
      <c r="GN206" s="43"/>
      <c r="GO206" s="393"/>
      <c r="GS206" s="3"/>
      <c r="GT206" s="3"/>
      <c r="GV206" s="41"/>
      <c r="GW206" s="41"/>
      <c r="HA206" s="3"/>
      <c r="HB206" s="3"/>
      <c r="HC206" s="43"/>
      <c r="HD206" s="43"/>
      <c r="HE206" s="43"/>
      <c r="HF206" s="43"/>
      <c r="HG206" s="43"/>
    </row>
    <row r="207" spans="1:215">
      <c r="S207" s="442"/>
      <c r="AV207" s="442"/>
      <c r="CC207" s="3"/>
      <c r="CD207" s="3"/>
      <c r="CF207" s="41"/>
      <c r="CG207" s="41"/>
      <c r="CH207" s="3"/>
      <c r="CI207" s="486"/>
      <c r="CJ207" s="486"/>
      <c r="CK207" s="486"/>
      <c r="CL207" s="486"/>
      <c r="CM207" s="258"/>
      <c r="CN207" s="43"/>
      <c r="CZ207" s="3"/>
      <c r="DA207" s="3"/>
      <c r="DC207" s="41"/>
      <c r="DD207" s="41"/>
      <c r="DE207" s="3"/>
      <c r="DF207" s="118"/>
      <c r="DG207" s="700"/>
      <c r="DH207" s="700"/>
      <c r="DI207" s="700"/>
      <c r="DJ207" s="700"/>
      <c r="DK207" s="43"/>
      <c r="DL207" s="43"/>
      <c r="DS207" s="3"/>
      <c r="DT207" s="3"/>
      <c r="DV207" s="41"/>
      <c r="DW207" s="41"/>
      <c r="DY207" s="118"/>
      <c r="DZ207" s="3"/>
      <c r="EA207" s="486"/>
      <c r="EB207" s="486"/>
      <c r="EC207" s="486"/>
      <c r="ED207" s="486"/>
      <c r="EE207" s="43"/>
      <c r="EF207" s="43"/>
      <c r="EL207" s="3"/>
      <c r="EM207" s="3"/>
      <c r="EO207" s="41"/>
      <c r="EP207" s="41"/>
      <c r="FC207" s="3"/>
      <c r="FE207" s="39"/>
      <c r="FF207" s="39"/>
      <c r="FH207" s="41"/>
      <c r="FI207" s="41"/>
      <c r="FM207" s="3"/>
      <c r="FN207" s="3"/>
      <c r="FO207" s="486"/>
      <c r="FP207" s="486"/>
      <c r="FQ207" s="486"/>
      <c r="FR207" s="486"/>
      <c r="FS207" s="43"/>
      <c r="FT207" s="43"/>
      <c r="FX207" s="3"/>
      <c r="FY207" s="3"/>
      <c r="GA207" s="41"/>
      <c r="GB207" s="41"/>
      <c r="GG207" s="3"/>
      <c r="GH207" s="3"/>
      <c r="GI207" s="486"/>
      <c r="GJ207" s="486"/>
      <c r="GK207" s="486"/>
      <c r="GL207" s="486"/>
      <c r="GM207" s="43"/>
      <c r="GN207" s="43"/>
      <c r="GO207" s="393"/>
      <c r="GS207" s="3"/>
      <c r="GT207" s="3"/>
      <c r="GV207" s="41"/>
      <c r="GW207" s="41"/>
      <c r="HA207" s="3"/>
      <c r="HB207" s="3"/>
      <c r="HC207" s="43"/>
      <c r="HD207" s="43"/>
      <c r="HE207" s="43"/>
      <c r="HF207" s="43"/>
      <c r="HG207" s="43"/>
    </row>
    <row r="208" spans="1:215">
      <c r="S208" s="442"/>
      <c r="AV208" s="442"/>
      <c r="CC208" s="3"/>
      <c r="CD208" s="3"/>
      <c r="CF208" s="41"/>
      <c r="CG208" s="41"/>
      <c r="CH208" s="3"/>
      <c r="CI208" s="486"/>
      <c r="CJ208" s="486"/>
      <c r="CK208" s="486"/>
      <c r="CL208" s="486"/>
      <c r="CM208" s="258"/>
      <c r="CN208" s="43"/>
      <c r="CZ208" s="3"/>
      <c r="DA208" s="3"/>
      <c r="DC208" s="41"/>
      <c r="DD208" s="41"/>
      <c r="DE208" s="3"/>
      <c r="DF208" s="118"/>
      <c r="DG208" s="700"/>
      <c r="DH208" s="700"/>
      <c r="DI208" s="700"/>
      <c r="DJ208" s="700"/>
      <c r="DK208" s="43"/>
      <c r="DL208" s="43"/>
      <c r="DS208" s="3"/>
      <c r="DT208" s="3"/>
      <c r="DV208" s="41"/>
      <c r="DW208" s="41"/>
      <c r="DY208" s="118"/>
      <c r="DZ208" s="3"/>
      <c r="EA208" s="486"/>
      <c r="EB208" s="486"/>
      <c r="EC208" s="486"/>
      <c r="ED208" s="486"/>
      <c r="EE208" s="43"/>
      <c r="EF208" s="43"/>
      <c r="EL208" s="3"/>
      <c r="EM208" s="3"/>
      <c r="EO208" s="41"/>
      <c r="EP208" s="41"/>
      <c r="FC208" s="3"/>
      <c r="FE208" s="39"/>
      <c r="FF208" s="39"/>
      <c r="FH208" s="41"/>
      <c r="FI208" s="41"/>
      <c r="FM208" s="3"/>
      <c r="FN208" s="3"/>
      <c r="FO208" s="486"/>
      <c r="FP208" s="486"/>
      <c r="FQ208" s="486"/>
      <c r="FR208" s="486"/>
      <c r="FS208" s="43"/>
      <c r="FT208" s="43"/>
      <c r="FX208" s="3"/>
      <c r="FY208" s="3"/>
      <c r="GA208" s="41"/>
      <c r="GB208" s="41"/>
      <c r="GG208" s="3"/>
      <c r="GH208" s="3"/>
      <c r="GI208" s="486"/>
      <c r="GJ208" s="486"/>
      <c r="GK208" s="486"/>
      <c r="GL208" s="486"/>
      <c r="GM208" s="43"/>
      <c r="GN208" s="43"/>
      <c r="GO208" s="393"/>
      <c r="GS208" s="3"/>
      <c r="GT208" s="3"/>
      <c r="GV208" s="41"/>
      <c r="GW208" s="41"/>
      <c r="HA208" s="3"/>
      <c r="HB208" s="3"/>
      <c r="HC208" s="43"/>
      <c r="HD208" s="43"/>
      <c r="HE208" s="43"/>
      <c r="HF208" s="43"/>
      <c r="HG208" s="43"/>
    </row>
    <row r="209" spans="19:215">
      <c r="S209" s="442"/>
      <c r="AV209" s="442"/>
      <c r="CC209" s="3"/>
      <c r="CD209" s="3"/>
      <c r="CF209" s="41"/>
      <c r="CG209" s="41"/>
      <c r="CH209" s="3"/>
      <c r="CI209" s="486"/>
      <c r="CJ209" s="486"/>
      <c r="CK209" s="486"/>
      <c r="CL209" s="486"/>
      <c r="CM209" s="258"/>
      <c r="CN209" s="43"/>
      <c r="CZ209" s="3"/>
      <c r="DA209" s="3"/>
      <c r="DC209" s="41"/>
      <c r="DD209" s="41"/>
      <c r="DE209" s="3"/>
      <c r="DF209" s="118"/>
      <c r="DG209" s="700"/>
      <c r="DH209" s="700"/>
      <c r="DI209" s="700"/>
      <c r="DJ209" s="700"/>
      <c r="DK209" s="43"/>
      <c r="DL209" s="43"/>
      <c r="DS209" s="3"/>
      <c r="DT209" s="3"/>
      <c r="DV209" s="41"/>
      <c r="DW209" s="41"/>
      <c r="DY209" s="118"/>
      <c r="DZ209" s="3"/>
      <c r="EA209" s="486"/>
      <c r="EB209" s="486"/>
      <c r="EC209" s="486"/>
      <c r="ED209" s="486"/>
      <c r="EE209" s="43"/>
      <c r="EF209" s="43"/>
      <c r="EL209" s="3"/>
      <c r="EM209" s="3"/>
      <c r="EO209" s="41"/>
      <c r="EP209" s="41"/>
      <c r="FC209" s="3"/>
      <c r="FE209" s="39"/>
      <c r="FF209" s="39"/>
      <c r="FH209" s="41"/>
      <c r="FI209" s="41"/>
      <c r="FM209" s="3"/>
      <c r="FN209" s="3"/>
      <c r="FO209" s="486"/>
      <c r="FP209" s="486"/>
      <c r="FQ209" s="486"/>
      <c r="FR209" s="486"/>
      <c r="FS209" s="43"/>
      <c r="FT209" s="43"/>
      <c r="FX209" s="3"/>
      <c r="FY209" s="3"/>
      <c r="GA209" s="41"/>
      <c r="GB209" s="41"/>
      <c r="GG209" s="3"/>
      <c r="GH209" s="3"/>
      <c r="GI209" s="486"/>
      <c r="GJ209" s="486"/>
      <c r="GK209" s="486"/>
      <c r="GL209" s="486"/>
      <c r="GM209" s="43"/>
      <c r="GN209" s="43"/>
      <c r="GO209" s="393"/>
      <c r="GS209" s="3"/>
      <c r="GT209" s="3"/>
      <c r="GV209" s="41"/>
      <c r="GW209" s="41"/>
      <c r="HA209" s="3"/>
      <c r="HB209" s="3"/>
      <c r="HC209" s="43"/>
      <c r="HD209" s="43"/>
      <c r="HE209" s="43"/>
      <c r="HF209" s="43"/>
      <c r="HG209" s="43"/>
    </row>
    <row r="210" spans="19:215">
      <c r="S210" s="442"/>
      <c r="AV210" s="442"/>
      <c r="CC210" s="3"/>
      <c r="CD210" s="3"/>
      <c r="CF210" s="41"/>
      <c r="CG210" s="41"/>
      <c r="CH210" s="3"/>
      <c r="CI210" s="486"/>
      <c r="CJ210" s="486"/>
      <c r="CK210" s="486"/>
      <c r="CL210" s="486"/>
      <c r="CM210" s="258"/>
      <c r="CN210" s="43"/>
      <c r="CZ210" s="3"/>
      <c r="DA210" s="3"/>
      <c r="DC210" s="41"/>
      <c r="DD210" s="41"/>
      <c r="DE210" s="3"/>
      <c r="DF210" s="118"/>
      <c r="DG210" s="700"/>
      <c r="DH210" s="700"/>
      <c r="DI210" s="700"/>
      <c r="DJ210" s="700"/>
      <c r="DK210" s="43"/>
      <c r="DL210" s="43"/>
      <c r="DS210" s="3"/>
      <c r="DT210" s="3"/>
      <c r="DV210" s="41"/>
      <c r="DW210" s="41"/>
      <c r="DY210" s="118"/>
      <c r="DZ210" s="3"/>
      <c r="EA210" s="486"/>
      <c r="EB210" s="486"/>
      <c r="EC210" s="486"/>
      <c r="ED210" s="486"/>
      <c r="EE210" s="43"/>
      <c r="EF210" s="43"/>
      <c r="EL210" s="3"/>
      <c r="EM210" s="3"/>
      <c r="EO210" s="41"/>
      <c r="EP210" s="41"/>
      <c r="FC210" s="3"/>
      <c r="FE210" s="39"/>
      <c r="FF210" s="39"/>
      <c r="FH210" s="41"/>
      <c r="FI210" s="41"/>
      <c r="FM210" s="3"/>
      <c r="FN210" s="3"/>
      <c r="FO210" s="486"/>
      <c r="FP210" s="486"/>
      <c r="FQ210" s="486"/>
      <c r="FR210" s="486"/>
      <c r="FS210" s="43"/>
      <c r="FT210" s="43"/>
      <c r="FX210" s="3"/>
      <c r="FY210" s="3"/>
      <c r="GA210" s="41"/>
      <c r="GB210" s="41"/>
      <c r="GG210" s="3"/>
      <c r="GH210" s="3"/>
      <c r="GI210" s="486"/>
      <c r="GJ210" s="486"/>
      <c r="GK210" s="486"/>
      <c r="GL210" s="486"/>
      <c r="GM210" s="43"/>
      <c r="GN210" s="43"/>
      <c r="GO210" s="393"/>
      <c r="GS210" s="3"/>
      <c r="GT210" s="3"/>
      <c r="GV210" s="41"/>
      <c r="GW210" s="41"/>
      <c r="HA210" s="3"/>
      <c r="HB210" s="3"/>
      <c r="HC210" s="43"/>
      <c r="HD210" s="43"/>
      <c r="HE210" s="43"/>
      <c r="HF210" s="43"/>
      <c r="HG210" s="43"/>
    </row>
    <row r="211" spans="19:215">
      <c r="S211" s="442"/>
      <c r="AV211" s="442"/>
      <c r="CC211" s="3"/>
      <c r="CD211" s="3"/>
      <c r="CF211" s="41"/>
      <c r="CG211" s="41"/>
      <c r="CH211" s="3"/>
      <c r="CI211" s="486"/>
      <c r="CJ211" s="486"/>
      <c r="CK211" s="486"/>
      <c r="CL211" s="486"/>
      <c r="CM211" s="258"/>
      <c r="CN211" s="43"/>
      <c r="CZ211" s="3"/>
      <c r="DA211" s="3"/>
      <c r="DC211" s="41"/>
      <c r="DD211" s="41"/>
      <c r="DE211" s="3"/>
      <c r="DF211" s="118"/>
      <c r="DG211" s="700"/>
      <c r="DH211" s="700"/>
      <c r="DI211" s="700"/>
      <c r="DJ211" s="700"/>
      <c r="DK211" s="43"/>
      <c r="DL211" s="43"/>
      <c r="DS211" s="3"/>
      <c r="DT211" s="3"/>
      <c r="DV211" s="41"/>
      <c r="DW211" s="41"/>
      <c r="DY211" s="118"/>
      <c r="DZ211" s="3"/>
      <c r="EA211" s="486"/>
      <c r="EB211" s="486"/>
      <c r="EC211" s="486"/>
      <c r="ED211" s="486"/>
      <c r="EE211" s="43"/>
      <c r="EF211" s="43"/>
      <c r="EL211" s="3"/>
      <c r="EM211" s="3"/>
      <c r="EO211" s="41"/>
      <c r="EP211" s="41"/>
      <c r="FC211" s="3"/>
      <c r="FE211" s="39"/>
      <c r="FF211" s="39"/>
      <c r="FH211" s="41"/>
      <c r="FI211" s="41"/>
      <c r="FM211" s="3"/>
      <c r="FN211" s="3"/>
      <c r="FO211" s="486"/>
      <c r="FP211" s="486"/>
      <c r="FQ211" s="486"/>
      <c r="FR211" s="486"/>
      <c r="FS211" s="43"/>
      <c r="FT211" s="43"/>
      <c r="FX211" s="3"/>
      <c r="FY211" s="3"/>
      <c r="GA211" s="41"/>
      <c r="GB211" s="41"/>
      <c r="GG211" s="3"/>
      <c r="GH211" s="3"/>
      <c r="GI211" s="486"/>
      <c r="GJ211" s="486"/>
      <c r="GK211" s="486"/>
      <c r="GL211" s="486"/>
      <c r="GM211" s="43"/>
      <c r="GN211" s="43"/>
      <c r="GO211" s="393"/>
      <c r="GS211" s="3"/>
      <c r="GT211" s="3"/>
      <c r="GV211" s="41"/>
      <c r="GW211" s="41"/>
      <c r="HA211" s="3"/>
      <c r="HB211" s="3"/>
      <c r="HC211" s="43"/>
      <c r="HD211" s="43"/>
      <c r="HE211" s="43"/>
      <c r="HF211" s="43"/>
      <c r="HG211" s="43"/>
    </row>
    <row r="212" spans="19:215">
      <c r="S212" s="442"/>
      <c r="AV212" s="442"/>
      <c r="CC212" s="3"/>
      <c r="CD212" s="3"/>
      <c r="CF212" s="41"/>
      <c r="CG212" s="41"/>
      <c r="CH212" s="3"/>
      <c r="CI212" s="486"/>
      <c r="CJ212" s="486"/>
      <c r="CK212" s="486"/>
      <c r="CL212" s="486"/>
      <c r="CM212" s="258"/>
      <c r="CN212" s="43"/>
      <c r="CZ212" s="3"/>
      <c r="DA212" s="3"/>
      <c r="DC212" s="41"/>
      <c r="DD212" s="41"/>
      <c r="DE212" s="3"/>
      <c r="DF212" s="118"/>
      <c r="DG212" s="700"/>
      <c r="DH212" s="700"/>
      <c r="DI212" s="700"/>
      <c r="DJ212" s="700"/>
      <c r="DK212" s="43"/>
      <c r="DL212" s="43"/>
      <c r="DS212" s="3"/>
      <c r="DT212" s="3"/>
      <c r="DV212" s="41"/>
      <c r="DW212" s="41"/>
      <c r="DY212" s="118"/>
      <c r="DZ212" s="3"/>
      <c r="EA212" s="486"/>
      <c r="EB212" s="486"/>
      <c r="EC212" s="486"/>
      <c r="ED212" s="486"/>
      <c r="EE212" s="43"/>
      <c r="EF212" s="43"/>
      <c r="EL212" s="3"/>
      <c r="EM212" s="3"/>
      <c r="EO212" s="41"/>
      <c r="EP212" s="41"/>
      <c r="FC212" s="3"/>
      <c r="FE212" s="39"/>
      <c r="FF212" s="39"/>
      <c r="FH212" s="41"/>
      <c r="FI212" s="41"/>
      <c r="FM212" s="3"/>
      <c r="FN212" s="3"/>
      <c r="FO212" s="486"/>
      <c r="FP212" s="486"/>
      <c r="FQ212" s="486"/>
      <c r="FR212" s="486"/>
      <c r="FS212" s="43"/>
      <c r="FT212" s="43"/>
      <c r="FX212" s="3"/>
      <c r="FY212" s="3"/>
      <c r="GA212" s="41"/>
      <c r="GB212" s="41"/>
      <c r="GG212" s="3"/>
      <c r="GH212" s="3"/>
      <c r="GI212" s="486"/>
      <c r="GJ212" s="486"/>
      <c r="GK212" s="486"/>
      <c r="GL212" s="486"/>
      <c r="GM212" s="43"/>
      <c r="GN212" s="43"/>
      <c r="GO212" s="393"/>
      <c r="GS212" s="3"/>
      <c r="GT212" s="3"/>
      <c r="GV212" s="41"/>
      <c r="GW212" s="41"/>
      <c r="HA212" s="3"/>
      <c r="HB212" s="3"/>
      <c r="HC212" s="43"/>
      <c r="HD212" s="43"/>
      <c r="HE212" s="43"/>
      <c r="HF212" s="43"/>
      <c r="HG212" s="43"/>
    </row>
    <row r="213" spans="19:215">
      <c r="S213" s="442"/>
      <c r="AV213" s="442"/>
      <c r="CC213" s="3"/>
      <c r="CD213" s="3"/>
      <c r="CF213" s="41"/>
      <c r="CG213" s="41"/>
      <c r="CH213" s="3"/>
      <c r="CI213" s="486"/>
      <c r="CJ213" s="486"/>
      <c r="CK213" s="486"/>
      <c r="CL213" s="486"/>
      <c r="CM213" s="258"/>
      <c r="CN213" s="43"/>
      <c r="CZ213" s="3"/>
      <c r="DA213" s="3"/>
      <c r="DC213" s="41"/>
      <c r="DD213" s="41"/>
      <c r="DE213" s="3"/>
      <c r="DF213" s="118"/>
      <c r="DG213" s="700"/>
      <c r="DH213" s="700"/>
      <c r="DI213" s="700"/>
      <c r="DJ213" s="700"/>
      <c r="DK213" s="43"/>
      <c r="DL213" s="43"/>
      <c r="DS213" s="3"/>
      <c r="DT213" s="3"/>
      <c r="DV213" s="41"/>
      <c r="DW213" s="41"/>
      <c r="DY213" s="118"/>
      <c r="DZ213" s="3"/>
      <c r="EA213" s="486"/>
      <c r="EB213" s="486"/>
      <c r="EC213" s="486"/>
      <c r="ED213" s="486"/>
      <c r="EE213" s="43"/>
      <c r="EF213" s="43"/>
      <c r="EL213" s="3"/>
      <c r="EM213" s="3"/>
      <c r="EO213" s="41"/>
      <c r="EP213" s="41"/>
      <c r="FC213" s="3"/>
      <c r="FE213" s="39"/>
      <c r="FF213" s="39"/>
      <c r="FH213" s="41"/>
      <c r="FI213" s="41"/>
      <c r="FM213" s="3"/>
      <c r="FN213" s="3"/>
      <c r="FO213" s="486"/>
      <c r="FP213" s="486"/>
      <c r="FQ213" s="486"/>
      <c r="FR213" s="486"/>
      <c r="FS213" s="43"/>
      <c r="FT213" s="43"/>
      <c r="FX213" s="3"/>
      <c r="FY213" s="3"/>
      <c r="GA213" s="41"/>
      <c r="GB213" s="41"/>
      <c r="GG213" s="3"/>
      <c r="GH213" s="3"/>
      <c r="GI213" s="486"/>
      <c r="GJ213" s="486"/>
      <c r="GK213" s="486"/>
      <c r="GL213" s="486"/>
      <c r="GM213" s="43"/>
      <c r="GN213" s="43"/>
      <c r="GO213" s="393"/>
      <c r="GS213" s="3"/>
      <c r="GT213" s="3"/>
      <c r="GV213" s="41"/>
      <c r="GW213" s="41"/>
      <c r="HA213" s="3"/>
      <c r="HB213" s="3"/>
      <c r="HC213" s="43"/>
      <c r="HD213" s="43"/>
      <c r="HE213" s="43"/>
      <c r="HF213" s="43"/>
      <c r="HG213" s="43"/>
    </row>
    <row r="214" spans="19:215">
      <c r="S214" s="442"/>
      <c r="AV214" s="442"/>
      <c r="CC214" s="3"/>
      <c r="CD214" s="3"/>
      <c r="CF214" s="41"/>
      <c r="CG214" s="41"/>
      <c r="CH214" s="3"/>
      <c r="CI214" s="486"/>
      <c r="CJ214" s="486"/>
      <c r="CK214" s="486"/>
      <c r="CL214" s="486"/>
      <c r="CM214" s="258"/>
      <c r="CN214" s="43"/>
      <c r="CZ214" s="3"/>
      <c r="DA214" s="3"/>
      <c r="DC214" s="41"/>
      <c r="DD214" s="41"/>
      <c r="DE214" s="3"/>
      <c r="DF214" s="118"/>
      <c r="DG214" s="700"/>
      <c r="DH214" s="700"/>
      <c r="DI214" s="700"/>
      <c r="DJ214" s="700"/>
      <c r="DK214" s="43"/>
      <c r="DL214" s="43"/>
      <c r="DS214" s="3"/>
      <c r="DT214" s="3"/>
      <c r="DV214" s="41"/>
      <c r="DW214" s="41"/>
      <c r="DY214" s="118"/>
      <c r="DZ214" s="3"/>
      <c r="EA214" s="486"/>
      <c r="EB214" s="486"/>
      <c r="EC214" s="486"/>
      <c r="ED214" s="486"/>
      <c r="EE214" s="43"/>
      <c r="EF214" s="43"/>
      <c r="EL214" s="3"/>
      <c r="EM214" s="3"/>
      <c r="EO214" s="41"/>
      <c r="EP214" s="41"/>
      <c r="FC214" s="3"/>
      <c r="FE214" s="39"/>
      <c r="FF214" s="39"/>
      <c r="FH214" s="41"/>
      <c r="FI214" s="41"/>
      <c r="FM214" s="3"/>
      <c r="FN214" s="3"/>
      <c r="FO214" s="486"/>
      <c r="FP214" s="486"/>
      <c r="FQ214" s="486"/>
      <c r="FR214" s="486"/>
      <c r="FS214" s="43"/>
      <c r="FT214" s="43"/>
      <c r="FX214" s="3"/>
      <c r="FY214" s="3"/>
      <c r="GA214" s="41"/>
      <c r="GB214" s="41"/>
      <c r="GG214" s="3"/>
      <c r="GH214" s="3"/>
      <c r="GI214" s="486"/>
      <c r="GJ214" s="486"/>
      <c r="GK214" s="486"/>
      <c r="GL214" s="486"/>
      <c r="GM214" s="43"/>
      <c r="GN214" s="43"/>
      <c r="GO214" s="393"/>
      <c r="GS214" s="3"/>
      <c r="GT214" s="3"/>
      <c r="GV214" s="41"/>
      <c r="GW214" s="41"/>
      <c r="HA214" s="3"/>
      <c r="HB214" s="3"/>
      <c r="HC214" s="43"/>
      <c r="HD214" s="43"/>
      <c r="HE214" s="43"/>
      <c r="HF214" s="43"/>
      <c r="HG214" s="43"/>
    </row>
    <row r="215" spans="19:215">
      <c r="S215" s="442"/>
      <c r="AV215" s="442"/>
      <c r="CC215" s="3"/>
      <c r="CD215" s="3"/>
      <c r="CF215" s="41"/>
      <c r="CG215" s="41"/>
      <c r="CH215" s="3"/>
      <c r="CI215" s="486"/>
      <c r="CJ215" s="486"/>
      <c r="CK215" s="486"/>
      <c r="CL215" s="486"/>
      <c r="CM215" s="258"/>
      <c r="CN215" s="43"/>
      <c r="CZ215" s="3"/>
      <c r="DA215" s="3"/>
      <c r="DC215" s="41"/>
      <c r="DD215" s="41"/>
      <c r="DE215" s="3"/>
      <c r="DF215" s="118"/>
      <c r="DG215" s="700"/>
      <c r="DH215" s="700"/>
      <c r="DI215" s="700"/>
      <c r="DJ215" s="700"/>
      <c r="DK215" s="43"/>
      <c r="DL215" s="43"/>
      <c r="DS215" s="3"/>
      <c r="DT215" s="3"/>
      <c r="DV215" s="41"/>
      <c r="DW215" s="41"/>
      <c r="DY215" s="118"/>
      <c r="DZ215" s="3"/>
      <c r="EA215" s="486"/>
      <c r="EB215" s="486"/>
      <c r="EC215" s="486"/>
      <c r="ED215" s="486"/>
      <c r="EE215" s="43"/>
      <c r="EF215" s="43"/>
      <c r="EL215" s="3"/>
      <c r="EM215" s="3"/>
      <c r="EO215" s="41"/>
      <c r="EP215" s="41"/>
      <c r="FC215" s="3"/>
      <c r="FE215" s="39"/>
      <c r="FF215" s="39"/>
      <c r="FH215" s="41"/>
      <c r="FI215" s="41"/>
      <c r="FM215" s="3"/>
      <c r="FN215" s="3"/>
      <c r="FO215" s="486"/>
      <c r="FP215" s="486"/>
      <c r="FQ215" s="486"/>
      <c r="FR215" s="486"/>
      <c r="FS215" s="43"/>
      <c r="FT215" s="43"/>
      <c r="FX215" s="3"/>
      <c r="FY215" s="3"/>
      <c r="GA215" s="41"/>
      <c r="GB215" s="41"/>
      <c r="GG215" s="3"/>
      <c r="GH215" s="3"/>
      <c r="GI215" s="486"/>
      <c r="GJ215" s="486"/>
      <c r="GK215" s="486"/>
      <c r="GL215" s="486"/>
      <c r="GM215" s="43"/>
      <c r="GN215" s="43"/>
      <c r="GO215" s="393"/>
      <c r="GS215" s="3"/>
      <c r="GT215" s="3"/>
      <c r="GV215" s="41"/>
      <c r="GW215" s="41"/>
      <c r="HA215" s="3"/>
      <c r="HB215" s="3"/>
      <c r="HC215" s="43"/>
      <c r="HD215" s="43"/>
      <c r="HE215" s="43"/>
      <c r="HF215" s="43"/>
      <c r="HG215" s="43"/>
    </row>
    <row r="216" spans="19:215">
      <c r="S216" s="442"/>
      <c r="AV216" s="442"/>
      <c r="CC216" s="3"/>
      <c r="CD216" s="3"/>
      <c r="CF216" s="41"/>
      <c r="CG216" s="41"/>
      <c r="CH216" s="3"/>
      <c r="CI216" s="486"/>
      <c r="CJ216" s="486"/>
      <c r="CK216" s="486"/>
      <c r="CL216" s="486"/>
      <c r="CM216" s="258"/>
      <c r="CN216" s="43"/>
      <c r="CZ216" s="3"/>
      <c r="DA216" s="3"/>
      <c r="DC216" s="41"/>
      <c r="DD216" s="41"/>
      <c r="DE216" s="3"/>
      <c r="DF216" s="118"/>
      <c r="DG216" s="700"/>
      <c r="DH216" s="700"/>
      <c r="DI216" s="700"/>
      <c r="DJ216" s="700"/>
      <c r="DK216" s="43"/>
      <c r="DL216" s="43"/>
      <c r="DS216" s="3"/>
      <c r="DT216" s="3"/>
      <c r="DV216" s="41"/>
      <c r="DW216" s="41"/>
      <c r="DY216" s="118"/>
      <c r="DZ216" s="3"/>
      <c r="EA216" s="486"/>
      <c r="EB216" s="486"/>
      <c r="EC216" s="486"/>
      <c r="ED216" s="486"/>
      <c r="EE216" s="43"/>
      <c r="EF216" s="43"/>
      <c r="EL216" s="3"/>
      <c r="EM216" s="3"/>
      <c r="EO216" s="41"/>
      <c r="EP216" s="41"/>
      <c r="FC216" s="3"/>
      <c r="FE216" s="39"/>
      <c r="FF216" s="39"/>
      <c r="FH216" s="41"/>
      <c r="FI216" s="41"/>
      <c r="FM216" s="3"/>
      <c r="FN216" s="3"/>
      <c r="FO216" s="486"/>
      <c r="FP216" s="486"/>
      <c r="FQ216" s="486"/>
      <c r="FR216" s="486"/>
      <c r="FS216" s="43"/>
      <c r="FT216" s="43"/>
      <c r="FX216" s="3"/>
      <c r="FY216" s="3"/>
      <c r="GA216" s="41"/>
      <c r="GB216" s="41"/>
      <c r="GG216" s="3"/>
      <c r="GH216" s="3"/>
      <c r="GI216" s="486"/>
      <c r="GJ216" s="486"/>
      <c r="GK216" s="486"/>
      <c r="GL216" s="486"/>
      <c r="GM216" s="43"/>
      <c r="GN216" s="43"/>
      <c r="GO216" s="393"/>
      <c r="GS216" s="3"/>
      <c r="GT216" s="3"/>
      <c r="GV216" s="41"/>
      <c r="GW216" s="41"/>
      <c r="HA216" s="3"/>
      <c r="HB216" s="3"/>
      <c r="HC216" s="43"/>
      <c r="HD216" s="43"/>
      <c r="HE216" s="43"/>
      <c r="HF216" s="43"/>
      <c r="HG216" s="43"/>
    </row>
    <row r="217" spans="19:215">
      <c r="S217" s="442"/>
      <c r="AV217" s="442"/>
      <c r="CC217" s="3"/>
      <c r="CD217" s="3"/>
      <c r="CF217" s="41"/>
      <c r="CG217" s="41"/>
      <c r="CH217" s="3"/>
      <c r="CI217" s="486"/>
      <c r="CJ217" s="486"/>
      <c r="CK217" s="486"/>
      <c r="CL217" s="486"/>
      <c r="CM217" s="258"/>
      <c r="CN217" s="43"/>
      <c r="CZ217" s="3"/>
      <c r="DA217" s="3"/>
      <c r="DC217" s="41"/>
      <c r="DD217" s="41"/>
      <c r="DE217" s="3"/>
      <c r="DF217" s="118"/>
      <c r="DG217" s="700"/>
      <c r="DH217" s="700"/>
      <c r="DI217" s="700"/>
      <c r="DJ217" s="700"/>
      <c r="DK217" s="43"/>
      <c r="DL217" s="43"/>
      <c r="DS217" s="3"/>
      <c r="DT217" s="3"/>
      <c r="DV217" s="41"/>
      <c r="DW217" s="41"/>
      <c r="DY217" s="118"/>
      <c r="DZ217" s="3"/>
      <c r="EA217" s="486"/>
      <c r="EB217" s="486"/>
      <c r="EC217" s="486"/>
      <c r="ED217" s="486"/>
      <c r="EE217" s="43"/>
      <c r="EF217" s="43"/>
      <c r="EL217" s="3"/>
      <c r="EM217" s="3"/>
      <c r="EO217" s="41"/>
      <c r="EP217" s="41"/>
      <c r="FC217" s="3"/>
      <c r="FE217" s="39"/>
      <c r="FF217" s="39"/>
      <c r="FH217" s="41"/>
      <c r="FI217" s="41"/>
      <c r="FM217" s="3"/>
      <c r="FN217" s="3"/>
      <c r="FO217" s="486"/>
      <c r="FP217" s="486"/>
      <c r="FQ217" s="486"/>
      <c r="FR217" s="486"/>
      <c r="FS217" s="43"/>
      <c r="FT217" s="43"/>
      <c r="FX217" s="3"/>
      <c r="FY217" s="3"/>
      <c r="GA217" s="41"/>
      <c r="GB217" s="41"/>
      <c r="GG217" s="3"/>
      <c r="GH217" s="3"/>
      <c r="GI217" s="486"/>
      <c r="GJ217" s="486"/>
      <c r="GK217" s="486"/>
      <c r="GL217" s="486"/>
      <c r="GM217" s="43"/>
      <c r="GN217" s="43"/>
      <c r="GO217" s="393"/>
      <c r="GS217" s="3"/>
      <c r="GT217" s="3"/>
      <c r="GV217" s="41"/>
      <c r="GW217" s="41"/>
      <c r="HA217" s="3"/>
      <c r="HB217" s="3"/>
      <c r="HC217" s="43"/>
      <c r="HD217" s="43"/>
      <c r="HE217" s="43"/>
      <c r="HF217" s="43"/>
      <c r="HG217" s="43"/>
    </row>
    <row r="218" spans="19:215">
      <c r="S218" s="442"/>
      <c r="AV218" s="442"/>
      <c r="CC218" s="3"/>
      <c r="CD218" s="3"/>
      <c r="CF218" s="41"/>
      <c r="CG218" s="41"/>
      <c r="CH218" s="3"/>
      <c r="CI218" s="486"/>
      <c r="CJ218" s="486"/>
      <c r="CK218" s="486"/>
      <c r="CL218" s="486"/>
      <c r="CM218" s="258"/>
      <c r="CN218" s="43"/>
      <c r="CZ218" s="3"/>
      <c r="DA218" s="3"/>
      <c r="DC218" s="41"/>
      <c r="DD218" s="41"/>
      <c r="DE218" s="3"/>
      <c r="DF218" s="118"/>
      <c r="DG218" s="700"/>
      <c r="DH218" s="700"/>
      <c r="DI218" s="700"/>
      <c r="DJ218" s="700"/>
      <c r="DK218" s="43"/>
      <c r="DL218" s="43"/>
      <c r="DS218" s="3"/>
      <c r="DT218" s="3"/>
      <c r="DV218" s="41"/>
      <c r="DW218" s="41"/>
      <c r="DY218" s="118"/>
      <c r="DZ218" s="3"/>
      <c r="EA218" s="486"/>
      <c r="EB218" s="486"/>
      <c r="EC218" s="486"/>
      <c r="ED218" s="486"/>
      <c r="EE218" s="43"/>
      <c r="EF218" s="43"/>
      <c r="EL218" s="3"/>
      <c r="EM218" s="3"/>
      <c r="EO218" s="41"/>
      <c r="EP218" s="41"/>
      <c r="FC218" s="3"/>
      <c r="FE218" s="39"/>
      <c r="FF218" s="39"/>
      <c r="FH218" s="41"/>
      <c r="FI218" s="41"/>
      <c r="FM218" s="3"/>
      <c r="FN218" s="3"/>
      <c r="FO218" s="486"/>
      <c r="FP218" s="486"/>
      <c r="FQ218" s="486"/>
      <c r="FR218" s="486"/>
      <c r="FS218" s="43"/>
      <c r="FT218" s="43"/>
      <c r="FX218" s="3"/>
      <c r="FY218" s="3"/>
      <c r="GA218" s="41"/>
      <c r="GB218" s="41"/>
      <c r="GG218" s="3"/>
      <c r="GH218" s="3"/>
      <c r="GI218" s="486"/>
      <c r="GJ218" s="486"/>
      <c r="GK218" s="486"/>
      <c r="GL218" s="486"/>
      <c r="GM218" s="43"/>
      <c r="GN218" s="43"/>
      <c r="GO218" s="393"/>
      <c r="GS218" s="3"/>
      <c r="GT218" s="3"/>
      <c r="GV218" s="41"/>
      <c r="GW218" s="41"/>
      <c r="HA218" s="3"/>
      <c r="HB218" s="3"/>
      <c r="HC218" s="43"/>
      <c r="HD218" s="43"/>
      <c r="HE218" s="43"/>
      <c r="HF218" s="43"/>
      <c r="HG218" s="43"/>
    </row>
    <row r="219" spans="19:215">
      <c r="S219" s="442"/>
      <c r="AV219" s="442"/>
      <c r="CC219" s="3"/>
      <c r="CD219" s="3"/>
      <c r="CF219" s="41"/>
      <c r="CG219" s="41"/>
      <c r="CH219" s="3"/>
      <c r="CI219" s="486"/>
      <c r="CJ219" s="486"/>
      <c r="CK219" s="486"/>
      <c r="CL219" s="486"/>
      <c r="CM219" s="258"/>
      <c r="CN219" s="43"/>
      <c r="CZ219" s="3"/>
      <c r="DA219" s="3"/>
      <c r="DC219" s="41"/>
      <c r="DD219" s="41"/>
      <c r="DE219" s="3"/>
      <c r="DF219" s="118"/>
      <c r="DG219" s="700"/>
      <c r="DH219" s="700"/>
      <c r="DI219" s="700"/>
      <c r="DJ219" s="700"/>
      <c r="DK219" s="43"/>
      <c r="DL219" s="43"/>
      <c r="DS219" s="3"/>
      <c r="DT219" s="3"/>
      <c r="DV219" s="41"/>
      <c r="DW219" s="41"/>
      <c r="DY219" s="118"/>
      <c r="DZ219" s="3"/>
      <c r="EA219" s="486"/>
      <c r="EB219" s="486"/>
      <c r="EC219" s="486"/>
      <c r="ED219" s="486"/>
      <c r="EE219" s="43"/>
      <c r="EF219" s="43"/>
      <c r="EL219" s="3"/>
      <c r="EM219" s="3"/>
      <c r="EO219" s="41"/>
      <c r="EP219" s="41"/>
      <c r="FC219" s="3"/>
      <c r="FE219" s="39"/>
      <c r="FF219" s="39"/>
      <c r="FH219" s="41"/>
      <c r="FI219" s="41"/>
      <c r="FM219" s="3"/>
      <c r="FN219" s="3"/>
      <c r="FO219" s="486"/>
      <c r="FP219" s="486"/>
      <c r="FQ219" s="486"/>
      <c r="FR219" s="486"/>
      <c r="FS219" s="43"/>
      <c r="FT219" s="43"/>
      <c r="FX219" s="3"/>
      <c r="FY219" s="3"/>
      <c r="GA219" s="41"/>
      <c r="GB219" s="41"/>
      <c r="GG219" s="3"/>
      <c r="GH219" s="3"/>
      <c r="GI219" s="486"/>
      <c r="GJ219" s="486"/>
      <c r="GK219" s="486"/>
      <c r="GL219" s="486"/>
      <c r="GM219" s="43"/>
      <c r="GN219" s="43"/>
      <c r="GO219" s="393"/>
      <c r="GS219" s="3"/>
      <c r="GT219" s="3"/>
      <c r="GV219" s="41"/>
      <c r="GW219" s="41"/>
      <c r="HA219" s="3"/>
      <c r="HB219" s="3"/>
      <c r="HC219" s="43"/>
      <c r="HD219" s="43"/>
      <c r="HE219" s="43"/>
      <c r="HF219" s="43"/>
      <c r="HG219" s="43"/>
    </row>
    <row r="220" spans="19:215">
      <c r="S220" s="442"/>
      <c r="AV220" s="442"/>
      <c r="CC220" s="3"/>
      <c r="CD220" s="3"/>
      <c r="CF220" s="41"/>
      <c r="CG220" s="41"/>
      <c r="CH220" s="3"/>
      <c r="CI220" s="486"/>
      <c r="CJ220" s="486"/>
      <c r="CK220" s="486"/>
      <c r="CL220" s="486"/>
      <c r="CM220" s="258"/>
      <c r="CN220" s="43"/>
      <c r="CZ220" s="3"/>
      <c r="DA220" s="3"/>
      <c r="DC220" s="41"/>
      <c r="DD220" s="41"/>
      <c r="DE220" s="3"/>
      <c r="DF220" s="118"/>
      <c r="DG220" s="700"/>
      <c r="DH220" s="700"/>
      <c r="DI220" s="700"/>
      <c r="DJ220" s="700"/>
      <c r="DK220" s="43"/>
      <c r="DL220" s="43"/>
      <c r="DS220" s="3"/>
      <c r="DT220" s="3"/>
      <c r="DV220" s="41"/>
      <c r="DW220" s="41"/>
      <c r="DY220" s="118"/>
      <c r="DZ220" s="3"/>
      <c r="EA220" s="486"/>
      <c r="EB220" s="486"/>
      <c r="EC220" s="486"/>
      <c r="ED220" s="486"/>
      <c r="EE220" s="43"/>
      <c r="EF220" s="43"/>
      <c r="EL220" s="3"/>
      <c r="EM220" s="3"/>
      <c r="EO220" s="41"/>
      <c r="EP220" s="41"/>
      <c r="FC220" s="3"/>
      <c r="FE220" s="39"/>
      <c r="FF220" s="39"/>
      <c r="FH220" s="41"/>
      <c r="FI220" s="41"/>
      <c r="FM220" s="3"/>
      <c r="FN220" s="3"/>
      <c r="FO220" s="486"/>
      <c r="FP220" s="486"/>
      <c r="FQ220" s="486"/>
      <c r="FR220" s="486"/>
      <c r="FS220" s="43"/>
      <c r="FT220" s="43"/>
      <c r="FX220" s="3"/>
      <c r="FY220" s="3"/>
      <c r="GA220" s="41"/>
      <c r="GB220" s="41"/>
      <c r="GG220" s="3"/>
      <c r="GH220" s="3"/>
      <c r="GI220" s="486"/>
      <c r="GJ220" s="486"/>
      <c r="GK220" s="486"/>
      <c r="GL220" s="486"/>
      <c r="GM220" s="43"/>
      <c r="GN220" s="43"/>
      <c r="GO220" s="393"/>
      <c r="GS220" s="3"/>
      <c r="GT220" s="3"/>
      <c r="GV220" s="41"/>
      <c r="GW220" s="41"/>
      <c r="HA220" s="3"/>
      <c r="HB220" s="3"/>
      <c r="HC220" s="43"/>
      <c r="HD220" s="43"/>
      <c r="HE220" s="43"/>
      <c r="HF220" s="43"/>
      <c r="HG220" s="43"/>
    </row>
    <row r="221" spans="19:215">
      <c r="S221" s="442"/>
      <c r="AV221" s="442"/>
      <c r="CC221" s="3"/>
      <c r="CD221" s="3"/>
      <c r="CF221" s="41"/>
      <c r="CG221" s="41"/>
      <c r="CH221" s="3"/>
      <c r="CI221" s="486"/>
      <c r="CJ221" s="486"/>
      <c r="CK221" s="486"/>
      <c r="CL221" s="486"/>
      <c r="CM221" s="258"/>
      <c r="CN221" s="43"/>
      <c r="CZ221" s="3"/>
      <c r="DA221" s="3"/>
      <c r="DC221" s="41"/>
      <c r="DD221" s="41"/>
      <c r="DE221" s="3"/>
      <c r="DF221" s="118"/>
      <c r="DG221" s="700"/>
      <c r="DH221" s="700"/>
      <c r="DI221" s="700"/>
      <c r="DJ221" s="700"/>
      <c r="DK221" s="43"/>
      <c r="DL221" s="43"/>
      <c r="DS221" s="3"/>
      <c r="DT221" s="3"/>
      <c r="DV221" s="41"/>
      <c r="DW221" s="41"/>
      <c r="DY221" s="118"/>
      <c r="DZ221" s="3"/>
      <c r="EA221" s="486"/>
      <c r="EB221" s="486"/>
      <c r="EC221" s="486"/>
      <c r="ED221" s="486"/>
      <c r="EE221" s="43"/>
      <c r="EF221" s="43"/>
      <c r="EL221" s="3"/>
      <c r="EM221" s="3"/>
      <c r="EO221" s="41"/>
      <c r="EP221" s="41"/>
      <c r="FC221" s="3"/>
      <c r="FE221" s="39"/>
      <c r="FF221" s="39"/>
      <c r="FH221" s="41"/>
      <c r="FI221" s="41"/>
      <c r="FM221" s="3"/>
      <c r="FN221" s="3"/>
      <c r="FO221" s="486"/>
      <c r="FP221" s="486"/>
      <c r="FQ221" s="486"/>
      <c r="FR221" s="486"/>
      <c r="FS221" s="43"/>
      <c r="FT221" s="43"/>
      <c r="FX221" s="3"/>
      <c r="FY221" s="3"/>
      <c r="GA221" s="41"/>
      <c r="GB221" s="41"/>
      <c r="GG221" s="3"/>
      <c r="GH221" s="3"/>
      <c r="GI221" s="486"/>
      <c r="GJ221" s="486"/>
      <c r="GK221" s="486"/>
      <c r="GL221" s="486"/>
      <c r="GM221" s="43"/>
      <c r="GN221" s="43"/>
      <c r="GO221" s="393"/>
      <c r="GS221" s="3"/>
      <c r="GT221" s="3"/>
      <c r="GV221" s="41"/>
      <c r="GW221" s="41"/>
      <c r="HA221" s="3"/>
      <c r="HB221" s="3"/>
      <c r="HC221" s="43"/>
      <c r="HD221" s="43"/>
      <c r="HE221" s="43"/>
      <c r="HF221" s="43"/>
      <c r="HG221" s="43"/>
    </row>
    <row r="222" spans="19:215">
      <c r="S222" s="442"/>
      <c r="AV222" s="442"/>
      <c r="CC222" s="3"/>
      <c r="CD222" s="3"/>
      <c r="CF222" s="41"/>
      <c r="CG222" s="41"/>
      <c r="CH222" s="3"/>
      <c r="CI222" s="486"/>
      <c r="CJ222" s="486"/>
      <c r="CK222" s="486"/>
      <c r="CL222" s="486"/>
      <c r="CM222" s="258"/>
      <c r="CN222" s="43"/>
      <c r="CZ222" s="3"/>
      <c r="DA222" s="3"/>
      <c r="DC222" s="41"/>
      <c r="DD222" s="41"/>
      <c r="DE222" s="3"/>
      <c r="DF222" s="118"/>
      <c r="DG222" s="700"/>
      <c r="DH222" s="700"/>
      <c r="DI222" s="700"/>
      <c r="DJ222" s="700"/>
      <c r="DK222" s="43"/>
      <c r="DL222" s="43"/>
      <c r="DS222" s="3"/>
      <c r="DT222" s="3"/>
      <c r="DV222" s="41"/>
      <c r="DW222" s="41"/>
      <c r="DY222" s="118"/>
      <c r="DZ222" s="3"/>
      <c r="EA222" s="486"/>
      <c r="EB222" s="486"/>
      <c r="EC222" s="486"/>
      <c r="ED222" s="486"/>
      <c r="EE222" s="43"/>
      <c r="EF222" s="43"/>
      <c r="EL222" s="3"/>
      <c r="EM222" s="3"/>
      <c r="EO222" s="41"/>
      <c r="EP222" s="41"/>
      <c r="FC222" s="3"/>
      <c r="FE222" s="39"/>
      <c r="FF222" s="39"/>
      <c r="FH222" s="41"/>
      <c r="FI222" s="41"/>
      <c r="FM222" s="3"/>
      <c r="FN222" s="3"/>
      <c r="FO222" s="486"/>
      <c r="FP222" s="486"/>
      <c r="FQ222" s="486"/>
      <c r="FR222" s="486"/>
      <c r="FS222" s="43"/>
      <c r="FT222" s="43"/>
      <c r="FX222" s="3"/>
      <c r="FY222" s="3"/>
      <c r="GA222" s="41"/>
      <c r="GB222" s="41"/>
      <c r="GG222" s="3"/>
      <c r="GH222" s="3"/>
      <c r="GI222" s="486"/>
      <c r="GJ222" s="486"/>
      <c r="GK222" s="486"/>
      <c r="GL222" s="486"/>
      <c r="GM222" s="43"/>
      <c r="GN222" s="43"/>
      <c r="GO222" s="393"/>
      <c r="GS222" s="3"/>
      <c r="GT222" s="3"/>
      <c r="GV222" s="41"/>
      <c r="GW222" s="41"/>
      <c r="HA222" s="3"/>
      <c r="HB222" s="3"/>
      <c r="HC222" s="43"/>
      <c r="HD222" s="43"/>
      <c r="HE222" s="43"/>
      <c r="HF222" s="43"/>
      <c r="HG222" s="43"/>
    </row>
    <row r="223" spans="19:215">
      <c r="S223" s="442"/>
      <c r="AV223" s="442"/>
      <c r="CC223" s="3"/>
      <c r="CD223" s="3"/>
      <c r="CF223" s="41"/>
      <c r="CG223" s="41"/>
      <c r="CH223" s="3"/>
      <c r="CI223" s="486"/>
      <c r="CJ223" s="486"/>
      <c r="CK223" s="486"/>
      <c r="CL223" s="486"/>
      <c r="CM223" s="258"/>
      <c r="CN223" s="43"/>
      <c r="CZ223" s="3"/>
      <c r="DA223" s="3"/>
      <c r="DC223" s="41"/>
      <c r="DD223" s="41"/>
      <c r="DE223" s="3"/>
      <c r="DF223" s="118"/>
      <c r="DG223" s="700"/>
      <c r="DH223" s="700"/>
      <c r="DI223" s="700"/>
      <c r="DJ223" s="700"/>
      <c r="DK223" s="43"/>
      <c r="DL223" s="43"/>
      <c r="DS223" s="3"/>
      <c r="DT223" s="3"/>
      <c r="DV223" s="41"/>
      <c r="DW223" s="41"/>
      <c r="DY223" s="118"/>
      <c r="DZ223" s="3"/>
      <c r="EA223" s="486"/>
      <c r="EB223" s="486"/>
      <c r="EC223" s="486"/>
      <c r="ED223" s="486"/>
      <c r="EE223" s="43"/>
      <c r="EF223" s="43"/>
      <c r="EL223" s="3"/>
      <c r="EM223" s="3"/>
      <c r="EO223" s="41"/>
      <c r="EP223" s="41"/>
      <c r="FC223" s="3"/>
      <c r="FE223" s="39"/>
      <c r="FF223" s="39"/>
      <c r="FH223" s="41"/>
      <c r="FI223" s="41"/>
      <c r="FM223" s="3"/>
      <c r="FN223" s="3"/>
      <c r="FO223" s="486"/>
      <c r="FP223" s="486"/>
      <c r="FQ223" s="486"/>
      <c r="FR223" s="486"/>
      <c r="FS223" s="43"/>
      <c r="FT223" s="43"/>
      <c r="FX223" s="3"/>
      <c r="FY223" s="3"/>
      <c r="GA223" s="41"/>
      <c r="GB223" s="41"/>
      <c r="GG223" s="3"/>
      <c r="GH223" s="3"/>
      <c r="GI223" s="486"/>
      <c r="GJ223" s="486"/>
      <c r="GK223" s="486"/>
      <c r="GL223" s="486"/>
      <c r="GM223" s="43"/>
      <c r="GN223" s="43"/>
      <c r="GO223" s="393"/>
      <c r="GS223" s="3"/>
      <c r="GT223" s="3"/>
      <c r="GV223" s="41"/>
      <c r="GW223" s="41"/>
      <c r="HA223" s="3"/>
      <c r="HB223" s="3"/>
      <c r="HC223" s="43"/>
      <c r="HD223" s="43"/>
      <c r="HE223" s="43"/>
      <c r="HF223" s="43"/>
      <c r="HG223" s="43"/>
    </row>
    <row r="224" spans="19:215">
      <c r="S224" s="442"/>
      <c r="AV224" s="442"/>
      <c r="CC224" s="3"/>
      <c r="CD224" s="3"/>
      <c r="CF224" s="41"/>
      <c r="CG224" s="41"/>
      <c r="CH224" s="3"/>
      <c r="CI224" s="486"/>
      <c r="CJ224" s="486"/>
      <c r="CK224" s="486"/>
      <c r="CL224" s="486"/>
      <c r="CM224" s="258"/>
      <c r="CN224" s="43"/>
      <c r="CZ224" s="3"/>
      <c r="DA224" s="3"/>
      <c r="DC224" s="41"/>
      <c r="DD224" s="41"/>
      <c r="DE224" s="3"/>
      <c r="DF224" s="118"/>
      <c r="DG224" s="700"/>
      <c r="DH224" s="700"/>
      <c r="DI224" s="700"/>
      <c r="DJ224" s="700"/>
      <c r="DK224" s="43"/>
      <c r="DL224" s="43"/>
      <c r="DS224" s="3"/>
      <c r="DT224" s="3"/>
      <c r="DV224" s="41"/>
      <c r="DW224" s="41"/>
      <c r="DY224" s="118"/>
      <c r="DZ224" s="3"/>
      <c r="EA224" s="486"/>
      <c r="EB224" s="486"/>
      <c r="EC224" s="486"/>
      <c r="ED224" s="486"/>
      <c r="EE224" s="43"/>
      <c r="EF224" s="43"/>
      <c r="EL224" s="3"/>
      <c r="EM224" s="3"/>
      <c r="EO224" s="41"/>
      <c r="EP224" s="41"/>
      <c r="FC224" s="3"/>
      <c r="FE224" s="39"/>
      <c r="FF224" s="39"/>
      <c r="FH224" s="41"/>
      <c r="FI224" s="41"/>
      <c r="FM224" s="3"/>
      <c r="FN224" s="3"/>
      <c r="FO224" s="486"/>
      <c r="FP224" s="486"/>
      <c r="FQ224" s="486"/>
      <c r="FR224" s="486"/>
      <c r="FS224" s="43"/>
      <c r="FT224" s="43"/>
      <c r="FX224" s="3"/>
      <c r="FY224" s="3"/>
      <c r="GA224" s="41"/>
      <c r="GB224" s="41"/>
      <c r="GG224" s="3"/>
      <c r="GH224" s="3"/>
      <c r="GI224" s="486"/>
      <c r="GJ224" s="486"/>
      <c r="GK224" s="486"/>
      <c r="GL224" s="486"/>
      <c r="GM224" s="43"/>
      <c r="GN224" s="43"/>
      <c r="GO224" s="393"/>
      <c r="GS224" s="3"/>
      <c r="GT224" s="3"/>
      <c r="GV224" s="41"/>
      <c r="GW224" s="41"/>
      <c r="HA224" s="3"/>
      <c r="HB224" s="3"/>
      <c r="HC224" s="43"/>
      <c r="HD224" s="43"/>
      <c r="HE224" s="43"/>
      <c r="HF224" s="43"/>
      <c r="HG224" s="43"/>
    </row>
    <row r="225" spans="19:215">
      <c r="S225" s="442"/>
      <c r="AV225" s="442"/>
      <c r="CC225" s="3"/>
      <c r="CD225" s="3"/>
      <c r="CF225" s="41"/>
      <c r="CG225" s="41"/>
      <c r="CH225" s="3"/>
      <c r="CI225" s="486"/>
      <c r="CJ225" s="486"/>
      <c r="CK225" s="486"/>
      <c r="CL225" s="486"/>
      <c r="CM225" s="258"/>
      <c r="CN225" s="43"/>
      <c r="CZ225" s="3"/>
      <c r="DA225" s="3"/>
      <c r="DC225" s="41"/>
      <c r="DD225" s="41"/>
      <c r="DE225" s="3"/>
      <c r="DF225" s="118"/>
      <c r="DG225" s="700"/>
      <c r="DH225" s="700"/>
      <c r="DI225" s="700"/>
      <c r="DJ225" s="700"/>
      <c r="DK225" s="43"/>
      <c r="DL225" s="43"/>
      <c r="DS225" s="3"/>
      <c r="DT225" s="3"/>
      <c r="DV225" s="41"/>
      <c r="DW225" s="41"/>
      <c r="DY225" s="118"/>
      <c r="DZ225" s="3"/>
      <c r="EA225" s="486"/>
      <c r="EB225" s="486"/>
      <c r="EC225" s="486"/>
      <c r="ED225" s="486"/>
      <c r="EE225" s="43"/>
      <c r="EF225" s="43"/>
      <c r="EL225" s="3"/>
      <c r="EM225" s="3"/>
      <c r="EO225" s="41"/>
      <c r="EP225" s="41"/>
      <c r="FC225" s="3"/>
      <c r="FE225" s="39"/>
      <c r="FF225" s="39"/>
      <c r="FH225" s="41"/>
      <c r="FI225" s="41"/>
      <c r="FM225" s="3"/>
      <c r="FN225" s="3"/>
      <c r="FO225" s="486"/>
      <c r="FP225" s="486"/>
      <c r="FQ225" s="486"/>
      <c r="FR225" s="486"/>
      <c r="FS225" s="43"/>
      <c r="FT225" s="43"/>
      <c r="FX225" s="3"/>
      <c r="FY225" s="3"/>
      <c r="GA225" s="41"/>
      <c r="GB225" s="41"/>
      <c r="GG225" s="3"/>
      <c r="GH225" s="3"/>
      <c r="GI225" s="486"/>
      <c r="GJ225" s="486"/>
      <c r="GK225" s="486"/>
      <c r="GL225" s="486"/>
      <c r="GM225" s="43"/>
      <c r="GN225" s="43"/>
      <c r="GO225" s="393"/>
      <c r="GS225" s="3"/>
      <c r="GT225" s="3"/>
      <c r="GV225" s="41"/>
      <c r="GW225" s="41"/>
      <c r="HA225" s="3"/>
      <c r="HB225" s="3"/>
      <c r="HC225" s="43"/>
      <c r="HD225" s="43"/>
      <c r="HE225" s="43"/>
      <c r="HF225" s="43"/>
      <c r="HG225" s="43"/>
    </row>
    <row r="226" spans="19:215">
      <c r="S226" s="442"/>
      <c r="AV226" s="442"/>
      <c r="CC226" s="3"/>
      <c r="CD226" s="3"/>
      <c r="CF226" s="41"/>
      <c r="CG226" s="41"/>
      <c r="CH226" s="3"/>
      <c r="CI226" s="486"/>
      <c r="CJ226" s="486"/>
      <c r="CK226" s="486"/>
      <c r="CL226" s="486"/>
      <c r="CM226" s="258"/>
      <c r="CN226" s="43"/>
      <c r="CZ226" s="3"/>
      <c r="DA226" s="3"/>
      <c r="DC226" s="41"/>
      <c r="DD226" s="41"/>
      <c r="DE226" s="3"/>
      <c r="DF226" s="118"/>
      <c r="DG226" s="700"/>
      <c r="DH226" s="700"/>
      <c r="DI226" s="700"/>
      <c r="DJ226" s="700"/>
      <c r="DK226" s="43"/>
      <c r="DL226" s="43"/>
      <c r="DS226" s="3"/>
      <c r="DT226" s="3"/>
      <c r="DV226" s="41"/>
      <c r="DW226" s="41"/>
      <c r="DY226" s="118"/>
      <c r="DZ226" s="3"/>
      <c r="EA226" s="486"/>
      <c r="EB226" s="486"/>
      <c r="EC226" s="486"/>
      <c r="ED226" s="486"/>
      <c r="EE226" s="43"/>
      <c r="EF226" s="43"/>
      <c r="EL226" s="3"/>
      <c r="EM226" s="3"/>
      <c r="EO226" s="41"/>
      <c r="EP226" s="41"/>
      <c r="FC226" s="3"/>
      <c r="FE226" s="39"/>
      <c r="FF226" s="39"/>
      <c r="FH226" s="41"/>
      <c r="FI226" s="41"/>
      <c r="FM226" s="3"/>
      <c r="FN226" s="3"/>
      <c r="FO226" s="486"/>
      <c r="FP226" s="486"/>
      <c r="FQ226" s="486"/>
      <c r="FR226" s="486"/>
      <c r="FS226" s="43"/>
      <c r="FT226" s="43"/>
      <c r="FX226" s="3"/>
      <c r="FY226" s="3"/>
      <c r="GA226" s="41"/>
      <c r="GB226" s="41"/>
      <c r="GG226" s="3"/>
      <c r="GH226" s="3"/>
      <c r="GI226" s="486"/>
      <c r="GJ226" s="486"/>
      <c r="GK226" s="486"/>
      <c r="GL226" s="486"/>
      <c r="GM226" s="43"/>
      <c r="GN226" s="43"/>
      <c r="GO226" s="393"/>
      <c r="GS226" s="3"/>
      <c r="GT226" s="3"/>
      <c r="GV226" s="41"/>
      <c r="GW226" s="41"/>
      <c r="HA226" s="3"/>
      <c r="HB226" s="3"/>
      <c r="HC226" s="43"/>
      <c r="HD226" s="43"/>
      <c r="HE226" s="43"/>
      <c r="HF226" s="43"/>
      <c r="HG226" s="43"/>
    </row>
    <row r="227" spans="19:215">
      <c r="S227" s="442"/>
      <c r="AV227" s="442"/>
      <c r="CC227" s="3"/>
      <c r="CD227" s="3"/>
      <c r="CF227" s="41"/>
      <c r="CG227" s="41"/>
      <c r="CH227" s="3"/>
      <c r="CI227" s="486"/>
      <c r="CJ227" s="486"/>
      <c r="CK227" s="486"/>
      <c r="CL227" s="486"/>
      <c r="CM227" s="258"/>
      <c r="CN227" s="43"/>
      <c r="CZ227" s="3"/>
      <c r="DA227" s="3"/>
      <c r="DC227" s="41"/>
      <c r="DD227" s="41"/>
      <c r="DE227" s="3"/>
      <c r="DF227" s="118"/>
      <c r="DG227" s="700"/>
      <c r="DH227" s="700"/>
      <c r="DI227" s="700"/>
      <c r="DJ227" s="700"/>
      <c r="DK227" s="43"/>
      <c r="DL227" s="43"/>
      <c r="DS227" s="3"/>
      <c r="DT227" s="3"/>
      <c r="DV227" s="41"/>
      <c r="DW227" s="41"/>
      <c r="DY227" s="118"/>
      <c r="DZ227" s="3"/>
      <c r="EA227" s="486"/>
      <c r="EB227" s="486"/>
      <c r="EC227" s="486"/>
      <c r="ED227" s="486"/>
      <c r="EE227" s="43"/>
      <c r="EF227" s="43"/>
      <c r="EL227" s="3"/>
      <c r="EM227" s="3"/>
      <c r="EO227" s="41"/>
      <c r="EP227" s="41"/>
      <c r="FC227" s="3"/>
      <c r="FE227" s="39"/>
      <c r="FF227" s="39"/>
      <c r="FH227" s="41"/>
      <c r="FI227" s="41"/>
      <c r="FM227" s="3"/>
      <c r="FN227" s="3"/>
      <c r="FO227" s="486"/>
      <c r="FP227" s="486"/>
      <c r="FQ227" s="486"/>
      <c r="FR227" s="486"/>
      <c r="FS227" s="43"/>
      <c r="FT227" s="43"/>
      <c r="FX227" s="3"/>
      <c r="FY227" s="3"/>
      <c r="GA227" s="41"/>
      <c r="GB227" s="41"/>
      <c r="GG227" s="3"/>
      <c r="GH227" s="3"/>
      <c r="GI227" s="486"/>
      <c r="GJ227" s="486"/>
      <c r="GK227" s="486"/>
      <c r="GL227" s="486"/>
      <c r="GM227" s="43"/>
      <c r="GN227" s="43"/>
      <c r="GO227" s="393"/>
      <c r="GS227" s="3"/>
      <c r="GT227" s="3"/>
      <c r="GV227" s="41"/>
      <c r="GW227" s="41"/>
      <c r="HA227" s="3"/>
      <c r="HB227" s="3"/>
      <c r="HC227" s="43"/>
      <c r="HD227" s="43"/>
      <c r="HE227" s="43"/>
      <c r="HF227" s="43"/>
      <c r="HG227" s="43"/>
    </row>
    <row r="228" spans="19:215">
      <c r="S228" s="442"/>
      <c r="AV228" s="442"/>
      <c r="CC228" s="3"/>
      <c r="CD228" s="3"/>
      <c r="CF228" s="41"/>
      <c r="CG228" s="41"/>
      <c r="CH228" s="3"/>
      <c r="CI228" s="486"/>
      <c r="CJ228" s="486"/>
      <c r="CK228" s="486"/>
      <c r="CL228" s="486"/>
      <c r="CM228" s="258"/>
      <c r="CN228" s="43"/>
      <c r="CZ228" s="3"/>
      <c r="DA228" s="3"/>
      <c r="DC228" s="41"/>
      <c r="DD228" s="41"/>
      <c r="DE228" s="3"/>
      <c r="DF228" s="118"/>
      <c r="DG228" s="700"/>
      <c r="DH228" s="700"/>
      <c r="DI228" s="700"/>
      <c r="DJ228" s="700"/>
      <c r="DK228" s="43"/>
      <c r="DL228" s="43"/>
      <c r="DS228" s="3"/>
      <c r="DT228" s="3"/>
      <c r="DV228" s="41"/>
      <c r="DW228" s="41"/>
      <c r="DY228" s="118"/>
      <c r="DZ228" s="3"/>
      <c r="EA228" s="486"/>
      <c r="EB228" s="486"/>
      <c r="EC228" s="486"/>
      <c r="ED228" s="486"/>
      <c r="EE228" s="43"/>
      <c r="EF228" s="43"/>
      <c r="EL228" s="3"/>
      <c r="EM228" s="3"/>
      <c r="EO228" s="41"/>
      <c r="EP228" s="41"/>
      <c r="FC228" s="3"/>
      <c r="FE228" s="39"/>
      <c r="FF228" s="39"/>
      <c r="FH228" s="41"/>
      <c r="FI228" s="41"/>
      <c r="FM228" s="3"/>
      <c r="FN228" s="3"/>
      <c r="FO228" s="486"/>
      <c r="FP228" s="486"/>
      <c r="FQ228" s="486"/>
      <c r="FR228" s="486"/>
      <c r="FS228" s="43"/>
      <c r="FT228" s="43"/>
      <c r="FX228" s="3"/>
      <c r="FY228" s="3"/>
      <c r="GA228" s="41"/>
      <c r="GB228" s="41"/>
      <c r="GG228" s="3"/>
      <c r="GH228" s="3"/>
      <c r="GI228" s="486"/>
      <c r="GJ228" s="486"/>
      <c r="GK228" s="486"/>
      <c r="GL228" s="486"/>
      <c r="GM228" s="43"/>
      <c r="GN228" s="43"/>
      <c r="GO228" s="393"/>
      <c r="GS228" s="3"/>
      <c r="GT228" s="3"/>
      <c r="GV228" s="41"/>
      <c r="GW228" s="41"/>
      <c r="HA228" s="3"/>
      <c r="HB228" s="3"/>
      <c r="HC228" s="43"/>
      <c r="HD228" s="43"/>
      <c r="HE228" s="43"/>
      <c r="HF228" s="43"/>
      <c r="HG228" s="43"/>
    </row>
    <row r="229" spans="19:215">
      <c r="S229" s="442"/>
      <c r="AV229" s="442"/>
      <c r="CC229" s="3"/>
      <c r="CD229" s="3"/>
      <c r="CF229" s="41"/>
      <c r="CG229" s="41"/>
      <c r="CH229" s="3"/>
      <c r="CI229" s="486"/>
      <c r="CJ229" s="486"/>
      <c r="CK229" s="486"/>
      <c r="CL229" s="486"/>
      <c r="CM229" s="258"/>
      <c r="CN229" s="43"/>
      <c r="CZ229" s="3"/>
      <c r="DA229" s="3"/>
      <c r="DC229" s="41"/>
      <c r="DD229" s="41"/>
      <c r="DE229" s="3"/>
      <c r="DF229" s="118"/>
      <c r="DG229" s="700"/>
      <c r="DH229" s="700"/>
      <c r="DI229" s="700"/>
      <c r="DJ229" s="700"/>
      <c r="DK229" s="43"/>
      <c r="DL229" s="43"/>
      <c r="DS229" s="3"/>
      <c r="DT229" s="3"/>
      <c r="DV229" s="41"/>
      <c r="DW229" s="41"/>
      <c r="DY229" s="118"/>
      <c r="DZ229" s="3"/>
      <c r="EA229" s="486"/>
      <c r="EB229" s="486"/>
      <c r="EC229" s="486"/>
      <c r="ED229" s="486"/>
      <c r="EE229" s="43"/>
      <c r="EF229" s="43"/>
      <c r="EL229" s="3"/>
      <c r="EM229" s="3"/>
      <c r="EO229" s="41"/>
      <c r="EP229" s="41"/>
      <c r="FC229" s="3"/>
      <c r="FE229" s="39"/>
      <c r="FF229" s="39"/>
      <c r="FH229" s="41"/>
      <c r="FI229" s="41"/>
      <c r="FM229" s="3"/>
      <c r="FN229" s="3"/>
      <c r="FO229" s="486"/>
      <c r="FP229" s="486"/>
      <c r="FQ229" s="486"/>
      <c r="FR229" s="486"/>
      <c r="FS229" s="43"/>
      <c r="FT229" s="43"/>
      <c r="FX229" s="3"/>
      <c r="FY229" s="3"/>
      <c r="GA229" s="41"/>
      <c r="GB229" s="41"/>
      <c r="GG229" s="3"/>
      <c r="GH229" s="3"/>
      <c r="GI229" s="486"/>
      <c r="GJ229" s="486"/>
      <c r="GK229" s="486"/>
      <c r="GL229" s="486"/>
      <c r="GM229" s="43"/>
      <c r="GN229" s="43"/>
      <c r="GO229" s="393"/>
      <c r="GS229" s="3"/>
      <c r="GT229" s="3"/>
      <c r="GV229" s="41"/>
      <c r="GW229" s="41"/>
      <c r="HA229" s="3"/>
      <c r="HB229" s="3"/>
      <c r="HC229" s="43"/>
      <c r="HD229" s="43"/>
      <c r="HE229" s="43"/>
      <c r="HF229" s="43"/>
      <c r="HG229" s="43"/>
    </row>
    <row r="230" spans="19:215">
      <c r="S230" s="442"/>
      <c r="AV230" s="442"/>
      <c r="CC230" s="3"/>
      <c r="CD230" s="3"/>
      <c r="CF230" s="41"/>
      <c r="CG230" s="41"/>
      <c r="CH230" s="3"/>
      <c r="CI230" s="486"/>
      <c r="CJ230" s="486"/>
      <c r="CK230" s="486"/>
      <c r="CL230" s="486"/>
      <c r="CM230" s="258"/>
      <c r="CN230" s="43"/>
      <c r="CZ230" s="3"/>
      <c r="DA230" s="3"/>
      <c r="DC230" s="41"/>
      <c r="DD230" s="41"/>
      <c r="DE230" s="3"/>
      <c r="DF230" s="118"/>
      <c r="DG230" s="700"/>
      <c r="DH230" s="700"/>
      <c r="DI230" s="700"/>
      <c r="DJ230" s="700"/>
      <c r="DK230" s="43"/>
      <c r="DL230" s="43"/>
      <c r="DS230" s="3"/>
      <c r="DT230" s="3"/>
      <c r="DV230" s="41"/>
      <c r="DW230" s="41"/>
      <c r="DY230" s="118"/>
      <c r="DZ230" s="3"/>
      <c r="EA230" s="486"/>
      <c r="EB230" s="486"/>
      <c r="EC230" s="486"/>
      <c r="ED230" s="486"/>
      <c r="EE230" s="43"/>
      <c r="EF230" s="43"/>
      <c r="EL230" s="3"/>
      <c r="EM230" s="3"/>
      <c r="EO230" s="41"/>
      <c r="EP230" s="41"/>
      <c r="FC230" s="3"/>
      <c r="FE230" s="39"/>
      <c r="FF230" s="39"/>
      <c r="FH230" s="41"/>
      <c r="FI230" s="41"/>
      <c r="FM230" s="3"/>
      <c r="FN230" s="3"/>
      <c r="FO230" s="486"/>
      <c r="FP230" s="486"/>
      <c r="FQ230" s="486"/>
      <c r="FR230" s="486"/>
      <c r="FS230" s="43"/>
      <c r="FT230" s="43"/>
      <c r="FX230" s="3"/>
      <c r="FY230" s="3"/>
      <c r="GA230" s="41"/>
      <c r="GB230" s="41"/>
      <c r="GG230" s="3"/>
      <c r="GH230" s="3"/>
      <c r="GI230" s="486"/>
      <c r="GJ230" s="486"/>
      <c r="GK230" s="486"/>
      <c r="GL230" s="486"/>
      <c r="GM230" s="43"/>
      <c r="GN230" s="43"/>
      <c r="GO230" s="393"/>
      <c r="GS230" s="3"/>
      <c r="GT230" s="3"/>
      <c r="GV230" s="41"/>
      <c r="GW230" s="41"/>
      <c r="HA230" s="3"/>
      <c r="HB230" s="3"/>
      <c r="HC230" s="43"/>
      <c r="HD230" s="43"/>
      <c r="HE230" s="43"/>
      <c r="HF230" s="43"/>
      <c r="HG230" s="43"/>
    </row>
    <row r="231" spans="19:215">
      <c r="S231" s="442"/>
      <c r="AV231" s="442"/>
      <c r="CC231" s="3"/>
      <c r="CD231" s="3"/>
      <c r="CF231" s="41"/>
      <c r="CG231" s="41"/>
      <c r="CH231" s="3"/>
      <c r="CI231" s="486"/>
      <c r="CJ231" s="486"/>
      <c r="CK231" s="486"/>
      <c r="CL231" s="486"/>
      <c r="CM231" s="258"/>
      <c r="CN231" s="43"/>
      <c r="CZ231" s="3"/>
      <c r="DA231" s="3"/>
      <c r="DC231" s="41"/>
      <c r="DD231" s="41"/>
      <c r="DE231" s="3"/>
      <c r="DF231" s="118"/>
      <c r="DG231" s="700"/>
      <c r="DH231" s="700"/>
      <c r="DI231" s="700"/>
      <c r="DJ231" s="700"/>
      <c r="DK231" s="43"/>
      <c r="DL231" s="43"/>
      <c r="DS231" s="3"/>
      <c r="DT231" s="3"/>
      <c r="DV231" s="41"/>
      <c r="DW231" s="41"/>
      <c r="DY231" s="118"/>
      <c r="DZ231" s="3"/>
      <c r="EA231" s="486"/>
      <c r="EB231" s="486"/>
      <c r="EC231" s="486"/>
      <c r="ED231" s="486"/>
      <c r="EE231" s="43"/>
      <c r="EF231" s="43"/>
      <c r="EL231" s="3"/>
      <c r="EM231" s="3"/>
      <c r="EO231" s="41"/>
      <c r="EP231" s="41"/>
      <c r="FC231" s="3"/>
      <c r="FE231" s="39"/>
      <c r="FF231" s="39"/>
      <c r="FH231" s="41"/>
      <c r="FI231" s="41"/>
      <c r="FM231" s="3"/>
      <c r="FN231" s="3"/>
      <c r="FO231" s="486"/>
      <c r="FP231" s="486"/>
      <c r="FQ231" s="486"/>
      <c r="FR231" s="486"/>
      <c r="FS231" s="43"/>
      <c r="FT231" s="43"/>
      <c r="FX231" s="3"/>
      <c r="FY231" s="3"/>
      <c r="GA231" s="41"/>
      <c r="GB231" s="41"/>
      <c r="GG231" s="3"/>
      <c r="GH231" s="3"/>
      <c r="GI231" s="486"/>
      <c r="GJ231" s="486"/>
      <c r="GK231" s="486"/>
      <c r="GL231" s="486"/>
      <c r="GM231" s="43"/>
      <c r="GN231" s="43"/>
      <c r="GO231" s="393"/>
      <c r="GS231" s="3"/>
      <c r="GT231" s="3"/>
      <c r="GV231" s="41"/>
      <c r="GW231" s="41"/>
      <c r="HA231" s="3"/>
      <c r="HB231" s="3"/>
      <c r="HC231" s="43"/>
      <c r="HD231" s="43"/>
      <c r="HE231" s="43"/>
      <c r="HF231" s="43"/>
      <c r="HG231" s="43"/>
    </row>
    <row r="232" spans="19:215">
      <c r="S232" s="442"/>
      <c r="AV232" s="442"/>
      <c r="CC232" s="3"/>
      <c r="CD232" s="3"/>
      <c r="CF232" s="41"/>
      <c r="CG232" s="41"/>
      <c r="CH232" s="3"/>
      <c r="CI232" s="486"/>
      <c r="CJ232" s="486"/>
      <c r="CK232" s="486"/>
      <c r="CL232" s="486"/>
      <c r="CM232" s="258"/>
      <c r="CN232" s="43"/>
      <c r="CZ232" s="3"/>
      <c r="DA232" s="3"/>
      <c r="DC232" s="41"/>
      <c r="DD232" s="41"/>
      <c r="DE232" s="3"/>
      <c r="DF232" s="118"/>
      <c r="DG232" s="700"/>
      <c r="DH232" s="700"/>
      <c r="DI232" s="700"/>
      <c r="DJ232" s="700"/>
      <c r="DK232" s="43"/>
      <c r="DL232" s="43"/>
      <c r="DS232" s="3"/>
      <c r="DT232" s="3"/>
      <c r="DV232" s="41"/>
      <c r="DW232" s="41"/>
      <c r="DY232" s="118"/>
      <c r="DZ232" s="3"/>
      <c r="EA232" s="486"/>
      <c r="EB232" s="486"/>
      <c r="EC232" s="486"/>
      <c r="ED232" s="486"/>
      <c r="EE232" s="43"/>
      <c r="EF232" s="43"/>
      <c r="EL232" s="3"/>
      <c r="EM232" s="3"/>
      <c r="EO232" s="41"/>
      <c r="EP232" s="41"/>
      <c r="FC232" s="3"/>
      <c r="FE232" s="39"/>
      <c r="FF232" s="39"/>
      <c r="FH232" s="41"/>
      <c r="FI232" s="41"/>
      <c r="FM232" s="3"/>
      <c r="FN232" s="3"/>
      <c r="FO232" s="486"/>
      <c r="FP232" s="486"/>
      <c r="FQ232" s="486"/>
      <c r="FR232" s="486"/>
      <c r="FS232" s="43"/>
      <c r="FT232" s="43"/>
      <c r="FX232" s="3"/>
      <c r="FY232" s="3"/>
      <c r="GA232" s="41"/>
      <c r="GB232" s="41"/>
      <c r="GG232" s="3"/>
      <c r="GH232" s="3"/>
      <c r="GI232" s="486"/>
      <c r="GJ232" s="486"/>
      <c r="GK232" s="486"/>
      <c r="GL232" s="486"/>
      <c r="GM232" s="43"/>
      <c r="GN232" s="43"/>
      <c r="GO232" s="393"/>
      <c r="GS232" s="3"/>
      <c r="GT232" s="3"/>
      <c r="GV232" s="41"/>
      <c r="GW232" s="41"/>
      <c r="HA232" s="3"/>
      <c r="HB232" s="3"/>
      <c r="HC232" s="43"/>
      <c r="HD232" s="43"/>
      <c r="HE232" s="43"/>
      <c r="HF232" s="43"/>
      <c r="HG232" s="43"/>
    </row>
    <row r="233" spans="19:215">
      <c r="S233" s="442"/>
      <c r="AV233" s="442"/>
      <c r="CC233" s="3"/>
      <c r="CD233" s="3"/>
      <c r="CF233" s="41"/>
      <c r="CG233" s="41"/>
      <c r="CH233" s="3"/>
      <c r="CI233" s="486"/>
      <c r="CJ233" s="486"/>
      <c r="CK233" s="486"/>
      <c r="CL233" s="486"/>
      <c r="CM233" s="258"/>
      <c r="CN233" s="43"/>
      <c r="CZ233" s="3"/>
      <c r="DA233" s="3"/>
      <c r="DC233" s="41"/>
      <c r="DD233" s="41"/>
      <c r="DE233" s="3"/>
      <c r="DF233" s="118"/>
      <c r="DG233" s="700"/>
      <c r="DH233" s="700"/>
      <c r="DI233" s="700"/>
      <c r="DJ233" s="700"/>
      <c r="DK233" s="43"/>
      <c r="DL233" s="43"/>
      <c r="DS233" s="3"/>
      <c r="DT233" s="3"/>
      <c r="DV233" s="41"/>
      <c r="DW233" s="41"/>
      <c r="DY233" s="118"/>
      <c r="DZ233" s="3"/>
      <c r="EA233" s="486"/>
      <c r="EB233" s="486"/>
      <c r="EC233" s="486"/>
      <c r="ED233" s="486"/>
      <c r="EE233" s="43"/>
      <c r="EF233" s="43"/>
      <c r="EL233" s="3"/>
      <c r="EM233" s="3"/>
      <c r="EO233" s="41"/>
      <c r="EP233" s="41"/>
      <c r="FC233" s="3"/>
      <c r="FE233" s="39"/>
      <c r="FF233" s="39"/>
      <c r="FH233" s="41"/>
      <c r="FI233" s="41"/>
      <c r="FM233" s="3"/>
      <c r="FN233" s="3"/>
      <c r="FO233" s="486"/>
      <c r="FP233" s="486"/>
      <c r="FQ233" s="486"/>
      <c r="FR233" s="486"/>
      <c r="FS233" s="43"/>
      <c r="FT233" s="43"/>
      <c r="FX233" s="3"/>
      <c r="FY233" s="3"/>
      <c r="GA233" s="41"/>
      <c r="GB233" s="41"/>
      <c r="GG233" s="3"/>
      <c r="GH233" s="3"/>
      <c r="GI233" s="486"/>
      <c r="GJ233" s="486"/>
      <c r="GK233" s="486"/>
      <c r="GL233" s="486"/>
      <c r="GM233" s="43"/>
      <c r="GN233" s="43"/>
      <c r="GO233" s="393"/>
      <c r="GS233" s="3"/>
      <c r="GT233" s="3"/>
      <c r="GV233" s="41"/>
      <c r="GW233" s="41"/>
      <c r="HA233" s="3"/>
      <c r="HB233" s="3"/>
      <c r="HC233" s="43"/>
      <c r="HD233" s="43"/>
      <c r="HE233" s="43"/>
      <c r="HF233" s="43"/>
      <c r="HG233" s="43"/>
    </row>
    <row r="234" spans="19:215">
      <c r="S234" s="442"/>
      <c r="AV234" s="442"/>
      <c r="CC234" s="3"/>
      <c r="CD234" s="3"/>
      <c r="CF234" s="41"/>
      <c r="CG234" s="41"/>
      <c r="CH234" s="3"/>
      <c r="CI234" s="486"/>
      <c r="CJ234" s="486"/>
      <c r="CK234" s="486"/>
      <c r="CL234" s="486"/>
      <c r="CM234" s="258"/>
      <c r="CN234" s="43"/>
      <c r="CZ234" s="3"/>
      <c r="DA234" s="3"/>
      <c r="DC234" s="41"/>
      <c r="DD234" s="41"/>
      <c r="DE234" s="3"/>
      <c r="DF234" s="118"/>
      <c r="DG234" s="700"/>
      <c r="DH234" s="700"/>
      <c r="DI234" s="700"/>
      <c r="DJ234" s="700"/>
      <c r="DK234" s="43"/>
      <c r="DL234" s="43"/>
      <c r="DS234" s="3"/>
      <c r="DT234" s="3"/>
      <c r="DV234" s="41"/>
      <c r="DW234" s="41"/>
      <c r="DY234" s="118"/>
      <c r="DZ234" s="3"/>
      <c r="EA234" s="486"/>
      <c r="EB234" s="486"/>
      <c r="EC234" s="486"/>
      <c r="ED234" s="486"/>
      <c r="EE234" s="43"/>
      <c r="EF234" s="43"/>
      <c r="EL234" s="3"/>
      <c r="EM234" s="3"/>
      <c r="EO234" s="41"/>
      <c r="EP234" s="41"/>
      <c r="FC234" s="3"/>
      <c r="FE234" s="39"/>
      <c r="FF234" s="39"/>
      <c r="FH234" s="41"/>
      <c r="FI234" s="41"/>
      <c r="FM234" s="3"/>
      <c r="FN234" s="3"/>
      <c r="FO234" s="486"/>
      <c r="FP234" s="486"/>
      <c r="FQ234" s="486"/>
      <c r="FR234" s="486"/>
      <c r="FS234" s="43"/>
      <c r="FT234" s="43"/>
      <c r="FX234" s="3"/>
      <c r="FY234" s="3"/>
      <c r="GA234" s="41"/>
      <c r="GB234" s="41"/>
      <c r="GG234" s="3"/>
      <c r="GH234" s="3"/>
      <c r="GI234" s="486"/>
      <c r="GJ234" s="486"/>
      <c r="GK234" s="486"/>
      <c r="GL234" s="486"/>
      <c r="GM234" s="43"/>
      <c r="GN234" s="43"/>
      <c r="GO234" s="393"/>
      <c r="GS234" s="3"/>
      <c r="GT234" s="3"/>
      <c r="GV234" s="41"/>
      <c r="GW234" s="41"/>
      <c r="HA234" s="3"/>
      <c r="HB234" s="3"/>
      <c r="HC234" s="43"/>
      <c r="HD234" s="43"/>
      <c r="HE234" s="43"/>
      <c r="HF234" s="43"/>
      <c r="HG234" s="43"/>
    </row>
    <row r="235" spans="19:215">
      <c r="S235" s="442"/>
      <c r="AV235" s="442"/>
      <c r="CC235" s="3"/>
      <c r="CD235" s="3"/>
      <c r="CF235" s="41"/>
      <c r="CG235" s="41"/>
      <c r="CH235" s="3"/>
      <c r="CI235" s="486"/>
      <c r="CJ235" s="486"/>
      <c r="CK235" s="486"/>
      <c r="CL235" s="486"/>
      <c r="CM235" s="258"/>
      <c r="CN235" s="43"/>
      <c r="CZ235" s="3"/>
      <c r="DA235" s="3"/>
      <c r="DC235" s="41"/>
      <c r="DD235" s="41"/>
      <c r="DE235" s="3"/>
      <c r="DF235" s="118"/>
      <c r="DG235" s="700"/>
      <c r="DH235" s="700"/>
      <c r="DI235" s="700"/>
      <c r="DJ235" s="700"/>
      <c r="DK235" s="43"/>
      <c r="DL235" s="43"/>
      <c r="DS235" s="3"/>
      <c r="DT235" s="3"/>
      <c r="DV235" s="41"/>
      <c r="DW235" s="41"/>
      <c r="DY235" s="118"/>
      <c r="DZ235" s="3"/>
      <c r="EA235" s="486"/>
      <c r="EB235" s="486"/>
      <c r="EC235" s="486"/>
      <c r="ED235" s="486"/>
      <c r="EE235" s="43"/>
      <c r="EF235" s="43"/>
      <c r="EL235" s="3"/>
      <c r="EM235" s="3"/>
      <c r="EO235" s="41"/>
      <c r="EP235" s="41"/>
      <c r="FC235" s="3"/>
      <c r="FE235" s="39"/>
      <c r="FF235" s="39"/>
      <c r="FH235" s="41"/>
      <c r="FI235" s="41"/>
      <c r="FM235" s="3"/>
      <c r="FN235" s="3"/>
      <c r="FO235" s="486"/>
      <c r="FP235" s="486"/>
      <c r="FQ235" s="486"/>
      <c r="FR235" s="486"/>
      <c r="FS235" s="43"/>
      <c r="FT235" s="43"/>
      <c r="FX235" s="3"/>
      <c r="FY235" s="3"/>
      <c r="GA235" s="41"/>
      <c r="GB235" s="41"/>
      <c r="GG235" s="3"/>
      <c r="GH235" s="3"/>
      <c r="GI235" s="486"/>
      <c r="GJ235" s="486"/>
      <c r="GK235" s="486"/>
      <c r="GL235" s="486"/>
      <c r="GM235" s="43"/>
      <c r="GN235" s="43"/>
      <c r="GO235" s="393"/>
      <c r="GS235" s="3"/>
      <c r="GT235" s="3"/>
      <c r="GV235" s="41"/>
      <c r="GW235" s="41"/>
      <c r="HA235" s="3"/>
      <c r="HB235" s="3"/>
      <c r="HC235" s="43"/>
      <c r="HD235" s="43"/>
      <c r="HE235" s="43"/>
      <c r="HF235" s="43"/>
      <c r="HG235" s="43"/>
    </row>
    <row r="236" spans="19:215">
      <c r="S236" s="442"/>
      <c r="AV236" s="442"/>
      <c r="CC236" s="3"/>
      <c r="CD236" s="3"/>
      <c r="CF236" s="41"/>
      <c r="CG236" s="41"/>
      <c r="CH236" s="3"/>
      <c r="CI236" s="486"/>
      <c r="CJ236" s="486"/>
      <c r="CK236" s="486"/>
      <c r="CL236" s="486"/>
      <c r="CM236" s="258"/>
      <c r="CN236" s="43"/>
      <c r="CZ236" s="3"/>
      <c r="DA236" s="3"/>
      <c r="DC236" s="41"/>
      <c r="DD236" s="41"/>
      <c r="DE236" s="3"/>
      <c r="DF236" s="118"/>
      <c r="DG236" s="700"/>
      <c r="DH236" s="700"/>
      <c r="DI236" s="700"/>
      <c r="DJ236" s="700"/>
      <c r="DK236" s="43"/>
      <c r="DL236" s="43"/>
      <c r="DS236" s="3"/>
      <c r="DT236" s="3"/>
      <c r="DV236" s="41"/>
      <c r="DW236" s="41"/>
      <c r="DY236" s="118"/>
      <c r="DZ236" s="3"/>
      <c r="EA236" s="486"/>
      <c r="EB236" s="486"/>
      <c r="EC236" s="486"/>
      <c r="ED236" s="486"/>
      <c r="EE236" s="43"/>
      <c r="EF236" s="43"/>
      <c r="EL236" s="3"/>
      <c r="EM236" s="3"/>
      <c r="EO236" s="41"/>
      <c r="EP236" s="41"/>
      <c r="FC236" s="3"/>
      <c r="FE236" s="39"/>
      <c r="FF236" s="39"/>
      <c r="FH236" s="41"/>
      <c r="FI236" s="41"/>
      <c r="FM236" s="3"/>
      <c r="FN236" s="3"/>
      <c r="FO236" s="486"/>
      <c r="FP236" s="486"/>
      <c r="FQ236" s="486"/>
      <c r="FR236" s="486"/>
      <c r="FS236" s="43"/>
      <c r="FT236" s="43"/>
      <c r="FX236" s="3"/>
      <c r="FY236" s="3"/>
      <c r="GA236" s="41"/>
      <c r="GB236" s="41"/>
      <c r="GG236" s="3"/>
      <c r="GH236" s="3"/>
      <c r="GI236" s="486"/>
      <c r="GJ236" s="486"/>
      <c r="GK236" s="486"/>
      <c r="GL236" s="486"/>
      <c r="GM236" s="43"/>
      <c r="GN236" s="43"/>
      <c r="GO236" s="393"/>
      <c r="GS236" s="3"/>
      <c r="GT236" s="3"/>
      <c r="GV236" s="41"/>
      <c r="GW236" s="41"/>
      <c r="HA236" s="3"/>
      <c r="HB236" s="3"/>
      <c r="HC236" s="43"/>
      <c r="HD236" s="43"/>
      <c r="HE236" s="43"/>
      <c r="HF236" s="43"/>
      <c r="HG236" s="43"/>
    </row>
    <row r="237" spans="19:215">
      <c r="S237" s="442"/>
      <c r="AV237" s="442"/>
      <c r="CC237" s="3"/>
      <c r="CD237" s="3"/>
      <c r="CF237" s="41"/>
      <c r="CG237" s="41"/>
      <c r="CH237" s="3"/>
      <c r="CI237" s="486"/>
      <c r="CJ237" s="486"/>
      <c r="CK237" s="486"/>
      <c r="CL237" s="486"/>
      <c r="CM237" s="258"/>
      <c r="CN237" s="43"/>
      <c r="CZ237" s="3"/>
      <c r="DA237" s="3"/>
      <c r="DC237" s="41"/>
      <c r="DD237" s="41"/>
      <c r="DE237" s="3"/>
      <c r="DF237" s="118"/>
      <c r="DG237" s="700"/>
      <c r="DH237" s="700"/>
      <c r="DI237" s="700"/>
      <c r="DJ237" s="700"/>
      <c r="DK237" s="43"/>
      <c r="DL237" s="43"/>
      <c r="DS237" s="3"/>
      <c r="DT237" s="3"/>
      <c r="DV237" s="41"/>
      <c r="DW237" s="41"/>
      <c r="DY237" s="118"/>
      <c r="DZ237" s="3"/>
      <c r="EA237" s="486"/>
      <c r="EB237" s="486"/>
      <c r="EC237" s="486"/>
      <c r="ED237" s="486"/>
      <c r="EE237" s="43"/>
      <c r="EF237" s="43"/>
      <c r="EL237" s="3"/>
      <c r="EM237" s="3"/>
      <c r="EO237" s="41"/>
      <c r="EP237" s="41"/>
      <c r="FC237" s="3"/>
      <c r="FE237" s="39"/>
      <c r="FF237" s="39"/>
      <c r="FH237" s="41"/>
      <c r="FI237" s="41"/>
      <c r="FM237" s="3"/>
      <c r="FN237" s="3"/>
      <c r="FO237" s="486"/>
      <c r="FP237" s="486"/>
      <c r="FQ237" s="486"/>
      <c r="FR237" s="486"/>
      <c r="FS237" s="43"/>
      <c r="FT237" s="43"/>
      <c r="FX237" s="3"/>
      <c r="FY237" s="3"/>
      <c r="GA237" s="41"/>
      <c r="GB237" s="41"/>
      <c r="GG237" s="3"/>
      <c r="GH237" s="3"/>
      <c r="GI237" s="486"/>
      <c r="GJ237" s="486"/>
      <c r="GK237" s="486"/>
      <c r="GL237" s="486"/>
      <c r="GM237" s="43"/>
      <c r="GN237" s="43"/>
      <c r="GO237" s="393"/>
      <c r="GS237" s="3"/>
      <c r="GT237" s="3"/>
      <c r="GV237" s="41"/>
      <c r="GW237" s="41"/>
      <c r="HA237" s="3"/>
      <c r="HB237" s="3"/>
      <c r="HC237" s="43"/>
      <c r="HD237" s="43"/>
      <c r="HE237" s="43"/>
      <c r="HF237" s="43"/>
      <c r="HG237" s="43"/>
    </row>
    <row r="238" spans="19:215">
      <c r="S238" s="442"/>
      <c r="AV238" s="442"/>
      <c r="CC238" s="3"/>
      <c r="CD238" s="3"/>
      <c r="CF238" s="41"/>
      <c r="CG238" s="41"/>
      <c r="CH238" s="3"/>
      <c r="CI238" s="486"/>
      <c r="CJ238" s="486"/>
      <c r="CK238" s="486"/>
      <c r="CL238" s="486"/>
      <c r="CM238" s="258"/>
      <c r="CN238" s="43"/>
      <c r="CZ238" s="3"/>
      <c r="DA238" s="3"/>
      <c r="DC238" s="41"/>
      <c r="DD238" s="41"/>
      <c r="DE238" s="3"/>
      <c r="DF238" s="118"/>
      <c r="DG238" s="700"/>
      <c r="DH238" s="700"/>
      <c r="DI238" s="700"/>
      <c r="DJ238" s="700"/>
      <c r="DK238" s="43"/>
      <c r="DL238" s="43"/>
      <c r="DS238" s="3"/>
      <c r="DT238" s="3"/>
      <c r="DV238" s="41"/>
      <c r="DW238" s="41"/>
      <c r="DY238" s="118"/>
      <c r="DZ238" s="3"/>
      <c r="EA238" s="486"/>
      <c r="EB238" s="486"/>
      <c r="EC238" s="486"/>
      <c r="ED238" s="486"/>
      <c r="EE238" s="43"/>
      <c r="EF238" s="43"/>
      <c r="EL238" s="3"/>
      <c r="EM238" s="3"/>
      <c r="EO238" s="41"/>
      <c r="EP238" s="41"/>
      <c r="FC238" s="3"/>
      <c r="FE238" s="39"/>
      <c r="FF238" s="39"/>
      <c r="FH238" s="41"/>
      <c r="FI238" s="41"/>
      <c r="FM238" s="3"/>
      <c r="FN238" s="3"/>
      <c r="FO238" s="486"/>
      <c r="FP238" s="486"/>
      <c r="FQ238" s="486"/>
      <c r="FR238" s="486"/>
      <c r="FS238" s="43"/>
      <c r="FT238" s="43"/>
      <c r="FX238" s="3"/>
      <c r="FY238" s="3"/>
      <c r="GA238" s="41"/>
      <c r="GB238" s="41"/>
      <c r="GG238" s="3"/>
      <c r="GH238" s="3"/>
      <c r="GI238" s="486"/>
      <c r="GJ238" s="486"/>
      <c r="GK238" s="486"/>
      <c r="GL238" s="486"/>
      <c r="GM238" s="43"/>
      <c r="GN238" s="43"/>
      <c r="GO238" s="393"/>
      <c r="GS238" s="3"/>
      <c r="GT238" s="3"/>
      <c r="GV238" s="41"/>
      <c r="GW238" s="41"/>
      <c r="HA238" s="3"/>
      <c r="HB238" s="3"/>
      <c r="HC238" s="43"/>
      <c r="HD238" s="43"/>
      <c r="HE238" s="43"/>
      <c r="HF238" s="43"/>
      <c r="HG238" s="43"/>
    </row>
    <row r="239" spans="19:215">
      <c r="S239" s="442"/>
      <c r="AV239" s="442"/>
      <c r="CC239" s="3"/>
      <c r="CD239" s="3"/>
      <c r="CF239" s="41"/>
      <c r="CG239" s="41"/>
      <c r="CH239" s="3"/>
      <c r="CI239" s="486"/>
      <c r="CJ239" s="486"/>
      <c r="CK239" s="486"/>
      <c r="CL239" s="486"/>
      <c r="CM239" s="258"/>
      <c r="CN239" s="43"/>
      <c r="CZ239" s="3"/>
      <c r="DA239" s="3"/>
      <c r="DC239" s="41"/>
      <c r="DD239" s="41"/>
      <c r="DE239" s="3"/>
      <c r="DF239" s="118"/>
      <c r="DG239" s="700"/>
      <c r="DH239" s="700"/>
      <c r="DI239" s="700"/>
      <c r="DJ239" s="700"/>
      <c r="DK239" s="43"/>
      <c r="DL239" s="43"/>
      <c r="DS239" s="3"/>
      <c r="DT239" s="3"/>
      <c r="DV239" s="41"/>
      <c r="DW239" s="41"/>
      <c r="DY239" s="118"/>
      <c r="DZ239" s="3"/>
      <c r="EA239" s="486"/>
      <c r="EB239" s="486"/>
      <c r="EC239" s="486"/>
      <c r="ED239" s="486"/>
      <c r="EE239" s="43"/>
      <c r="EF239" s="43"/>
      <c r="EL239" s="3"/>
      <c r="EM239" s="3"/>
      <c r="EO239" s="41"/>
      <c r="EP239" s="41"/>
      <c r="FC239" s="3"/>
      <c r="FE239" s="39"/>
      <c r="FF239" s="39"/>
      <c r="FH239" s="41"/>
      <c r="FI239" s="41"/>
      <c r="FM239" s="3"/>
      <c r="FN239" s="3"/>
      <c r="FO239" s="486"/>
      <c r="FP239" s="486"/>
      <c r="FQ239" s="486"/>
      <c r="FR239" s="486"/>
      <c r="FS239" s="43"/>
      <c r="FT239" s="43"/>
      <c r="FX239" s="3"/>
      <c r="FY239" s="3"/>
      <c r="GA239" s="41"/>
      <c r="GB239" s="41"/>
      <c r="GG239" s="3"/>
      <c r="GH239" s="3"/>
      <c r="GI239" s="486"/>
      <c r="GJ239" s="486"/>
      <c r="GK239" s="486"/>
      <c r="GL239" s="486"/>
      <c r="GM239" s="43"/>
      <c r="GN239" s="43"/>
      <c r="GO239" s="393"/>
      <c r="GS239" s="3"/>
      <c r="GT239" s="3"/>
      <c r="GV239" s="41"/>
      <c r="GW239" s="41"/>
      <c r="HA239" s="3"/>
      <c r="HB239" s="3"/>
      <c r="HC239" s="43"/>
      <c r="HD239" s="43"/>
      <c r="HE239" s="43"/>
      <c r="HF239" s="43"/>
      <c r="HG239" s="43"/>
    </row>
    <row r="240" spans="19:215">
      <c r="S240" s="442"/>
      <c r="AV240" s="442"/>
      <c r="CC240" s="3"/>
      <c r="CD240" s="3"/>
      <c r="CF240" s="41"/>
      <c r="CG240" s="41"/>
      <c r="CH240" s="3"/>
      <c r="CI240" s="486"/>
      <c r="CJ240" s="486"/>
      <c r="CK240" s="486"/>
      <c r="CL240" s="486"/>
      <c r="CM240" s="258"/>
      <c r="CN240" s="43"/>
      <c r="CZ240" s="3"/>
      <c r="DA240" s="3"/>
      <c r="DC240" s="41"/>
      <c r="DD240" s="41"/>
      <c r="DE240" s="3"/>
      <c r="DF240" s="118"/>
      <c r="DG240" s="700"/>
      <c r="DH240" s="700"/>
      <c r="DI240" s="700"/>
      <c r="DJ240" s="700"/>
      <c r="DK240" s="43"/>
      <c r="DL240" s="43"/>
      <c r="DS240" s="3"/>
      <c r="DT240" s="3"/>
      <c r="DV240" s="41"/>
      <c r="DW240" s="41"/>
      <c r="DY240" s="118"/>
      <c r="DZ240" s="3"/>
      <c r="EA240" s="486"/>
      <c r="EB240" s="486"/>
      <c r="EC240" s="486"/>
      <c r="ED240" s="486"/>
      <c r="EE240" s="43"/>
      <c r="EF240" s="43"/>
      <c r="EL240" s="3"/>
      <c r="EM240" s="3"/>
      <c r="EO240" s="41"/>
      <c r="EP240" s="41"/>
      <c r="FC240" s="3"/>
      <c r="FE240" s="39"/>
      <c r="FF240" s="39"/>
      <c r="FH240" s="41"/>
      <c r="FI240" s="41"/>
      <c r="FM240" s="3"/>
      <c r="FN240" s="3"/>
      <c r="FO240" s="486"/>
      <c r="FP240" s="486"/>
      <c r="FQ240" s="486"/>
      <c r="FR240" s="486"/>
      <c r="FS240" s="43"/>
      <c r="FT240" s="43"/>
      <c r="FX240" s="3"/>
      <c r="FY240" s="3"/>
      <c r="GA240" s="41"/>
      <c r="GB240" s="41"/>
      <c r="GG240" s="3"/>
      <c r="GH240" s="3"/>
      <c r="GI240" s="486"/>
      <c r="GJ240" s="486"/>
      <c r="GK240" s="486"/>
      <c r="GL240" s="486"/>
      <c r="GM240" s="43"/>
      <c r="GN240" s="43"/>
      <c r="GO240" s="393"/>
      <c r="GS240" s="3"/>
      <c r="GT240" s="3"/>
      <c r="GV240" s="41"/>
      <c r="GW240" s="41"/>
      <c r="HA240" s="3"/>
      <c r="HB240" s="3"/>
      <c r="HC240" s="43"/>
      <c r="HD240" s="43"/>
      <c r="HE240" s="43"/>
      <c r="HF240" s="43"/>
      <c r="HG240" s="43"/>
    </row>
    <row r="241" spans="19:215">
      <c r="S241" s="442"/>
      <c r="AV241" s="442"/>
      <c r="CC241" s="3"/>
      <c r="CD241" s="3"/>
      <c r="CF241" s="41"/>
      <c r="CG241" s="41"/>
      <c r="CH241" s="3"/>
      <c r="CI241" s="486"/>
      <c r="CJ241" s="486"/>
      <c r="CK241" s="486"/>
      <c r="CL241" s="486"/>
      <c r="CM241" s="258"/>
      <c r="CN241" s="43"/>
      <c r="CZ241" s="3"/>
      <c r="DA241" s="3"/>
      <c r="DC241" s="41"/>
      <c r="DD241" s="41"/>
      <c r="DE241" s="3"/>
      <c r="DF241" s="118"/>
      <c r="DG241" s="700"/>
      <c r="DH241" s="700"/>
      <c r="DI241" s="700"/>
      <c r="DJ241" s="700"/>
      <c r="DK241" s="43"/>
      <c r="DL241" s="43"/>
      <c r="DS241" s="3"/>
      <c r="DT241" s="3"/>
      <c r="DV241" s="41"/>
      <c r="DW241" s="41"/>
      <c r="DY241" s="118"/>
      <c r="DZ241" s="3"/>
      <c r="EA241" s="486"/>
      <c r="EB241" s="486"/>
      <c r="EC241" s="486"/>
      <c r="ED241" s="486"/>
      <c r="EE241" s="43"/>
      <c r="EF241" s="43"/>
      <c r="EL241" s="3"/>
      <c r="EM241" s="3"/>
      <c r="EO241" s="41"/>
      <c r="EP241" s="41"/>
      <c r="FC241" s="3"/>
      <c r="FE241" s="39"/>
      <c r="FF241" s="39"/>
      <c r="FH241" s="41"/>
      <c r="FI241" s="41"/>
      <c r="FM241" s="3"/>
      <c r="FN241" s="3"/>
      <c r="FO241" s="486"/>
      <c r="FP241" s="486"/>
      <c r="FQ241" s="486"/>
      <c r="FR241" s="486"/>
      <c r="FS241" s="43"/>
      <c r="FT241" s="43"/>
      <c r="FX241" s="3"/>
      <c r="FY241" s="3"/>
      <c r="GA241" s="41"/>
      <c r="GB241" s="41"/>
      <c r="GG241" s="3"/>
      <c r="GH241" s="3"/>
      <c r="GI241" s="486"/>
      <c r="GJ241" s="486"/>
      <c r="GK241" s="486"/>
      <c r="GL241" s="486"/>
      <c r="GM241" s="43"/>
      <c r="GN241" s="43"/>
      <c r="GO241" s="393"/>
      <c r="GS241" s="3"/>
      <c r="GT241" s="3"/>
      <c r="GV241" s="41"/>
      <c r="GW241" s="41"/>
      <c r="HA241" s="3"/>
      <c r="HB241" s="3"/>
      <c r="HC241" s="43"/>
      <c r="HD241" s="43"/>
      <c r="HE241" s="43"/>
      <c r="HF241" s="43"/>
      <c r="HG241" s="43"/>
    </row>
    <row r="242" spans="19:215">
      <c r="S242" s="442"/>
      <c r="AV242" s="442"/>
      <c r="CC242" s="3"/>
      <c r="CD242" s="3"/>
      <c r="CF242" s="41"/>
      <c r="CG242" s="41"/>
      <c r="CH242" s="3"/>
      <c r="CI242" s="486"/>
      <c r="CJ242" s="486"/>
      <c r="CK242" s="486"/>
      <c r="CL242" s="486"/>
      <c r="CM242" s="258"/>
      <c r="CN242" s="43"/>
      <c r="CZ242" s="3"/>
      <c r="DA242" s="3"/>
      <c r="DC242" s="41"/>
      <c r="DD242" s="41"/>
      <c r="DE242" s="3"/>
      <c r="DF242" s="118"/>
      <c r="DG242" s="700"/>
      <c r="DH242" s="700"/>
      <c r="DI242" s="700"/>
      <c r="DJ242" s="700"/>
      <c r="DK242" s="43"/>
      <c r="DL242" s="43"/>
      <c r="DS242" s="3"/>
      <c r="DT242" s="3"/>
      <c r="DV242" s="41"/>
      <c r="DW242" s="41"/>
      <c r="DY242" s="118"/>
      <c r="DZ242" s="3"/>
      <c r="EA242" s="486"/>
      <c r="EB242" s="486"/>
      <c r="EC242" s="486"/>
      <c r="ED242" s="486"/>
      <c r="EE242" s="43"/>
      <c r="EF242" s="43"/>
      <c r="EL242" s="3"/>
      <c r="EM242" s="3"/>
      <c r="EO242" s="41"/>
      <c r="EP242" s="41"/>
      <c r="FC242" s="3"/>
      <c r="FE242" s="39"/>
      <c r="FF242" s="39"/>
      <c r="FH242" s="41"/>
      <c r="FI242" s="41"/>
      <c r="FM242" s="3"/>
      <c r="FN242" s="3"/>
      <c r="FO242" s="486"/>
      <c r="FP242" s="486"/>
      <c r="FQ242" s="486"/>
      <c r="FR242" s="486"/>
      <c r="FS242" s="43"/>
      <c r="FT242" s="43"/>
      <c r="FX242" s="3"/>
      <c r="FY242" s="3"/>
      <c r="GA242" s="41"/>
      <c r="GB242" s="41"/>
      <c r="GG242" s="3"/>
      <c r="GH242" s="3"/>
      <c r="GI242" s="486"/>
      <c r="GJ242" s="486"/>
      <c r="GK242" s="486"/>
      <c r="GL242" s="486"/>
      <c r="GM242" s="43"/>
      <c r="GN242" s="43"/>
      <c r="GO242" s="393"/>
      <c r="GS242" s="3"/>
      <c r="GT242" s="3"/>
      <c r="GV242" s="41"/>
      <c r="GW242" s="41"/>
      <c r="HA242" s="3"/>
      <c r="HB242" s="3"/>
      <c r="HC242" s="43"/>
      <c r="HD242" s="43"/>
      <c r="HE242" s="43"/>
      <c r="HF242" s="43"/>
      <c r="HG242" s="43"/>
    </row>
    <row r="243" spans="19:215">
      <c r="S243" s="442"/>
      <c r="AV243" s="442"/>
      <c r="CC243" s="3"/>
      <c r="CD243" s="3"/>
      <c r="CF243" s="41"/>
      <c r="CG243" s="41"/>
      <c r="CH243" s="3"/>
      <c r="CI243" s="486"/>
      <c r="CJ243" s="486"/>
      <c r="CK243" s="486"/>
      <c r="CL243" s="486"/>
      <c r="CM243" s="258"/>
      <c r="CN243" s="43"/>
      <c r="CZ243" s="3"/>
      <c r="DA243" s="3"/>
      <c r="DC243" s="41"/>
      <c r="DD243" s="41"/>
      <c r="DE243" s="3"/>
      <c r="DF243" s="118"/>
      <c r="DG243" s="700"/>
      <c r="DH243" s="700"/>
      <c r="DI243" s="700"/>
      <c r="DJ243" s="700"/>
      <c r="DK243" s="43"/>
      <c r="DL243" s="43"/>
      <c r="DS243" s="3"/>
      <c r="DT243" s="3"/>
      <c r="DV243" s="41"/>
      <c r="DW243" s="41"/>
      <c r="DY243" s="118"/>
      <c r="DZ243" s="3"/>
      <c r="EA243" s="486"/>
      <c r="EB243" s="486"/>
      <c r="EC243" s="486"/>
      <c r="ED243" s="486"/>
      <c r="EE243" s="43"/>
      <c r="EF243" s="43"/>
      <c r="EL243" s="3"/>
      <c r="EM243" s="3"/>
      <c r="EO243" s="41"/>
      <c r="EP243" s="41"/>
      <c r="FC243" s="3"/>
      <c r="FE243" s="39"/>
      <c r="FF243" s="39"/>
      <c r="FH243" s="41"/>
      <c r="FI243" s="41"/>
      <c r="FM243" s="3"/>
      <c r="FN243" s="3"/>
      <c r="FO243" s="486"/>
      <c r="FP243" s="486"/>
      <c r="FQ243" s="486"/>
      <c r="FR243" s="486"/>
      <c r="FS243" s="43"/>
      <c r="FT243" s="43"/>
      <c r="FX243" s="3"/>
      <c r="FY243" s="3"/>
      <c r="GA243" s="41"/>
      <c r="GB243" s="41"/>
      <c r="GG243" s="3"/>
      <c r="GH243" s="3"/>
      <c r="GI243" s="486"/>
      <c r="GJ243" s="486"/>
      <c r="GK243" s="486"/>
      <c r="GL243" s="486"/>
      <c r="GM243" s="43"/>
      <c r="GN243" s="43"/>
      <c r="GO243" s="393"/>
      <c r="GS243" s="3"/>
      <c r="GT243" s="3"/>
      <c r="GV243" s="41"/>
      <c r="GW243" s="41"/>
      <c r="HA243" s="3"/>
      <c r="HB243" s="3"/>
      <c r="HC243" s="43"/>
      <c r="HD243" s="43"/>
      <c r="HE243" s="43"/>
      <c r="HF243" s="43"/>
      <c r="HG243" s="43"/>
    </row>
    <row r="244" spans="19:215">
      <c r="S244" s="442"/>
      <c r="AV244" s="442"/>
      <c r="CC244" s="3"/>
      <c r="CD244" s="3"/>
      <c r="CF244" s="41"/>
      <c r="CG244" s="41"/>
      <c r="CH244" s="3"/>
      <c r="CI244" s="486"/>
      <c r="CJ244" s="486"/>
      <c r="CK244" s="486"/>
      <c r="CL244" s="486"/>
      <c r="CM244" s="258"/>
      <c r="CN244" s="43"/>
      <c r="CZ244" s="3"/>
      <c r="DA244" s="3"/>
      <c r="DC244" s="41"/>
      <c r="DD244" s="41"/>
      <c r="DE244" s="3"/>
      <c r="DF244" s="118"/>
      <c r="DG244" s="700"/>
      <c r="DH244" s="700"/>
      <c r="DI244" s="700"/>
      <c r="DJ244" s="700"/>
      <c r="DK244" s="43"/>
      <c r="DL244" s="43"/>
      <c r="DS244" s="3"/>
      <c r="DT244" s="3"/>
      <c r="DV244" s="41"/>
      <c r="DW244" s="41"/>
      <c r="DY244" s="118"/>
      <c r="DZ244" s="3"/>
      <c r="EA244" s="486"/>
      <c r="EB244" s="486"/>
      <c r="EC244" s="486"/>
      <c r="ED244" s="486"/>
      <c r="EE244" s="43"/>
      <c r="EF244" s="43"/>
      <c r="EL244" s="3"/>
      <c r="EM244" s="3"/>
      <c r="EO244" s="41"/>
      <c r="EP244" s="41"/>
      <c r="FC244" s="3"/>
      <c r="FE244" s="39"/>
      <c r="FF244" s="39"/>
      <c r="FH244" s="41"/>
      <c r="FI244" s="41"/>
      <c r="FM244" s="3"/>
      <c r="FN244" s="3"/>
      <c r="FO244" s="486"/>
      <c r="FP244" s="486"/>
      <c r="FQ244" s="486"/>
      <c r="FR244" s="486"/>
      <c r="FS244" s="43"/>
      <c r="FT244" s="43"/>
      <c r="FX244" s="3"/>
      <c r="FY244" s="3"/>
      <c r="GA244" s="41"/>
      <c r="GB244" s="41"/>
      <c r="GG244" s="3"/>
      <c r="GH244" s="3"/>
      <c r="GI244" s="486"/>
      <c r="GJ244" s="486"/>
      <c r="GK244" s="486"/>
      <c r="GL244" s="486"/>
      <c r="GM244" s="43"/>
      <c r="GN244" s="43"/>
      <c r="GO244" s="393"/>
      <c r="GS244" s="3"/>
      <c r="GT244" s="3"/>
      <c r="GV244" s="41"/>
      <c r="GW244" s="41"/>
      <c r="HA244" s="3"/>
      <c r="HB244" s="3"/>
      <c r="HC244" s="43"/>
      <c r="HD244" s="43"/>
      <c r="HE244" s="43"/>
      <c r="HF244" s="43"/>
      <c r="HG244" s="43"/>
    </row>
    <row r="245" spans="19:215">
      <c r="S245" s="442"/>
      <c r="AV245" s="442"/>
      <c r="CC245" s="3"/>
      <c r="CD245" s="3"/>
      <c r="CF245" s="41"/>
      <c r="CG245" s="41"/>
      <c r="CH245" s="3"/>
      <c r="CI245" s="486"/>
      <c r="CJ245" s="486"/>
      <c r="CK245" s="486"/>
      <c r="CL245" s="486"/>
      <c r="CM245" s="258"/>
      <c r="CN245" s="43"/>
      <c r="CZ245" s="3"/>
      <c r="DA245" s="3"/>
      <c r="DC245" s="41"/>
      <c r="DD245" s="41"/>
      <c r="DE245" s="3"/>
      <c r="DF245" s="118"/>
      <c r="DG245" s="700"/>
      <c r="DH245" s="700"/>
      <c r="DI245" s="700"/>
      <c r="DJ245" s="700"/>
      <c r="DK245" s="43"/>
      <c r="DL245" s="43"/>
      <c r="DS245" s="3"/>
      <c r="DT245" s="3"/>
      <c r="DV245" s="41"/>
      <c r="DW245" s="41"/>
      <c r="DY245" s="118"/>
      <c r="DZ245" s="3"/>
      <c r="EA245" s="486"/>
      <c r="EB245" s="486"/>
      <c r="EC245" s="486"/>
      <c r="ED245" s="486"/>
      <c r="EE245" s="43"/>
      <c r="EF245" s="43"/>
      <c r="EL245" s="3"/>
      <c r="EM245" s="3"/>
      <c r="EO245" s="41"/>
      <c r="EP245" s="41"/>
      <c r="FC245" s="3"/>
      <c r="FE245" s="39"/>
      <c r="FF245" s="39"/>
      <c r="FH245" s="41"/>
      <c r="FI245" s="41"/>
      <c r="FM245" s="3"/>
      <c r="FN245" s="3"/>
      <c r="FO245" s="486"/>
      <c r="FP245" s="486"/>
      <c r="FQ245" s="486"/>
      <c r="FR245" s="486"/>
      <c r="FS245" s="43"/>
      <c r="FT245" s="43"/>
      <c r="FX245" s="3"/>
      <c r="FY245" s="3"/>
      <c r="GA245" s="41"/>
      <c r="GB245" s="41"/>
      <c r="GG245" s="3"/>
      <c r="GH245" s="3"/>
      <c r="GI245" s="486"/>
      <c r="GJ245" s="486"/>
      <c r="GK245" s="486"/>
      <c r="GL245" s="486"/>
      <c r="GM245" s="43"/>
      <c r="GN245" s="43"/>
      <c r="GO245" s="393"/>
      <c r="GS245" s="3"/>
      <c r="GT245" s="3"/>
      <c r="GV245" s="41"/>
      <c r="GW245" s="41"/>
      <c r="HA245" s="3"/>
      <c r="HB245" s="3"/>
      <c r="HC245" s="43"/>
      <c r="HD245" s="43"/>
      <c r="HE245" s="43"/>
      <c r="HF245" s="43"/>
      <c r="HG245" s="43"/>
    </row>
    <row r="246" spans="19:215">
      <c r="S246" s="442"/>
      <c r="AV246" s="442"/>
      <c r="CC246" s="3"/>
      <c r="CD246" s="3"/>
      <c r="CF246" s="41"/>
      <c r="CG246" s="41"/>
      <c r="CH246" s="3"/>
      <c r="CI246" s="486"/>
      <c r="CJ246" s="486"/>
      <c r="CK246" s="486"/>
      <c r="CL246" s="486"/>
      <c r="CM246" s="258"/>
      <c r="CN246" s="43"/>
      <c r="CZ246" s="3"/>
      <c r="DA246" s="3"/>
      <c r="DC246" s="41"/>
      <c r="DD246" s="41"/>
      <c r="DE246" s="3"/>
      <c r="DF246" s="118"/>
      <c r="DG246" s="700"/>
      <c r="DH246" s="700"/>
      <c r="DI246" s="700"/>
      <c r="DJ246" s="700"/>
      <c r="DK246" s="43"/>
      <c r="DL246" s="43"/>
      <c r="DS246" s="3"/>
      <c r="DT246" s="3"/>
      <c r="DV246" s="41"/>
      <c r="DW246" s="41"/>
      <c r="DY246" s="118"/>
      <c r="DZ246" s="3"/>
      <c r="EA246" s="486"/>
      <c r="EB246" s="486"/>
      <c r="EC246" s="486"/>
      <c r="ED246" s="486"/>
      <c r="EE246" s="43"/>
      <c r="EF246" s="43"/>
      <c r="EL246" s="3"/>
      <c r="EM246" s="3"/>
      <c r="EO246" s="41"/>
      <c r="EP246" s="41"/>
      <c r="FC246" s="3"/>
      <c r="FE246" s="39"/>
      <c r="FF246" s="39"/>
      <c r="FH246" s="41"/>
      <c r="FI246" s="41"/>
      <c r="FM246" s="3"/>
      <c r="FN246" s="3"/>
      <c r="FO246" s="486"/>
      <c r="FP246" s="486"/>
      <c r="FQ246" s="486"/>
      <c r="FR246" s="486"/>
      <c r="FS246" s="43"/>
      <c r="FT246" s="43"/>
      <c r="FX246" s="3"/>
      <c r="FY246" s="3"/>
      <c r="GA246" s="41"/>
      <c r="GB246" s="41"/>
      <c r="GG246" s="3"/>
      <c r="GH246" s="3"/>
      <c r="GI246" s="486"/>
      <c r="GJ246" s="486"/>
      <c r="GK246" s="486"/>
      <c r="GL246" s="486"/>
      <c r="GM246" s="43"/>
      <c r="GN246" s="43"/>
      <c r="GO246" s="393"/>
      <c r="GS246" s="3"/>
      <c r="GT246" s="3"/>
      <c r="GV246" s="41"/>
      <c r="GW246" s="41"/>
      <c r="HA246" s="3"/>
      <c r="HB246" s="3"/>
      <c r="HC246" s="43"/>
      <c r="HD246" s="43"/>
      <c r="HE246" s="43"/>
      <c r="HF246" s="43"/>
      <c r="HG246" s="43"/>
    </row>
    <row r="247" spans="19:215">
      <c r="S247" s="442"/>
      <c r="AV247" s="442"/>
      <c r="CC247" s="3"/>
      <c r="CD247" s="3"/>
      <c r="CF247" s="41"/>
      <c r="CG247" s="41"/>
      <c r="CH247" s="3"/>
      <c r="CI247" s="486"/>
      <c r="CJ247" s="486"/>
      <c r="CK247" s="486"/>
      <c r="CL247" s="486"/>
      <c r="CM247" s="258"/>
      <c r="CN247" s="43"/>
      <c r="CZ247" s="3"/>
      <c r="DA247" s="3"/>
      <c r="DC247" s="41"/>
      <c r="DD247" s="41"/>
      <c r="DE247" s="3"/>
      <c r="DF247" s="118"/>
      <c r="DG247" s="700"/>
      <c r="DH247" s="700"/>
      <c r="DI247" s="700"/>
      <c r="DJ247" s="700"/>
      <c r="DK247" s="43"/>
      <c r="DL247" s="43"/>
      <c r="DS247" s="3"/>
      <c r="DT247" s="3"/>
      <c r="DV247" s="41"/>
      <c r="DW247" s="41"/>
      <c r="DY247" s="118"/>
      <c r="DZ247" s="3"/>
      <c r="EA247" s="486"/>
      <c r="EB247" s="486"/>
      <c r="EC247" s="486"/>
      <c r="ED247" s="486"/>
      <c r="EE247" s="43"/>
      <c r="EF247" s="43"/>
      <c r="EL247" s="3"/>
      <c r="EM247" s="3"/>
      <c r="EO247" s="41"/>
      <c r="EP247" s="41"/>
      <c r="FC247" s="3"/>
      <c r="FE247" s="39"/>
      <c r="FF247" s="39"/>
      <c r="FH247" s="41"/>
      <c r="FI247" s="41"/>
      <c r="FM247" s="3"/>
      <c r="FN247" s="3"/>
      <c r="FO247" s="486"/>
      <c r="FP247" s="486"/>
      <c r="FQ247" s="486"/>
      <c r="FR247" s="486"/>
      <c r="FS247" s="43"/>
      <c r="FT247" s="43"/>
      <c r="FX247" s="3"/>
      <c r="FY247" s="3"/>
      <c r="GA247" s="41"/>
      <c r="GB247" s="41"/>
      <c r="GG247" s="3"/>
      <c r="GH247" s="3"/>
      <c r="GI247" s="486"/>
      <c r="GJ247" s="486"/>
      <c r="GK247" s="486"/>
      <c r="GL247" s="486"/>
      <c r="GM247" s="43"/>
      <c r="GN247" s="43"/>
      <c r="GO247" s="393"/>
      <c r="GS247" s="3"/>
      <c r="GT247" s="3"/>
      <c r="GV247" s="41"/>
      <c r="GW247" s="41"/>
      <c r="HA247" s="3"/>
      <c r="HB247" s="3"/>
      <c r="HC247" s="43"/>
      <c r="HD247" s="43"/>
      <c r="HE247" s="43"/>
      <c r="HF247" s="43"/>
      <c r="HG247" s="43"/>
    </row>
    <row r="248" spans="19:215">
      <c r="S248" s="442"/>
      <c r="AV248" s="442"/>
      <c r="CC248" s="3"/>
      <c r="CD248" s="3"/>
      <c r="CF248" s="41"/>
      <c r="CG248" s="41"/>
      <c r="CH248" s="3"/>
      <c r="CI248" s="486"/>
      <c r="CJ248" s="486"/>
      <c r="CK248" s="486"/>
      <c r="CL248" s="486"/>
      <c r="CM248" s="258"/>
      <c r="CN248" s="43"/>
      <c r="CZ248" s="3"/>
      <c r="DA248" s="3"/>
      <c r="DC248" s="41"/>
      <c r="DD248" s="41"/>
      <c r="DE248" s="3"/>
      <c r="DF248" s="118"/>
      <c r="DG248" s="700"/>
      <c r="DH248" s="700"/>
      <c r="DI248" s="700"/>
      <c r="DJ248" s="700"/>
      <c r="DK248" s="43"/>
      <c r="DL248" s="43"/>
      <c r="DS248" s="3"/>
      <c r="DT248" s="3"/>
      <c r="DV248" s="41"/>
      <c r="DW248" s="41"/>
      <c r="DY248" s="118"/>
      <c r="DZ248" s="3"/>
      <c r="EA248" s="486"/>
      <c r="EB248" s="486"/>
      <c r="EC248" s="486"/>
      <c r="ED248" s="486"/>
      <c r="EE248" s="43"/>
      <c r="EF248" s="43"/>
      <c r="EL248" s="3"/>
      <c r="EM248" s="3"/>
      <c r="EO248" s="41"/>
      <c r="EP248" s="41"/>
      <c r="FC248" s="3"/>
      <c r="FE248" s="39"/>
      <c r="FF248" s="39"/>
      <c r="FH248" s="41"/>
      <c r="FI248" s="41"/>
      <c r="FM248" s="3"/>
      <c r="FN248" s="3"/>
      <c r="FO248" s="486"/>
      <c r="FP248" s="486"/>
      <c r="FQ248" s="486"/>
      <c r="FR248" s="486"/>
      <c r="FS248" s="43"/>
      <c r="FT248" s="43"/>
      <c r="FX248" s="3"/>
      <c r="FY248" s="3"/>
      <c r="GA248" s="41"/>
      <c r="GB248" s="41"/>
      <c r="GG248" s="3"/>
      <c r="GH248" s="3"/>
      <c r="GI248" s="486"/>
      <c r="GJ248" s="486"/>
      <c r="GK248" s="486"/>
      <c r="GL248" s="486"/>
      <c r="GM248" s="43"/>
      <c r="GN248" s="43"/>
      <c r="GO248" s="393"/>
      <c r="GS248" s="3"/>
      <c r="GT248" s="3"/>
      <c r="GV248" s="41"/>
      <c r="GW248" s="41"/>
      <c r="HA248" s="3"/>
      <c r="HB248" s="3"/>
      <c r="HC248" s="43"/>
      <c r="HD248" s="43"/>
      <c r="HE248" s="43"/>
      <c r="HF248" s="43"/>
      <c r="HG248" s="43"/>
    </row>
    <row r="249" spans="19:215">
      <c r="S249" s="442"/>
      <c r="AV249" s="442"/>
      <c r="CC249" s="3"/>
      <c r="CD249" s="3"/>
      <c r="CF249" s="41"/>
      <c r="CG249" s="41"/>
      <c r="CH249" s="3"/>
      <c r="CI249" s="486"/>
      <c r="CJ249" s="486"/>
      <c r="CK249" s="486"/>
      <c r="CL249" s="486"/>
      <c r="CM249" s="258"/>
      <c r="CN249" s="43"/>
      <c r="CZ249" s="3"/>
      <c r="DA249" s="3"/>
      <c r="DC249" s="41"/>
      <c r="DD249" s="41"/>
      <c r="DE249" s="3"/>
      <c r="DF249" s="118"/>
      <c r="DG249" s="700"/>
      <c r="DH249" s="700"/>
      <c r="DI249" s="700"/>
      <c r="DJ249" s="700"/>
      <c r="DK249" s="43"/>
      <c r="DL249" s="43"/>
      <c r="DS249" s="3"/>
      <c r="DT249" s="3"/>
      <c r="DV249" s="41"/>
      <c r="DW249" s="41"/>
      <c r="DY249" s="118"/>
      <c r="DZ249" s="3"/>
      <c r="EA249" s="486"/>
      <c r="EB249" s="486"/>
      <c r="EC249" s="486"/>
      <c r="ED249" s="486"/>
      <c r="EE249" s="43"/>
      <c r="EF249" s="43"/>
      <c r="EL249" s="3"/>
      <c r="EM249" s="3"/>
      <c r="EO249" s="41"/>
      <c r="EP249" s="41"/>
      <c r="FC249" s="3"/>
      <c r="FE249" s="39"/>
      <c r="FF249" s="39"/>
      <c r="FH249" s="41"/>
      <c r="FI249" s="41"/>
      <c r="FM249" s="3"/>
      <c r="FN249" s="3"/>
      <c r="FO249" s="486"/>
      <c r="FP249" s="486"/>
      <c r="FQ249" s="486"/>
      <c r="FR249" s="486"/>
      <c r="FS249" s="43"/>
      <c r="FT249" s="43"/>
      <c r="FX249" s="3"/>
      <c r="FY249" s="3"/>
      <c r="GA249" s="41"/>
      <c r="GB249" s="41"/>
      <c r="GG249" s="3"/>
      <c r="GH249" s="3"/>
      <c r="GI249" s="486"/>
      <c r="GJ249" s="486"/>
      <c r="GK249" s="486"/>
      <c r="GL249" s="486"/>
      <c r="GM249" s="43"/>
      <c r="GN249" s="43"/>
      <c r="GO249" s="393"/>
      <c r="GS249" s="3"/>
      <c r="GT249" s="3"/>
      <c r="GV249" s="41"/>
      <c r="GW249" s="41"/>
      <c r="HA249" s="3"/>
      <c r="HB249" s="3"/>
      <c r="HC249" s="43"/>
      <c r="HD249" s="43"/>
      <c r="HE249" s="43"/>
      <c r="HF249" s="43"/>
      <c r="HG249" s="43"/>
    </row>
    <row r="250" spans="19:215">
      <c r="S250" s="442"/>
      <c r="AV250" s="442"/>
      <c r="CC250" s="3"/>
      <c r="CD250" s="3"/>
      <c r="CF250" s="41"/>
      <c r="CG250" s="41"/>
      <c r="CH250" s="3"/>
      <c r="CI250" s="486"/>
      <c r="CJ250" s="486"/>
      <c r="CK250" s="486"/>
      <c r="CL250" s="486"/>
      <c r="CM250" s="258"/>
      <c r="CN250" s="43"/>
      <c r="CZ250" s="3"/>
      <c r="DA250" s="3"/>
      <c r="DC250" s="41"/>
      <c r="DD250" s="41"/>
      <c r="DE250" s="3"/>
      <c r="DF250" s="118"/>
      <c r="DG250" s="700"/>
      <c r="DH250" s="700"/>
      <c r="DI250" s="700"/>
      <c r="DJ250" s="700"/>
      <c r="DK250" s="43"/>
      <c r="DL250" s="43"/>
      <c r="DS250" s="3"/>
      <c r="DT250" s="3"/>
      <c r="DV250" s="41"/>
      <c r="DW250" s="41"/>
      <c r="DY250" s="118"/>
      <c r="DZ250" s="3"/>
      <c r="EA250" s="486"/>
      <c r="EB250" s="486"/>
      <c r="EC250" s="486"/>
      <c r="ED250" s="486"/>
      <c r="EE250" s="43"/>
      <c r="EF250" s="43"/>
      <c r="EL250" s="3"/>
      <c r="EM250" s="3"/>
      <c r="EO250" s="41"/>
      <c r="EP250" s="41"/>
      <c r="FC250" s="3"/>
      <c r="FE250" s="39"/>
      <c r="FF250" s="39"/>
      <c r="FH250" s="41"/>
      <c r="FI250" s="41"/>
      <c r="FM250" s="3"/>
      <c r="FN250" s="3"/>
      <c r="FO250" s="486"/>
      <c r="FP250" s="486"/>
      <c r="FQ250" s="486"/>
      <c r="FR250" s="486"/>
      <c r="FS250" s="43"/>
      <c r="FT250" s="43"/>
      <c r="FX250" s="3"/>
      <c r="FY250" s="3"/>
      <c r="GA250" s="41"/>
      <c r="GB250" s="41"/>
      <c r="GG250" s="3"/>
      <c r="GH250" s="3"/>
      <c r="GI250" s="486"/>
      <c r="GJ250" s="486"/>
      <c r="GK250" s="486"/>
      <c r="GL250" s="486"/>
      <c r="GM250" s="43"/>
      <c r="GN250" s="43"/>
      <c r="GO250" s="393"/>
      <c r="GS250" s="3"/>
      <c r="GT250" s="3"/>
      <c r="GV250" s="41"/>
      <c r="GW250" s="41"/>
      <c r="HA250" s="3"/>
      <c r="HB250" s="3"/>
      <c r="HC250" s="43"/>
      <c r="HD250" s="43"/>
      <c r="HE250" s="43"/>
      <c r="HF250" s="43"/>
      <c r="HG250" s="43"/>
    </row>
    <row r="251" spans="19:215">
      <c r="S251" s="442"/>
      <c r="AV251" s="442"/>
      <c r="CC251" s="3"/>
      <c r="CD251" s="3"/>
      <c r="CF251" s="41"/>
      <c r="CG251" s="41"/>
      <c r="CH251" s="3"/>
      <c r="CI251" s="486"/>
      <c r="CJ251" s="486"/>
      <c r="CK251" s="486"/>
      <c r="CL251" s="486"/>
      <c r="CM251" s="258"/>
      <c r="CN251" s="43"/>
      <c r="CZ251" s="3"/>
      <c r="DA251" s="3"/>
      <c r="DC251" s="41"/>
      <c r="DD251" s="41"/>
      <c r="DE251" s="3"/>
      <c r="DF251" s="118"/>
      <c r="DG251" s="700"/>
      <c r="DH251" s="700"/>
      <c r="DI251" s="700"/>
      <c r="DJ251" s="700"/>
      <c r="DK251" s="43"/>
      <c r="DL251" s="43"/>
      <c r="DS251" s="3"/>
      <c r="DT251" s="3"/>
      <c r="DV251" s="41"/>
      <c r="DW251" s="41"/>
      <c r="DY251" s="118"/>
      <c r="DZ251" s="3"/>
      <c r="EA251" s="486"/>
      <c r="EB251" s="486"/>
      <c r="EC251" s="486"/>
      <c r="ED251" s="486"/>
      <c r="EE251" s="43"/>
      <c r="EF251" s="43"/>
      <c r="EL251" s="3"/>
      <c r="EM251" s="3"/>
      <c r="EO251" s="41"/>
      <c r="EP251" s="41"/>
      <c r="FC251" s="3"/>
      <c r="FE251" s="39"/>
      <c r="FF251" s="39"/>
      <c r="FH251" s="41"/>
      <c r="FI251" s="41"/>
      <c r="FM251" s="3"/>
      <c r="FN251" s="3"/>
      <c r="FO251" s="486"/>
      <c r="FP251" s="486"/>
      <c r="FQ251" s="486"/>
      <c r="FR251" s="486"/>
      <c r="FS251" s="43"/>
      <c r="FT251" s="43"/>
      <c r="FX251" s="3"/>
      <c r="FY251" s="3"/>
      <c r="GA251" s="41"/>
      <c r="GB251" s="41"/>
      <c r="GG251" s="3"/>
      <c r="GH251" s="3"/>
      <c r="GI251" s="486"/>
      <c r="GJ251" s="486"/>
      <c r="GK251" s="486"/>
      <c r="GL251" s="486"/>
      <c r="GM251" s="43"/>
      <c r="GN251" s="43"/>
      <c r="GO251" s="393"/>
      <c r="GS251" s="3"/>
      <c r="GT251" s="3"/>
      <c r="GV251" s="41"/>
      <c r="GW251" s="41"/>
      <c r="HA251" s="3"/>
      <c r="HB251" s="3"/>
      <c r="HC251" s="43"/>
      <c r="HD251" s="43"/>
      <c r="HE251" s="43"/>
      <c r="HF251" s="43"/>
      <c r="HG251" s="43"/>
    </row>
    <row r="252" spans="19:215">
      <c r="S252" s="442"/>
      <c r="AV252" s="442"/>
      <c r="CC252" s="3"/>
      <c r="CD252" s="3"/>
      <c r="CF252" s="41"/>
      <c r="CG252" s="41"/>
      <c r="CH252" s="3"/>
      <c r="CI252" s="486"/>
      <c r="CJ252" s="486"/>
      <c r="CK252" s="486"/>
      <c r="CL252" s="486"/>
      <c r="CM252" s="258"/>
      <c r="CN252" s="43"/>
      <c r="CZ252" s="3"/>
      <c r="DA252" s="3"/>
      <c r="DC252" s="41"/>
      <c r="DD252" s="41"/>
      <c r="DE252" s="3"/>
      <c r="DF252" s="118"/>
      <c r="DG252" s="700"/>
      <c r="DH252" s="700"/>
      <c r="DI252" s="700"/>
      <c r="DJ252" s="700"/>
      <c r="DK252" s="43"/>
      <c r="DL252" s="43"/>
      <c r="DS252" s="3"/>
      <c r="DT252" s="3"/>
      <c r="DV252" s="41"/>
      <c r="DW252" s="41"/>
      <c r="DY252" s="118"/>
      <c r="DZ252" s="3"/>
      <c r="EA252" s="486"/>
      <c r="EB252" s="486"/>
      <c r="EC252" s="486"/>
      <c r="ED252" s="486"/>
      <c r="EE252" s="43"/>
      <c r="EF252" s="43"/>
      <c r="EL252" s="3"/>
      <c r="EM252" s="3"/>
      <c r="EO252" s="41"/>
      <c r="EP252" s="41"/>
      <c r="FC252" s="3"/>
      <c r="FE252" s="39"/>
      <c r="FF252" s="39"/>
      <c r="FH252" s="41"/>
      <c r="FI252" s="41"/>
      <c r="FM252" s="3"/>
      <c r="FN252" s="3"/>
      <c r="FO252" s="486"/>
      <c r="FP252" s="486"/>
      <c r="FQ252" s="486"/>
      <c r="FR252" s="486"/>
      <c r="FS252" s="43"/>
      <c r="FT252" s="43"/>
      <c r="FX252" s="3"/>
      <c r="FY252" s="3"/>
      <c r="GA252" s="41"/>
      <c r="GB252" s="41"/>
      <c r="GG252" s="3"/>
      <c r="GH252" s="3"/>
      <c r="GI252" s="486"/>
      <c r="GJ252" s="486"/>
      <c r="GK252" s="486"/>
      <c r="GL252" s="486"/>
      <c r="GM252" s="43"/>
      <c r="GN252" s="43"/>
      <c r="GO252" s="393"/>
      <c r="GS252" s="3"/>
      <c r="GT252" s="3"/>
      <c r="GV252" s="41"/>
      <c r="GW252" s="41"/>
      <c r="HA252" s="3"/>
      <c r="HB252" s="3"/>
      <c r="HC252" s="43"/>
      <c r="HD252" s="43"/>
      <c r="HE252" s="43"/>
      <c r="HF252" s="43"/>
      <c r="HG252" s="43"/>
    </row>
    <row r="253" spans="19:215">
      <c r="S253" s="442"/>
      <c r="AV253" s="442"/>
      <c r="CC253" s="3"/>
      <c r="CD253" s="3"/>
      <c r="CF253" s="41"/>
      <c r="CG253" s="41"/>
      <c r="CH253" s="3"/>
      <c r="CI253" s="486"/>
      <c r="CJ253" s="486"/>
      <c r="CK253" s="486"/>
      <c r="CL253" s="486"/>
      <c r="CM253" s="258"/>
      <c r="CN253" s="43"/>
      <c r="CZ253" s="3"/>
      <c r="DA253" s="3"/>
      <c r="DC253" s="41"/>
      <c r="DD253" s="41"/>
      <c r="DE253" s="3"/>
      <c r="DF253" s="118"/>
      <c r="DG253" s="700"/>
      <c r="DH253" s="700"/>
      <c r="DI253" s="700"/>
      <c r="DJ253" s="700"/>
      <c r="DK253" s="43"/>
      <c r="DL253" s="43"/>
      <c r="DS253" s="3"/>
      <c r="DT253" s="3"/>
      <c r="DV253" s="41"/>
      <c r="DW253" s="41"/>
      <c r="DY253" s="118"/>
      <c r="DZ253" s="3"/>
      <c r="EA253" s="486"/>
      <c r="EB253" s="486"/>
      <c r="EC253" s="486"/>
      <c r="ED253" s="486"/>
      <c r="EE253" s="43"/>
      <c r="EF253" s="43"/>
      <c r="EL253" s="3"/>
      <c r="EM253" s="3"/>
      <c r="EO253" s="41"/>
      <c r="EP253" s="41"/>
      <c r="FC253" s="3"/>
      <c r="FE253" s="39"/>
      <c r="FF253" s="39"/>
      <c r="FH253" s="41"/>
      <c r="FI253" s="41"/>
      <c r="FM253" s="3"/>
      <c r="FN253" s="3"/>
      <c r="FO253" s="486"/>
      <c r="FP253" s="486"/>
      <c r="FQ253" s="486"/>
      <c r="FR253" s="486"/>
      <c r="FS253" s="43"/>
      <c r="FT253" s="43"/>
      <c r="FX253" s="3"/>
      <c r="FY253" s="3"/>
      <c r="GA253" s="41"/>
      <c r="GB253" s="41"/>
      <c r="GG253" s="3"/>
      <c r="GH253" s="3"/>
      <c r="GI253" s="486"/>
      <c r="GJ253" s="486"/>
      <c r="GK253" s="486"/>
      <c r="GL253" s="486"/>
      <c r="GM253" s="43"/>
      <c r="GN253" s="43"/>
      <c r="GO253" s="393"/>
      <c r="GS253" s="3"/>
      <c r="GT253" s="3"/>
      <c r="GV253" s="41"/>
      <c r="GW253" s="41"/>
      <c r="HA253" s="3"/>
      <c r="HB253" s="3"/>
      <c r="HC253" s="43"/>
      <c r="HD253" s="43"/>
      <c r="HE253" s="43"/>
      <c r="HF253" s="43"/>
      <c r="HG253" s="43"/>
    </row>
    <row r="254" spans="19:215">
      <c r="S254" s="442"/>
      <c r="AV254" s="442"/>
      <c r="CC254" s="3"/>
      <c r="CD254" s="3"/>
      <c r="CF254" s="41"/>
      <c r="CG254" s="41"/>
      <c r="CH254" s="3"/>
      <c r="CI254" s="486"/>
      <c r="CJ254" s="486"/>
      <c r="CK254" s="486"/>
      <c r="CL254" s="486"/>
      <c r="CM254" s="258"/>
      <c r="CN254" s="43"/>
      <c r="CZ254" s="3"/>
      <c r="DA254" s="3"/>
      <c r="DC254" s="41"/>
      <c r="DD254" s="41"/>
      <c r="DE254" s="3"/>
      <c r="DF254" s="118"/>
      <c r="DG254" s="700"/>
      <c r="DH254" s="700"/>
      <c r="DI254" s="700"/>
      <c r="DJ254" s="700"/>
      <c r="DK254" s="43"/>
      <c r="DL254" s="43"/>
      <c r="DS254" s="3"/>
      <c r="DT254" s="3"/>
      <c r="DV254" s="41"/>
      <c r="DW254" s="41"/>
      <c r="DY254" s="118"/>
      <c r="DZ254" s="3"/>
      <c r="EA254" s="486"/>
      <c r="EB254" s="486"/>
      <c r="EC254" s="486"/>
      <c r="ED254" s="486"/>
      <c r="EE254" s="43"/>
      <c r="EF254" s="43"/>
      <c r="EL254" s="3"/>
      <c r="EM254" s="3"/>
      <c r="EO254" s="41"/>
      <c r="EP254" s="41"/>
      <c r="FC254" s="3"/>
      <c r="FE254" s="39"/>
      <c r="FF254" s="39"/>
      <c r="FH254" s="41"/>
      <c r="FI254" s="41"/>
      <c r="FM254" s="3"/>
      <c r="FN254" s="3"/>
      <c r="FO254" s="486"/>
      <c r="FP254" s="486"/>
      <c r="FQ254" s="486"/>
      <c r="FR254" s="486"/>
      <c r="FS254" s="43"/>
      <c r="FT254" s="43"/>
      <c r="FX254" s="3"/>
      <c r="FY254" s="3"/>
      <c r="GA254" s="41"/>
      <c r="GB254" s="41"/>
      <c r="GG254" s="3"/>
      <c r="GH254" s="3"/>
      <c r="GI254" s="486"/>
      <c r="GJ254" s="486"/>
      <c r="GK254" s="486"/>
      <c r="GL254" s="486"/>
      <c r="GM254" s="43"/>
      <c r="GN254" s="43"/>
      <c r="GO254" s="393"/>
      <c r="GS254" s="3"/>
      <c r="GT254" s="3"/>
      <c r="GV254" s="41"/>
      <c r="GW254" s="41"/>
      <c r="HA254" s="3"/>
      <c r="HB254" s="3"/>
      <c r="HC254" s="43"/>
      <c r="HD254" s="43"/>
      <c r="HE254" s="43"/>
      <c r="HF254" s="43"/>
      <c r="HG254" s="43"/>
    </row>
    <row r="255" spans="19:215">
      <c r="S255" s="442"/>
      <c r="AV255" s="442"/>
      <c r="CC255" s="3"/>
      <c r="CD255" s="3"/>
      <c r="CF255" s="41"/>
      <c r="CG255" s="41"/>
      <c r="CH255" s="3"/>
      <c r="CI255" s="486"/>
      <c r="CJ255" s="486"/>
      <c r="CK255" s="486"/>
      <c r="CL255" s="486"/>
      <c r="CM255" s="258"/>
      <c r="CN255" s="43"/>
      <c r="CZ255" s="3"/>
      <c r="DA255" s="3"/>
      <c r="DC255" s="41"/>
      <c r="DD255" s="41"/>
      <c r="DE255" s="3"/>
      <c r="DF255" s="118"/>
      <c r="DG255" s="700"/>
      <c r="DH255" s="700"/>
      <c r="DI255" s="700"/>
      <c r="DJ255" s="700"/>
      <c r="DK255" s="43"/>
      <c r="DL255" s="43"/>
      <c r="DS255" s="3"/>
      <c r="DT255" s="3"/>
      <c r="DV255" s="41"/>
      <c r="DW255" s="41"/>
      <c r="DY255" s="118"/>
      <c r="DZ255" s="3"/>
      <c r="EA255" s="486"/>
      <c r="EB255" s="486"/>
      <c r="EC255" s="486"/>
      <c r="ED255" s="486"/>
      <c r="EE255" s="43"/>
      <c r="EF255" s="43"/>
      <c r="EL255" s="3"/>
      <c r="EM255" s="3"/>
      <c r="EO255" s="41"/>
      <c r="EP255" s="41"/>
      <c r="FC255" s="3"/>
      <c r="FE255" s="39"/>
      <c r="FF255" s="39"/>
      <c r="FH255" s="41"/>
      <c r="FI255" s="41"/>
      <c r="FM255" s="3"/>
      <c r="FN255" s="3"/>
      <c r="FO255" s="486"/>
      <c r="FP255" s="486"/>
      <c r="FQ255" s="486"/>
      <c r="FR255" s="486"/>
      <c r="FS255" s="43"/>
      <c r="FT255" s="43"/>
      <c r="FX255" s="3"/>
      <c r="FY255" s="3"/>
      <c r="GA255" s="41"/>
      <c r="GB255" s="41"/>
      <c r="GG255" s="3"/>
      <c r="GH255" s="3"/>
      <c r="GI255" s="486"/>
      <c r="GJ255" s="486"/>
      <c r="GK255" s="486"/>
      <c r="GL255" s="486"/>
      <c r="GM255" s="43"/>
      <c r="GN255" s="43"/>
      <c r="GO255" s="393"/>
      <c r="GS255" s="3"/>
      <c r="GT255" s="3"/>
      <c r="GV255" s="41"/>
      <c r="GW255" s="41"/>
      <c r="HA255" s="3"/>
      <c r="HB255" s="3"/>
      <c r="HC255" s="43"/>
      <c r="HD255" s="43"/>
      <c r="HE255" s="43"/>
      <c r="HF255" s="43"/>
      <c r="HG255" s="43"/>
    </row>
    <row r="256" spans="19:215">
      <c r="S256" s="442"/>
      <c r="AV256" s="442"/>
      <c r="CC256" s="3"/>
      <c r="CD256" s="3"/>
      <c r="CF256" s="41"/>
      <c r="CG256" s="41"/>
      <c r="CH256" s="3"/>
      <c r="CI256" s="486"/>
      <c r="CJ256" s="486"/>
      <c r="CK256" s="486"/>
      <c r="CL256" s="486"/>
      <c r="CM256" s="258"/>
      <c r="CN256" s="43"/>
      <c r="CZ256" s="3"/>
      <c r="DA256" s="3"/>
      <c r="DC256" s="41"/>
      <c r="DD256" s="41"/>
      <c r="DE256" s="3"/>
      <c r="DF256" s="118"/>
      <c r="DG256" s="700"/>
      <c r="DH256" s="700"/>
      <c r="DI256" s="700"/>
      <c r="DJ256" s="700"/>
      <c r="DK256" s="43"/>
      <c r="DL256" s="43"/>
      <c r="DS256" s="3"/>
      <c r="DT256" s="3"/>
      <c r="DV256" s="41"/>
      <c r="DW256" s="41"/>
      <c r="DY256" s="118"/>
      <c r="DZ256" s="3"/>
      <c r="EA256" s="486"/>
      <c r="EB256" s="486"/>
      <c r="EC256" s="486"/>
      <c r="ED256" s="486"/>
      <c r="EE256" s="43"/>
      <c r="EF256" s="43"/>
      <c r="EL256" s="3"/>
      <c r="EM256" s="3"/>
      <c r="EO256" s="41"/>
      <c r="EP256" s="41"/>
      <c r="FC256" s="3"/>
      <c r="FE256" s="39"/>
      <c r="FF256" s="39"/>
      <c r="FH256" s="41"/>
      <c r="FI256" s="41"/>
      <c r="FM256" s="3"/>
      <c r="FN256" s="3"/>
      <c r="FO256" s="486"/>
      <c r="FP256" s="486"/>
      <c r="FQ256" s="486"/>
      <c r="FR256" s="486"/>
      <c r="FS256" s="43"/>
      <c r="FT256" s="43"/>
      <c r="FX256" s="3"/>
      <c r="FY256" s="3"/>
      <c r="GA256" s="41"/>
      <c r="GB256" s="41"/>
      <c r="GG256" s="3"/>
      <c r="GH256" s="3"/>
      <c r="GI256" s="486"/>
      <c r="GJ256" s="486"/>
      <c r="GK256" s="486"/>
      <c r="GL256" s="486"/>
      <c r="GM256" s="43"/>
      <c r="GN256" s="43"/>
      <c r="GO256" s="393"/>
      <c r="GS256" s="3"/>
      <c r="GT256" s="3"/>
      <c r="GV256" s="41"/>
      <c r="GW256" s="41"/>
      <c r="HA256" s="3"/>
      <c r="HB256" s="3"/>
      <c r="HC256" s="43"/>
      <c r="HD256" s="43"/>
      <c r="HE256" s="43"/>
      <c r="HF256" s="43"/>
      <c r="HG256" s="43"/>
    </row>
    <row r="257" spans="19:215">
      <c r="S257" s="442"/>
      <c r="AV257" s="442"/>
      <c r="CC257" s="3"/>
      <c r="CD257" s="3"/>
      <c r="CF257" s="41"/>
      <c r="CG257" s="41"/>
      <c r="CH257" s="3"/>
      <c r="CI257" s="486"/>
      <c r="CJ257" s="486"/>
      <c r="CK257" s="486"/>
      <c r="CL257" s="486"/>
      <c r="CM257" s="258"/>
      <c r="CN257" s="43"/>
      <c r="CZ257" s="3"/>
      <c r="DA257" s="3"/>
      <c r="DC257" s="41"/>
      <c r="DD257" s="41"/>
      <c r="DE257" s="3"/>
      <c r="DF257" s="118"/>
      <c r="DG257" s="700"/>
      <c r="DH257" s="700"/>
      <c r="DI257" s="700"/>
      <c r="DJ257" s="700"/>
      <c r="DK257" s="43"/>
      <c r="DL257" s="43"/>
      <c r="DS257" s="3"/>
      <c r="DT257" s="3"/>
      <c r="DV257" s="41"/>
      <c r="DW257" s="41"/>
      <c r="DY257" s="118"/>
      <c r="DZ257" s="3"/>
      <c r="EA257" s="486"/>
      <c r="EB257" s="486"/>
      <c r="EC257" s="486"/>
      <c r="ED257" s="486"/>
      <c r="EE257" s="43"/>
      <c r="EF257" s="43"/>
      <c r="EL257" s="3"/>
      <c r="EM257" s="3"/>
      <c r="EO257" s="41"/>
      <c r="EP257" s="41"/>
      <c r="FC257" s="3"/>
      <c r="FE257" s="39"/>
      <c r="FF257" s="39"/>
      <c r="FH257" s="41"/>
      <c r="FI257" s="41"/>
      <c r="FM257" s="3"/>
      <c r="FN257" s="3"/>
      <c r="FO257" s="486"/>
      <c r="FP257" s="486"/>
      <c r="FQ257" s="486"/>
      <c r="FR257" s="486"/>
      <c r="FS257" s="43"/>
      <c r="FT257" s="43"/>
      <c r="FX257" s="3"/>
      <c r="FY257" s="3"/>
      <c r="GA257" s="41"/>
      <c r="GB257" s="41"/>
      <c r="GG257" s="3"/>
      <c r="GH257" s="3"/>
      <c r="GI257" s="486"/>
      <c r="GJ257" s="486"/>
      <c r="GK257" s="486"/>
      <c r="GL257" s="486"/>
      <c r="GM257" s="43"/>
      <c r="GN257" s="43"/>
      <c r="GO257" s="393"/>
      <c r="GS257" s="3"/>
      <c r="GT257" s="3"/>
      <c r="GV257" s="41"/>
      <c r="GW257" s="41"/>
      <c r="HA257" s="3"/>
      <c r="HB257" s="3"/>
      <c r="HC257" s="43"/>
      <c r="HD257" s="43"/>
      <c r="HE257" s="43"/>
      <c r="HF257" s="43"/>
      <c r="HG257" s="43"/>
    </row>
    <row r="258" spans="19:215">
      <c r="S258" s="442"/>
      <c r="AV258" s="442"/>
      <c r="CC258" s="3"/>
      <c r="CD258" s="3"/>
      <c r="CF258" s="41"/>
      <c r="CG258" s="41"/>
      <c r="CH258" s="3"/>
      <c r="CI258" s="486"/>
      <c r="CJ258" s="486"/>
      <c r="CK258" s="486"/>
      <c r="CL258" s="486"/>
      <c r="CM258" s="258"/>
      <c r="CN258" s="43"/>
      <c r="CZ258" s="3"/>
      <c r="DA258" s="3"/>
      <c r="DC258" s="41"/>
      <c r="DD258" s="41"/>
      <c r="DE258" s="3"/>
      <c r="DF258" s="118"/>
      <c r="DG258" s="700"/>
      <c r="DH258" s="700"/>
      <c r="DI258" s="700"/>
      <c r="DJ258" s="700"/>
      <c r="DK258" s="43"/>
      <c r="DL258" s="43"/>
      <c r="DS258" s="3"/>
      <c r="DT258" s="3"/>
      <c r="DV258" s="41"/>
      <c r="DW258" s="41"/>
      <c r="DY258" s="118"/>
      <c r="DZ258" s="3"/>
      <c r="EA258" s="486"/>
      <c r="EB258" s="486"/>
      <c r="EC258" s="486"/>
      <c r="ED258" s="486"/>
      <c r="EE258" s="43"/>
      <c r="EF258" s="43"/>
      <c r="EL258" s="3"/>
      <c r="EM258" s="3"/>
      <c r="EO258" s="41"/>
      <c r="EP258" s="41"/>
      <c r="FC258" s="3"/>
      <c r="FE258" s="39"/>
      <c r="FF258" s="39"/>
      <c r="FH258" s="41"/>
      <c r="FI258" s="41"/>
      <c r="FM258" s="3"/>
      <c r="FN258" s="3"/>
      <c r="FO258" s="486"/>
      <c r="FP258" s="486"/>
      <c r="FQ258" s="486"/>
      <c r="FR258" s="486"/>
      <c r="FS258" s="43"/>
      <c r="FT258" s="43"/>
      <c r="FX258" s="3"/>
      <c r="FY258" s="3"/>
      <c r="GA258" s="41"/>
      <c r="GB258" s="41"/>
      <c r="GG258" s="3"/>
      <c r="GH258" s="3"/>
      <c r="GI258" s="486"/>
      <c r="GJ258" s="486"/>
      <c r="GK258" s="486"/>
      <c r="GL258" s="486"/>
      <c r="GM258" s="43"/>
      <c r="GN258" s="43"/>
      <c r="GO258" s="393"/>
      <c r="GS258" s="3"/>
      <c r="GT258" s="3"/>
      <c r="GV258" s="41"/>
      <c r="GW258" s="41"/>
      <c r="HA258" s="3"/>
      <c r="HB258" s="3"/>
      <c r="HC258" s="43"/>
      <c r="HD258" s="43"/>
      <c r="HE258" s="43"/>
      <c r="HF258" s="43"/>
      <c r="HG258" s="43"/>
    </row>
    <row r="259" spans="19:215">
      <c r="S259" s="442"/>
      <c r="AV259" s="442"/>
      <c r="CC259" s="3"/>
      <c r="CD259" s="3"/>
      <c r="CF259" s="41"/>
      <c r="CG259" s="41"/>
      <c r="CH259" s="3"/>
      <c r="CI259" s="486"/>
      <c r="CJ259" s="486"/>
      <c r="CK259" s="486"/>
      <c r="CL259" s="486"/>
      <c r="CM259" s="258"/>
      <c r="CN259" s="43"/>
      <c r="CZ259" s="3"/>
      <c r="DA259" s="3"/>
      <c r="DC259" s="41"/>
      <c r="DD259" s="41"/>
      <c r="DE259" s="3"/>
      <c r="DF259" s="118"/>
      <c r="DG259" s="700"/>
      <c r="DH259" s="700"/>
      <c r="DI259" s="700"/>
      <c r="DJ259" s="700"/>
      <c r="DK259" s="43"/>
      <c r="DL259" s="43"/>
      <c r="DS259" s="3"/>
      <c r="DT259" s="3"/>
      <c r="DV259" s="41"/>
      <c r="DW259" s="41"/>
      <c r="DY259" s="118"/>
      <c r="DZ259" s="3"/>
      <c r="EA259" s="486"/>
      <c r="EB259" s="486"/>
      <c r="EC259" s="486"/>
      <c r="ED259" s="486"/>
      <c r="EE259" s="43"/>
      <c r="EF259" s="43"/>
      <c r="EL259" s="3"/>
      <c r="EM259" s="3"/>
      <c r="EO259" s="41"/>
      <c r="EP259" s="41"/>
      <c r="FC259" s="3"/>
      <c r="FE259" s="39"/>
      <c r="FF259" s="39"/>
      <c r="FH259" s="41"/>
      <c r="FI259" s="41"/>
      <c r="FM259" s="3"/>
      <c r="FN259" s="3"/>
      <c r="FO259" s="486"/>
      <c r="FP259" s="486"/>
      <c r="FQ259" s="486"/>
      <c r="FR259" s="486"/>
      <c r="FS259" s="43"/>
      <c r="FT259" s="43"/>
      <c r="FX259" s="3"/>
      <c r="FY259" s="3"/>
      <c r="GA259" s="41"/>
      <c r="GB259" s="41"/>
      <c r="GG259" s="3"/>
      <c r="GH259" s="3"/>
      <c r="GI259" s="486"/>
      <c r="GJ259" s="486"/>
      <c r="GK259" s="486"/>
      <c r="GL259" s="486"/>
      <c r="GM259" s="43"/>
      <c r="GN259" s="43"/>
      <c r="GO259" s="393"/>
      <c r="GS259" s="3"/>
      <c r="GT259" s="3"/>
      <c r="GV259" s="41"/>
      <c r="GW259" s="41"/>
      <c r="HA259" s="3"/>
      <c r="HB259" s="3"/>
      <c r="HC259" s="43"/>
      <c r="HD259" s="43"/>
      <c r="HE259" s="43"/>
      <c r="HF259" s="43"/>
      <c r="HG259" s="43"/>
    </row>
    <row r="260" spans="19:215">
      <c r="S260" s="442"/>
      <c r="AV260" s="442"/>
      <c r="CC260" s="3"/>
      <c r="CD260" s="3"/>
      <c r="CF260" s="41"/>
      <c r="CG260" s="41"/>
      <c r="CH260" s="3"/>
      <c r="CI260" s="486"/>
      <c r="CJ260" s="486"/>
      <c r="CK260" s="486"/>
      <c r="CL260" s="486"/>
      <c r="CM260" s="258"/>
      <c r="CN260" s="43"/>
      <c r="CZ260" s="3"/>
      <c r="DA260" s="3"/>
      <c r="DC260" s="41"/>
      <c r="DD260" s="41"/>
      <c r="DE260" s="3"/>
      <c r="DF260" s="118"/>
      <c r="DG260" s="700"/>
      <c r="DH260" s="700"/>
      <c r="DI260" s="700"/>
      <c r="DJ260" s="700"/>
      <c r="DK260" s="43"/>
      <c r="DL260" s="43"/>
      <c r="DS260" s="3"/>
      <c r="DT260" s="3"/>
      <c r="DV260" s="41"/>
      <c r="DW260" s="41"/>
      <c r="DY260" s="118"/>
      <c r="DZ260" s="3"/>
      <c r="EA260" s="486"/>
      <c r="EB260" s="486"/>
      <c r="EC260" s="486"/>
      <c r="ED260" s="486"/>
      <c r="EE260" s="43"/>
      <c r="EF260" s="43"/>
      <c r="EL260" s="3"/>
      <c r="EM260" s="3"/>
      <c r="EO260" s="41"/>
      <c r="EP260" s="41"/>
      <c r="FC260" s="3"/>
      <c r="FE260" s="39"/>
      <c r="FF260" s="39"/>
      <c r="FH260" s="41"/>
      <c r="FI260" s="41"/>
      <c r="FM260" s="3"/>
      <c r="FN260" s="3"/>
      <c r="FO260" s="486"/>
      <c r="FP260" s="486"/>
      <c r="FQ260" s="486"/>
      <c r="FR260" s="486"/>
      <c r="FS260" s="43"/>
      <c r="FT260" s="43"/>
      <c r="FX260" s="3"/>
      <c r="FY260" s="3"/>
      <c r="GA260" s="41"/>
      <c r="GB260" s="41"/>
      <c r="GG260" s="3"/>
      <c r="GH260" s="3"/>
      <c r="GI260" s="486"/>
      <c r="GJ260" s="486"/>
      <c r="GK260" s="486"/>
      <c r="GL260" s="486"/>
      <c r="GM260" s="43"/>
      <c r="GN260" s="43"/>
      <c r="GO260" s="393"/>
      <c r="GS260" s="3"/>
      <c r="GT260" s="3"/>
      <c r="GV260" s="41"/>
      <c r="GW260" s="41"/>
      <c r="HA260" s="3"/>
      <c r="HB260" s="3"/>
      <c r="HC260" s="43"/>
      <c r="HD260" s="43"/>
      <c r="HE260" s="43"/>
      <c r="HF260" s="43"/>
      <c r="HG260" s="43"/>
    </row>
    <row r="261" spans="19:215">
      <c r="S261" s="442"/>
      <c r="AV261" s="442"/>
      <c r="CC261" s="3"/>
      <c r="CD261" s="3"/>
      <c r="CF261" s="41"/>
      <c r="CG261" s="41"/>
      <c r="CH261" s="3"/>
      <c r="CI261" s="486"/>
      <c r="CJ261" s="486"/>
      <c r="CK261" s="486"/>
      <c r="CL261" s="486"/>
      <c r="CM261" s="258"/>
      <c r="CN261" s="43"/>
      <c r="CZ261" s="3"/>
      <c r="DA261" s="3"/>
      <c r="DC261" s="41"/>
      <c r="DD261" s="41"/>
      <c r="DE261" s="3"/>
      <c r="DF261" s="118"/>
      <c r="DG261" s="700"/>
      <c r="DH261" s="700"/>
      <c r="DI261" s="700"/>
      <c r="DJ261" s="700"/>
      <c r="DK261" s="43"/>
      <c r="DL261" s="43"/>
      <c r="DS261" s="3"/>
      <c r="DT261" s="3"/>
      <c r="DV261" s="41"/>
      <c r="DW261" s="41"/>
      <c r="DY261" s="118"/>
      <c r="DZ261" s="3"/>
      <c r="EA261" s="486"/>
      <c r="EB261" s="486"/>
      <c r="EC261" s="486"/>
      <c r="ED261" s="486"/>
      <c r="EE261" s="43"/>
      <c r="EF261" s="43"/>
      <c r="EL261" s="3"/>
      <c r="EM261" s="3"/>
      <c r="EO261" s="41"/>
      <c r="EP261" s="41"/>
      <c r="FC261" s="3"/>
      <c r="FE261" s="39"/>
      <c r="FF261" s="39"/>
      <c r="FH261" s="41"/>
      <c r="FI261" s="41"/>
      <c r="FM261" s="3"/>
      <c r="FN261" s="3"/>
      <c r="FO261" s="486"/>
      <c r="FP261" s="486"/>
      <c r="FQ261" s="486"/>
      <c r="FR261" s="486"/>
      <c r="FS261" s="43"/>
      <c r="FT261" s="43"/>
      <c r="FX261" s="3"/>
      <c r="FY261" s="3"/>
      <c r="GA261" s="41"/>
      <c r="GB261" s="41"/>
      <c r="GG261" s="3"/>
      <c r="GH261" s="3"/>
      <c r="GI261" s="486"/>
      <c r="GJ261" s="486"/>
      <c r="GK261" s="486"/>
      <c r="GL261" s="486"/>
      <c r="GM261" s="43"/>
      <c r="GN261" s="43"/>
      <c r="GO261" s="393"/>
      <c r="GS261" s="3"/>
      <c r="GT261" s="3"/>
      <c r="GV261" s="41"/>
      <c r="GW261" s="41"/>
      <c r="HA261" s="3"/>
      <c r="HB261" s="3"/>
      <c r="HC261" s="43"/>
      <c r="HD261" s="43"/>
      <c r="HE261" s="43"/>
      <c r="HF261" s="43"/>
      <c r="HG261" s="43"/>
    </row>
    <row r="262" spans="19:215">
      <c r="S262" s="442"/>
      <c r="AV262" s="442"/>
      <c r="CC262" s="3"/>
      <c r="CD262" s="3"/>
      <c r="CF262" s="41"/>
      <c r="CG262" s="41"/>
      <c r="CH262" s="3"/>
      <c r="CI262" s="486"/>
      <c r="CJ262" s="486"/>
      <c r="CK262" s="486"/>
      <c r="CL262" s="486"/>
      <c r="CM262" s="258"/>
      <c r="CN262" s="43"/>
      <c r="CZ262" s="3"/>
      <c r="DA262" s="3"/>
      <c r="DC262" s="41"/>
      <c r="DD262" s="41"/>
      <c r="DE262" s="3"/>
      <c r="DF262" s="118"/>
      <c r="DG262" s="700"/>
      <c r="DH262" s="700"/>
      <c r="DI262" s="700"/>
      <c r="DJ262" s="700"/>
      <c r="DK262" s="43"/>
      <c r="DL262" s="43"/>
      <c r="DS262" s="3"/>
      <c r="DT262" s="3"/>
      <c r="DV262" s="41"/>
      <c r="DW262" s="41"/>
      <c r="DY262" s="118"/>
      <c r="DZ262" s="3"/>
      <c r="EA262" s="486"/>
      <c r="EB262" s="486"/>
      <c r="EC262" s="486"/>
      <c r="ED262" s="486"/>
      <c r="EE262" s="43"/>
      <c r="EF262" s="43"/>
      <c r="EL262" s="3"/>
      <c r="EM262" s="3"/>
      <c r="EO262" s="41"/>
      <c r="EP262" s="41"/>
      <c r="FC262" s="3"/>
      <c r="FE262" s="39"/>
      <c r="FF262" s="39"/>
      <c r="FH262" s="41"/>
      <c r="FI262" s="41"/>
      <c r="FM262" s="3"/>
      <c r="FN262" s="3"/>
      <c r="FO262" s="486"/>
      <c r="FP262" s="486"/>
      <c r="FQ262" s="486"/>
      <c r="FR262" s="486"/>
      <c r="FS262" s="43"/>
      <c r="FT262" s="43"/>
      <c r="FX262" s="3"/>
      <c r="FY262" s="3"/>
      <c r="GA262" s="41"/>
      <c r="GB262" s="41"/>
      <c r="GG262" s="3"/>
      <c r="GH262" s="3"/>
      <c r="GI262" s="486"/>
      <c r="GJ262" s="486"/>
      <c r="GK262" s="486"/>
      <c r="GL262" s="486"/>
      <c r="GM262" s="43"/>
      <c r="GN262" s="43"/>
      <c r="GO262" s="393"/>
      <c r="GS262" s="3"/>
      <c r="GT262" s="3"/>
      <c r="GV262" s="41"/>
      <c r="GW262" s="41"/>
      <c r="HA262" s="3"/>
      <c r="HB262" s="3"/>
      <c r="HC262" s="43"/>
      <c r="HD262" s="43"/>
      <c r="HE262" s="43"/>
      <c r="HF262" s="43"/>
      <c r="HG262" s="43"/>
    </row>
    <row r="263" spans="19:215">
      <c r="S263" s="442"/>
      <c r="AV263" s="442"/>
      <c r="CC263" s="3"/>
      <c r="CD263" s="3"/>
      <c r="CF263" s="41"/>
      <c r="CG263" s="41"/>
      <c r="CH263" s="3"/>
      <c r="CI263" s="486"/>
      <c r="CJ263" s="486"/>
      <c r="CK263" s="486"/>
      <c r="CL263" s="486"/>
      <c r="CM263" s="258"/>
      <c r="CN263" s="43"/>
      <c r="CZ263" s="3"/>
      <c r="DA263" s="3"/>
      <c r="DC263" s="41"/>
      <c r="DD263" s="41"/>
      <c r="DE263" s="3"/>
      <c r="DF263" s="118"/>
      <c r="DG263" s="700"/>
      <c r="DH263" s="700"/>
      <c r="DI263" s="700"/>
      <c r="DJ263" s="700"/>
      <c r="DK263" s="43"/>
      <c r="DL263" s="43"/>
      <c r="DS263" s="3"/>
      <c r="DT263" s="3"/>
      <c r="DV263" s="41"/>
      <c r="DW263" s="41"/>
      <c r="DY263" s="118"/>
      <c r="DZ263" s="3"/>
      <c r="EA263" s="486"/>
      <c r="EB263" s="486"/>
      <c r="EC263" s="486"/>
      <c r="ED263" s="486"/>
      <c r="EE263" s="43"/>
      <c r="EF263" s="43"/>
      <c r="EL263" s="3"/>
      <c r="EM263" s="3"/>
      <c r="EO263" s="41"/>
      <c r="EP263" s="41"/>
      <c r="FC263" s="3"/>
      <c r="FE263" s="39"/>
      <c r="FF263" s="39"/>
      <c r="FH263" s="41"/>
      <c r="FI263" s="41"/>
      <c r="FM263" s="3"/>
      <c r="FN263" s="3"/>
      <c r="FO263" s="486"/>
      <c r="FP263" s="486"/>
      <c r="FQ263" s="486"/>
      <c r="FR263" s="486"/>
      <c r="FS263" s="43"/>
      <c r="FT263" s="43"/>
      <c r="FX263" s="3"/>
      <c r="FY263" s="3"/>
      <c r="GA263" s="41"/>
      <c r="GB263" s="41"/>
      <c r="GG263" s="3"/>
      <c r="GH263" s="3"/>
      <c r="GI263" s="486"/>
      <c r="GJ263" s="486"/>
      <c r="GK263" s="486"/>
      <c r="GL263" s="486"/>
      <c r="GM263" s="43"/>
      <c r="GN263" s="43"/>
      <c r="GO263" s="393"/>
      <c r="GS263" s="3"/>
      <c r="GT263" s="3"/>
      <c r="GV263" s="41"/>
      <c r="GW263" s="41"/>
      <c r="HA263" s="3"/>
      <c r="HB263" s="3"/>
      <c r="HC263" s="43"/>
      <c r="HD263" s="43"/>
      <c r="HE263" s="43"/>
      <c r="HF263" s="43"/>
      <c r="HG263" s="43"/>
    </row>
    <row r="264" spans="19:215">
      <c r="S264" s="442"/>
      <c r="AV264" s="442"/>
      <c r="CC264" s="3"/>
      <c r="CD264" s="3"/>
      <c r="CF264" s="41"/>
      <c r="CG264" s="41"/>
      <c r="CH264" s="3"/>
      <c r="CI264" s="486"/>
      <c r="CJ264" s="486"/>
      <c r="CK264" s="486"/>
      <c r="CL264" s="486"/>
      <c r="CM264" s="258"/>
      <c r="CN264" s="43"/>
      <c r="CZ264" s="3"/>
      <c r="DA264" s="3"/>
      <c r="DC264" s="41"/>
      <c r="DD264" s="41"/>
      <c r="DE264" s="3"/>
      <c r="DF264" s="118"/>
      <c r="DG264" s="700"/>
      <c r="DH264" s="700"/>
      <c r="DI264" s="700"/>
      <c r="DJ264" s="700"/>
      <c r="DK264" s="43"/>
      <c r="DL264" s="43"/>
      <c r="DS264" s="3"/>
      <c r="DT264" s="3"/>
      <c r="DV264" s="41"/>
      <c r="DW264" s="41"/>
      <c r="DY264" s="118"/>
      <c r="DZ264" s="3"/>
      <c r="EA264" s="486"/>
      <c r="EB264" s="486"/>
      <c r="EC264" s="486"/>
      <c r="ED264" s="486"/>
      <c r="EE264" s="43"/>
      <c r="EF264" s="43"/>
      <c r="EL264" s="3"/>
      <c r="EM264" s="3"/>
      <c r="EO264" s="41"/>
      <c r="EP264" s="41"/>
      <c r="FC264" s="3"/>
      <c r="FE264" s="39"/>
      <c r="FF264" s="39"/>
      <c r="FH264" s="41"/>
      <c r="FI264" s="41"/>
      <c r="FM264" s="3"/>
      <c r="FN264" s="3"/>
      <c r="FO264" s="486"/>
      <c r="FP264" s="486"/>
      <c r="FQ264" s="486"/>
      <c r="FR264" s="486"/>
      <c r="FS264" s="43"/>
      <c r="FT264" s="43"/>
      <c r="FX264" s="3"/>
      <c r="FY264" s="3"/>
      <c r="GA264" s="41"/>
      <c r="GB264" s="41"/>
      <c r="GG264" s="3"/>
      <c r="GH264" s="3"/>
      <c r="GI264" s="486"/>
      <c r="GJ264" s="486"/>
      <c r="GK264" s="486"/>
      <c r="GL264" s="486"/>
      <c r="GM264" s="43"/>
      <c r="GN264" s="43"/>
      <c r="GO264" s="393"/>
      <c r="GS264" s="3"/>
      <c r="GT264" s="3"/>
      <c r="GV264" s="41"/>
      <c r="GW264" s="41"/>
      <c r="HA264" s="3"/>
      <c r="HB264" s="3"/>
      <c r="HC264" s="43"/>
      <c r="HD264" s="43"/>
      <c r="HE264" s="43"/>
      <c r="HF264" s="43"/>
      <c r="HG264" s="43"/>
    </row>
    <row r="265" spans="19:215">
      <c r="S265" s="442"/>
      <c r="AV265" s="442"/>
      <c r="CC265" s="3"/>
      <c r="CD265" s="3"/>
      <c r="CF265" s="41"/>
      <c r="CG265" s="41"/>
      <c r="CH265" s="3"/>
      <c r="CI265" s="486"/>
      <c r="CJ265" s="486"/>
      <c r="CK265" s="486"/>
      <c r="CL265" s="486"/>
      <c r="CM265" s="258"/>
      <c r="CN265" s="43"/>
      <c r="CZ265" s="3"/>
      <c r="DA265" s="3"/>
      <c r="DC265" s="41"/>
      <c r="DD265" s="41"/>
      <c r="DE265" s="3"/>
      <c r="DF265" s="118"/>
      <c r="DG265" s="700"/>
      <c r="DH265" s="700"/>
      <c r="DI265" s="700"/>
      <c r="DJ265" s="700"/>
      <c r="DK265" s="43"/>
      <c r="DL265" s="43"/>
      <c r="DS265" s="3"/>
      <c r="DT265" s="3"/>
      <c r="DV265" s="41"/>
      <c r="DW265" s="41"/>
      <c r="DY265" s="118"/>
      <c r="DZ265" s="3"/>
      <c r="EA265" s="486"/>
      <c r="EB265" s="486"/>
      <c r="EC265" s="486"/>
      <c r="ED265" s="486"/>
      <c r="EE265" s="43"/>
      <c r="EF265" s="43"/>
      <c r="EL265" s="3"/>
      <c r="EM265" s="3"/>
      <c r="EO265" s="41"/>
      <c r="EP265" s="41"/>
      <c r="FC265" s="3"/>
      <c r="FE265" s="39"/>
      <c r="FF265" s="39"/>
      <c r="FH265" s="41"/>
      <c r="FI265" s="41"/>
      <c r="FM265" s="3"/>
      <c r="FN265" s="3"/>
      <c r="FO265" s="486"/>
      <c r="FP265" s="486"/>
      <c r="FQ265" s="486"/>
      <c r="FR265" s="486"/>
      <c r="FS265" s="43"/>
      <c r="FT265" s="43"/>
      <c r="FX265" s="3"/>
      <c r="FY265" s="3"/>
      <c r="GA265" s="41"/>
      <c r="GB265" s="41"/>
      <c r="GG265" s="3"/>
      <c r="GH265" s="3"/>
      <c r="GI265" s="486"/>
      <c r="GJ265" s="486"/>
      <c r="GK265" s="486"/>
      <c r="GL265" s="486"/>
      <c r="GM265" s="43"/>
      <c r="GN265" s="43"/>
      <c r="GO265" s="393"/>
      <c r="GS265" s="3"/>
      <c r="GT265" s="3"/>
      <c r="GV265" s="41"/>
      <c r="GW265" s="41"/>
      <c r="HA265" s="3"/>
      <c r="HB265" s="3"/>
      <c r="HC265" s="43"/>
      <c r="HD265" s="43"/>
      <c r="HE265" s="43"/>
      <c r="HF265" s="43"/>
      <c r="HG265" s="43"/>
    </row>
    <row r="266" spans="19:215">
      <c r="S266" s="442"/>
      <c r="AV266" s="442"/>
      <c r="CC266" s="3"/>
      <c r="CD266" s="3"/>
      <c r="CF266" s="41"/>
      <c r="CG266" s="41"/>
      <c r="CH266" s="3"/>
      <c r="CI266" s="486"/>
      <c r="CJ266" s="486"/>
      <c r="CK266" s="486"/>
      <c r="CL266" s="486"/>
      <c r="CM266" s="258"/>
      <c r="CN266" s="43"/>
      <c r="CZ266" s="3"/>
      <c r="DA266" s="3"/>
      <c r="DC266" s="41"/>
      <c r="DD266" s="41"/>
      <c r="DE266" s="3"/>
      <c r="DF266" s="118"/>
      <c r="DG266" s="700"/>
      <c r="DH266" s="700"/>
      <c r="DI266" s="700"/>
      <c r="DJ266" s="700"/>
      <c r="DK266" s="43"/>
      <c r="DL266" s="43"/>
      <c r="DS266" s="3"/>
      <c r="DT266" s="3"/>
      <c r="DV266" s="41"/>
      <c r="DW266" s="41"/>
      <c r="DY266" s="118"/>
      <c r="DZ266" s="3"/>
      <c r="EA266" s="486"/>
      <c r="EB266" s="486"/>
      <c r="EC266" s="486"/>
      <c r="ED266" s="486"/>
      <c r="EE266" s="43"/>
      <c r="EF266" s="43"/>
      <c r="EL266" s="3"/>
      <c r="EM266" s="3"/>
      <c r="EO266" s="41"/>
      <c r="EP266" s="41"/>
      <c r="FC266" s="3"/>
      <c r="FE266" s="39"/>
      <c r="FF266" s="39"/>
      <c r="FH266" s="41"/>
      <c r="FI266" s="41"/>
      <c r="FM266" s="3"/>
      <c r="FN266" s="3"/>
      <c r="FO266" s="486"/>
      <c r="FP266" s="486"/>
      <c r="FQ266" s="486"/>
      <c r="FR266" s="486"/>
      <c r="FS266" s="43"/>
      <c r="FT266" s="43"/>
      <c r="FX266" s="3"/>
      <c r="FY266" s="3"/>
      <c r="GA266" s="41"/>
      <c r="GB266" s="41"/>
      <c r="GG266" s="3"/>
      <c r="GH266" s="3"/>
      <c r="GI266" s="486"/>
      <c r="GJ266" s="486"/>
      <c r="GK266" s="486"/>
      <c r="GL266" s="486"/>
      <c r="GM266" s="43"/>
      <c r="GN266" s="43"/>
      <c r="GO266" s="393"/>
      <c r="GS266" s="3"/>
      <c r="GT266" s="3"/>
      <c r="GV266" s="41"/>
      <c r="GW266" s="41"/>
      <c r="HA266" s="3"/>
      <c r="HB266" s="3"/>
      <c r="HC266" s="43"/>
      <c r="HD266" s="43"/>
      <c r="HE266" s="43"/>
      <c r="HF266" s="43"/>
      <c r="HG266" s="43"/>
    </row>
    <row r="267" spans="19:215">
      <c r="S267" s="442"/>
      <c r="AV267" s="442"/>
      <c r="CC267" s="3"/>
      <c r="CD267" s="3"/>
      <c r="CF267" s="41"/>
      <c r="CG267" s="41"/>
      <c r="CH267" s="3"/>
      <c r="CI267" s="486"/>
      <c r="CJ267" s="486"/>
      <c r="CK267" s="486"/>
      <c r="CL267" s="486"/>
      <c r="CM267" s="258"/>
      <c r="CN267" s="43"/>
      <c r="CZ267" s="3"/>
      <c r="DA267" s="3"/>
      <c r="DC267" s="41"/>
      <c r="DD267" s="41"/>
      <c r="DE267" s="3"/>
      <c r="DF267" s="118"/>
      <c r="DG267" s="700"/>
      <c r="DH267" s="700"/>
      <c r="DI267" s="700"/>
      <c r="DJ267" s="700"/>
      <c r="DK267" s="43"/>
      <c r="DL267" s="43"/>
      <c r="DS267" s="3"/>
      <c r="DT267" s="3"/>
      <c r="DV267" s="41"/>
      <c r="DW267" s="41"/>
      <c r="DY267" s="118"/>
      <c r="DZ267" s="3"/>
      <c r="EA267" s="486"/>
      <c r="EB267" s="486"/>
      <c r="EC267" s="486"/>
      <c r="ED267" s="486"/>
      <c r="EE267" s="43"/>
      <c r="EF267" s="43"/>
      <c r="EL267" s="3"/>
      <c r="EM267" s="3"/>
      <c r="EO267" s="41"/>
      <c r="EP267" s="41"/>
      <c r="FC267" s="3"/>
      <c r="FE267" s="39"/>
      <c r="FF267" s="39"/>
      <c r="FH267" s="41"/>
      <c r="FI267" s="41"/>
      <c r="FM267" s="3"/>
      <c r="FN267" s="3"/>
      <c r="FO267" s="486"/>
      <c r="FP267" s="486"/>
      <c r="FQ267" s="486"/>
      <c r="FR267" s="486"/>
      <c r="FS267" s="43"/>
      <c r="FT267" s="43"/>
      <c r="FX267" s="3"/>
      <c r="FY267" s="3"/>
      <c r="GA267" s="41"/>
      <c r="GB267" s="41"/>
      <c r="GG267" s="3"/>
      <c r="GH267" s="3"/>
      <c r="GI267" s="486"/>
      <c r="GJ267" s="486"/>
      <c r="GK267" s="486"/>
      <c r="GL267" s="486"/>
      <c r="GM267" s="43"/>
      <c r="GN267" s="43"/>
      <c r="GO267" s="393"/>
      <c r="GS267" s="3"/>
      <c r="GT267" s="3"/>
      <c r="GV267" s="41"/>
      <c r="GW267" s="41"/>
      <c r="HA267" s="3"/>
      <c r="HB267" s="3"/>
      <c r="HC267" s="43"/>
      <c r="HD267" s="43"/>
      <c r="HE267" s="43"/>
      <c r="HF267" s="43"/>
      <c r="HG267" s="43"/>
    </row>
    <row r="268" spans="19:215">
      <c r="S268" s="442"/>
      <c r="AV268" s="442"/>
      <c r="CC268" s="3"/>
      <c r="CD268" s="3"/>
      <c r="CF268" s="41"/>
      <c r="CG268" s="41"/>
      <c r="CH268" s="3"/>
      <c r="CI268" s="486"/>
      <c r="CJ268" s="486"/>
      <c r="CK268" s="486"/>
      <c r="CL268" s="486"/>
      <c r="CM268" s="258"/>
      <c r="CN268" s="43"/>
      <c r="CZ268" s="3"/>
      <c r="DA268" s="3"/>
      <c r="DC268" s="41"/>
      <c r="DD268" s="41"/>
      <c r="DE268" s="3"/>
      <c r="DF268" s="118"/>
      <c r="DG268" s="700"/>
      <c r="DH268" s="700"/>
      <c r="DI268" s="700"/>
      <c r="DJ268" s="700"/>
      <c r="DK268" s="43"/>
      <c r="DL268" s="43"/>
      <c r="DS268" s="3"/>
      <c r="DT268" s="3"/>
      <c r="DV268" s="41"/>
      <c r="DW268" s="41"/>
      <c r="DY268" s="118"/>
      <c r="DZ268" s="3"/>
      <c r="EA268" s="486"/>
      <c r="EB268" s="486"/>
      <c r="EC268" s="486"/>
      <c r="ED268" s="486"/>
      <c r="EE268" s="43"/>
      <c r="EF268" s="43"/>
      <c r="EL268" s="3"/>
      <c r="EM268" s="3"/>
      <c r="EO268" s="41"/>
      <c r="EP268" s="41"/>
      <c r="FC268" s="3"/>
      <c r="FE268" s="39"/>
      <c r="FF268" s="39"/>
      <c r="FH268" s="41"/>
      <c r="FI268" s="41"/>
      <c r="FM268" s="3"/>
      <c r="FN268" s="3"/>
      <c r="FO268" s="486"/>
      <c r="FP268" s="486"/>
      <c r="FQ268" s="486"/>
      <c r="FR268" s="486"/>
      <c r="FS268" s="43"/>
      <c r="FT268" s="43"/>
      <c r="FX268" s="3"/>
      <c r="FY268" s="3"/>
      <c r="GA268" s="41"/>
      <c r="GB268" s="41"/>
      <c r="GG268" s="3"/>
      <c r="GH268" s="3"/>
      <c r="GI268" s="486"/>
      <c r="GJ268" s="486"/>
      <c r="GK268" s="486"/>
      <c r="GL268" s="486"/>
      <c r="GM268" s="43"/>
      <c r="GN268" s="43"/>
      <c r="GO268" s="393"/>
      <c r="GS268" s="3"/>
      <c r="GT268" s="3"/>
      <c r="GV268" s="41"/>
      <c r="GW268" s="41"/>
      <c r="HA268" s="3"/>
      <c r="HB268" s="3"/>
      <c r="HC268" s="43"/>
      <c r="HD268" s="43"/>
      <c r="HE268" s="43"/>
      <c r="HF268" s="43"/>
      <c r="HG268" s="43"/>
    </row>
    <row r="269" spans="19:215">
      <c r="S269" s="442"/>
      <c r="AV269" s="442"/>
      <c r="CC269" s="3"/>
      <c r="CD269" s="3"/>
      <c r="CF269" s="41"/>
      <c r="CG269" s="41"/>
      <c r="CH269" s="3"/>
      <c r="CI269" s="486"/>
      <c r="CJ269" s="486"/>
      <c r="CK269" s="486"/>
      <c r="CL269" s="486"/>
      <c r="CM269" s="258"/>
      <c r="CN269" s="43"/>
      <c r="CZ269" s="3"/>
      <c r="DA269" s="3"/>
      <c r="DC269" s="41"/>
      <c r="DD269" s="41"/>
      <c r="DE269" s="3"/>
      <c r="DF269" s="118"/>
      <c r="DG269" s="700"/>
      <c r="DH269" s="700"/>
      <c r="DI269" s="700"/>
      <c r="DJ269" s="700"/>
      <c r="DK269" s="43"/>
      <c r="DL269" s="43"/>
      <c r="DS269" s="3"/>
      <c r="DT269" s="3"/>
      <c r="DV269" s="41"/>
      <c r="DW269" s="41"/>
      <c r="DY269" s="118"/>
      <c r="DZ269" s="3"/>
      <c r="EA269" s="486"/>
      <c r="EB269" s="486"/>
      <c r="EC269" s="486"/>
      <c r="ED269" s="486"/>
      <c r="EE269" s="43"/>
      <c r="EF269" s="43"/>
      <c r="EL269" s="3"/>
      <c r="EM269" s="3"/>
      <c r="EO269" s="41"/>
      <c r="EP269" s="41"/>
      <c r="FC269" s="3"/>
      <c r="FE269" s="39"/>
      <c r="FF269" s="39"/>
      <c r="FH269" s="41"/>
      <c r="FI269" s="41"/>
      <c r="FM269" s="3"/>
      <c r="FN269" s="3"/>
      <c r="FO269" s="486"/>
      <c r="FP269" s="486"/>
      <c r="FQ269" s="486"/>
      <c r="FR269" s="486"/>
      <c r="FS269" s="43"/>
      <c r="FT269" s="43"/>
      <c r="FX269" s="3"/>
      <c r="FY269" s="3"/>
      <c r="GA269" s="41"/>
      <c r="GB269" s="41"/>
      <c r="GG269" s="3"/>
      <c r="GH269" s="3"/>
      <c r="GI269" s="486"/>
      <c r="GJ269" s="486"/>
      <c r="GK269" s="486"/>
      <c r="GL269" s="486"/>
      <c r="GM269" s="43"/>
      <c r="GN269" s="43"/>
      <c r="GO269" s="393"/>
      <c r="GS269" s="3"/>
      <c r="GT269" s="3"/>
      <c r="GV269" s="41"/>
      <c r="GW269" s="41"/>
      <c r="HA269" s="3"/>
      <c r="HB269" s="3"/>
      <c r="HC269" s="43"/>
      <c r="HD269" s="43"/>
      <c r="HE269" s="43"/>
      <c r="HF269" s="43"/>
      <c r="HG269" s="43"/>
    </row>
    <row r="270" spans="19:215">
      <c r="S270" s="442"/>
      <c r="AV270" s="442"/>
      <c r="CC270" s="3"/>
      <c r="CD270" s="3"/>
      <c r="CF270" s="41"/>
      <c r="CG270" s="41"/>
      <c r="CH270" s="3"/>
      <c r="CI270" s="486"/>
      <c r="CJ270" s="486"/>
      <c r="CK270" s="486"/>
      <c r="CL270" s="486"/>
      <c r="CM270" s="258"/>
      <c r="CN270" s="43"/>
      <c r="CZ270" s="3"/>
      <c r="DA270" s="3"/>
      <c r="DC270" s="41"/>
      <c r="DD270" s="41"/>
      <c r="DE270" s="3"/>
      <c r="DF270" s="118"/>
      <c r="DG270" s="700"/>
      <c r="DH270" s="700"/>
      <c r="DI270" s="700"/>
      <c r="DJ270" s="700"/>
      <c r="DK270" s="43"/>
      <c r="DL270" s="43"/>
      <c r="DS270" s="3"/>
      <c r="DT270" s="3"/>
      <c r="DV270" s="41"/>
      <c r="DW270" s="41"/>
      <c r="DY270" s="118"/>
      <c r="DZ270" s="3"/>
      <c r="EA270" s="486"/>
      <c r="EB270" s="486"/>
      <c r="EC270" s="486"/>
      <c r="ED270" s="486"/>
      <c r="EE270" s="43"/>
      <c r="EF270" s="43"/>
      <c r="EL270" s="3"/>
      <c r="EM270" s="3"/>
      <c r="EO270" s="41"/>
      <c r="EP270" s="41"/>
      <c r="FC270" s="3"/>
      <c r="FE270" s="39"/>
      <c r="FF270" s="39"/>
      <c r="FH270" s="41"/>
      <c r="FI270" s="41"/>
      <c r="FM270" s="3"/>
      <c r="FN270" s="3"/>
      <c r="FO270" s="486"/>
      <c r="FP270" s="486"/>
      <c r="FQ270" s="486"/>
      <c r="FR270" s="486"/>
      <c r="FS270" s="43"/>
      <c r="FT270" s="43"/>
      <c r="FX270" s="3"/>
      <c r="FY270" s="3"/>
      <c r="GA270" s="41"/>
      <c r="GB270" s="41"/>
      <c r="GG270" s="3"/>
      <c r="GH270" s="3"/>
      <c r="GI270" s="486"/>
      <c r="GJ270" s="486"/>
      <c r="GK270" s="486"/>
      <c r="GL270" s="486"/>
      <c r="GM270" s="43"/>
      <c r="GN270" s="43"/>
      <c r="GO270" s="393"/>
      <c r="GS270" s="3"/>
      <c r="GT270" s="3"/>
      <c r="GV270" s="41"/>
      <c r="GW270" s="41"/>
      <c r="HA270" s="3"/>
      <c r="HB270" s="3"/>
      <c r="HC270" s="43"/>
      <c r="HD270" s="43"/>
      <c r="HE270" s="43"/>
      <c r="HF270" s="43"/>
      <c r="HG270" s="43"/>
    </row>
    <row r="271" spans="19:215">
      <c r="S271" s="442"/>
      <c r="AV271" s="442"/>
      <c r="CC271" s="3"/>
      <c r="CD271" s="3"/>
      <c r="CF271" s="41"/>
      <c r="CG271" s="41"/>
      <c r="CH271" s="3"/>
      <c r="CI271" s="486"/>
      <c r="CJ271" s="486"/>
      <c r="CK271" s="486"/>
      <c r="CL271" s="486"/>
      <c r="CM271" s="258"/>
      <c r="CN271" s="43"/>
      <c r="CZ271" s="3"/>
      <c r="DA271" s="3"/>
      <c r="DC271" s="41"/>
      <c r="DD271" s="41"/>
      <c r="DE271" s="3"/>
      <c r="DF271" s="118"/>
      <c r="DG271" s="700"/>
      <c r="DH271" s="700"/>
      <c r="DI271" s="700"/>
      <c r="DJ271" s="700"/>
      <c r="DK271" s="43"/>
      <c r="DL271" s="43"/>
      <c r="DS271" s="3"/>
      <c r="DT271" s="3"/>
      <c r="DV271" s="41"/>
      <c r="DW271" s="41"/>
      <c r="DY271" s="118"/>
      <c r="DZ271" s="3"/>
      <c r="EA271" s="486"/>
      <c r="EB271" s="486"/>
      <c r="EC271" s="486"/>
      <c r="ED271" s="486"/>
      <c r="EE271" s="43"/>
      <c r="EF271" s="43"/>
      <c r="EL271" s="3"/>
      <c r="EM271" s="3"/>
      <c r="EO271" s="41"/>
      <c r="EP271" s="41"/>
      <c r="FC271" s="3"/>
      <c r="FE271" s="39"/>
      <c r="FF271" s="39"/>
      <c r="FH271" s="41"/>
      <c r="FI271" s="41"/>
      <c r="FM271" s="3"/>
      <c r="FN271" s="3"/>
      <c r="FO271" s="486"/>
      <c r="FP271" s="486"/>
      <c r="FQ271" s="486"/>
      <c r="FR271" s="486"/>
      <c r="FS271" s="43"/>
      <c r="FT271" s="43"/>
      <c r="FX271" s="3"/>
      <c r="FY271" s="3"/>
      <c r="GA271" s="41"/>
      <c r="GB271" s="41"/>
      <c r="GG271" s="3"/>
      <c r="GH271" s="3"/>
      <c r="GI271" s="486"/>
      <c r="GJ271" s="486"/>
      <c r="GK271" s="486"/>
      <c r="GL271" s="486"/>
      <c r="GM271" s="43"/>
      <c r="GN271" s="43"/>
      <c r="GO271" s="393"/>
      <c r="GS271" s="3"/>
      <c r="GT271" s="3"/>
      <c r="GV271" s="41"/>
      <c r="GW271" s="41"/>
      <c r="HA271" s="3"/>
      <c r="HB271" s="3"/>
      <c r="HC271" s="43"/>
      <c r="HD271" s="43"/>
      <c r="HE271" s="43"/>
      <c r="HF271" s="43"/>
      <c r="HG271" s="43"/>
    </row>
    <row r="272" spans="19:215">
      <c r="S272" s="442"/>
      <c r="AV272" s="442"/>
      <c r="CC272" s="3"/>
      <c r="CD272" s="3"/>
      <c r="CF272" s="41"/>
      <c r="CG272" s="41"/>
      <c r="CH272" s="3"/>
      <c r="CI272" s="486"/>
      <c r="CJ272" s="486"/>
      <c r="CK272" s="486"/>
      <c r="CL272" s="486"/>
      <c r="CM272" s="258"/>
      <c r="CN272" s="43"/>
      <c r="CZ272" s="3"/>
      <c r="DA272" s="3"/>
      <c r="DC272" s="41"/>
      <c r="DD272" s="41"/>
      <c r="DE272" s="3"/>
      <c r="DF272" s="118"/>
      <c r="DG272" s="700"/>
      <c r="DH272" s="700"/>
      <c r="DI272" s="700"/>
      <c r="DJ272" s="700"/>
      <c r="DK272" s="43"/>
      <c r="DL272" s="43"/>
      <c r="DS272" s="3"/>
      <c r="DT272" s="3"/>
      <c r="DV272" s="41"/>
      <c r="DW272" s="41"/>
      <c r="DY272" s="118"/>
      <c r="DZ272" s="3"/>
      <c r="EA272" s="486"/>
      <c r="EB272" s="486"/>
      <c r="EC272" s="486"/>
      <c r="ED272" s="486"/>
      <c r="EE272" s="43"/>
      <c r="EF272" s="43"/>
      <c r="EL272" s="3"/>
      <c r="EM272" s="3"/>
      <c r="EO272" s="41"/>
      <c r="EP272" s="41"/>
      <c r="FC272" s="3"/>
      <c r="FE272" s="39"/>
      <c r="FF272" s="39"/>
      <c r="FH272" s="41"/>
      <c r="FI272" s="41"/>
      <c r="FM272" s="3"/>
      <c r="FN272" s="3"/>
      <c r="FO272" s="486"/>
      <c r="FP272" s="486"/>
      <c r="FQ272" s="486"/>
      <c r="FR272" s="486"/>
      <c r="FS272" s="43"/>
      <c r="FT272" s="43"/>
      <c r="FX272" s="3"/>
      <c r="FY272" s="3"/>
      <c r="GA272" s="41"/>
      <c r="GB272" s="41"/>
      <c r="GG272" s="3"/>
      <c r="GH272" s="3"/>
      <c r="GI272" s="486"/>
      <c r="GJ272" s="486"/>
      <c r="GK272" s="486"/>
      <c r="GL272" s="486"/>
      <c r="GM272" s="43"/>
      <c r="GN272" s="43"/>
      <c r="GO272" s="393"/>
      <c r="GS272" s="3"/>
      <c r="GT272" s="3"/>
      <c r="GV272" s="41"/>
      <c r="GW272" s="41"/>
      <c r="HA272" s="3"/>
      <c r="HB272" s="3"/>
      <c r="HC272" s="43"/>
      <c r="HD272" s="43"/>
      <c r="HE272" s="43"/>
      <c r="HF272" s="43"/>
      <c r="HG272" s="43"/>
    </row>
    <row r="273" spans="19:215">
      <c r="S273" s="442"/>
      <c r="AV273" s="442"/>
      <c r="CC273" s="3"/>
      <c r="CD273" s="3"/>
      <c r="CF273" s="41"/>
      <c r="CG273" s="41"/>
      <c r="CH273" s="3"/>
      <c r="CI273" s="486"/>
      <c r="CJ273" s="486"/>
      <c r="CK273" s="486"/>
      <c r="CL273" s="486"/>
      <c r="CM273" s="258"/>
      <c r="CN273" s="43"/>
      <c r="CZ273" s="3"/>
      <c r="DA273" s="3"/>
      <c r="DC273" s="41"/>
      <c r="DD273" s="41"/>
      <c r="DE273" s="3"/>
      <c r="DF273" s="118"/>
      <c r="DG273" s="700"/>
      <c r="DH273" s="700"/>
      <c r="DI273" s="700"/>
      <c r="DJ273" s="700"/>
      <c r="DK273" s="43"/>
      <c r="DL273" s="43"/>
      <c r="DS273" s="3"/>
      <c r="DT273" s="3"/>
      <c r="DV273" s="41"/>
      <c r="DW273" s="41"/>
      <c r="DY273" s="118"/>
      <c r="DZ273" s="3"/>
      <c r="EA273" s="486"/>
      <c r="EB273" s="486"/>
      <c r="EC273" s="486"/>
      <c r="ED273" s="486"/>
      <c r="EE273" s="43"/>
      <c r="EF273" s="43"/>
      <c r="EL273" s="3"/>
      <c r="EM273" s="3"/>
      <c r="EO273" s="41"/>
      <c r="EP273" s="41"/>
      <c r="FC273" s="3"/>
      <c r="FE273" s="39"/>
      <c r="FF273" s="39"/>
      <c r="FH273" s="41"/>
      <c r="FI273" s="41"/>
      <c r="FM273" s="3"/>
      <c r="FN273" s="3"/>
      <c r="FO273" s="486"/>
      <c r="FP273" s="486"/>
      <c r="FQ273" s="486"/>
      <c r="FR273" s="486"/>
      <c r="FS273" s="43"/>
      <c r="FT273" s="43"/>
      <c r="FX273" s="3"/>
      <c r="FY273" s="3"/>
      <c r="GA273" s="41"/>
      <c r="GB273" s="41"/>
      <c r="GG273" s="3"/>
      <c r="GH273" s="3"/>
      <c r="GI273" s="486"/>
      <c r="GJ273" s="486"/>
      <c r="GK273" s="486"/>
      <c r="GL273" s="486"/>
      <c r="GM273" s="43"/>
      <c r="GN273" s="43"/>
      <c r="GO273" s="393"/>
      <c r="GS273" s="3"/>
      <c r="GT273" s="3"/>
      <c r="GV273" s="41"/>
      <c r="GW273" s="41"/>
      <c r="HA273" s="3"/>
      <c r="HB273" s="3"/>
      <c r="HC273" s="43"/>
      <c r="HD273" s="43"/>
      <c r="HE273" s="43"/>
      <c r="HF273" s="43"/>
      <c r="HG273" s="43"/>
    </row>
    <row r="274" spans="19:215">
      <c r="S274" s="442"/>
      <c r="AV274" s="442"/>
      <c r="CC274" s="3"/>
      <c r="CD274" s="3"/>
      <c r="CF274" s="41"/>
      <c r="CG274" s="41"/>
      <c r="CH274" s="3"/>
      <c r="CI274" s="486"/>
      <c r="CJ274" s="486"/>
      <c r="CK274" s="486"/>
      <c r="CL274" s="486"/>
      <c r="CM274" s="258"/>
      <c r="CN274" s="43"/>
      <c r="CZ274" s="3"/>
      <c r="DA274" s="3"/>
      <c r="DC274" s="41"/>
      <c r="DD274" s="41"/>
      <c r="DE274" s="3"/>
      <c r="DF274" s="118"/>
      <c r="DG274" s="700"/>
      <c r="DH274" s="700"/>
      <c r="DI274" s="700"/>
      <c r="DJ274" s="700"/>
      <c r="DK274" s="43"/>
      <c r="DL274" s="43"/>
      <c r="DS274" s="3"/>
      <c r="DT274" s="3"/>
      <c r="DV274" s="41"/>
      <c r="DW274" s="41"/>
      <c r="DY274" s="118"/>
      <c r="DZ274" s="3"/>
      <c r="EA274" s="486"/>
      <c r="EB274" s="486"/>
      <c r="EC274" s="486"/>
      <c r="ED274" s="486"/>
      <c r="EE274" s="43"/>
      <c r="EF274" s="43"/>
      <c r="EL274" s="3"/>
      <c r="EM274" s="3"/>
      <c r="EO274" s="41"/>
      <c r="EP274" s="41"/>
      <c r="FC274" s="3"/>
      <c r="FE274" s="39"/>
      <c r="FF274" s="39"/>
      <c r="FH274" s="41"/>
      <c r="FI274" s="41"/>
      <c r="FM274" s="3"/>
      <c r="FN274" s="3"/>
      <c r="FO274" s="486"/>
      <c r="FP274" s="486"/>
      <c r="FQ274" s="486"/>
      <c r="FR274" s="486"/>
      <c r="FS274" s="43"/>
      <c r="FT274" s="43"/>
      <c r="FX274" s="3"/>
      <c r="FY274" s="3"/>
      <c r="GA274" s="41"/>
      <c r="GB274" s="41"/>
      <c r="GG274" s="3"/>
      <c r="GH274" s="3"/>
      <c r="GI274" s="486"/>
      <c r="GJ274" s="486"/>
      <c r="GK274" s="486"/>
      <c r="GL274" s="486"/>
      <c r="GM274" s="43"/>
      <c r="GN274" s="43"/>
      <c r="GO274" s="393"/>
      <c r="GS274" s="3"/>
      <c r="GT274" s="3"/>
      <c r="GV274" s="41"/>
      <c r="GW274" s="41"/>
      <c r="HA274" s="3"/>
      <c r="HB274" s="3"/>
      <c r="HC274" s="43"/>
      <c r="HD274" s="43"/>
      <c r="HE274" s="43"/>
      <c r="HF274" s="43"/>
      <c r="HG274" s="43"/>
    </row>
    <row r="275" spans="19:215">
      <c r="S275" s="442"/>
      <c r="AV275" s="442"/>
      <c r="CC275" s="3"/>
      <c r="CD275" s="3"/>
      <c r="CF275" s="41"/>
      <c r="CG275" s="41"/>
      <c r="CH275" s="3"/>
      <c r="CI275" s="486"/>
      <c r="CJ275" s="486"/>
      <c r="CK275" s="486"/>
      <c r="CL275" s="486"/>
      <c r="CM275" s="258"/>
      <c r="CN275" s="43"/>
      <c r="CZ275" s="3"/>
      <c r="DA275" s="3"/>
      <c r="DC275" s="41"/>
      <c r="DD275" s="41"/>
      <c r="DE275" s="3"/>
      <c r="DF275" s="118"/>
      <c r="DG275" s="700"/>
      <c r="DH275" s="700"/>
      <c r="DI275" s="700"/>
      <c r="DJ275" s="700"/>
      <c r="DK275" s="43"/>
      <c r="DL275" s="43"/>
      <c r="DS275" s="3"/>
      <c r="DT275" s="3"/>
      <c r="DV275" s="41"/>
      <c r="DW275" s="41"/>
      <c r="DY275" s="118"/>
      <c r="DZ275" s="3"/>
      <c r="EA275" s="486"/>
      <c r="EB275" s="486"/>
      <c r="EC275" s="486"/>
      <c r="ED275" s="486"/>
      <c r="EE275" s="43"/>
      <c r="EF275" s="43"/>
      <c r="EL275" s="3"/>
      <c r="EM275" s="3"/>
      <c r="EO275" s="41"/>
      <c r="EP275" s="41"/>
      <c r="FC275" s="3"/>
      <c r="FE275" s="39"/>
      <c r="FF275" s="39"/>
      <c r="FH275" s="41"/>
      <c r="FI275" s="41"/>
      <c r="FM275" s="3"/>
      <c r="FN275" s="3"/>
      <c r="FO275" s="486"/>
      <c r="FP275" s="486"/>
      <c r="FQ275" s="486"/>
      <c r="FR275" s="486"/>
      <c r="FS275" s="43"/>
      <c r="FT275" s="43"/>
      <c r="FX275" s="3"/>
      <c r="FY275" s="3"/>
      <c r="GA275" s="41"/>
      <c r="GB275" s="41"/>
      <c r="GG275" s="3"/>
      <c r="GH275" s="3"/>
      <c r="GI275" s="486"/>
      <c r="GJ275" s="486"/>
      <c r="GK275" s="486"/>
      <c r="GL275" s="486"/>
      <c r="GM275" s="43"/>
      <c r="GN275" s="43"/>
      <c r="GO275" s="393"/>
      <c r="GS275" s="3"/>
      <c r="GT275" s="3"/>
      <c r="GV275" s="41"/>
      <c r="GW275" s="41"/>
      <c r="HA275" s="3"/>
      <c r="HB275" s="3"/>
      <c r="HC275" s="43"/>
      <c r="HD275" s="43"/>
      <c r="HE275" s="43"/>
      <c r="HF275" s="43"/>
      <c r="HG275" s="43"/>
    </row>
    <row r="276" spans="19:215">
      <c r="S276" s="442"/>
      <c r="AV276" s="442"/>
      <c r="CC276" s="3"/>
      <c r="CD276" s="3"/>
      <c r="CF276" s="41"/>
      <c r="CG276" s="41"/>
      <c r="CH276" s="3"/>
      <c r="CI276" s="486"/>
      <c r="CJ276" s="486"/>
      <c r="CK276" s="486"/>
      <c r="CL276" s="486"/>
      <c r="CM276" s="258"/>
      <c r="CN276" s="43"/>
      <c r="CZ276" s="3"/>
      <c r="DA276" s="3"/>
      <c r="DC276" s="41"/>
      <c r="DD276" s="41"/>
      <c r="DE276" s="3"/>
      <c r="DF276" s="118"/>
      <c r="DG276" s="700"/>
      <c r="DH276" s="700"/>
      <c r="DI276" s="700"/>
      <c r="DJ276" s="700"/>
      <c r="DK276" s="43"/>
      <c r="DL276" s="43"/>
      <c r="DS276" s="3"/>
      <c r="DT276" s="3"/>
      <c r="DV276" s="41"/>
      <c r="DW276" s="41"/>
      <c r="DY276" s="118"/>
      <c r="DZ276" s="3"/>
      <c r="EA276" s="486"/>
      <c r="EB276" s="486"/>
      <c r="EC276" s="486"/>
      <c r="ED276" s="486"/>
      <c r="EE276" s="43"/>
      <c r="EF276" s="43"/>
      <c r="EL276" s="3"/>
      <c r="EM276" s="3"/>
      <c r="EO276" s="41"/>
      <c r="EP276" s="41"/>
      <c r="FC276" s="3"/>
      <c r="FE276" s="39"/>
      <c r="FF276" s="39"/>
      <c r="FH276" s="41"/>
      <c r="FI276" s="41"/>
      <c r="FM276" s="3"/>
      <c r="FN276" s="3"/>
      <c r="FO276" s="486"/>
      <c r="FP276" s="486"/>
      <c r="FQ276" s="486"/>
      <c r="FR276" s="486"/>
      <c r="FS276" s="43"/>
      <c r="FT276" s="43"/>
      <c r="FX276" s="3"/>
      <c r="FY276" s="3"/>
      <c r="GA276" s="41"/>
      <c r="GB276" s="41"/>
      <c r="GG276" s="3"/>
      <c r="GH276" s="3"/>
      <c r="GI276" s="486"/>
      <c r="GJ276" s="486"/>
      <c r="GK276" s="486"/>
      <c r="GL276" s="486"/>
      <c r="GM276" s="43"/>
      <c r="GN276" s="43"/>
      <c r="GO276" s="393"/>
      <c r="GS276" s="3"/>
      <c r="GT276" s="3"/>
      <c r="GV276" s="41"/>
      <c r="GW276" s="41"/>
      <c r="HA276" s="3"/>
      <c r="HB276" s="3"/>
      <c r="HC276" s="43"/>
      <c r="HD276" s="43"/>
      <c r="HE276" s="43"/>
      <c r="HF276" s="43"/>
      <c r="HG276" s="43"/>
    </row>
    <row r="277" spans="19:215">
      <c r="S277" s="442"/>
      <c r="AV277" s="442"/>
      <c r="CC277" s="3"/>
      <c r="CD277" s="3"/>
      <c r="CF277" s="41"/>
      <c r="CG277" s="41"/>
      <c r="CH277" s="3"/>
      <c r="CI277" s="486"/>
      <c r="CJ277" s="486"/>
      <c r="CK277" s="486"/>
      <c r="CL277" s="486"/>
      <c r="CM277" s="258"/>
      <c r="CN277" s="43"/>
      <c r="CZ277" s="3"/>
      <c r="DA277" s="3"/>
      <c r="DC277" s="41"/>
      <c r="DD277" s="41"/>
      <c r="DE277" s="3"/>
      <c r="DF277" s="118"/>
      <c r="DG277" s="700"/>
      <c r="DH277" s="700"/>
      <c r="DI277" s="700"/>
      <c r="DJ277" s="700"/>
      <c r="DK277" s="43"/>
      <c r="DL277" s="43"/>
      <c r="DS277" s="3"/>
      <c r="DT277" s="3"/>
      <c r="DV277" s="41"/>
      <c r="DW277" s="41"/>
      <c r="DY277" s="118"/>
      <c r="DZ277" s="3"/>
      <c r="EA277" s="486"/>
      <c r="EB277" s="486"/>
      <c r="EC277" s="486"/>
      <c r="ED277" s="486"/>
      <c r="EE277" s="43"/>
      <c r="EF277" s="43"/>
      <c r="EL277" s="3"/>
      <c r="EM277" s="3"/>
      <c r="EO277" s="41"/>
      <c r="EP277" s="41"/>
      <c r="FC277" s="3"/>
      <c r="FE277" s="39"/>
      <c r="FF277" s="39"/>
      <c r="FH277" s="41"/>
      <c r="FI277" s="41"/>
      <c r="FM277" s="3"/>
      <c r="FN277" s="3"/>
      <c r="FO277" s="486"/>
      <c r="FP277" s="486"/>
      <c r="FQ277" s="486"/>
      <c r="FR277" s="486"/>
      <c r="FS277" s="43"/>
      <c r="FT277" s="43"/>
      <c r="FX277" s="3"/>
      <c r="FY277" s="3"/>
      <c r="GA277" s="41"/>
      <c r="GB277" s="41"/>
      <c r="GG277" s="3"/>
      <c r="GH277" s="3"/>
      <c r="GI277" s="486"/>
      <c r="GJ277" s="486"/>
      <c r="GK277" s="486"/>
      <c r="GL277" s="486"/>
      <c r="GM277" s="43"/>
      <c r="GN277" s="43"/>
      <c r="GO277" s="393"/>
      <c r="GS277" s="3"/>
      <c r="GT277" s="3"/>
      <c r="GV277" s="41"/>
      <c r="GW277" s="41"/>
      <c r="HA277" s="3"/>
      <c r="HB277" s="3"/>
      <c r="HC277" s="43"/>
      <c r="HD277" s="43"/>
      <c r="HE277" s="43"/>
      <c r="HF277" s="43"/>
      <c r="HG277" s="43"/>
    </row>
    <row r="278" spans="19:215">
      <c r="S278" s="442"/>
      <c r="AV278" s="442"/>
      <c r="CC278" s="3"/>
      <c r="CD278" s="3"/>
      <c r="CF278" s="41"/>
      <c r="CG278" s="41"/>
      <c r="CH278" s="3"/>
      <c r="CI278" s="486"/>
      <c r="CJ278" s="486"/>
      <c r="CK278" s="486"/>
      <c r="CL278" s="486"/>
      <c r="CM278" s="258"/>
      <c r="CN278" s="43"/>
      <c r="CZ278" s="3"/>
      <c r="DA278" s="3"/>
      <c r="DC278" s="41"/>
      <c r="DD278" s="41"/>
      <c r="DE278" s="3"/>
      <c r="DF278" s="118"/>
      <c r="DG278" s="700"/>
      <c r="DH278" s="700"/>
      <c r="DI278" s="700"/>
      <c r="DJ278" s="700"/>
      <c r="DK278" s="43"/>
      <c r="DL278" s="43"/>
      <c r="DS278" s="3"/>
      <c r="DT278" s="3"/>
      <c r="DV278" s="41"/>
      <c r="DW278" s="41"/>
      <c r="DY278" s="118"/>
      <c r="DZ278" s="3"/>
      <c r="EA278" s="486"/>
      <c r="EB278" s="486"/>
      <c r="EC278" s="486"/>
      <c r="ED278" s="486"/>
      <c r="EE278" s="43"/>
      <c r="EF278" s="43"/>
      <c r="EL278" s="3"/>
      <c r="EM278" s="3"/>
      <c r="EO278" s="41"/>
      <c r="EP278" s="41"/>
      <c r="FC278" s="3"/>
      <c r="FE278" s="39"/>
      <c r="FF278" s="39"/>
      <c r="FH278" s="41"/>
      <c r="FI278" s="41"/>
      <c r="FM278" s="3"/>
      <c r="FN278" s="3"/>
      <c r="FO278" s="486"/>
      <c r="FP278" s="486"/>
      <c r="FQ278" s="486"/>
      <c r="FR278" s="486"/>
      <c r="FS278" s="43"/>
      <c r="FT278" s="43"/>
      <c r="FX278" s="3"/>
      <c r="FY278" s="3"/>
      <c r="GA278" s="41"/>
      <c r="GB278" s="41"/>
      <c r="GG278" s="3"/>
      <c r="GH278" s="3"/>
      <c r="GI278" s="486"/>
      <c r="GJ278" s="486"/>
      <c r="GK278" s="486"/>
      <c r="GL278" s="486"/>
      <c r="GM278" s="43"/>
      <c r="GN278" s="43"/>
      <c r="GO278" s="393"/>
      <c r="GS278" s="3"/>
      <c r="GT278" s="3"/>
      <c r="GV278" s="41"/>
      <c r="GW278" s="41"/>
      <c r="HA278" s="3"/>
      <c r="HB278" s="3"/>
      <c r="HC278" s="43"/>
      <c r="HD278" s="43"/>
      <c r="HE278" s="43"/>
      <c r="HF278" s="43"/>
      <c r="HG278" s="43"/>
    </row>
    <row r="279" spans="19:215">
      <c r="S279" s="442"/>
      <c r="AV279" s="442"/>
      <c r="CC279" s="3"/>
      <c r="CD279" s="3"/>
      <c r="CF279" s="41"/>
      <c r="CG279" s="41"/>
      <c r="CH279" s="3"/>
      <c r="CI279" s="486"/>
      <c r="CJ279" s="486"/>
      <c r="CK279" s="486"/>
      <c r="CL279" s="486"/>
      <c r="CM279" s="258"/>
      <c r="CN279" s="43"/>
      <c r="CZ279" s="3"/>
      <c r="DA279" s="3"/>
      <c r="DC279" s="41"/>
      <c r="DD279" s="41"/>
      <c r="DE279" s="3"/>
      <c r="DF279" s="118"/>
      <c r="DG279" s="700"/>
      <c r="DH279" s="700"/>
      <c r="DI279" s="700"/>
      <c r="DJ279" s="700"/>
      <c r="DK279" s="43"/>
      <c r="DL279" s="43"/>
      <c r="DS279" s="3"/>
      <c r="DT279" s="3"/>
      <c r="DV279" s="41"/>
      <c r="DW279" s="41"/>
      <c r="DY279" s="118"/>
      <c r="DZ279" s="3"/>
      <c r="EA279" s="486"/>
      <c r="EB279" s="486"/>
      <c r="EC279" s="486"/>
      <c r="ED279" s="486"/>
      <c r="EE279" s="43"/>
      <c r="EF279" s="43"/>
      <c r="EL279" s="3"/>
      <c r="EM279" s="3"/>
      <c r="EO279" s="41"/>
      <c r="EP279" s="41"/>
      <c r="FC279" s="3"/>
      <c r="FE279" s="39"/>
      <c r="FF279" s="39"/>
      <c r="FH279" s="41"/>
      <c r="FI279" s="41"/>
      <c r="FM279" s="3"/>
      <c r="FN279" s="3"/>
      <c r="FO279" s="486"/>
      <c r="FP279" s="486"/>
      <c r="FQ279" s="486"/>
      <c r="FR279" s="486"/>
      <c r="FS279" s="43"/>
      <c r="FT279" s="43"/>
      <c r="FX279" s="3"/>
      <c r="FY279" s="3"/>
      <c r="GA279" s="41"/>
      <c r="GB279" s="41"/>
      <c r="GG279" s="3"/>
      <c r="GH279" s="3"/>
      <c r="GI279" s="486"/>
      <c r="GJ279" s="486"/>
      <c r="GK279" s="486"/>
      <c r="GL279" s="486"/>
      <c r="GM279" s="43"/>
      <c r="GN279" s="43"/>
      <c r="GO279" s="393"/>
      <c r="GS279" s="3"/>
      <c r="GT279" s="3"/>
      <c r="GV279" s="41"/>
      <c r="GW279" s="41"/>
      <c r="HA279" s="3"/>
      <c r="HB279" s="3"/>
      <c r="HC279" s="43"/>
      <c r="HD279" s="43"/>
      <c r="HE279" s="43"/>
      <c r="HF279" s="43"/>
      <c r="HG279" s="43"/>
    </row>
    <row r="280" spans="19:215">
      <c r="S280" s="442"/>
      <c r="AV280" s="442"/>
      <c r="CC280" s="3"/>
      <c r="CD280" s="3"/>
      <c r="CF280" s="41"/>
      <c r="CG280" s="41"/>
      <c r="CH280" s="3"/>
      <c r="CI280" s="486"/>
      <c r="CJ280" s="486"/>
      <c r="CK280" s="486"/>
      <c r="CL280" s="486"/>
      <c r="CM280" s="258"/>
      <c r="CN280" s="43"/>
      <c r="CZ280" s="3"/>
      <c r="DA280" s="3"/>
      <c r="DC280" s="41"/>
      <c r="DD280" s="41"/>
      <c r="DE280" s="3"/>
      <c r="DF280" s="118"/>
      <c r="DG280" s="700"/>
      <c r="DH280" s="700"/>
      <c r="DI280" s="700"/>
      <c r="DJ280" s="700"/>
      <c r="DK280" s="43"/>
      <c r="DL280" s="43"/>
      <c r="DS280" s="3"/>
      <c r="DT280" s="3"/>
      <c r="DV280" s="41"/>
      <c r="DW280" s="41"/>
      <c r="DY280" s="118"/>
      <c r="DZ280" s="3"/>
      <c r="EA280" s="486"/>
      <c r="EB280" s="486"/>
      <c r="EC280" s="486"/>
      <c r="ED280" s="486"/>
      <c r="EE280" s="43"/>
      <c r="EF280" s="43"/>
      <c r="EL280" s="3"/>
      <c r="EM280" s="3"/>
      <c r="EO280" s="41"/>
      <c r="EP280" s="41"/>
      <c r="FC280" s="3"/>
      <c r="FE280" s="39"/>
      <c r="FF280" s="39"/>
      <c r="FH280" s="41"/>
      <c r="FI280" s="41"/>
      <c r="FM280" s="3"/>
      <c r="FN280" s="3"/>
      <c r="FO280" s="486"/>
      <c r="FP280" s="486"/>
      <c r="FQ280" s="486"/>
      <c r="FR280" s="486"/>
      <c r="FS280" s="43"/>
      <c r="FT280" s="43"/>
      <c r="FX280" s="3"/>
      <c r="FY280" s="3"/>
      <c r="GA280" s="41"/>
      <c r="GB280" s="41"/>
      <c r="GG280" s="3"/>
      <c r="GH280" s="3"/>
      <c r="GI280" s="486"/>
      <c r="GJ280" s="486"/>
      <c r="GK280" s="486"/>
      <c r="GL280" s="486"/>
      <c r="GM280" s="43"/>
      <c r="GN280" s="43"/>
      <c r="GO280" s="393"/>
      <c r="GS280" s="3"/>
      <c r="GT280" s="3"/>
      <c r="GV280" s="41"/>
      <c r="GW280" s="41"/>
      <c r="HA280" s="3"/>
      <c r="HB280" s="3"/>
      <c r="HC280" s="43"/>
      <c r="HD280" s="43"/>
      <c r="HE280" s="43"/>
      <c r="HF280" s="43"/>
      <c r="HG280" s="43"/>
    </row>
    <row r="281" spans="19:215">
      <c r="S281" s="442"/>
      <c r="AV281" s="442"/>
      <c r="CC281" s="3"/>
      <c r="CD281" s="3"/>
      <c r="CF281" s="41"/>
      <c r="CG281" s="41"/>
      <c r="CH281" s="3"/>
      <c r="CI281" s="486"/>
      <c r="CJ281" s="486"/>
      <c r="CK281" s="486"/>
      <c r="CL281" s="486"/>
      <c r="CM281" s="258"/>
      <c r="CN281" s="43"/>
      <c r="CZ281" s="3"/>
      <c r="DA281" s="3"/>
      <c r="DC281" s="41"/>
      <c r="DD281" s="41"/>
      <c r="DE281" s="3"/>
      <c r="DF281" s="118"/>
      <c r="DG281" s="700"/>
      <c r="DH281" s="700"/>
      <c r="DI281" s="700"/>
      <c r="DJ281" s="700"/>
      <c r="DK281" s="43"/>
      <c r="DL281" s="43"/>
      <c r="DS281" s="3"/>
      <c r="DT281" s="3"/>
      <c r="DV281" s="41"/>
      <c r="DW281" s="41"/>
      <c r="DY281" s="118"/>
      <c r="DZ281" s="3"/>
      <c r="EA281" s="486"/>
      <c r="EB281" s="486"/>
      <c r="EC281" s="486"/>
      <c r="ED281" s="486"/>
      <c r="EE281" s="43"/>
      <c r="EF281" s="43"/>
      <c r="EL281" s="3"/>
      <c r="EM281" s="3"/>
      <c r="EO281" s="41"/>
      <c r="EP281" s="41"/>
      <c r="FC281" s="3"/>
      <c r="FE281" s="39"/>
      <c r="FF281" s="39"/>
      <c r="FH281" s="41"/>
      <c r="FI281" s="41"/>
      <c r="FM281" s="3"/>
      <c r="FN281" s="3"/>
      <c r="FO281" s="486"/>
      <c r="FP281" s="486"/>
      <c r="FQ281" s="486"/>
      <c r="FR281" s="486"/>
      <c r="FS281" s="43"/>
      <c r="FT281" s="43"/>
      <c r="FX281" s="3"/>
      <c r="FY281" s="3"/>
      <c r="GA281" s="41"/>
      <c r="GB281" s="41"/>
      <c r="GG281" s="3"/>
      <c r="GH281" s="3"/>
      <c r="GI281" s="486"/>
      <c r="GJ281" s="486"/>
      <c r="GK281" s="486"/>
      <c r="GL281" s="486"/>
      <c r="GM281" s="43"/>
      <c r="GN281" s="43"/>
      <c r="GO281" s="393"/>
      <c r="GS281" s="3"/>
      <c r="GT281" s="3"/>
      <c r="GV281" s="41"/>
      <c r="GW281" s="41"/>
      <c r="HA281" s="3"/>
      <c r="HB281" s="3"/>
      <c r="HC281" s="43"/>
      <c r="HD281" s="43"/>
      <c r="HE281" s="43"/>
      <c r="HF281" s="43"/>
      <c r="HG281" s="43"/>
    </row>
    <row r="282" spans="19:215">
      <c r="S282" s="442"/>
      <c r="AV282" s="442"/>
      <c r="CC282" s="3"/>
      <c r="CD282" s="3"/>
      <c r="CF282" s="41"/>
      <c r="CG282" s="41"/>
      <c r="CH282" s="3"/>
      <c r="CI282" s="486"/>
      <c r="CJ282" s="486"/>
      <c r="CK282" s="486"/>
      <c r="CL282" s="486"/>
      <c r="CM282" s="258"/>
      <c r="CN282" s="43"/>
      <c r="CZ282" s="3"/>
      <c r="DA282" s="3"/>
      <c r="DC282" s="41"/>
      <c r="DD282" s="41"/>
      <c r="DE282" s="3"/>
      <c r="DF282" s="118"/>
      <c r="DG282" s="700"/>
      <c r="DH282" s="700"/>
      <c r="DI282" s="700"/>
      <c r="DJ282" s="700"/>
      <c r="DK282" s="43"/>
      <c r="DL282" s="43"/>
      <c r="DS282" s="3"/>
      <c r="DT282" s="3"/>
      <c r="DV282" s="41"/>
      <c r="DW282" s="41"/>
      <c r="DY282" s="118"/>
      <c r="DZ282" s="3"/>
      <c r="EA282" s="486"/>
      <c r="EB282" s="486"/>
      <c r="EC282" s="486"/>
      <c r="ED282" s="486"/>
      <c r="EE282" s="43"/>
      <c r="EF282" s="43"/>
      <c r="EL282" s="3"/>
      <c r="EM282" s="3"/>
      <c r="EO282" s="41"/>
      <c r="EP282" s="41"/>
      <c r="FC282" s="3"/>
      <c r="FE282" s="39"/>
      <c r="FF282" s="39"/>
      <c r="FH282" s="41"/>
      <c r="FI282" s="41"/>
      <c r="FM282" s="3"/>
      <c r="FN282" s="3"/>
      <c r="FO282" s="486"/>
      <c r="FP282" s="486"/>
      <c r="FQ282" s="486"/>
      <c r="FR282" s="486"/>
      <c r="FS282" s="43"/>
      <c r="FT282" s="43"/>
      <c r="FX282" s="3"/>
      <c r="FY282" s="3"/>
      <c r="GA282" s="41"/>
      <c r="GB282" s="41"/>
      <c r="GG282" s="3"/>
      <c r="GH282" s="3"/>
      <c r="GI282" s="486"/>
      <c r="GJ282" s="486"/>
      <c r="GK282" s="486"/>
      <c r="GL282" s="486"/>
      <c r="GM282" s="43"/>
      <c r="GN282" s="43"/>
      <c r="GO282" s="393"/>
      <c r="GS282" s="3"/>
      <c r="GT282" s="3"/>
      <c r="GV282" s="41"/>
      <c r="GW282" s="41"/>
      <c r="HA282" s="3"/>
      <c r="HB282" s="3"/>
      <c r="HC282" s="43"/>
      <c r="HD282" s="43"/>
      <c r="HE282" s="43"/>
      <c r="HF282" s="43"/>
      <c r="HG282" s="43"/>
    </row>
    <row r="283" spans="19:215">
      <c r="S283" s="442"/>
      <c r="AV283" s="442"/>
      <c r="CC283" s="3"/>
      <c r="CD283" s="3"/>
      <c r="CF283" s="41"/>
      <c r="CG283" s="41"/>
      <c r="CH283" s="3"/>
      <c r="CI283" s="486"/>
      <c r="CJ283" s="486"/>
      <c r="CK283" s="486"/>
      <c r="CL283" s="486"/>
      <c r="CM283" s="258"/>
      <c r="CN283" s="43"/>
      <c r="CZ283" s="3"/>
      <c r="DA283" s="3"/>
      <c r="DC283" s="41"/>
      <c r="DD283" s="41"/>
      <c r="DE283" s="3"/>
      <c r="DF283" s="118"/>
      <c r="DG283" s="700"/>
      <c r="DH283" s="700"/>
      <c r="DI283" s="700"/>
      <c r="DJ283" s="700"/>
      <c r="DK283" s="43"/>
      <c r="DL283" s="43"/>
      <c r="DS283" s="3"/>
      <c r="DT283" s="3"/>
      <c r="DV283" s="41"/>
      <c r="DW283" s="41"/>
      <c r="DY283" s="118"/>
      <c r="DZ283" s="3"/>
      <c r="EA283" s="486"/>
      <c r="EB283" s="486"/>
      <c r="EC283" s="486"/>
      <c r="ED283" s="486"/>
      <c r="EE283" s="43"/>
      <c r="EF283" s="43"/>
      <c r="EL283" s="3"/>
      <c r="EM283" s="3"/>
      <c r="EO283" s="41"/>
      <c r="EP283" s="41"/>
      <c r="FC283" s="3"/>
      <c r="FE283" s="39"/>
      <c r="FF283" s="39"/>
      <c r="FH283" s="41"/>
      <c r="FI283" s="41"/>
      <c r="FM283" s="3"/>
      <c r="FN283" s="3"/>
      <c r="FO283" s="486"/>
      <c r="FP283" s="486"/>
      <c r="FQ283" s="486"/>
      <c r="FR283" s="486"/>
      <c r="FS283" s="43"/>
      <c r="FT283" s="43"/>
      <c r="FX283" s="3"/>
      <c r="FY283" s="3"/>
      <c r="GA283" s="41"/>
      <c r="GB283" s="41"/>
      <c r="GG283" s="3"/>
      <c r="GH283" s="3"/>
      <c r="GI283" s="486"/>
      <c r="GJ283" s="486"/>
      <c r="GK283" s="486"/>
      <c r="GL283" s="486"/>
      <c r="GM283" s="43"/>
      <c r="GN283" s="43"/>
      <c r="GO283" s="393"/>
      <c r="GS283" s="3"/>
      <c r="GT283" s="3"/>
      <c r="GV283" s="41"/>
      <c r="GW283" s="41"/>
      <c r="HA283" s="3"/>
      <c r="HB283" s="3"/>
      <c r="HC283" s="43"/>
      <c r="HD283" s="43"/>
      <c r="HE283" s="43"/>
      <c r="HF283" s="43"/>
      <c r="HG283" s="43"/>
    </row>
    <row r="284" spans="19:215">
      <c r="S284" s="442"/>
      <c r="AV284" s="442"/>
      <c r="CC284" s="3"/>
      <c r="CD284" s="3"/>
      <c r="CF284" s="41"/>
      <c r="CG284" s="41"/>
      <c r="CH284" s="3"/>
      <c r="CI284" s="486"/>
      <c r="CJ284" s="486"/>
      <c r="CK284" s="486"/>
      <c r="CL284" s="486"/>
      <c r="CM284" s="258"/>
      <c r="CN284" s="43"/>
      <c r="CZ284" s="3"/>
      <c r="DA284" s="3"/>
      <c r="DC284" s="41"/>
      <c r="DD284" s="41"/>
      <c r="DE284" s="3"/>
      <c r="DF284" s="118"/>
      <c r="DG284" s="700"/>
      <c r="DH284" s="700"/>
      <c r="DI284" s="700"/>
      <c r="DJ284" s="700"/>
      <c r="DK284" s="43"/>
      <c r="DL284" s="43"/>
      <c r="DS284" s="3"/>
      <c r="DT284" s="3"/>
      <c r="DV284" s="41"/>
      <c r="DW284" s="41"/>
      <c r="DY284" s="118"/>
      <c r="DZ284" s="3"/>
      <c r="EA284" s="486"/>
      <c r="EB284" s="486"/>
      <c r="EC284" s="486"/>
      <c r="ED284" s="486"/>
      <c r="EE284" s="43"/>
      <c r="EF284" s="43"/>
      <c r="EL284" s="3"/>
      <c r="EM284" s="3"/>
      <c r="EO284" s="41"/>
      <c r="EP284" s="41"/>
      <c r="FC284" s="3"/>
      <c r="FE284" s="39"/>
      <c r="FF284" s="39"/>
      <c r="FH284" s="41"/>
      <c r="FI284" s="41"/>
      <c r="FM284" s="3"/>
      <c r="FN284" s="3"/>
      <c r="FO284" s="486"/>
      <c r="FP284" s="486"/>
      <c r="FQ284" s="486"/>
      <c r="FR284" s="486"/>
      <c r="FS284" s="43"/>
      <c r="FT284" s="43"/>
      <c r="FX284" s="3"/>
      <c r="FY284" s="3"/>
      <c r="GA284" s="41"/>
      <c r="GB284" s="41"/>
      <c r="GG284" s="3"/>
      <c r="GH284" s="3"/>
      <c r="GI284" s="486"/>
      <c r="GJ284" s="486"/>
      <c r="GK284" s="486"/>
      <c r="GL284" s="486"/>
      <c r="GM284" s="43"/>
      <c r="GN284" s="43"/>
      <c r="GO284" s="393"/>
      <c r="GS284" s="3"/>
      <c r="GT284" s="3"/>
      <c r="GV284" s="41"/>
      <c r="GW284" s="41"/>
      <c r="HA284" s="3"/>
      <c r="HB284" s="3"/>
      <c r="HC284" s="43"/>
      <c r="HD284" s="43"/>
      <c r="HE284" s="43"/>
      <c r="HF284" s="43"/>
      <c r="HG284" s="43"/>
    </row>
    <row r="285" spans="19:215">
      <c r="S285" s="442"/>
      <c r="AV285" s="442"/>
      <c r="CC285" s="3"/>
      <c r="CD285" s="3"/>
      <c r="CF285" s="41"/>
      <c r="CG285" s="41"/>
      <c r="CH285" s="3"/>
      <c r="CI285" s="486"/>
      <c r="CJ285" s="486"/>
      <c r="CK285" s="486"/>
      <c r="CL285" s="486"/>
      <c r="CM285" s="258"/>
      <c r="CN285" s="43"/>
      <c r="CZ285" s="3"/>
      <c r="DA285" s="3"/>
      <c r="DC285" s="41"/>
      <c r="DD285" s="41"/>
      <c r="DE285" s="3"/>
      <c r="DF285" s="118"/>
      <c r="DG285" s="700"/>
      <c r="DH285" s="700"/>
      <c r="DI285" s="700"/>
      <c r="DJ285" s="700"/>
      <c r="DK285" s="43"/>
      <c r="DL285" s="43"/>
      <c r="DS285" s="3"/>
      <c r="DT285" s="3"/>
      <c r="DV285" s="41"/>
      <c r="DW285" s="41"/>
      <c r="DY285" s="118"/>
      <c r="DZ285" s="3"/>
      <c r="EA285" s="486"/>
      <c r="EB285" s="486"/>
      <c r="EC285" s="486"/>
      <c r="ED285" s="486"/>
      <c r="EE285" s="43"/>
      <c r="EF285" s="43"/>
      <c r="EL285" s="3"/>
      <c r="EM285" s="3"/>
      <c r="EO285" s="41"/>
      <c r="EP285" s="41"/>
      <c r="FC285" s="3"/>
      <c r="FE285" s="39"/>
      <c r="FF285" s="39"/>
      <c r="FH285" s="41"/>
      <c r="FI285" s="41"/>
      <c r="FM285" s="3"/>
      <c r="FN285" s="3"/>
      <c r="FO285" s="486"/>
      <c r="FP285" s="486"/>
      <c r="FQ285" s="486"/>
      <c r="FR285" s="486"/>
      <c r="FS285" s="43"/>
      <c r="FT285" s="43"/>
      <c r="FX285" s="3"/>
      <c r="FY285" s="3"/>
      <c r="GA285" s="41"/>
      <c r="GB285" s="41"/>
      <c r="GG285" s="3"/>
      <c r="GH285" s="3"/>
      <c r="GI285" s="486"/>
      <c r="GJ285" s="486"/>
      <c r="GK285" s="486"/>
      <c r="GL285" s="486"/>
      <c r="GM285" s="43"/>
      <c r="GN285" s="43"/>
      <c r="GO285" s="393"/>
      <c r="GS285" s="3"/>
      <c r="GT285" s="3"/>
      <c r="GV285" s="41"/>
      <c r="GW285" s="41"/>
      <c r="HA285" s="3"/>
      <c r="HB285" s="3"/>
      <c r="HC285" s="43"/>
      <c r="HD285" s="43"/>
      <c r="HE285" s="43"/>
      <c r="HF285" s="43"/>
      <c r="HG285" s="43"/>
    </row>
    <row r="286" spans="19:215">
      <c r="S286" s="442"/>
      <c r="AV286" s="442"/>
      <c r="CC286" s="3"/>
      <c r="CD286" s="3"/>
      <c r="CF286" s="41"/>
      <c r="CG286" s="41"/>
      <c r="CH286" s="3"/>
      <c r="CI286" s="486"/>
      <c r="CJ286" s="486"/>
      <c r="CK286" s="486"/>
      <c r="CL286" s="486"/>
      <c r="CM286" s="258"/>
      <c r="CN286" s="43"/>
      <c r="CZ286" s="3"/>
      <c r="DA286" s="3"/>
      <c r="DC286" s="41"/>
      <c r="DD286" s="41"/>
      <c r="DE286" s="3"/>
      <c r="DF286" s="118"/>
      <c r="DG286" s="700"/>
      <c r="DH286" s="700"/>
      <c r="DI286" s="700"/>
      <c r="DJ286" s="700"/>
      <c r="DK286" s="43"/>
      <c r="DL286" s="43"/>
      <c r="DS286" s="3"/>
      <c r="DT286" s="3"/>
      <c r="DV286" s="41"/>
      <c r="DW286" s="41"/>
      <c r="DY286" s="118"/>
      <c r="DZ286" s="3"/>
      <c r="EA286" s="486"/>
      <c r="EB286" s="486"/>
      <c r="EC286" s="486"/>
      <c r="ED286" s="486"/>
      <c r="EE286" s="43"/>
      <c r="EF286" s="43"/>
      <c r="EL286" s="3"/>
      <c r="EM286" s="3"/>
      <c r="EO286" s="41"/>
      <c r="EP286" s="41"/>
      <c r="FC286" s="3"/>
      <c r="FE286" s="39"/>
      <c r="FF286" s="39"/>
      <c r="FH286" s="41"/>
      <c r="FI286" s="41"/>
      <c r="FM286" s="3"/>
      <c r="FN286" s="3"/>
      <c r="FO286" s="486"/>
      <c r="FP286" s="486"/>
      <c r="FQ286" s="486"/>
      <c r="FR286" s="486"/>
      <c r="FS286" s="43"/>
      <c r="FT286" s="43"/>
      <c r="FX286" s="3"/>
      <c r="FY286" s="3"/>
      <c r="GA286" s="41"/>
      <c r="GB286" s="41"/>
      <c r="GG286" s="3"/>
      <c r="GH286" s="3"/>
      <c r="GI286" s="486"/>
      <c r="GJ286" s="486"/>
      <c r="GK286" s="486"/>
      <c r="GL286" s="486"/>
      <c r="GM286" s="43"/>
      <c r="GN286" s="43"/>
      <c r="GO286" s="393"/>
      <c r="GS286" s="3"/>
      <c r="GT286" s="3"/>
      <c r="GV286" s="41"/>
      <c r="GW286" s="41"/>
      <c r="HA286" s="3"/>
      <c r="HB286" s="3"/>
      <c r="HC286" s="43"/>
      <c r="HD286" s="43"/>
      <c r="HE286" s="43"/>
      <c r="HF286" s="43"/>
      <c r="HG286" s="43"/>
    </row>
    <row r="287" spans="19:215">
      <c r="S287" s="442"/>
      <c r="AV287" s="442"/>
      <c r="CC287" s="3"/>
      <c r="CD287" s="3"/>
      <c r="CF287" s="41"/>
      <c r="CG287" s="41"/>
      <c r="CH287" s="3"/>
      <c r="CI287" s="486"/>
      <c r="CJ287" s="486"/>
      <c r="CK287" s="486"/>
      <c r="CL287" s="486"/>
      <c r="CM287" s="258"/>
      <c r="CN287" s="43"/>
      <c r="CZ287" s="3"/>
      <c r="DA287" s="3"/>
      <c r="DC287" s="41"/>
      <c r="DD287" s="41"/>
      <c r="DE287" s="3"/>
      <c r="DF287" s="118"/>
      <c r="DG287" s="700"/>
      <c r="DH287" s="700"/>
      <c r="DI287" s="700"/>
      <c r="DJ287" s="700"/>
      <c r="DK287" s="43"/>
      <c r="DL287" s="43"/>
      <c r="DS287" s="3"/>
      <c r="DT287" s="3"/>
      <c r="DV287" s="41"/>
      <c r="DW287" s="41"/>
      <c r="DY287" s="118"/>
      <c r="DZ287" s="3"/>
      <c r="EA287" s="486"/>
      <c r="EB287" s="486"/>
      <c r="EC287" s="486"/>
      <c r="ED287" s="486"/>
      <c r="EE287" s="43"/>
      <c r="EF287" s="43"/>
      <c r="EL287" s="3"/>
      <c r="EM287" s="3"/>
      <c r="EO287" s="41"/>
      <c r="EP287" s="41"/>
      <c r="FC287" s="3"/>
      <c r="FE287" s="39"/>
      <c r="FF287" s="39"/>
      <c r="FH287" s="41"/>
      <c r="FI287" s="41"/>
      <c r="FM287" s="3"/>
      <c r="FN287" s="3"/>
      <c r="FO287" s="486"/>
      <c r="FP287" s="486"/>
      <c r="FQ287" s="486"/>
      <c r="FR287" s="486"/>
      <c r="FS287" s="43"/>
      <c r="FT287" s="43"/>
      <c r="FX287" s="3"/>
      <c r="FY287" s="3"/>
      <c r="GA287" s="41"/>
      <c r="GB287" s="41"/>
      <c r="GG287" s="3"/>
      <c r="GH287" s="3"/>
      <c r="GI287" s="486"/>
      <c r="GJ287" s="486"/>
      <c r="GK287" s="486"/>
      <c r="GL287" s="486"/>
      <c r="GM287" s="43"/>
      <c r="GN287" s="43"/>
      <c r="GO287" s="393"/>
      <c r="GS287" s="3"/>
      <c r="GT287" s="3"/>
      <c r="GV287" s="41"/>
      <c r="GW287" s="41"/>
      <c r="HA287" s="3"/>
      <c r="HB287" s="3"/>
      <c r="HC287" s="43"/>
      <c r="HD287" s="43"/>
      <c r="HE287" s="43"/>
      <c r="HF287" s="43"/>
      <c r="HG287" s="43"/>
    </row>
    <row r="288" spans="19:215">
      <c r="S288" s="442"/>
      <c r="AV288" s="442"/>
      <c r="CC288" s="3"/>
      <c r="CD288" s="3"/>
      <c r="CF288" s="41"/>
      <c r="CG288" s="41"/>
      <c r="CH288" s="3"/>
      <c r="CI288" s="486"/>
      <c r="CJ288" s="486"/>
      <c r="CK288" s="486"/>
      <c r="CL288" s="486"/>
      <c r="CM288" s="258"/>
      <c r="CN288" s="43"/>
      <c r="CZ288" s="3"/>
      <c r="DA288" s="3"/>
      <c r="DC288" s="41"/>
      <c r="DD288" s="41"/>
      <c r="DE288" s="3"/>
      <c r="DF288" s="118"/>
      <c r="DG288" s="700"/>
      <c r="DH288" s="700"/>
      <c r="DI288" s="700"/>
      <c r="DJ288" s="700"/>
      <c r="DK288" s="43"/>
      <c r="DL288" s="43"/>
      <c r="DS288" s="3"/>
      <c r="DT288" s="3"/>
      <c r="DV288" s="41"/>
      <c r="DW288" s="41"/>
      <c r="DY288" s="118"/>
      <c r="DZ288" s="3"/>
      <c r="EA288" s="486"/>
      <c r="EB288" s="486"/>
      <c r="EC288" s="486"/>
      <c r="ED288" s="486"/>
      <c r="EE288" s="43"/>
      <c r="EF288" s="43"/>
      <c r="EL288" s="3"/>
      <c r="EM288" s="3"/>
      <c r="EO288" s="41"/>
      <c r="EP288" s="41"/>
      <c r="FC288" s="3"/>
      <c r="FE288" s="39"/>
      <c r="FF288" s="39"/>
      <c r="FH288" s="41"/>
      <c r="FI288" s="41"/>
      <c r="FM288" s="3"/>
      <c r="FN288" s="3"/>
      <c r="FO288" s="486"/>
      <c r="FP288" s="486"/>
      <c r="FQ288" s="486"/>
      <c r="FR288" s="486"/>
      <c r="FS288" s="43"/>
      <c r="FT288" s="43"/>
      <c r="FX288" s="3"/>
      <c r="FY288" s="3"/>
      <c r="GA288" s="41"/>
      <c r="GB288" s="41"/>
      <c r="GG288" s="3"/>
      <c r="GH288" s="3"/>
      <c r="GI288" s="486"/>
      <c r="GJ288" s="486"/>
      <c r="GK288" s="486"/>
      <c r="GL288" s="486"/>
      <c r="GM288" s="43"/>
      <c r="GN288" s="43"/>
      <c r="GO288" s="393"/>
      <c r="GS288" s="3"/>
      <c r="GT288" s="3"/>
      <c r="GV288" s="41"/>
      <c r="GW288" s="41"/>
      <c r="HA288" s="3"/>
      <c r="HB288" s="3"/>
      <c r="HC288" s="43"/>
      <c r="HD288" s="43"/>
      <c r="HE288" s="43"/>
      <c r="HF288" s="43"/>
      <c r="HG288" s="43"/>
    </row>
    <row r="289" spans="19:215">
      <c r="S289" s="442"/>
      <c r="AV289" s="442"/>
      <c r="CC289" s="3"/>
      <c r="CD289" s="3"/>
      <c r="CF289" s="41"/>
      <c r="CG289" s="41"/>
      <c r="CH289" s="3"/>
      <c r="CI289" s="486"/>
      <c r="CJ289" s="486"/>
      <c r="CK289" s="486"/>
      <c r="CL289" s="486"/>
      <c r="CM289" s="258"/>
      <c r="CN289" s="43"/>
      <c r="CZ289" s="3"/>
      <c r="DA289" s="3"/>
      <c r="DC289" s="41"/>
      <c r="DD289" s="41"/>
      <c r="DE289" s="3"/>
      <c r="DF289" s="118"/>
      <c r="DG289" s="700"/>
      <c r="DH289" s="700"/>
      <c r="DI289" s="700"/>
      <c r="DJ289" s="700"/>
      <c r="DK289" s="43"/>
      <c r="DL289" s="43"/>
      <c r="DS289" s="3"/>
      <c r="DT289" s="3"/>
      <c r="DV289" s="41"/>
      <c r="DW289" s="41"/>
      <c r="DY289" s="118"/>
      <c r="DZ289" s="3"/>
      <c r="EA289" s="486"/>
      <c r="EB289" s="486"/>
      <c r="EC289" s="486"/>
      <c r="ED289" s="486"/>
      <c r="EE289" s="43"/>
      <c r="EF289" s="43"/>
      <c r="EL289" s="3"/>
      <c r="EM289" s="3"/>
      <c r="EO289" s="41"/>
      <c r="EP289" s="41"/>
      <c r="FC289" s="3"/>
      <c r="FE289" s="39"/>
      <c r="FF289" s="39"/>
      <c r="FH289" s="41"/>
      <c r="FI289" s="41"/>
      <c r="FM289" s="3"/>
      <c r="FN289" s="3"/>
      <c r="FO289" s="486"/>
      <c r="FP289" s="486"/>
      <c r="FQ289" s="486"/>
      <c r="FR289" s="486"/>
      <c r="FS289" s="43"/>
      <c r="FT289" s="43"/>
      <c r="FX289" s="3"/>
      <c r="FY289" s="3"/>
      <c r="GA289" s="41"/>
      <c r="GB289" s="41"/>
      <c r="GG289" s="3"/>
      <c r="GH289" s="3"/>
      <c r="GI289" s="486"/>
      <c r="GJ289" s="486"/>
      <c r="GK289" s="486"/>
      <c r="GL289" s="486"/>
      <c r="GM289" s="43"/>
      <c r="GN289" s="43"/>
      <c r="GO289" s="393"/>
      <c r="GS289" s="3"/>
      <c r="GT289" s="3"/>
      <c r="GV289" s="41"/>
      <c r="GW289" s="41"/>
      <c r="HA289" s="3"/>
      <c r="HB289" s="3"/>
      <c r="HC289" s="43"/>
      <c r="HD289" s="43"/>
      <c r="HE289" s="43"/>
      <c r="HF289" s="43"/>
      <c r="HG289" s="43"/>
    </row>
    <row r="290" spans="19:215">
      <c r="AV290" s="258"/>
      <c r="CC290" s="3"/>
      <c r="CD290" s="3"/>
      <c r="CF290" s="41"/>
      <c r="CG290" s="41"/>
      <c r="CH290" s="3"/>
      <c r="CI290" s="486"/>
      <c r="CJ290" s="486"/>
      <c r="CK290" s="486"/>
      <c r="CL290" s="486"/>
      <c r="CM290" s="258"/>
      <c r="CN290" s="43"/>
      <c r="CZ290" s="3"/>
      <c r="DA290" s="3"/>
      <c r="DC290" s="41"/>
      <c r="DD290" s="41"/>
      <c r="DE290" s="3"/>
      <c r="DF290" s="118"/>
      <c r="DG290" s="700"/>
      <c r="DH290" s="700"/>
      <c r="DI290" s="700"/>
      <c r="DJ290" s="700"/>
      <c r="DK290" s="43"/>
      <c r="DL290" s="43"/>
      <c r="DS290" s="3"/>
      <c r="DT290" s="3"/>
      <c r="DV290" s="41"/>
      <c r="DW290" s="41"/>
      <c r="DY290" s="118"/>
      <c r="DZ290" s="3"/>
      <c r="EA290" s="486"/>
      <c r="EB290" s="486"/>
      <c r="EC290" s="486"/>
      <c r="ED290" s="486"/>
      <c r="EE290" s="43"/>
      <c r="EF290" s="43"/>
      <c r="EL290" s="3"/>
      <c r="EM290" s="3"/>
      <c r="EO290" s="41"/>
      <c r="EP290" s="41"/>
      <c r="FC290" s="3"/>
      <c r="FE290" s="39"/>
      <c r="FF290" s="39"/>
      <c r="FH290" s="41"/>
      <c r="FI290" s="41"/>
      <c r="FM290" s="3"/>
      <c r="FN290" s="3"/>
      <c r="FO290" s="486"/>
      <c r="FP290" s="486"/>
      <c r="FQ290" s="486"/>
      <c r="FR290" s="486"/>
      <c r="FS290" s="43"/>
      <c r="FT290" s="43"/>
      <c r="FX290" s="3"/>
      <c r="FY290" s="3"/>
      <c r="GA290" s="41"/>
      <c r="GB290" s="41"/>
      <c r="GG290" s="3"/>
      <c r="GH290" s="3"/>
      <c r="GI290" s="486"/>
      <c r="GJ290" s="486"/>
      <c r="GK290" s="486"/>
      <c r="GL290" s="486"/>
      <c r="GM290" s="43"/>
      <c r="GN290" s="43"/>
      <c r="GO290" s="393"/>
      <c r="GS290" s="3"/>
      <c r="GT290" s="3"/>
      <c r="GV290" s="41"/>
      <c r="GW290" s="41"/>
      <c r="HA290" s="3"/>
      <c r="HB290" s="3"/>
      <c r="HC290" s="43"/>
      <c r="HD290" s="43"/>
      <c r="HE290" s="43"/>
      <c r="HF290" s="43"/>
      <c r="HG290" s="43"/>
    </row>
    <row r="291" spans="19:215">
      <c r="AV291" s="258"/>
      <c r="CC291" s="3"/>
      <c r="CD291" s="3"/>
      <c r="CF291" s="41"/>
      <c r="CG291" s="41"/>
      <c r="CH291" s="3"/>
      <c r="CI291" s="486"/>
      <c r="CJ291" s="486"/>
      <c r="CK291" s="486"/>
      <c r="CL291" s="486"/>
      <c r="CM291" s="258"/>
      <c r="CN291" s="43"/>
      <c r="CZ291" s="3"/>
      <c r="DA291" s="3"/>
      <c r="DC291" s="41"/>
      <c r="DD291" s="41"/>
      <c r="DE291" s="3"/>
      <c r="DF291" s="118"/>
      <c r="DG291" s="700"/>
      <c r="DH291" s="700"/>
      <c r="DI291" s="700"/>
      <c r="DJ291" s="700"/>
      <c r="DK291" s="43"/>
      <c r="DL291" s="43"/>
      <c r="DS291" s="3"/>
      <c r="DT291" s="3"/>
      <c r="DV291" s="41"/>
      <c r="DW291" s="41"/>
      <c r="DY291" s="118"/>
      <c r="DZ291" s="3"/>
      <c r="EA291" s="486"/>
      <c r="EB291" s="486"/>
      <c r="EC291" s="486"/>
      <c r="ED291" s="486"/>
      <c r="EE291" s="43"/>
      <c r="EF291" s="43"/>
      <c r="EL291" s="3"/>
      <c r="EM291" s="3"/>
      <c r="EO291" s="41"/>
      <c r="EP291" s="41"/>
      <c r="FC291" s="3"/>
      <c r="FE291" s="39"/>
      <c r="FF291" s="39"/>
      <c r="FH291" s="41"/>
      <c r="FI291" s="41"/>
      <c r="FM291" s="3"/>
      <c r="FN291" s="3"/>
      <c r="FO291" s="486"/>
      <c r="FP291" s="486"/>
      <c r="FQ291" s="486"/>
      <c r="FR291" s="486"/>
      <c r="FS291" s="43"/>
      <c r="FT291" s="43"/>
      <c r="FX291" s="3"/>
      <c r="FY291" s="3"/>
      <c r="GA291" s="41"/>
      <c r="GB291" s="41"/>
      <c r="GG291" s="3"/>
      <c r="GH291" s="3"/>
      <c r="GI291" s="486"/>
      <c r="GJ291" s="486"/>
      <c r="GK291" s="486"/>
      <c r="GL291" s="486"/>
      <c r="GM291" s="43"/>
      <c r="GN291" s="43"/>
      <c r="GO291" s="393"/>
      <c r="GS291" s="3"/>
      <c r="GT291" s="3"/>
      <c r="GV291" s="41"/>
      <c r="GW291" s="41"/>
      <c r="HA291" s="3"/>
      <c r="HB291" s="3"/>
      <c r="HC291" s="43"/>
      <c r="HD291" s="43"/>
      <c r="HE291" s="43"/>
      <c r="HF291" s="43"/>
      <c r="HG291" s="43"/>
    </row>
    <row r="323" spans="52:52">
      <c r="AZ323" s="275"/>
    </row>
    <row r="396" spans="11:11">
      <c r="K396" s="42"/>
    </row>
    <row r="397" spans="11:11">
      <c r="K397" s="42"/>
    </row>
    <row r="398" spans="11:11">
      <c r="K398" s="42"/>
    </row>
    <row r="399" spans="11:11">
      <c r="K399" s="42"/>
    </row>
    <row r="400" spans="11:11">
      <c r="K400" s="42"/>
    </row>
    <row r="401" spans="11:11">
      <c r="K401" s="42"/>
    </row>
  </sheetData>
  <mergeCells count="35">
    <mergeCell ref="D1:J1"/>
    <mergeCell ref="D6:G6"/>
    <mergeCell ref="D7:G7"/>
    <mergeCell ref="Y3:AA3"/>
    <mergeCell ref="AA6:AE6"/>
    <mergeCell ref="CW6:DA6"/>
    <mergeCell ref="A113:C113"/>
    <mergeCell ref="A112:B112"/>
    <mergeCell ref="A3:C3"/>
    <mergeCell ref="CW7:DA7"/>
    <mergeCell ref="CS4:CT4"/>
    <mergeCell ref="BU14:BV14"/>
    <mergeCell ref="AW3:AY3"/>
    <mergeCell ref="AZ6:BD6"/>
    <mergeCell ref="AZ7:BD7"/>
    <mergeCell ref="BY6:CC6"/>
    <mergeCell ref="BY7:CC7"/>
    <mergeCell ref="CS14:CT14"/>
    <mergeCell ref="CS3:CU3"/>
    <mergeCell ref="BU3:BW3"/>
    <mergeCell ref="BU4:BV4"/>
    <mergeCell ref="GK14:GP14"/>
    <mergeCell ref="HL14:HR14"/>
    <mergeCell ref="FM7:FN7"/>
    <mergeCell ref="FM3:FN3"/>
    <mergeCell ref="GK4:GP4"/>
    <mergeCell ref="HL4:HR4"/>
    <mergeCell ref="FP6:FT6"/>
    <mergeCell ref="FP7:FT7"/>
    <mergeCell ref="EO3:EQ3"/>
    <mergeCell ref="ER6:EV6"/>
    <mergeCell ref="ER7:EV7"/>
    <mergeCell ref="DQ3:DT3"/>
    <mergeCell ref="DT6:DX6"/>
    <mergeCell ref="DT7:DX7"/>
  </mergeCells>
  <phoneticPr fontId="3" type="noConversion"/>
  <pageMargins left="0.75" right="0.75" top="1" bottom="1" header="0.5" footer="0.5"/>
  <pageSetup orientation="portrait" horizontalDpi="4294967293" r:id="rId1"/>
  <headerFooter alignWithMargins="0"/>
  <legacyDrawing r:id="rId2"/>
  <tableParts count="1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tabColor indexed="10"/>
  </sheetPr>
  <dimension ref="A1:TQ2934"/>
  <sheetViews>
    <sheetView zoomScale="90" zoomScaleNormal="90" zoomScaleSheetLayoutView="120" workbookViewId="0">
      <selection activeCell="D3" sqref="D3"/>
    </sheetView>
  </sheetViews>
  <sheetFormatPr baseColWidth="10" defaultColWidth="9.1640625" defaultRowHeight="13"/>
  <cols>
    <col min="1" max="1" width="19.5" style="258" customWidth="1"/>
    <col min="2" max="2" width="15.1640625" style="118" bestFit="1" customWidth="1"/>
    <col min="3" max="3" width="15.6640625" style="118" customWidth="1"/>
    <col min="4" max="9" width="15.1640625" style="118" bestFit="1" customWidth="1"/>
    <col min="10" max="19" width="15.1640625" style="122" bestFit="1" customWidth="1"/>
    <col min="20" max="23" width="15.1640625" style="122" customWidth="1"/>
    <col min="24" max="24" width="12.33203125" style="122" customWidth="1"/>
    <col min="25" max="25" width="15.83203125" style="258" bestFit="1" customWidth="1"/>
    <col min="26" max="26" width="15.5" style="118" customWidth="1"/>
    <col min="27" max="27" width="14.33203125" style="118" customWidth="1"/>
    <col min="28" max="28" width="14.83203125" style="118" customWidth="1"/>
    <col min="29" max="29" width="13.83203125" style="118" customWidth="1"/>
    <col min="30" max="30" width="15.5" style="118" bestFit="1" customWidth="1"/>
    <col min="31" max="31" width="14" style="118" customWidth="1"/>
    <col min="32" max="32" width="15" style="118" customWidth="1"/>
    <col min="33" max="33" width="14.5" style="118" customWidth="1"/>
    <col min="34" max="34" width="15" style="118" customWidth="1"/>
    <col min="35" max="35" width="14.5" style="118" customWidth="1"/>
    <col min="36" max="38" width="13.83203125" style="118" customWidth="1"/>
    <col min="39" max="39" width="13.6640625" style="118" customWidth="1"/>
    <col min="40" max="40" width="14.1640625" style="122" customWidth="1"/>
    <col min="41" max="41" width="14.5" style="122" customWidth="1"/>
    <col min="42" max="42" width="15.1640625" style="122" customWidth="1"/>
    <col min="43" max="43" width="14.5" style="118" customWidth="1"/>
    <col min="44" max="44" width="15.33203125" style="118" customWidth="1"/>
    <col min="45" max="45" width="14.33203125" style="118" customWidth="1"/>
    <col min="46" max="46" width="14.83203125" style="118" customWidth="1"/>
    <col min="47" max="47" width="14.6640625" style="118" customWidth="1"/>
    <col min="48" max="48" width="14.83203125" style="118" customWidth="1"/>
    <col min="49" max="49" width="16" style="118" customWidth="1"/>
    <col min="50" max="50" width="13" style="118" customWidth="1"/>
    <col min="51" max="51" width="12.6640625" style="118" customWidth="1"/>
    <col min="52" max="52" width="13.1640625" style="118" customWidth="1"/>
    <col min="53" max="53" width="12.83203125" style="118" customWidth="1"/>
    <col min="54" max="54" width="15.5" style="118" bestFit="1" customWidth="1"/>
    <col min="55" max="55" width="13.83203125" style="118" customWidth="1"/>
    <col min="56" max="56" width="12.5" style="118" customWidth="1"/>
    <col min="57" max="57" width="13.1640625" style="118" customWidth="1"/>
    <col min="58" max="58" width="13.33203125" style="118" customWidth="1"/>
    <col min="59" max="60" width="13" style="118" customWidth="1"/>
    <col min="61" max="61" width="13.5" style="118" customWidth="1"/>
    <col min="62" max="62" width="14.5" style="118" customWidth="1"/>
    <col min="63" max="63" width="12.83203125" style="122" customWidth="1"/>
    <col min="64" max="64" width="12.6640625" style="122" bestFit="1" customWidth="1"/>
    <col min="65" max="65" width="13.6640625" style="122" customWidth="1"/>
    <col min="66" max="66" width="13.6640625" style="118" customWidth="1"/>
    <col min="67" max="71" width="13.5" style="118" customWidth="1"/>
    <col min="72" max="72" width="11.83203125" style="118" customWidth="1"/>
    <col min="73" max="73" width="15.33203125" style="118" bestFit="1" customWidth="1"/>
    <col min="74" max="76" width="12.6640625" style="118" bestFit="1" customWidth="1"/>
    <col min="77" max="77" width="14.83203125" style="118" bestFit="1" customWidth="1"/>
    <col min="78" max="78" width="15.5" style="118" bestFit="1" customWidth="1"/>
    <col min="79" max="79" width="15.1640625" style="118" customWidth="1"/>
    <col min="80" max="82" width="15.5" style="118" bestFit="1" customWidth="1"/>
    <col min="83" max="83" width="15.1640625" style="118" bestFit="1" customWidth="1"/>
    <col min="84" max="84" width="15.5" style="118" bestFit="1" customWidth="1"/>
    <col min="85" max="85" width="15.1640625" style="118" bestFit="1" customWidth="1"/>
    <col min="86" max="87" width="15.5" style="122" bestFit="1" customWidth="1"/>
    <col min="88" max="88" width="14.83203125" style="122" bestFit="1" customWidth="1"/>
    <col min="89" max="89" width="14.5" style="118" bestFit="1" customWidth="1"/>
    <col min="90" max="90" width="14.83203125" style="118" bestFit="1" customWidth="1"/>
    <col min="91" max="95" width="13.1640625" style="118" customWidth="1"/>
    <col min="96" max="96" width="12.6640625" style="118" bestFit="1" customWidth="1"/>
    <col min="97" max="97" width="14.33203125" style="118" customWidth="1"/>
    <col min="98" max="98" width="12.83203125" style="118" customWidth="1"/>
    <col min="99" max="99" width="13.33203125" style="118" bestFit="1" customWidth="1"/>
    <col min="100" max="100" width="13.1640625" style="118" customWidth="1"/>
    <col min="101" max="101" width="14.83203125" style="118" customWidth="1"/>
    <col min="102" max="102" width="13.83203125" style="118" customWidth="1"/>
    <col min="103" max="103" width="13.1640625" style="118" customWidth="1"/>
    <col min="104" max="104" width="13.5" style="118" customWidth="1"/>
    <col min="105" max="105" width="14.5" style="118" customWidth="1"/>
    <col min="106" max="106" width="13.1640625" style="118" customWidth="1"/>
    <col min="107" max="107" width="12.83203125" style="118" customWidth="1"/>
    <col min="108" max="108" width="13.5" style="118" customWidth="1"/>
    <col min="109" max="109" width="14" style="122" customWidth="1"/>
    <col min="110" max="110" width="13" style="122" customWidth="1"/>
    <col min="111" max="111" width="13.33203125" style="122" customWidth="1"/>
    <col min="112" max="112" width="13.6640625" style="118" customWidth="1"/>
    <col min="113" max="113" width="13.33203125" style="118" customWidth="1"/>
    <col min="114" max="114" width="12.33203125" style="118" customWidth="1"/>
    <col min="115" max="119" width="13.33203125" style="118" customWidth="1"/>
    <col min="120" max="120" width="11.1640625" style="118" bestFit="1" customWidth="1"/>
    <col min="121" max="121" width="11.1640625" style="118" customWidth="1"/>
    <col min="122" max="122" width="14.6640625" style="118" customWidth="1"/>
    <col min="123" max="123" width="14.6640625" style="118" bestFit="1" customWidth="1"/>
    <col min="124" max="125" width="14.83203125" style="118" bestFit="1" customWidth="1"/>
    <col min="126" max="126" width="15.5" style="118" bestFit="1" customWidth="1"/>
    <col min="127" max="127" width="14.83203125" style="118" bestFit="1" customWidth="1"/>
    <col min="128" max="130" width="15.5" style="118" bestFit="1" customWidth="1"/>
    <col min="131" max="131" width="15.1640625" style="118" bestFit="1" customWidth="1"/>
    <col min="132" max="132" width="15.5" style="122" bestFit="1" customWidth="1"/>
    <col min="133" max="133" width="15.1640625" style="122" bestFit="1" customWidth="1"/>
    <col min="134" max="134" width="15.5" style="122" bestFit="1" customWidth="1"/>
    <col min="135" max="135" width="15.5" style="118" bestFit="1" customWidth="1"/>
    <col min="136" max="136" width="14.83203125" style="118" bestFit="1" customWidth="1"/>
    <col min="137" max="137" width="14.5" style="118" bestFit="1" customWidth="1"/>
    <col min="138" max="139" width="14.83203125" style="118" bestFit="1" customWidth="1"/>
    <col min="140" max="143" width="14.83203125" style="118" customWidth="1"/>
    <col min="144" max="144" width="15.33203125" style="118" bestFit="1" customWidth="1"/>
    <col min="145" max="145" width="15.83203125" style="118" bestFit="1" customWidth="1"/>
    <col min="146" max="146" width="14.83203125" style="118" bestFit="1" customWidth="1"/>
    <col min="147" max="147" width="14.6640625" style="118" bestFit="1" customWidth="1"/>
    <col min="148" max="149" width="14.83203125" style="118" bestFit="1" customWidth="1"/>
    <col min="150" max="150" width="15.5" style="118" bestFit="1" customWidth="1"/>
    <col min="151" max="151" width="14.83203125" style="118" bestFit="1" customWidth="1"/>
    <col min="152" max="154" width="15.5" style="118" bestFit="1" customWidth="1"/>
    <col min="155" max="155" width="15.1640625" style="122" bestFit="1" customWidth="1"/>
    <col min="156" max="156" width="15.5" style="122" bestFit="1" customWidth="1"/>
    <col min="157" max="157" width="15.1640625" style="122" bestFit="1" customWidth="1"/>
    <col min="158" max="159" width="15.5" style="118" bestFit="1" customWidth="1"/>
    <col min="160" max="160" width="14.83203125" style="118" bestFit="1" customWidth="1"/>
    <col min="161" max="161" width="14.5" style="118" bestFit="1" customWidth="1"/>
    <col min="162" max="163" width="14.83203125" style="118" bestFit="1" customWidth="1"/>
    <col min="164" max="167" width="14.83203125" style="118" customWidth="1"/>
    <col min="168" max="168" width="12.5" style="118" bestFit="1" customWidth="1"/>
    <col min="169" max="169" width="11.1640625" style="118" customWidth="1"/>
    <col min="170" max="170" width="14.83203125" style="118" bestFit="1" customWidth="1"/>
    <col min="171" max="171" width="14.6640625" style="118" bestFit="1" customWidth="1"/>
    <col min="172" max="173" width="14.83203125" style="118" bestFit="1" customWidth="1"/>
    <col min="174" max="174" width="15.5" style="118" bestFit="1" customWidth="1"/>
    <col min="175" max="175" width="14.83203125" style="118" bestFit="1" customWidth="1"/>
    <col min="176" max="176" width="15.5" style="118" bestFit="1" customWidth="1"/>
    <col min="177" max="177" width="14.5" style="118" customWidth="1"/>
    <col min="178" max="178" width="14.6640625" style="122" customWidth="1"/>
    <col min="179" max="179" width="13.6640625" style="122" customWidth="1"/>
    <col min="180" max="180" width="12.83203125" style="122" bestFit="1" customWidth="1"/>
    <col min="181" max="181" width="15.1640625" style="118" bestFit="1" customWidth="1"/>
    <col min="182" max="183" width="15.5" style="118" bestFit="1" customWidth="1"/>
    <col min="184" max="184" width="14.83203125" style="118" bestFit="1" customWidth="1"/>
    <col min="185" max="185" width="14.5" style="118" bestFit="1" customWidth="1"/>
    <col min="186" max="187" width="14.83203125" style="118" bestFit="1" customWidth="1"/>
    <col min="188" max="191" width="14.83203125" style="118" customWidth="1"/>
    <col min="192" max="192" width="11.1640625" style="118" bestFit="1" customWidth="1"/>
    <col min="193" max="193" width="16.1640625" style="118" bestFit="1" customWidth="1"/>
    <col min="194" max="194" width="14.83203125" style="118" bestFit="1" customWidth="1"/>
    <col min="195" max="195" width="14.6640625" style="118" bestFit="1" customWidth="1"/>
    <col min="196" max="196" width="15.1640625" style="118" customWidth="1"/>
    <col min="197" max="197" width="16.33203125" style="118" customWidth="1"/>
    <col min="198" max="198" width="13.5" style="118" customWidth="1"/>
    <col min="199" max="199" width="14.1640625" style="118" customWidth="1"/>
    <col min="200" max="200" width="15.5" style="118" bestFit="1" customWidth="1"/>
    <col min="201" max="202" width="14" style="122" customWidth="1"/>
    <col min="203" max="203" width="13.6640625" style="122" customWidth="1"/>
    <col min="204" max="204" width="15.5" style="118" bestFit="1" customWidth="1"/>
    <col min="205" max="205" width="15.1640625" style="118" bestFit="1" customWidth="1"/>
    <col min="206" max="207" width="15.5" style="118" bestFit="1" customWidth="1"/>
    <col min="208" max="208" width="14.83203125" style="118" bestFit="1" customWidth="1"/>
    <col min="209" max="209" width="14.5" style="118" bestFit="1" customWidth="1"/>
    <col min="210" max="211" width="14.83203125" style="118" bestFit="1" customWidth="1"/>
    <col min="212" max="215" width="14.83203125" style="118" customWidth="1"/>
    <col min="216" max="216" width="9.1640625" style="118"/>
    <col min="217" max="217" width="16.1640625" style="118" bestFit="1" customWidth="1"/>
    <col min="218" max="218" width="15.83203125" style="118" bestFit="1" customWidth="1"/>
    <col min="219" max="219" width="14.6640625" style="118" bestFit="1" customWidth="1"/>
    <col min="220" max="220" width="15.1640625" style="118" customWidth="1"/>
    <col min="221" max="221" width="14.83203125" style="118" bestFit="1" customWidth="1"/>
    <col min="222" max="222" width="15.5" style="118" bestFit="1" customWidth="1"/>
    <col min="223" max="223" width="14.83203125" style="118" bestFit="1" customWidth="1"/>
    <col min="224" max="226" width="15.5" style="122" bestFit="1" customWidth="1"/>
    <col min="227" max="227" width="15.1640625" style="118" bestFit="1" customWidth="1"/>
    <col min="228" max="228" width="15.5" style="118" bestFit="1" customWidth="1"/>
    <col min="229" max="229" width="15.1640625" style="118" bestFit="1" customWidth="1"/>
    <col min="230" max="231" width="15.5" style="118" bestFit="1" customWidth="1"/>
    <col min="232" max="232" width="14.83203125" style="118" bestFit="1" customWidth="1"/>
    <col min="233" max="233" width="14.5" style="118" bestFit="1" customWidth="1"/>
    <col min="234" max="235" width="14.83203125" style="118" bestFit="1" customWidth="1"/>
    <col min="236" max="239" width="14.83203125" style="118" customWidth="1"/>
    <col min="240" max="240" width="9.1640625" style="118"/>
    <col min="241" max="241" width="16.1640625" style="118" bestFit="1" customWidth="1"/>
    <col min="242" max="242" width="14.83203125" style="118" bestFit="1" customWidth="1"/>
    <col min="243" max="243" width="14.6640625" style="118" bestFit="1" customWidth="1"/>
    <col min="244" max="244" width="13.83203125" style="118" customWidth="1"/>
    <col min="245" max="245" width="14.83203125" style="118" bestFit="1" customWidth="1"/>
    <col min="246" max="246" width="15.5" style="118" bestFit="1" customWidth="1"/>
    <col min="247" max="247" width="14.83203125" style="122" bestFit="1" customWidth="1"/>
    <col min="248" max="248" width="15.5" style="122" bestFit="1" customWidth="1"/>
    <col min="249" max="249" width="12.33203125" style="122" customWidth="1"/>
    <col min="250" max="250" width="15.5" style="118" bestFit="1" customWidth="1"/>
    <col min="251" max="251" width="15.1640625" style="118" bestFit="1" customWidth="1"/>
    <col min="252" max="252" width="15.5" style="118" bestFit="1" customWidth="1"/>
    <col min="253" max="253" width="15.1640625" style="118" bestFit="1" customWidth="1"/>
    <col min="254" max="255" width="15.5" style="118" bestFit="1" customWidth="1"/>
    <col min="256" max="256" width="14.83203125" style="118" bestFit="1" customWidth="1"/>
    <col min="257" max="257" width="14.5" style="118" bestFit="1" customWidth="1"/>
    <col min="258" max="258" width="14.83203125" style="118" customWidth="1"/>
    <col min="259" max="259" width="14.83203125" style="118" bestFit="1" customWidth="1"/>
    <col min="260" max="263" width="14.83203125" style="118" customWidth="1"/>
    <col min="264" max="264" width="9.1640625" style="118"/>
    <col min="265" max="265" width="16.1640625" style="118" bestFit="1" customWidth="1"/>
    <col min="266" max="266" width="14.1640625" style="118" customWidth="1"/>
    <col min="267" max="267" width="14.6640625" style="118" customWidth="1"/>
    <col min="268" max="268" width="12.5" style="118" customWidth="1"/>
    <col min="269" max="269" width="14.83203125" style="118" bestFit="1" customWidth="1"/>
    <col min="270" max="270" width="15.5" style="122" bestFit="1" customWidth="1"/>
    <col min="271" max="271" width="14.83203125" style="122" bestFit="1" customWidth="1"/>
    <col min="272" max="272" width="15.5" style="122" bestFit="1" customWidth="1"/>
    <col min="273" max="273" width="12.5" style="118" customWidth="1"/>
    <col min="274" max="274" width="15.5" style="118" bestFit="1" customWidth="1"/>
    <col min="275" max="275" width="15.1640625" style="118" bestFit="1" customWidth="1"/>
    <col min="276" max="276" width="15.5" style="118" bestFit="1" customWidth="1"/>
    <col min="277" max="277" width="15.1640625" style="118" bestFit="1" customWidth="1"/>
    <col min="278" max="279" width="15.5" style="118" bestFit="1" customWidth="1"/>
    <col min="280" max="280" width="14.83203125" style="118" bestFit="1" customWidth="1"/>
    <col min="281" max="281" width="14.5" style="118" bestFit="1" customWidth="1"/>
    <col min="282" max="283" width="14.83203125" style="118" bestFit="1" customWidth="1"/>
    <col min="284" max="287" width="14.83203125" style="118" customWidth="1"/>
    <col min="288" max="288" width="11.1640625" style="118" bestFit="1" customWidth="1"/>
    <col min="289" max="289" width="16.1640625" style="118" bestFit="1" customWidth="1"/>
    <col min="290" max="290" width="14.83203125" style="118" bestFit="1" customWidth="1"/>
    <col min="291" max="291" width="14.6640625" style="118" bestFit="1" customWidth="1"/>
    <col min="292" max="292" width="13.6640625" style="118" customWidth="1"/>
    <col min="293" max="293" width="14.83203125" style="122" bestFit="1" customWidth="1"/>
    <col min="294" max="294" width="15.5" style="122" bestFit="1" customWidth="1"/>
    <col min="295" max="295" width="14.83203125" style="122" bestFit="1" customWidth="1"/>
    <col min="296" max="296" width="15.5" style="118" bestFit="1" customWidth="1"/>
    <col min="297" max="297" width="13.6640625" style="118" customWidth="1"/>
    <col min="298" max="298" width="15.5" style="118" bestFit="1" customWidth="1"/>
    <col min="299" max="299" width="15.1640625" style="118" bestFit="1" customWidth="1"/>
    <col min="300" max="300" width="15.5" style="118" bestFit="1" customWidth="1"/>
    <col min="301" max="301" width="15.1640625" style="118" bestFit="1" customWidth="1"/>
    <col min="302" max="303" width="15.5" style="118" bestFit="1" customWidth="1"/>
    <col min="304" max="304" width="14.83203125" style="118" bestFit="1" customWidth="1"/>
    <col min="305" max="305" width="14.5" style="118" bestFit="1" customWidth="1"/>
    <col min="306" max="307" width="14.83203125" style="118" bestFit="1" customWidth="1"/>
    <col min="308" max="311" width="14.83203125" style="118" customWidth="1"/>
    <col min="312" max="312" width="11.1640625" style="118" bestFit="1" customWidth="1"/>
    <col min="313" max="313" width="16.1640625" style="118" bestFit="1" customWidth="1"/>
    <col min="314" max="314" width="14.83203125" style="118" bestFit="1" customWidth="1"/>
    <col min="315" max="315" width="14.6640625" style="118" bestFit="1" customWidth="1"/>
    <col min="316" max="316" width="15.5" style="122" customWidth="1"/>
    <col min="317" max="317" width="14.83203125" style="122" bestFit="1" customWidth="1"/>
    <col min="318" max="318" width="15.5" style="122" bestFit="1" customWidth="1"/>
    <col min="319" max="319" width="14.83203125" style="118" bestFit="1" customWidth="1"/>
    <col min="320" max="320" width="15.5" style="118" bestFit="1" customWidth="1"/>
    <col min="321" max="321" width="14.5" style="118" customWidth="1"/>
    <col min="322" max="322" width="15.5" style="118" bestFit="1" customWidth="1"/>
    <col min="323" max="323" width="15.1640625" style="118" bestFit="1" customWidth="1"/>
    <col min="324" max="324" width="15.5" style="118" bestFit="1" customWidth="1"/>
    <col min="325" max="325" width="15.1640625" style="118" bestFit="1" customWidth="1"/>
    <col min="326" max="327" width="15.5" style="118" bestFit="1" customWidth="1"/>
    <col min="328" max="328" width="14.83203125" style="118" bestFit="1" customWidth="1"/>
    <col min="329" max="329" width="14.5" style="118" bestFit="1" customWidth="1"/>
    <col min="330" max="331" width="14.83203125" style="118" bestFit="1" customWidth="1"/>
    <col min="332" max="335" width="14.83203125" style="118" customWidth="1"/>
    <col min="336" max="336" width="15.33203125" style="118" customWidth="1"/>
    <col min="337" max="337" width="16.1640625" style="118" bestFit="1" customWidth="1"/>
    <col min="338" max="338" width="14.83203125" style="118" bestFit="1" customWidth="1"/>
    <col min="339" max="339" width="14.6640625" style="122" bestFit="1" customWidth="1"/>
    <col min="340" max="340" width="15.83203125" style="122" customWidth="1"/>
    <col min="341" max="341" width="14.83203125" style="122" customWidth="1"/>
    <col min="342" max="342" width="15.5" style="118" bestFit="1" customWidth="1"/>
    <col min="343" max="343" width="14.83203125" style="118" bestFit="1" customWidth="1"/>
    <col min="344" max="344" width="15.5" style="118" bestFit="1" customWidth="1"/>
    <col min="345" max="345" width="13.1640625" style="118" customWidth="1"/>
    <col min="346" max="346" width="15.5" style="118" bestFit="1" customWidth="1"/>
    <col min="347" max="347" width="15.1640625" style="118" bestFit="1" customWidth="1"/>
    <col min="348" max="348" width="13.5" style="118" customWidth="1"/>
    <col min="349" max="349" width="15.1640625" style="118" bestFit="1" customWidth="1"/>
    <col min="350" max="351" width="15.5" style="118" bestFit="1" customWidth="1"/>
    <col min="352" max="352" width="14.83203125" style="118" bestFit="1" customWidth="1"/>
    <col min="353" max="353" width="14.5" style="118" bestFit="1" customWidth="1"/>
    <col min="354" max="355" width="14.83203125" style="118" bestFit="1" customWidth="1"/>
    <col min="356" max="359" width="14.83203125" style="118" customWidth="1"/>
    <col min="360" max="360" width="11.1640625" style="118" bestFit="1" customWidth="1"/>
    <col min="361" max="361" width="16.1640625" style="118" bestFit="1" customWidth="1"/>
    <col min="362" max="362" width="14.83203125" style="122" bestFit="1" customWidth="1"/>
    <col min="363" max="363" width="14.6640625" style="122" bestFit="1" customWidth="1"/>
    <col min="364" max="364" width="15.6640625" style="122" customWidth="1"/>
    <col min="365" max="365" width="14.83203125" style="118" bestFit="1" customWidth="1"/>
    <col min="366" max="366" width="15.5" style="118" bestFit="1" customWidth="1"/>
    <col min="367" max="367" width="14.83203125" style="118" bestFit="1" customWidth="1"/>
    <col min="368" max="368" width="15.5" style="118" bestFit="1" customWidth="1"/>
    <col min="369" max="369" width="15.1640625" style="118" customWidth="1"/>
    <col min="370" max="370" width="15.5" style="118" bestFit="1" customWidth="1"/>
    <col min="371" max="371" width="15.1640625" style="118" bestFit="1" customWidth="1"/>
    <col min="372" max="372" width="15.5" style="118" bestFit="1" customWidth="1"/>
    <col min="373" max="373" width="15.1640625" style="118" bestFit="1" customWidth="1"/>
    <col min="374" max="375" width="15.5" style="118" bestFit="1" customWidth="1"/>
    <col min="376" max="376" width="14.83203125" style="118" bestFit="1" customWidth="1"/>
    <col min="377" max="377" width="15.5" style="118" customWidth="1"/>
    <col min="378" max="379" width="14.83203125" style="118" bestFit="1" customWidth="1"/>
    <col min="380" max="383" width="14.83203125" style="118" customWidth="1"/>
    <col min="384" max="384" width="11.1640625" style="118" bestFit="1" customWidth="1"/>
    <col min="385" max="385" width="16.1640625" style="122" bestFit="1" customWidth="1"/>
    <col min="386" max="386" width="14.5" style="122" customWidth="1"/>
    <col min="387" max="387" width="14.6640625" style="122" bestFit="1" customWidth="1"/>
    <col min="388" max="388" width="14.5" style="118" customWidth="1"/>
    <col min="389" max="389" width="14.83203125" style="118" bestFit="1" customWidth="1"/>
    <col min="390" max="390" width="15.5" style="118" bestFit="1" customWidth="1"/>
    <col min="391" max="391" width="14.83203125" style="118" bestFit="1" customWidth="1"/>
    <col min="392" max="392" width="15.5" style="118" bestFit="1" customWidth="1"/>
    <col min="393" max="393" width="15.1640625" style="118" customWidth="1"/>
    <col min="394" max="394" width="15.5" style="118" bestFit="1" customWidth="1"/>
    <col min="395" max="395" width="15.1640625" style="118" customWidth="1"/>
    <col min="396" max="396" width="15.5" style="118" bestFit="1" customWidth="1"/>
    <col min="397" max="397" width="15.1640625" style="118" bestFit="1" customWidth="1"/>
    <col min="398" max="399" width="15.5" style="118" bestFit="1" customWidth="1"/>
    <col min="400" max="400" width="14.83203125" style="118" bestFit="1" customWidth="1"/>
    <col min="401" max="401" width="15.33203125" style="118" customWidth="1"/>
    <col min="402" max="403" width="14.83203125" style="118" bestFit="1" customWidth="1"/>
    <col min="404" max="407" width="14.83203125" style="118" customWidth="1"/>
    <col min="408" max="408" width="12.33203125" style="122" customWidth="1"/>
    <col min="409" max="409" width="16.1640625" style="122" bestFit="1" customWidth="1"/>
    <col min="410" max="410" width="14.83203125" style="122" customWidth="1"/>
    <col min="411" max="411" width="14.6640625" style="118" bestFit="1" customWidth="1"/>
    <col min="412" max="412" width="13.6640625" style="118" customWidth="1"/>
    <col min="413" max="413" width="14.83203125" style="118" bestFit="1" customWidth="1"/>
    <col min="414" max="414" width="15.5" style="118" bestFit="1" customWidth="1"/>
    <col min="415" max="415" width="14.83203125" style="118" bestFit="1" customWidth="1"/>
    <col min="416" max="416" width="15.5" style="118" bestFit="1" customWidth="1"/>
    <col min="417" max="417" width="15.1640625" style="118" customWidth="1"/>
    <col min="418" max="418" width="15.5" style="118" bestFit="1" customWidth="1"/>
    <col min="419" max="419" width="15.1640625" style="118" bestFit="1" customWidth="1"/>
    <col min="420" max="420" width="15.5" style="118" bestFit="1" customWidth="1"/>
    <col min="421" max="421" width="15.1640625" style="118" bestFit="1" customWidth="1"/>
    <col min="422" max="423" width="15.5" style="118" bestFit="1" customWidth="1"/>
    <col min="424" max="424" width="14.83203125" style="118" bestFit="1" customWidth="1"/>
    <col min="425" max="425" width="14.5" style="118" bestFit="1" customWidth="1"/>
    <col min="426" max="426" width="14.83203125" style="118" bestFit="1" customWidth="1"/>
    <col min="427" max="427" width="14.83203125" style="122" bestFit="1" customWidth="1"/>
    <col min="428" max="431" width="14.83203125" style="122" customWidth="1"/>
    <col min="432" max="432" width="12.33203125" style="122" customWidth="1"/>
    <col min="433" max="433" width="16.1640625" style="122" bestFit="1" customWidth="1"/>
    <col min="434" max="434" width="14.83203125" style="118" bestFit="1" customWidth="1"/>
    <col min="435" max="435" width="14.6640625" style="118" bestFit="1" customWidth="1"/>
    <col min="436" max="436" width="12.6640625" style="118" customWidth="1"/>
    <col min="437" max="437" width="14.83203125" style="118" bestFit="1" customWidth="1"/>
    <col min="438" max="438" width="15.5" style="118" bestFit="1" customWidth="1"/>
    <col min="439" max="439" width="14.83203125" style="118" bestFit="1" customWidth="1"/>
    <col min="440" max="440" width="15.5" style="118" bestFit="1" customWidth="1"/>
    <col min="441" max="441" width="13.5" style="118" customWidth="1"/>
    <col min="442" max="442" width="15.5" style="118" bestFit="1" customWidth="1"/>
    <col min="443" max="443" width="15.1640625" style="118" bestFit="1" customWidth="1"/>
    <col min="444" max="444" width="15.5" style="118" bestFit="1" customWidth="1"/>
    <col min="445" max="445" width="15.1640625" style="118" bestFit="1" customWidth="1"/>
    <col min="446" max="447" width="15.5" style="118" bestFit="1" customWidth="1"/>
    <col min="448" max="448" width="14.83203125" style="118" bestFit="1" customWidth="1"/>
    <col min="449" max="449" width="14.5" style="118" bestFit="1" customWidth="1"/>
    <col min="450" max="451" width="14.83203125" style="122" bestFit="1" customWidth="1"/>
    <col min="452" max="455" width="14.83203125" style="122" customWidth="1"/>
    <col min="456" max="456" width="12.6640625" style="122" bestFit="1" customWidth="1"/>
    <col min="457" max="457" width="16.1640625" style="118" bestFit="1" customWidth="1"/>
    <col min="458" max="458" width="14.83203125" style="118" bestFit="1" customWidth="1"/>
    <col min="459" max="459" width="14.6640625" style="118" bestFit="1" customWidth="1"/>
    <col min="460" max="460" width="14.6640625" style="118" customWidth="1"/>
    <col min="461" max="461" width="14.83203125" style="118" bestFit="1" customWidth="1"/>
    <col min="462" max="462" width="15.5" style="118" bestFit="1" customWidth="1"/>
    <col min="463" max="463" width="14.83203125" style="118" customWidth="1"/>
    <col min="464" max="464" width="15.5" style="118" bestFit="1" customWidth="1"/>
    <col min="465" max="465" width="13.83203125" style="118" customWidth="1"/>
    <col min="466" max="466" width="15.5" style="118" bestFit="1" customWidth="1"/>
    <col min="467" max="467" width="15.1640625" style="118" bestFit="1" customWidth="1"/>
    <col min="468" max="468" width="15.5" style="118" bestFit="1" customWidth="1"/>
    <col min="469" max="469" width="15.1640625" style="118" bestFit="1" customWidth="1"/>
    <col min="470" max="471" width="15.5" style="118" bestFit="1" customWidth="1"/>
    <col min="472" max="472" width="14.83203125" style="118" bestFit="1" customWidth="1"/>
    <col min="473" max="473" width="14.5" style="122" bestFit="1" customWidth="1"/>
    <col min="474" max="474" width="12.6640625" style="122" bestFit="1" customWidth="1"/>
    <col min="475" max="475" width="14.83203125" style="122" bestFit="1" customWidth="1"/>
    <col min="476" max="477" width="14.83203125" style="122" customWidth="1"/>
    <col min="478" max="478" width="20" style="122" customWidth="1"/>
    <col min="479" max="479" width="14.83203125" style="122" customWidth="1"/>
    <col min="480" max="480" width="12.6640625" style="118" bestFit="1" customWidth="1"/>
    <col min="481" max="481" width="16.1640625" style="118" bestFit="1" customWidth="1"/>
    <col min="482" max="482" width="14.83203125" style="118" bestFit="1" customWidth="1"/>
    <col min="483" max="483" width="14.6640625" style="118" bestFit="1" customWidth="1"/>
    <col min="484" max="484" width="13.83203125" style="118" customWidth="1"/>
    <col min="485" max="485" width="14.83203125" style="118" bestFit="1" customWidth="1"/>
    <col min="486" max="486" width="15.5" style="118" bestFit="1" customWidth="1"/>
    <col min="487" max="487" width="14.83203125" style="118" bestFit="1" customWidth="1"/>
    <col min="488" max="488" width="15.5" style="118" bestFit="1" customWidth="1"/>
    <col min="489" max="489" width="13.5" style="118" customWidth="1"/>
    <col min="490" max="490" width="15.5" style="118" bestFit="1" customWidth="1"/>
    <col min="491" max="491" width="15.1640625" style="118" bestFit="1" customWidth="1"/>
    <col min="492" max="492" width="15.5" style="118" bestFit="1" customWidth="1"/>
    <col min="493" max="493" width="15.1640625" style="118" bestFit="1" customWidth="1"/>
    <col min="494" max="495" width="15.5" style="118" bestFit="1" customWidth="1"/>
    <col min="496" max="496" width="14.83203125" style="118" bestFit="1" customWidth="1"/>
    <col min="497" max="497" width="14.5" style="118" bestFit="1" customWidth="1"/>
    <col min="498" max="499" width="14.83203125" style="118" bestFit="1" customWidth="1"/>
    <col min="500" max="500" width="13.5" style="118" customWidth="1"/>
    <col min="501" max="502" width="13.83203125" style="118" customWidth="1"/>
    <col min="503" max="503" width="14.5" style="118" customWidth="1"/>
    <col min="504" max="16384" width="9.1640625" style="118"/>
  </cols>
  <sheetData>
    <row r="1" spans="1:537">
      <c r="A1" s="993" t="s">
        <v>267</v>
      </c>
      <c r="B1" s="993"/>
      <c r="C1" s="994"/>
      <c r="D1" s="258"/>
      <c r="E1" s="258"/>
      <c r="F1" s="258"/>
      <c r="G1" s="258"/>
      <c r="H1" s="258"/>
      <c r="J1" s="118"/>
      <c r="Y1" s="118"/>
      <c r="AM1" s="122"/>
      <c r="AQ1" s="122"/>
      <c r="AR1" s="122"/>
      <c r="AS1" s="122"/>
      <c r="AT1" s="122"/>
      <c r="AU1" s="122"/>
      <c r="AV1" s="122"/>
      <c r="BN1" s="122"/>
      <c r="BO1" s="122"/>
      <c r="BP1" s="122"/>
      <c r="BQ1" s="122"/>
      <c r="BR1" s="122"/>
      <c r="BS1" s="122"/>
      <c r="BT1" s="122"/>
      <c r="CH1" s="118"/>
      <c r="CK1" s="122"/>
      <c r="CL1" s="122"/>
      <c r="CM1" s="122"/>
      <c r="CN1" s="122"/>
      <c r="CO1" s="122"/>
      <c r="CP1" s="122"/>
      <c r="CQ1" s="122"/>
      <c r="CR1" s="122"/>
      <c r="DE1" s="118"/>
      <c r="DF1" s="118"/>
      <c r="DH1" s="122"/>
      <c r="DI1" s="122"/>
      <c r="DJ1" s="122"/>
      <c r="DK1" s="122"/>
      <c r="DL1" s="122"/>
      <c r="DM1" s="122"/>
      <c r="DN1" s="122"/>
      <c r="DO1" s="122"/>
      <c r="DP1" s="122"/>
      <c r="EB1" s="118"/>
      <c r="EC1" s="118"/>
      <c r="ED1" s="118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Y1" s="118"/>
      <c r="EZ1" s="118"/>
      <c r="FA1" s="118"/>
      <c r="FC1" s="122"/>
      <c r="FD1" s="122"/>
      <c r="FE1" s="122"/>
      <c r="FF1" s="122"/>
      <c r="FG1" s="122"/>
      <c r="FH1" s="122"/>
      <c r="FI1" s="122"/>
      <c r="FJ1" s="122"/>
      <c r="FK1" s="122"/>
      <c r="FL1" s="122"/>
      <c r="FQ1" s="258"/>
      <c r="FR1" s="258"/>
      <c r="FS1" s="258"/>
      <c r="FT1" s="258"/>
      <c r="FU1" s="258"/>
      <c r="FV1" s="258"/>
      <c r="FW1" s="118"/>
      <c r="FX1" s="118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O1" s="514"/>
      <c r="GP1" s="42"/>
      <c r="GQ1" s="42"/>
      <c r="GR1" s="42"/>
      <c r="GS1" s="42"/>
      <c r="GT1" s="42"/>
      <c r="GU1" s="277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O1" s="42"/>
      <c r="HP1" s="42"/>
      <c r="HQ1" s="42"/>
      <c r="HR1" s="42"/>
      <c r="HS1" s="42"/>
      <c r="HT1" s="277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M1" s="118"/>
      <c r="IN1" s="118"/>
      <c r="IO1" s="118"/>
      <c r="IQ1" s="258"/>
      <c r="IR1" s="258"/>
      <c r="IS1" s="258"/>
      <c r="IT1" s="258"/>
      <c r="IU1" s="258"/>
      <c r="IV1" s="258"/>
      <c r="IW1" s="258"/>
      <c r="IY1" s="122"/>
      <c r="IZ1" s="122"/>
      <c r="JA1" s="122"/>
      <c r="JB1" s="122"/>
      <c r="JC1" s="122"/>
      <c r="JD1" s="122"/>
      <c r="JE1" s="122"/>
      <c r="JF1" s="122"/>
      <c r="JG1" s="122"/>
      <c r="JJ1" s="118"/>
      <c r="JK1" s="118"/>
      <c r="JL1" s="118"/>
      <c r="JM1" s="473"/>
      <c r="JN1" s="42"/>
      <c r="JO1" s="42"/>
      <c r="JP1" s="42"/>
      <c r="JQ1" s="42"/>
      <c r="JR1" s="42"/>
      <c r="JS1" s="42"/>
      <c r="JT1" s="277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18"/>
      <c r="KH1" s="118"/>
      <c r="KI1" s="118"/>
      <c r="KL1" s="258"/>
      <c r="KM1" s="512"/>
      <c r="KN1" s="512"/>
      <c r="KO1" s="512"/>
      <c r="KP1" s="512"/>
      <c r="KQ1" s="512"/>
      <c r="KR1" s="512"/>
      <c r="KS1" s="258"/>
      <c r="KU1" s="122"/>
      <c r="KV1" s="122"/>
      <c r="KW1" s="122"/>
      <c r="KX1" s="122"/>
      <c r="KY1" s="122"/>
      <c r="KZ1" s="122"/>
      <c r="LA1" s="122"/>
      <c r="LB1" s="122"/>
      <c r="LC1" s="122"/>
      <c r="LE1" s="118"/>
      <c r="LF1" s="118"/>
      <c r="LJ1" s="473"/>
      <c r="LK1" s="42"/>
      <c r="LL1" s="42"/>
      <c r="LM1" s="42"/>
      <c r="LN1" s="42"/>
      <c r="LO1" s="42"/>
      <c r="LP1" s="475"/>
      <c r="LS1" s="122"/>
      <c r="LT1" s="122"/>
      <c r="LU1" s="122"/>
      <c r="LV1" s="122"/>
      <c r="LW1" s="122"/>
      <c r="LX1" s="122"/>
      <c r="LY1" s="122"/>
      <c r="LZ1" s="122"/>
      <c r="MC1" s="118"/>
      <c r="MI1" s="258"/>
      <c r="MJ1" s="258"/>
      <c r="MK1" s="258"/>
      <c r="ML1" s="258"/>
      <c r="MM1" s="258"/>
      <c r="MN1" s="258"/>
      <c r="MO1" s="258"/>
      <c r="MP1" s="258"/>
      <c r="MQ1" s="271"/>
      <c r="MR1" s="271"/>
      <c r="MS1" s="271"/>
      <c r="MT1" s="271"/>
      <c r="MU1" s="271"/>
      <c r="MV1" s="271"/>
      <c r="MW1" s="122"/>
      <c r="NG1" s="258"/>
      <c r="NH1" s="258"/>
      <c r="NI1" s="258"/>
      <c r="NJ1" s="258"/>
      <c r="NK1" s="258"/>
      <c r="NL1" s="258"/>
      <c r="NM1" s="258"/>
      <c r="NN1" s="258"/>
      <c r="NO1" s="271"/>
      <c r="NP1" s="271"/>
      <c r="NQ1" s="271"/>
      <c r="NR1" s="271"/>
      <c r="NS1" s="271"/>
      <c r="NT1" s="271"/>
      <c r="NX1" s="122"/>
      <c r="OE1" s="258"/>
      <c r="OF1" s="258"/>
      <c r="OG1" s="258"/>
      <c r="OH1" s="258"/>
      <c r="OI1" s="258"/>
      <c r="OM1" s="122"/>
      <c r="ON1" s="122"/>
      <c r="OO1" s="122"/>
      <c r="OP1" s="122"/>
      <c r="OQ1" s="122"/>
      <c r="OU1" s="122"/>
      <c r="OV1" s="122"/>
      <c r="PC1" s="258"/>
      <c r="PD1" s="258"/>
      <c r="PE1" s="258"/>
      <c r="PF1" s="258"/>
      <c r="PG1" s="258"/>
      <c r="PH1" s="258"/>
      <c r="PI1" s="258"/>
      <c r="PJ1" s="258"/>
      <c r="PK1" s="271"/>
      <c r="PL1" s="271"/>
      <c r="PM1" s="271"/>
      <c r="PN1" s="271"/>
      <c r="PO1" s="271"/>
      <c r="PP1" s="271"/>
      <c r="PR1" s="122"/>
      <c r="PS1" s="122"/>
      <c r="PT1" s="122"/>
      <c r="QA1" s="258"/>
      <c r="QB1" s="258"/>
      <c r="QC1" s="258"/>
      <c r="QD1" s="258"/>
      <c r="QE1" s="258"/>
      <c r="QH1" s="118"/>
      <c r="QO1" s="122"/>
      <c r="QP1" s="122"/>
      <c r="QQ1" s="122"/>
      <c r="QR1" s="122"/>
      <c r="QX1" s="258"/>
      <c r="QY1" s="258"/>
      <c r="QZ1" s="258"/>
      <c r="RA1" s="258"/>
      <c r="RB1" s="258"/>
      <c r="RC1" s="258"/>
      <c r="RE1" s="118"/>
      <c r="RF1" s="118"/>
      <c r="RL1" s="122"/>
      <c r="RM1" s="122"/>
      <c r="RN1" s="122"/>
      <c r="RO1" s="122"/>
      <c r="RP1" s="122"/>
      <c r="RV1" s="258"/>
      <c r="RW1" s="258"/>
      <c r="RX1" s="258"/>
      <c r="RY1" s="258"/>
      <c r="RZ1" s="258"/>
      <c r="SA1" s="258"/>
      <c r="SE1" s="122"/>
      <c r="SF1" s="122"/>
      <c r="SG1" s="122"/>
      <c r="SH1" s="122"/>
      <c r="SI1" s="122"/>
      <c r="SJ1" s="122"/>
      <c r="SK1" s="122"/>
      <c r="SL1" s="122"/>
    </row>
    <row r="2" spans="1:537">
      <c r="B2" s="116"/>
      <c r="D2" s="258"/>
      <c r="E2" s="258"/>
      <c r="F2" s="258"/>
      <c r="G2" s="395" t="s">
        <v>508</v>
      </c>
      <c r="H2" s="396"/>
      <c r="I2" s="396"/>
      <c r="J2" s="396"/>
      <c r="K2" s="258"/>
      <c r="L2" s="258"/>
      <c r="M2" s="258"/>
      <c r="N2" s="258"/>
      <c r="W2" s="708"/>
      <c r="Y2" s="118"/>
      <c r="AG2" s="457"/>
      <c r="AM2" s="122"/>
      <c r="AQ2" s="122"/>
      <c r="AR2" s="122"/>
      <c r="AS2" s="122"/>
      <c r="AT2" s="122"/>
      <c r="AU2" s="122"/>
      <c r="AV2" s="122"/>
      <c r="BE2" s="457"/>
      <c r="BN2" s="122"/>
      <c r="BO2" s="122"/>
      <c r="BP2" s="122"/>
      <c r="BQ2" s="122"/>
      <c r="BR2" s="122"/>
      <c r="BS2" s="122"/>
      <c r="BT2" s="122"/>
      <c r="CC2" s="504"/>
      <c r="CH2" s="118"/>
      <c r="CK2" s="122"/>
      <c r="CL2" s="122"/>
      <c r="CM2" s="122"/>
      <c r="CN2" s="122"/>
      <c r="CO2" s="122"/>
      <c r="CP2" s="122"/>
      <c r="CQ2" s="122"/>
      <c r="CR2" s="122"/>
      <c r="DA2" s="457"/>
      <c r="DE2" s="118"/>
      <c r="DF2" s="118"/>
      <c r="DH2" s="122"/>
      <c r="DI2" s="122"/>
      <c r="DJ2" s="122"/>
      <c r="DK2" s="122"/>
      <c r="DL2" s="122"/>
      <c r="DM2" s="122"/>
      <c r="DN2" s="122"/>
      <c r="DO2" s="122"/>
      <c r="DP2" s="122"/>
      <c r="DY2" s="479"/>
      <c r="EB2" s="118"/>
      <c r="EC2" s="118"/>
      <c r="ED2" s="118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X2" s="504"/>
      <c r="EY2" s="118"/>
      <c r="EZ2" s="118"/>
      <c r="FA2" s="118"/>
      <c r="FC2" s="122"/>
      <c r="FD2" s="122"/>
      <c r="FE2" s="122"/>
      <c r="FF2" s="122"/>
      <c r="FG2" s="122"/>
      <c r="FH2" s="122"/>
      <c r="FI2" s="122"/>
      <c r="FJ2" s="122"/>
      <c r="FK2" s="122"/>
      <c r="FL2" s="122"/>
      <c r="FS2" s="122"/>
      <c r="FT2" s="122"/>
      <c r="FU2" s="504"/>
      <c r="FV2" s="258"/>
      <c r="FW2" s="118"/>
      <c r="FX2" s="118"/>
      <c r="GA2" s="122"/>
      <c r="GB2" s="122"/>
      <c r="GC2" s="122"/>
      <c r="GD2" s="122"/>
      <c r="GE2" s="122"/>
      <c r="GF2" s="122"/>
      <c r="GG2" s="122"/>
      <c r="GH2" s="122"/>
      <c r="GI2" s="122"/>
      <c r="GJ2" s="122"/>
      <c r="GP2" s="122"/>
      <c r="GQ2" s="122"/>
      <c r="GR2" s="122"/>
      <c r="GS2" s="446"/>
      <c r="GT2" s="42"/>
      <c r="GU2" s="277"/>
      <c r="GY2" s="122"/>
      <c r="GZ2" s="122"/>
      <c r="HA2" s="122"/>
      <c r="HB2" s="122"/>
      <c r="HC2" s="122"/>
      <c r="HD2" s="122"/>
      <c r="HE2" s="122"/>
      <c r="HF2" s="122"/>
      <c r="HG2" s="122"/>
      <c r="HH2" s="122"/>
      <c r="HI2" s="122"/>
      <c r="HJ2" s="122"/>
      <c r="HO2" s="122"/>
      <c r="HR2" s="118"/>
      <c r="HS2" s="446"/>
      <c r="HT2" s="277"/>
      <c r="HY2" s="122"/>
      <c r="HZ2" s="122"/>
      <c r="IA2" s="122"/>
      <c r="IB2" s="122"/>
      <c r="IC2" s="122"/>
      <c r="ID2" s="122"/>
      <c r="IE2" s="122"/>
      <c r="IF2" s="122"/>
      <c r="IG2" s="122"/>
      <c r="IH2" s="122"/>
      <c r="II2" s="122"/>
      <c r="IJ2" s="122"/>
      <c r="IM2" s="118"/>
      <c r="IN2" s="118"/>
      <c r="IO2" s="118"/>
      <c r="IQ2" s="122"/>
      <c r="IR2" s="122"/>
      <c r="IV2" s="825"/>
      <c r="IW2" s="504"/>
      <c r="IX2" s="258"/>
      <c r="IY2" s="258"/>
      <c r="IZ2" s="258"/>
      <c r="JA2" s="258"/>
      <c r="JB2" s="258"/>
      <c r="JC2" s="258"/>
      <c r="JD2" s="258"/>
      <c r="JE2" s="122"/>
      <c r="JF2" s="122"/>
      <c r="JG2" s="122"/>
      <c r="JJ2" s="118"/>
      <c r="JK2" s="118"/>
      <c r="JL2" s="118"/>
      <c r="JM2" s="442"/>
      <c r="JN2" s="122"/>
      <c r="JR2" s="446"/>
      <c r="JS2" s="42"/>
      <c r="JT2" s="277"/>
      <c r="KB2" s="122"/>
      <c r="KC2" s="122"/>
      <c r="KD2" s="122"/>
      <c r="KE2" s="122"/>
      <c r="KF2" s="122"/>
      <c r="KG2" s="118"/>
      <c r="KH2" s="118"/>
      <c r="KI2" s="118"/>
      <c r="KL2" s="442"/>
      <c r="KQ2" s="446"/>
      <c r="KR2" s="42"/>
      <c r="KS2" s="277"/>
      <c r="LA2" s="122"/>
      <c r="LB2" s="122"/>
      <c r="LC2" s="122"/>
      <c r="LE2" s="118"/>
      <c r="LF2" s="118"/>
      <c r="LJ2" s="473"/>
      <c r="LO2" s="446"/>
      <c r="LP2" s="475"/>
      <c r="LY2" s="122"/>
      <c r="LZ2" s="122"/>
      <c r="MC2" s="118"/>
      <c r="MM2" s="504"/>
      <c r="MN2" s="258"/>
      <c r="MO2" s="258"/>
      <c r="MP2" s="258"/>
      <c r="MQ2" s="258"/>
      <c r="MR2" s="258"/>
      <c r="MS2" s="258"/>
      <c r="MT2" s="258"/>
      <c r="MU2" s="258"/>
      <c r="MV2" s="258"/>
      <c r="MW2" s="122"/>
      <c r="NK2" s="504"/>
      <c r="NL2" s="258"/>
      <c r="NM2" s="258"/>
      <c r="NN2" s="258"/>
      <c r="NO2" s="258"/>
      <c r="NP2" s="258"/>
      <c r="NQ2" s="258"/>
      <c r="NR2" s="258"/>
      <c r="NS2" s="258"/>
      <c r="NT2" s="258"/>
      <c r="NX2" s="122"/>
      <c r="OI2" s="504"/>
      <c r="OJ2" s="258"/>
      <c r="OK2" s="258"/>
      <c r="OL2" s="258"/>
      <c r="OM2" s="258"/>
      <c r="ON2" s="258"/>
      <c r="OO2" s="258"/>
      <c r="OP2" s="258"/>
      <c r="OQ2" s="258"/>
      <c r="OR2" s="258"/>
      <c r="OU2" s="122"/>
      <c r="OV2" s="122"/>
      <c r="PG2" s="504"/>
      <c r="PH2" s="258"/>
      <c r="PI2" s="258"/>
      <c r="PJ2" s="258"/>
      <c r="PK2" s="258"/>
      <c r="PL2" s="258"/>
      <c r="PM2" s="258"/>
      <c r="PN2" s="258"/>
      <c r="PO2" s="258"/>
      <c r="PP2" s="258"/>
      <c r="PR2" s="122"/>
      <c r="PS2" s="122"/>
      <c r="PT2" s="122"/>
      <c r="QE2" s="504"/>
      <c r="QH2" s="118"/>
      <c r="QI2" s="118"/>
      <c r="QJ2" s="118"/>
      <c r="QK2" s="118"/>
      <c r="QL2" s="118"/>
      <c r="QM2" s="118"/>
      <c r="QN2" s="118"/>
      <c r="QO2" s="122"/>
      <c r="QP2" s="122"/>
      <c r="QQ2" s="122"/>
      <c r="QR2" s="122"/>
      <c r="QU2" s="503"/>
      <c r="QV2" s="503"/>
      <c r="QW2" s="504"/>
      <c r="RC2" s="122"/>
      <c r="RD2" s="122"/>
      <c r="RL2" s="122"/>
      <c r="RU2" s="504"/>
      <c r="SA2" s="122"/>
      <c r="SB2" s="122"/>
      <c r="SC2" s="122"/>
      <c r="SD2" s="122"/>
    </row>
    <row r="3" spans="1:537">
      <c r="A3" s="995" t="s">
        <v>293</v>
      </c>
      <c r="B3" s="996"/>
      <c r="C3" s="997"/>
      <c r="D3" s="181"/>
      <c r="E3" s="258"/>
      <c r="F3" s="258"/>
      <c r="G3" s="395" t="s">
        <v>652</v>
      </c>
      <c r="H3" s="396"/>
      <c r="I3" s="396"/>
      <c r="J3" s="864"/>
      <c r="K3" s="864"/>
      <c r="L3" s="864"/>
      <c r="M3" s="271"/>
      <c r="N3" s="271"/>
      <c r="O3" s="271"/>
      <c r="X3" s="271"/>
      <c r="Y3" s="1003" t="s">
        <v>293</v>
      </c>
      <c r="Z3" s="1004"/>
      <c r="AA3" s="1004"/>
      <c r="AB3" s="1005"/>
      <c r="AE3" s="456"/>
      <c r="AF3" s="456"/>
      <c r="AG3" s="459"/>
      <c r="AH3" s="117" t="s">
        <v>94</v>
      </c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003" t="s">
        <v>293</v>
      </c>
      <c r="AX3" s="1004"/>
      <c r="AY3" s="1004"/>
      <c r="AZ3" s="1005"/>
      <c r="BC3" s="456"/>
      <c r="BD3" s="456"/>
      <c r="BE3" s="459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003" t="s">
        <v>293</v>
      </c>
      <c r="BV3" s="1004"/>
      <c r="BW3" s="1004"/>
      <c r="BX3" s="1005"/>
      <c r="CA3" s="503"/>
      <c r="CB3" s="503"/>
      <c r="CC3" s="507"/>
      <c r="CH3" s="11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1003" t="s">
        <v>293</v>
      </c>
      <c r="CT3" s="1004"/>
      <c r="CU3" s="1004"/>
      <c r="CV3" s="1005"/>
      <c r="CY3" s="456"/>
      <c r="CZ3" s="456"/>
      <c r="DA3" s="459"/>
      <c r="DE3" s="118"/>
      <c r="DF3" s="118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998" t="s">
        <v>293</v>
      </c>
      <c r="DR3" s="999"/>
      <c r="DS3" s="999"/>
      <c r="DT3" s="1000"/>
      <c r="DW3" s="478"/>
      <c r="DX3" s="478"/>
      <c r="DY3" s="481"/>
      <c r="EB3" s="118"/>
      <c r="EC3" s="118"/>
      <c r="ED3" s="118"/>
      <c r="EE3" s="182"/>
      <c r="EF3" s="182"/>
      <c r="EG3" s="182"/>
      <c r="EH3" s="182"/>
      <c r="EI3" s="182"/>
      <c r="EJ3" s="182"/>
      <c r="EK3" s="182"/>
      <c r="EL3" s="182"/>
      <c r="EM3" s="182"/>
      <c r="EN3" s="182"/>
      <c r="EO3" s="1003" t="s">
        <v>293</v>
      </c>
      <c r="EP3" s="1004"/>
      <c r="EQ3" s="1004"/>
      <c r="ER3" s="1004"/>
      <c r="EX3" s="507"/>
      <c r="EY3" s="118"/>
      <c r="EZ3" s="118"/>
      <c r="FA3" s="118"/>
      <c r="FC3" s="182"/>
      <c r="FD3" s="182"/>
      <c r="FE3" s="182"/>
      <c r="FF3" s="182"/>
      <c r="FG3" s="182"/>
      <c r="FH3" s="182"/>
      <c r="FI3" s="182"/>
      <c r="FJ3" s="182"/>
      <c r="FK3" s="182"/>
      <c r="FL3" s="182"/>
      <c r="FM3" s="1003" t="s">
        <v>293</v>
      </c>
      <c r="FN3" s="1004"/>
      <c r="FO3" s="1004"/>
      <c r="FP3" s="1004"/>
      <c r="FS3" s="503"/>
      <c r="FT3" s="503"/>
      <c r="FU3" s="507"/>
      <c r="FV3" s="258"/>
      <c r="FW3" s="118"/>
      <c r="FX3" s="118"/>
      <c r="GA3" s="182"/>
      <c r="GB3" s="182"/>
      <c r="GC3" s="182"/>
      <c r="GD3" s="182"/>
      <c r="GE3" s="182"/>
      <c r="GF3" s="182"/>
      <c r="GG3" s="182"/>
      <c r="GH3" s="182"/>
      <c r="GI3" s="182"/>
      <c r="GJ3" s="182"/>
      <c r="GQ3" s="446"/>
      <c r="GR3" s="446"/>
      <c r="GS3" s="505"/>
      <c r="GT3" s="42"/>
      <c r="GU3" s="277"/>
      <c r="GY3" s="739"/>
      <c r="GZ3" s="738"/>
      <c r="HA3" s="738"/>
      <c r="HB3" s="738"/>
      <c r="HC3" s="738"/>
      <c r="HD3" s="738"/>
      <c r="HE3" s="738"/>
      <c r="HF3" s="738"/>
      <c r="HG3" s="738"/>
      <c r="HH3" s="738"/>
      <c r="HI3" s="382" t="s">
        <v>293</v>
      </c>
      <c r="HJ3" s="383"/>
      <c r="HK3" s="383"/>
      <c r="HL3" s="384"/>
      <c r="HM3" s="446"/>
      <c r="HN3" s="446"/>
      <c r="HO3" s="446"/>
      <c r="HP3" s="446"/>
      <c r="HQ3" s="505"/>
      <c r="HR3" s="277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16" t="s">
        <v>293</v>
      </c>
      <c r="IM3" s="503"/>
      <c r="IN3" s="503"/>
      <c r="IO3" s="503"/>
      <c r="IP3" s="506"/>
      <c r="IQ3" s="507"/>
      <c r="IU3" s="182"/>
      <c r="IV3" s="88"/>
      <c r="IW3" s="88"/>
      <c r="IX3" s="88"/>
      <c r="IY3" s="88"/>
      <c r="IZ3" s="88"/>
      <c r="JA3" s="88"/>
      <c r="JB3" s="88"/>
      <c r="JC3" s="88"/>
      <c r="JD3" s="88"/>
      <c r="JE3" s="382" t="s">
        <v>293</v>
      </c>
      <c r="JF3" s="383"/>
      <c r="JG3" s="383"/>
      <c r="JJ3" s="446"/>
      <c r="JK3" s="446"/>
      <c r="JL3" s="505"/>
      <c r="JM3" s="42"/>
      <c r="JN3" s="475"/>
      <c r="JR3" s="88"/>
      <c r="JS3" s="88"/>
      <c r="JT3" s="88"/>
      <c r="JU3" s="88"/>
      <c r="JV3" s="88"/>
      <c r="JW3" s="88"/>
      <c r="JX3" s="88"/>
      <c r="JY3" s="88"/>
      <c r="JZ3" s="88"/>
      <c r="KA3" s="88"/>
      <c r="KB3" s="88"/>
      <c r="KC3" s="382" t="s">
        <v>293</v>
      </c>
      <c r="KD3" s="383"/>
      <c r="KE3" s="383"/>
      <c r="KF3" s="384"/>
      <c r="KI3" s="446"/>
      <c r="KJ3" s="446"/>
      <c r="KK3" s="505"/>
      <c r="KL3" s="42"/>
      <c r="KM3" s="277"/>
      <c r="KQ3" s="88"/>
      <c r="KR3" s="88"/>
      <c r="KS3" s="88"/>
      <c r="KT3" s="88"/>
      <c r="KU3" s="88"/>
      <c r="KV3" s="88"/>
      <c r="KW3" s="88"/>
      <c r="KX3" s="88"/>
      <c r="KY3" s="88"/>
      <c r="KZ3" s="88"/>
      <c r="LA3" s="382" t="s">
        <v>293</v>
      </c>
      <c r="LB3" s="383"/>
      <c r="LC3" s="383"/>
      <c r="LD3" s="384"/>
      <c r="LG3" s="446"/>
      <c r="LH3" s="446"/>
      <c r="LI3" s="505"/>
      <c r="LJ3" s="475"/>
      <c r="LO3" s="182"/>
      <c r="LP3" s="182"/>
      <c r="LQ3" s="182"/>
      <c r="LR3" s="182"/>
      <c r="LS3" s="182"/>
      <c r="LT3" s="182"/>
      <c r="LU3" s="182"/>
      <c r="LV3" s="182"/>
      <c r="LW3" s="182"/>
      <c r="LX3" s="182"/>
      <c r="LY3" s="116" t="s">
        <v>293</v>
      </c>
      <c r="MB3" s="118"/>
      <c r="ME3" s="503"/>
      <c r="MF3" s="503"/>
      <c r="MG3" s="507"/>
      <c r="MM3" s="88"/>
      <c r="MN3" s="88"/>
      <c r="MO3" s="88"/>
      <c r="MP3" s="88"/>
      <c r="MQ3" s="88"/>
      <c r="MR3" s="88"/>
      <c r="MS3" s="88"/>
      <c r="MT3" s="88"/>
      <c r="MU3" s="88"/>
      <c r="MV3" s="88"/>
      <c r="MW3" s="382" t="s">
        <v>293</v>
      </c>
      <c r="MX3" s="383"/>
      <c r="MY3" s="383"/>
      <c r="MZ3" s="384"/>
      <c r="NC3" s="503"/>
      <c r="ND3" s="503"/>
      <c r="NE3" s="507"/>
      <c r="NK3" s="88"/>
      <c r="NL3" s="88"/>
      <c r="NM3" s="88"/>
      <c r="NN3" s="88"/>
      <c r="NO3" s="88"/>
      <c r="NP3" s="88"/>
      <c r="NQ3" s="88"/>
      <c r="NR3" s="88"/>
      <c r="NS3" s="88"/>
      <c r="NT3" s="88"/>
      <c r="NU3" s="382" t="s">
        <v>293</v>
      </c>
      <c r="NV3" s="383"/>
      <c r="NW3" s="383"/>
      <c r="NX3" s="384"/>
      <c r="OC3" s="507"/>
      <c r="OI3" s="88"/>
      <c r="OJ3" s="88"/>
      <c r="OK3" s="88"/>
      <c r="OL3" s="88"/>
      <c r="OM3" s="88"/>
      <c r="ON3" s="88"/>
      <c r="OO3" s="88"/>
      <c r="OP3" s="88"/>
      <c r="OQ3" s="88"/>
      <c r="OR3" s="88"/>
      <c r="OS3" s="382" t="s">
        <v>293</v>
      </c>
      <c r="OT3" s="383"/>
      <c r="OU3" s="383"/>
      <c r="OV3" s="384"/>
      <c r="OY3" s="503"/>
      <c r="OZ3" s="503"/>
      <c r="PA3" s="507"/>
      <c r="PG3" s="88"/>
      <c r="PH3" s="88"/>
      <c r="PI3" s="88"/>
      <c r="PJ3" s="88"/>
      <c r="PK3" s="88"/>
      <c r="PL3" s="88"/>
      <c r="PM3" s="88"/>
      <c r="PN3" s="88"/>
      <c r="PO3" s="88"/>
      <c r="PP3" s="88"/>
      <c r="PQ3" s="382" t="s">
        <v>293</v>
      </c>
      <c r="PR3" s="383"/>
      <c r="PS3" s="383"/>
      <c r="PT3" s="384"/>
      <c r="PW3" s="503"/>
      <c r="PX3" s="503"/>
      <c r="PY3" s="507"/>
      <c r="QE3" s="182"/>
      <c r="QF3" s="182"/>
      <c r="QG3" s="182"/>
      <c r="QH3" s="182"/>
      <c r="QI3" s="182"/>
      <c r="QJ3" s="182"/>
      <c r="QK3" s="182"/>
      <c r="QL3" s="182"/>
      <c r="QM3" s="182"/>
      <c r="QN3" s="182"/>
      <c r="QO3" s="382" t="s">
        <v>293</v>
      </c>
      <c r="QP3" s="383"/>
      <c r="QQ3" s="383"/>
      <c r="QR3" s="384"/>
      <c r="QU3" s="506"/>
      <c r="QV3" s="506"/>
      <c r="QW3" s="507"/>
      <c r="RC3" s="182"/>
      <c r="RD3" s="182"/>
      <c r="RE3" s="182"/>
      <c r="RF3" s="182"/>
      <c r="RG3" s="182"/>
      <c r="RH3" s="182"/>
      <c r="RI3" s="182"/>
      <c r="RJ3" s="182"/>
      <c r="RK3" s="182"/>
      <c r="RL3" s="182"/>
      <c r="RM3" s="382" t="s">
        <v>293</v>
      </c>
      <c r="RN3" s="383"/>
      <c r="RO3" s="383"/>
      <c r="RP3" s="384"/>
      <c r="RS3" s="503"/>
      <c r="RT3" s="503"/>
      <c r="RU3" s="507"/>
      <c r="SA3" s="182"/>
      <c r="SB3" s="182"/>
      <c r="SC3" s="182"/>
      <c r="SD3" s="182"/>
    </row>
    <row r="4" spans="1:537" ht="12" customHeight="1">
      <c r="G4" s="395" t="s">
        <v>651</v>
      </c>
      <c r="H4" s="964"/>
      <c r="I4" s="396"/>
      <c r="J4" s="965"/>
      <c r="K4" s="386"/>
      <c r="L4" s="386"/>
      <c r="M4" s="386"/>
      <c r="N4" s="386"/>
      <c r="O4" s="386"/>
      <c r="Y4" s="118"/>
      <c r="AB4" s="473"/>
      <c r="AE4" s="458"/>
      <c r="AF4" s="458"/>
      <c r="AG4" s="461"/>
      <c r="AM4" s="122"/>
      <c r="AQ4" s="122"/>
      <c r="AR4" s="122"/>
      <c r="AS4" s="122"/>
      <c r="AT4" s="122"/>
      <c r="AU4" s="122"/>
      <c r="AV4" s="122"/>
      <c r="AZ4" s="473"/>
      <c r="BC4" s="458"/>
      <c r="BD4" s="458"/>
      <c r="BE4" s="461"/>
      <c r="BN4" s="122"/>
      <c r="BO4" s="122"/>
      <c r="BP4" s="122"/>
      <c r="BQ4" s="122"/>
      <c r="BR4" s="122"/>
      <c r="BS4" s="122"/>
      <c r="BT4" s="122"/>
      <c r="BX4" s="473"/>
      <c r="CA4" s="506"/>
      <c r="CB4" s="506"/>
      <c r="CC4" s="465"/>
      <c r="CH4" s="118"/>
      <c r="CK4" s="122"/>
      <c r="CL4" s="122"/>
      <c r="CM4" s="122"/>
      <c r="CN4" s="122"/>
      <c r="CO4" s="122"/>
      <c r="CP4" s="122"/>
      <c r="CQ4" s="122"/>
      <c r="CR4" s="122"/>
      <c r="CV4" s="473"/>
      <c r="CY4" s="458"/>
      <c r="CZ4" s="458"/>
      <c r="DA4" s="461"/>
      <c r="DE4" s="118"/>
      <c r="DF4" s="118"/>
      <c r="DH4" s="122"/>
      <c r="DI4" s="122"/>
      <c r="DJ4" s="122"/>
      <c r="DK4" s="122"/>
      <c r="DL4" s="122"/>
      <c r="DM4" s="122"/>
      <c r="DN4" s="122"/>
      <c r="DO4" s="122"/>
      <c r="DP4" s="122"/>
      <c r="DT4" s="473"/>
      <c r="DW4" s="480"/>
      <c r="DX4" s="480"/>
      <c r="DY4" s="472"/>
      <c r="EB4" s="118"/>
      <c r="EC4" s="118"/>
      <c r="ED4" s="118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R4" s="473"/>
      <c r="EX4" s="465"/>
      <c r="EY4" s="118"/>
      <c r="EZ4" s="118"/>
      <c r="FA4" s="118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S4" s="506"/>
      <c r="FT4" s="506"/>
      <c r="FU4" s="465"/>
      <c r="FV4" s="258"/>
      <c r="FW4" s="118"/>
      <c r="FX4" s="118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857" t="s">
        <v>293</v>
      </c>
      <c r="GL4" s="858"/>
      <c r="GM4" s="858"/>
      <c r="GN4" s="516"/>
      <c r="GQ4" s="505"/>
      <c r="GR4" s="505"/>
      <c r="GS4" s="501"/>
      <c r="GT4" s="42"/>
      <c r="GU4" s="277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M4" s="505"/>
      <c r="HN4" s="505"/>
      <c r="HO4" s="505"/>
      <c r="HP4" s="505"/>
      <c r="HQ4" s="501"/>
      <c r="HR4" s="277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M4" s="506"/>
      <c r="IN4" s="506"/>
      <c r="IO4" s="506"/>
      <c r="IP4" s="464"/>
      <c r="IQ4" s="465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J4" s="505"/>
      <c r="JK4" s="505"/>
      <c r="JL4" s="501"/>
      <c r="JM4" s="42"/>
      <c r="JN4" s="475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I4" s="505"/>
      <c r="KJ4" s="505"/>
      <c r="KK4" s="501"/>
      <c r="KL4" s="42"/>
      <c r="KM4" s="277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D4" s="118"/>
      <c r="LG4" s="505"/>
      <c r="LH4" s="505"/>
      <c r="LI4" s="501"/>
      <c r="LJ4" s="475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MA4" s="118"/>
      <c r="MB4" s="118"/>
      <c r="ME4" s="506"/>
      <c r="MF4" s="506"/>
      <c r="MG4" s="465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X4" s="118"/>
      <c r="MY4" s="118"/>
      <c r="MZ4" s="118"/>
      <c r="NC4" s="506"/>
      <c r="ND4" s="506"/>
      <c r="NE4" s="465"/>
      <c r="NK4" s="271"/>
      <c r="NL4" s="271"/>
      <c r="NM4" s="271"/>
      <c r="NN4" s="271"/>
      <c r="NO4" s="271"/>
      <c r="NP4" s="271"/>
      <c r="NQ4" s="271"/>
      <c r="NR4" s="271"/>
      <c r="NS4" s="271"/>
      <c r="NT4" s="271"/>
      <c r="NU4" s="118"/>
      <c r="NV4" s="118"/>
      <c r="NW4" s="118"/>
      <c r="OC4" s="465"/>
      <c r="OI4" s="122"/>
      <c r="OJ4" s="122"/>
      <c r="OK4" s="122"/>
      <c r="OL4" s="122"/>
      <c r="OM4" s="122"/>
      <c r="ON4" s="122"/>
      <c r="OO4" s="122"/>
      <c r="OP4" s="122"/>
      <c r="OQ4" s="122"/>
      <c r="OS4" s="118"/>
      <c r="OT4" s="118"/>
      <c r="OY4" s="506"/>
      <c r="OZ4" s="506"/>
      <c r="PA4" s="465"/>
      <c r="PB4" s="117"/>
      <c r="PG4" s="122"/>
      <c r="PH4" s="122"/>
      <c r="PI4" s="122"/>
      <c r="PJ4" s="122"/>
      <c r="PQ4" s="118"/>
      <c r="PW4" s="506"/>
      <c r="PX4" s="506"/>
      <c r="PY4" s="465"/>
      <c r="QE4" s="122"/>
      <c r="QF4" s="122"/>
      <c r="QG4" s="122"/>
      <c r="QU4" s="464"/>
      <c r="QV4" s="464"/>
      <c r="QW4" s="465"/>
      <c r="RC4" s="122"/>
      <c r="RD4" s="122"/>
      <c r="RL4" s="122"/>
      <c r="RS4" s="506"/>
      <c r="RT4" s="506"/>
      <c r="RU4" s="465"/>
      <c r="SA4" s="122"/>
      <c r="SB4" s="122"/>
      <c r="SC4" s="122"/>
      <c r="SD4" s="122"/>
    </row>
    <row r="5" spans="1:537" ht="13.5" customHeight="1">
      <c r="A5" s="1003" t="s">
        <v>284</v>
      </c>
      <c r="B5" s="1005"/>
      <c r="G5" s="924"/>
      <c r="H5" s="459"/>
      <c r="J5" s="271"/>
      <c r="K5" s="271"/>
      <c r="L5" s="271"/>
      <c r="M5" s="271"/>
      <c r="N5" s="271"/>
      <c r="O5" s="271"/>
      <c r="Y5" s="1006" t="s">
        <v>114</v>
      </c>
      <c r="Z5" s="1007"/>
      <c r="AB5" s="473"/>
      <c r="AE5" s="460"/>
      <c r="AF5" s="460"/>
      <c r="AG5" s="461"/>
      <c r="AM5" s="122"/>
      <c r="AQ5" s="122"/>
      <c r="AR5" s="122"/>
      <c r="AS5" s="122"/>
      <c r="AT5" s="122"/>
      <c r="AU5" s="122"/>
      <c r="AV5" s="122"/>
      <c r="AW5" s="1006" t="s">
        <v>115</v>
      </c>
      <c r="AX5" s="1007"/>
      <c r="AZ5" s="473"/>
      <c r="BC5" s="460"/>
      <c r="BD5" s="460"/>
      <c r="BE5" s="461"/>
      <c r="BN5" s="122"/>
      <c r="BO5" s="122"/>
      <c r="BP5" s="122"/>
      <c r="BQ5" s="122"/>
      <c r="BR5" s="122"/>
      <c r="BS5" s="122"/>
      <c r="BT5" s="122"/>
      <c r="BU5" s="245" t="s">
        <v>116</v>
      </c>
      <c r="BX5" s="473"/>
      <c r="CA5" s="464"/>
      <c r="CB5" s="464"/>
      <c r="CC5" s="465"/>
      <c r="CH5" s="118"/>
      <c r="CK5" s="122"/>
      <c r="CL5" s="122"/>
      <c r="CM5" s="122"/>
      <c r="CN5" s="122"/>
      <c r="CO5" s="122"/>
      <c r="CP5" s="122"/>
      <c r="CQ5" s="122"/>
      <c r="CR5" s="122"/>
      <c r="CS5" s="1006" t="s">
        <v>117</v>
      </c>
      <c r="CT5" s="1007"/>
      <c r="CV5" s="473"/>
      <c r="CY5" s="460"/>
      <c r="CZ5" s="460"/>
      <c r="DA5" s="461"/>
      <c r="DE5" s="118"/>
      <c r="DF5" s="118"/>
      <c r="DH5" s="122"/>
      <c r="DI5" s="122"/>
      <c r="DJ5" s="122"/>
      <c r="DK5" s="122"/>
      <c r="DL5" s="122"/>
      <c r="DM5" s="122"/>
      <c r="DN5" s="122"/>
      <c r="DO5" s="122"/>
      <c r="DP5" s="122"/>
      <c r="DQ5" s="1001" t="s">
        <v>118</v>
      </c>
      <c r="DR5" s="1002"/>
      <c r="DT5" s="473"/>
      <c r="DW5" s="471"/>
      <c r="DX5" s="471"/>
      <c r="DY5" s="483"/>
      <c r="EB5" s="118"/>
      <c r="EC5" s="118"/>
      <c r="ED5" s="118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823" t="s">
        <v>119</v>
      </c>
      <c r="ER5" s="473"/>
      <c r="EX5" s="465"/>
      <c r="EY5" s="118"/>
      <c r="EZ5" s="118"/>
      <c r="FA5" s="118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245" t="s">
        <v>120</v>
      </c>
      <c r="FS5" s="464"/>
      <c r="FT5" s="464"/>
      <c r="FU5" s="465"/>
      <c r="FV5" s="258"/>
      <c r="FW5" s="118"/>
      <c r="FX5" s="118"/>
      <c r="GA5" s="122"/>
      <c r="GB5" s="122"/>
      <c r="GC5" s="122"/>
      <c r="GD5" s="122"/>
      <c r="GE5" s="122"/>
      <c r="GF5" s="122"/>
      <c r="GG5" s="122"/>
      <c r="GH5" s="122"/>
      <c r="GI5" s="122"/>
      <c r="GJ5" s="122"/>
      <c r="GK5" s="859"/>
      <c r="GL5" s="860"/>
      <c r="GM5" s="860"/>
      <c r="GN5" s="316"/>
      <c r="GQ5" s="501"/>
      <c r="GR5" s="501"/>
      <c r="GS5" s="452"/>
      <c r="GT5" s="42"/>
      <c r="GU5" s="277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245" t="s">
        <v>122</v>
      </c>
      <c r="HJ5" s="122"/>
      <c r="HM5" s="137"/>
      <c r="HN5" s="446"/>
      <c r="HO5" s="501"/>
      <c r="HP5" s="501"/>
      <c r="HQ5" s="446"/>
      <c r="HR5" s="277"/>
      <c r="HW5" s="122"/>
      <c r="HX5" s="122"/>
      <c r="HY5" s="122"/>
      <c r="HZ5" s="122"/>
      <c r="IA5" s="122"/>
      <c r="IB5" s="122"/>
      <c r="IC5" s="122"/>
      <c r="ID5" s="122"/>
      <c r="IE5" s="122"/>
      <c r="IF5" s="122"/>
      <c r="IG5" s="1006" t="s">
        <v>123</v>
      </c>
      <c r="IH5" s="1007"/>
      <c r="IM5" s="464"/>
      <c r="IN5" s="464"/>
      <c r="IO5" s="464"/>
      <c r="IP5" s="386"/>
      <c r="IQ5" s="387"/>
      <c r="IU5" s="122"/>
      <c r="IV5" s="122"/>
      <c r="IW5" s="122"/>
      <c r="IX5" s="122"/>
      <c r="IY5" s="122"/>
      <c r="IZ5" s="122"/>
      <c r="JA5" s="122"/>
      <c r="JB5" s="122"/>
      <c r="JC5" s="122"/>
      <c r="JD5" s="122"/>
      <c r="JE5" s="1006" t="s">
        <v>124</v>
      </c>
      <c r="JF5" s="1007"/>
      <c r="JH5" s="137"/>
      <c r="JI5" s="446"/>
      <c r="JJ5" s="501"/>
      <c r="JK5" s="501"/>
      <c r="JL5" s="452"/>
      <c r="JM5" s="42"/>
      <c r="JN5" s="475"/>
      <c r="JR5" s="122"/>
      <c r="JS5" s="122"/>
      <c r="JT5" s="122"/>
      <c r="JU5" s="122"/>
      <c r="JV5" s="122"/>
      <c r="JW5" s="122"/>
      <c r="JX5" s="122"/>
      <c r="JY5" s="122"/>
      <c r="JZ5" s="122"/>
      <c r="KA5" s="122"/>
      <c r="KB5" s="122"/>
      <c r="KC5" s="1006" t="s">
        <v>125</v>
      </c>
      <c r="KD5" s="1007"/>
      <c r="KI5" s="501"/>
      <c r="KJ5" s="501"/>
      <c r="KK5" s="452"/>
      <c r="KL5" s="42"/>
      <c r="KM5" s="277"/>
      <c r="KQ5" s="122"/>
      <c r="KR5" s="122"/>
      <c r="KS5" s="122"/>
      <c r="KT5" s="122"/>
      <c r="KU5" s="122"/>
      <c r="KV5" s="122"/>
      <c r="KW5" s="122"/>
      <c r="KX5" s="122"/>
      <c r="KY5" s="122"/>
      <c r="KZ5" s="122"/>
      <c r="LA5" s="245" t="s">
        <v>102</v>
      </c>
      <c r="LD5" s="118"/>
      <c r="LG5" s="501"/>
      <c r="LH5" s="501"/>
      <c r="LI5" s="501"/>
      <c r="LJ5" s="475"/>
      <c r="LO5" s="122"/>
      <c r="LP5" s="122"/>
      <c r="LQ5" s="122"/>
      <c r="LR5" s="122"/>
      <c r="LS5" s="122"/>
      <c r="LT5" s="122"/>
      <c r="LU5" s="122"/>
      <c r="LV5" s="122"/>
      <c r="LW5" s="122"/>
      <c r="LX5" s="122"/>
      <c r="LY5" s="245" t="s">
        <v>126</v>
      </c>
      <c r="MA5" s="118"/>
      <c r="MB5" s="118"/>
      <c r="ME5" s="464"/>
      <c r="MF5" s="464"/>
      <c r="MG5" s="465"/>
      <c r="MM5" s="122"/>
      <c r="MN5" s="122"/>
      <c r="MO5" s="122"/>
      <c r="MP5" s="122"/>
      <c r="MQ5" s="122"/>
      <c r="MR5" s="122"/>
      <c r="MS5" s="122"/>
      <c r="MT5" s="122"/>
      <c r="MU5" s="122"/>
      <c r="MV5" s="122"/>
      <c r="MW5" s="245" t="s">
        <v>127</v>
      </c>
      <c r="MX5" s="118"/>
      <c r="MY5" s="118"/>
      <c r="MZ5" s="118"/>
      <c r="NC5" s="589"/>
      <c r="ND5" s="589"/>
      <c r="NE5" s="465"/>
      <c r="NK5" s="122"/>
      <c r="NL5" s="122"/>
      <c r="NM5" s="122"/>
      <c r="NN5" s="122"/>
      <c r="NO5" s="122"/>
      <c r="NP5" s="122"/>
      <c r="NQ5" s="122"/>
      <c r="NR5" s="122"/>
      <c r="NS5" s="122"/>
      <c r="NT5" s="122"/>
      <c r="NU5" s="1006" t="s">
        <v>128</v>
      </c>
      <c r="NV5" s="1007"/>
      <c r="NW5" s="118"/>
      <c r="OC5" s="465"/>
      <c r="OI5" s="122"/>
      <c r="OJ5" s="122"/>
      <c r="OK5" s="122"/>
      <c r="OL5" s="122"/>
      <c r="OM5" s="122"/>
      <c r="ON5" s="122"/>
      <c r="OO5" s="122"/>
      <c r="OP5" s="122"/>
      <c r="OQ5" s="122"/>
      <c r="OS5" s="1006" t="s">
        <v>129</v>
      </c>
      <c r="OT5" s="1007"/>
      <c r="OY5" s="464"/>
      <c r="OZ5" s="464"/>
      <c r="PA5" s="465"/>
      <c r="PB5" s="117"/>
      <c r="PG5" s="122"/>
      <c r="PH5" s="122"/>
      <c r="PI5" s="122"/>
      <c r="PJ5" s="122"/>
      <c r="PQ5" s="245" t="s">
        <v>130</v>
      </c>
      <c r="PW5" s="464"/>
      <c r="PX5" s="464"/>
      <c r="PY5" s="465"/>
      <c r="QE5" s="122"/>
      <c r="QF5" s="122"/>
      <c r="QG5" s="122"/>
      <c r="QO5" s="1006" t="s">
        <v>131</v>
      </c>
      <c r="QP5" s="1007"/>
      <c r="QS5" s="488" t="s">
        <v>461</v>
      </c>
      <c r="QT5" s="503" t="s">
        <v>270</v>
      </c>
      <c r="QU5" s="464"/>
      <c r="QV5" s="464"/>
      <c r="QW5" s="465"/>
      <c r="RC5" s="122"/>
      <c r="RD5" s="122"/>
      <c r="RL5" s="122"/>
      <c r="RQ5" s="137"/>
      <c r="RR5" s="446"/>
      <c r="RS5" s="464"/>
      <c r="RT5" s="464"/>
      <c r="RU5" s="465"/>
      <c r="SA5" s="122"/>
      <c r="SB5" s="122"/>
      <c r="SC5" s="122"/>
      <c r="SD5" s="122"/>
    </row>
    <row r="6" spans="1:537" ht="14.25" customHeight="1">
      <c r="C6" s="448" t="s">
        <v>461</v>
      </c>
      <c r="D6" s="456" t="s">
        <v>270</v>
      </c>
      <c r="E6" s="456"/>
      <c r="F6" s="456"/>
      <c r="G6" s="258"/>
      <c r="H6" s="387"/>
      <c r="J6" s="500"/>
      <c r="K6" s="500"/>
      <c r="L6" s="500"/>
      <c r="M6" s="500"/>
      <c r="N6" s="500"/>
      <c r="O6" s="500"/>
      <c r="Y6" s="118"/>
      <c r="AB6" s="473"/>
      <c r="AC6" s="448" t="s">
        <v>461</v>
      </c>
      <c r="AD6" s="456" t="s">
        <v>270</v>
      </c>
      <c r="AE6" s="460"/>
      <c r="AF6" s="460"/>
      <c r="AG6" s="461"/>
      <c r="AM6" s="122"/>
      <c r="AQ6" s="122"/>
      <c r="AR6" s="122"/>
      <c r="AS6" s="122"/>
      <c r="AT6" s="122"/>
      <c r="AU6" s="122"/>
      <c r="AV6" s="122"/>
      <c r="AZ6" s="473"/>
      <c r="BA6" s="448" t="s">
        <v>461</v>
      </c>
      <c r="BB6" s="456" t="s">
        <v>270</v>
      </c>
      <c r="BC6" s="460"/>
      <c r="BD6" s="460"/>
      <c r="BE6" s="461"/>
      <c r="BN6" s="122"/>
      <c r="BO6" s="122"/>
      <c r="BP6" s="122"/>
      <c r="BQ6" s="122"/>
      <c r="BR6" s="122"/>
      <c r="BS6" s="122"/>
      <c r="BT6" s="122"/>
      <c r="BX6" s="473"/>
      <c r="BY6" s="488" t="s">
        <v>273</v>
      </c>
      <c r="BZ6" s="503" t="s">
        <v>270</v>
      </c>
      <c r="CA6" s="464"/>
      <c r="CB6" s="464"/>
      <c r="CC6" s="468"/>
      <c r="CH6" s="118"/>
      <c r="CK6" s="122"/>
      <c r="CL6" s="122"/>
      <c r="CM6" s="122"/>
      <c r="CN6" s="122"/>
      <c r="CO6" s="122"/>
      <c r="CP6" s="122"/>
      <c r="CQ6" s="122"/>
      <c r="CR6" s="122"/>
      <c r="CV6" s="473"/>
      <c r="CW6" s="448" t="s">
        <v>461</v>
      </c>
      <c r="CX6" s="456" t="s">
        <v>270</v>
      </c>
      <c r="CY6" s="460"/>
      <c r="CZ6" s="460"/>
      <c r="DA6" s="475"/>
      <c r="DE6" s="118"/>
      <c r="DF6" s="118"/>
      <c r="DH6" s="122"/>
      <c r="DI6" s="122"/>
      <c r="DJ6" s="122"/>
      <c r="DK6" s="122"/>
      <c r="DL6" s="122"/>
      <c r="DM6" s="122"/>
      <c r="DN6" s="122"/>
      <c r="DO6" s="122"/>
      <c r="DP6" s="122"/>
      <c r="DT6" s="442"/>
      <c r="DU6" s="818" t="s">
        <v>461</v>
      </c>
      <c r="DV6" s="478" t="s">
        <v>270</v>
      </c>
      <c r="DW6" s="482"/>
      <c r="DX6" s="482"/>
      <c r="DY6" s="485"/>
      <c r="EB6" s="118"/>
      <c r="EC6" s="118"/>
      <c r="ED6" s="118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R6" s="442"/>
      <c r="ES6" s="818" t="s">
        <v>461</v>
      </c>
      <c r="ET6" s="1010" t="s">
        <v>270</v>
      </c>
      <c r="EU6" s="1010"/>
      <c r="EV6" s="1010"/>
      <c r="EW6" s="1010"/>
      <c r="EX6" s="465"/>
      <c r="EY6" s="118"/>
      <c r="EZ6" s="118"/>
      <c r="FA6" s="118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Q6" s="488" t="s">
        <v>461</v>
      </c>
      <c r="FR6" s="503" t="s">
        <v>270</v>
      </c>
      <c r="FS6" s="464"/>
      <c r="FT6" s="464"/>
      <c r="FU6" s="468"/>
      <c r="FV6" s="258"/>
      <c r="FW6" s="118"/>
      <c r="FX6" s="118"/>
      <c r="GA6" s="122"/>
      <c r="GB6" s="122"/>
      <c r="GC6" s="122"/>
      <c r="GD6" s="122"/>
      <c r="GE6" s="122"/>
      <c r="GF6" s="122"/>
      <c r="GG6" s="122"/>
      <c r="GH6" s="122"/>
      <c r="GI6" s="122"/>
      <c r="GJ6" s="122"/>
      <c r="GK6" s="245" t="s">
        <v>121</v>
      </c>
      <c r="GO6" s="446" t="s">
        <v>461</v>
      </c>
      <c r="GP6" s="446" t="s">
        <v>270</v>
      </c>
      <c r="GQ6" s="452"/>
      <c r="GR6" s="452"/>
      <c r="GS6" s="250"/>
      <c r="GT6" s="42"/>
      <c r="GU6" s="277"/>
      <c r="GY6" s="122"/>
      <c r="GZ6" s="122"/>
      <c r="HA6" s="122"/>
      <c r="HB6" s="122"/>
      <c r="HC6" s="122"/>
      <c r="HD6" s="122"/>
      <c r="HE6" s="122"/>
      <c r="HF6" s="122"/>
      <c r="HG6" s="122"/>
      <c r="HH6" s="122"/>
      <c r="HI6" s="122"/>
      <c r="HJ6" s="122"/>
      <c r="HM6" s="446" t="s">
        <v>461</v>
      </c>
      <c r="HN6" s="446" t="s">
        <v>270</v>
      </c>
      <c r="HO6" s="446"/>
      <c r="HP6" s="446"/>
      <c r="HQ6" s="446"/>
      <c r="HR6" s="277"/>
      <c r="HW6" s="122"/>
      <c r="HX6" s="122"/>
      <c r="HY6" s="122"/>
      <c r="HZ6" s="122"/>
      <c r="IA6" s="122"/>
      <c r="IB6" s="122"/>
      <c r="IC6" s="122"/>
      <c r="ID6" s="122"/>
      <c r="IE6" s="122"/>
      <c r="IF6" s="122"/>
      <c r="IG6" s="122"/>
      <c r="IH6" s="122"/>
      <c r="IK6" s="488" t="s">
        <v>461</v>
      </c>
      <c r="IL6" s="503" t="s">
        <v>270</v>
      </c>
      <c r="IM6" s="825"/>
      <c r="IN6" s="386"/>
      <c r="IO6" s="386"/>
      <c r="IP6" s="386"/>
      <c r="IQ6" s="387"/>
      <c r="IU6" s="122"/>
      <c r="IV6" s="122"/>
      <c r="IW6" s="122"/>
      <c r="IX6" s="122"/>
      <c r="IY6" s="122"/>
      <c r="IZ6" s="122"/>
      <c r="JA6" s="122"/>
      <c r="JB6" s="122"/>
      <c r="JC6" s="122"/>
      <c r="JD6" s="122"/>
      <c r="JH6" s="446" t="s">
        <v>461</v>
      </c>
      <c r="JI6" s="446" t="s">
        <v>270</v>
      </c>
      <c r="JJ6" s="553"/>
      <c r="JK6" s="553"/>
      <c r="JL6" s="250"/>
      <c r="JM6" s="42"/>
      <c r="JN6" s="475"/>
      <c r="JR6" s="122"/>
      <c r="JS6" s="122"/>
      <c r="JT6" s="122"/>
      <c r="JU6" s="122"/>
      <c r="JV6" s="122"/>
      <c r="JW6" s="122"/>
      <c r="JX6" s="122"/>
      <c r="JY6" s="122"/>
      <c r="JZ6" s="122"/>
      <c r="KA6" s="122"/>
      <c r="KB6" s="122"/>
      <c r="KG6" s="446" t="s">
        <v>461</v>
      </c>
      <c r="KH6" s="446" t="s">
        <v>270</v>
      </c>
      <c r="KI6" s="452"/>
      <c r="KJ6" s="452"/>
      <c r="KK6" s="517"/>
      <c r="KL6" s="42"/>
      <c r="KM6" s="277"/>
      <c r="KQ6" s="122"/>
      <c r="KR6" s="122"/>
      <c r="KS6" s="122"/>
      <c r="KT6" s="122"/>
      <c r="KU6" s="122"/>
      <c r="KV6" s="122"/>
      <c r="KW6" s="122"/>
      <c r="KX6" s="122"/>
      <c r="KY6" s="122"/>
      <c r="KZ6" s="122"/>
      <c r="LD6" s="118"/>
      <c r="LE6" s="446" t="s">
        <v>461</v>
      </c>
      <c r="LF6" s="446" t="s">
        <v>270</v>
      </c>
      <c r="LG6" s="501"/>
      <c r="LH6" s="501"/>
      <c r="LI6" s="501"/>
      <c r="LJ6" s="475"/>
      <c r="LO6" s="122"/>
      <c r="LP6" s="122"/>
      <c r="LQ6" s="122"/>
      <c r="LR6" s="122"/>
      <c r="LS6" s="122"/>
      <c r="LT6" s="122"/>
      <c r="LU6" s="122"/>
      <c r="LV6" s="122"/>
      <c r="LW6" s="122"/>
      <c r="LX6" s="122"/>
      <c r="MA6" s="118"/>
      <c r="MB6" s="118"/>
      <c r="MC6" s="488" t="s">
        <v>461</v>
      </c>
      <c r="MD6" s="503" t="s">
        <v>270</v>
      </c>
      <c r="ME6" s="464"/>
      <c r="MF6" s="464"/>
      <c r="MG6" s="390"/>
      <c r="MM6" s="122"/>
      <c r="MN6" s="122"/>
      <c r="MO6" s="122"/>
      <c r="MP6" s="122"/>
      <c r="MQ6" s="122"/>
      <c r="MR6" s="122"/>
      <c r="MS6" s="122"/>
      <c r="MT6" s="122"/>
      <c r="MU6" s="122"/>
      <c r="MV6" s="122"/>
      <c r="MX6" s="118"/>
      <c r="MY6" s="118"/>
      <c r="MZ6" s="118"/>
      <c r="NA6" s="488" t="s">
        <v>461</v>
      </c>
      <c r="NB6" s="503" t="s">
        <v>270</v>
      </c>
      <c r="NC6" s="589"/>
      <c r="ND6" s="589"/>
      <c r="NE6" s="465"/>
      <c r="NK6" s="122"/>
      <c r="NL6" s="122"/>
      <c r="NM6" s="122"/>
      <c r="NN6" s="122"/>
      <c r="NO6" s="122"/>
      <c r="NP6" s="122"/>
      <c r="NQ6" s="122"/>
      <c r="NR6" s="122"/>
      <c r="NS6" s="122"/>
      <c r="NT6" s="122"/>
      <c r="NU6" s="118"/>
      <c r="NV6" s="118"/>
      <c r="NW6" s="118"/>
      <c r="NY6" s="488" t="s">
        <v>461</v>
      </c>
      <c r="NZ6" s="503" t="s">
        <v>270</v>
      </c>
      <c r="OA6" s="503"/>
      <c r="OB6" s="503"/>
      <c r="OC6" s="465"/>
      <c r="OI6" s="122"/>
      <c r="OJ6" s="122"/>
      <c r="OK6" s="122"/>
      <c r="OL6" s="122"/>
      <c r="OM6" s="122"/>
      <c r="ON6" s="122"/>
      <c r="OO6" s="122"/>
      <c r="OP6" s="122"/>
      <c r="OQ6" s="122"/>
      <c r="OS6" s="118"/>
      <c r="OT6" s="118"/>
      <c r="OW6" s="488" t="s">
        <v>461</v>
      </c>
      <c r="OX6" s="503" t="s">
        <v>270</v>
      </c>
      <c r="OY6" s="464"/>
      <c r="OZ6" s="464"/>
      <c r="PA6" s="465"/>
      <c r="PB6" s="117"/>
      <c r="PG6" s="122"/>
      <c r="PH6" s="122"/>
      <c r="PI6" s="122"/>
      <c r="PJ6" s="122"/>
      <c r="PQ6" s="118"/>
      <c r="PU6" s="488" t="s">
        <v>461</v>
      </c>
      <c r="PV6" s="503" t="s">
        <v>270</v>
      </c>
      <c r="PW6" s="464"/>
      <c r="PX6" s="464"/>
      <c r="PY6" s="465"/>
      <c r="QE6" s="122"/>
      <c r="QF6" s="122"/>
      <c r="QG6" s="122"/>
      <c r="QS6" s="453"/>
      <c r="QT6" s="505" t="s">
        <v>272</v>
      </c>
      <c r="QU6" s="389"/>
      <c r="QV6" s="389"/>
      <c r="QW6" s="390"/>
      <c r="RC6" s="122"/>
      <c r="RD6" s="122"/>
      <c r="RL6" s="122"/>
      <c r="RM6" s="1006" t="s">
        <v>132</v>
      </c>
      <c r="RN6" s="1007"/>
      <c r="RQ6" s="488" t="s">
        <v>461</v>
      </c>
      <c r="RR6" s="503" t="s">
        <v>270</v>
      </c>
      <c r="RS6" s="464"/>
      <c r="RT6" s="464"/>
      <c r="RU6" s="390"/>
      <c r="SA6" s="122"/>
      <c r="SB6" s="122"/>
      <c r="SC6" s="122"/>
      <c r="SD6" s="122"/>
    </row>
    <row r="7" spans="1:537" ht="15" customHeight="1">
      <c r="C7" s="449"/>
      <c r="D7" s="502" t="s">
        <v>272</v>
      </c>
      <c r="E7" s="458"/>
      <c r="F7" s="458"/>
      <c r="G7" s="853" t="s">
        <v>507</v>
      </c>
      <c r="H7" s="935"/>
      <c r="I7" s="890"/>
      <c r="J7" s="923"/>
      <c r="K7" s="923"/>
      <c r="L7" s="923"/>
      <c r="M7" s="923"/>
      <c r="N7" s="923"/>
      <c r="O7" s="271"/>
      <c r="Y7" s="118"/>
      <c r="AC7" s="449"/>
      <c r="AD7" s="502" t="s">
        <v>272</v>
      </c>
      <c r="AE7" s="460"/>
      <c r="AF7" s="460"/>
      <c r="AG7" s="462"/>
      <c r="AM7" s="122"/>
      <c r="AQ7" s="122"/>
      <c r="AR7" s="122"/>
      <c r="AS7" s="122"/>
      <c r="AT7" s="122"/>
      <c r="AU7" s="122"/>
      <c r="AV7" s="122"/>
      <c r="BA7" s="449"/>
      <c r="BB7" s="502" t="s">
        <v>272</v>
      </c>
      <c r="BC7" s="460"/>
      <c r="BD7" s="460"/>
      <c r="BE7" s="461"/>
      <c r="BN7" s="122"/>
      <c r="BO7" s="122"/>
      <c r="BP7" s="122"/>
      <c r="BQ7" s="122"/>
      <c r="BR7" s="122"/>
      <c r="BS7" s="122"/>
      <c r="BT7" s="122"/>
      <c r="BX7" s="473"/>
      <c r="BY7" s="453"/>
      <c r="BZ7" s="505" t="s">
        <v>272</v>
      </c>
      <c r="CA7" s="467"/>
      <c r="CB7" s="467"/>
      <c r="CC7" s="509"/>
      <c r="CH7" s="118"/>
      <c r="CK7" s="122"/>
      <c r="CL7" s="122"/>
      <c r="CM7" s="122"/>
      <c r="CN7" s="122"/>
      <c r="CO7" s="122"/>
      <c r="CP7" s="122"/>
      <c r="CQ7" s="122"/>
      <c r="CR7" s="122"/>
      <c r="CV7" s="473"/>
      <c r="CW7" s="449"/>
      <c r="CX7" s="502" t="s">
        <v>272</v>
      </c>
      <c r="CY7" s="474"/>
      <c r="CZ7" s="474"/>
      <c r="DA7" s="477"/>
      <c r="DE7" s="118"/>
      <c r="DF7" s="118"/>
      <c r="DH7" s="122"/>
      <c r="DI7" s="122"/>
      <c r="DJ7" s="122"/>
      <c r="DK7" s="122"/>
      <c r="DL7" s="122"/>
      <c r="DM7" s="122"/>
      <c r="DN7" s="122"/>
      <c r="DO7" s="122"/>
      <c r="DP7" s="122"/>
      <c r="DT7" s="442"/>
      <c r="DU7" s="822"/>
      <c r="DV7" s="510" t="s">
        <v>272</v>
      </c>
      <c r="DW7" s="484"/>
      <c r="DX7" s="484"/>
      <c r="DY7" s="483"/>
      <c r="EB7" s="118"/>
      <c r="EC7" s="118"/>
      <c r="ED7" s="118"/>
      <c r="EE7" s="122"/>
      <c r="EF7" s="122"/>
      <c r="EG7" s="122"/>
      <c r="EH7" s="122"/>
      <c r="EI7" s="122"/>
      <c r="EJ7" s="122"/>
      <c r="EK7" s="122"/>
      <c r="EL7" s="122"/>
      <c r="EM7" s="122"/>
      <c r="EN7" s="122"/>
      <c r="ER7" s="442"/>
      <c r="ES7" s="822"/>
      <c r="ET7" s="505" t="s">
        <v>272</v>
      </c>
      <c r="EU7" s="506"/>
      <c r="EV7" s="506"/>
      <c r="EW7" s="506"/>
      <c r="EX7" s="465"/>
      <c r="EY7" s="118"/>
      <c r="EZ7" s="118"/>
      <c r="FA7" s="118"/>
      <c r="FC7" s="122"/>
      <c r="FD7" s="122"/>
      <c r="FE7" s="122"/>
      <c r="FF7" s="122"/>
      <c r="FG7" s="122"/>
      <c r="FH7" s="122"/>
      <c r="FI7" s="122"/>
      <c r="FJ7" s="122"/>
      <c r="FK7" s="122"/>
      <c r="FL7" s="122"/>
      <c r="FQ7" s="453"/>
      <c r="FR7" s="505" t="s">
        <v>272</v>
      </c>
      <c r="FS7" s="467"/>
      <c r="FT7" s="467"/>
      <c r="FU7" s="390"/>
      <c r="FV7" s="258"/>
      <c r="FW7" s="118"/>
      <c r="FX7" s="118"/>
      <c r="GA7" s="122"/>
      <c r="GB7" s="122"/>
      <c r="GC7" s="122"/>
      <c r="GD7" s="122"/>
      <c r="GE7" s="122"/>
      <c r="GF7" s="122"/>
      <c r="GG7" s="122"/>
      <c r="GH7" s="122"/>
      <c r="GI7" s="122"/>
      <c r="GJ7" s="122"/>
      <c r="GO7" s="505"/>
      <c r="GP7" s="505" t="s">
        <v>272</v>
      </c>
      <c r="GQ7" s="250"/>
      <c r="GR7" s="250"/>
      <c r="GS7" s="452"/>
      <c r="GT7" s="42"/>
      <c r="GU7" s="277"/>
      <c r="GY7" s="122"/>
      <c r="GZ7" s="122"/>
      <c r="HA7" s="122"/>
      <c r="HB7" s="122"/>
      <c r="HC7" s="122"/>
      <c r="HD7" s="122"/>
      <c r="HE7" s="122"/>
      <c r="HF7" s="122"/>
      <c r="HG7" s="122"/>
      <c r="HH7" s="122"/>
      <c r="HI7" s="122"/>
      <c r="HJ7" s="122"/>
      <c r="HM7" s="505"/>
      <c r="HN7" s="505" t="s">
        <v>272</v>
      </c>
      <c r="HO7" s="446"/>
      <c r="HP7" s="446"/>
      <c r="HQ7" s="446"/>
      <c r="HR7" s="277"/>
      <c r="HW7" s="122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2"/>
      <c r="IK7" s="453"/>
      <c r="IL7" s="505" t="s">
        <v>272</v>
      </c>
      <c r="IM7" s="42"/>
      <c r="IN7" s="277"/>
      <c r="IO7" s="464"/>
      <c r="IP7" s="464"/>
      <c r="IQ7" s="465"/>
      <c r="IU7" s="122"/>
      <c r="IV7" s="122"/>
      <c r="IW7" s="122"/>
      <c r="IX7" s="122"/>
      <c r="IY7" s="122"/>
      <c r="IZ7" s="122"/>
      <c r="JA7" s="122"/>
      <c r="JB7" s="122"/>
      <c r="JC7" s="122"/>
      <c r="JD7" s="122"/>
      <c r="JH7" s="505"/>
      <c r="JI7" s="505" t="s">
        <v>272</v>
      </c>
      <c r="JJ7" s="250"/>
      <c r="JK7" s="250"/>
      <c r="JL7" s="452"/>
      <c r="JM7" s="42"/>
      <c r="JN7" s="475"/>
      <c r="JR7" s="122"/>
      <c r="JS7" s="122"/>
      <c r="JT7" s="122"/>
      <c r="JU7" s="122"/>
      <c r="JV7" s="122"/>
      <c r="JW7" s="122"/>
      <c r="JX7" s="122"/>
      <c r="JY7" s="122"/>
      <c r="JZ7" s="122"/>
      <c r="KA7" s="122"/>
      <c r="KB7" s="122"/>
      <c r="KG7" s="505"/>
      <c r="KH7" s="505" t="s">
        <v>272</v>
      </c>
      <c r="KI7" s="517"/>
      <c r="KJ7" s="517"/>
      <c r="KK7" s="452"/>
      <c r="KL7" s="42"/>
      <c r="KM7" s="277"/>
      <c r="KQ7" s="122"/>
      <c r="KR7" s="122"/>
      <c r="KS7" s="122"/>
      <c r="KT7" s="122"/>
      <c r="KU7" s="122"/>
      <c r="KV7" s="122"/>
      <c r="KW7" s="122"/>
      <c r="KX7" s="122"/>
      <c r="KY7" s="122"/>
      <c r="KZ7" s="122"/>
      <c r="LD7" s="118"/>
      <c r="LE7" s="505"/>
      <c r="LF7" s="505" t="s">
        <v>272</v>
      </c>
      <c r="LG7" s="501"/>
      <c r="LH7" s="501"/>
      <c r="LI7" s="501"/>
      <c r="LJ7" s="475"/>
      <c r="LO7" s="122"/>
      <c r="LP7" s="122"/>
      <c r="LQ7" s="122"/>
      <c r="LR7" s="122"/>
      <c r="LS7" s="122"/>
      <c r="LT7" s="122"/>
      <c r="LU7" s="122"/>
      <c r="LV7" s="122"/>
      <c r="LW7" s="122"/>
      <c r="LX7" s="122"/>
      <c r="MA7" s="118"/>
      <c r="MB7" s="118"/>
      <c r="MC7" s="453"/>
      <c r="MD7" s="505" t="s">
        <v>272</v>
      </c>
      <c r="ME7" s="389"/>
      <c r="MF7" s="389"/>
      <c r="MG7" s="465"/>
      <c r="MM7" s="122"/>
      <c r="MN7" s="122"/>
      <c r="MO7" s="122"/>
      <c r="MP7" s="122"/>
      <c r="MQ7" s="122"/>
      <c r="MR7" s="122"/>
      <c r="MS7" s="122"/>
      <c r="MT7" s="122"/>
      <c r="MU7" s="122"/>
      <c r="MV7" s="122"/>
      <c r="MX7" s="118"/>
      <c r="MY7" s="118"/>
      <c r="MZ7" s="118"/>
      <c r="NA7" s="453"/>
      <c r="NB7" s="505" t="s">
        <v>272</v>
      </c>
      <c r="NC7" s="500"/>
      <c r="ND7" s="500"/>
      <c r="NE7" s="465"/>
      <c r="NK7" s="122"/>
      <c r="NL7" s="122"/>
      <c r="NM7" s="122"/>
      <c r="NN7" s="122"/>
      <c r="NO7" s="122"/>
      <c r="NP7" s="122"/>
      <c r="NQ7" s="122"/>
      <c r="NR7" s="122"/>
      <c r="NS7" s="122"/>
      <c r="NT7" s="122"/>
      <c r="NU7" s="118"/>
      <c r="NV7" s="118"/>
      <c r="NW7" s="118"/>
      <c r="NY7" s="453"/>
      <c r="NZ7" s="505" t="s">
        <v>272</v>
      </c>
      <c r="OA7" s="506"/>
      <c r="OB7" s="506"/>
      <c r="OC7" s="465"/>
      <c r="OI7" s="122"/>
      <c r="OJ7" s="122"/>
      <c r="OK7" s="122"/>
      <c r="OL7" s="122"/>
      <c r="OM7" s="122"/>
      <c r="ON7" s="122"/>
      <c r="OO7" s="122"/>
      <c r="OP7" s="122"/>
      <c r="OQ7" s="122"/>
      <c r="OS7" s="118"/>
      <c r="OT7" s="118"/>
      <c r="OW7" s="453"/>
      <c r="OX7" s="505" t="s">
        <v>272</v>
      </c>
      <c r="OY7" s="464"/>
      <c r="OZ7" s="464"/>
      <c r="PA7" s="465"/>
      <c r="PB7" s="117"/>
      <c r="PG7" s="122"/>
      <c r="PH7" s="122"/>
      <c r="PI7" s="122"/>
      <c r="PJ7" s="122"/>
      <c r="PQ7" s="118"/>
      <c r="PU7" s="453"/>
      <c r="PV7" s="505" t="s">
        <v>272</v>
      </c>
      <c r="PW7" s="464"/>
      <c r="PX7" s="464"/>
      <c r="PY7" s="465"/>
      <c r="QE7" s="122"/>
      <c r="QF7" s="122"/>
      <c r="QG7" s="122"/>
      <c r="QR7" s="473"/>
      <c r="QS7" s="824" t="s">
        <v>521</v>
      </c>
      <c r="QT7" s="446" t="s">
        <v>346</v>
      </c>
      <c r="QU7" s="870"/>
      <c r="QV7" s="281"/>
      <c r="QW7" s="258"/>
      <c r="QY7" s="465"/>
      <c r="RL7" s="122"/>
      <c r="RM7" s="122"/>
      <c r="RN7" s="122"/>
      <c r="RQ7" s="453"/>
      <c r="RR7" s="505" t="s">
        <v>272</v>
      </c>
      <c r="RS7" s="389"/>
      <c r="RT7" s="389"/>
      <c r="RU7" s="390"/>
      <c r="SA7" s="122"/>
      <c r="SB7" s="122"/>
      <c r="SC7" s="122"/>
      <c r="SD7" s="122"/>
    </row>
    <row r="8" spans="1:537" ht="12.75" customHeight="1">
      <c r="C8" s="824" t="s">
        <v>521</v>
      </c>
      <c r="D8" s="446" t="s">
        <v>348</v>
      </c>
      <c r="E8" s="386"/>
      <c r="F8" s="386"/>
      <c r="G8" s="936"/>
      <c r="H8" s="854" t="s">
        <v>464</v>
      </c>
      <c r="I8" s="855"/>
      <c r="J8" s="855"/>
      <c r="K8" s="855"/>
      <c r="L8" s="855"/>
      <c r="M8" s="855"/>
      <c r="N8" s="855"/>
      <c r="O8" s="271"/>
      <c r="Y8" s="118"/>
      <c r="AB8" s="473"/>
      <c r="AC8" s="824" t="s">
        <v>521</v>
      </c>
      <c r="AD8" s="446" t="s">
        <v>328</v>
      </c>
      <c r="AE8" s="475"/>
      <c r="AG8" s="461"/>
      <c r="AM8" s="122"/>
      <c r="AQ8" s="122"/>
      <c r="AR8" s="122"/>
      <c r="AS8" s="122"/>
      <c r="AT8" s="122"/>
      <c r="AU8" s="122"/>
      <c r="AV8" s="122"/>
      <c r="AZ8" s="473"/>
      <c r="BA8" s="824" t="s">
        <v>521</v>
      </c>
      <c r="BB8" s="446" t="s">
        <v>329</v>
      </c>
      <c r="BC8" s="475"/>
      <c r="BE8" s="461"/>
      <c r="BN8" s="122"/>
      <c r="BO8" s="122"/>
      <c r="BP8" s="122"/>
      <c r="BQ8" s="122"/>
      <c r="BR8" s="122"/>
      <c r="BS8" s="122"/>
      <c r="BT8" s="122"/>
      <c r="BX8" s="473"/>
      <c r="BY8" s="824" t="s">
        <v>463</v>
      </c>
      <c r="BZ8" s="446" t="s">
        <v>330</v>
      </c>
      <c r="CA8" s="508"/>
      <c r="CB8" s="508"/>
      <c r="CC8" s="465"/>
      <c r="CH8" s="118"/>
      <c r="CK8" s="122"/>
      <c r="CL8" s="122"/>
      <c r="CM8" s="122"/>
      <c r="CN8" s="122"/>
      <c r="CO8" s="122"/>
      <c r="CP8" s="122"/>
      <c r="CQ8" s="122"/>
      <c r="CR8" s="122"/>
      <c r="CV8" s="473"/>
      <c r="CW8" s="824" t="s">
        <v>463</v>
      </c>
      <c r="CX8" s="446" t="s">
        <v>331</v>
      </c>
      <c r="CY8" s="476"/>
      <c r="CZ8" s="476"/>
      <c r="DA8" s="461"/>
      <c r="DE8" s="118"/>
      <c r="DF8" s="118"/>
      <c r="DH8" s="122"/>
      <c r="DI8" s="122"/>
      <c r="DJ8" s="122"/>
      <c r="DK8" s="122"/>
      <c r="DL8" s="122"/>
      <c r="DM8" s="122"/>
      <c r="DN8" s="122"/>
      <c r="DO8" s="122"/>
      <c r="DP8" s="122"/>
      <c r="DT8" s="442"/>
      <c r="DU8" s="824" t="s">
        <v>463</v>
      </c>
      <c r="DV8" s="446" t="s">
        <v>332</v>
      </c>
      <c r="DW8" s="482"/>
      <c r="DX8" s="482"/>
      <c r="DY8" s="472"/>
      <c r="EB8" s="118"/>
      <c r="EC8" s="118"/>
      <c r="ED8" s="118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R8" s="442"/>
      <c r="ES8" s="824" t="s">
        <v>463</v>
      </c>
      <c r="ET8" s="446" t="s">
        <v>333</v>
      </c>
      <c r="EU8" s="464"/>
      <c r="EV8" s="464"/>
      <c r="EW8" s="464"/>
      <c r="EX8" s="465"/>
      <c r="EY8" s="118"/>
      <c r="EZ8" s="118"/>
      <c r="FA8" s="118"/>
      <c r="FC8" s="122"/>
      <c r="FD8" s="122"/>
      <c r="FE8" s="122"/>
      <c r="FF8" s="122"/>
      <c r="FG8" s="122"/>
      <c r="FH8" s="122"/>
      <c r="FI8" s="122"/>
      <c r="FJ8" s="122"/>
      <c r="FK8" s="122"/>
      <c r="FL8" s="122"/>
      <c r="FP8" s="473"/>
      <c r="FQ8" s="824" t="s">
        <v>463</v>
      </c>
      <c r="FR8" s="446" t="s">
        <v>343</v>
      </c>
      <c r="FS8" s="389"/>
      <c r="FT8" s="389"/>
      <c r="FU8" s="390"/>
      <c r="FV8" s="258"/>
      <c r="FW8" s="118"/>
      <c r="FX8" s="118"/>
      <c r="GA8" s="122"/>
      <c r="GB8" s="122"/>
      <c r="GC8" s="122"/>
      <c r="GD8" s="122"/>
      <c r="GE8" s="122"/>
      <c r="GF8" s="122"/>
      <c r="GG8" s="122"/>
      <c r="GH8" s="122"/>
      <c r="GI8" s="122"/>
      <c r="GJ8" s="122"/>
      <c r="GN8" s="473"/>
      <c r="GO8" s="824" t="s">
        <v>463</v>
      </c>
      <c r="GP8" s="446" t="s">
        <v>342</v>
      </c>
      <c r="GQ8" s="452"/>
      <c r="GR8" s="452"/>
      <c r="GS8" s="452"/>
      <c r="GT8" s="42"/>
      <c r="GU8" s="277"/>
      <c r="GY8" s="122"/>
      <c r="GZ8" s="122"/>
      <c r="HA8" s="122"/>
      <c r="HB8" s="122"/>
      <c r="HC8" s="122"/>
      <c r="HD8" s="122"/>
      <c r="HE8" s="122"/>
      <c r="HF8" s="122"/>
      <c r="HG8" s="122"/>
      <c r="HH8" s="122"/>
      <c r="HI8" s="122"/>
      <c r="HJ8" s="122"/>
      <c r="HL8" s="473"/>
      <c r="HM8" s="824" t="s">
        <v>463</v>
      </c>
      <c r="HN8" s="446" t="s">
        <v>334</v>
      </c>
      <c r="HO8" s="446"/>
      <c r="HP8" s="446"/>
      <c r="HQ8" s="501"/>
      <c r="HR8" s="277"/>
      <c r="HW8" s="122"/>
      <c r="HX8" s="122"/>
      <c r="HY8" s="122"/>
      <c r="HZ8" s="122"/>
      <c r="IA8" s="122"/>
      <c r="IB8" s="122"/>
      <c r="IC8" s="122"/>
      <c r="ID8" s="122"/>
      <c r="IE8" s="122"/>
      <c r="IF8" s="122"/>
      <c r="IG8" s="122"/>
      <c r="IH8" s="122"/>
      <c r="IK8" s="137" t="s">
        <v>463</v>
      </c>
      <c r="IL8" s="446" t="s">
        <v>465</v>
      </c>
      <c r="IM8" s="442"/>
      <c r="IN8" s="42"/>
      <c r="IO8" s="824"/>
      <c r="IP8" s="446"/>
      <c r="IQ8" s="42"/>
      <c r="IR8" s="591"/>
      <c r="IS8" s="592"/>
      <c r="IT8" s="592"/>
      <c r="IU8" s="465"/>
      <c r="IY8" s="122"/>
      <c r="IZ8" s="122"/>
      <c r="JA8" s="122"/>
      <c r="JB8" s="122"/>
      <c r="JC8" s="122"/>
      <c r="JD8" s="122"/>
      <c r="JE8" s="122"/>
      <c r="JF8" s="122"/>
      <c r="JG8" s="315"/>
      <c r="JH8" s="824" t="s">
        <v>463</v>
      </c>
      <c r="JI8" s="446" t="s">
        <v>335</v>
      </c>
      <c r="JJ8" s="553"/>
      <c r="JK8" s="553"/>
      <c r="JL8" s="501"/>
      <c r="JM8" s="42"/>
      <c r="JN8" s="475"/>
      <c r="JR8" s="122"/>
      <c r="JS8" s="122"/>
      <c r="JT8" s="122"/>
      <c r="JU8" s="122"/>
      <c r="JV8" s="122"/>
      <c r="JW8" s="122"/>
      <c r="JX8" s="122"/>
      <c r="JY8" s="122"/>
      <c r="JZ8" s="122"/>
      <c r="KA8" s="122"/>
      <c r="KB8" s="122"/>
      <c r="KF8" s="473"/>
      <c r="KG8" s="824" t="s">
        <v>463</v>
      </c>
      <c r="KH8" s="446" t="s">
        <v>336</v>
      </c>
      <c r="KI8" s="452"/>
      <c r="KJ8" s="452"/>
      <c r="KK8" s="501"/>
      <c r="KL8" s="42"/>
      <c r="KM8" s="277"/>
      <c r="KQ8" s="122"/>
      <c r="KR8" s="122"/>
      <c r="KS8" s="122"/>
      <c r="KT8" s="122"/>
      <c r="KU8" s="122"/>
      <c r="KV8" s="122"/>
      <c r="KW8" s="122"/>
      <c r="KX8" s="122"/>
      <c r="KY8" s="122"/>
      <c r="KZ8" s="122"/>
      <c r="LD8" s="473"/>
      <c r="LE8" s="824" t="s">
        <v>521</v>
      </c>
      <c r="LF8" s="446" t="s">
        <v>337</v>
      </c>
      <c r="LG8" s="475"/>
      <c r="LK8" s="501"/>
      <c r="LL8" s="475"/>
      <c r="LQ8" s="122"/>
      <c r="LR8" s="122"/>
      <c r="LS8" s="122"/>
      <c r="LT8" s="122"/>
      <c r="LU8" s="122"/>
      <c r="LV8" s="122"/>
      <c r="LW8" s="122"/>
      <c r="LX8" s="122"/>
      <c r="LY8" s="122"/>
      <c r="LZ8" s="122"/>
      <c r="MA8" s="118"/>
      <c r="MB8" s="473"/>
      <c r="MC8" s="824" t="s">
        <v>521</v>
      </c>
      <c r="MD8" s="446" t="s">
        <v>338</v>
      </c>
      <c r="ME8" s="475"/>
      <c r="MK8" s="465"/>
      <c r="MQ8" s="122"/>
      <c r="MR8" s="122"/>
      <c r="MS8" s="122"/>
      <c r="MT8" s="122"/>
      <c r="MU8" s="122"/>
      <c r="MV8" s="122"/>
      <c r="MW8" s="122"/>
      <c r="MZ8" s="315"/>
      <c r="NA8" s="824" t="s">
        <v>521</v>
      </c>
      <c r="NB8" s="446" t="s">
        <v>339</v>
      </c>
      <c r="NC8" s="475"/>
      <c r="NG8" s="274"/>
      <c r="NH8" s="463"/>
      <c r="NI8" s="464"/>
      <c r="NJ8" s="464"/>
      <c r="NK8" s="465"/>
      <c r="NX8" s="315"/>
      <c r="NY8" s="824" t="s">
        <v>521</v>
      </c>
      <c r="NZ8" s="446" t="s">
        <v>340</v>
      </c>
      <c r="OA8" s="824"/>
      <c r="OB8" s="824"/>
      <c r="OK8" s="465"/>
      <c r="OR8" s="118"/>
      <c r="OU8" s="122"/>
      <c r="OV8" s="868"/>
      <c r="OW8" s="824" t="s">
        <v>521</v>
      </c>
      <c r="OX8" s="446" t="s">
        <v>341</v>
      </c>
      <c r="OY8" s="278"/>
      <c r="OZ8" s="122"/>
      <c r="PK8" s="465"/>
      <c r="PL8" s="465"/>
      <c r="PM8" s="465"/>
      <c r="PN8" s="465"/>
      <c r="PO8" s="465"/>
      <c r="PP8" s="117"/>
      <c r="PQ8" s="118"/>
      <c r="PS8" s="122"/>
      <c r="PT8" s="868"/>
      <c r="PU8" s="824" t="s">
        <v>521</v>
      </c>
      <c r="PV8" s="446" t="s">
        <v>345</v>
      </c>
      <c r="PW8" s="278"/>
      <c r="PX8" s="122"/>
      <c r="PY8" s="122"/>
      <c r="PZ8" s="122"/>
      <c r="QH8" s="118"/>
      <c r="QI8" s="118"/>
      <c r="QJ8" s="118"/>
      <c r="QK8" s="118"/>
      <c r="QL8" s="118"/>
      <c r="QM8" s="118"/>
      <c r="QN8" s="118"/>
      <c r="QR8" s="473"/>
      <c r="QS8" s="824">
        <v>2016</v>
      </c>
      <c r="QT8" s="446" t="s">
        <v>371</v>
      </c>
      <c r="QU8" s="278"/>
      <c r="QV8" s="122"/>
      <c r="QW8" s="122"/>
      <c r="QX8" s="122"/>
      <c r="QY8" s="122"/>
      <c r="QZ8" s="122"/>
      <c r="RE8" s="118"/>
      <c r="RF8" s="258"/>
      <c r="RG8" s="118"/>
      <c r="RH8" s="118"/>
      <c r="RI8" s="118"/>
      <c r="RJ8" s="118"/>
      <c r="RK8" s="118"/>
      <c r="RM8" s="465"/>
      <c r="RP8" s="473"/>
      <c r="RQ8" s="824" t="s">
        <v>521</v>
      </c>
      <c r="RR8" s="446" t="s">
        <v>347</v>
      </c>
      <c r="RS8" s="278"/>
      <c r="RT8" s="122"/>
      <c r="RU8" s="122"/>
      <c r="RV8" s="122"/>
      <c r="RW8" s="122"/>
      <c r="RX8" s="122"/>
      <c r="RY8" s="122"/>
      <c r="RZ8" s="122"/>
      <c r="SJ8" s="258"/>
      <c r="SK8" s="281"/>
      <c r="SL8" s="281"/>
      <c r="SM8" s="258"/>
      <c r="SO8" s="465"/>
      <c r="SU8" s="122"/>
      <c r="SV8" s="122"/>
      <c r="SW8" s="122"/>
      <c r="SX8" s="122"/>
    </row>
    <row r="9" spans="1:537" ht="15" customHeight="1">
      <c r="C9" s="824">
        <v>2016</v>
      </c>
      <c r="D9" s="446" t="s">
        <v>356</v>
      </c>
      <c r="E9" s="386"/>
      <c r="F9" s="386"/>
      <c r="G9" s="834" t="s">
        <v>621</v>
      </c>
      <c r="H9" s="935"/>
      <c r="I9" s="890"/>
      <c r="J9" s="923"/>
      <c r="K9" s="923"/>
      <c r="L9" s="923"/>
      <c r="M9" s="923"/>
      <c r="N9" s="923"/>
      <c r="O9" s="271"/>
      <c r="Y9" s="118"/>
      <c r="AB9" s="473"/>
      <c r="AC9" s="824">
        <v>2016</v>
      </c>
      <c r="AD9" s="446" t="s">
        <v>357</v>
      </c>
      <c r="AE9" s="475"/>
      <c r="AG9" s="461"/>
      <c r="AM9" s="122"/>
      <c r="AQ9" s="122"/>
      <c r="AR9" s="122"/>
      <c r="AS9" s="122"/>
      <c r="AT9" s="122"/>
      <c r="AU9" s="122"/>
      <c r="AV9" s="122"/>
      <c r="AZ9" s="473"/>
      <c r="BA9" s="824">
        <v>2016</v>
      </c>
      <c r="BB9" s="446" t="s">
        <v>361</v>
      </c>
      <c r="BC9" s="475"/>
      <c r="BE9" s="461"/>
      <c r="BN9" s="122"/>
      <c r="BO9" s="122"/>
      <c r="BP9" s="122"/>
      <c r="BQ9" s="122"/>
      <c r="BR9" s="122"/>
      <c r="BS9" s="122"/>
      <c r="BT9" s="122"/>
      <c r="BX9" s="473"/>
      <c r="BY9" s="824" t="s">
        <v>522</v>
      </c>
      <c r="BZ9" s="446" t="s">
        <v>362</v>
      </c>
      <c r="CA9" s="475"/>
      <c r="CC9" s="461"/>
      <c r="CH9" s="118"/>
      <c r="CK9" s="122"/>
      <c r="CL9" s="122"/>
      <c r="CM9" s="122"/>
      <c r="CN9" s="122"/>
      <c r="CO9" s="122"/>
      <c r="CP9" s="122"/>
      <c r="CQ9" s="122"/>
      <c r="CR9" s="122"/>
      <c r="CV9" s="473"/>
      <c r="CW9" s="824" t="s">
        <v>522</v>
      </c>
      <c r="CX9" s="446" t="s">
        <v>332</v>
      </c>
      <c r="CY9" s="460"/>
      <c r="CZ9" s="460"/>
      <c r="DA9" s="461"/>
      <c r="DE9" s="118"/>
      <c r="DF9" s="118"/>
      <c r="DH9" s="122"/>
      <c r="DI9" s="122"/>
      <c r="DJ9" s="122"/>
      <c r="DK9" s="122"/>
      <c r="DL9" s="122"/>
      <c r="DM9" s="122"/>
      <c r="DN9" s="122"/>
      <c r="DO9" s="122"/>
      <c r="DP9" s="122"/>
      <c r="DT9" s="442"/>
      <c r="DU9" s="824" t="s">
        <v>522</v>
      </c>
      <c r="DV9" s="446" t="s">
        <v>333</v>
      </c>
      <c r="DW9" s="471"/>
      <c r="DX9" s="471"/>
      <c r="EB9" s="118"/>
      <c r="EC9" s="118"/>
      <c r="ED9" s="118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R9" s="442"/>
      <c r="ES9" s="824" t="s">
        <v>522</v>
      </c>
      <c r="ET9" s="446" t="s">
        <v>343</v>
      </c>
      <c r="EU9" s="464"/>
      <c r="EV9" s="464"/>
      <c r="EW9" s="464"/>
      <c r="EX9" s="465"/>
      <c r="EY9" s="118"/>
      <c r="EZ9" s="118"/>
      <c r="FA9" s="118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P9" s="473"/>
      <c r="FQ9" s="824" t="s">
        <v>522</v>
      </c>
      <c r="FR9" s="446" t="s">
        <v>364</v>
      </c>
      <c r="FS9" s="475"/>
      <c r="FU9" s="122"/>
      <c r="FW9" s="390"/>
      <c r="FX9" s="258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315"/>
      <c r="GO9" s="824" t="s">
        <v>522</v>
      </c>
      <c r="GP9" s="446" t="s">
        <v>334</v>
      </c>
      <c r="GQ9" s="475"/>
      <c r="GS9" s="118"/>
      <c r="GT9" s="473"/>
      <c r="GU9" s="473"/>
      <c r="GV9" s="88"/>
      <c r="GW9" s="88"/>
      <c r="GX9" s="88"/>
      <c r="GY9" s="501"/>
      <c r="GZ9" s="42"/>
      <c r="HA9" s="277"/>
      <c r="HI9" s="122"/>
      <c r="HJ9" s="122"/>
      <c r="HK9" s="122"/>
      <c r="HL9" s="315"/>
      <c r="HM9" s="824" t="s">
        <v>522</v>
      </c>
      <c r="HN9" s="446" t="s">
        <v>380</v>
      </c>
      <c r="HO9" s="278"/>
      <c r="HQ9" s="118"/>
      <c r="HR9" s="118"/>
      <c r="HV9" s="473"/>
      <c r="HW9" s="271"/>
      <c r="HX9" s="271"/>
      <c r="HY9" s="271"/>
      <c r="HZ9" s="258"/>
      <c r="IA9" s="258"/>
      <c r="IB9" s="277"/>
      <c r="IC9" s="277"/>
      <c r="ID9" s="277"/>
      <c r="IE9" s="277"/>
      <c r="IF9" s="277"/>
      <c r="IH9" s="546" t="s">
        <v>495</v>
      </c>
      <c r="II9" s="396"/>
      <c r="IJ9" s="861"/>
      <c r="IK9" s="552">
        <v>2010</v>
      </c>
      <c r="IL9" s="562" t="s">
        <v>454</v>
      </c>
      <c r="IM9" s="560"/>
      <c r="IN9" s="560"/>
      <c r="IO9" s="862"/>
      <c r="IP9" s="501"/>
      <c r="IQ9" s="465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G9" s="473"/>
      <c r="JH9" s="824" t="s">
        <v>522</v>
      </c>
      <c r="JI9" s="446" t="s">
        <v>400</v>
      </c>
      <c r="JJ9" s="474"/>
      <c r="JL9" s="118"/>
      <c r="JO9" s="501"/>
      <c r="JP9" s="42"/>
      <c r="JQ9" s="475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473"/>
      <c r="KG9" s="824" t="s">
        <v>522</v>
      </c>
      <c r="KH9" s="446" t="s">
        <v>354</v>
      </c>
      <c r="KI9" s="475"/>
      <c r="KK9" s="473"/>
      <c r="KP9" s="501"/>
      <c r="KQ9" s="42"/>
      <c r="KR9" s="277"/>
      <c r="KZ9" s="122"/>
      <c r="LA9" s="122"/>
      <c r="LB9" s="122"/>
      <c r="LC9" s="122"/>
      <c r="LD9" s="315"/>
      <c r="LE9" s="824">
        <v>2016</v>
      </c>
      <c r="LF9" s="446" t="s">
        <v>384</v>
      </c>
      <c r="LG9" s="475"/>
      <c r="LK9" s="473"/>
      <c r="LP9" s="501"/>
      <c r="LQ9" s="475"/>
      <c r="LY9" s="122"/>
      <c r="LZ9" s="122"/>
      <c r="MB9" s="315"/>
      <c r="MC9" s="824">
        <v>2016</v>
      </c>
      <c r="MD9" s="446" t="s">
        <v>382</v>
      </c>
      <c r="ME9" s="278"/>
      <c r="MP9" s="465"/>
      <c r="MZ9" s="315"/>
      <c r="NA9" s="824">
        <v>2016</v>
      </c>
      <c r="NB9" s="446" t="s">
        <v>367</v>
      </c>
      <c r="NC9" s="278"/>
      <c r="ND9" s="122"/>
      <c r="NE9" s="122"/>
      <c r="NL9" s="274"/>
      <c r="NM9" s="463"/>
      <c r="NN9" s="464"/>
      <c r="NO9" s="464"/>
      <c r="NP9" s="464"/>
      <c r="NQ9" s="464"/>
      <c r="NR9" s="464"/>
      <c r="NS9" s="464"/>
      <c r="NT9" s="465"/>
      <c r="NU9" s="118"/>
      <c r="NV9" s="118"/>
      <c r="NW9" s="118"/>
      <c r="NX9" s="315"/>
      <c r="NY9" s="824">
        <v>2016</v>
      </c>
      <c r="NZ9" s="446" t="s">
        <v>433</v>
      </c>
      <c r="OA9" s="99"/>
      <c r="OB9" s="99"/>
      <c r="OC9" s="122"/>
      <c r="OD9" s="122"/>
      <c r="OE9" s="122"/>
      <c r="OR9" s="118"/>
      <c r="OS9" s="118"/>
      <c r="OT9" s="118"/>
      <c r="OV9" s="442"/>
      <c r="OW9" s="824">
        <v>2016</v>
      </c>
      <c r="OX9" s="446" t="s">
        <v>368</v>
      </c>
      <c r="OY9" s="278"/>
      <c r="OZ9" s="122"/>
      <c r="PA9" s="122"/>
      <c r="PB9" s="122"/>
      <c r="PC9" s="122"/>
      <c r="PD9" s="122"/>
      <c r="PE9" s="122"/>
      <c r="PK9" s="118"/>
      <c r="PL9" s="118"/>
      <c r="PM9" s="118"/>
      <c r="PN9" s="118"/>
      <c r="PO9" s="118"/>
      <c r="PP9" s="118"/>
      <c r="PQ9" s="118"/>
      <c r="PR9" s="465"/>
      <c r="PS9" s="117"/>
      <c r="PT9" s="442"/>
      <c r="PU9" s="824">
        <v>2016</v>
      </c>
      <c r="PV9" s="446" t="s">
        <v>369</v>
      </c>
      <c r="PW9" s="475"/>
      <c r="PX9" s="122"/>
      <c r="PY9" s="122"/>
      <c r="PZ9" s="122"/>
      <c r="QA9" s="122"/>
      <c r="QB9" s="122"/>
      <c r="QC9" s="122"/>
      <c r="QD9" s="122"/>
      <c r="QE9" s="122"/>
      <c r="QH9" s="118"/>
      <c r="QI9" s="118"/>
      <c r="QJ9" s="118"/>
      <c r="QK9" s="118"/>
      <c r="QL9" s="118"/>
      <c r="QM9" s="118"/>
      <c r="QN9" s="118"/>
      <c r="QR9" s="464"/>
      <c r="QS9" s="824">
        <v>2017</v>
      </c>
      <c r="QT9" s="446" t="s">
        <v>372</v>
      </c>
      <c r="QU9" s="475"/>
      <c r="QX9" s="122"/>
      <c r="QY9" s="122"/>
      <c r="QZ9" s="122"/>
      <c r="RA9" s="122"/>
      <c r="RB9" s="122"/>
      <c r="RC9" s="122"/>
      <c r="RD9" s="122"/>
      <c r="RF9" s="118"/>
      <c r="RG9" s="118"/>
      <c r="RH9" s="118"/>
      <c r="RI9" s="118"/>
      <c r="RJ9" s="118"/>
      <c r="RK9" s="118"/>
      <c r="RM9" s="258"/>
      <c r="RP9" s="473"/>
      <c r="RQ9" s="824">
        <v>2016</v>
      </c>
      <c r="RR9" s="446" t="s">
        <v>373</v>
      </c>
      <c r="RS9" s="475"/>
      <c r="RX9" s="122"/>
      <c r="RY9" s="122"/>
      <c r="RZ9" s="122"/>
      <c r="SA9" s="122"/>
      <c r="SB9" s="122"/>
      <c r="SC9" s="122"/>
      <c r="SD9" s="122"/>
      <c r="SE9" s="122"/>
      <c r="SF9" s="122"/>
      <c r="SG9" s="122"/>
      <c r="SH9" s="122"/>
      <c r="SI9" s="122"/>
      <c r="SO9" s="258"/>
      <c r="ST9" s="465"/>
      <c r="SZ9" s="122"/>
      <c r="TA9" s="122"/>
      <c r="TB9" s="122"/>
      <c r="TC9" s="122"/>
    </row>
    <row r="10" spans="1:537" ht="12.75" customHeight="1">
      <c r="C10" s="824">
        <v>2017</v>
      </c>
      <c r="D10" s="446" t="s">
        <v>318</v>
      </c>
      <c r="E10" s="389"/>
      <c r="F10" s="389"/>
      <c r="G10" s="856" t="s">
        <v>622</v>
      </c>
      <c r="H10" s="935"/>
      <c r="I10" s="834"/>
      <c r="J10" s="835"/>
      <c r="K10" s="835"/>
      <c r="L10" s="835"/>
      <c r="M10" s="835"/>
      <c r="N10" s="835"/>
      <c r="O10" s="14"/>
      <c r="Y10" s="118"/>
      <c r="AB10" s="473"/>
      <c r="AC10" s="824">
        <v>2017</v>
      </c>
      <c r="AD10" s="446" t="s">
        <v>359</v>
      </c>
      <c r="AE10" s="475"/>
      <c r="AG10" s="461"/>
      <c r="AM10" s="122"/>
      <c r="AQ10" s="122"/>
      <c r="AR10" s="122"/>
      <c r="AS10" s="122"/>
      <c r="AT10" s="122"/>
      <c r="AU10" s="122"/>
      <c r="AV10" s="122"/>
      <c r="AZ10" s="473"/>
      <c r="BA10" s="824">
        <v>2017</v>
      </c>
      <c r="BB10" s="446" t="s">
        <v>360</v>
      </c>
      <c r="BC10" s="475"/>
      <c r="BE10" s="472"/>
      <c r="BN10" s="122"/>
      <c r="BO10" s="122"/>
      <c r="BP10" s="122"/>
      <c r="BQ10" s="122"/>
      <c r="BR10" s="122"/>
      <c r="BS10" s="122"/>
      <c r="BT10" s="122"/>
      <c r="BX10" s="473"/>
      <c r="BY10" s="824">
        <v>2016</v>
      </c>
      <c r="BZ10" s="446" t="s">
        <v>313</v>
      </c>
      <c r="CA10" s="475"/>
      <c r="CC10" s="461"/>
      <c r="CH10" s="118"/>
      <c r="CK10" s="122"/>
      <c r="CL10" s="122"/>
      <c r="CM10" s="122"/>
      <c r="CN10" s="122"/>
      <c r="CO10" s="122"/>
      <c r="CP10" s="122"/>
      <c r="CQ10" s="122"/>
      <c r="CR10" s="122"/>
      <c r="CV10" s="473"/>
      <c r="CW10" s="824">
        <v>2016</v>
      </c>
      <c r="CX10" s="446" t="s">
        <v>220</v>
      </c>
      <c r="CY10" s="475"/>
      <c r="DA10" s="461"/>
      <c r="DE10" s="118"/>
      <c r="DF10" s="118"/>
      <c r="DH10" s="122"/>
      <c r="DI10" s="122"/>
      <c r="DJ10" s="122"/>
      <c r="DK10" s="122"/>
      <c r="DL10" s="122"/>
      <c r="DM10" s="122"/>
      <c r="DN10" s="122"/>
      <c r="DO10" s="122"/>
      <c r="DP10" s="122"/>
      <c r="DT10" s="442"/>
      <c r="DU10" s="824">
        <v>2016</v>
      </c>
      <c r="DV10" s="446" t="s">
        <v>221</v>
      </c>
      <c r="DW10" s="475"/>
      <c r="EB10" s="118"/>
      <c r="EC10" s="118"/>
      <c r="ED10" s="118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R10" s="442"/>
      <c r="ES10" s="824">
        <v>2016</v>
      </c>
      <c r="ET10" s="446" t="s">
        <v>222</v>
      </c>
      <c r="EU10" s="464"/>
      <c r="EV10" s="464"/>
      <c r="EW10" s="464"/>
      <c r="EX10" s="465"/>
      <c r="EY10" s="118"/>
      <c r="EZ10" s="118"/>
      <c r="FA10" s="118"/>
      <c r="FC10" s="122"/>
      <c r="FD10" s="122"/>
      <c r="FE10" s="122"/>
      <c r="FF10" s="122"/>
      <c r="FG10" s="122"/>
      <c r="FH10" s="122"/>
      <c r="FI10" s="122"/>
      <c r="FJ10" s="122"/>
      <c r="FK10" s="122"/>
      <c r="FL10" s="122"/>
      <c r="FP10" s="473"/>
      <c r="FQ10" s="824">
        <v>2016</v>
      </c>
      <c r="FR10" s="446" t="s">
        <v>314</v>
      </c>
      <c r="FS10" s="475"/>
      <c r="FU10" s="122"/>
      <c r="FW10" s="465"/>
      <c r="FX10" s="258"/>
      <c r="GC10" s="122"/>
      <c r="GD10" s="122"/>
      <c r="GE10" s="122"/>
      <c r="GF10" s="122"/>
      <c r="GG10" s="122"/>
      <c r="GH10" s="122"/>
      <c r="GI10" s="122"/>
      <c r="GJ10" s="122"/>
      <c r="GK10" s="122"/>
      <c r="GL10" s="122"/>
      <c r="GM10" s="122"/>
      <c r="GN10" s="315"/>
      <c r="GO10" s="824">
        <v>2016</v>
      </c>
      <c r="GP10" s="446" t="s">
        <v>223</v>
      </c>
      <c r="GQ10" s="475"/>
      <c r="GS10" s="118"/>
      <c r="GT10" s="473"/>
      <c r="GU10" s="473"/>
      <c r="GV10" s="88"/>
      <c r="GW10" s="88"/>
      <c r="GX10" s="88"/>
      <c r="GY10" s="452"/>
      <c r="GZ10" s="42"/>
      <c r="HA10" s="277"/>
      <c r="HI10" s="122"/>
      <c r="HJ10" s="122"/>
      <c r="HK10" s="122"/>
      <c r="HL10" s="315"/>
      <c r="HM10" s="824">
        <v>2016</v>
      </c>
      <c r="HN10" s="446" t="s">
        <v>315</v>
      </c>
      <c r="HO10" s="278"/>
      <c r="HQ10" s="118"/>
      <c r="HR10" s="118"/>
      <c r="HV10" s="473"/>
      <c r="HW10" s="271"/>
      <c r="HX10" s="271"/>
      <c r="HY10" s="271"/>
      <c r="HZ10" s="258"/>
      <c r="IA10" s="258"/>
      <c r="IB10" s="277"/>
      <c r="IC10" s="277"/>
      <c r="ID10" s="277"/>
      <c r="IE10" s="277"/>
      <c r="IF10" s="277"/>
      <c r="IH10" s="396"/>
      <c r="II10" s="396"/>
      <c r="IJ10" s="861"/>
      <c r="IK10" s="552" t="s">
        <v>550</v>
      </c>
      <c r="IL10" s="562" t="s">
        <v>549</v>
      </c>
      <c r="IM10" s="863"/>
      <c r="IN10" s="864"/>
      <c r="IO10" s="864"/>
      <c r="IP10" s="271"/>
      <c r="IQ10" s="122"/>
      <c r="IR10" s="122"/>
      <c r="IX10" s="590"/>
      <c r="IY10" s="446"/>
      <c r="IZ10" s="446"/>
      <c r="JA10" s="446"/>
      <c r="JB10" s="446"/>
      <c r="JC10" s="446"/>
      <c r="JD10" s="865"/>
      <c r="JE10" s="593"/>
      <c r="JF10" s="593"/>
      <c r="JG10" s="464"/>
      <c r="JH10" s="824">
        <v>2016</v>
      </c>
      <c r="JI10" s="446" t="s">
        <v>316</v>
      </c>
      <c r="JJ10" s="475"/>
      <c r="JM10" s="122"/>
      <c r="JN10" s="122"/>
      <c r="JO10" s="122"/>
      <c r="JP10" s="122"/>
      <c r="JQ10" s="122"/>
      <c r="JR10" s="122"/>
      <c r="JX10" s="473"/>
      <c r="JY10" s="473"/>
      <c r="JZ10" s="473"/>
      <c r="KA10" s="473"/>
      <c r="KB10" s="473"/>
      <c r="KF10" s="501"/>
      <c r="KG10" s="824">
        <v>2016</v>
      </c>
      <c r="KH10" s="446" t="s">
        <v>317</v>
      </c>
      <c r="KI10" s="475"/>
      <c r="KL10" s="122"/>
      <c r="KM10" s="122"/>
      <c r="KN10" s="122"/>
      <c r="KO10" s="122"/>
      <c r="KP10" s="122"/>
      <c r="KQ10" s="122"/>
      <c r="KR10" s="122"/>
      <c r="KS10" s="122"/>
      <c r="LA10" s="473"/>
      <c r="LD10" s="473"/>
      <c r="LE10" s="824">
        <v>2017</v>
      </c>
      <c r="LF10" s="446" t="s">
        <v>385</v>
      </c>
      <c r="LG10" s="42"/>
      <c r="LH10" s="277"/>
      <c r="LL10" s="122"/>
      <c r="LM10" s="122"/>
      <c r="LN10" s="122"/>
      <c r="LO10" s="122"/>
      <c r="LP10" s="122"/>
      <c r="LQ10" s="122"/>
      <c r="LR10" s="122"/>
      <c r="LS10" s="122"/>
      <c r="LT10" s="122"/>
      <c r="LU10" s="122"/>
      <c r="LV10" s="122"/>
      <c r="LW10" s="122"/>
      <c r="MA10" s="473"/>
      <c r="MB10" s="473"/>
      <c r="MC10" s="824">
        <v>2017</v>
      </c>
      <c r="MD10" s="446" t="s">
        <v>366</v>
      </c>
      <c r="ME10" s="475"/>
      <c r="MF10" s="501"/>
      <c r="MG10" s="475"/>
      <c r="ML10" s="122"/>
      <c r="MM10" s="122"/>
      <c r="MN10" s="122"/>
      <c r="MO10" s="122"/>
      <c r="MP10" s="122"/>
      <c r="MQ10" s="122"/>
      <c r="MR10" s="122"/>
      <c r="MS10" s="122"/>
      <c r="MT10" s="122"/>
      <c r="MU10" s="122"/>
      <c r="MV10" s="122"/>
      <c r="MX10" s="118"/>
      <c r="MY10" s="118"/>
      <c r="MZ10" s="473"/>
      <c r="NA10" s="824">
        <v>2017</v>
      </c>
      <c r="NB10" s="446" t="s">
        <v>386</v>
      </c>
      <c r="NC10" s="475"/>
      <c r="NF10" s="465"/>
      <c r="NL10" s="122"/>
      <c r="NM10" s="122"/>
      <c r="NN10" s="122"/>
      <c r="NO10" s="122"/>
      <c r="NP10" s="122"/>
      <c r="NQ10" s="122"/>
      <c r="NR10" s="122"/>
      <c r="NS10" s="122"/>
      <c r="NT10" s="122"/>
      <c r="NV10" s="118"/>
      <c r="NW10" s="118"/>
      <c r="NX10" s="473"/>
      <c r="NY10" s="824">
        <v>2017</v>
      </c>
      <c r="NZ10" s="446" t="s">
        <v>365</v>
      </c>
      <c r="OA10" s="867"/>
      <c r="OB10" s="867"/>
      <c r="OC10" s="463"/>
      <c r="OD10" s="464"/>
      <c r="OE10" s="464"/>
      <c r="OF10" s="465"/>
      <c r="OL10" s="122"/>
      <c r="OM10" s="122"/>
      <c r="ON10" s="122"/>
      <c r="OO10" s="122"/>
      <c r="OP10" s="122"/>
      <c r="OQ10" s="122"/>
      <c r="OU10" s="122"/>
      <c r="OV10" s="442"/>
      <c r="OW10" s="824">
        <v>2017</v>
      </c>
      <c r="OX10" s="446" t="s">
        <v>387</v>
      </c>
      <c r="OY10" s="475"/>
      <c r="PF10" s="465"/>
      <c r="PK10" s="118"/>
      <c r="PL10" s="118"/>
      <c r="PM10" s="118"/>
      <c r="PN10" s="118"/>
      <c r="PO10" s="118"/>
      <c r="PR10" s="122"/>
      <c r="PS10" s="122"/>
      <c r="PT10" s="868"/>
      <c r="PU10" s="824">
        <v>2017</v>
      </c>
      <c r="PV10" s="446" t="s">
        <v>370</v>
      </c>
      <c r="PW10" s="475"/>
      <c r="QF10" s="465"/>
      <c r="QG10" s="117"/>
      <c r="QH10" s="118"/>
      <c r="QI10" s="118"/>
      <c r="QJ10" s="118"/>
      <c r="QK10" s="118"/>
      <c r="QL10" s="118"/>
      <c r="QM10" s="118"/>
      <c r="QN10" s="118"/>
      <c r="QO10" s="122"/>
      <c r="QP10" s="122"/>
      <c r="QQ10" s="122"/>
      <c r="QR10" s="122"/>
      <c r="QS10" s="282"/>
      <c r="QT10" s="282"/>
      <c r="QU10" s="122"/>
      <c r="RE10" s="118"/>
      <c r="RF10" s="465"/>
      <c r="RG10" s="118"/>
      <c r="RH10" s="118"/>
      <c r="RI10" s="118"/>
      <c r="RJ10" s="118"/>
      <c r="RK10" s="118"/>
      <c r="RN10" s="122"/>
      <c r="RO10" s="122"/>
      <c r="RP10" s="315"/>
      <c r="RQ10" s="824">
        <v>2017</v>
      </c>
      <c r="RR10" s="446" t="s">
        <v>374</v>
      </c>
      <c r="RS10" s="278"/>
      <c r="RT10" s="122"/>
      <c r="RU10" s="122"/>
      <c r="SA10" s="258"/>
      <c r="SF10" s="475"/>
      <c r="SG10" s="475"/>
      <c r="SH10" s="475"/>
      <c r="SI10" s="475"/>
      <c r="SJ10" s="465"/>
      <c r="SP10" s="122"/>
      <c r="SQ10" s="122"/>
      <c r="SR10" s="122"/>
      <c r="SS10" s="122"/>
      <c r="ST10" s="122"/>
      <c r="SU10" s="122"/>
      <c r="SV10" s="122"/>
      <c r="SW10" s="122"/>
      <c r="TC10" s="258"/>
      <c r="TH10" s="465"/>
      <c r="TN10" s="122"/>
      <c r="TO10" s="122"/>
      <c r="TP10" s="122"/>
      <c r="TQ10" s="122"/>
    </row>
    <row r="11" spans="1:537" ht="13.5" customHeight="1">
      <c r="D11" s="283"/>
      <c r="E11" s="283"/>
      <c r="H11" s="387"/>
      <c r="I11" s="446"/>
      <c r="J11" s="14"/>
      <c r="K11" s="14"/>
      <c r="L11" s="14"/>
      <c r="M11" s="14"/>
      <c r="N11" s="14"/>
      <c r="O11" s="14"/>
      <c r="Y11" s="118"/>
      <c r="AC11" s="283"/>
      <c r="AD11" s="283"/>
      <c r="AG11" s="461"/>
      <c r="AM11" s="122"/>
      <c r="AQ11" s="122"/>
      <c r="AR11" s="122"/>
      <c r="AS11" s="122"/>
      <c r="AT11" s="122"/>
      <c r="AU11" s="122"/>
      <c r="AV11" s="122"/>
      <c r="BA11" s="283"/>
      <c r="BB11" s="283"/>
      <c r="BE11" s="462"/>
      <c r="BN11" s="122"/>
      <c r="BO11" s="122"/>
      <c r="BP11" s="122"/>
      <c r="BQ11" s="122"/>
      <c r="BR11" s="122"/>
      <c r="BS11" s="122"/>
      <c r="BT11" s="122"/>
      <c r="BX11" s="473"/>
      <c r="BY11" s="824">
        <v>2017</v>
      </c>
      <c r="BZ11" s="446" t="s">
        <v>363</v>
      </c>
      <c r="CA11" s="475"/>
      <c r="CC11" s="461"/>
      <c r="CH11" s="118"/>
      <c r="CK11" s="122"/>
      <c r="CL11" s="122"/>
      <c r="CM11" s="122"/>
      <c r="CN11" s="122"/>
      <c r="CO11" s="122"/>
      <c r="CP11" s="122"/>
      <c r="CQ11" s="122"/>
      <c r="CR11" s="122"/>
      <c r="CV11" s="473"/>
      <c r="CW11" s="824">
        <v>2017</v>
      </c>
      <c r="CX11" s="446" t="s">
        <v>378</v>
      </c>
      <c r="CY11" s="475"/>
      <c r="DA11" s="461"/>
      <c r="DE11" s="118"/>
      <c r="DF11" s="118"/>
      <c r="DH11" s="122"/>
      <c r="DI11" s="122"/>
      <c r="DJ11" s="122"/>
      <c r="DK11" s="122"/>
      <c r="DL11" s="122"/>
      <c r="DM11" s="122"/>
      <c r="DN11" s="122"/>
      <c r="DO11" s="122"/>
      <c r="DP11" s="122"/>
      <c r="DT11" s="442"/>
      <c r="DU11" s="824">
        <v>2017</v>
      </c>
      <c r="DV11" s="446" t="s">
        <v>377</v>
      </c>
      <c r="DW11" s="475"/>
      <c r="EB11" s="118"/>
      <c r="EC11" s="118"/>
      <c r="ED11" s="118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R11" s="442"/>
      <c r="ES11" s="824">
        <v>2017</v>
      </c>
      <c r="ET11" s="446" t="s">
        <v>379</v>
      </c>
      <c r="EU11" s="464"/>
      <c r="EV11" s="464"/>
      <c r="EW11" s="464"/>
      <c r="EX11" s="465"/>
      <c r="EY11" s="118"/>
      <c r="EZ11" s="118"/>
      <c r="FA11" s="118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P11" s="473"/>
      <c r="FQ11" s="824">
        <v>2017</v>
      </c>
      <c r="FR11" s="446" t="s">
        <v>445</v>
      </c>
      <c r="FS11" s="475"/>
      <c r="FU11" s="122"/>
      <c r="FW11" s="465"/>
      <c r="FX11" s="258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315"/>
      <c r="GO11" s="824">
        <v>2017</v>
      </c>
      <c r="GP11" s="446" t="s">
        <v>376</v>
      </c>
      <c r="GQ11" s="475"/>
      <c r="GS11" s="118"/>
      <c r="GT11" s="473"/>
      <c r="GU11" s="473"/>
      <c r="GV11" s="88"/>
      <c r="GW11" s="88"/>
      <c r="GX11" s="88"/>
      <c r="GY11" s="452"/>
      <c r="GZ11" s="42"/>
      <c r="HA11" s="277"/>
      <c r="HI11" s="122"/>
      <c r="HJ11" s="122"/>
      <c r="HK11" s="122"/>
      <c r="HL11" s="315"/>
      <c r="HM11" s="824">
        <v>2017</v>
      </c>
      <c r="HN11" s="446" t="s">
        <v>381</v>
      </c>
      <c r="HO11" s="278"/>
      <c r="HQ11" s="118"/>
      <c r="HR11" s="118"/>
      <c r="HV11" s="473"/>
      <c r="HW11" s="271"/>
      <c r="HX11" s="271"/>
      <c r="HY11" s="271"/>
      <c r="HZ11" s="258"/>
      <c r="IA11" s="258"/>
      <c r="IB11" s="277"/>
      <c r="IC11" s="277"/>
      <c r="ID11" s="277"/>
      <c r="IE11" s="277"/>
      <c r="IF11" s="277"/>
      <c r="IK11" s="283"/>
      <c r="IL11" s="283"/>
      <c r="IP11" s="122"/>
      <c r="IQ11" s="122"/>
      <c r="IR11" s="122"/>
      <c r="IX11" s="473"/>
      <c r="IY11" s="446"/>
      <c r="IZ11" s="446"/>
      <c r="JA11" s="446"/>
      <c r="JB11" s="446"/>
      <c r="JC11" s="446"/>
      <c r="JD11" s="367"/>
      <c r="JE11" s="464"/>
      <c r="JF11" s="464"/>
      <c r="JG11" s="464"/>
      <c r="JH11" s="824">
        <v>2017</v>
      </c>
      <c r="JI11" s="446" t="s">
        <v>383</v>
      </c>
      <c r="JJ11" s="475"/>
      <c r="JM11" s="122"/>
      <c r="JN11" s="122"/>
      <c r="JO11" s="122"/>
      <c r="JP11" s="122"/>
      <c r="JQ11" s="122"/>
      <c r="JR11" s="122"/>
      <c r="JX11" s="473"/>
      <c r="JY11" s="473"/>
      <c r="JZ11" s="473"/>
      <c r="KA11" s="473"/>
      <c r="KB11" s="473"/>
      <c r="KF11" s="501"/>
      <c r="KG11" s="824">
        <v>2017</v>
      </c>
      <c r="KH11" s="446" t="s">
        <v>375</v>
      </c>
      <c r="KI11" s="475"/>
      <c r="KL11" s="122"/>
      <c r="KM11" s="122"/>
      <c r="KN11" s="122"/>
      <c r="KO11" s="122"/>
      <c r="KP11" s="122"/>
      <c r="KQ11" s="122"/>
      <c r="KR11" s="122"/>
      <c r="KS11" s="122"/>
      <c r="LA11" s="473"/>
      <c r="LD11" s="118"/>
      <c r="LE11" s="283"/>
      <c r="LF11" s="452"/>
      <c r="LG11" s="42"/>
      <c r="LH11" s="277"/>
      <c r="LL11" s="122"/>
      <c r="LM11" s="122"/>
      <c r="LN11" s="122"/>
      <c r="LO11" s="122"/>
      <c r="LP11" s="122"/>
      <c r="LQ11" s="122"/>
      <c r="LR11" s="122"/>
      <c r="LS11" s="122"/>
      <c r="LT11" s="122"/>
      <c r="LU11" s="122"/>
      <c r="LV11" s="122"/>
      <c r="LW11" s="122"/>
      <c r="MA11" s="473"/>
      <c r="MB11" s="118"/>
      <c r="MC11" s="283"/>
      <c r="MD11" s="283"/>
      <c r="MF11" s="501"/>
      <c r="MG11" s="475"/>
      <c r="ML11" s="122"/>
      <c r="MM11" s="122"/>
      <c r="MN11" s="122"/>
      <c r="MO11" s="122"/>
      <c r="MP11" s="122"/>
      <c r="MQ11" s="122"/>
      <c r="MR11" s="122"/>
      <c r="MS11" s="122"/>
      <c r="MT11" s="122"/>
      <c r="MU11" s="122"/>
      <c r="MV11" s="122"/>
      <c r="MX11" s="118"/>
      <c r="MY11" s="118"/>
      <c r="MZ11" s="118"/>
      <c r="NA11" s="283"/>
      <c r="NB11" s="283"/>
      <c r="NF11" s="465"/>
      <c r="NL11" s="122"/>
      <c r="NM11" s="122"/>
      <c r="NN11" s="122"/>
      <c r="NO11" s="122"/>
      <c r="NP11" s="122"/>
      <c r="NQ11" s="122"/>
      <c r="NR11" s="122"/>
      <c r="NS11" s="122"/>
      <c r="NT11" s="122"/>
      <c r="NV11" s="118"/>
      <c r="NW11" s="118"/>
      <c r="NY11" s="283"/>
      <c r="NZ11" s="283"/>
      <c r="OB11" s="274"/>
      <c r="OC11" s="463"/>
      <c r="OD11" s="464"/>
      <c r="OE11" s="464"/>
      <c r="OF11" s="465"/>
      <c r="OL11" s="122"/>
      <c r="OM11" s="122"/>
      <c r="ON11" s="122"/>
      <c r="OO11" s="122"/>
      <c r="OP11" s="122"/>
      <c r="OQ11" s="122"/>
      <c r="OU11" s="122"/>
      <c r="OW11" s="281"/>
      <c r="OX11" s="281"/>
      <c r="PF11" s="465"/>
      <c r="PK11" s="118"/>
      <c r="PL11" s="118"/>
      <c r="PM11" s="118"/>
      <c r="PN11" s="118"/>
      <c r="PO11" s="118"/>
      <c r="PR11" s="122"/>
      <c r="PS11" s="122"/>
      <c r="PT11" s="122"/>
      <c r="PU11" s="869"/>
      <c r="PV11" s="281"/>
      <c r="QF11" s="465"/>
      <c r="QG11" s="117"/>
      <c r="QH11" s="118"/>
      <c r="QI11" s="118"/>
      <c r="QJ11" s="118"/>
      <c r="QK11" s="118"/>
      <c r="QL11" s="118"/>
      <c r="QM11" s="118"/>
      <c r="QN11" s="118"/>
      <c r="QO11" s="122"/>
      <c r="QP11" s="122"/>
      <c r="QQ11" s="122"/>
      <c r="QR11" s="122"/>
      <c r="QS11" s="122"/>
      <c r="QT11" s="122"/>
      <c r="QU11" s="122"/>
      <c r="RE11" s="118"/>
      <c r="RF11" s="465"/>
      <c r="RG11" s="118"/>
      <c r="RH11" s="118"/>
      <c r="RI11" s="118"/>
      <c r="RJ11" s="118"/>
      <c r="RK11" s="118"/>
      <c r="RN11" s="122"/>
      <c r="RO11" s="122"/>
      <c r="RP11" s="122"/>
      <c r="RQ11" s="282"/>
      <c r="RR11" s="282"/>
      <c r="RS11" s="122"/>
      <c r="RT11" s="122"/>
      <c r="RU11" s="122"/>
      <c r="SA11" s="258"/>
      <c r="SF11" s="475"/>
      <c r="SG11" s="475"/>
      <c r="SH11" s="475"/>
      <c r="SI11" s="475"/>
      <c r="SJ11" s="465"/>
      <c r="SP11" s="122"/>
      <c r="SQ11" s="122"/>
      <c r="SR11" s="122"/>
      <c r="SS11" s="122"/>
      <c r="ST11" s="122"/>
      <c r="SU11" s="122"/>
      <c r="SV11" s="122"/>
      <c r="SW11" s="122"/>
      <c r="TC11" s="258"/>
      <c r="TD11" s="258"/>
      <c r="TE11" s="258"/>
      <c r="TF11" s="258"/>
      <c r="TG11" s="258"/>
      <c r="TH11" s="258"/>
      <c r="TN11" s="122"/>
      <c r="TO11" s="122"/>
      <c r="TP11" s="122"/>
      <c r="TQ11" s="122"/>
    </row>
    <row r="12" spans="1:537" s="236" customFormat="1">
      <c r="A12" s="260"/>
      <c r="B12" s="245"/>
      <c r="H12" s="388"/>
      <c r="I12" s="446"/>
      <c r="J12" s="267"/>
      <c r="K12" s="267"/>
      <c r="L12" s="267"/>
      <c r="M12" s="18"/>
      <c r="N12" s="18"/>
      <c r="O12" s="18"/>
      <c r="X12" s="708"/>
      <c r="AF12" s="118"/>
      <c r="AG12" s="118"/>
      <c r="AY12" s="237"/>
      <c r="AZ12" s="237"/>
      <c r="BY12" s="513"/>
      <c r="BZ12" s="513"/>
      <c r="CC12" s="461"/>
      <c r="CD12" s="118"/>
      <c r="CW12" s="511"/>
      <c r="CX12" s="511"/>
      <c r="DA12" s="465"/>
      <c r="DT12" s="259"/>
      <c r="DU12" s="513"/>
      <c r="DV12" s="513"/>
      <c r="ER12" s="259"/>
      <c r="ES12" s="513"/>
      <c r="ET12" s="513"/>
      <c r="EU12" s="259"/>
      <c r="EV12" s="259"/>
      <c r="EW12" s="464"/>
      <c r="EX12" s="465"/>
      <c r="FQ12" s="511"/>
      <c r="FR12" s="511"/>
      <c r="FW12" s="390"/>
      <c r="FX12" s="264"/>
      <c r="GO12" s="513"/>
      <c r="GP12" s="513"/>
      <c r="GT12" s="469"/>
      <c r="GU12" s="469"/>
      <c r="GV12" s="250"/>
      <c r="GW12" s="250"/>
      <c r="GX12" s="250"/>
      <c r="GY12" s="452"/>
      <c r="GZ12" s="250"/>
      <c r="HA12" s="468"/>
      <c r="HM12" s="511"/>
      <c r="HN12" s="511"/>
      <c r="HV12" s="469"/>
      <c r="HW12" s="259"/>
      <c r="HX12" s="259"/>
      <c r="HY12" s="259"/>
      <c r="HZ12" s="259"/>
      <c r="IA12" s="259"/>
      <c r="IB12" s="468"/>
      <c r="IC12" s="468"/>
      <c r="ID12" s="468"/>
      <c r="IE12" s="468"/>
      <c r="IF12" s="468"/>
      <c r="IK12" s="446"/>
      <c r="IL12" s="88"/>
      <c r="IX12" s="469"/>
      <c r="IY12" s="446"/>
      <c r="IZ12" s="446"/>
      <c r="JA12" s="446"/>
      <c r="JB12" s="446"/>
      <c r="JC12" s="446"/>
      <c r="JD12" s="468"/>
      <c r="JE12" s="464"/>
      <c r="JF12" s="464"/>
      <c r="JG12" s="465"/>
      <c r="JH12" s="511"/>
      <c r="JI12" s="511"/>
      <c r="JX12" s="469"/>
      <c r="JY12" s="469"/>
      <c r="JZ12" s="469"/>
      <c r="KA12" s="469"/>
      <c r="KB12" s="469"/>
      <c r="KF12" s="501"/>
      <c r="KG12" s="250"/>
      <c r="KH12" s="866"/>
      <c r="LA12" s="469"/>
      <c r="LF12" s="452"/>
      <c r="LG12" s="250"/>
      <c r="LH12" s="468"/>
      <c r="MA12" s="466"/>
      <c r="MB12" s="259"/>
      <c r="MC12" s="259"/>
      <c r="MD12" s="259"/>
      <c r="ME12" s="259"/>
      <c r="MF12" s="250"/>
      <c r="MG12" s="470"/>
      <c r="NF12" s="465"/>
      <c r="OB12" s="259"/>
      <c r="OC12" s="259"/>
      <c r="OD12" s="259"/>
      <c r="OE12" s="259"/>
      <c r="OF12" s="259"/>
      <c r="PB12" s="259"/>
      <c r="PC12" s="259"/>
      <c r="PD12" s="259"/>
      <c r="PE12" s="259"/>
      <c r="PF12" s="259"/>
      <c r="SA12" s="259"/>
      <c r="SB12" s="259"/>
      <c r="SC12" s="259"/>
      <c r="SD12" s="259"/>
      <c r="SE12" s="259"/>
      <c r="SF12" s="259"/>
      <c r="SG12" s="259"/>
      <c r="SH12" s="259"/>
      <c r="SI12" s="259"/>
      <c r="SJ12" s="259"/>
      <c r="TC12" s="259"/>
      <c r="TD12" s="259"/>
      <c r="TE12" s="259"/>
      <c r="TF12" s="259"/>
      <c r="TG12" s="259"/>
      <c r="TH12" s="259"/>
    </row>
    <row r="13" spans="1:537" s="236" customFormat="1" ht="12" customHeight="1">
      <c r="A13" s="260"/>
      <c r="B13" s="245"/>
      <c r="H13" s="387"/>
      <c r="I13" s="237"/>
      <c r="N13" s="18"/>
      <c r="O13" s="18"/>
      <c r="X13" s="708"/>
      <c r="AC13" s="237"/>
      <c r="AY13" s="237"/>
      <c r="AZ13" s="237"/>
      <c r="CD13" s="118"/>
      <c r="DU13" s="237"/>
      <c r="ER13" s="259"/>
      <c r="ES13" s="259"/>
      <c r="ET13" s="259"/>
      <c r="EU13" s="259"/>
      <c r="EV13" s="259"/>
      <c r="EW13" s="259"/>
      <c r="EX13" s="264"/>
      <c r="FQ13" s="237"/>
      <c r="FV13" s="237"/>
      <c r="GU13" s="515"/>
      <c r="GV13" s="250"/>
      <c r="GW13" s="250"/>
      <c r="GX13" s="250"/>
      <c r="GY13" s="250"/>
      <c r="GZ13" s="250"/>
      <c r="HA13" s="468"/>
      <c r="HV13" s="469"/>
      <c r="HW13" s="250"/>
      <c r="HX13" s="250"/>
      <c r="HY13" s="250"/>
      <c r="HZ13" s="250"/>
      <c r="IA13" s="250"/>
      <c r="IB13" s="250"/>
      <c r="IC13" s="250"/>
      <c r="ID13" s="250"/>
      <c r="IE13" s="250"/>
      <c r="IF13" s="468"/>
      <c r="IX13" s="469"/>
      <c r="IY13" s="446"/>
      <c r="IZ13" s="446"/>
      <c r="JA13" s="446"/>
      <c r="JB13" s="446"/>
      <c r="JC13" s="446"/>
      <c r="JD13" s="468"/>
      <c r="JE13" s="464"/>
      <c r="JF13" s="464"/>
      <c r="JG13" s="465"/>
      <c r="JX13" s="469"/>
      <c r="JY13" s="469"/>
      <c r="JZ13" s="469"/>
      <c r="KA13" s="469"/>
      <c r="KB13" s="466"/>
      <c r="KC13" s="250"/>
      <c r="KD13" s="250"/>
      <c r="KE13" s="250"/>
      <c r="KF13" s="250"/>
      <c r="KG13" s="250"/>
      <c r="KH13" s="470"/>
      <c r="LA13" s="469"/>
      <c r="LF13" s="452"/>
      <c r="LG13" s="250"/>
      <c r="LH13" s="468"/>
      <c r="MA13" s="466"/>
      <c r="MB13" s="452"/>
      <c r="MC13" s="452"/>
      <c r="MD13" s="250"/>
      <c r="ME13" s="250"/>
      <c r="MF13" s="250"/>
      <c r="MG13" s="470"/>
      <c r="NF13" s="465"/>
      <c r="OB13" s="237"/>
      <c r="PB13" s="237"/>
      <c r="QB13" s="237"/>
      <c r="RB13" s="237"/>
      <c r="TC13" s="259"/>
      <c r="TD13" s="259"/>
      <c r="TE13" s="259"/>
      <c r="TF13" s="259"/>
      <c r="TG13" s="259"/>
      <c r="TH13" s="259"/>
    </row>
    <row r="14" spans="1:537" s="236" customFormat="1">
      <c r="A14" s="259"/>
      <c r="B14" s="245"/>
      <c r="I14" s="264"/>
      <c r="J14" s="259"/>
      <c r="K14" s="259"/>
      <c r="L14" s="259"/>
      <c r="M14" s="259"/>
      <c r="N14" s="259"/>
      <c r="O14" s="207"/>
      <c r="X14" s="708"/>
      <c r="Y14" s="1006" t="s">
        <v>114</v>
      </c>
      <c r="Z14" s="1007"/>
      <c r="AC14" s="237"/>
      <c r="AW14" s="1006" t="s">
        <v>115</v>
      </c>
      <c r="AX14" s="1007"/>
      <c r="AY14" s="237"/>
      <c r="BU14" s="245" t="s">
        <v>116</v>
      </c>
      <c r="CS14" s="1006" t="s">
        <v>117</v>
      </c>
      <c r="CT14" s="1007"/>
      <c r="CW14" s="237"/>
      <c r="CX14" s="117"/>
      <c r="DQ14" s="1001" t="s">
        <v>118</v>
      </c>
      <c r="DR14" s="1002"/>
      <c r="EO14" s="347" t="s">
        <v>119</v>
      </c>
      <c r="EP14" s="348"/>
      <c r="ES14" s="237"/>
      <c r="EX14" s="237"/>
      <c r="FM14" s="245" t="s">
        <v>120</v>
      </c>
      <c r="GK14" s="245" t="s">
        <v>121</v>
      </c>
      <c r="GQ14" s="469"/>
      <c r="GR14" s="250"/>
      <c r="GS14" s="250"/>
      <c r="GT14" s="250"/>
      <c r="GU14" s="250"/>
      <c r="GV14" s="250"/>
      <c r="GW14" s="468"/>
      <c r="HI14" s="245" t="s">
        <v>122</v>
      </c>
      <c r="HM14" s="264"/>
      <c r="HN14" s="237"/>
      <c r="HO14" s="513"/>
      <c r="HP14" s="513"/>
      <c r="HQ14" s="513"/>
      <c r="HR14" s="513"/>
      <c r="HS14" s="513"/>
      <c r="HT14" s="259"/>
      <c r="IG14" s="1006" t="s">
        <v>123</v>
      </c>
      <c r="IH14" s="1007"/>
      <c r="IJ14" s="259"/>
      <c r="IK14" s="237"/>
      <c r="IL14" s="469"/>
      <c r="IM14" s="446"/>
      <c r="IN14" s="468"/>
      <c r="IO14" s="259"/>
      <c r="IP14" s="259"/>
      <c r="IQ14" s="259"/>
      <c r="IR14" s="259"/>
      <c r="IS14" s="259"/>
      <c r="JE14" s="1006" t="s">
        <v>124</v>
      </c>
      <c r="JF14" s="1007"/>
      <c r="JJ14" s="259"/>
      <c r="JK14" s="513"/>
      <c r="JL14" s="511"/>
      <c r="JM14" s="511"/>
      <c r="JN14" s="511"/>
      <c r="JO14" s="511"/>
      <c r="JP14" s="511"/>
      <c r="JR14" s="237"/>
      <c r="KC14" s="1006" t="s">
        <v>125</v>
      </c>
      <c r="KD14" s="1007"/>
      <c r="KG14" s="123"/>
      <c r="KH14" s="463"/>
      <c r="KI14" s="250"/>
      <c r="KJ14" s="250"/>
      <c r="KK14" s="250"/>
      <c r="KL14" s="250"/>
      <c r="KM14" s="250"/>
      <c r="KN14" s="250"/>
      <c r="KO14" s="468"/>
      <c r="LA14" s="245" t="s">
        <v>102</v>
      </c>
      <c r="LE14" s="264"/>
      <c r="LF14" s="466"/>
      <c r="LG14" s="250"/>
      <c r="LH14" s="250"/>
      <c r="LI14" s="250"/>
      <c r="LJ14" s="250"/>
      <c r="LK14" s="250"/>
      <c r="LL14" s="470"/>
      <c r="LY14" s="245" t="s">
        <v>126</v>
      </c>
      <c r="MI14" s="465"/>
      <c r="MW14" s="245" t="s">
        <v>127</v>
      </c>
      <c r="NU14" s="1006" t="s">
        <v>128</v>
      </c>
      <c r="NV14" s="1007"/>
      <c r="OS14" s="1006" t="s">
        <v>129</v>
      </c>
      <c r="OT14" s="1007"/>
      <c r="PQ14" s="245" t="s">
        <v>130</v>
      </c>
      <c r="QO14" s="1006" t="s">
        <v>131</v>
      </c>
      <c r="QP14" s="1007"/>
      <c r="RM14" s="1006" t="s">
        <v>132</v>
      </c>
      <c r="RN14" s="1007"/>
      <c r="RR14" s="259"/>
      <c r="RS14" s="259"/>
      <c r="RT14" s="259"/>
      <c r="RU14" s="259"/>
      <c r="RV14" s="259"/>
      <c r="RW14" s="259"/>
    </row>
    <row r="15" spans="1:537">
      <c r="A15" s="1003" t="s">
        <v>284</v>
      </c>
      <c r="B15" s="1005"/>
      <c r="C15" s="124"/>
      <c r="D15" s="125"/>
      <c r="E15" s="126"/>
      <c r="F15" s="127"/>
      <c r="H15" s="446"/>
      <c r="I15" s="207"/>
      <c r="J15" s="207"/>
      <c r="K15" s="207"/>
      <c r="L15" s="207"/>
      <c r="M15" s="207"/>
      <c r="N15" s="207"/>
      <c r="O15" s="271"/>
      <c r="S15" s="708"/>
      <c r="T15" s="708"/>
      <c r="U15" s="708"/>
      <c r="V15" s="708"/>
      <c r="W15" s="708"/>
      <c r="X15" s="708"/>
      <c r="Y15" s="118"/>
      <c r="AL15" s="122"/>
      <c r="AM15" s="122"/>
      <c r="AQ15" s="122"/>
      <c r="AR15" s="122"/>
      <c r="AS15" s="122"/>
      <c r="AT15" s="122"/>
      <c r="AU15" s="122"/>
      <c r="AV15" s="122"/>
      <c r="BJ15" s="122"/>
      <c r="BN15" s="122"/>
      <c r="BO15" s="122"/>
      <c r="BP15" s="122"/>
      <c r="BQ15" s="122"/>
      <c r="BR15" s="122"/>
      <c r="BS15" s="122"/>
      <c r="BT15" s="122"/>
      <c r="CK15" s="122"/>
      <c r="CL15" s="122"/>
      <c r="CM15" s="122"/>
      <c r="CN15" s="122"/>
      <c r="CO15" s="122"/>
      <c r="CP15" s="122"/>
      <c r="CQ15" s="122"/>
      <c r="CR15" s="122"/>
      <c r="CS15" s="117" t="s">
        <v>94</v>
      </c>
      <c r="DE15" s="118"/>
      <c r="DH15" s="122"/>
      <c r="DI15" s="122"/>
      <c r="DJ15" s="122"/>
      <c r="DK15" s="122"/>
      <c r="DL15" s="122"/>
      <c r="DM15" s="122"/>
      <c r="DN15" s="122"/>
      <c r="DO15" s="122"/>
      <c r="DP15" s="122"/>
      <c r="EB15" s="118"/>
      <c r="EC15" s="118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Y15" s="118"/>
      <c r="EZ15" s="118"/>
      <c r="FA15" s="118"/>
      <c r="FB15" s="122"/>
      <c r="FC15" s="122"/>
      <c r="FD15" s="122"/>
      <c r="FE15" s="122"/>
      <c r="FF15" s="122"/>
      <c r="FG15" s="122"/>
      <c r="FH15" s="122"/>
      <c r="FI15" s="122"/>
      <c r="FJ15" s="122"/>
      <c r="FK15" s="122"/>
      <c r="FL15" s="122"/>
      <c r="FV15" s="118"/>
      <c r="FW15" s="118"/>
      <c r="FX15" s="118"/>
      <c r="FZ15" s="122"/>
      <c r="GA15" s="122"/>
      <c r="GB15" s="122"/>
      <c r="GC15" s="122"/>
      <c r="GD15" s="122"/>
      <c r="GE15" s="122"/>
      <c r="GF15" s="122"/>
      <c r="GG15" s="122"/>
      <c r="GH15" s="122"/>
      <c r="GI15" s="122"/>
      <c r="GJ15" s="122"/>
      <c r="GK15" s="122"/>
      <c r="GS15" s="118"/>
      <c r="GT15" s="473"/>
      <c r="GU15" s="42"/>
      <c r="GV15" s="42"/>
      <c r="GW15" s="42"/>
      <c r="GX15" s="42"/>
      <c r="GY15" s="42"/>
      <c r="GZ15" s="277"/>
      <c r="HB15" s="122"/>
      <c r="HC15" s="122"/>
      <c r="HD15" s="122"/>
      <c r="HE15" s="122"/>
      <c r="HF15" s="122"/>
      <c r="HG15" s="122"/>
      <c r="HH15" s="122"/>
      <c r="HI15" s="122"/>
      <c r="HJ15" s="122"/>
      <c r="HK15" s="122"/>
      <c r="HL15" s="122"/>
      <c r="HM15" s="122"/>
      <c r="HP15" s="118"/>
      <c r="HQ15" s="118"/>
      <c r="HR15" s="118"/>
      <c r="HV15" s="258"/>
      <c r="HW15" s="258"/>
      <c r="HX15" s="258"/>
      <c r="HY15" s="258"/>
      <c r="HZ15" s="258"/>
      <c r="IA15" s="258"/>
      <c r="IB15" s="258"/>
      <c r="IC15" s="258"/>
      <c r="ID15" s="258"/>
      <c r="IE15" s="258"/>
      <c r="IH15" s="122"/>
      <c r="II15" s="122"/>
      <c r="IJ15" s="122"/>
      <c r="IK15" s="122"/>
      <c r="IL15" s="122"/>
      <c r="IX15" s="283"/>
      <c r="JH15" s="122"/>
      <c r="JI15" s="122"/>
      <c r="JM15" s="122"/>
      <c r="JN15" s="122"/>
      <c r="JO15" s="122"/>
      <c r="KG15" s="118"/>
      <c r="KH15" s="118"/>
      <c r="KJ15" s="122"/>
      <c r="KK15" s="122"/>
      <c r="KL15" s="122"/>
      <c r="KM15" s="122"/>
      <c r="KN15" s="122"/>
      <c r="KO15" s="122"/>
      <c r="KP15" s="122"/>
      <c r="LA15" s="42"/>
      <c r="LB15" s="42"/>
      <c r="LC15" s="42"/>
      <c r="LD15" s="42"/>
      <c r="LE15" s="42"/>
      <c r="LF15" s="42"/>
      <c r="LG15" s="277"/>
      <c r="LI15" s="122"/>
      <c r="LJ15" s="122"/>
      <c r="LK15" s="122"/>
      <c r="LL15" s="122"/>
      <c r="LM15" s="122"/>
      <c r="LN15" s="122"/>
      <c r="LO15" s="122"/>
      <c r="LP15" s="122"/>
      <c r="LZ15" s="258"/>
      <c r="MA15" s="281"/>
      <c r="MB15" s="281"/>
      <c r="MC15" s="281"/>
      <c r="MD15" s="281"/>
      <c r="ME15" s="281"/>
      <c r="MI15" s="122"/>
      <c r="MJ15" s="122"/>
      <c r="MK15" s="122"/>
      <c r="ML15" s="122"/>
      <c r="MM15" s="122"/>
      <c r="MN15" s="122"/>
      <c r="MO15" s="122"/>
      <c r="MP15" s="122"/>
      <c r="MX15" s="118"/>
      <c r="MY15" s="118"/>
      <c r="MZ15" s="118"/>
      <c r="NE15" s="258"/>
      <c r="NI15" s="122"/>
      <c r="NJ15" s="122"/>
      <c r="NK15" s="122"/>
      <c r="NL15" s="122"/>
      <c r="NM15" s="122"/>
      <c r="NN15" s="122"/>
      <c r="NO15" s="122"/>
      <c r="NP15" s="122"/>
      <c r="NQ15" s="122"/>
      <c r="NR15" s="122"/>
      <c r="NS15" s="122"/>
      <c r="NT15" s="122"/>
      <c r="NU15" s="118"/>
      <c r="NV15" s="118"/>
      <c r="NW15" s="118"/>
      <c r="OI15" s="122"/>
      <c r="OJ15" s="122"/>
      <c r="OK15" s="122"/>
      <c r="OL15" s="122"/>
      <c r="OM15" s="122"/>
      <c r="ON15" s="122"/>
      <c r="OO15" s="122"/>
      <c r="OP15" s="122"/>
      <c r="OQ15" s="122"/>
      <c r="OS15" s="118"/>
      <c r="OT15" s="118"/>
      <c r="PI15" s="122"/>
      <c r="PJ15" s="122"/>
      <c r="PR15" s="122"/>
      <c r="QH15" s="118"/>
      <c r="QO15" s="122"/>
      <c r="QP15" s="122"/>
      <c r="QQ15" s="122"/>
      <c r="QR15" s="122"/>
      <c r="RE15" s="118"/>
      <c r="RF15" s="118"/>
      <c r="RG15" s="118"/>
      <c r="RH15" s="118"/>
      <c r="RI15" s="118"/>
      <c r="RJ15" s="118"/>
      <c r="RK15" s="118"/>
      <c r="RM15" s="122"/>
      <c r="RN15" s="122"/>
      <c r="RO15" s="122"/>
      <c r="RP15" s="122"/>
      <c r="RQ15" s="122"/>
      <c r="RR15" s="122"/>
      <c r="SM15" s="122"/>
      <c r="SN15" s="122"/>
      <c r="SO15" s="122"/>
      <c r="SP15" s="122"/>
      <c r="SQ15" s="122"/>
      <c r="SR15" s="122"/>
      <c r="SS15" s="122"/>
      <c r="ST15" s="122"/>
      <c r="TK15" s="122"/>
      <c r="TL15" s="122"/>
      <c r="TM15" s="122"/>
      <c r="TN15" s="122"/>
    </row>
    <row r="16" spans="1:537">
      <c r="A16" s="332"/>
      <c r="B16" s="331"/>
      <c r="C16" s="331"/>
      <c r="D16" s="331"/>
      <c r="E16" s="331"/>
      <c r="F16" s="331"/>
      <c r="G16" s="331"/>
      <c r="H16" s="328"/>
      <c r="I16" s="328"/>
      <c r="J16" s="279"/>
      <c r="K16" s="279"/>
      <c r="L16" s="279"/>
      <c r="M16" s="279"/>
      <c r="N16" s="279"/>
      <c r="O16" s="279"/>
      <c r="P16" s="331"/>
      <c r="Q16" s="331"/>
      <c r="R16" s="331"/>
      <c r="S16" s="331"/>
      <c r="T16" s="331"/>
      <c r="U16" s="331"/>
      <c r="V16" s="331"/>
      <c r="W16" s="331"/>
      <c r="X16" s="709"/>
      <c r="Y16" s="328"/>
      <c r="Z16" s="331"/>
      <c r="AA16" s="331"/>
      <c r="AB16" s="331"/>
      <c r="AC16" s="331"/>
      <c r="AD16" s="331"/>
      <c r="AE16" s="331"/>
      <c r="AF16" s="331"/>
      <c r="AG16" s="331"/>
      <c r="AH16" s="331"/>
      <c r="AI16" s="331"/>
      <c r="AJ16" s="331"/>
      <c r="AK16" s="331"/>
      <c r="AL16" s="331"/>
      <c r="AM16" s="331"/>
      <c r="AN16" s="331"/>
      <c r="AO16" s="331"/>
      <c r="AP16" s="331"/>
      <c r="AQ16" s="331"/>
      <c r="AR16" s="331"/>
      <c r="AS16" s="331"/>
      <c r="AT16" s="331"/>
      <c r="AU16" s="331"/>
      <c r="AV16" s="331"/>
      <c r="AW16" s="328"/>
      <c r="AX16" s="331"/>
      <c r="AY16" s="331"/>
      <c r="AZ16" s="331"/>
      <c r="BA16" s="331"/>
      <c r="BB16" s="331"/>
      <c r="BC16" s="331"/>
      <c r="BD16" s="331"/>
      <c r="BE16" s="331"/>
      <c r="BF16" s="331"/>
      <c r="BG16" s="331"/>
      <c r="BH16" s="331"/>
      <c r="BI16" s="331"/>
      <c r="BJ16" s="331"/>
      <c r="BK16" s="331"/>
      <c r="BL16" s="331"/>
      <c r="BM16" s="331"/>
      <c r="BN16" s="331"/>
      <c r="BO16" s="331"/>
      <c r="BP16" s="331"/>
      <c r="BQ16" s="331"/>
      <c r="BR16" s="331"/>
      <c r="BS16" s="331"/>
      <c r="BT16" s="331"/>
      <c r="BU16" s="328"/>
      <c r="BV16" s="331"/>
      <c r="BW16" s="331"/>
      <c r="BX16" s="331"/>
      <c r="BY16" s="328"/>
      <c r="BZ16" s="328"/>
      <c r="CA16" s="328"/>
      <c r="CB16" s="328"/>
      <c r="CC16" s="328"/>
      <c r="CD16" s="331"/>
      <c r="CE16" s="331"/>
      <c r="CF16" s="331"/>
      <c r="CG16" s="331"/>
      <c r="CH16" s="331"/>
      <c r="CI16" s="331"/>
      <c r="CJ16" s="331"/>
      <c r="CK16" s="331"/>
      <c r="CL16" s="331"/>
      <c r="CM16" s="331"/>
      <c r="CN16" s="331"/>
      <c r="CO16" s="331"/>
      <c r="CP16" s="331"/>
      <c r="CQ16" s="331"/>
      <c r="CR16" s="331"/>
      <c r="CS16" s="328"/>
      <c r="CT16" s="331"/>
      <c r="CU16" s="331"/>
      <c r="CV16" s="331"/>
      <c r="CW16" s="331"/>
      <c r="CX16" s="331"/>
      <c r="CY16" s="331"/>
      <c r="CZ16" s="331"/>
      <c r="DA16" s="331"/>
      <c r="DB16" s="331"/>
      <c r="DC16" s="331"/>
      <c r="DD16" s="331"/>
      <c r="DE16" s="331"/>
      <c r="DF16" s="331"/>
      <c r="DG16" s="331"/>
      <c r="DH16" s="331"/>
      <c r="DI16" s="331"/>
      <c r="DJ16" s="331"/>
      <c r="DK16" s="331"/>
      <c r="DL16" s="331"/>
      <c r="DM16" s="331"/>
      <c r="DN16" s="331"/>
      <c r="DO16" s="331"/>
      <c r="DP16" s="331"/>
      <c r="DQ16" s="328"/>
      <c r="DR16" s="331"/>
      <c r="DS16" s="331"/>
      <c r="DT16" s="331"/>
      <c r="DU16" s="331"/>
      <c r="DV16" s="331"/>
      <c r="DW16" s="331"/>
      <c r="DX16" s="331"/>
      <c r="DY16" s="331"/>
      <c r="DZ16" s="331"/>
      <c r="EA16" s="331"/>
      <c r="EB16" s="331"/>
      <c r="EC16" s="331"/>
      <c r="ED16" s="331"/>
      <c r="EE16" s="331"/>
      <c r="EF16" s="331"/>
      <c r="EG16" s="331"/>
      <c r="EH16" s="331"/>
      <c r="EI16" s="331"/>
      <c r="EJ16" s="331"/>
      <c r="EK16" s="331"/>
      <c r="EL16" s="331"/>
      <c r="EM16" s="331"/>
      <c r="EN16" s="331"/>
      <c r="EO16" s="328"/>
      <c r="EP16" s="331"/>
      <c r="EQ16" s="331"/>
      <c r="ER16" s="331"/>
      <c r="ES16" s="331"/>
      <c r="ET16" s="331"/>
      <c r="EU16" s="331"/>
      <c r="EV16" s="331"/>
      <c r="EW16" s="331"/>
      <c r="EX16" s="331"/>
      <c r="EY16" s="331"/>
      <c r="EZ16" s="331"/>
      <c r="FA16" s="331"/>
      <c r="FB16" s="331"/>
      <c r="FC16" s="331"/>
      <c r="FD16" s="331"/>
      <c r="FE16" s="331"/>
      <c r="FF16" s="331"/>
      <c r="FG16" s="331"/>
      <c r="FH16" s="331"/>
      <c r="FI16" s="331"/>
      <c r="FJ16" s="331"/>
      <c r="FK16" s="331"/>
      <c r="FL16" s="331"/>
      <c r="FM16" s="328"/>
      <c r="FN16" s="331"/>
      <c r="FO16" s="331"/>
      <c r="FP16" s="331"/>
      <c r="FQ16" s="331"/>
      <c r="FR16" s="331"/>
      <c r="FS16" s="331"/>
      <c r="FT16" s="331"/>
      <c r="FU16" s="331"/>
      <c r="FV16" s="331"/>
      <c r="FW16" s="331"/>
      <c r="FX16" s="331"/>
      <c r="FY16" s="331"/>
      <c r="FZ16" s="331"/>
      <c r="GA16" s="331"/>
      <c r="GB16" s="331"/>
      <c r="GC16" s="331"/>
      <c r="GD16" s="331"/>
      <c r="GE16" s="331"/>
      <c r="GF16" s="331"/>
      <c r="GG16" s="331"/>
      <c r="GH16" s="331"/>
      <c r="GI16" s="331"/>
      <c r="GJ16" s="331"/>
      <c r="GK16" s="331"/>
      <c r="GL16" s="331"/>
      <c r="GM16" s="116"/>
      <c r="GN16" s="331"/>
      <c r="GO16" s="328"/>
      <c r="GP16" s="331"/>
      <c r="GQ16" s="331"/>
      <c r="GR16" s="331"/>
      <c r="GS16" s="331"/>
      <c r="GT16" s="331"/>
      <c r="GU16" s="385"/>
      <c r="GV16" s="5"/>
      <c r="GW16" s="5"/>
      <c r="GX16" s="5"/>
      <c r="GY16" s="5"/>
      <c r="GZ16" s="5"/>
      <c r="HA16" s="516"/>
      <c r="HB16" s="331"/>
      <c r="HC16" s="331"/>
      <c r="HD16" s="331"/>
      <c r="HE16" s="331"/>
      <c r="HF16" s="331"/>
      <c r="HG16" s="331"/>
      <c r="HH16" s="331"/>
      <c r="HI16" s="331"/>
      <c r="HJ16" s="331"/>
      <c r="HK16" s="331"/>
      <c r="HL16" s="331"/>
      <c r="HM16" s="331"/>
      <c r="HN16" s="331"/>
      <c r="HO16" s="116"/>
      <c r="HP16" s="331"/>
      <c r="HQ16" s="328"/>
      <c r="HR16" s="331"/>
      <c r="HS16" s="331"/>
      <c r="HT16" s="331"/>
      <c r="HU16" s="331"/>
      <c r="HV16" s="331"/>
      <c r="HW16" s="331"/>
      <c r="HX16" s="331"/>
      <c r="HY16" s="331"/>
      <c r="HZ16" s="331"/>
      <c r="IA16" s="331"/>
      <c r="IB16" s="331"/>
      <c r="IC16" s="331"/>
      <c r="ID16" s="331"/>
      <c r="IE16" s="331"/>
      <c r="IF16" s="331"/>
      <c r="IG16" s="331"/>
      <c r="IH16" s="331"/>
      <c r="II16" s="331"/>
      <c r="IJ16" s="331"/>
      <c r="IK16" s="331"/>
      <c r="IL16" s="331"/>
      <c r="IM16" s="331"/>
      <c r="IN16" s="331"/>
      <c r="IO16" s="331"/>
      <c r="IP16" s="331"/>
      <c r="IQ16" s="116"/>
      <c r="IR16" s="331"/>
      <c r="IS16" s="328"/>
      <c r="IT16" s="331"/>
      <c r="IU16" s="331"/>
      <c r="IV16" s="331"/>
      <c r="IW16" s="331"/>
      <c r="IX16" s="331"/>
      <c r="IY16" s="331"/>
      <c r="IZ16" s="331"/>
      <c r="JA16" s="331"/>
      <c r="JB16" s="331"/>
      <c r="JC16" s="331"/>
      <c r="JD16" s="331"/>
      <c r="JE16" s="331"/>
      <c r="JF16" s="331"/>
      <c r="JG16" s="331"/>
      <c r="JH16" s="331"/>
      <c r="JI16" s="331"/>
      <c r="JJ16" s="331"/>
      <c r="JK16" s="331"/>
      <c r="JL16" s="331"/>
      <c r="JM16" s="331"/>
      <c r="JN16" s="331"/>
      <c r="JO16" s="331"/>
      <c r="JP16" s="331"/>
      <c r="JQ16" s="116"/>
      <c r="JR16" s="331"/>
      <c r="JS16" s="328"/>
      <c r="JT16" s="331"/>
      <c r="JU16" s="331"/>
      <c r="JV16" s="331"/>
      <c r="JW16" s="331"/>
      <c r="JX16" s="331"/>
      <c r="JY16" s="331"/>
      <c r="JZ16" s="331"/>
      <c r="KA16" s="331"/>
      <c r="KB16" s="331"/>
      <c r="KC16" s="331"/>
      <c r="KD16" s="331"/>
      <c r="KE16" s="331"/>
      <c r="KF16" s="331"/>
      <c r="KG16" s="331"/>
      <c r="KH16" s="331"/>
      <c r="KI16" s="331"/>
      <c r="KJ16" s="331"/>
      <c r="KK16" s="331"/>
      <c r="KL16" s="331"/>
      <c r="KM16" s="331"/>
      <c r="KN16" s="331"/>
      <c r="KO16" s="331"/>
      <c r="KP16" s="331"/>
      <c r="KQ16" s="331"/>
      <c r="KR16" s="116"/>
      <c r="KS16" s="331"/>
      <c r="KT16" s="328"/>
      <c r="KU16" s="331"/>
      <c r="KV16" s="331"/>
      <c r="KW16" s="331"/>
      <c r="KX16" s="331"/>
      <c r="KY16" s="331"/>
      <c r="KZ16" s="331"/>
      <c r="LA16" s="385"/>
      <c r="LB16" s="5"/>
      <c r="LC16" s="5"/>
      <c r="LD16" s="5"/>
      <c r="LE16" s="5"/>
      <c r="LF16" s="5"/>
      <c r="LG16" s="5"/>
      <c r="LH16" s="516"/>
      <c r="LI16" s="331"/>
      <c r="LJ16" s="331"/>
      <c r="LK16" s="331"/>
      <c r="LL16" s="331"/>
      <c r="LM16" s="331"/>
      <c r="LN16" s="331"/>
      <c r="LO16" s="331"/>
      <c r="LP16" s="331"/>
      <c r="LQ16" s="331"/>
      <c r="LR16" s="116"/>
      <c r="LS16" s="331"/>
      <c r="LT16" s="331"/>
      <c r="LU16" s="331"/>
      <c r="LV16" s="331"/>
      <c r="LW16" s="331"/>
      <c r="LX16" s="328"/>
      <c r="LY16" s="331"/>
      <c r="LZ16" s="331"/>
      <c r="MA16" s="331"/>
      <c r="MB16" s="331"/>
      <c r="MC16" s="331"/>
      <c r="MD16" s="331"/>
      <c r="ME16" s="331"/>
      <c r="MF16" s="331"/>
      <c r="MG16" s="331"/>
      <c r="MH16" s="331"/>
      <c r="MI16" s="331"/>
      <c r="MJ16" s="331"/>
      <c r="MK16" s="331"/>
      <c r="ML16" s="331"/>
      <c r="MM16" s="331"/>
      <c r="MN16" s="331"/>
      <c r="MO16" s="331"/>
      <c r="MP16" s="331"/>
      <c r="MQ16" s="331"/>
      <c r="MR16" s="331"/>
      <c r="MS16" s="331"/>
      <c r="MT16" s="331"/>
      <c r="MU16" s="331"/>
      <c r="MV16" s="116"/>
      <c r="MW16" s="331"/>
      <c r="MX16" s="331"/>
      <c r="MY16" s="331"/>
      <c r="MZ16" s="331"/>
      <c r="NA16" s="331"/>
      <c r="NB16" s="331"/>
      <c r="NC16" s="331"/>
      <c r="ND16" s="331"/>
      <c r="NE16" s="331"/>
      <c r="NF16" s="331"/>
      <c r="NG16" s="331"/>
      <c r="NH16" s="331"/>
      <c r="NI16" s="331"/>
      <c r="NJ16" s="331"/>
      <c r="NK16" s="331"/>
      <c r="NL16" s="331"/>
      <c r="NM16" s="331"/>
      <c r="NN16" s="331"/>
      <c r="NO16" s="331"/>
      <c r="NP16" s="331"/>
      <c r="NQ16" s="331"/>
      <c r="NR16" s="331"/>
      <c r="NS16" s="331"/>
      <c r="NT16" s="331"/>
      <c r="NU16" s="331"/>
      <c r="NV16" s="328"/>
      <c r="NW16" s="331"/>
      <c r="NX16" s="331"/>
      <c r="NY16" s="331"/>
      <c r="NZ16" s="331"/>
      <c r="OA16" s="331"/>
      <c r="OB16" s="331"/>
      <c r="OC16" s="331"/>
      <c r="OD16" s="331"/>
      <c r="OE16" s="331"/>
      <c r="OF16" s="331"/>
      <c r="OG16" s="331"/>
      <c r="OH16" s="331"/>
      <c r="OI16" s="331"/>
      <c r="OJ16" s="331"/>
      <c r="OK16" s="331"/>
      <c r="OL16" s="331"/>
      <c r="OM16" s="331"/>
      <c r="ON16" s="331"/>
      <c r="OO16" s="331"/>
      <c r="OP16" s="331"/>
      <c r="OQ16" s="331"/>
      <c r="OR16" s="331"/>
      <c r="OS16" s="331"/>
      <c r="OT16" s="116"/>
      <c r="OU16" s="331"/>
      <c r="OV16" s="328"/>
      <c r="OW16" s="331"/>
      <c r="OX16" s="331"/>
      <c r="OY16" s="331"/>
      <c r="OZ16" s="331"/>
      <c r="PA16" s="331"/>
      <c r="PB16" s="331"/>
      <c r="PC16" s="331"/>
      <c r="PD16" s="331"/>
      <c r="PE16" s="331"/>
      <c r="PF16" s="331"/>
      <c r="PG16" s="331"/>
      <c r="PH16" s="331"/>
      <c r="PI16" s="331"/>
      <c r="PJ16" s="331"/>
      <c r="PK16" s="331"/>
      <c r="PL16" s="331"/>
      <c r="PM16" s="331"/>
      <c r="PN16" s="331"/>
      <c r="PO16" s="331"/>
      <c r="PP16" s="331"/>
      <c r="PQ16" s="331"/>
      <c r="PR16" s="331"/>
      <c r="PS16" s="331"/>
      <c r="PT16" s="116"/>
      <c r="PU16" s="331"/>
      <c r="PV16" s="328"/>
      <c r="PW16" s="331"/>
      <c r="PX16" s="331"/>
      <c r="PY16" s="331"/>
      <c r="PZ16" s="331"/>
      <c r="QA16" s="331"/>
      <c r="QB16" s="331"/>
      <c r="QC16" s="331"/>
      <c r="QD16" s="331"/>
      <c r="QE16" s="331"/>
      <c r="QF16" s="331"/>
      <c r="QG16" s="331"/>
      <c r="QH16" s="331"/>
      <c r="QI16" s="331"/>
      <c r="QJ16" s="331"/>
      <c r="QK16" s="331"/>
      <c r="QL16" s="331"/>
      <c r="QM16" s="331"/>
      <c r="QN16" s="331"/>
      <c r="QO16" s="331"/>
      <c r="QP16" s="331"/>
      <c r="QQ16" s="331"/>
      <c r="QR16" s="331"/>
      <c r="QS16" s="331"/>
      <c r="QT16" s="116"/>
      <c r="QU16" s="331"/>
      <c r="QV16" s="328"/>
      <c r="QW16" s="331"/>
      <c r="QX16" s="331"/>
      <c r="QY16" s="331"/>
      <c r="QZ16" s="331"/>
      <c r="RA16" s="331"/>
      <c r="RB16" s="331"/>
      <c r="RC16" s="331"/>
      <c r="RD16" s="331"/>
      <c r="RE16" s="331"/>
      <c r="RF16" s="331"/>
      <c r="RG16" s="331"/>
      <c r="RH16" s="331"/>
      <c r="RI16" s="331"/>
      <c r="RJ16" s="331"/>
      <c r="RK16" s="331"/>
      <c r="RL16" s="331"/>
      <c r="RM16" s="331"/>
      <c r="RN16" s="331"/>
      <c r="RO16" s="331"/>
      <c r="RP16" s="331"/>
      <c r="RQ16" s="331"/>
      <c r="RR16" s="331"/>
      <c r="RS16" s="331"/>
      <c r="RT16" s="116"/>
      <c r="RU16" s="331"/>
      <c r="RV16" s="328"/>
      <c r="RW16" s="331"/>
      <c r="RX16" s="331"/>
      <c r="RY16" s="331"/>
      <c r="RZ16" s="331"/>
      <c r="SA16" s="331"/>
      <c r="SB16" s="331"/>
      <c r="SC16" s="331"/>
      <c r="SD16" s="331"/>
      <c r="SE16" s="331"/>
      <c r="SF16" s="331"/>
      <c r="SG16" s="331"/>
      <c r="SH16" s="331"/>
      <c r="SI16" s="331"/>
      <c r="SJ16" s="331"/>
      <c r="SK16" s="331"/>
      <c r="SL16" s="331"/>
      <c r="SM16" s="331"/>
      <c r="SN16" s="331"/>
      <c r="SO16" s="331"/>
      <c r="SP16" s="331"/>
      <c r="SQ16" s="331"/>
      <c r="SR16" s="331"/>
      <c r="SS16" s="331"/>
      <c r="ST16" s="331"/>
      <c r="SU16" s="331"/>
      <c r="SV16" s="116"/>
      <c r="SW16" s="331"/>
      <c r="SX16" s="328"/>
      <c r="SY16" s="331"/>
      <c r="SZ16" s="331"/>
      <c r="TA16" s="331"/>
      <c r="TB16" s="331"/>
      <c r="TC16" s="331"/>
      <c r="TD16" s="331"/>
      <c r="TE16" s="331"/>
      <c r="TF16" s="331"/>
      <c r="TG16" s="331"/>
      <c r="TH16" s="331"/>
      <c r="TI16" s="331"/>
      <c r="TJ16" s="331"/>
      <c r="TK16" s="331"/>
      <c r="TL16" s="331"/>
      <c r="TM16" s="331"/>
      <c r="TN16" s="331"/>
      <c r="TO16" s="331"/>
    </row>
    <row r="17" spans="1:503" s="280" customFormat="1">
      <c r="A17" s="325" t="s">
        <v>0</v>
      </c>
      <c r="B17" s="326" t="s">
        <v>409</v>
      </c>
      <c r="C17" s="326" t="s">
        <v>410</v>
      </c>
      <c r="D17" s="326" t="s">
        <v>411</v>
      </c>
      <c r="E17" s="326" t="s">
        <v>412</v>
      </c>
      <c r="F17" s="326" t="s">
        <v>413</v>
      </c>
      <c r="G17" s="326" t="s">
        <v>414</v>
      </c>
      <c r="H17" s="326" t="s">
        <v>415</v>
      </c>
      <c r="I17" s="326" t="s">
        <v>416</v>
      </c>
      <c r="J17" s="326" t="s">
        <v>417</v>
      </c>
      <c r="K17" s="326" t="s">
        <v>418</v>
      </c>
      <c r="L17" s="326" t="s">
        <v>419</v>
      </c>
      <c r="M17" s="326" t="s">
        <v>420</v>
      </c>
      <c r="N17" s="326" t="s">
        <v>421</v>
      </c>
      <c r="O17" s="326" t="s">
        <v>422</v>
      </c>
      <c r="P17" s="326" t="s">
        <v>423</v>
      </c>
      <c r="Q17" s="326" t="s">
        <v>355</v>
      </c>
      <c r="R17" s="326" t="s">
        <v>399</v>
      </c>
      <c r="S17" s="327" t="s">
        <v>424</v>
      </c>
      <c r="T17" s="762" t="s">
        <v>446</v>
      </c>
      <c r="U17" s="762" t="s">
        <v>523</v>
      </c>
      <c r="V17" s="762" t="s">
        <v>524</v>
      </c>
      <c r="W17" s="762" t="s">
        <v>525</v>
      </c>
      <c r="X17" s="329"/>
      <c r="Y17" s="325" t="s">
        <v>0</v>
      </c>
      <c r="Z17" s="326" t="s">
        <v>409</v>
      </c>
      <c r="AA17" s="326" t="s">
        <v>410</v>
      </c>
      <c r="AB17" s="326" t="s">
        <v>411</v>
      </c>
      <c r="AC17" s="326" t="s">
        <v>412</v>
      </c>
      <c r="AD17" s="326" t="s">
        <v>413</v>
      </c>
      <c r="AE17" s="326" t="s">
        <v>414</v>
      </c>
      <c r="AF17" s="326" t="s">
        <v>415</v>
      </c>
      <c r="AG17" s="326" t="s">
        <v>416</v>
      </c>
      <c r="AH17" s="326" t="s">
        <v>417</v>
      </c>
      <c r="AI17" s="326" t="s">
        <v>418</v>
      </c>
      <c r="AJ17" s="326" t="s">
        <v>419</v>
      </c>
      <c r="AK17" s="326" t="s">
        <v>420</v>
      </c>
      <c r="AL17" s="326" t="s">
        <v>421</v>
      </c>
      <c r="AM17" s="326" t="s">
        <v>422</v>
      </c>
      <c r="AN17" s="326" t="s">
        <v>423</v>
      </c>
      <c r="AO17" s="326" t="s">
        <v>355</v>
      </c>
      <c r="AP17" s="326" t="s">
        <v>399</v>
      </c>
      <c r="AQ17" s="327" t="s">
        <v>424</v>
      </c>
      <c r="AR17" s="379" t="s">
        <v>446</v>
      </c>
      <c r="AS17" s="762" t="s">
        <v>523</v>
      </c>
      <c r="AT17" s="762" t="s">
        <v>524</v>
      </c>
      <c r="AU17" s="762" t="s">
        <v>525</v>
      </c>
      <c r="AV17" s="333"/>
      <c r="AW17" s="325" t="s">
        <v>0</v>
      </c>
      <c r="AX17" s="326" t="s">
        <v>409</v>
      </c>
      <c r="AY17" s="326" t="s">
        <v>410</v>
      </c>
      <c r="AZ17" s="326" t="s">
        <v>411</v>
      </c>
      <c r="BA17" s="326" t="s">
        <v>412</v>
      </c>
      <c r="BB17" s="326" t="s">
        <v>413</v>
      </c>
      <c r="BC17" s="326" t="s">
        <v>414</v>
      </c>
      <c r="BD17" s="326" t="s">
        <v>415</v>
      </c>
      <c r="BE17" s="326" t="s">
        <v>416</v>
      </c>
      <c r="BF17" s="326" t="s">
        <v>417</v>
      </c>
      <c r="BG17" s="326" t="s">
        <v>418</v>
      </c>
      <c r="BH17" s="326" t="s">
        <v>419</v>
      </c>
      <c r="BI17" s="326" t="s">
        <v>420</v>
      </c>
      <c r="BJ17" s="326" t="s">
        <v>421</v>
      </c>
      <c r="BK17" s="326" t="s">
        <v>422</v>
      </c>
      <c r="BL17" s="326" t="s">
        <v>423</v>
      </c>
      <c r="BM17" s="326" t="s">
        <v>355</v>
      </c>
      <c r="BN17" s="326" t="s">
        <v>399</v>
      </c>
      <c r="BO17" s="327" t="s">
        <v>424</v>
      </c>
      <c r="BP17" s="379" t="s">
        <v>446</v>
      </c>
      <c r="BQ17" s="762" t="s">
        <v>523</v>
      </c>
      <c r="BR17" s="762" t="s">
        <v>524</v>
      </c>
      <c r="BS17" s="762" t="s">
        <v>525</v>
      </c>
      <c r="BT17" s="333"/>
      <c r="BU17" s="335" t="s">
        <v>0</v>
      </c>
      <c r="BV17" s="327" t="s">
        <v>409</v>
      </c>
      <c r="BW17" s="327" t="s">
        <v>410</v>
      </c>
      <c r="BX17" s="327" t="s">
        <v>411</v>
      </c>
      <c r="BY17" s="327" t="s">
        <v>412</v>
      </c>
      <c r="BZ17" s="327" t="s">
        <v>413</v>
      </c>
      <c r="CA17" s="327" t="s">
        <v>414</v>
      </c>
      <c r="CB17" s="327" t="s">
        <v>415</v>
      </c>
      <c r="CC17" s="327" t="s">
        <v>416</v>
      </c>
      <c r="CD17" s="327" t="s">
        <v>417</v>
      </c>
      <c r="CE17" s="327" t="s">
        <v>418</v>
      </c>
      <c r="CF17" s="327" t="s">
        <v>419</v>
      </c>
      <c r="CG17" s="327" t="s">
        <v>420</v>
      </c>
      <c r="CH17" s="327" t="s">
        <v>421</v>
      </c>
      <c r="CI17" s="327" t="s">
        <v>422</v>
      </c>
      <c r="CJ17" s="327" t="s">
        <v>423</v>
      </c>
      <c r="CK17" s="327" t="s">
        <v>355</v>
      </c>
      <c r="CL17" s="327" t="s">
        <v>399</v>
      </c>
      <c r="CM17" s="327" t="s">
        <v>424</v>
      </c>
      <c r="CN17" s="379" t="s">
        <v>446</v>
      </c>
      <c r="CO17" s="762" t="s">
        <v>523</v>
      </c>
      <c r="CP17" s="762" t="s">
        <v>524</v>
      </c>
      <c r="CQ17" s="762" t="s">
        <v>525</v>
      </c>
      <c r="CR17" s="333"/>
      <c r="CS17" s="335" t="s">
        <v>0</v>
      </c>
      <c r="CT17" s="327" t="s">
        <v>409</v>
      </c>
      <c r="CU17" s="327" t="s">
        <v>410</v>
      </c>
      <c r="CV17" s="327" t="s">
        <v>411</v>
      </c>
      <c r="CW17" s="327" t="s">
        <v>412</v>
      </c>
      <c r="CX17" s="327" t="s">
        <v>413</v>
      </c>
      <c r="CY17" s="327" t="s">
        <v>414</v>
      </c>
      <c r="CZ17" s="327" t="s">
        <v>415</v>
      </c>
      <c r="DA17" s="327" t="s">
        <v>416</v>
      </c>
      <c r="DB17" s="327" t="s">
        <v>417</v>
      </c>
      <c r="DC17" s="327" t="s">
        <v>418</v>
      </c>
      <c r="DD17" s="327" t="s">
        <v>419</v>
      </c>
      <c r="DE17" s="327" t="s">
        <v>420</v>
      </c>
      <c r="DF17" s="327" t="s">
        <v>421</v>
      </c>
      <c r="DG17" s="327" t="s">
        <v>422</v>
      </c>
      <c r="DH17" s="327" t="s">
        <v>423</v>
      </c>
      <c r="DI17" s="327" t="s">
        <v>355</v>
      </c>
      <c r="DJ17" s="327" t="s">
        <v>399</v>
      </c>
      <c r="DK17" s="327" t="s">
        <v>424</v>
      </c>
      <c r="DL17" s="379" t="s">
        <v>446</v>
      </c>
      <c r="DM17" s="762" t="s">
        <v>523</v>
      </c>
      <c r="DN17" s="762" t="s">
        <v>524</v>
      </c>
      <c r="DO17" s="762" t="s">
        <v>525</v>
      </c>
      <c r="DP17" s="333"/>
      <c r="DQ17" s="335" t="s">
        <v>0</v>
      </c>
      <c r="DR17" s="327" t="s">
        <v>409</v>
      </c>
      <c r="DS17" s="327" t="s">
        <v>410</v>
      </c>
      <c r="DT17" s="327" t="s">
        <v>411</v>
      </c>
      <c r="DU17" s="327" t="s">
        <v>412</v>
      </c>
      <c r="DV17" s="327" t="s">
        <v>413</v>
      </c>
      <c r="DW17" s="327" t="s">
        <v>414</v>
      </c>
      <c r="DX17" s="327" t="s">
        <v>415</v>
      </c>
      <c r="DY17" s="327" t="s">
        <v>416</v>
      </c>
      <c r="DZ17" s="327" t="s">
        <v>417</v>
      </c>
      <c r="EA17" s="327" t="s">
        <v>418</v>
      </c>
      <c r="EB17" s="327" t="s">
        <v>419</v>
      </c>
      <c r="EC17" s="327" t="s">
        <v>420</v>
      </c>
      <c r="ED17" s="327" t="s">
        <v>421</v>
      </c>
      <c r="EE17" s="327" t="s">
        <v>422</v>
      </c>
      <c r="EF17" s="327" t="s">
        <v>423</v>
      </c>
      <c r="EG17" s="327" t="s">
        <v>355</v>
      </c>
      <c r="EH17" s="327" t="s">
        <v>399</v>
      </c>
      <c r="EI17" s="734" t="s">
        <v>424</v>
      </c>
      <c r="EJ17" s="379" t="s">
        <v>446</v>
      </c>
      <c r="EK17" s="762" t="s">
        <v>523</v>
      </c>
      <c r="EL17" s="762" t="s">
        <v>524</v>
      </c>
      <c r="EM17" s="762" t="s">
        <v>525</v>
      </c>
      <c r="EN17" s="736"/>
      <c r="EO17" s="335" t="s">
        <v>0</v>
      </c>
      <c r="EP17" s="327" t="s">
        <v>409</v>
      </c>
      <c r="EQ17" s="327" t="s">
        <v>410</v>
      </c>
      <c r="ER17" s="327" t="s">
        <v>411</v>
      </c>
      <c r="ES17" s="327" t="s">
        <v>412</v>
      </c>
      <c r="ET17" s="327" t="s">
        <v>413</v>
      </c>
      <c r="EU17" s="327" t="s">
        <v>414</v>
      </c>
      <c r="EV17" s="327" t="s">
        <v>415</v>
      </c>
      <c r="EW17" s="327" t="s">
        <v>416</v>
      </c>
      <c r="EX17" s="327" t="s">
        <v>417</v>
      </c>
      <c r="EY17" s="327" t="s">
        <v>418</v>
      </c>
      <c r="EZ17" s="327" t="s">
        <v>419</v>
      </c>
      <c r="FA17" s="327" t="s">
        <v>420</v>
      </c>
      <c r="FB17" s="327" t="s">
        <v>421</v>
      </c>
      <c r="FC17" s="327" t="s">
        <v>422</v>
      </c>
      <c r="FD17" s="327" t="s">
        <v>423</v>
      </c>
      <c r="FE17" s="327" t="s">
        <v>355</v>
      </c>
      <c r="FF17" s="327" t="s">
        <v>399</v>
      </c>
      <c r="FG17" s="327" t="s">
        <v>424</v>
      </c>
      <c r="FH17" s="379" t="s">
        <v>446</v>
      </c>
      <c r="FI17" s="762" t="s">
        <v>523</v>
      </c>
      <c r="FJ17" s="762" t="s">
        <v>524</v>
      </c>
      <c r="FK17" s="762" t="s">
        <v>525</v>
      </c>
      <c r="FL17" s="333"/>
      <c r="FM17" s="335" t="s">
        <v>0</v>
      </c>
      <c r="FN17" s="327" t="s">
        <v>409</v>
      </c>
      <c r="FO17" s="327" t="s">
        <v>410</v>
      </c>
      <c r="FP17" s="327" t="s">
        <v>411</v>
      </c>
      <c r="FQ17" s="327" t="s">
        <v>412</v>
      </c>
      <c r="FR17" s="327" t="s">
        <v>413</v>
      </c>
      <c r="FS17" s="327" t="s">
        <v>414</v>
      </c>
      <c r="FT17" s="327" t="s">
        <v>415</v>
      </c>
      <c r="FU17" s="327" t="s">
        <v>416</v>
      </c>
      <c r="FV17" s="327" t="s">
        <v>417</v>
      </c>
      <c r="FW17" s="327" t="s">
        <v>418</v>
      </c>
      <c r="FX17" s="327" t="s">
        <v>419</v>
      </c>
      <c r="FY17" s="327" t="s">
        <v>420</v>
      </c>
      <c r="FZ17" s="327" t="s">
        <v>421</v>
      </c>
      <c r="GA17" s="327" t="s">
        <v>422</v>
      </c>
      <c r="GB17" s="327" t="s">
        <v>423</v>
      </c>
      <c r="GC17" s="327" t="s">
        <v>355</v>
      </c>
      <c r="GD17" s="327" t="s">
        <v>399</v>
      </c>
      <c r="GE17" s="327" t="s">
        <v>424</v>
      </c>
      <c r="GF17" s="379" t="s">
        <v>446</v>
      </c>
      <c r="GG17" s="762" t="s">
        <v>523</v>
      </c>
      <c r="GH17" s="762" t="s">
        <v>524</v>
      </c>
      <c r="GI17" s="762" t="s">
        <v>525</v>
      </c>
      <c r="GJ17" s="333"/>
      <c r="GK17" s="335" t="s">
        <v>0</v>
      </c>
      <c r="GL17" s="327" t="s">
        <v>409</v>
      </c>
      <c r="GM17" s="327" t="s">
        <v>410</v>
      </c>
      <c r="GN17" s="327" t="s">
        <v>411</v>
      </c>
      <c r="GO17" s="327" t="s">
        <v>412</v>
      </c>
      <c r="GP17" s="327" t="s">
        <v>413</v>
      </c>
      <c r="GQ17" s="327" t="s">
        <v>414</v>
      </c>
      <c r="GR17" s="327" t="s">
        <v>415</v>
      </c>
      <c r="GS17" s="327" t="s">
        <v>416</v>
      </c>
      <c r="GT17" s="327" t="s">
        <v>417</v>
      </c>
      <c r="GU17" s="327" t="s">
        <v>418</v>
      </c>
      <c r="GV17" s="327" t="s">
        <v>419</v>
      </c>
      <c r="GW17" s="327" t="s">
        <v>420</v>
      </c>
      <c r="GX17" s="327" t="s">
        <v>421</v>
      </c>
      <c r="GY17" s="327" t="s">
        <v>422</v>
      </c>
      <c r="GZ17" s="327" t="s">
        <v>423</v>
      </c>
      <c r="HA17" s="327" t="s">
        <v>355</v>
      </c>
      <c r="HB17" s="327" t="s">
        <v>399</v>
      </c>
      <c r="HC17" s="327" t="s">
        <v>424</v>
      </c>
      <c r="HD17" s="379" t="s">
        <v>446</v>
      </c>
      <c r="HE17" s="762" t="s">
        <v>523</v>
      </c>
      <c r="HF17" s="762" t="s">
        <v>524</v>
      </c>
      <c r="HG17" s="762" t="s">
        <v>525</v>
      </c>
      <c r="HH17" s="333"/>
      <c r="HI17" s="335" t="s">
        <v>0</v>
      </c>
      <c r="HJ17" s="327" t="s">
        <v>409</v>
      </c>
      <c r="HK17" s="327" t="s">
        <v>410</v>
      </c>
      <c r="HL17" s="327" t="s">
        <v>411</v>
      </c>
      <c r="HM17" s="327" t="s">
        <v>412</v>
      </c>
      <c r="HN17" s="327" t="s">
        <v>413</v>
      </c>
      <c r="HO17" s="327" t="s">
        <v>414</v>
      </c>
      <c r="HP17" s="327" t="s">
        <v>415</v>
      </c>
      <c r="HQ17" s="327" t="s">
        <v>416</v>
      </c>
      <c r="HR17" s="327" t="s">
        <v>417</v>
      </c>
      <c r="HS17" s="327" t="s">
        <v>418</v>
      </c>
      <c r="HT17" s="327" t="s">
        <v>419</v>
      </c>
      <c r="HU17" s="327" t="s">
        <v>420</v>
      </c>
      <c r="HV17" s="327" t="s">
        <v>421</v>
      </c>
      <c r="HW17" s="327" t="s">
        <v>422</v>
      </c>
      <c r="HX17" s="327" t="s">
        <v>423</v>
      </c>
      <c r="HY17" s="327" t="s">
        <v>355</v>
      </c>
      <c r="HZ17" s="327" t="s">
        <v>399</v>
      </c>
      <c r="IA17" s="327" t="s">
        <v>424</v>
      </c>
      <c r="IB17" s="379" t="s">
        <v>446</v>
      </c>
      <c r="IC17" s="762" t="s">
        <v>523</v>
      </c>
      <c r="ID17" s="762" t="s">
        <v>524</v>
      </c>
      <c r="IE17" s="762" t="s">
        <v>525</v>
      </c>
      <c r="IF17" s="333"/>
      <c r="IG17" s="335" t="s">
        <v>0</v>
      </c>
      <c r="IH17" s="327" t="s">
        <v>409</v>
      </c>
      <c r="II17" s="327" t="s">
        <v>410</v>
      </c>
      <c r="IJ17" s="327" t="s">
        <v>411</v>
      </c>
      <c r="IK17" s="327" t="s">
        <v>412</v>
      </c>
      <c r="IL17" s="327" t="s">
        <v>413</v>
      </c>
      <c r="IM17" s="327" t="s">
        <v>414</v>
      </c>
      <c r="IN17" s="327" t="s">
        <v>415</v>
      </c>
      <c r="IO17" s="327" t="s">
        <v>416</v>
      </c>
      <c r="IP17" s="327" t="s">
        <v>417</v>
      </c>
      <c r="IQ17" s="327" t="s">
        <v>418</v>
      </c>
      <c r="IR17" s="327" t="s">
        <v>419</v>
      </c>
      <c r="IS17" s="327" t="s">
        <v>420</v>
      </c>
      <c r="IT17" s="327" t="s">
        <v>421</v>
      </c>
      <c r="IU17" s="327" t="s">
        <v>422</v>
      </c>
      <c r="IV17" s="327" t="s">
        <v>423</v>
      </c>
      <c r="IW17" s="327" t="s">
        <v>355</v>
      </c>
      <c r="IX17" s="327" t="s">
        <v>399</v>
      </c>
      <c r="IY17" s="327" t="s">
        <v>424</v>
      </c>
      <c r="IZ17" s="379" t="s">
        <v>446</v>
      </c>
      <c r="JA17" s="762" t="s">
        <v>523</v>
      </c>
      <c r="JB17" s="762" t="s">
        <v>524</v>
      </c>
      <c r="JC17" s="762" t="s">
        <v>525</v>
      </c>
      <c r="JD17" s="333"/>
      <c r="JE17" s="335" t="s">
        <v>0</v>
      </c>
      <c r="JF17" s="327" t="s">
        <v>409</v>
      </c>
      <c r="JG17" s="327" t="s">
        <v>410</v>
      </c>
      <c r="JH17" s="327" t="s">
        <v>411</v>
      </c>
      <c r="JI17" s="327" t="s">
        <v>412</v>
      </c>
      <c r="JJ17" s="327" t="s">
        <v>413</v>
      </c>
      <c r="JK17" s="327" t="s">
        <v>414</v>
      </c>
      <c r="JL17" s="327" t="s">
        <v>415</v>
      </c>
      <c r="JM17" s="327" t="s">
        <v>416</v>
      </c>
      <c r="JN17" s="327" t="s">
        <v>417</v>
      </c>
      <c r="JO17" s="327" t="s">
        <v>418</v>
      </c>
      <c r="JP17" s="327" t="s">
        <v>419</v>
      </c>
      <c r="JQ17" s="327" t="s">
        <v>420</v>
      </c>
      <c r="JR17" s="327" t="s">
        <v>421</v>
      </c>
      <c r="JS17" s="327" t="s">
        <v>422</v>
      </c>
      <c r="JT17" s="327" t="s">
        <v>423</v>
      </c>
      <c r="JU17" s="327" t="s">
        <v>355</v>
      </c>
      <c r="JV17" s="327" t="s">
        <v>399</v>
      </c>
      <c r="JW17" s="327" t="s">
        <v>424</v>
      </c>
      <c r="JX17" s="762" t="s">
        <v>446</v>
      </c>
      <c r="JY17" s="762" t="s">
        <v>523</v>
      </c>
      <c r="JZ17" s="762" t="s">
        <v>524</v>
      </c>
      <c r="KA17" s="762" t="s">
        <v>525</v>
      </c>
      <c r="KB17" s="333"/>
      <c r="KC17" s="335" t="s">
        <v>0</v>
      </c>
      <c r="KD17" s="327" t="s">
        <v>409</v>
      </c>
      <c r="KE17" s="327" t="s">
        <v>410</v>
      </c>
      <c r="KF17" s="327" t="s">
        <v>411</v>
      </c>
      <c r="KG17" s="327" t="s">
        <v>412</v>
      </c>
      <c r="KH17" s="327" t="s">
        <v>413</v>
      </c>
      <c r="KI17" s="327" t="s">
        <v>414</v>
      </c>
      <c r="KJ17" s="327" t="s">
        <v>415</v>
      </c>
      <c r="KK17" s="327" t="s">
        <v>416</v>
      </c>
      <c r="KL17" s="327" t="s">
        <v>417</v>
      </c>
      <c r="KM17" s="327" t="s">
        <v>418</v>
      </c>
      <c r="KN17" s="327" t="s">
        <v>419</v>
      </c>
      <c r="KO17" s="327" t="s">
        <v>420</v>
      </c>
      <c r="KP17" s="327" t="s">
        <v>421</v>
      </c>
      <c r="KQ17" s="327" t="s">
        <v>422</v>
      </c>
      <c r="KR17" s="327" t="s">
        <v>423</v>
      </c>
      <c r="KS17" s="327" t="s">
        <v>355</v>
      </c>
      <c r="KT17" s="327" t="s">
        <v>399</v>
      </c>
      <c r="KU17" s="327" t="s">
        <v>424</v>
      </c>
      <c r="KV17" s="762" t="s">
        <v>446</v>
      </c>
      <c r="KW17" s="762" t="s">
        <v>523</v>
      </c>
      <c r="KX17" s="762" t="s">
        <v>524</v>
      </c>
      <c r="KY17" s="762" t="s">
        <v>525</v>
      </c>
      <c r="KZ17" s="333"/>
      <c r="LA17" s="335" t="s">
        <v>0</v>
      </c>
      <c r="LB17" s="327" t="s">
        <v>409</v>
      </c>
      <c r="LC17" s="327" t="s">
        <v>410</v>
      </c>
      <c r="LD17" s="327" t="s">
        <v>411</v>
      </c>
      <c r="LE17" s="327" t="s">
        <v>412</v>
      </c>
      <c r="LF17" s="327" t="s">
        <v>413</v>
      </c>
      <c r="LG17" s="327" t="s">
        <v>414</v>
      </c>
      <c r="LH17" s="327" t="s">
        <v>415</v>
      </c>
      <c r="LI17" s="327" t="s">
        <v>416</v>
      </c>
      <c r="LJ17" s="327" t="s">
        <v>417</v>
      </c>
      <c r="LK17" s="327" t="s">
        <v>418</v>
      </c>
      <c r="LL17" s="327" t="s">
        <v>419</v>
      </c>
      <c r="LM17" s="327" t="s">
        <v>420</v>
      </c>
      <c r="LN17" s="327" t="s">
        <v>421</v>
      </c>
      <c r="LO17" s="327" t="s">
        <v>422</v>
      </c>
      <c r="LP17" s="327" t="s">
        <v>423</v>
      </c>
      <c r="LQ17" s="327" t="s">
        <v>355</v>
      </c>
      <c r="LR17" s="327" t="s">
        <v>399</v>
      </c>
      <c r="LS17" s="327" t="s">
        <v>424</v>
      </c>
      <c r="LT17" s="762" t="s">
        <v>446</v>
      </c>
      <c r="LU17" s="762" t="s">
        <v>523</v>
      </c>
      <c r="LV17" s="762" t="s">
        <v>524</v>
      </c>
      <c r="LW17" s="762" t="s">
        <v>525</v>
      </c>
      <c r="LX17" s="333"/>
      <c r="LY17" s="335" t="s">
        <v>0</v>
      </c>
      <c r="LZ17" s="327" t="s">
        <v>409</v>
      </c>
      <c r="MA17" s="327" t="s">
        <v>410</v>
      </c>
      <c r="MB17" s="327" t="s">
        <v>411</v>
      </c>
      <c r="MC17" s="327" t="s">
        <v>412</v>
      </c>
      <c r="MD17" s="327" t="s">
        <v>413</v>
      </c>
      <c r="ME17" s="327" t="s">
        <v>414</v>
      </c>
      <c r="MF17" s="327" t="s">
        <v>415</v>
      </c>
      <c r="MG17" s="327" t="s">
        <v>416</v>
      </c>
      <c r="MH17" s="327" t="s">
        <v>417</v>
      </c>
      <c r="MI17" s="327" t="s">
        <v>418</v>
      </c>
      <c r="MJ17" s="327" t="s">
        <v>419</v>
      </c>
      <c r="MK17" s="327" t="s">
        <v>420</v>
      </c>
      <c r="ML17" s="327" t="s">
        <v>421</v>
      </c>
      <c r="MM17" s="327" t="s">
        <v>422</v>
      </c>
      <c r="MN17" s="327" t="s">
        <v>423</v>
      </c>
      <c r="MO17" s="327" t="s">
        <v>355</v>
      </c>
      <c r="MP17" s="327" t="s">
        <v>399</v>
      </c>
      <c r="MQ17" s="327" t="s">
        <v>424</v>
      </c>
      <c r="MR17" s="762" t="s">
        <v>446</v>
      </c>
      <c r="MS17" s="762" t="s">
        <v>523</v>
      </c>
      <c r="MT17" s="762" t="s">
        <v>524</v>
      </c>
      <c r="MU17" s="762" t="s">
        <v>525</v>
      </c>
      <c r="MV17" s="333"/>
      <c r="MW17" s="335" t="s">
        <v>0</v>
      </c>
      <c r="MX17" s="327" t="s">
        <v>409</v>
      </c>
      <c r="MY17" s="327" t="s">
        <v>410</v>
      </c>
      <c r="MZ17" s="327" t="s">
        <v>411</v>
      </c>
      <c r="NA17" s="327" t="s">
        <v>412</v>
      </c>
      <c r="NB17" s="327" t="s">
        <v>413</v>
      </c>
      <c r="NC17" s="327" t="s">
        <v>414</v>
      </c>
      <c r="ND17" s="327" t="s">
        <v>415</v>
      </c>
      <c r="NE17" s="327" t="s">
        <v>416</v>
      </c>
      <c r="NF17" s="327" t="s">
        <v>417</v>
      </c>
      <c r="NG17" s="327" t="s">
        <v>418</v>
      </c>
      <c r="NH17" s="327" t="s">
        <v>419</v>
      </c>
      <c r="NI17" s="327" t="s">
        <v>420</v>
      </c>
      <c r="NJ17" s="327" t="s">
        <v>421</v>
      </c>
      <c r="NK17" s="327" t="s">
        <v>422</v>
      </c>
      <c r="NL17" s="327" t="s">
        <v>423</v>
      </c>
      <c r="NM17" s="327" t="s">
        <v>355</v>
      </c>
      <c r="NN17" s="327" t="s">
        <v>399</v>
      </c>
      <c r="NO17" s="327" t="s">
        <v>424</v>
      </c>
      <c r="NP17" s="762" t="s">
        <v>446</v>
      </c>
      <c r="NQ17" s="762" t="s">
        <v>523</v>
      </c>
      <c r="NR17" s="762" t="s">
        <v>524</v>
      </c>
      <c r="NS17" s="762" t="s">
        <v>525</v>
      </c>
      <c r="NT17" s="333"/>
      <c r="NU17" s="335" t="s">
        <v>0</v>
      </c>
      <c r="NV17" s="327" t="s">
        <v>409</v>
      </c>
      <c r="NW17" s="327" t="s">
        <v>410</v>
      </c>
      <c r="NX17" s="327" t="s">
        <v>411</v>
      </c>
      <c r="NY17" s="327" t="s">
        <v>412</v>
      </c>
      <c r="NZ17" s="327" t="s">
        <v>413</v>
      </c>
      <c r="OA17" s="327" t="s">
        <v>414</v>
      </c>
      <c r="OB17" s="327" t="s">
        <v>415</v>
      </c>
      <c r="OC17" s="327" t="s">
        <v>416</v>
      </c>
      <c r="OD17" s="327" t="s">
        <v>417</v>
      </c>
      <c r="OE17" s="327" t="s">
        <v>418</v>
      </c>
      <c r="OF17" s="327" t="s">
        <v>419</v>
      </c>
      <c r="OG17" s="327" t="s">
        <v>420</v>
      </c>
      <c r="OH17" s="327" t="s">
        <v>421</v>
      </c>
      <c r="OI17" s="327" t="s">
        <v>422</v>
      </c>
      <c r="OJ17" s="327" t="s">
        <v>423</v>
      </c>
      <c r="OK17" s="327" t="s">
        <v>355</v>
      </c>
      <c r="OL17" s="327" t="s">
        <v>399</v>
      </c>
      <c r="OM17" s="327" t="s">
        <v>424</v>
      </c>
      <c r="ON17" s="762" t="s">
        <v>446</v>
      </c>
      <c r="OO17" s="762" t="s">
        <v>523</v>
      </c>
      <c r="OP17" s="762" t="s">
        <v>524</v>
      </c>
      <c r="OQ17" s="762" t="s">
        <v>525</v>
      </c>
      <c r="OR17" s="333"/>
      <c r="OS17" s="335" t="s">
        <v>0</v>
      </c>
      <c r="OT17" s="327" t="s">
        <v>409</v>
      </c>
      <c r="OU17" s="327" t="s">
        <v>410</v>
      </c>
      <c r="OV17" s="327" t="s">
        <v>411</v>
      </c>
      <c r="OW17" s="327" t="s">
        <v>412</v>
      </c>
      <c r="OX17" s="327" t="s">
        <v>413</v>
      </c>
      <c r="OY17" s="327" t="s">
        <v>414</v>
      </c>
      <c r="OZ17" s="327" t="s">
        <v>415</v>
      </c>
      <c r="PA17" s="327" t="s">
        <v>416</v>
      </c>
      <c r="PB17" s="327" t="s">
        <v>417</v>
      </c>
      <c r="PC17" s="327" t="s">
        <v>418</v>
      </c>
      <c r="PD17" s="327" t="s">
        <v>419</v>
      </c>
      <c r="PE17" s="327" t="s">
        <v>420</v>
      </c>
      <c r="PF17" s="327" t="s">
        <v>421</v>
      </c>
      <c r="PG17" s="327" t="s">
        <v>422</v>
      </c>
      <c r="PH17" s="327" t="s">
        <v>423</v>
      </c>
      <c r="PI17" s="327" t="s">
        <v>355</v>
      </c>
      <c r="PJ17" s="327" t="s">
        <v>399</v>
      </c>
      <c r="PK17" s="327" t="s">
        <v>424</v>
      </c>
      <c r="PL17" s="762" t="s">
        <v>446</v>
      </c>
      <c r="PM17" s="762" t="s">
        <v>523</v>
      </c>
      <c r="PN17" s="762" t="s">
        <v>524</v>
      </c>
      <c r="PO17" s="762" t="s">
        <v>525</v>
      </c>
      <c r="PP17" s="333"/>
      <c r="PQ17" s="335" t="s">
        <v>0</v>
      </c>
      <c r="PR17" s="327" t="s">
        <v>409</v>
      </c>
      <c r="PS17" s="327" t="s">
        <v>410</v>
      </c>
      <c r="PT17" s="327" t="s">
        <v>411</v>
      </c>
      <c r="PU17" s="327" t="s">
        <v>412</v>
      </c>
      <c r="PV17" s="327" t="s">
        <v>413</v>
      </c>
      <c r="PW17" s="327" t="s">
        <v>414</v>
      </c>
      <c r="PX17" s="327" t="s">
        <v>415</v>
      </c>
      <c r="PY17" s="327" t="s">
        <v>416</v>
      </c>
      <c r="PZ17" s="327" t="s">
        <v>417</v>
      </c>
      <c r="QA17" s="327" t="s">
        <v>418</v>
      </c>
      <c r="QB17" s="327" t="s">
        <v>419</v>
      </c>
      <c r="QC17" s="327" t="s">
        <v>420</v>
      </c>
      <c r="QD17" s="327" t="s">
        <v>421</v>
      </c>
      <c r="QE17" s="327" t="s">
        <v>422</v>
      </c>
      <c r="QF17" s="327" t="s">
        <v>423</v>
      </c>
      <c r="QG17" s="327" t="s">
        <v>355</v>
      </c>
      <c r="QH17" s="327" t="s">
        <v>399</v>
      </c>
      <c r="QI17" s="327" t="s">
        <v>424</v>
      </c>
      <c r="QJ17" s="762" t="s">
        <v>446</v>
      </c>
      <c r="QK17" s="762" t="s">
        <v>523</v>
      </c>
      <c r="QL17" s="762" t="s">
        <v>524</v>
      </c>
      <c r="QM17" s="762" t="s">
        <v>525</v>
      </c>
      <c r="QN17" s="333"/>
      <c r="QO17" s="335" t="s">
        <v>0</v>
      </c>
      <c r="QP17" s="327" t="s">
        <v>409</v>
      </c>
      <c r="QQ17" s="327" t="s">
        <v>410</v>
      </c>
      <c r="QR17" s="327" t="s">
        <v>411</v>
      </c>
      <c r="QS17" s="327" t="s">
        <v>412</v>
      </c>
      <c r="QT17" s="327" t="s">
        <v>413</v>
      </c>
      <c r="QU17" s="327" t="s">
        <v>414</v>
      </c>
      <c r="QV17" s="327" t="s">
        <v>415</v>
      </c>
      <c r="QW17" s="327" t="s">
        <v>416</v>
      </c>
      <c r="QX17" s="327" t="s">
        <v>417</v>
      </c>
      <c r="QY17" s="327" t="s">
        <v>418</v>
      </c>
      <c r="QZ17" s="327" t="s">
        <v>419</v>
      </c>
      <c r="RA17" s="327" t="s">
        <v>420</v>
      </c>
      <c r="RB17" s="327" t="s">
        <v>421</v>
      </c>
      <c r="RC17" s="327" t="s">
        <v>422</v>
      </c>
      <c r="RD17" s="327" t="s">
        <v>423</v>
      </c>
      <c r="RE17" s="327" t="s">
        <v>355</v>
      </c>
      <c r="RF17" s="327" t="s">
        <v>399</v>
      </c>
      <c r="RG17" s="327" t="s">
        <v>424</v>
      </c>
      <c r="RH17" s="762" t="s">
        <v>446</v>
      </c>
      <c r="RI17" s="762" t="s">
        <v>523</v>
      </c>
      <c r="RJ17" s="762" t="s">
        <v>524</v>
      </c>
      <c r="RK17" s="762" t="s">
        <v>525</v>
      </c>
      <c r="RL17" s="333"/>
      <c r="RM17" s="335" t="s">
        <v>0</v>
      </c>
      <c r="RN17" s="327" t="s">
        <v>409</v>
      </c>
      <c r="RO17" s="327" t="s">
        <v>410</v>
      </c>
      <c r="RP17" s="327" t="s">
        <v>411</v>
      </c>
      <c r="RQ17" s="327" t="s">
        <v>412</v>
      </c>
      <c r="RR17" s="327" t="s">
        <v>413</v>
      </c>
      <c r="RS17" s="327" t="s">
        <v>414</v>
      </c>
      <c r="RT17" s="327" t="s">
        <v>415</v>
      </c>
      <c r="RU17" s="327" t="s">
        <v>416</v>
      </c>
      <c r="RV17" s="327" t="s">
        <v>417</v>
      </c>
      <c r="RW17" s="327" t="s">
        <v>418</v>
      </c>
      <c r="RX17" s="327" t="s">
        <v>419</v>
      </c>
      <c r="RY17" s="327" t="s">
        <v>420</v>
      </c>
      <c r="RZ17" s="327" t="s">
        <v>421</v>
      </c>
      <c r="SA17" s="327" t="s">
        <v>422</v>
      </c>
      <c r="SB17" s="327" t="s">
        <v>423</v>
      </c>
      <c r="SC17" s="327" t="s">
        <v>355</v>
      </c>
      <c r="SD17" s="327" t="s">
        <v>399</v>
      </c>
      <c r="SE17" s="327" t="s">
        <v>424</v>
      </c>
      <c r="SF17" s="762" t="s">
        <v>446</v>
      </c>
      <c r="SG17" s="762" t="s">
        <v>523</v>
      </c>
      <c r="SH17" s="762" t="s">
        <v>524</v>
      </c>
      <c r="SI17" s="762" t="s">
        <v>525</v>
      </c>
    </row>
    <row r="18" spans="1:503">
      <c r="A18" s="319" t="s">
        <v>1</v>
      </c>
      <c r="B18" s="319">
        <v>2170736</v>
      </c>
      <c r="C18" s="319">
        <v>2217685</v>
      </c>
      <c r="D18" s="319">
        <v>1764909</v>
      </c>
      <c r="E18" s="319">
        <v>1916042</v>
      </c>
      <c r="F18" s="319">
        <v>1759295</v>
      </c>
      <c r="G18" s="319">
        <v>1745765</v>
      </c>
      <c r="H18" s="319">
        <v>1906469</v>
      </c>
      <c r="I18" s="319">
        <v>2503784</v>
      </c>
      <c r="J18" s="319">
        <v>2146418.5699999998</v>
      </c>
      <c r="K18" s="319">
        <v>1886672.02</v>
      </c>
      <c r="L18" s="319">
        <v>1825485.4699999997</v>
      </c>
      <c r="M18" s="319">
        <v>1727211</v>
      </c>
      <c r="N18" s="319">
        <v>2352433.7800000003</v>
      </c>
      <c r="O18" s="319">
        <v>2066941.9699999997</v>
      </c>
      <c r="P18" s="319">
        <v>2422868.91</v>
      </c>
      <c r="Q18" s="319">
        <v>2207908.62</v>
      </c>
      <c r="R18" s="319">
        <v>2560092.5499999998</v>
      </c>
      <c r="S18" s="322">
        <v>2544152.4900000002</v>
      </c>
      <c r="T18" s="325">
        <v>2506524.35</v>
      </c>
      <c r="U18" s="325">
        <v>2746400.37</v>
      </c>
      <c r="V18" s="325">
        <v>2387873.5700000003</v>
      </c>
      <c r="W18" s="325">
        <v>2789173.9</v>
      </c>
      <c r="X18" s="330"/>
      <c r="Y18" s="319" t="s">
        <v>1</v>
      </c>
      <c r="Z18" s="319">
        <v>65122.080000000002</v>
      </c>
      <c r="AA18" s="319">
        <v>66530.55</v>
      </c>
      <c r="AB18" s="319">
        <v>88245.45</v>
      </c>
      <c r="AC18" s="319">
        <v>95802.1</v>
      </c>
      <c r="AD18" s="319">
        <v>87964.75</v>
      </c>
      <c r="AE18" s="319">
        <v>87288.25</v>
      </c>
      <c r="AF18" s="319">
        <v>87288.25</v>
      </c>
      <c r="AG18" s="319">
        <v>100151.36</v>
      </c>
      <c r="AH18" s="319">
        <v>89343.31</v>
      </c>
      <c r="AI18" s="319">
        <v>89042.200000000012</v>
      </c>
      <c r="AJ18" s="319">
        <v>87469.849999999991</v>
      </c>
      <c r="AK18" s="319">
        <v>88128.779999999984</v>
      </c>
      <c r="AL18" s="319">
        <v>88391.389999999985</v>
      </c>
      <c r="AM18" s="319">
        <v>93562.41</v>
      </c>
      <c r="AN18" s="319">
        <v>90154.290000000008</v>
      </c>
      <c r="AO18" s="319">
        <v>106040.04</v>
      </c>
      <c r="AP18" s="319">
        <v>119759.92000000004</v>
      </c>
      <c r="AQ18" s="322">
        <v>127326.72</v>
      </c>
      <c r="AR18" s="325">
        <v>142184.57999999999</v>
      </c>
      <c r="AS18" s="325">
        <v>144268.16999999998</v>
      </c>
      <c r="AT18" s="325">
        <v>139048.69</v>
      </c>
      <c r="AU18" s="325">
        <v>155101.38</v>
      </c>
      <c r="AV18" s="334"/>
      <c r="AW18" s="319" t="s">
        <v>1</v>
      </c>
      <c r="AX18" s="319">
        <v>86829.440000000002</v>
      </c>
      <c r="AY18" s="319">
        <v>66530.55</v>
      </c>
      <c r="AZ18" s="319">
        <v>88245.450000000012</v>
      </c>
      <c r="BA18" s="319">
        <v>95802.1</v>
      </c>
      <c r="BB18" s="319">
        <v>105557.7</v>
      </c>
      <c r="BC18" s="319">
        <v>104745.9</v>
      </c>
      <c r="BD18" s="319">
        <v>114388.14</v>
      </c>
      <c r="BE18" s="319">
        <v>125189.20000000001</v>
      </c>
      <c r="BF18" s="319">
        <v>111872.98999999999</v>
      </c>
      <c r="BG18" s="319">
        <v>116221.31</v>
      </c>
      <c r="BH18" s="319">
        <v>118937.2</v>
      </c>
      <c r="BI18" s="319">
        <v>120732.39</v>
      </c>
      <c r="BJ18" s="319">
        <v>124220.86000000002</v>
      </c>
      <c r="BK18" s="319">
        <v>127306.97</v>
      </c>
      <c r="BL18" s="319">
        <v>132287.28</v>
      </c>
      <c r="BM18" s="319">
        <v>139954.29999999999</v>
      </c>
      <c r="BN18" s="319">
        <v>133979.06000000003</v>
      </c>
      <c r="BO18" s="322">
        <v>153884.84</v>
      </c>
      <c r="BP18" s="325">
        <v>144823.78999999995</v>
      </c>
      <c r="BQ18" s="325">
        <v>155258.25</v>
      </c>
      <c r="BR18" s="325">
        <v>157679.31</v>
      </c>
      <c r="BS18" s="325">
        <v>168201.52</v>
      </c>
      <c r="BT18" s="334"/>
      <c r="BU18" s="322" t="s">
        <v>1</v>
      </c>
      <c r="BV18" s="322">
        <v>65122.080000000002</v>
      </c>
      <c r="BW18" s="322">
        <v>0</v>
      </c>
      <c r="BX18" s="322">
        <v>52947.27</v>
      </c>
      <c r="BY18" s="322">
        <v>19160.419999999998</v>
      </c>
      <c r="BZ18" s="322">
        <v>52778.85</v>
      </c>
      <c r="CA18" s="322">
        <v>17457.650000000001</v>
      </c>
      <c r="CB18" s="322">
        <v>57194.07</v>
      </c>
      <c r="CC18" s="322">
        <v>25037.84</v>
      </c>
      <c r="CD18" s="322">
        <v>68141.539999999994</v>
      </c>
      <c r="CE18" s="322">
        <v>6999.53</v>
      </c>
      <c r="CF18" s="322">
        <v>75571.5</v>
      </c>
      <c r="CG18" s="322">
        <v>7716.9100000000008</v>
      </c>
      <c r="CH18" s="322">
        <v>120430.34000000001</v>
      </c>
      <c r="CI18" s="322">
        <v>16130.09</v>
      </c>
      <c r="CJ18" s="322">
        <v>105107.47999999998</v>
      </c>
      <c r="CK18" s="322">
        <v>26047.250000000004</v>
      </c>
      <c r="CL18" s="322">
        <v>155032.93999999997</v>
      </c>
      <c r="CM18" s="322">
        <v>30867.650000000005</v>
      </c>
      <c r="CN18" s="375">
        <v>104318.73000000001</v>
      </c>
      <c r="CO18" s="375">
        <v>108373.78</v>
      </c>
      <c r="CP18" s="375">
        <v>131227.62000000002</v>
      </c>
      <c r="CQ18" s="375">
        <v>49404</v>
      </c>
      <c r="CR18" s="334"/>
      <c r="CS18" s="322" t="s">
        <v>1</v>
      </c>
      <c r="CT18" s="322">
        <v>65122.080000000002</v>
      </c>
      <c r="CU18" s="322">
        <v>88707.4</v>
      </c>
      <c r="CV18" s="322">
        <v>70596.36</v>
      </c>
      <c r="CW18" s="322">
        <v>76641.679999999993</v>
      </c>
      <c r="CX18" s="322">
        <v>70371.8</v>
      </c>
      <c r="CY18" s="322">
        <v>69830.600000000006</v>
      </c>
      <c r="CZ18" s="322">
        <v>76258.759999999995</v>
      </c>
      <c r="DA18" s="322">
        <v>175264.88</v>
      </c>
      <c r="DB18" s="322">
        <v>80701.11</v>
      </c>
      <c r="DC18" s="322">
        <v>62194.840000000004</v>
      </c>
      <c r="DD18" s="322">
        <v>78503.199999999997</v>
      </c>
      <c r="DE18" s="322">
        <v>71241.669999999984</v>
      </c>
      <c r="DF18" s="322">
        <v>73812.400000000009</v>
      </c>
      <c r="DG18" s="322">
        <v>84427.540000000023</v>
      </c>
      <c r="DH18" s="322">
        <v>96856.23000000001</v>
      </c>
      <c r="DI18" s="322">
        <v>88876.520000000033</v>
      </c>
      <c r="DJ18" s="322">
        <v>150384.44999999998</v>
      </c>
      <c r="DK18" s="322">
        <v>159625.44999999998</v>
      </c>
      <c r="DL18" s="375">
        <v>264952.11</v>
      </c>
      <c r="DM18" s="375">
        <v>245165.26999999993</v>
      </c>
      <c r="DN18" s="375">
        <v>115985.86</v>
      </c>
      <c r="DO18" s="375">
        <v>140868.35999999999</v>
      </c>
      <c r="DP18" s="334"/>
      <c r="DQ18" s="322" t="s">
        <v>1</v>
      </c>
      <c r="DR18" s="322">
        <v>238780.96</v>
      </c>
      <c r="DS18" s="322">
        <v>266122.2</v>
      </c>
      <c r="DT18" s="322">
        <v>176490.9</v>
      </c>
      <c r="DU18" s="322">
        <v>229925.04</v>
      </c>
      <c r="DV18" s="322">
        <v>263894.25</v>
      </c>
      <c r="DW18" s="322">
        <v>192034.15</v>
      </c>
      <c r="DX18" s="322">
        <v>133452.82999999999</v>
      </c>
      <c r="DY18" s="322">
        <v>150227.04</v>
      </c>
      <c r="DZ18" s="322">
        <v>222180.56</v>
      </c>
      <c r="EA18" s="322">
        <v>243292.00999999998</v>
      </c>
      <c r="EB18" s="322">
        <v>244287.68</v>
      </c>
      <c r="EC18" s="322">
        <v>249534.93000000002</v>
      </c>
      <c r="ED18" s="322">
        <v>274933.40000000002</v>
      </c>
      <c r="EE18" s="322">
        <v>283245.64999999997</v>
      </c>
      <c r="EF18" s="322">
        <v>357041.81</v>
      </c>
      <c r="EG18" s="322">
        <v>359697.54000000004</v>
      </c>
      <c r="EH18" s="322">
        <v>405579.9</v>
      </c>
      <c r="EI18" s="322">
        <v>397611</v>
      </c>
      <c r="EJ18" s="375">
        <v>401241.33</v>
      </c>
      <c r="EK18" s="375">
        <v>393666.12</v>
      </c>
      <c r="EL18" s="375">
        <v>365114.93000000011</v>
      </c>
      <c r="EM18" s="375">
        <v>525799</v>
      </c>
      <c r="EN18" s="735"/>
      <c r="EO18" s="322" t="s">
        <v>1</v>
      </c>
      <c r="EP18" s="322">
        <v>43414.720000000001</v>
      </c>
      <c r="EQ18" s="322">
        <v>44353.7</v>
      </c>
      <c r="ER18" s="322">
        <v>52947.27</v>
      </c>
      <c r="ES18" s="322">
        <v>57481.26</v>
      </c>
      <c r="ET18" s="322">
        <v>52778.85</v>
      </c>
      <c r="EU18" s="322">
        <v>52372.95</v>
      </c>
      <c r="EV18" s="322">
        <v>57194.07</v>
      </c>
      <c r="EW18" s="322">
        <v>75113.52</v>
      </c>
      <c r="EX18" s="322">
        <v>67287.839999999997</v>
      </c>
      <c r="EY18" s="322">
        <v>67522.17</v>
      </c>
      <c r="EZ18" s="322">
        <v>67063.100000000006</v>
      </c>
      <c r="FA18" s="322">
        <v>71979.94</v>
      </c>
      <c r="FB18" s="322">
        <v>72624.890000000014</v>
      </c>
      <c r="FC18" s="322">
        <v>72349.799999999988</v>
      </c>
      <c r="FD18" s="322">
        <v>72102.209999999992</v>
      </c>
      <c r="FE18" s="322">
        <v>77053.679999999993</v>
      </c>
      <c r="FF18" s="322">
        <v>78974.959999999992</v>
      </c>
      <c r="FG18" s="322">
        <v>79310.430000000008</v>
      </c>
      <c r="FH18" s="375">
        <v>83193.52</v>
      </c>
      <c r="FI18" s="375">
        <v>89961.920000000013</v>
      </c>
      <c r="FJ18" s="375">
        <v>88090.86</v>
      </c>
      <c r="FK18" s="375">
        <v>96360.63</v>
      </c>
      <c r="FL18" s="334"/>
      <c r="FM18" s="322" t="s">
        <v>1</v>
      </c>
      <c r="FN18" s="322">
        <v>86829.440000000002</v>
      </c>
      <c r="FO18" s="322">
        <v>88707.4</v>
      </c>
      <c r="FP18" s="322">
        <v>88245.45</v>
      </c>
      <c r="FQ18" s="322">
        <v>95802.1</v>
      </c>
      <c r="FR18" s="322">
        <v>105557.7</v>
      </c>
      <c r="FS18" s="322">
        <v>104745.9</v>
      </c>
      <c r="FT18" s="322">
        <v>114388.14</v>
      </c>
      <c r="FU18" s="322">
        <v>100151.36</v>
      </c>
      <c r="FV18" s="322">
        <v>108911.03999999999</v>
      </c>
      <c r="FW18" s="322">
        <v>107818.91</v>
      </c>
      <c r="FX18" s="322">
        <v>112033.38</v>
      </c>
      <c r="FY18" s="322">
        <v>118078.78</v>
      </c>
      <c r="FZ18" s="322">
        <v>117989.72</v>
      </c>
      <c r="GA18" s="322">
        <v>126004.84999999999</v>
      </c>
      <c r="GB18" s="322">
        <v>121865.12000000001</v>
      </c>
      <c r="GC18" s="322">
        <v>129273.54999999999</v>
      </c>
      <c r="GD18" s="322">
        <v>130462.41</v>
      </c>
      <c r="GE18" s="322">
        <v>129084.68000000001</v>
      </c>
      <c r="GF18" s="343">
        <v>133484.04</v>
      </c>
      <c r="GG18" s="706">
        <v>139800.63</v>
      </c>
      <c r="GH18" s="706">
        <v>127117.06</v>
      </c>
      <c r="GI18" s="706">
        <v>149647.63</v>
      </c>
      <c r="GJ18" s="334"/>
      <c r="GK18" s="322" t="s">
        <v>1</v>
      </c>
      <c r="GL18" s="322">
        <v>86829.440000000002</v>
      </c>
      <c r="GM18" s="322">
        <v>88707.4</v>
      </c>
      <c r="GN18" s="322">
        <v>88245.45</v>
      </c>
      <c r="GO18" s="322">
        <v>95802.1</v>
      </c>
      <c r="GP18" s="322">
        <v>105557.7</v>
      </c>
      <c r="GQ18" s="322">
        <v>87288.25</v>
      </c>
      <c r="GR18" s="322">
        <v>95323.45</v>
      </c>
      <c r="GS18" s="322">
        <v>100151.36</v>
      </c>
      <c r="GT18" s="322">
        <v>101311.65</v>
      </c>
      <c r="GU18" s="322">
        <v>82472.259999999995</v>
      </c>
      <c r="GV18" s="322">
        <v>90920.12</v>
      </c>
      <c r="GW18" s="322">
        <v>106650.91</v>
      </c>
      <c r="GX18" s="322">
        <v>99181.14</v>
      </c>
      <c r="GY18" s="322">
        <v>106283.95</v>
      </c>
      <c r="GZ18" s="322">
        <v>99992.4</v>
      </c>
      <c r="HA18" s="322">
        <v>104933.07999999999</v>
      </c>
      <c r="HB18" s="322">
        <v>108769.89</v>
      </c>
      <c r="HC18" s="322">
        <v>114791.40000000001</v>
      </c>
      <c r="HD18" s="375">
        <v>113441.93</v>
      </c>
      <c r="HE18" s="375">
        <v>122771.05</v>
      </c>
      <c r="HF18" s="375">
        <v>124918.31000000001</v>
      </c>
      <c r="HG18" s="375">
        <v>144924.51999999999</v>
      </c>
      <c r="HH18" s="334"/>
      <c r="HI18" s="322" t="s">
        <v>1</v>
      </c>
      <c r="HJ18" s="322">
        <v>43414.720000000001</v>
      </c>
      <c r="HK18" s="322">
        <v>22176.85</v>
      </c>
      <c r="HL18" s="322">
        <v>35298.18</v>
      </c>
      <c r="HM18" s="322">
        <v>38320.839999999997</v>
      </c>
      <c r="HN18" s="322">
        <v>17592.95</v>
      </c>
      <c r="HO18" s="322">
        <v>17457.650000000001</v>
      </c>
      <c r="HP18" s="322">
        <v>19064.689999999999</v>
      </c>
      <c r="HQ18" s="322">
        <v>25037.84</v>
      </c>
      <c r="HR18" s="322">
        <v>49389.53</v>
      </c>
      <c r="HS18" s="322">
        <v>31536.440000000002</v>
      </c>
      <c r="HT18" s="322">
        <v>24379.769999999997</v>
      </c>
      <c r="HU18" s="322">
        <v>27201.03</v>
      </c>
      <c r="HV18" s="322">
        <v>59525.229999999996</v>
      </c>
      <c r="HW18" s="322">
        <v>52852.630000000005</v>
      </c>
      <c r="HX18" s="322">
        <v>78393.399999999994</v>
      </c>
      <c r="HY18" s="322">
        <v>61658.080000000009</v>
      </c>
      <c r="HZ18" s="322">
        <v>51200.94</v>
      </c>
      <c r="IA18" s="322">
        <v>57204.26</v>
      </c>
      <c r="IB18" s="375">
        <v>24455.09</v>
      </c>
      <c r="IC18" s="375">
        <v>20977.579999999998</v>
      </c>
      <c r="ID18" s="375">
        <v>19485.37</v>
      </c>
      <c r="IE18" s="375">
        <v>34000</v>
      </c>
      <c r="IF18" s="334"/>
      <c r="IG18" s="322" t="s">
        <v>1</v>
      </c>
      <c r="IH18" s="322">
        <v>21707.360000000001</v>
      </c>
      <c r="II18" s="322">
        <v>22176.85</v>
      </c>
      <c r="IJ18" s="322">
        <v>17649.09</v>
      </c>
      <c r="IK18" s="322">
        <v>19160.419999999998</v>
      </c>
      <c r="IL18" s="322">
        <v>17592.95</v>
      </c>
      <c r="IM18" s="322">
        <v>17457.650000000001</v>
      </c>
      <c r="IN18" s="322">
        <v>19064.689999999999</v>
      </c>
      <c r="IO18" s="322">
        <v>25037.84</v>
      </c>
      <c r="IP18" s="322">
        <v>0</v>
      </c>
      <c r="IQ18" s="322">
        <v>19322.11</v>
      </c>
      <c r="IR18" s="322">
        <v>15060.29</v>
      </c>
      <c r="IS18" s="322">
        <v>0</v>
      </c>
      <c r="IT18" s="322">
        <v>0</v>
      </c>
      <c r="IU18" s="322">
        <v>0</v>
      </c>
      <c r="IV18" s="322"/>
      <c r="IW18" s="322"/>
      <c r="IX18" s="322"/>
      <c r="IY18" s="322"/>
      <c r="IZ18" s="375"/>
      <c r="JA18" s="375"/>
      <c r="JB18" s="375"/>
      <c r="JC18" s="375"/>
      <c r="JD18" s="334"/>
      <c r="JE18" s="322" t="s">
        <v>1</v>
      </c>
      <c r="JF18" s="322">
        <v>0</v>
      </c>
      <c r="JG18" s="322">
        <v>0</v>
      </c>
      <c r="JH18" s="322">
        <v>0</v>
      </c>
      <c r="JI18" s="322">
        <v>0</v>
      </c>
      <c r="JJ18" s="322">
        <v>17592.95</v>
      </c>
      <c r="JK18" s="322">
        <v>0</v>
      </c>
      <c r="JL18" s="322">
        <v>0</v>
      </c>
      <c r="JM18" s="322">
        <v>25037.84</v>
      </c>
      <c r="JN18" s="322">
        <v>34482.880000000005</v>
      </c>
      <c r="JO18" s="322">
        <v>29116.82</v>
      </c>
      <c r="JP18" s="322">
        <v>34136.009999999995</v>
      </c>
      <c r="JQ18" s="322">
        <v>36297.699999999997</v>
      </c>
      <c r="JR18" s="322">
        <v>47315.419999999991</v>
      </c>
      <c r="JS18" s="322">
        <v>41220.89</v>
      </c>
      <c r="JT18" s="322">
        <v>74760.5</v>
      </c>
      <c r="JU18" s="322">
        <v>35948.32</v>
      </c>
      <c r="JV18" s="322">
        <v>55052.89</v>
      </c>
      <c r="JW18" s="322">
        <v>91263.569999999992</v>
      </c>
      <c r="JX18" s="375">
        <v>14666.86</v>
      </c>
      <c r="JY18" s="375">
        <v>380701.2699999999</v>
      </c>
      <c r="JZ18" s="375">
        <v>194916.84</v>
      </c>
      <c r="KA18" s="375">
        <v>305362.83999999997</v>
      </c>
      <c r="KB18" s="334"/>
      <c r="KC18" s="322" t="s">
        <v>1</v>
      </c>
      <c r="KD18" s="322">
        <v>21707.360000000001</v>
      </c>
      <c r="KE18" s="322">
        <v>44353.7</v>
      </c>
      <c r="KF18" s="322">
        <v>52947.27</v>
      </c>
      <c r="KG18" s="322">
        <v>38320.839999999997</v>
      </c>
      <c r="KH18" s="322">
        <v>70371.8</v>
      </c>
      <c r="KI18" s="322">
        <v>52372.95</v>
      </c>
      <c r="KJ18" s="322">
        <v>57194.07</v>
      </c>
      <c r="KK18" s="322">
        <v>50075.68</v>
      </c>
      <c r="KL18" s="322">
        <v>56511.46</v>
      </c>
      <c r="KM18" s="322">
        <v>64885.04</v>
      </c>
      <c r="KN18" s="322">
        <v>66621.670000000013</v>
      </c>
      <c r="KO18" s="322">
        <v>64481.090000000004</v>
      </c>
      <c r="KP18" s="322">
        <v>70679.520000000004</v>
      </c>
      <c r="KQ18" s="322">
        <v>75955.63</v>
      </c>
      <c r="KR18" s="322">
        <v>83571.23000000001</v>
      </c>
      <c r="KS18" s="322">
        <v>93055.12</v>
      </c>
      <c r="KT18" s="322">
        <v>95825.140000000014</v>
      </c>
      <c r="KU18" s="322">
        <v>101450.78</v>
      </c>
      <c r="KV18" s="375">
        <v>115220.95000000001</v>
      </c>
      <c r="KW18" s="375">
        <v>118890.83</v>
      </c>
      <c r="KX18" s="375">
        <v>158054.82</v>
      </c>
      <c r="KY18" s="375">
        <v>151505.51999999999</v>
      </c>
      <c r="KZ18" s="334"/>
      <c r="LA18" s="322" t="s">
        <v>1</v>
      </c>
      <c r="LB18" s="322">
        <v>260488.32000000001</v>
      </c>
      <c r="LC18" s="322">
        <v>310475.90000000002</v>
      </c>
      <c r="LD18" s="322">
        <v>282385.44</v>
      </c>
      <c r="LE18" s="322">
        <v>402368.82</v>
      </c>
      <c r="LF18" s="322">
        <v>281487.2</v>
      </c>
      <c r="LG18" s="322">
        <v>453898.9</v>
      </c>
      <c r="LH18" s="322">
        <v>228776.28</v>
      </c>
      <c r="LI18" s="322">
        <v>876324.4</v>
      </c>
      <c r="LJ18" s="322">
        <v>207406.59999999998</v>
      </c>
      <c r="LK18" s="322">
        <v>184041.40000000002</v>
      </c>
      <c r="LL18" s="322">
        <v>202807.22999999998</v>
      </c>
      <c r="LM18" s="322">
        <v>208927.33000000002</v>
      </c>
      <c r="LN18" s="322">
        <v>437441.16</v>
      </c>
      <c r="LO18" s="322">
        <v>460105.87000000005</v>
      </c>
      <c r="LP18" s="322">
        <v>635087.59000000008</v>
      </c>
      <c r="LQ18" s="322">
        <v>426708.93</v>
      </c>
      <c r="LR18" s="322">
        <v>496930.76000000007</v>
      </c>
      <c r="LS18" s="322">
        <v>440143.28</v>
      </c>
      <c r="LT18" s="375">
        <v>336313.34</v>
      </c>
      <c r="LU18" s="375">
        <v>271697.28000000003</v>
      </c>
      <c r="LV18" s="375">
        <v>233172.72</v>
      </c>
      <c r="LW18" s="375">
        <v>317817.09999999998</v>
      </c>
      <c r="LX18" s="334"/>
      <c r="LY18" s="322" t="s">
        <v>1</v>
      </c>
      <c r="LZ18" s="322">
        <v>238780.96</v>
      </c>
      <c r="MA18" s="322">
        <v>266122.2</v>
      </c>
      <c r="MB18" s="322">
        <v>105894.54</v>
      </c>
      <c r="MC18" s="322">
        <v>134122.94</v>
      </c>
      <c r="MD18" s="322">
        <v>87964.75</v>
      </c>
      <c r="ME18" s="322">
        <v>34915.300000000003</v>
      </c>
      <c r="MF18" s="322">
        <v>0</v>
      </c>
      <c r="MG18" s="322">
        <v>0</v>
      </c>
      <c r="MH18" s="322">
        <v>0</v>
      </c>
      <c r="MI18" s="322">
        <v>0</v>
      </c>
      <c r="MJ18" s="322">
        <v>0</v>
      </c>
      <c r="MK18" s="322">
        <v>0</v>
      </c>
      <c r="ML18" s="322">
        <v>0</v>
      </c>
      <c r="MM18" s="322">
        <v>0</v>
      </c>
      <c r="MN18" s="322">
        <v>0</v>
      </c>
      <c r="MO18" s="322">
        <v>0</v>
      </c>
      <c r="MP18" s="322">
        <v>0</v>
      </c>
      <c r="MQ18" s="322">
        <v>0</v>
      </c>
      <c r="MR18" s="375">
        <v>0</v>
      </c>
      <c r="MS18" s="375">
        <v>0</v>
      </c>
      <c r="MT18" s="375">
        <v>0</v>
      </c>
      <c r="MU18" s="375">
        <v>0</v>
      </c>
      <c r="MV18" s="334"/>
      <c r="MW18" s="322" t="s">
        <v>1</v>
      </c>
      <c r="MX18" s="322">
        <v>282195.68</v>
      </c>
      <c r="MY18" s="322">
        <v>288299.05</v>
      </c>
      <c r="MZ18" s="322">
        <v>0</v>
      </c>
      <c r="NA18" s="322">
        <v>0</v>
      </c>
      <c r="NB18" s="322">
        <v>0</v>
      </c>
      <c r="NC18" s="322">
        <v>0</v>
      </c>
      <c r="ND18" s="322">
        <v>0</v>
      </c>
      <c r="NE18" s="322">
        <v>0</v>
      </c>
      <c r="NF18" s="322">
        <v>0</v>
      </c>
      <c r="NG18" s="322">
        <v>0</v>
      </c>
      <c r="NH18" s="322">
        <v>0</v>
      </c>
      <c r="NI18" s="322">
        <v>0</v>
      </c>
      <c r="NJ18" s="322">
        <v>0</v>
      </c>
      <c r="NK18" s="322">
        <v>0</v>
      </c>
      <c r="NL18" s="322">
        <v>0</v>
      </c>
      <c r="NM18" s="322">
        <v>0</v>
      </c>
      <c r="NN18" s="322">
        <v>0</v>
      </c>
      <c r="NO18" s="322">
        <v>0</v>
      </c>
      <c r="NP18" s="375">
        <v>0</v>
      </c>
      <c r="NQ18" s="375">
        <v>0</v>
      </c>
      <c r="NR18" s="375">
        <v>0</v>
      </c>
      <c r="NS18" s="375">
        <v>0</v>
      </c>
      <c r="NT18" s="334"/>
      <c r="NU18" s="322" t="s">
        <v>1</v>
      </c>
      <c r="NV18" s="322">
        <v>151951.51999999999</v>
      </c>
      <c r="NW18" s="322">
        <v>155237.95000000001</v>
      </c>
      <c r="NX18" s="322">
        <v>141192.72</v>
      </c>
      <c r="NY18" s="322">
        <v>172443.78</v>
      </c>
      <c r="NZ18" s="322">
        <v>175929.5</v>
      </c>
      <c r="OA18" s="322">
        <v>174576.5</v>
      </c>
      <c r="OB18" s="322">
        <v>171582.21</v>
      </c>
      <c r="OC18" s="322">
        <v>200302.72</v>
      </c>
      <c r="OD18" s="322">
        <v>208224.53999999998</v>
      </c>
      <c r="OE18" s="322">
        <v>218643.87000000002</v>
      </c>
      <c r="OF18" s="322">
        <v>217860.31</v>
      </c>
      <c r="OG18" s="322">
        <v>222369.58000000002</v>
      </c>
      <c r="OH18" s="322">
        <v>235089.53000000003</v>
      </c>
      <c r="OI18" s="322">
        <v>230986.61999999997</v>
      </c>
      <c r="OJ18" s="322">
        <v>226141.84</v>
      </c>
      <c r="OK18" s="322">
        <v>235702.90999999997</v>
      </c>
      <c r="OL18" s="322">
        <v>247589.16999999998</v>
      </c>
      <c r="OM18" s="322">
        <v>278611.17</v>
      </c>
      <c r="ON18" s="375">
        <v>281672.8</v>
      </c>
      <c r="OO18" s="375">
        <v>303686.68</v>
      </c>
      <c r="OP18" s="375">
        <v>311647.76</v>
      </c>
      <c r="OQ18" s="375">
        <v>341056</v>
      </c>
      <c r="OR18" s="334"/>
      <c r="OS18" s="322" t="s">
        <v>1</v>
      </c>
      <c r="OT18" s="322">
        <v>325610.40000000002</v>
      </c>
      <c r="OU18" s="322">
        <v>399183.3</v>
      </c>
      <c r="OV18" s="322">
        <v>317683.62</v>
      </c>
      <c r="OW18" s="322">
        <v>287406.3</v>
      </c>
      <c r="OX18" s="322">
        <v>228708.35</v>
      </c>
      <c r="OY18" s="322">
        <v>192034.15</v>
      </c>
      <c r="OZ18" s="322">
        <v>247840.97</v>
      </c>
      <c r="PA18" s="322">
        <v>0</v>
      </c>
      <c r="PB18" s="322">
        <v>0</v>
      </c>
      <c r="PC18" s="322">
        <v>0</v>
      </c>
      <c r="PD18" s="322">
        <v>0</v>
      </c>
      <c r="PE18" s="322">
        <v>0</v>
      </c>
      <c r="PF18" s="322">
        <v>0</v>
      </c>
      <c r="PG18" s="322">
        <v>0</v>
      </c>
      <c r="PH18" s="322">
        <v>0</v>
      </c>
      <c r="PI18" s="322">
        <v>0</v>
      </c>
      <c r="PJ18" s="322">
        <v>0</v>
      </c>
      <c r="PK18" s="322">
        <v>0</v>
      </c>
      <c r="PL18" s="375">
        <v>0</v>
      </c>
      <c r="PM18" s="375">
        <v>0</v>
      </c>
      <c r="PN18" s="375">
        <v>0</v>
      </c>
      <c r="PO18" s="375">
        <v>0</v>
      </c>
      <c r="PP18" s="334"/>
      <c r="PQ18" s="322" t="s">
        <v>1</v>
      </c>
      <c r="PR18" s="322">
        <v>0</v>
      </c>
      <c r="PS18" s="322">
        <v>0</v>
      </c>
      <c r="PT18" s="322">
        <v>17649.09</v>
      </c>
      <c r="PU18" s="322">
        <v>19160.419999999998</v>
      </c>
      <c r="PV18" s="322">
        <v>17592.95</v>
      </c>
      <c r="PW18" s="322">
        <v>17457.650000000001</v>
      </c>
      <c r="PX18" s="322">
        <v>19064.689999999999</v>
      </c>
      <c r="PY18" s="322">
        <v>25037.84</v>
      </c>
      <c r="PZ18" s="322">
        <v>22000</v>
      </c>
      <c r="QA18" s="322">
        <v>20000</v>
      </c>
      <c r="QB18" s="322">
        <v>24300</v>
      </c>
      <c r="QC18" s="322">
        <v>25000</v>
      </c>
      <c r="QD18" s="322">
        <v>31850</v>
      </c>
      <c r="QE18" s="322">
        <v>14169.98</v>
      </c>
      <c r="QF18" s="322">
        <v>29330</v>
      </c>
      <c r="QG18" s="322">
        <v>25604.98</v>
      </c>
      <c r="QH18" s="322">
        <v>26322.66</v>
      </c>
      <c r="QI18" s="322">
        <v>27992.66</v>
      </c>
      <c r="QJ18" s="375">
        <v>28415.16</v>
      </c>
      <c r="QK18" s="375">
        <v>31696.48</v>
      </c>
      <c r="QL18" s="375">
        <v>16774.419999999998</v>
      </c>
      <c r="QM18" s="375">
        <v>16936.400000000001</v>
      </c>
      <c r="QN18" s="334"/>
      <c r="QO18" s="322" t="s">
        <v>1</v>
      </c>
      <c r="QP18" s="322">
        <v>0</v>
      </c>
      <c r="QQ18" s="322">
        <v>0</v>
      </c>
      <c r="QR18" s="322">
        <v>0</v>
      </c>
      <c r="QS18" s="322">
        <v>0</v>
      </c>
      <c r="QT18" s="322">
        <v>0</v>
      </c>
      <c r="QU18" s="322">
        <v>0</v>
      </c>
      <c r="QV18" s="322">
        <v>0</v>
      </c>
      <c r="QW18" s="322">
        <v>25037.84</v>
      </c>
      <c r="QX18" s="322">
        <v>98231.099999999991</v>
      </c>
      <c r="QY18" s="322">
        <v>75759.14</v>
      </c>
      <c r="QZ18" s="322">
        <v>117931.22</v>
      </c>
      <c r="RA18" s="322">
        <v>68608.709999999992</v>
      </c>
      <c r="RB18" s="322">
        <v>123131.4</v>
      </c>
      <c r="RC18" s="322">
        <v>111955.09</v>
      </c>
      <c r="RD18" s="322">
        <v>108914.53</v>
      </c>
      <c r="RE18" s="322">
        <v>106208.34</v>
      </c>
      <c r="RF18" s="322">
        <v>120627.46</v>
      </c>
      <c r="RG18" s="322">
        <v>102624.96000000001</v>
      </c>
      <c r="RH18" s="375">
        <v>91350.12</v>
      </c>
      <c r="RI18" s="375">
        <v>123476.5</v>
      </c>
      <c r="RJ18" s="375">
        <v>119639</v>
      </c>
      <c r="RK18" s="375">
        <v>125189</v>
      </c>
      <c r="RL18" s="334"/>
      <c r="RM18" s="322" t="s">
        <v>1</v>
      </c>
      <c r="RN18" s="322">
        <v>86829.440000000002</v>
      </c>
      <c r="RO18" s="322">
        <v>0</v>
      </c>
      <c r="RP18" s="322">
        <v>88245.45</v>
      </c>
      <c r="RQ18" s="322">
        <v>38320.839999999997</v>
      </c>
      <c r="RR18" s="322">
        <v>0</v>
      </c>
      <c r="RS18" s="322">
        <v>69830.600000000006</v>
      </c>
      <c r="RT18" s="322">
        <v>400358.49</v>
      </c>
      <c r="RU18" s="322">
        <v>400605.44</v>
      </c>
      <c r="RV18" s="322">
        <v>595392.38</v>
      </c>
      <c r="RW18" s="322">
        <v>418220</v>
      </c>
      <c r="RX18" s="322">
        <v>189602.94</v>
      </c>
      <c r="RY18" s="322">
        <v>163963</v>
      </c>
      <c r="RZ18" s="322">
        <v>338335.93</v>
      </c>
      <c r="SA18" s="322">
        <v>170384</v>
      </c>
      <c r="SB18" s="322">
        <v>111263</v>
      </c>
      <c r="SC18" s="322">
        <v>183200</v>
      </c>
      <c r="SD18" s="322">
        <v>183600</v>
      </c>
      <c r="SE18" s="322">
        <v>218700</v>
      </c>
      <c r="SF18" s="375">
        <v>226790</v>
      </c>
      <c r="SG18" s="375">
        <v>93500</v>
      </c>
      <c r="SH18" s="375">
        <v>85000</v>
      </c>
      <c r="SI18" s="375">
        <v>0</v>
      </c>
    </row>
    <row r="19" spans="1:503">
      <c r="A19" s="319" t="s">
        <v>2</v>
      </c>
      <c r="B19" s="319">
        <v>708764</v>
      </c>
      <c r="C19" s="319">
        <v>816195</v>
      </c>
      <c r="D19" s="319">
        <v>827817</v>
      </c>
      <c r="E19" s="319">
        <v>974732</v>
      </c>
      <c r="F19" s="319">
        <v>1056073</v>
      </c>
      <c r="G19" s="319">
        <v>1153863</v>
      </c>
      <c r="H19" s="319">
        <v>1370502</v>
      </c>
      <c r="I19" s="319">
        <v>1959196</v>
      </c>
      <c r="J19" s="319">
        <v>1369776</v>
      </c>
      <c r="K19" s="319">
        <v>1712275</v>
      </c>
      <c r="L19" s="319">
        <v>1877954</v>
      </c>
      <c r="M19" s="319">
        <v>1773128</v>
      </c>
      <c r="N19" s="319">
        <v>2152520</v>
      </c>
      <c r="O19" s="319">
        <v>2026665</v>
      </c>
      <c r="P19" s="319">
        <v>2717394</v>
      </c>
      <c r="Q19" s="319">
        <v>2101408</v>
      </c>
      <c r="R19" s="319">
        <v>2166417</v>
      </c>
      <c r="S19" s="322">
        <v>2561808</v>
      </c>
      <c r="T19" s="319">
        <v>1988159</v>
      </c>
      <c r="U19" s="319">
        <v>2387171</v>
      </c>
      <c r="V19" s="319">
        <v>2767791</v>
      </c>
      <c r="W19" s="319">
        <v>2929863.5700000003</v>
      </c>
      <c r="X19" s="330"/>
      <c r="Y19" s="319" t="s">
        <v>2</v>
      </c>
      <c r="Z19" s="319">
        <v>49613.48</v>
      </c>
      <c r="AA19" s="319">
        <v>57133.65</v>
      </c>
      <c r="AB19" s="319">
        <v>57947.19</v>
      </c>
      <c r="AC19" s="319">
        <v>87725.88</v>
      </c>
      <c r="AD19" s="319">
        <v>84485.84</v>
      </c>
      <c r="AE19" s="319">
        <v>92309.04</v>
      </c>
      <c r="AF19" s="319">
        <v>80770.41</v>
      </c>
      <c r="AG19" s="319">
        <v>97959.8</v>
      </c>
      <c r="AH19" s="319">
        <v>91628</v>
      </c>
      <c r="AI19" s="319">
        <v>93426</v>
      </c>
      <c r="AJ19" s="319">
        <v>91855</v>
      </c>
      <c r="AK19" s="319">
        <v>94455</v>
      </c>
      <c r="AL19" s="319">
        <v>96902</v>
      </c>
      <c r="AM19" s="319">
        <v>95924</v>
      </c>
      <c r="AN19" s="319">
        <v>95639</v>
      </c>
      <c r="AO19" s="319">
        <v>95593</v>
      </c>
      <c r="AP19" s="319">
        <v>94466</v>
      </c>
      <c r="AQ19" s="322">
        <v>89218</v>
      </c>
      <c r="AR19" s="319">
        <v>87221</v>
      </c>
      <c r="AS19" s="319">
        <v>87339</v>
      </c>
      <c r="AT19" s="319">
        <v>88064</v>
      </c>
      <c r="AU19" s="319">
        <v>90260</v>
      </c>
      <c r="AV19" s="334"/>
      <c r="AW19" s="319" t="s">
        <v>2</v>
      </c>
      <c r="AX19" s="319">
        <v>85051.68</v>
      </c>
      <c r="AY19" s="319">
        <v>97943.4</v>
      </c>
      <c r="AZ19" s="319">
        <v>91059.87</v>
      </c>
      <c r="BA19" s="319">
        <v>97473.200000000012</v>
      </c>
      <c r="BB19" s="319">
        <v>116168.03</v>
      </c>
      <c r="BC19" s="319">
        <v>173079.44999999998</v>
      </c>
      <c r="BD19" s="319">
        <v>123345.18</v>
      </c>
      <c r="BE19" s="319">
        <v>117551.76</v>
      </c>
      <c r="BF19" s="319">
        <v>122071</v>
      </c>
      <c r="BG19" s="319">
        <v>155024</v>
      </c>
      <c r="BH19" s="319">
        <v>134040</v>
      </c>
      <c r="BI19" s="319">
        <v>132667</v>
      </c>
      <c r="BJ19" s="319">
        <v>123196</v>
      </c>
      <c r="BK19" s="319">
        <v>126058</v>
      </c>
      <c r="BL19" s="319">
        <v>127900</v>
      </c>
      <c r="BM19" s="319">
        <v>122042</v>
      </c>
      <c r="BN19" s="319">
        <v>126363</v>
      </c>
      <c r="BO19" s="322">
        <v>127178</v>
      </c>
      <c r="BP19" s="319">
        <v>122852</v>
      </c>
      <c r="BQ19" s="319">
        <v>126230</v>
      </c>
      <c r="BR19" s="319">
        <v>113702</v>
      </c>
      <c r="BS19" s="319">
        <v>127152</v>
      </c>
      <c r="BT19" s="334"/>
      <c r="BU19" s="322" t="s">
        <v>2</v>
      </c>
      <c r="BV19" s="322">
        <v>28350.560000000001</v>
      </c>
      <c r="BW19" s="322">
        <v>8161.95</v>
      </c>
      <c r="BX19" s="322">
        <v>33112.68</v>
      </c>
      <c r="BY19" s="322">
        <v>19494.64</v>
      </c>
      <c r="BZ19" s="322">
        <v>52803.65</v>
      </c>
      <c r="CA19" s="322">
        <v>11538.63</v>
      </c>
      <c r="CB19" s="322">
        <v>54820.08</v>
      </c>
      <c r="CC19" s="322">
        <v>19591.96</v>
      </c>
      <c r="CD19" s="322">
        <v>52922</v>
      </c>
      <c r="CE19" s="322">
        <v>30080</v>
      </c>
      <c r="CF19" s="322">
        <v>40076</v>
      </c>
      <c r="CG19" s="322">
        <v>14544</v>
      </c>
      <c r="CH19" s="322">
        <v>63877</v>
      </c>
      <c r="CI19" s="322">
        <v>14766</v>
      </c>
      <c r="CJ19" s="322">
        <v>51447</v>
      </c>
      <c r="CK19" s="322">
        <v>14553</v>
      </c>
      <c r="CL19" s="322">
        <v>76234</v>
      </c>
      <c r="CM19" s="322">
        <v>13583</v>
      </c>
      <c r="CN19" s="322">
        <v>58068</v>
      </c>
      <c r="CO19" s="322">
        <v>10865</v>
      </c>
      <c r="CP19" s="322">
        <v>97683</v>
      </c>
      <c r="CQ19" s="322">
        <v>32680</v>
      </c>
      <c r="CR19" s="334"/>
      <c r="CS19" s="322" t="s">
        <v>2</v>
      </c>
      <c r="CT19" s="322">
        <v>42525.84</v>
      </c>
      <c r="CU19" s="322">
        <v>32647.8</v>
      </c>
      <c r="CV19" s="322">
        <v>33112.68</v>
      </c>
      <c r="CW19" s="322">
        <v>38989.279999999999</v>
      </c>
      <c r="CX19" s="322">
        <v>31682.19</v>
      </c>
      <c r="CY19" s="322">
        <v>46154.52</v>
      </c>
      <c r="CZ19" s="322">
        <v>95935.14</v>
      </c>
      <c r="DA19" s="322">
        <v>39183.919999999998</v>
      </c>
      <c r="DB19" s="322">
        <v>64179</v>
      </c>
      <c r="DC19" s="322">
        <v>74627</v>
      </c>
      <c r="DD19" s="322">
        <v>55064</v>
      </c>
      <c r="DE19" s="322">
        <v>106152</v>
      </c>
      <c r="DF19" s="322">
        <v>82028</v>
      </c>
      <c r="DG19" s="322">
        <v>77941</v>
      </c>
      <c r="DH19" s="322">
        <v>67689</v>
      </c>
      <c r="DI19" s="322">
        <v>63235</v>
      </c>
      <c r="DJ19" s="322">
        <v>63999</v>
      </c>
      <c r="DK19" s="322">
        <v>62194</v>
      </c>
      <c r="DL19" s="322">
        <v>32390</v>
      </c>
      <c r="DM19" s="322">
        <v>38464</v>
      </c>
      <c r="DN19" s="322">
        <v>29853</v>
      </c>
      <c r="DO19" s="322">
        <v>38225</v>
      </c>
      <c r="DP19" s="334"/>
      <c r="DQ19" s="322" t="s">
        <v>2</v>
      </c>
      <c r="DR19" s="322">
        <v>63788.76</v>
      </c>
      <c r="DS19" s="322">
        <v>97943.4</v>
      </c>
      <c r="DT19" s="322">
        <v>91059.87</v>
      </c>
      <c r="DU19" s="322">
        <v>116967.84</v>
      </c>
      <c r="DV19" s="322">
        <v>126728.76</v>
      </c>
      <c r="DW19" s="322">
        <v>138463.56</v>
      </c>
      <c r="DX19" s="322">
        <v>150755.22</v>
      </c>
      <c r="DY19" s="322">
        <v>195919.6</v>
      </c>
      <c r="DZ19" s="322">
        <v>211001</v>
      </c>
      <c r="EA19" s="322">
        <v>212412</v>
      </c>
      <c r="EB19" s="322">
        <v>203255</v>
      </c>
      <c r="EC19" s="322">
        <v>214698</v>
      </c>
      <c r="ED19" s="322">
        <v>258340</v>
      </c>
      <c r="EE19" s="322">
        <v>264901</v>
      </c>
      <c r="EF19" s="322">
        <v>223331</v>
      </c>
      <c r="EG19" s="322">
        <v>257884</v>
      </c>
      <c r="EH19" s="322">
        <v>274457</v>
      </c>
      <c r="EI19" s="322">
        <v>235918</v>
      </c>
      <c r="EJ19" s="322">
        <v>206859</v>
      </c>
      <c r="EK19" s="322">
        <v>215363</v>
      </c>
      <c r="EL19" s="322">
        <v>236210</v>
      </c>
      <c r="EM19" s="322">
        <v>244102.57</v>
      </c>
      <c r="EN19" s="334"/>
      <c r="EO19" s="322" t="s">
        <v>2</v>
      </c>
      <c r="EP19" s="322">
        <v>21262.92</v>
      </c>
      <c r="EQ19" s="322">
        <v>24485.85</v>
      </c>
      <c r="ER19" s="322">
        <v>24834.51</v>
      </c>
      <c r="ES19" s="322">
        <v>29241.96</v>
      </c>
      <c r="ET19" s="322">
        <v>42242.92</v>
      </c>
      <c r="EU19" s="322">
        <v>46154.52</v>
      </c>
      <c r="EV19" s="322">
        <v>41115.06</v>
      </c>
      <c r="EW19" s="322">
        <v>39183.919999999998</v>
      </c>
      <c r="EX19" s="322">
        <v>43143</v>
      </c>
      <c r="EY19" s="322">
        <v>43248</v>
      </c>
      <c r="EZ19" s="322">
        <v>43505</v>
      </c>
      <c r="FA19" s="322">
        <v>54777</v>
      </c>
      <c r="FB19" s="322">
        <v>44364</v>
      </c>
      <c r="FC19" s="322">
        <v>45363</v>
      </c>
      <c r="FD19" s="322">
        <v>45257</v>
      </c>
      <c r="FE19" s="322">
        <v>46067</v>
      </c>
      <c r="FF19" s="322">
        <v>46876</v>
      </c>
      <c r="FG19" s="322">
        <v>45803</v>
      </c>
      <c r="FH19" s="322">
        <v>46318</v>
      </c>
      <c r="FI19" s="322">
        <v>45746</v>
      </c>
      <c r="FJ19" s="322">
        <v>46077</v>
      </c>
      <c r="FK19" s="322">
        <v>49780</v>
      </c>
      <c r="FL19" s="334"/>
      <c r="FM19" s="322" t="s">
        <v>2</v>
      </c>
      <c r="FN19" s="322">
        <v>70876.399999999994</v>
      </c>
      <c r="FO19" s="322">
        <v>65295.6</v>
      </c>
      <c r="FP19" s="322">
        <v>74503.53</v>
      </c>
      <c r="FQ19" s="322">
        <v>77978.559999999998</v>
      </c>
      <c r="FR19" s="322">
        <v>84485.84</v>
      </c>
      <c r="FS19" s="322">
        <v>80770.41</v>
      </c>
      <c r="FT19" s="322">
        <v>82230.12</v>
      </c>
      <c r="FU19" s="322">
        <v>78367.839999999997</v>
      </c>
      <c r="FV19" s="322">
        <v>82284</v>
      </c>
      <c r="FW19" s="322">
        <v>94751</v>
      </c>
      <c r="FX19" s="322">
        <v>85014</v>
      </c>
      <c r="FY19" s="322">
        <v>89950</v>
      </c>
      <c r="FZ19" s="322">
        <v>90103</v>
      </c>
      <c r="GA19" s="322">
        <v>97961</v>
      </c>
      <c r="GB19" s="322">
        <v>101746</v>
      </c>
      <c r="GC19" s="322">
        <v>100570</v>
      </c>
      <c r="GD19" s="322">
        <v>102821</v>
      </c>
      <c r="GE19" s="322">
        <v>110296</v>
      </c>
      <c r="GF19" s="340">
        <v>99663</v>
      </c>
      <c r="GG19" s="704">
        <v>100017</v>
      </c>
      <c r="GH19" s="704">
        <v>111129</v>
      </c>
      <c r="GI19" s="704">
        <v>126075</v>
      </c>
      <c r="GJ19" s="334"/>
      <c r="GK19" s="322" t="s">
        <v>2</v>
      </c>
      <c r="GL19" s="322">
        <v>0</v>
      </c>
      <c r="GM19" s="322">
        <v>0</v>
      </c>
      <c r="GN19" s="322">
        <v>0</v>
      </c>
      <c r="GO19" s="322">
        <v>0</v>
      </c>
      <c r="GP19" s="322">
        <v>21121.46</v>
      </c>
      <c r="GQ19" s="322">
        <v>11538.63</v>
      </c>
      <c r="GR19" s="322">
        <v>0</v>
      </c>
      <c r="GS19" s="322">
        <v>0</v>
      </c>
      <c r="GT19" s="322">
        <v>31627</v>
      </c>
      <c r="GU19" s="322">
        <v>31825</v>
      </c>
      <c r="GV19" s="322">
        <v>34649</v>
      </c>
      <c r="GW19" s="322">
        <v>33794</v>
      </c>
      <c r="GX19" s="322">
        <v>35358</v>
      </c>
      <c r="GY19" s="322">
        <v>32266</v>
      </c>
      <c r="GZ19" s="322">
        <v>33379</v>
      </c>
      <c r="HA19" s="322">
        <v>66389</v>
      </c>
      <c r="HB19" s="322">
        <v>64550</v>
      </c>
      <c r="HC19" s="322">
        <v>66262</v>
      </c>
      <c r="HD19" s="322">
        <v>58009</v>
      </c>
      <c r="HE19" s="322">
        <v>65751</v>
      </c>
      <c r="HF19" s="322">
        <v>75409</v>
      </c>
      <c r="HG19" s="322">
        <v>80400</v>
      </c>
      <c r="HH19" s="334"/>
      <c r="HI19" s="322" t="s">
        <v>2</v>
      </c>
      <c r="HJ19" s="322">
        <v>28350.560000000001</v>
      </c>
      <c r="HK19" s="322">
        <v>32647.8</v>
      </c>
      <c r="HL19" s="322">
        <v>33112.68</v>
      </c>
      <c r="HM19" s="322">
        <v>19494.64</v>
      </c>
      <c r="HN19" s="322">
        <v>10560.73</v>
      </c>
      <c r="HO19" s="322">
        <v>23077.26</v>
      </c>
      <c r="HP19" s="322">
        <v>13705.02</v>
      </c>
      <c r="HQ19" s="322">
        <v>19591.96</v>
      </c>
      <c r="HR19" s="322">
        <v>13311</v>
      </c>
      <c r="HS19" s="322">
        <v>13643</v>
      </c>
      <c r="HT19" s="322">
        <v>11894</v>
      </c>
      <c r="HU19" s="322">
        <v>12100</v>
      </c>
      <c r="HV19" s="322">
        <v>8230</v>
      </c>
      <c r="HW19" s="322">
        <v>13587</v>
      </c>
      <c r="HX19" s="322">
        <v>26643</v>
      </c>
      <c r="HY19" s="322">
        <v>28346</v>
      </c>
      <c r="HZ19" s="322">
        <v>20439</v>
      </c>
      <c r="IA19" s="322">
        <v>28358</v>
      </c>
      <c r="IB19" s="322">
        <v>16150</v>
      </c>
      <c r="IC19" s="322">
        <v>13077</v>
      </c>
      <c r="ID19" s="322">
        <v>14470</v>
      </c>
      <c r="IE19" s="322">
        <v>57400</v>
      </c>
      <c r="IF19" s="334"/>
      <c r="IG19" s="322" t="s">
        <v>2</v>
      </c>
      <c r="IH19" s="322">
        <v>7087.64</v>
      </c>
      <c r="II19" s="322">
        <v>16323.9</v>
      </c>
      <c r="IJ19" s="322">
        <v>8278.17</v>
      </c>
      <c r="IK19" s="322">
        <v>9747.32</v>
      </c>
      <c r="IL19" s="322">
        <v>10560.73</v>
      </c>
      <c r="IM19" s="322">
        <v>11538.63</v>
      </c>
      <c r="IN19" s="322">
        <v>41115.06</v>
      </c>
      <c r="IO19" s="322">
        <v>39183.919999999998</v>
      </c>
      <c r="IP19" s="322">
        <v>4833</v>
      </c>
      <c r="IQ19" s="322">
        <v>7407</v>
      </c>
      <c r="IR19" s="322">
        <v>8366</v>
      </c>
      <c r="IS19" s="322">
        <v>0</v>
      </c>
      <c r="IT19" s="322">
        <v>0</v>
      </c>
      <c r="IU19" s="322">
        <v>0</v>
      </c>
      <c r="IV19" s="322"/>
      <c r="IW19" s="322"/>
      <c r="IX19" s="322"/>
      <c r="IY19" s="322"/>
      <c r="IZ19" s="322"/>
      <c r="JA19" s="322"/>
      <c r="JB19" s="322"/>
      <c r="JC19" s="322"/>
      <c r="JD19" s="334"/>
      <c r="JE19" s="322" t="s">
        <v>2</v>
      </c>
      <c r="JF19" s="322">
        <v>7087.64</v>
      </c>
      <c r="JG19" s="322">
        <v>8161.95</v>
      </c>
      <c r="JH19" s="322">
        <v>16556.34</v>
      </c>
      <c r="JI19" s="322">
        <v>9747.32</v>
      </c>
      <c r="JJ19" s="322">
        <v>21121.46</v>
      </c>
      <c r="JK19" s="322">
        <v>23077.26</v>
      </c>
      <c r="JL19" s="322">
        <v>27410.04</v>
      </c>
      <c r="JM19" s="322">
        <v>19591.96</v>
      </c>
      <c r="JN19" s="322">
        <v>27182</v>
      </c>
      <c r="JO19" s="322">
        <v>27656</v>
      </c>
      <c r="JP19" s="322">
        <v>28564</v>
      </c>
      <c r="JQ19" s="322">
        <v>29243</v>
      </c>
      <c r="JR19" s="322">
        <v>30390</v>
      </c>
      <c r="JS19" s="322">
        <v>29423</v>
      </c>
      <c r="JT19" s="322">
        <v>29552</v>
      </c>
      <c r="JU19" s="322">
        <v>31807</v>
      </c>
      <c r="JV19" s="322">
        <v>32445</v>
      </c>
      <c r="JW19" s="322">
        <v>31985</v>
      </c>
      <c r="JX19" s="322">
        <v>32175</v>
      </c>
      <c r="JY19" s="322">
        <v>32173</v>
      </c>
      <c r="JZ19" s="322">
        <v>33572</v>
      </c>
      <c r="KA19" s="322">
        <v>33935</v>
      </c>
      <c r="KB19" s="334"/>
      <c r="KC19" s="322" t="s">
        <v>2</v>
      </c>
      <c r="KD19" s="322">
        <v>7087.64</v>
      </c>
      <c r="KE19" s="322">
        <v>16323.9</v>
      </c>
      <c r="KF19" s="322">
        <v>16556.34</v>
      </c>
      <c r="KG19" s="322">
        <v>19494.64</v>
      </c>
      <c r="KH19" s="322">
        <v>21121.46</v>
      </c>
      <c r="KI19" s="322">
        <v>23077.26</v>
      </c>
      <c r="KJ19" s="322">
        <v>27410.04</v>
      </c>
      <c r="KK19" s="322">
        <v>19591.96</v>
      </c>
      <c r="KL19" s="322">
        <v>27265</v>
      </c>
      <c r="KM19" s="322">
        <v>26211</v>
      </c>
      <c r="KN19" s="322">
        <v>25534</v>
      </c>
      <c r="KO19" s="322">
        <v>25630</v>
      </c>
      <c r="KP19" s="322">
        <v>25376</v>
      </c>
      <c r="KQ19" s="322">
        <v>26123</v>
      </c>
      <c r="KR19" s="322">
        <v>26679</v>
      </c>
      <c r="KS19" s="322">
        <v>25991</v>
      </c>
      <c r="KT19" s="322">
        <v>25938</v>
      </c>
      <c r="KU19" s="322">
        <v>25631</v>
      </c>
      <c r="KV19" s="322">
        <v>23315</v>
      </c>
      <c r="KW19" s="322">
        <v>22895</v>
      </c>
      <c r="KX19" s="322">
        <v>22980</v>
      </c>
      <c r="KY19" s="322">
        <v>32000</v>
      </c>
      <c r="KZ19" s="334"/>
      <c r="LA19" s="322" t="s">
        <v>2</v>
      </c>
      <c r="LB19" s="322">
        <v>170103.36</v>
      </c>
      <c r="LC19" s="322">
        <v>212210.7</v>
      </c>
      <c r="LD19" s="322">
        <v>206954.25</v>
      </c>
      <c r="LE19" s="322">
        <v>233935.68</v>
      </c>
      <c r="LF19" s="322">
        <v>200653.87</v>
      </c>
      <c r="LG19" s="322">
        <v>242311.23</v>
      </c>
      <c r="LH19" s="322">
        <v>424855.62</v>
      </c>
      <c r="LI19" s="322">
        <v>1077557.8</v>
      </c>
      <c r="LJ19" s="322">
        <v>415995</v>
      </c>
      <c r="LK19" s="322">
        <v>509143</v>
      </c>
      <c r="LL19" s="322">
        <v>665047</v>
      </c>
      <c r="LM19" s="322">
        <v>777416</v>
      </c>
      <c r="LN19" s="322">
        <v>923026</v>
      </c>
      <c r="LO19" s="322">
        <v>721345</v>
      </c>
      <c r="LP19" s="322">
        <v>914724</v>
      </c>
      <c r="LQ19" s="322">
        <v>644255</v>
      </c>
      <c r="LR19" s="322">
        <v>493315</v>
      </c>
      <c r="LS19" s="322">
        <v>913311</v>
      </c>
      <c r="LT19" s="322">
        <v>446047</v>
      </c>
      <c r="LU19" s="322">
        <v>767930</v>
      </c>
      <c r="LV19" s="322">
        <v>716552</v>
      </c>
      <c r="LW19" s="322">
        <v>748708</v>
      </c>
      <c r="LX19" s="334"/>
      <c r="LY19" s="322" t="s">
        <v>2</v>
      </c>
      <c r="LZ19" s="322">
        <v>0</v>
      </c>
      <c r="MA19" s="322">
        <v>0</v>
      </c>
      <c r="MB19" s="322">
        <v>0</v>
      </c>
      <c r="MC19" s="322">
        <v>0</v>
      </c>
      <c r="MD19" s="322">
        <v>0</v>
      </c>
      <c r="ME19" s="322">
        <v>0</v>
      </c>
      <c r="MF19" s="322">
        <v>0</v>
      </c>
      <c r="MG19" s="322">
        <v>0</v>
      </c>
      <c r="MH19" s="322">
        <v>0</v>
      </c>
      <c r="MI19" s="322">
        <v>0</v>
      </c>
      <c r="MJ19" s="322">
        <v>0</v>
      </c>
      <c r="MK19" s="322">
        <v>0</v>
      </c>
      <c r="ML19" s="322">
        <v>0</v>
      </c>
      <c r="MM19" s="322">
        <v>0</v>
      </c>
      <c r="MN19" s="322">
        <v>0</v>
      </c>
      <c r="MO19" s="322">
        <v>0</v>
      </c>
      <c r="MP19" s="322">
        <v>0</v>
      </c>
      <c r="MQ19" s="322">
        <v>0</v>
      </c>
      <c r="MR19" s="322">
        <v>0</v>
      </c>
      <c r="MS19" s="322">
        <v>0</v>
      </c>
      <c r="MT19" s="322">
        <v>0</v>
      </c>
      <c r="MU19" s="322">
        <v>0</v>
      </c>
      <c r="MV19" s="334"/>
      <c r="MW19" s="322" t="s">
        <v>2</v>
      </c>
      <c r="MX19" s="322">
        <v>0</v>
      </c>
      <c r="MY19" s="322">
        <v>0</v>
      </c>
      <c r="MZ19" s="322">
        <v>0</v>
      </c>
      <c r="NA19" s="322">
        <v>0</v>
      </c>
      <c r="NB19" s="322">
        <v>0</v>
      </c>
      <c r="NC19" s="322">
        <v>0</v>
      </c>
      <c r="ND19" s="322">
        <v>0</v>
      </c>
      <c r="NE19" s="322">
        <v>0</v>
      </c>
      <c r="NF19" s="322">
        <v>0</v>
      </c>
      <c r="NG19" s="322">
        <v>0</v>
      </c>
      <c r="NH19" s="322">
        <v>0</v>
      </c>
      <c r="NI19" s="322">
        <v>0</v>
      </c>
      <c r="NJ19" s="322">
        <v>0</v>
      </c>
      <c r="NK19" s="322">
        <v>0</v>
      </c>
      <c r="NL19" s="322">
        <v>0</v>
      </c>
      <c r="NM19" s="322">
        <v>0</v>
      </c>
      <c r="NN19" s="322">
        <v>0</v>
      </c>
      <c r="NO19" s="322">
        <v>0</v>
      </c>
      <c r="NP19" s="322">
        <v>0</v>
      </c>
      <c r="NQ19" s="322">
        <v>0</v>
      </c>
      <c r="NR19" s="322">
        <v>0</v>
      </c>
      <c r="NS19" s="322">
        <v>0</v>
      </c>
      <c r="NT19" s="334"/>
      <c r="NU19" s="322" t="s">
        <v>2</v>
      </c>
      <c r="NV19" s="322">
        <v>56701.120000000003</v>
      </c>
      <c r="NW19" s="322">
        <v>57133.65</v>
      </c>
      <c r="NX19" s="322">
        <v>66225.36</v>
      </c>
      <c r="NY19" s="322">
        <v>77978.559999999998</v>
      </c>
      <c r="NZ19" s="322">
        <v>84485.84</v>
      </c>
      <c r="OA19" s="322">
        <v>80770.41</v>
      </c>
      <c r="OB19" s="322">
        <v>95935.14</v>
      </c>
      <c r="OC19" s="322">
        <v>78367.839999999997</v>
      </c>
      <c r="OD19" s="322">
        <v>90612</v>
      </c>
      <c r="OE19" s="322">
        <v>88149</v>
      </c>
      <c r="OF19" s="322">
        <v>101474</v>
      </c>
      <c r="OG19" s="322">
        <v>103805</v>
      </c>
      <c r="OH19" s="322">
        <v>101412</v>
      </c>
      <c r="OI19" s="322">
        <v>103952</v>
      </c>
      <c r="OJ19" s="322">
        <v>108576</v>
      </c>
      <c r="OK19" s="322">
        <v>105022</v>
      </c>
      <c r="OL19" s="322">
        <v>103747</v>
      </c>
      <c r="OM19" s="322">
        <v>116934</v>
      </c>
      <c r="ON19" s="322">
        <v>117704</v>
      </c>
      <c r="OO19" s="322">
        <v>139333</v>
      </c>
      <c r="OP19" s="322">
        <v>140589</v>
      </c>
      <c r="OQ19" s="322">
        <v>153200</v>
      </c>
      <c r="OR19" s="334"/>
      <c r="OS19" s="322" t="s">
        <v>2</v>
      </c>
      <c r="OT19" s="322">
        <v>21262.92</v>
      </c>
      <c r="OU19" s="322">
        <v>32647.8</v>
      </c>
      <c r="OV19" s="322">
        <v>24834.51</v>
      </c>
      <c r="OW19" s="322">
        <v>29241.96</v>
      </c>
      <c r="OX19" s="322">
        <v>21121.46</v>
      </c>
      <c r="OY19" s="322">
        <v>34615.89</v>
      </c>
      <c r="OZ19" s="322">
        <v>41115.06</v>
      </c>
      <c r="PA19" s="322">
        <v>39183.919999999998</v>
      </c>
      <c r="PB19" s="322">
        <v>25526</v>
      </c>
      <c r="PC19" s="322">
        <v>25305</v>
      </c>
      <c r="PD19" s="322">
        <v>27494</v>
      </c>
      <c r="PE19" s="322">
        <v>58800</v>
      </c>
      <c r="PF19" s="322">
        <v>65832</v>
      </c>
      <c r="PG19" s="322">
        <v>56296</v>
      </c>
      <c r="PH19" s="322">
        <v>59057</v>
      </c>
      <c r="PI19" s="322">
        <v>54058</v>
      </c>
      <c r="PJ19" s="322">
        <v>54486</v>
      </c>
      <c r="PK19" s="322">
        <v>55519</v>
      </c>
      <c r="PL19" s="322">
        <v>53511</v>
      </c>
      <c r="PM19" s="322">
        <v>55763</v>
      </c>
      <c r="PN19" s="322">
        <v>60332</v>
      </c>
      <c r="PO19" s="322">
        <v>78546</v>
      </c>
      <c r="PP19" s="334"/>
      <c r="PQ19" s="322" t="s">
        <v>2</v>
      </c>
      <c r="PR19" s="322">
        <v>7087.64</v>
      </c>
      <c r="PS19" s="322">
        <v>8161.95</v>
      </c>
      <c r="PT19" s="322">
        <v>8278.17</v>
      </c>
      <c r="PU19" s="322">
        <v>9747.32</v>
      </c>
      <c r="PV19" s="322">
        <v>10560.73</v>
      </c>
      <c r="PW19" s="322">
        <v>11538.63</v>
      </c>
      <c r="PX19" s="322">
        <v>13705.02</v>
      </c>
      <c r="PY19" s="322">
        <v>19591.96</v>
      </c>
      <c r="PZ19" s="322">
        <v>16197</v>
      </c>
      <c r="QA19" s="322">
        <v>19368</v>
      </c>
      <c r="QB19" s="322">
        <v>22123</v>
      </c>
      <c r="QC19" s="322">
        <v>17432</v>
      </c>
      <c r="QD19" s="322">
        <v>16115</v>
      </c>
      <c r="QE19" s="322">
        <v>22154</v>
      </c>
      <c r="QF19" s="322">
        <v>17616</v>
      </c>
      <c r="QG19" s="322">
        <v>20293</v>
      </c>
      <c r="QH19" s="322">
        <v>20089</v>
      </c>
      <c r="QI19" s="322">
        <v>19618</v>
      </c>
      <c r="QJ19" s="322">
        <v>17877</v>
      </c>
      <c r="QK19" s="322">
        <v>17596</v>
      </c>
      <c r="QL19" s="322">
        <v>19282</v>
      </c>
      <c r="QM19" s="322">
        <v>25380</v>
      </c>
      <c r="QN19" s="334"/>
      <c r="QO19" s="322" t="s">
        <v>2</v>
      </c>
      <c r="QP19" s="322">
        <v>0</v>
      </c>
      <c r="QQ19" s="322">
        <v>0</v>
      </c>
      <c r="QR19" s="322">
        <v>8278.17</v>
      </c>
      <c r="QS19" s="322">
        <v>9747.32</v>
      </c>
      <c r="QT19" s="322">
        <v>10560.73</v>
      </c>
      <c r="QU19" s="322">
        <v>11538.63</v>
      </c>
      <c r="QV19" s="322">
        <v>0</v>
      </c>
      <c r="QW19" s="322">
        <v>0</v>
      </c>
      <c r="QX19" s="322">
        <v>0</v>
      </c>
      <c r="QY19" s="322">
        <v>0</v>
      </c>
      <c r="QZ19" s="322">
        <v>0</v>
      </c>
      <c r="RA19" s="322">
        <v>0</v>
      </c>
      <c r="RB19" s="322">
        <v>0</v>
      </c>
      <c r="RC19" s="322">
        <v>0</v>
      </c>
      <c r="RD19" s="322">
        <v>0</v>
      </c>
      <c r="RE19" s="322">
        <v>0</v>
      </c>
      <c r="RF19" s="322">
        <v>0</v>
      </c>
      <c r="RG19" s="322">
        <v>0</v>
      </c>
      <c r="RH19" s="322">
        <v>0</v>
      </c>
      <c r="RI19" s="322">
        <v>0</v>
      </c>
      <c r="RJ19" s="322">
        <v>0</v>
      </c>
      <c r="RK19" s="322">
        <v>0</v>
      </c>
      <c r="RL19" s="334"/>
      <c r="RM19" s="322" t="s">
        <v>2</v>
      </c>
      <c r="RN19" s="322">
        <v>42525.84</v>
      </c>
      <c r="RO19" s="322">
        <v>48971.7</v>
      </c>
      <c r="RP19" s="322">
        <v>33112.68</v>
      </c>
      <c r="RQ19" s="322">
        <v>87725.88</v>
      </c>
      <c r="RR19" s="322">
        <v>105607.3</v>
      </c>
      <c r="RS19" s="322">
        <v>92309.04</v>
      </c>
      <c r="RT19" s="322">
        <v>41115.06</v>
      </c>
      <c r="RU19" s="322">
        <v>58775.88</v>
      </c>
      <c r="RV19" s="322">
        <v>50000</v>
      </c>
      <c r="RW19" s="322">
        <v>260000</v>
      </c>
      <c r="RX19" s="322">
        <v>300000</v>
      </c>
      <c r="RY19" s="322">
        <v>0</v>
      </c>
      <c r="RZ19" s="322">
        <v>180000</v>
      </c>
      <c r="SA19" s="322">
        <v>288000</v>
      </c>
      <c r="SB19" s="322">
        <v>788159</v>
      </c>
      <c r="SC19" s="322">
        <v>425303</v>
      </c>
      <c r="SD19" s="322">
        <v>566192</v>
      </c>
      <c r="SE19" s="322">
        <v>620000</v>
      </c>
      <c r="SF19" s="322">
        <v>570000</v>
      </c>
      <c r="SG19" s="322">
        <v>648629</v>
      </c>
      <c r="SH19" s="322">
        <v>961887</v>
      </c>
      <c r="SI19" s="322">
        <v>1012020</v>
      </c>
    </row>
    <row r="20" spans="1:503">
      <c r="A20" s="319" t="s">
        <v>3</v>
      </c>
      <c r="B20" s="319">
        <v>786386</v>
      </c>
      <c r="C20" s="319">
        <v>801456</v>
      </c>
      <c r="D20" s="319">
        <v>964848</v>
      </c>
      <c r="E20" s="319">
        <v>958149</v>
      </c>
      <c r="F20" s="319">
        <v>1067309</v>
      </c>
      <c r="G20" s="319">
        <v>978380</v>
      </c>
      <c r="H20" s="319">
        <v>1046356</v>
      </c>
      <c r="I20" s="319">
        <v>1036642</v>
      </c>
      <c r="J20" s="319">
        <v>1105403.29</v>
      </c>
      <c r="K20" s="319">
        <v>1119315.52</v>
      </c>
      <c r="L20" s="319">
        <v>1134126.04</v>
      </c>
      <c r="M20" s="319">
        <v>1191968.3999999999</v>
      </c>
      <c r="N20" s="319">
        <v>1286381.6299999999</v>
      </c>
      <c r="O20" s="319">
        <v>1313576.18</v>
      </c>
      <c r="P20" s="319">
        <v>1376596.63</v>
      </c>
      <c r="Q20" s="319">
        <v>1347840.4100000001</v>
      </c>
      <c r="R20" s="319">
        <v>1345730.77</v>
      </c>
      <c r="S20" s="322">
        <v>1525581</v>
      </c>
      <c r="T20" s="319">
        <v>1586700</v>
      </c>
      <c r="U20" s="319">
        <v>1271440</v>
      </c>
      <c r="V20" s="319">
        <v>1570901.92</v>
      </c>
      <c r="W20" s="319">
        <v>2294549</v>
      </c>
      <c r="X20" s="330"/>
      <c r="Y20" s="319" t="s">
        <v>3</v>
      </c>
      <c r="Z20" s="319">
        <v>47183.16</v>
      </c>
      <c r="AA20" s="319">
        <v>48087.360000000001</v>
      </c>
      <c r="AB20" s="319">
        <v>57890.879999999997</v>
      </c>
      <c r="AC20" s="319">
        <v>76651.92</v>
      </c>
      <c r="AD20" s="319">
        <v>74711.63</v>
      </c>
      <c r="AE20" s="319">
        <v>78270.399999999994</v>
      </c>
      <c r="AF20" s="319">
        <v>78270.399999999994</v>
      </c>
      <c r="AG20" s="319">
        <v>82931.360000000001</v>
      </c>
      <c r="AH20" s="319">
        <v>82330.320000000007</v>
      </c>
      <c r="AI20" s="319">
        <v>84152.700000000012</v>
      </c>
      <c r="AJ20" s="319">
        <v>81879.360000000001</v>
      </c>
      <c r="AK20" s="319">
        <v>85402.64</v>
      </c>
      <c r="AL20" s="319">
        <v>92394.48</v>
      </c>
      <c r="AM20" s="319">
        <v>104887.99</v>
      </c>
      <c r="AN20" s="319">
        <v>102833.55</v>
      </c>
      <c r="AO20" s="319">
        <v>102943.15000000001</v>
      </c>
      <c r="AP20" s="319">
        <v>106784</v>
      </c>
      <c r="AQ20" s="322">
        <v>108208</v>
      </c>
      <c r="AR20" s="319">
        <v>108029</v>
      </c>
      <c r="AS20" s="319">
        <v>110850</v>
      </c>
      <c r="AT20" s="319">
        <v>115593.05</v>
      </c>
      <c r="AU20" s="319">
        <v>126000</v>
      </c>
      <c r="AV20" s="334"/>
      <c r="AW20" s="319" t="s">
        <v>3</v>
      </c>
      <c r="AX20" s="319">
        <v>62910.880000000005</v>
      </c>
      <c r="AY20" s="319">
        <v>56101.920000000006</v>
      </c>
      <c r="AZ20" s="319">
        <v>67539.360000000001</v>
      </c>
      <c r="BA20" s="319">
        <v>76651.92</v>
      </c>
      <c r="BB20" s="319">
        <v>85384.72</v>
      </c>
      <c r="BC20" s="319">
        <v>78270.400000000009</v>
      </c>
      <c r="BD20" s="319">
        <v>73244.920000000013</v>
      </c>
      <c r="BE20" s="319">
        <v>62198.52</v>
      </c>
      <c r="BF20" s="319">
        <v>67764.160000000003</v>
      </c>
      <c r="BG20" s="319">
        <v>67572.740000000005</v>
      </c>
      <c r="BH20" s="319">
        <v>69465.34</v>
      </c>
      <c r="BI20" s="319">
        <v>79097.7</v>
      </c>
      <c r="BJ20" s="319">
        <v>88656.98</v>
      </c>
      <c r="BK20" s="319">
        <v>149016.42000000001</v>
      </c>
      <c r="BL20" s="319">
        <v>107031.63</v>
      </c>
      <c r="BM20" s="319">
        <v>112701.01999999997</v>
      </c>
      <c r="BN20" s="319">
        <v>122977</v>
      </c>
      <c r="BO20" s="322">
        <v>124524</v>
      </c>
      <c r="BP20" s="319">
        <v>126847</v>
      </c>
      <c r="BQ20" s="319">
        <v>124247</v>
      </c>
      <c r="BR20" s="319">
        <v>130034.37</v>
      </c>
      <c r="BS20" s="319">
        <v>154675</v>
      </c>
      <c r="BT20" s="334"/>
      <c r="BU20" s="322" t="s">
        <v>3</v>
      </c>
      <c r="BV20" s="322">
        <v>15727.72</v>
      </c>
      <c r="BW20" s="322">
        <v>0</v>
      </c>
      <c r="BX20" s="322">
        <v>9648.48</v>
      </c>
      <c r="BY20" s="322">
        <v>9581.49</v>
      </c>
      <c r="BZ20" s="322">
        <v>10673.09</v>
      </c>
      <c r="CA20" s="322">
        <v>0</v>
      </c>
      <c r="CB20" s="322">
        <v>20927.12</v>
      </c>
      <c r="CC20" s="322">
        <v>0</v>
      </c>
      <c r="CD20" s="322">
        <v>29073.09</v>
      </c>
      <c r="CE20" s="322">
        <v>428.12</v>
      </c>
      <c r="CF20" s="322">
        <v>23246.67</v>
      </c>
      <c r="CG20" s="322">
        <v>1060.73</v>
      </c>
      <c r="CH20" s="322">
        <v>36993.509999999995</v>
      </c>
      <c r="CI20" s="322">
        <v>1347.71</v>
      </c>
      <c r="CJ20" s="322">
        <v>31878.090000000007</v>
      </c>
      <c r="CK20" s="322">
        <v>284.68</v>
      </c>
      <c r="CL20" s="322">
        <v>45471</v>
      </c>
      <c r="CM20" s="322">
        <v>5939</v>
      </c>
      <c r="CN20" s="322">
        <v>31494</v>
      </c>
      <c r="CO20" s="322">
        <v>1877</v>
      </c>
      <c r="CP20" s="322">
        <v>58977.67</v>
      </c>
      <c r="CQ20" s="322">
        <v>8100</v>
      </c>
      <c r="CR20" s="334"/>
      <c r="CS20" s="322" t="s">
        <v>3</v>
      </c>
      <c r="CT20" s="322">
        <v>55047.02</v>
      </c>
      <c r="CU20" s="322">
        <v>48087.360000000001</v>
      </c>
      <c r="CV20" s="322">
        <v>67539.360000000001</v>
      </c>
      <c r="CW20" s="322">
        <v>47907.45</v>
      </c>
      <c r="CX20" s="322">
        <v>192115.62</v>
      </c>
      <c r="CY20" s="322">
        <v>58702.8</v>
      </c>
      <c r="CZ20" s="322">
        <v>41854.239999999998</v>
      </c>
      <c r="DA20" s="322">
        <v>93297.78</v>
      </c>
      <c r="DB20" s="322">
        <v>90663.639999999985</v>
      </c>
      <c r="DC20" s="322">
        <v>89324.800000000017</v>
      </c>
      <c r="DD20" s="322">
        <v>101413.14</v>
      </c>
      <c r="DE20" s="322">
        <v>172361.46</v>
      </c>
      <c r="DF20" s="322">
        <v>199618.44</v>
      </c>
      <c r="DG20" s="322">
        <v>172325.13</v>
      </c>
      <c r="DH20" s="322">
        <v>162995.35999999999</v>
      </c>
      <c r="DI20" s="322">
        <v>103703.96</v>
      </c>
      <c r="DJ20" s="322">
        <v>101415</v>
      </c>
      <c r="DK20" s="322">
        <v>180846</v>
      </c>
      <c r="DL20" s="322">
        <v>163641</v>
      </c>
      <c r="DM20" s="322">
        <v>98106</v>
      </c>
      <c r="DN20" s="322">
        <v>131079.81</v>
      </c>
      <c r="DO20" s="322">
        <v>550700</v>
      </c>
      <c r="DP20" s="334"/>
      <c r="DQ20" s="322" t="s">
        <v>3</v>
      </c>
      <c r="DR20" s="322">
        <v>117957.9</v>
      </c>
      <c r="DS20" s="322">
        <v>120218.4</v>
      </c>
      <c r="DT20" s="322">
        <v>125430.24</v>
      </c>
      <c r="DU20" s="322">
        <v>134140.85999999999</v>
      </c>
      <c r="DV20" s="322">
        <v>138750.17000000001</v>
      </c>
      <c r="DW20" s="322">
        <v>166324.6</v>
      </c>
      <c r="DX20" s="322">
        <v>177880.52</v>
      </c>
      <c r="DY20" s="322">
        <v>176229.14</v>
      </c>
      <c r="DZ20" s="322">
        <v>181993.5</v>
      </c>
      <c r="EA20" s="322">
        <v>201538.07</v>
      </c>
      <c r="EB20" s="322">
        <v>202586.34</v>
      </c>
      <c r="EC20" s="322">
        <v>193453.71000000002</v>
      </c>
      <c r="ED20" s="322">
        <v>188301.88999999998</v>
      </c>
      <c r="EE20" s="322">
        <v>170984.22</v>
      </c>
      <c r="EF20" s="322">
        <v>160009.69</v>
      </c>
      <c r="EG20" s="322">
        <v>171480.75</v>
      </c>
      <c r="EH20" s="322">
        <v>177870</v>
      </c>
      <c r="EI20" s="322">
        <v>193295</v>
      </c>
      <c r="EJ20" s="322">
        <v>197044</v>
      </c>
      <c r="EK20" s="322">
        <v>208279</v>
      </c>
      <c r="EL20" s="322">
        <v>237988.86</v>
      </c>
      <c r="EM20" s="322">
        <v>276000</v>
      </c>
      <c r="EN20" s="334"/>
      <c r="EO20" s="322" t="s">
        <v>3</v>
      </c>
      <c r="EP20" s="322">
        <v>15727.72</v>
      </c>
      <c r="EQ20" s="322">
        <v>16029.12</v>
      </c>
      <c r="ER20" s="322">
        <v>19296.96</v>
      </c>
      <c r="ES20" s="322">
        <v>28744.47</v>
      </c>
      <c r="ET20" s="322">
        <v>32019.27</v>
      </c>
      <c r="EU20" s="322">
        <v>29351.4</v>
      </c>
      <c r="EV20" s="322">
        <v>31390.68</v>
      </c>
      <c r="EW20" s="322">
        <v>31099.26</v>
      </c>
      <c r="EX20" s="322">
        <v>37426.130000000005</v>
      </c>
      <c r="EY20" s="322">
        <v>38926.979999999996</v>
      </c>
      <c r="EZ20" s="322">
        <v>38561.699999999997</v>
      </c>
      <c r="FA20" s="322">
        <v>40114.239999999998</v>
      </c>
      <c r="FB20" s="322">
        <v>43636.229999999996</v>
      </c>
      <c r="FC20" s="322">
        <v>53173.549999999996</v>
      </c>
      <c r="FD20" s="322">
        <v>50443.79</v>
      </c>
      <c r="FE20" s="322">
        <v>52095.88</v>
      </c>
      <c r="FF20" s="322">
        <v>51907</v>
      </c>
      <c r="FG20" s="322">
        <v>52943</v>
      </c>
      <c r="FH20" s="322">
        <v>52700</v>
      </c>
      <c r="FI20" s="322">
        <v>55392</v>
      </c>
      <c r="FJ20" s="322">
        <v>56271.9</v>
      </c>
      <c r="FK20" s="322">
        <v>63480</v>
      </c>
      <c r="FL20" s="334"/>
      <c r="FM20" s="322" t="s">
        <v>3</v>
      </c>
      <c r="FN20" s="322">
        <v>47183.16</v>
      </c>
      <c r="FO20" s="322">
        <v>48087.360000000001</v>
      </c>
      <c r="FP20" s="322">
        <v>48242.400000000001</v>
      </c>
      <c r="FQ20" s="322">
        <v>57488.94</v>
      </c>
      <c r="FR20" s="322">
        <v>53365.45</v>
      </c>
      <c r="FS20" s="322">
        <v>58702.8</v>
      </c>
      <c r="FT20" s="322">
        <v>62781.36</v>
      </c>
      <c r="FU20" s="322">
        <v>62198.52</v>
      </c>
      <c r="FV20" s="322">
        <v>59224.539999999994</v>
      </c>
      <c r="FW20" s="322">
        <v>62898.26</v>
      </c>
      <c r="FX20" s="322">
        <v>55632.109999999993</v>
      </c>
      <c r="FY20" s="322">
        <v>61237.64</v>
      </c>
      <c r="FZ20" s="322">
        <v>64944.149999999994</v>
      </c>
      <c r="GA20" s="322">
        <v>96367.84</v>
      </c>
      <c r="GB20" s="322">
        <v>75318.19</v>
      </c>
      <c r="GC20" s="322">
        <v>83684.749999999985</v>
      </c>
      <c r="GD20" s="322">
        <v>86749</v>
      </c>
      <c r="GE20" s="322">
        <v>88345</v>
      </c>
      <c r="GF20" s="340">
        <v>92434</v>
      </c>
      <c r="GG20" s="704">
        <v>87882</v>
      </c>
      <c r="GH20" s="704">
        <v>104057.68</v>
      </c>
      <c r="GI20" s="704">
        <v>122675</v>
      </c>
      <c r="GJ20" s="334"/>
      <c r="GK20" s="322" t="s">
        <v>3</v>
      </c>
      <c r="GL20" s="322">
        <v>7863.86</v>
      </c>
      <c r="GM20" s="322">
        <v>16029.12</v>
      </c>
      <c r="GN20" s="322">
        <v>9648.48</v>
      </c>
      <c r="GO20" s="322">
        <v>9581.49</v>
      </c>
      <c r="GP20" s="322">
        <v>10673.09</v>
      </c>
      <c r="GQ20" s="322">
        <v>19567.599999999999</v>
      </c>
      <c r="GR20" s="322">
        <v>20927.12</v>
      </c>
      <c r="GS20" s="322">
        <v>20732.84</v>
      </c>
      <c r="GT20" s="322">
        <v>20682.37</v>
      </c>
      <c r="GU20" s="322">
        <v>20664.410000000003</v>
      </c>
      <c r="GV20" s="322">
        <v>21311.17</v>
      </c>
      <c r="GW20" s="322">
        <v>23581.75</v>
      </c>
      <c r="GX20" s="322">
        <v>23821.1</v>
      </c>
      <c r="GY20" s="322">
        <v>24490.77</v>
      </c>
      <c r="GZ20" s="322">
        <v>27059.38</v>
      </c>
      <c r="HA20" s="322">
        <v>24599.09</v>
      </c>
      <c r="HB20" s="322">
        <v>26625</v>
      </c>
      <c r="HC20" s="322">
        <v>26583</v>
      </c>
      <c r="HD20" s="322">
        <v>27632</v>
      </c>
      <c r="HE20" s="322">
        <v>52792</v>
      </c>
      <c r="HF20" s="322">
        <v>53183.6</v>
      </c>
      <c r="HG20" s="322">
        <v>58475</v>
      </c>
      <c r="HH20" s="334"/>
      <c r="HI20" s="322" t="s">
        <v>3</v>
      </c>
      <c r="HJ20" s="322">
        <v>7863.86</v>
      </c>
      <c r="HK20" s="322">
        <v>0</v>
      </c>
      <c r="HL20" s="322">
        <v>0</v>
      </c>
      <c r="HM20" s="322">
        <v>9581.49</v>
      </c>
      <c r="HN20" s="322">
        <v>0</v>
      </c>
      <c r="HO20" s="322">
        <v>0</v>
      </c>
      <c r="HP20" s="322">
        <v>0</v>
      </c>
      <c r="HQ20" s="322">
        <v>0</v>
      </c>
      <c r="HR20" s="322">
        <v>3387.89</v>
      </c>
      <c r="HS20" s="322">
        <v>2049.4899999999998</v>
      </c>
      <c r="HT20" s="322">
        <v>2547.0100000000002</v>
      </c>
      <c r="HU20" s="322">
        <v>2279.64</v>
      </c>
      <c r="HV20" s="322">
        <v>2799.3599999999997</v>
      </c>
      <c r="HW20" s="322">
        <v>5154.8899999999994</v>
      </c>
      <c r="HX20" s="322">
        <v>9161.5700000000015</v>
      </c>
      <c r="HY20" s="322">
        <v>11556.73</v>
      </c>
      <c r="HZ20" s="322">
        <v>13779</v>
      </c>
      <c r="IA20" s="322">
        <v>19219</v>
      </c>
      <c r="IB20" s="322">
        <v>28327</v>
      </c>
      <c r="IC20" s="322">
        <v>18268</v>
      </c>
      <c r="ID20" s="322">
        <v>20290.46</v>
      </c>
      <c r="IE20" s="322">
        <v>26964</v>
      </c>
      <c r="IF20" s="334"/>
      <c r="IG20" s="322" t="s">
        <v>3</v>
      </c>
      <c r="IH20" s="322">
        <v>7863.86</v>
      </c>
      <c r="II20" s="322">
        <v>8014.56</v>
      </c>
      <c r="IJ20" s="322">
        <v>9648.48</v>
      </c>
      <c r="IK20" s="322">
        <v>9581.49</v>
      </c>
      <c r="IL20" s="322">
        <v>10673.09</v>
      </c>
      <c r="IM20" s="322">
        <v>9783.7999999999993</v>
      </c>
      <c r="IN20" s="322">
        <v>10463.56</v>
      </c>
      <c r="IO20" s="322">
        <v>10366.42</v>
      </c>
      <c r="IP20" s="322">
        <v>6383.7800000000007</v>
      </c>
      <c r="IQ20" s="322">
        <v>6099.4</v>
      </c>
      <c r="IR20" s="322">
        <v>5297.51</v>
      </c>
      <c r="IS20" s="322">
        <v>0</v>
      </c>
      <c r="IT20" s="322">
        <v>0</v>
      </c>
      <c r="IU20" s="322">
        <v>0</v>
      </c>
      <c r="IV20" s="322"/>
      <c r="IW20" s="322"/>
      <c r="IX20" s="322"/>
      <c r="IY20" s="322"/>
      <c r="IZ20" s="322"/>
      <c r="JA20" s="322"/>
      <c r="JB20" s="322"/>
      <c r="JC20" s="322"/>
      <c r="JD20" s="334"/>
      <c r="JE20" s="322" t="s">
        <v>3</v>
      </c>
      <c r="JF20" s="322">
        <v>0</v>
      </c>
      <c r="JG20" s="322">
        <v>0</v>
      </c>
      <c r="JH20" s="322">
        <v>0</v>
      </c>
      <c r="JI20" s="322">
        <v>0</v>
      </c>
      <c r="JJ20" s="322">
        <v>0</v>
      </c>
      <c r="JK20" s="322">
        <v>0</v>
      </c>
      <c r="JL20" s="322">
        <v>0</v>
      </c>
      <c r="JM20" s="322">
        <v>0</v>
      </c>
      <c r="JN20" s="322">
        <v>1586.8400000000001</v>
      </c>
      <c r="JO20" s="322">
        <v>2388.2200000000003</v>
      </c>
      <c r="JP20" s="322">
        <v>1961.1100000000001</v>
      </c>
      <c r="JQ20" s="322">
        <v>8988.74</v>
      </c>
      <c r="JR20" s="322">
        <v>1272.4699999999998</v>
      </c>
      <c r="JS20" s="322">
        <v>4648.24</v>
      </c>
      <c r="JT20" s="322">
        <v>6077.71</v>
      </c>
      <c r="JU20" s="322">
        <v>2444.88</v>
      </c>
      <c r="JV20" s="322">
        <v>1094</v>
      </c>
      <c r="JW20" s="322">
        <v>3380</v>
      </c>
      <c r="JX20" s="322">
        <v>1072</v>
      </c>
      <c r="JY20" s="322">
        <v>1783</v>
      </c>
      <c r="JZ20" s="322">
        <v>3365.02</v>
      </c>
      <c r="KA20" s="322">
        <v>9300</v>
      </c>
      <c r="KB20" s="334"/>
      <c r="KC20" s="322" t="s">
        <v>3</v>
      </c>
      <c r="KD20" s="322">
        <v>0</v>
      </c>
      <c r="KE20" s="322">
        <v>8014.56</v>
      </c>
      <c r="KF20" s="322">
        <v>9648.48</v>
      </c>
      <c r="KG20" s="322">
        <v>9581.49</v>
      </c>
      <c r="KH20" s="322">
        <v>21346.18</v>
      </c>
      <c r="KI20" s="322">
        <v>19567.599999999999</v>
      </c>
      <c r="KJ20" s="322">
        <v>20927.12</v>
      </c>
      <c r="KK20" s="322">
        <v>20732.84</v>
      </c>
      <c r="KL20" s="322">
        <v>17724.379999999997</v>
      </c>
      <c r="KM20" s="322">
        <v>21301.63</v>
      </c>
      <c r="KN20" s="322">
        <v>21810.940000000002</v>
      </c>
      <c r="KO20" s="322">
        <v>23809.84</v>
      </c>
      <c r="KP20" s="322">
        <v>23587.160000000003</v>
      </c>
      <c r="KQ20" s="322">
        <v>29154.799999999999</v>
      </c>
      <c r="KR20" s="322">
        <v>30246.48</v>
      </c>
      <c r="KS20" s="322">
        <v>33789.350000000006</v>
      </c>
      <c r="KT20" s="322">
        <v>32750</v>
      </c>
      <c r="KU20" s="322">
        <v>35921</v>
      </c>
      <c r="KV20" s="322">
        <v>34683</v>
      </c>
      <c r="KW20" s="322">
        <v>34883</v>
      </c>
      <c r="KX20" s="322">
        <v>34990.620000000003</v>
      </c>
      <c r="KY20" s="322">
        <v>40730</v>
      </c>
      <c r="KZ20" s="334"/>
      <c r="LA20" s="322" t="s">
        <v>3</v>
      </c>
      <c r="LB20" s="322">
        <v>55047.02</v>
      </c>
      <c r="LC20" s="322">
        <v>64116.480000000003</v>
      </c>
      <c r="LD20" s="322">
        <v>77187.839999999997</v>
      </c>
      <c r="LE20" s="322">
        <v>47907.45</v>
      </c>
      <c r="LF20" s="322">
        <v>53365.45</v>
      </c>
      <c r="LG20" s="322">
        <v>39135.199999999997</v>
      </c>
      <c r="LH20" s="322">
        <v>41854.239999999998</v>
      </c>
      <c r="LI20" s="322">
        <v>62198.52</v>
      </c>
      <c r="LJ20" s="322">
        <v>69770.02</v>
      </c>
      <c r="LK20" s="322">
        <v>68440.61</v>
      </c>
      <c r="LL20" s="322">
        <v>70512.14</v>
      </c>
      <c r="LM20" s="322">
        <v>81469.349999999991</v>
      </c>
      <c r="LN20" s="322">
        <v>77854.310000000012</v>
      </c>
      <c r="LO20" s="322">
        <v>72751.19</v>
      </c>
      <c r="LP20" s="322">
        <v>52424.909999999996</v>
      </c>
      <c r="LQ20" s="322">
        <v>49753.299999999996</v>
      </c>
      <c r="LR20" s="322">
        <v>0</v>
      </c>
      <c r="LS20" s="322">
        <v>49299</v>
      </c>
      <c r="LT20" s="322">
        <v>63849</v>
      </c>
      <c r="LU20" s="322">
        <v>61677</v>
      </c>
      <c r="LV20" s="322">
        <v>50475.69</v>
      </c>
      <c r="LW20" s="322">
        <v>67850</v>
      </c>
      <c r="LX20" s="334"/>
      <c r="LY20" s="322" t="s">
        <v>3</v>
      </c>
      <c r="LZ20" s="322">
        <v>133685.62</v>
      </c>
      <c r="MA20" s="322">
        <v>128232.96000000001</v>
      </c>
      <c r="MB20" s="322">
        <v>202618.08</v>
      </c>
      <c r="MC20" s="322">
        <v>153303.84</v>
      </c>
      <c r="MD20" s="322">
        <v>117403.99</v>
      </c>
      <c r="ME20" s="322">
        <v>127189.4</v>
      </c>
      <c r="MF20" s="322">
        <v>188344.08</v>
      </c>
      <c r="MG20" s="322">
        <v>279893.34000000003</v>
      </c>
      <c r="MH20" s="322">
        <v>318071.40000000002</v>
      </c>
      <c r="MI20" s="322">
        <v>322196.04999999993</v>
      </c>
      <c r="MJ20" s="322">
        <v>310016.67999999993</v>
      </c>
      <c r="MK20" s="322">
        <v>278713.82</v>
      </c>
      <c r="ML20" s="322">
        <v>293647.24</v>
      </c>
      <c r="MM20" s="322">
        <v>81296.98</v>
      </c>
      <c r="MN20" s="322">
        <v>0</v>
      </c>
      <c r="MO20" s="322">
        <v>0</v>
      </c>
      <c r="MP20" s="322">
        <v>0</v>
      </c>
      <c r="MQ20" s="322">
        <v>0</v>
      </c>
      <c r="MR20" s="322">
        <v>0</v>
      </c>
      <c r="MS20" s="322">
        <v>0</v>
      </c>
      <c r="MT20" s="322">
        <v>0</v>
      </c>
      <c r="MU20" s="322">
        <v>0</v>
      </c>
      <c r="MV20" s="334"/>
      <c r="MW20" s="322" t="s">
        <v>3</v>
      </c>
      <c r="MX20" s="322">
        <v>70774.740000000005</v>
      </c>
      <c r="MY20" s="322">
        <v>88160.16</v>
      </c>
      <c r="MZ20" s="322">
        <v>96484.800000000003</v>
      </c>
      <c r="NA20" s="322">
        <v>95814.9</v>
      </c>
      <c r="NB20" s="322">
        <v>96057.81</v>
      </c>
      <c r="NC20" s="322">
        <v>97838</v>
      </c>
      <c r="ND20" s="322">
        <v>104635.6</v>
      </c>
      <c r="NE20" s="322">
        <v>0</v>
      </c>
      <c r="NF20" s="322">
        <v>0</v>
      </c>
      <c r="NG20" s="322">
        <v>0</v>
      </c>
      <c r="NH20" s="322">
        <v>0</v>
      </c>
      <c r="NI20" s="322">
        <v>0</v>
      </c>
      <c r="NJ20" s="322">
        <v>0</v>
      </c>
      <c r="NK20" s="322">
        <v>0</v>
      </c>
      <c r="NL20" s="322">
        <v>0</v>
      </c>
      <c r="NM20" s="322">
        <v>0</v>
      </c>
      <c r="NN20" s="322">
        <v>0</v>
      </c>
      <c r="NO20" s="322">
        <v>0</v>
      </c>
      <c r="NP20" s="322">
        <v>0</v>
      </c>
      <c r="NQ20" s="322">
        <v>0</v>
      </c>
      <c r="NR20" s="322">
        <v>0</v>
      </c>
      <c r="NS20" s="322">
        <v>0</v>
      </c>
      <c r="NT20" s="334"/>
      <c r="NU20" s="322" t="s">
        <v>3</v>
      </c>
      <c r="NV20" s="322">
        <v>117957.9</v>
      </c>
      <c r="NW20" s="322">
        <v>120218.4</v>
      </c>
      <c r="NX20" s="322">
        <v>115781.75999999999</v>
      </c>
      <c r="NY20" s="322">
        <v>134140.85999999999</v>
      </c>
      <c r="NZ20" s="322">
        <v>128077.08</v>
      </c>
      <c r="OA20" s="322">
        <v>136973.20000000001</v>
      </c>
      <c r="OB20" s="322">
        <v>115099.16</v>
      </c>
      <c r="OC20" s="322">
        <v>72564.94</v>
      </c>
      <c r="OD20" s="322">
        <v>69481.649999999994</v>
      </c>
      <c r="OE20" s="322">
        <v>73018.570000000007</v>
      </c>
      <c r="OF20" s="322">
        <v>73366.75</v>
      </c>
      <c r="OG20" s="322">
        <v>75631.700000000012</v>
      </c>
      <c r="OH20" s="322">
        <v>85302.6</v>
      </c>
      <c r="OI20" s="322">
        <v>85869.03</v>
      </c>
      <c r="OJ20" s="322">
        <v>90392</v>
      </c>
      <c r="OK20" s="322">
        <v>91885.19</v>
      </c>
      <c r="OL20" s="322">
        <v>94883.6</v>
      </c>
      <c r="OM20" s="322">
        <v>95680</v>
      </c>
      <c r="ON20" s="322">
        <v>97591</v>
      </c>
      <c r="OO20" s="322">
        <v>110033</v>
      </c>
      <c r="OP20" s="322">
        <v>113296.34</v>
      </c>
      <c r="OQ20" s="322">
        <v>120155</v>
      </c>
      <c r="OR20" s="334"/>
      <c r="OS20" s="322" t="s">
        <v>3</v>
      </c>
      <c r="OT20" s="322">
        <v>23591.58</v>
      </c>
      <c r="OU20" s="322">
        <v>24043.68</v>
      </c>
      <c r="OV20" s="322">
        <v>19296.96</v>
      </c>
      <c r="OW20" s="322">
        <v>19162.98</v>
      </c>
      <c r="OX20" s="322">
        <v>10673.09</v>
      </c>
      <c r="OY20" s="322">
        <v>9783.7999999999993</v>
      </c>
      <c r="OZ20" s="322">
        <v>10463.56</v>
      </c>
      <c r="PA20" s="322">
        <v>10366.42</v>
      </c>
      <c r="PB20" s="322">
        <v>6411.74</v>
      </c>
      <c r="PC20" s="322">
        <v>7302.7899999999991</v>
      </c>
      <c r="PD20" s="322">
        <v>8606.65</v>
      </c>
      <c r="PE20" s="322">
        <v>8008.02</v>
      </c>
      <c r="PF20" s="322">
        <v>8230.68</v>
      </c>
      <c r="PG20" s="322">
        <v>8071.8499999999995</v>
      </c>
      <c r="PH20" s="322">
        <v>6998.68</v>
      </c>
      <c r="PI20" s="322">
        <v>8615.58</v>
      </c>
      <c r="PJ20" s="322">
        <v>6145.33</v>
      </c>
      <c r="PK20" s="322">
        <v>6534</v>
      </c>
      <c r="PL20" s="322">
        <v>8914</v>
      </c>
      <c r="PM20" s="322">
        <v>5843</v>
      </c>
      <c r="PN20" s="322">
        <v>6445.12</v>
      </c>
      <c r="PO20" s="322">
        <v>8110</v>
      </c>
      <c r="PP20" s="334"/>
      <c r="PQ20" s="322" t="s">
        <v>3</v>
      </c>
      <c r="PR20" s="322">
        <v>0</v>
      </c>
      <c r="PS20" s="322">
        <v>8014.56</v>
      </c>
      <c r="PT20" s="322">
        <v>9648.48</v>
      </c>
      <c r="PU20" s="322">
        <v>9581.49</v>
      </c>
      <c r="PV20" s="322">
        <v>10673.09</v>
      </c>
      <c r="PW20" s="322">
        <v>9783.7999999999993</v>
      </c>
      <c r="PX20" s="322">
        <v>10463.56</v>
      </c>
      <c r="PY20" s="322">
        <v>10366.42</v>
      </c>
      <c r="PZ20" s="322">
        <v>10927.84</v>
      </c>
      <c r="QA20" s="322">
        <v>13262.68</v>
      </c>
      <c r="QB20" s="322">
        <v>13511.42</v>
      </c>
      <c r="QC20" s="322">
        <v>13051.76</v>
      </c>
      <c r="QD20" s="322">
        <v>11855.22</v>
      </c>
      <c r="QE20" s="322">
        <v>14622.9</v>
      </c>
      <c r="QF20" s="322">
        <v>19359.509999999998</v>
      </c>
      <c r="QG20" s="322">
        <v>15022.28</v>
      </c>
      <c r="QH20" s="322">
        <v>0</v>
      </c>
      <c r="QI20" s="322">
        <v>16563</v>
      </c>
      <c r="QJ20" s="322">
        <v>16641</v>
      </c>
      <c r="QK20" s="322">
        <v>17009</v>
      </c>
      <c r="QL20" s="322">
        <v>21425.58</v>
      </c>
      <c r="QM20" s="322">
        <v>25085</v>
      </c>
      <c r="QN20" s="334"/>
      <c r="QO20" s="322" t="s">
        <v>3</v>
      </c>
      <c r="QP20" s="322">
        <v>0</v>
      </c>
      <c r="QQ20" s="322">
        <v>0</v>
      </c>
      <c r="QR20" s="322">
        <v>0</v>
      </c>
      <c r="QS20" s="322">
        <v>0</v>
      </c>
      <c r="QT20" s="322">
        <v>0</v>
      </c>
      <c r="QU20" s="322">
        <v>0</v>
      </c>
      <c r="QV20" s="322">
        <v>0</v>
      </c>
      <c r="QW20" s="322">
        <v>0</v>
      </c>
      <c r="QX20" s="322">
        <v>2500</v>
      </c>
      <c r="QY20" s="322">
        <v>2750</v>
      </c>
      <c r="QZ20" s="322">
        <v>2400</v>
      </c>
      <c r="RA20" s="322">
        <v>3450</v>
      </c>
      <c r="RB20" s="322">
        <v>2750</v>
      </c>
      <c r="RC20" s="322">
        <v>2750</v>
      </c>
      <c r="RD20" s="322">
        <v>2750</v>
      </c>
      <c r="RE20" s="322">
        <v>3000</v>
      </c>
      <c r="RF20" s="322">
        <v>3000</v>
      </c>
      <c r="RG20" s="322">
        <v>3000</v>
      </c>
      <c r="RH20" s="322">
        <v>3000</v>
      </c>
      <c r="RI20" s="322">
        <v>3000</v>
      </c>
      <c r="RJ20" s="322">
        <v>3426.15</v>
      </c>
      <c r="RK20" s="322">
        <v>6250</v>
      </c>
      <c r="RL20" s="334"/>
      <c r="RM20" s="322" t="s">
        <v>3</v>
      </c>
      <c r="RN20" s="322">
        <v>0</v>
      </c>
      <c r="RO20" s="322">
        <v>0</v>
      </c>
      <c r="RP20" s="322">
        <v>19296.96</v>
      </c>
      <c r="RQ20" s="322">
        <v>28744.47</v>
      </c>
      <c r="RR20" s="322">
        <v>21346.18</v>
      </c>
      <c r="RS20" s="322">
        <v>39135.199999999997</v>
      </c>
      <c r="RT20" s="322">
        <v>31390.68</v>
      </c>
      <c r="RU20" s="322">
        <v>41465.68</v>
      </c>
      <c r="RV20" s="322">
        <v>30000</v>
      </c>
      <c r="RW20" s="322">
        <v>35000</v>
      </c>
      <c r="RX20" s="322">
        <v>30000</v>
      </c>
      <c r="RY20" s="322">
        <v>30761.96</v>
      </c>
      <c r="RZ20" s="322">
        <v>31197.54</v>
      </c>
      <c r="SA20" s="322">
        <v>200364.97999999998</v>
      </c>
      <c r="SB20" s="322">
        <v>441616.09</v>
      </c>
      <c r="SC20" s="322">
        <v>430617.81999999995</v>
      </c>
      <c r="SD20" s="322">
        <v>465314.9</v>
      </c>
      <c r="SE20" s="322">
        <v>515302</v>
      </c>
      <c r="SF20" s="322">
        <v>532802</v>
      </c>
      <c r="SG20" s="322">
        <v>279519</v>
      </c>
      <c r="SH20" s="322">
        <v>430000</v>
      </c>
      <c r="SI20" s="322">
        <v>530000</v>
      </c>
    </row>
    <row r="21" spans="1:503">
      <c r="A21" s="319" t="s">
        <v>4</v>
      </c>
      <c r="B21" s="319">
        <v>1980229</v>
      </c>
      <c r="C21" s="319">
        <v>2000619</v>
      </c>
      <c r="D21" s="319">
        <v>1701361</v>
      </c>
      <c r="E21" s="319">
        <v>1839893</v>
      </c>
      <c r="F21" s="319">
        <v>2132750</v>
      </c>
      <c r="G21" s="319">
        <v>2403971</v>
      </c>
      <c r="H21" s="319">
        <v>2438006</v>
      </c>
      <c r="I21" s="319">
        <v>2478486</v>
      </c>
      <c r="J21" s="319">
        <v>2822402.9099999997</v>
      </c>
      <c r="K21" s="319">
        <v>3297383.13</v>
      </c>
      <c r="L21" s="319">
        <v>3316205.33</v>
      </c>
      <c r="M21" s="319">
        <v>2601845.98</v>
      </c>
      <c r="N21" s="319">
        <v>3361324.87</v>
      </c>
      <c r="O21" s="319">
        <v>2863492.1100000003</v>
      </c>
      <c r="P21" s="319">
        <v>3567333.4299999997</v>
      </c>
      <c r="Q21" s="319">
        <v>2716490.13</v>
      </c>
      <c r="R21" s="319">
        <v>4009250.51</v>
      </c>
      <c r="S21" s="322">
        <v>3866514.43</v>
      </c>
      <c r="T21" s="319">
        <v>3621801.9</v>
      </c>
      <c r="U21" s="319">
        <v>3880214.78</v>
      </c>
      <c r="V21" s="319">
        <v>4905098.9300000006</v>
      </c>
      <c r="W21" s="319">
        <v>6285007</v>
      </c>
      <c r="X21" s="330"/>
      <c r="Y21" s="319" t="s">
        <v>4</v>
      </c>
      <c r="Z21" s="319">
        <v>59406.87</v>
      </c>
      <c r="AA21" s="319">
        <v>60018.57</v>
      </c>
      <c r="AB21" s="319">
        <v>68054.44</v>
      </c>
      <c r="AC21" s="319">
        <v>73595.72</v>
      </c>
      <c r="AD21" s="319">
        <v>85310</v>
      </c>
      <c r="AE21" s="319">
        <v>96158.84</v>
      </c>
      <c r="AF21" s="319">
        <v>96158.84</v>
      </c>
      <c r="AG21" s="319">
        <v>99139.44</v>
      </c>
      <c r="AH21" s="319">
        <v>101875.35</v>
      </c>
      <c r="AI21" s="319">
        <v>103227.78000000001</v>
      </c>
      <c r="AJ21" s="319">
        <v>102460.90000000001</v>
      </c>
      <c r="AK21" s="319">
        <v>102619.51000000001</v>
      </c>
      <c r="AL21" s="319">
        <v>104306.49</v>
      </c>
      <c r="AM21" s="319">
        <v>102464.45</v>
      </c>
      <c r="AN21" s="319">
        <v>105376.32999999999</v>
      </c>
      <c r="AO21" s="319">
        <v>110042.54999999999</v>
      </c>
      <c r="AP21" s="319">
        <v>114774.32</v>
      </c>
      <c r="AQ21" s="322">
        <v>126312.78</v>
      </c>
      <c r="AR21" s="319">
        <v>126263.95000000001</v>
      </c>
      <c r="AS21" s="319">
        <v>128114.6</v>
      </c>
      <c r="AT21" s="319">
        <v>132188.85</v>
      </c>
      <c r="AU21" s="319">
        <v>136525</v>
      </c>
      <c r="AV21" s="334"/>
      <c r="AW21" s="319" t="s">
        <v>4</v>
      </c>
      <c r="AX21" s="319">
        <v>79209.16</v>
      </c>
      <c r="AY21" s="319">
        <v>80024.759999999995</v>
      </c>
      <c r="AZ21" s="319">
        <v>85068.05</v>
      </c>
      <c r="BA21" s="319">
        <v>110393.58</v>
      </c>
      <c r="BB21" s="319">
        <v>85310</v>
      </c>
      <c r="BC21" s="319">
        <v>96158.84</v>
      </c>
      <c r="BD21" s="319">
        <v>97520.24</v>
      </c>
      <c r="BE21" s="319">
        <v>123924.3</v>
      </c>
      <c r="BF21" s="319">
        <v>117457.38</v>
      </c>
      <c r="BG21" s="319">
        <v>116189.45</v>
      </c>
      <c r="BH21" s="319">
        <v>118875.26000000001</v>
      </c>
      <c r="BI21" s="319">
        <v>107382.64</v>
      </c>
      <c r="BJ21" s="319">
        <v>123135.74000000002</v>
      </c>
      <c r="BK21" s="319">
        <v>125294.84000000001</v>
      </c>
      <c r="BL21" s="319">
        <v>115919.78000000001</v>
      </c>
      <c r="BM21" s="319">
        <v>124710.35</v>
      </c>
      <c r="BN21" s="319">
        <v>137317.07999999999</v>
      </c>
      <c r="BO21" s="322">
        <v>140377.05000000002</v>
      </c>
      <c r="BP21" s="319">
        <v>142760.76999999999</v>
      </c>
      <c r="BQ21" s="319">
        <v>152816.76</v>
      </c>
      <c r="BR21" s="319">
        <v>156354.59000000003</v>
      </c>
      <c r="BS21" s="319">
        <v>164545</v>
      </c>
      <c r="BT21" s="334"/>
      <c r="BU21" s="322" t="s">
        <v>4</v>
      </c>
      <c r="BV21" s="322">
        <v>39604.58</v>
      </c>
      <c r="BW21" s="322">
        <v>20006.189999999999</v>
      </c>
      <c r="BX21" s="322">
        <v>51040.83</v>
      </c>
      <c r="BY21" s="322">
        <v>0</v>
      </c>
      <c r="BZ21" s="322">
        <v>63982.5</v>
      </c>
      <c r="CA21" s="322">
        <v>0</v>
      </c>
      <c r="CB21" s="322">
        <v>48760.12</v>
      </c>
      <c r="CC21" s="322">
        <v>24784.86</v>
      </c>
      <c r="CD21" s="322">
        <v>58934.31</v>
      </c>
      <c r="CE21" s="322">
        <v>10926.439999999999</v>
      </c>
      <c r="CF21" s="322">
        <v>48758.66</v>
      </c>
      <c r="CG21" s="322">
        <v>10672.3</v>
      </c>
      <c r="CH21" s="322">
        <v>61523.78</v>
      </c>
      <c r="CI21" s="322">
        <v>10515.779999999999</v>
      </c>
      <c r="CJ21" s="322">
        <v>79018.080000000002</v>
      </c>
      <c r="CK21" s="322">
        <v>20573.129999999997</v>
      </c>
      <c r="CL21" s="322">
        <v>197716.13999999998</v>
      </c>
      <c r="CM21" s="322">
        <v>15413.69</v>
      </c>
      <c r="CN21" s="322">
        <v>57852.959999999992</v>
      </c>
      <c r="CO21" s="322">
        <v>16044.800000000001</v>
      </c>
      <c r="CP21" s="322">
        <v>69848.210000000006</v>
      </c>
      <c r="CQ21" s="322">
        <v>44350</v>
      </c>
      <c r="CR21" s="334"/>
      <c r="CS21" s="322" t="s">
        <v>4</v>
      </c>
      <c r="CT21" s="322">
        <v>99011.45</v>
      </c>
      <c r="CU21" s="322">
        <v>120037.14</v>
      </c>
      <c r="CV21" s="322">
        <v>102081.66</v>
      </c>
      <c r="CW21" s="322">
        <v>91994.65</v>
      </c>
      <c r="CX21" s="322">
        <v>127965</v>
      </c>
      <c r="CY21" s="322">
        <v>144238.26</v>
      </c>
      <c r="CZ21" s="322">
        <v>121900.3</v>
      </c>
      <c r="DA21" s="322">
        <v>123924.3</v>
      </c>
      <c r="DB21" s="322">
        <v>168475.41</v>
      </c>
      <c r="DC21" s="322">
        <v>275460.36</v>
      </c>
      <c r="DD21" s="322">
        <v>241590.94999999998</v>
      </c>
      <c r="DE21" s="322">
        <v>246203.83000000002</v>
      </c>
      <c r="DF21" s="322">
        <v>228196.1</v>
      </c>
      <c r="DG21" s="322">
        <v>266350.49</v>
      </c>
      <c r="DH21" s="322">
        <v>235756.39999999997</v>
      </c>
      <c r="DI21" s="322">
        <v>363221.01999999996</v>
      </c>
      <c r="DJ21" s="322">
        <v>402178.77999999997</v>
      </c>
      <c r="DK21" s="322">
        <v>577065.48</v>
      </c>
      <c r="DL21" s="322">
        <v>523238.59000000008</v>
      </c>
      <c r="DM21" s="322">
        <v>435515.37</v>
      </c>
      <c r="DN21" s="322">
        <v>730195.63</v>
      </c>
      <c r="DO21" s="322">
        <v>655000</v>
      </c>
      <c r="DP21" s="334"/>
      <c r="DQ21" s="322" t="s">
        <v>4</v>
      </c>
      <c r="DR21" s="322">
        <v>178220.61</v>
      </c>
      <c r="DS21" s="322">
        <v>200061.9</v>
      </c>
      <c r="DT21" s="322">
        <v>119095.27</v>
      </c>
      <c r="DU21" s="322">
        <v>128792.51</v>
      </c>
      <c r="DV21" s="322">
        <v>127965</v>
      </c>
      <c r="DW21" s="322">
        <v>144238.26</v>
      </c>
      <c r="DX21" s="322">
        <v>146280.35999999999</v>
      </c>
      <c r="DY21" s="322">
        <v>173494.02</v>
      </c>
      <c r="DZ21" s="322">
        <v>200774.47</v>
      </c>
      <c r="EA21" s="322">
        <v>238284.33</v>
      </c>
      <c r="EB21" s="322">
        <v>247887.69</v>
      </c>
      <c r="EC21" s="322">
        <v>228587.57</v>
      </c>
      <c r="ED21" s="322">
        <v>222202.40000000002</v>
      </c>
      <c r="EE21" s="322">
        <v>246968.92</v>
      </c>
      <c r="EF21" s="322">
        <v>239757.04</v>
      </c>
      <c r="EG21" s="322">
        <v>227479.57</v>
      </c>
      <c r="EH21" s="322">
        <v>205227.45</v>
      </c>
      <c r="EI21" s="322">
        <v>238523.81</v>
      </c>
      <c r="EJ21" s="322">
        <v>257218.49</v>
      </c>
      <c r="EK21" s="322">
        <v>299672.48</v>
      </c>
      <c r="EL21" s="322">
        <v>297487.81999999995</v>
      </c>
      <c r="EM21" s="322">
        <v>382000</v>
      </c>
      <c r="EN21" s="334"/>
      <c r="EO21" s="322" t="s">
        <v>4</v>
      </c>
      <c r="EP21" s="322">
        <v>19802.29</v>
      </c>
      <c r="EQ21" s="322">
        <v>20006.189999999999</v>
      </c>
      <c r="ER21" s="322">
        <v>34027.22</v>
      </c>
      <c r="ES21" s="322">
        <v>36797.86</v>
      </c>
      <c r="ET21" s="322">
        <v>42655</v>
      </c>
      <c r="EU21" s="322">
        <v>48079.42</v>
      </c>
      <c r="EV21" s="322">
        <v>48760.12</v>
      </c>
      <c r="EW21" s="322">
        <v>49569.72</v>
      </c>
      <c r="EX21" s="322">
        <v>44415.15</v>
      </c>
      <c r="EY21" s="322">
        <v>45547.29</v>
      </c>
      <c r="EZ21" s="322">
        <v>46216.709999999992</v>
      </c>
      <c r="FA21" s="322">
        <v>50054.049999999996</v>
      </c>
      <c r="FB21" s="322">
        <v>51744.17</v>
      </c>
      <c r="FC21" s="322">
        <v>50063.68</v>
      </c>
      <c r="FD21" s="322">
        <v>51511.780000000006</v>
      </c>
      <c r="FE21" s="322">
        <v>55598.38</v>
      </c>
      <c r="FF21" s="322">
        <v>56175.02</v>
      </c>
      <c r="FG21" s="322">
        <v>57370.33</v>
      </c>
      <c r="FH21" s="322">
        <v>58262.14</v>
      </c>
      <c r="FI21" s="322">
        <v>64388.68</v>
      </c>
      <c r="FJ21" s="322">
        <v>63893.11</v>
      </c>
      <c r="FK21" s="322">
        <v>71945</v>
      </c>
      <c r="FL21" s="334"/>
      <c r="FM21" s="322" t="s">
        <v>4</v>
      </c>
      <c r="FN21" s="322">
        <v>59406.87</v>
      </c>
      <c r="FO21" s="322">
        <v>60018.57</v>
      </c>
      <c r="FP21" s="322">
        <v>68054.44</v>
      </c>
      <c r="FQ21" s="322">
        <v>73595.72</v>
      </c>
      <c r="FR21" s="322">
        <v>63982.5</v>
      </c>
      <c r="FS21" s="322">
        <v>96158.84</v>
      </c>
      <c r="FT21" s="322">
        <v>97520.24</v>
      </c>
      <c r="FU21" s="322">
        <v>99139.44</v>
      </c>
      <c r="FV21" s="322">
        <v>84490.23</v>
      </c>
      <c r="FW21" s="322">
        <v>89689.62</v>
      </c>
      <c r="FX21" s="322">
        <v>85327.799999999988</v>
      </c>
      <c r="FY21" s="322">
        <v>90316.799999999988</v>
      </c>
      <c r="FZ21" s="322">
        <v>89966.749999999985</v>
      </c>
      <c r="GA21" s="322">
        <v>91494.06</v>
      </c>
      <c r="GB21" s="322">
        <v>94461.359999999986</v>
      </c>
      <c r="GC21" s="322">
        <v>90416.15</v>
      </c>
      <c r="GD21" s="322">
        <v>94578.61</v>
      </c>
      <c r="GE21" s="322">
        <v>95090.98</v>
      </c>
      <c r="GF21" s="340">
        <v>98027.66</v>
      </c>
      <c r="GG21" s="704">
        <v>116928.45000000001</v>
      </c>
      <c r="GH21" s="704">
        <v>111007.26</v>
      </c>
      <c r="GI21" s="704">
        <v>139495</v>
      </c>
      <c r="GJ21" s="334"/>
      <c r="GK21" s="322" t="s">
        <v>4</v>
      </c>
      <c r="GL21" s="322">
        <v>59406.87</v>
      </c>
      <c r="GM21" s="322">
        <v>60018.57</v>
      </c>
      <c r="GN21" s="322">
        <v>68054.44</v>
      </c>
      <c r="GO21" s="322">
        <v>73595.72</v>
      </c>
      <c r="GP21" s="322">
        <v>85310</v>
      </c>
      <c r="GQ21" s="322">
        <v>96158.84</v>
      </c>
      <c r="GR21" s="322">
        <v>73140.179999999993</v>
      </c>
      <c r="GS21" s="322">
        <v>99139.44</v>
      </c>
      <c r="GT21" s="322">
        <v>91864.479999999981</v>
      </c>
      <c r="GU21" s="322">
        <v>90374.62999999999</v>
      </c>
      <c r="GV21" s="322">
        <v>90969.01</v>
      </c>
      <c r="GW21" s="322">
        <v>89461.93</v>
      </c>
      <c r="GX21" s="322">
        <v>91682.499999999985</v>
      </c>
      <c r="GY21" s="322">
        <v>94612.55</v>
      </c>
      <c r="GZ21" s="322">
        <v>92109.49</v>
      </c>
      <c r="HA21" s="322">
        <v>96633.09</v>
      </c>
      <c r="HB21" s="322">
        <v>101263.3</v>
      </c>
      <c r="HC21" s="322">
        <v>101415.88000000002</v>
      </c>
      <c r="HD21" s="322">
        <v>102889.26999999997</v>
      </c>
      <c r="HE21" s="322">
        <v>109584.02</v>
      </c>
      <c r="HF21" s="322">
        <v>113647.30999999998</v>
      </c>
      <c r="HG21" s="322">
        <v>126230</v>
      </c>
      <c r="HH21" s="334"/>
      <c r="HI21" s="322" t="s">
        <v>4</v>
      </c>
      <c r="HJ21" s="322">
        <v>19802.29</v>
      </c>
      <c r="HK21" s="322">
        <v>20006.189999999999</v>
      </c>
      <c r="HL21" s="322">
        <v>17013.61</v>
      </c>
      <c r="HM21" s="322">
        <v>18398.93</v>
      </c>
      <c r="HN21" s="322">
        <v>21327.5</v>
      </c>
      <c r="HO21" s="322">
        <v>0</v>
      </c>
      <c r="HP21" s="322">
        <v>0</v>
      </c>
      <c r="HQ21" s="322">
        <v>24784.86</v>
      </c>
      <c r="HR21" s="322">
        <v>12916.5</v>
      </c>
      <c r="HS21" s="322">
        <v>16381.239999999998</v>
      </c>
      <c r="HT21" s="322">
        <v>14634.810000000001</v>
      </c>
      <c r="HU21" s="322">
        <v>14363.900000000001</v>
      </c>
      <c r="HV21" s="322">
        <v>14138.73</v>
      </c>
      <c r="HW21" s="322">
        <v>13110.009999999998</v>
      </c>
      <c r="HX21" s="322">
        <v>31681.429999999997</v>
      </c>
      <c r="HY21" s="322">
        <v>35027.329999999994</v>
      </c>
      <c r="HZ21" s="322">
        <v>33783.410000000003</v>
      </c>
      <c r="IA21" s="322">
        <v>43307.53</v>
      </c>
      <c r="IB21" s="322">
        <v>30778.22</v>
      </c>
      <c r="IC21" s="322">
        <v>30040.19</v>
      </c>
      <c r="ID21" s="322">
        <v>27422.080000000002</v>
      </c>
      <c r="IE21" s="322">
        <v>49400</v>
      </c>
      <c r="IF21" s="334"/>
      <c r="IG21" s="322" t="s">
        <v>4</v>
      </c>
      <c r="IH21" s="322">
        <v>19802.29</v>
      </c>
      <c r="II21" s="322">
        <v>20006.189999999999</v>
      </c>
      <c r="IJ21" s="322">
        <v>17013.61</v>
      </c>
      <c r="IK21" s="322">
        <v>18398.93</v>
      </c>
      <c r="IL21" s="322">
        <v>21327.5</v>
      </c>
      <c r="IM21" s="322">
        <v>24039.71</v>
      </c>
      <c r="IN21" s="322">
        <v>0</v>
      </c>
      <c r="IO21" s="322">
        <v>24784.86</v>
      </c>
      <c r="IP21" s="322">
        <v>228.76</v>
      </c>
      <c r="IQ21" s="322">
        <v>22528.620000000003</v>
      </c>
      <c r="IR21" s="322">
        <v>21524.99</v>
      </c>
      <c r="IS21" s="322">
        <v>0</v>
      </c>
      <c r="IT21" s="322">
        <v>0</v>
      </c>
      <c r="IU21" s="322">
        <v>0</v>
      </c>
      <c r="IV21" s="322"/>
      <c r="IW21" s="322"/>
      <c r="IX21" s="322"/>
      <c r="IY21" s="322"/>
      <c r="IZ21" s="322"/>
      <c r="JA21" s="322"/>
      <c r="JB21" s="322"/>
      <c r="JC21" s="322"/>
      <c r="JD21" s="334"/>
      <c r="JE21" s="322" t="s">
        <v>4</v>
      </c>
      <c r="JF21" s="322">
        <v>19802.29</v>
      </c>
      <c r="JG21" s="322">
        <v>20006.189999999999</v>
      </c>
      <c r="JH21" s="322">
        <v>0</v>
      </c>
      <c r="JI21" s="322">
        <v>18398.93</v>
      </c>
      <c r="JJ21" s="322">
        <v>0</v>
      </c>
      <c r="JK21" s="322">
        <v>0</v>
      </c>
      <c r="JL21" s="322">
        <v>0</v>
      </c>
      <c r="JM21" s="322">
        <v>0</v>
      </c>
      <c r="JN21" s="322">
        <v>14043</v>
      </c>
      <c r="JO21" s="322">
        <v>30193.870000000003</v>
      </c>
      <c r="JP21" s="322">
        <v>13091.56</v>
      </c>
      <c r="JQ21" s="322">
        <v>16406.59</v>
      </c>
      <c r="JR21" s="322">
        <v>19404.38</v>
      </c>
      <c r="JS21" s="322">
        <v>14310.759999999998</v>
      </c>
      <c r="JT21" s="322">
        <v>15971.599999999999</v>
      </c>
      <c r="JU21" s="322">
        <v>13468.600000000002</v>
      </c>
      <c r="JV21" s="322">
        <v>8990.0499999999993</v>
      </c>
      <c r="JW21" s="322">
        <v>19782.36</v>
      </c>
      <c r="JX21" s="322">
        <v>14086.380000000001</v>
      </c>
      <c r="JY21" s="322">
        <v>20261.47</v>
      </c>
      <c r="JZ21" s="322">
        <v>18036.84</v>
      </c>
      <c r="KA21" s="322">
        <v>53700</v>
      </c>
      <c r="KB21" s="334"/>
      <c r="KC21" s="322" t="s">
        <v>4</v>
      </c>
      <c r="KD21" s="322">
        <v>19802.29</v>
      </c>
      <c r="KE21" s="322">
        <v>20006.189999999999</v>
      </c>
      <c r="KF21" s="322">
        <v>34027.22</v>
      </c>
      <c r="KG21" s="322">
        <v>18398.93</v>
      </c>
      <c r="KH21" s="322">
        <v>21327.5</v>
      </c>
      <c r="KI21" s="322">
        <v>48079.42</v>
      </c>
      <c r="KJ21" s="322">
        <v>48760.12</v>
      </c>
      <c r="KK21" s="322">
        <v>49569.72</v>
      </c>
      <c r="KL21" s="322">
        <v>45778.38</v>
      </c>
      <c r="KM21" s="322">
        <v>47300.77</v>
      </c>
      <c r="KN21" s="322">
        <v>46021.279999999999</v>
      </c>
      <c r="KO21" s="322">
        <v>46781.54</v>
      </c>
      <c r="KP21" s="322">
        <v>47218.78</v>
      </c>
      <c r="KQ21" s="322">
        <v>46989.440000000002</v>
      </c>
      <c r="KR21" s="322">
        <v>46967.1</v>
      </c>
      <c r="KS21" s="322">
        <v>49923.13</v>
      </c>
      <c r="KT21" s="322">
        <v>52790.93</v>
      </c>
      <c r="KU21" s="322">
        <v>57059.4</v>
      </c>
      <c r="KV21" s="322">
        <v>59273.82</v>
      </c>
      <c r="KW21" s="322">
        <v>61174.44</v>
      </c>
      <c r="KX21" s="322">
        <v>62075.07</v>
      </c>
      <c r="KY21" s="322">
        <v>78145</v>
      </c>
      <c r="KZ21" s="334"/>
      <c r="LA21" s="322" t="s">
        <v>4</v>
      </c>
      <c r="LB21" s="322">
        <v>198022.9</v>
      </c>
      <c r="LC21" s="322">
        <v>240074.28</v>
      </c>
      <c r="LD21" s="322">
        <v>238190.54</v>
      </c>
      <c r="LE21" s="322">
        <v>239186.09</v>
      </c>
      <c r="LF21" s="322">
        <v>213275</v>
      </c>
      <c r="LG21" s="322">
        <v>240397.1</v>
      </c>
      <c r="LH21" s="322">
        <v>195040.48</v>
      </c>
      <c r="LI21" s="322">
        <v>173494.02</v>
      </c>
      <c r="LJ21" s="322">
        <v>207963.63999999998</v>
      </c>
      <c r="LK21" s="322">
        <v>211895.39</v>
      </c>
      <c r="LL21" s="322">
        <v>185382.56000000003</v>
      </c>
      <c r="LM21" s="322">
        <v>214431.84</v>
      </c>
      <c r="LN21" s="322">
        <v>237867.38999999998</v>
      </c>
      <c r="LO21" s="322">
        <v>255752.91</v>
      </c>
      <c r="LP21" s="322">
        <v>312228.78999999998</v>
      </c>
      <c r="LQ21" s="322">
        <v>429983.12999999995</v>
      </c>
      <c r="LR21" s="322">
        <v>464192.36</v>
      </c>
      <c r="LS21" s="322">
        <v>573654.76000000013</v>
      </c>
      <c r="LT21" s="322">
        <v>665183.32999999996</v>
      </c>
      <c r="LU21" s="322">
        <v>791732.86999999988</v>
      </c>
      <c r="LV21" s="322">
        <v>859436.08</v>
      </c>
      <c r="LW21" s="322">
        <v>1493640</v>
      </c>
      <c r="LX21" s="334"/>
      <c r="LY21" s="322" t="s">
        <v>4</v>
      </c>
      <c r="LZ21" s="322">
        <v>297034.34999999998</v>
      </c>
      <c r="MA21" s="322">
        <v>260080.47</v>
      </c>
      <c r="MB21" s="322">
        <v>0</v>
      </c>
      <c r="MC21" s="322">
        <v>0</v>
      </c>
      <c r="MD21" s="322">
        <v>0</v>
      </c>
      <c r="ME21" s="322">
        <v>0</v>
      </c>
      <c r="MF21" s="322">
        <v>0</v>
      </c>
      <c r="MG21" s="322">
        <v>0</v>
      </c>
      <c r="MH21" s="322">
        <v>0</v>
      </c>
      <c r="MI21" s="322">
        <v>0</v>
      </c>
      <c r="MJ21" s="322">
        <v>0</v>
      </c>
      <c r="MK21" s="322">
        <v>0</v>
      </c>
      <c r="ML21" s="322">
        <v>0</v>
      </c>
      <c r="MM21" s="322">
        <v>0</v>
      </c>
      <c r="MN21" s="322">
        <v>0</v>
      </c>
      <c r="MO21" s="322">
        <v>0</v>
      </c>
      <c r="MP21" s="322">
        <v>0</v>
      </c>
      <c r="MQ21" s="322">
        <v>0</v>
      </c>
      <c r="MR21" s="322">
        <v>0</v>
      </c>
      <c r="MS21" s="322">
        <v>0</v>
      </c>
      <c r="MT21" s="322">
        <v>0</v>
      </c>
      <c r="MU21" s="322">
        <v>0</v>
      </c>
      <c r="MV21" s="334"/>
      <c r="MW21" s="322" t="s">
        <v>4</v>
      </c>
      <c r="MX21" s="322">
        <v>316836.64</v>
      </c>
      <c r="MY21" s="322">
        <v>320099.03999999998</v>
      </c>
      <c r="MZ21" s="322">
        <v>0</v>
      </c>
      <c r="NA21" s="322">
        <v>0</v>
      </c>
      <c r="NB21" s="322">
        <v>0</v>
      </c>
      <c r="NC21" s="322">
        <v>0</v>
      </c>
      <c r="ND21" s="322">
        <v>0</v>
      </c>
      <c r="NE21" s="322">
        <v>0</v>
      </c>
      <c r="NF21" s="322">
        <v>0</v>
      </c>
      <c r="NG21" s="322">
        <v>0</v>
      </c>
      <c r="NH21" s="322">
        <v>0</v>
      </c>
      <c r="NI21" s="322">
        <v>0</v>
      </c>
      <c r="NJ21" s="322">
        <v>0</v>
      </c>
      <c r="NK21" s="322">
        <v>0</v>
      </c>
      <c r="NL21" s="322">
        <v>0</v>
      </c>
      <c r="NM21" s="322">
        <v>0</v>
      </c>
      <c r="NN21" s="322">
        <v>0</v>
      </c>
      <c r="NO21" s="322">
        <v>0</v>
      </c>
      <c r="NP21" s="322">
        <v>0</v>
      </c>
      <c r="NQ21" s="322">
        <v>0</v>
      </c>
      <c r="NR21" s="322">
        <v>0</v>
      </c>
      <c r="NS21" s="322">
        <v>0</v>
      </c>
      <c r="NT21" s="334"/>
      <c r="NU21" s="322" t="s">
        <v>4</v>
      </c>
      <c r="NV21" s="322">
        <v>178220.61</v>
      </c>
      <c r="NW21" s="322">
        <v>180055.71</v>
      </c>
      <c r="NX21" s="322">
        <v>187149.71</v>
      </c>
      <c r="NY21" s="322">
        <v>220787.16</v>
      </c>
      <c r="NZ21" s="322">
        <v>234602.5</v>
      </c>
      <c r="OA21" s="322">
        <v>240397.1</v>
      </c>
      <c r="OB21" s="322">
        <v>268180.65999999997</v>
      </c>
      <c r="OC21" s="322">
        <v>297418.32</v>
      </c>
      <c r="OD21" s="322">
        <v>332672.59999999992</v>
      </c>
      <c r="OE21" s="322">
        <v>375075.96</v>
      </c>
      <c r="OF21" s="322">
        <v>382855.79</v>
      </c>
      <c r="OG21" s="322">
        <v>354955.33999999997</v>
      </c>
      <c r="OH21" s="322">
        <v>382961.55999999994</v>
      </c>
      <c r="OI21" s="322">
        <v>384465.15000000008</v>
      </c>
      <c r="OJ21" s="322">
        <v>386630.67000000004</v>
      </c>
      <c r="OK21" s="322">
        <v>436020.47999999998</v>
      </c>
      <c r="OL21" s="322">
        <v>457149.70000000007</v>
      </c>
      <c r="OM21" s="322">
        <v>488640.13000000006</v>
      </c>
      <c r="ON21" s="322">
        <v>487010.02999999991</v>
      </c>
      <c r="OO21" s="322">
        <v>541040.7699999999</v>
      </c>
      <c r="OP21" s="322">
        <v>537933.6</v>
      </c>
      <c r="OQ21" s="322">
        <v>563837</v>
      </c>
      <c r="OR21" s="334"/>
      <c r="OS21" s="322" t="s">
        <v>4</v>
      </c>
      <c r="OT21" s="322">
        <v>237627.48</v>
      </c>
      <c r="OU21" s="322">
        <v>240074.28</v>
      </c>
      <c r="OV21" s="322">
        <v>289231.37</v>
      </c>
      <c r="OW21" s="322">
        <v>239186.09</v>
      </c>
      <c r="OX21" s="322">
        <v>191947.5</v>
      </c>
      <c r="OY21" s="322">
        <v>216357.39</v>
      </c>
      <c r="OZ21" s="322">
        <v>219420.54</v>
      </c>
      <c r="PA21" s="322">
        <v>223063.74</v>
      </c>
      <c r="PB21" s="322">
        <v>236806.50999999998</v>
      </c>
      <c r="PC21" s="322">
        <v>226012.03999999998</v>
      </c>
      <c r="PD21" s="322">
        <v>291735.90000000002</v>
      </c>
      <c r="PE21" s="322">
        <v>316304.73</v>
      </c>
      <c r="PF21" s="322">
        <v>297430.77</v>
      </c>
      <c r="PG21" s="322">
        <v>340934.61</v>
      </c>
      <c r="PH21" s="322">
        <v>322222.09000000003</v>
      </c>
      <c r="PI21" s="322">
        <v>199830.84</v>
      </c>
      <c r="PJ21" s="322">
        <v>260773.55</v>
      </c>
      <c r="PK21" s="322">
        <v>276104.38</v>
      </c>
      <c r="PL21" s="322">
        <v>312153.14999999997</v>
      </c>
      <c r="PM21" s="322">
        <v>275750.91000000003</v>
      </c>
      <c r="PN21" s="322">
        <v>335875.79</v>
      </c>
      <c r="PO21" s="322">
        <v>342600</v>
      </c>
      <c r="PP21" s="334"/>
      <c r="PQ21" s="322" t="s">
        <v>4</v>
      </c>
      <c r="PR21" s="322">
        <v>19802.29</v>
      </c>
      <c r="PS21" s="322">
        <v>0</v>
      </c>
      <c r="PT21" s="322">
        <v>17013.61</v>
      </c>
      <c r="PU21" s="322">
        <v>18398.93</v>
      </c>
      <c r="PV21" s="322">
        <v>21327.5</v>
      </c>
      <c r="PW21" s="322">
        <v>24039.71</v>
      </c>
      <c r="PX21" s="322">
        <v>24380.06</v>
      </c>
      <c r="PY21" s="322">
        <v>24784.86</v>
      </c>
      <c r="PZ21" s="322">
        <v>27424.71</v>
      </c>
      <c r="QA21" s="322">
        <v>20845.670000000002</v>
      </c>
      <c r="QB21" s="322">
        <v>26504.68</v>
      </c>
      <c r="QC21" s="322">
        <v>25781.18</v>
      </c>
      <c r="QD21" s="322">
        <v>26249.489999999998</v>
      </c>
      <c r="QE21" s="322">
        <v>24570.54</v>
      </c>
      <c r="QF21" s="322">
        <v>26705.85</v>
      </c>
      <c r="QG21" s="322">
        <v>20347.560000000001</v>
      </c>
      <c r="QH21" s="322">
        <v>28580.079999999998</v>
      </c>
      <c r="QI21" s="322">
        <v>34007.51</v>
      </c>
      <c r="QJ21" s="322">
        <v>33245.33</v>
      </c>
      <c r="QK21" s="322">
        <v>39003.279999999999</v>
      </c>
      <c r="QL21" s="322">
        <v>36792.9</v>
      </c>
      <c r="QM21" s="322">
        <v>41495</v>
      </c>
      <c r="QN21" s="334"/>
      <c r="QO21" s="322" t="s">
        <v>4</v>
      </c>
      <c r="QP21" s="322">
        <v>59406.87</v>
      </c>
      <c r="QQ21" s="322">
        <v>60018.57</v>
      </c>
      <c r="QR21" s="322">
        <v>0</v>
      </c>
      <c r="QS21" s="322">
        <v>0</v>
      </c>
      <c r="QT21" s="322">
        <v>0</v>
      </c>
      <c r="QU21" s="322">
        <v>0</v>
      </c>
      <c r="QV21" s="322">
        <v>48760.12</v>
      </c>
      <c r="QW21" s="322">
        <v>74354.58</v>
      </c>
      <c r="QX21" s="322">
        <v>71793.88</v>
      </c>
      <c r="QY21" s="322">
        <v>77449.67</v>
      </c>
      <c r="QZ21" s="322">
        <v>70866.78</v>
      </c>
      <c r="RA21" s="322">
        <v>72030.42</v>
      </c>
      <c r="RB21" s="322">
        <v>72257.8</v>
      </c>
      <c r="RC21" s="322">
        <v>74768.22</v>
      </c>
      <c r="RD21" s="322">
        <v>81199.009999999995</v>
      </c>
      <c r="RE21" s="322">
        <v>108214.82</v>
      </c>
      <c r="RF21" s="322">
        <v>111454.73</v>
      </c>
      <c r="RG21" s="322">
        <v>2388.36</v>
      </c>
      <c r="RH21" s="322">
        <v>3557.81</v>
      </c>
      <c r="RI21" s="322">
        <v>3145.69</v>
      </c>
      <c r="RJ21" s="322">
        <v>2903.79</v>
      </c>
      <c r="RK21" s="322">
        <v>5100</v>
      </c>
      <c r="RL21" s="334"/>
      <c r="RM21" s="322" t="s">
        <v>4</v>
      </c>
      <c r="RN21" s="322">
        <v>0</v>
      </c>
      <c r="RO21" s="322">
        <v>0</v>
      </c>
      <c r="RP21" s="322">
        <v>306244.98</v>
      </c>
      <c r="RQ21" s="322">
        <v>459973.25</v>
      </c>
      <c r="RR21" s="322">
        <v>725135</v>
      </c>
      <c r="RS21" s="322">
        <v>889469.27</v>
      </c>
      <c r="RT21" s="322">
        <v>902062.22</v>
      </c>
      <c r="RU21" s="322">
        <v>793115.52</v>
      </c>
      <c r="RV21" s="322">
        <v>985000</v>
      </c>
      <c r="RW21" s="322">
        <v>1300000</v>
      </c>
      <c r="RX21" s="322">
        <v>1281500</v>
      </c>
      <c r="RY21" s="322">
        <v>595000</v>
      </c>
      <c r="RZ21" s="322">
        <v>1272750</v>
      </c>
      <c r="SA21" s="322">
        <v>698000</v>
      </c>
      <c r="SB21" s="322">
        <v>1240000</v>
      </c>
      <c r="SC21" s="322">
        <v>335000</v>
      </c>
      <c r="SD21" s="322">
        <v>1282305</v>
      </c>
      <c r="SE21" s="322">
        <v>1020000</v>
      </c>
      <c r="SF21" s="322">
        <v>650000</v>
      </c>
      <c r="SG21" s="322">
        <v>795000</v>
      </c>
      <c r="SH21" s="322">
        <v>1350000</v>
      </c>
      <c r="SI21" s="322">
        <v>1795000</v>
      </c>
    </row>
    <row r="22" spans="1:503">
      <c r="A22" s="319" t="s">
        <v>5</v>
      </c>
      <c r="B22" s="319">
        <v>2057960</v>
      </c>
      <c r="C22" s="319">
        <v>1740739</v>
      </c>
      <c r="D22" s="319">
        <v>2079233</v>
      </c>
      <c r="E22" s="319">
        <v>2203759</v>
      </c>
      <c r="F22" s="319">
        <v>2132377</v>
      </c>
      <c r="G22" s="319">
        <v>2422368</v>
      </c>
      <c r="H22" s="319">
        <v>4445235</v>
      </c>
      <c r="I22" s="319">
        <v>3127188</v>
      </c>
      <c r="J22" s="319">
        <v>3103932</v>
      </c>
      <c r="K22" s="319">
        <v>3358533</v>
      </c>
      <c r="L22" s="319">
        <v>3686054</v>
      </c>
      <c r="M22" s="319">
        <v>3869149</v>
      </c>
      <c r="N22" s="319">
        <v>3672697</v>
      </c>
      <c r="O22" s="319">
        <v>3551716</v>
      </c>
      <c r="P22" s="319">
        <v>3814086</v>
      </c>
      <c r="Q22" s="319">
        <v>3222693</v>
      </c>
      <c r="R22" s="319"/>
      <c r="S22" s="322">
        <v>3164283</v>
      </c>
      <c r="T22" s="319">
        <v>3539687</v>
      </c>
      <c r="U22" s="319">
        <v>3535190</v>
      </c>
      <c r="V22" s="319">
        <v>4025284</v>
      </c>
      <c r="W22" s="319">
        <v>4580738.71</v>
      </c>
      <c r="X22" s="330"/>
      <c r="Y22" s="319" t="s">
        <v>5</v>
      </c>
      <c r="Z22" s="319">
        <v>41159.199999999997</v>
      </c>
      <c r="AA22" s="319">
        <v>52222.17</v>
      </c>
      <c r="AB22" s="319">
        <v>83169.320000000007</v>
      </c>
      <c r="AC22" s="319">
        <v>88150.36</v>
      </c>
      <c r="AD22" s="319">
        <v>85295.08</v>
      </c>
      <c r="AE22" s="319">
        <v>121118.39999999999</v>
      </c>
      <c r="AF22" s="319">
        <v>72671.039999999994</v>
      </c>
      <c r="AG22" s="319">
        <v>93815.64</v>
      </c>
      <c r="AH22" s="319">
        <v>191809</v>
      </c>
      <c r="AI22" s="319">
        <v>115374</v>
      </c>
      <c r="AJ22" s="319">
        <v>100296</v>
      </c>
      <c r="AK22" s="319">
        <v>108652</v>
      </c>
      <c r="AL22" s="319">
        <v>93579</v>
      </c>
      <c r="AM22" s="319">
        <v>93256</v>
      </c>
      <c r="AN22" s="319">
        <v>93566</v>
      </c>
      <c r="AO22" s="319">
        <v>160305</v>
      </c>
      <c r="AP22" s="319"/>
      <c r="AQ22" s="322">
        <v>209578</v>
      </c>
      <c r="AR22" s="319">
        <v>231089</v>
      </c>
      <c r="AS22" s="319">
        <v>236410</v>
      </c>
      <c r="AT22" s="319">
        <v>229734</v>
      </c>
      <c r="AU22" s="319">
        <v>239470</v>
      </c>
      <c r="AV22" s="334"/>
      <c r="AW22" s="319" t="s">
        <v>5</v>
      </c>
      <c r="AX22" s="319">
        <v>41159.200000000004</v>
      </c>
      <c r="AY22" s="319">
        <v>52222.17</v>
      </c>
      <c r="AZ22" s="319">
        <v>41584.660000000003</v>
      </c>
      <c r="BA22" s="319">
        <v>66112.77</v>
      </c>
      <c r="BB22" s="319">
        <v>63971.31</v>
      </c>
      <c r="BC22" s="319">
        <v>72671.039999999994</v>
      </c>
      <c r="BD22" s="319">
        <v>88904.7</v>
      </c>
      <c r="BE22" s="319">
        <v>62543.76</v>
      </c>
      <c r="BF22" s="319">
        <v>68197</v>
      </c>
      <c r="BG22" s="319">
        <v>69006</v>
      </c>
      <c r="BH22" s="319">
        <v>69678</v>
      </c>
      <c r="BI22" s="319">
        <v>70916</v>
      </c>
      <c r="BJ22" s="319">
        <v>70991</v>
      </c>
      <c r="BK22" s="319">
        <v>70905</v>
      </c>
      <c r="BL22" s="319">
        <v>70905</v>
      </c>
      <c r="BM22" s="319">
        <v>70868</v>
      </c>
      <c r="BN22" s="319"/>
      <c r="BO22" s="322">
        <v>71293</v>
      </c>
      <c r="BP22" s="319">
        <v>73051</v>
      </c>
      <c r="BQ22" s="319">
        <v>86025</v>
      </c>
      <c r="BR22" s="319">
        <v>68982</v>
      </c>
      <c r="BS22" s="319">
        <v>70000</v>
      </c>
      <c r="BT22" s="334"/>
      <c r="BU22" s="322" t="s">
        <v>5</v>
      </c>
      <c r="BV22" s="322">
        <v>82318.399999999994</v>
      </c>
      <c r="BW22" s="322">
        <v>34814.78</v>
      </c>
      <c r="BX22" s="322">
        <v>83169.320000000007</v>
      </c>
      <c r="BY22" s="322">
        <v>66112.77</v>
      </c>
      <c r="BZ22" s="322">
        <v>127942.62</v>
      </c>
      <c r="CA22" s="322">
        <v>72671.039999999994</v>
      </c>
      <c r="CB22" s="322">
        <v>88904.7</v>
      </c>
      <c r="CC22" s="322">
        <v>62543.76</v>
      </c>
      <c r="CD22" s="322">
        <v>80563</v>
      </c>
      <c r="CE22" s="322">
        <v>63651</v>
      </c>
      <c r="CF22" s="322">
        <v>171724</v>
      </c>
      <c r="CG22" s="322">
        <v>63144</v>
      </c>
      <c r="CH22" s="322">
        <v>86913</v>
      </c>
      <c r="CI22" s="322">
        <v>58157</v>
      </c>
      <c r="CJ22" s="322">
        <v>77756</v>
      </c>
      <c r="CK22" s="322">
        <v>51295</v>
      </c>
      <c r="CL22" s="322"/>
      <c r="CM22" s="322">
        <v>41856</v>
      </c>
      <c r="CN22" s="322">
        <v>73484</v>
      </c>
      <c r="CO22" s="322">
        <v>55623</v>
      </c>
      <c r="CP22" s="322">
        <v>81054</v>
      </c>
      <c r="CQ22" s="322">
        <v>54723</v>
      </c>
      <c r="CR22" s="334"/>
      <c r="CS22" s="322" t="s">
        <v>5</v>
      </c>
      <c r="CT22" s="322">
        <v>102898</v>
      </c>
      <c r="CU22" s="322">
        <v>87036.95</v>
      </c>
      <c r="CV22" s="322">
        <v>124753.98</v>
      </c>
      <c r="CW22" s="322">
        <v>88150.36</v>
      </c>
      <c r="CX22" s="322">
        <v>85295.08</v>
      </c>
      <c r="CY22" s="322">
        <v>96894.720000000001</v>
      </c>
      <c r="CZ22" s="322">
        <v>88904.7</v>
      </c>
      <c r="DA22" s="322">
        <v>125087.52</v>
      </c>
      <c r="DB22" s="322">
        <v>139737</v>
      </c>
      <c r="DC22" s="322">
        <v>139306</v>
      </c>
      <c r="DD22" s="322">
        <v>151831</v>
      </c>
      <c r="DE22" s="322">
        <v>164193</v>
      </c>
      <c r="DF22" s="322">
        <v>182078</v>
      </c>
      <c r="DG22" s="322">
        <v>173459</v>
      </c>
      <c r="DH22" s="322">
        <v>178043</v>
      </c>
      <c r="DI22" s="322">
        <v>167831</v>
      </c>
      <c r="DJ22" s="322"/>
      <c r="DK22" s="322">
        <v>163387</v>
      </c>
      <c r="DL22" s="322">
        <v>197309</v>
      </c>
      <c r="DM22" s="322">
        <v>206819</v>
      </c>
      <c r="DN22" s="322">
        <v>204489</v>
      </c>
      <c r="DO22" s="322">
        <v>212678.44</v>
      </c>
      <c r="DP22" s="334"/>
      <c r="DQ22" s="322" t="s">
        <v>5</v>
      </c>
      <c r="DR22" s="322">
        <v>164636.79999999999</v>
      </c>
      <c r="DS22" s="322">
        <v>174073.9</v>
      </c>
      <c r="DT22" s="322">
        <v>187130.97</v>
      </c>
      <c r="DU22" s="322">
        <v>220375.9</v>
      </c>
      <c r="DV22" s="322">
        <v>255885.24</v>
      </c>
      <c r="DW22" s="322">
        <v>169565.76</v>
      </c>
      <c r="DX22" s="322">
        <v>222261.75</v>
      </c>
      <c r="DY22" s="322">
        <v>406534.44</v>
      </c>
      <c r="DZ22" s="322">
        <v>351880</v>
      </c>
      <c r="EA22" s="322">
        <v>402188</v>
      </c>
      <c r="EB22" s="322">
        <v>435219</v>
      </c>
      <c r="EC22" s="322">
        <v>476619</v>
      </c>
      <c r="ED22" s="322">
        <v>480581</v>
      </c>
      <c r="EE22" s="322">
        <v>498019</v>
      </c>
      <c r="EF22" s="322">
        <v>486072</v>
      </c>
      <c r="EG22" s="322">
        <v>464119</v>
      </c>
      <c r="EH22" s="322"/>
      <c r="EI22" s="322">
        <v>446573</v>
      </c>
      <c r="EJ22" s="322">
        <v>541793</v>
      </c>
      <c r="EK22" s="322">
        <v>540138</v>
      </c>
      <c r="EL22" s="322">
        <v>559003</v>
      </c>
      <c r="EM22" s="322">
        <v>605475</v>
      </c>
      <c r="EN22" s="334"/>
      <c r="EO22" s="322" t="s">
        <v>5</v>
      </c>
      <c r="EP22" s="322">
        <v>20579.599999999999</v>
      </c>
      <c r="EQ22" s="322">
        <v>17407.39</v>
      </c>
      <c r="ER22" s="322">
        <v>20792.330000000002</v>
      </c>
      <c r="ES22" s="322">
        <v>22037.59</v>
      </c>
      <c r="ET22" s="322">
        <v>21323.77</v>
      </c>
      <c r="EU22" s="322">
        <v>24223.68</v>
      </c>
      <c r="EV22" s="322">
        <v>44452.35</v>
      </c>
      <c r="EW22" s="322">
        <v>31271.88</v>
      </c>
      <c r="EX22" s="322">
        <v>46715</v>
      </c>
      <c r="EY22" s="322">
        <v>46653</v>
      </c>
      <c r="EZ22" s="322">
        <v>46870</v>
      </c>
      <c r="FA22" s="322">
        <v>46890</v>
      </c>
      <c r="FB22" s="322">
        <v>46661</v>
      </c>
      <c r="FC22" s="322">
        <v>46613</v>
      </c>
      <c r="FD22" s="322">
        <v>46719</v>
      </c>
      <c r="FE22" s="322">
        <v>46850</v>
      </c>
      <c r="FF22" s="322"/>
      <c r="FG22" s="322">
        <v>46681</v>
      </c>
      <c r="FH22" s="322">
        <v>47093</v>
      </c>
      <c r="FI22" s="322">
        <v>47097</v>
      </c>
      <c r="FJ22" s="322">
        <v>47112</v>
      </c>
      <c r="FK22" s="322">
        <v>47230</v>
      </c>
      <c r="FL22" s="334"/>
      <c r="FM22" s="322" t="s">
        <v>5</v>
      </c>
      <c r="FN22" s="322">
        <v>82318.399999999994</v>
      </c>
      <c r="FO22" s="322">
        <v>87036.95</v>
      </c>
      <c r="FP22" s="322">
        <v>83169.320000000007</v>
      </c>
      <c r="FQ22" s="322">
        <v>88150.36</v>
      </c>
      <c r="FR22" s="322">
        <v>106618.85</v>
      </c>
      <c r="FS22" s="322">
        <v>121118.39999999999</v>
      </c>
      <c r="FT22" s="322">
        <v>133357.04999999999</v>
      </c>
      <c r="FU22" s="322">
        <v>93815.64</v>
      </c>
      <c r="FV22" s="322">
        <v>98895</v>
      </c>
      <c r="FW22" s="322">
        <v>101236</v>
      </c>
      <c r="FX22" s="322">
        <v>102734</v>
      </c>
      <c r="FY22" s="322">
        <v>107430</v>
      </c>
      <c r="FZ22" s="322">
        <v>107659</v>
      </c>
      <c r="GA22" s="322">
        <v>105522</v>
      </c>
      <c r="GB22" s="322">
        <v>105811</v>
      </c>
      <c r="GC22" s="322">
        <v>107684</v>
      </c>
      <c r="GD22" s="322"/>
      <c r="GE22" s="322">
        <v>106564</v>
      </c>
      <c r="GF22" s="340">
        <v>110334</v>
      </c>
      <c r="GG22" s="704">
        <v>113652</v>
      </c>
      <c r="GH22" s="704">
        <v>114798</v>
      </c>
      <c r="GI22" s="704">
        <v>116407</v>
      </c>
      <c r="GJ22" s="334"/>
      <c r="GK22" s="322" t="s">
        <v>5</v>
      </c>
      <c r="GL22" s="322">
        <v>20579.599999999999</v>
      </c>
      <c r="GM22" s="322">
        <v>34814.78</v>
      </c>
      <c r="GN22" s="322">
        <v>41584.660000000003</v>
      </c>
      <c r="GO22" s="322">
        <v>44075.18</v>
      </c>
      <c r="GP22" s="322">
        <v>42647.54</v>
      </c>
      <c r="GQ22" s="322">
        <v>24223.68</v>
      </c>
      <c r="GR22" s="322">
        <v>44452.35</v>
      </c>
      <c r="GS22" s="322">
        <v>31271.88</v>
      </c>
      <c r="GT22" s="322">
        <v>35373</v>
      </c>
      <c r="GU22" s="322">
        <v>36744</v>
      </c>
      <c r="GV22" s="322">
        <v>37435</v>
      </c>
      <c r="GW22" s="322">
        <v>39988</v>
      </c>
      <c r="GX22" s="322">
        <v>39136</v>
      </c>
      <c r="GY22" s="322">
        <v>39495</v>
      </c>
      <c r="GZ22" s="322">
        <v>39540</v>
      </c>
      <c r="HA22" s="322">
        <v>39540</v>
      </c>
      <c r="HB22" s="322"/>
      <c r="HC22" s="322">
        <v>18352</v>
      </c>
      <c r="HD22" s="322">
        <v>41210</v>
      </c>
      <c r="HE22" s="322">
        <v>44670</v>
      </c>
      <c r="HF22" s="322">
        <v>45949</v>
      </c>
      <c r="HG22" s="322">
        <v>47368</v>
      </c>
      <c r="HH22" s="334"/>
      <c r="HI22" s="322" t="s">
        <v>5</v>
      </c>
      <c r="HJ22" s="322">
        <v>20579.599999999999</v>
      </c>
      <c r="HK22" s="322">
        <v>17407.39</v>
      </c>
      <c r="HL22" s="322">
        <v>20792.330000000002</v>
      </c>
      <c r="HM22" s="322">
        <v>22037.59</v>
      </c>
      <c r="HN22" s="322">
        <v>21323.77</v>
      </c>
      <c r="HO22" s="322">
        <v>24223.68</v>
      </c>
      <c r="HP22" s="322">
        <v>0</v>
      </c>
      <c r="HQ22" s="322">
        <v>0</v>
      </c>
      <c r="HR22" s="322">
        <v>16450</v>
      </c>
      <c r="HS22" s="322">
        <v>28421</v>
      </c>
      <c r="HT22" s="322">
        <v>28798</v>
      </c>
      <c r="HU22" s="322">
        <v>32408</v>
      </c>
      <c r="HV22" s="322">
        <v>34635</v>
      </c>
      <c r="HW22" s="322">
        <v>34039</v>
      </c>
      <c r="HX22" s="322">
        <v>32860</v>
      </c>
      <c r="HY22" s="322">
        <v>37162</v>
      </c>
      <c r="HZ22" s="322"/>
      <c r="IA22" s="322">
        <v>31466</v>
      </c>
      <c r="IB22" s="322">
        <v>45844</v>
      </c>
      <c r="IC22" s="322">
        <v>27278</v>
      </c>
      <c r="ID22" s="322">
        <v>21744</v>
      </c>
      <c r="IE22" s="322">
        <v>31300</v>
      </c>
      <c r="IF22" s="334"/>
      <c r="IG22" s="322" t="s">
        <v>5</v>
      </c>
      <c r="IH22" s="322">
        <v>20579.599999999999</v>
      </c>
      <c r="II22" s="322">
        <v>17407.39</v>
      </c>
      <c r="IJ22" s="322">
        <v>20792.330000000002</v>
      </c>
      <c r="IK22" s="322">
        <v>22037.59</v>
      </c>
      <c r="IL22" s="322">
        <v>21323.77</v>
      </c>
      <c r="IM22" s="322">
        <v>24223.68</v>
      </c>
      <c r="IN22" s="322">
        <v>44452.35</v>
      </c>
      <c r="IO22" s="322">
        <v>0</v>
      </c>
      <c r="IP22" s="322">
        <v>0</v>
      </c>
      <c r="IQ22" s="322">
        <v>15065</v>
      </c>
      <c r="IR22" s="322">
        <v>10322</v>
      </c>
      <c r="IS22" s="322">
        <v>0</v>
      </c>
      <c r="IT22" s="322">
        <v>0</v>
      </c>
      <c r="IU22" s="322">
        <v>0</v>
      </c>
      <c r="IV22" s="322"/>
      <c r="IW22" s="322"/>
      <c r="IX22" s="322"/>
      <c r="IY22" s="322"/>
      <c r="IZ22" s="322"/>
      <c r="JA22" s="322"/>
      <c r="JB22" s="322"/>
      <c r="JC22" s="322"/>
      <c r="JD22" s="334"/>
      <c r="JE22" s="322" t="s">
        <v>5</v>
      </c>
      <c r="JF22" s="322">
        <v>0</v>
      </c>
      <c r="JG22" s="322">
        <v>0</v>
      </c>
      <c r="JH22" s="322">
        <v>0</v>
      </c>
      <c r="JI22" s="322">
        <v>0</v>
      </c>
      <c r="JJ22" s="322">
        <v>0</v>
      </c>
      <c r="JK22" s="322">
        <v>0</v>
      </c>
      <c r="JL22" s="322">
        <v>0</v>
      </c>
      <c r="JM22" s="322">
        <v>0</v>
      </c>
      <c r="JN22" s="322">
        <v>4813</v>
      </c>
      <c r="JO22" s="322">
        <v>5278</v>
      </c>
      <c r="JP22" s="322">
        <v>5238</v>
      </c>
      <c r="JQ22" s="322">
        <v>6927</v>
      </c>
      <c r="JR22" s="322">
        <v>7023</v>
      </c>
      <c r="JS22" s="322">
        <v>5762</v>
      </c>
      <c r="JT22" s="322">
        <v>7118</v>
      </c>
      <c r="JU22" s="322">
        <v>6120</v>
      </c>
      <c r="JV22" s="322"/>
      <c r="JW22" s="322">
        <v>7871</v>
      </c>
      <c r="JX22" s="322">
        <v>6941</v>
      </c>
      <c r="JY22" s="322">
        <v>6159</v>
      </c>
      <c r="JZ22" s="322">
        <v>6922</v>
      </c>
      <c r="KA22" s="322">
        <v>7622</v>
      </c>
      <c r="KB22" s="334"/>
      <c r="KC22" s="322" t="s">
        <v>5</v>
      </c>
      <c r="KD22" s="322">
        <v>0</v>
      </c>
      <c r="KE22" s="322">
        <v>0</v>
      </c>
      <c r="KF22" s="322">
        <v>0</v>
      </c>
      <c r="KG22" s="322">
        <v>0</v>
      </c>
      <c r="KH22" s="322">
        <v>0</v>
      </c>
      <c r="KI22" s="322">
        <v>0</v>
      </c>
      <c r="KJ22" s="322">
        <v>0</v>
      </c>
      <c r="KK22" s="322">
        <v>0</v>
      </c>
      <c r="KL22" s="322">
        <v>15600</v>
      </c>
      <c r="KM22" s="322">
        <v>16400</v>
      </c>
      <c r="KN22" s="322">
        <v>17000</v>
      </c>
      <c r="KO22" s="322">
        <v>18200</v>
      </c>
      <c r="KP22" s="322">
        <v>18200</v>
      </c>
      <c r="KQ22" s="322">
        <v>18200</v>
      </c>
      <c r="KR22" s="322">
        <v>18200</v>
      </c>
      <c r="KS22" s="322">
        <v>19335</v>
      </c>
      <c r="KT22" s="322"/>
      <c r="KU22" s="322">
        <v>18564</v>
      </c>
      <c r="KV22" s="322">
        <v>19678</v>
      </c>
      <c r="KW22" s="322">
        <v>19458</v>
      </c>
      <c r="KX22" s="322">
        <v>20739</v>
      </c>
      <c r="KY22" s="322">
        <v>20739</v>
      </c>
      <c r="KZ22" s="334"/>
      <c r="LA22" s="322" t="s">
        <v>5</v>
      </c>
      <c r="LB22" s="322">
        <v>617388</v>
      </c>
      <c r="LC22" s="322">
        <v>174073.9</v>
      </c>
      <c r="LD22" s="322">
        <v>145546.31</v>
      </c>
      <c r="LE22" s="322">
        <v>374639.03</v>
      </c>
      <c r="LF22" s="322">
        <v>127942.62</v>
      </c>
      <c r="LG22" s="322">
        <v>363355.2</v>
      </c>
      <c r="LH22" s="322">
        <v>2133712.7999999998</v>
      </c>
      <c r="LI22" s="322">
        <v>781797</v>
      </c>
      <c r="LJ22" s="322">
        <v>571427</v>
      </c>
      <c r="LK22" s="322">
        <v>676054</v>
      </c>
      <c r="LL22" s="322">
        <v>573440</v>
      </c>
      <c r="LM22" s="322">
        <v>680905</v>
      </c>
      <c r="LN22" s="322">
        <v>620296</v>
      </c>
      <c r="LO22" s="322">
        <v>501309</v>
      </c>
      <c r="LP22" s="322">
        <v>726028</v>
      </c>
      <c r="LQ22" s="322">
        <v>500240</v>
      </c>
      <c r="LR22" s="322"/>
      <c r="LS22" s="322">
        <v>407364</v>
      </c>
      <c r="LT22" s="322">
        <v>466186</v>
      </c>
      <c r="LU22" s="322">
        <v>466186</v>
      </c>
      <c r="LV22" s="322">
        <v>380415</v>
      </c>
      <c r="LW22" s="322">
        <v>691405</v>
      </c>
      <c r="LX22" s="334"/>
      <c r="LY22" s="322" t="s">
        <v>5</v>
      </c>
      <c r="LZ22" s="322">
        <v>452751.2</v>
      </c>
      <c r="MA22" s="322">
        <v>504814.31</v>
      </c>
      <c r="MB22" s="322">
        <v>457431.26</v>
      </c>
      <c r="MC22" s="322">
        <v>462789.39</v>
      </c>
      <c r="MD22" s="322">
        <v>533094.25</v>
      </c>
      <c r="ME22" s="322">
        <v>581368.31999999995</v>
      </c>
      <c r="MF22" s="322">
        <v>622332.9</v>
      </c>
      <c r="MG22" s="322">
        <v>594165.72</v>
      </c>
      <c r="MH22" s="322">
        <v>644599</v>
      </c>
      <c r="MI22" s="322">
        <v>681322</v>
      </c>
      <c r="MJ22" s="322">
        <v>703258</v>
      </c>
      <c r="MK22" s="322">
        <v>773730</v>
      </c>
      <c r="ML22" s="322">
        <v>801326</v>
      </c>
      <c r="MM22" s="322">
        <v>675553</v>
      </c>
      <c r="MN22" s="322">
        <v>665780</v>
      </c>
      <c r="MO22" s="322">
        <v>686590</v>
      </c>
      <c r="MP22" s="322"/>
      <c r="MQ22" s="322">
        <v>650420</v>
      </c>
      <c r="MR22" s="322">
        <v>700027.00000000012</v>
      </c>
      <c r="MS22" s="322">
        <v>700027.00000000012</v>
      </c>
      <c r="MT22" s="322">
        <v>741655</v>
      </c>
      <c r="MU22" s="322">
        <v>794448.75999999989</v>
      </c>
      <c r="MV22" s="334"/>
      <c r="MW22" s="322" t="s">
        <v>5</v>
      </c>
      <c r="MX22" s="322">
        <v>185216.4</v>
      </c>
      <c r="MY22" s="322">
        <v>226296.07</v>
      </c>
      <c r="MZ22" s="322">
        <v>270300.28999999998</v>
      </c>
      <c r="NA22" s="322">
        <v>264451.08</v>
      </c>
      <c r="NB22" s="322">
        <v>298532.78000000003</v>
      </c>
      <c r="NC22" s="322">
        <v>363355.2</v>
      </c>
      <c r="ND22" s="322">
        <v>355618.8</v>
      </c>
      <c r="NE22" s="322">
        <v>406534.44</v>
      </c>
      <c r="NF22" s="322">
        <v>366158</v>
      </c>
      <c r="NG22" s="322">
        <v>382813</v>
      </c>
      <c r="NH22" s="322">
        <v>393028</v>
      </c>
      <c r="NI22" s="322">
        <v>389154</v>
      </c>
      <c r="NJ22" s="322">
        <v>349201</v>
      </c>
      <c r="NK22" s="322">
        <v>372932</v>
      </c>
      <c r="NL22" s="322">
        <v>410739</v>
      </c>
      <c r="NM22" s="322">
        <v>412247</v>
      </c>
      <c r="NN22" s="322"/>
      <c r="NO22" s="322">
        <v>400169</v>
      </c>
      <c r="NP22" s="322">
        <v>418211</v>
      </c>
      <c r="NQ22" s="322">
        <v>418211</v>
      </c>
      <c r="NR22" s="322">
        <v>439069</v>
      </c>
      <c r="NS22" s="322">
        <v>470405.51</v>
      </c>
      <c r="NT22" s="334"/>
      <c r="NU22" s="322" t="s">
        <v>5</v>
      </c>
      <c r="NV22" s="322">
        <v>102898</v>
      </c>
      <c r="NW22" s="322">
        <v>121851.73</v>
      </c>
      <c r="NX22" s="322">
        <v>124753.98</v>
      </c>
      <c r="NY22" s="322">
        <v>154263.13</v>
      </c>
      <c r="NZ22" s="322">
        <v>213237.7</v>
      </c>
      <c r="OA22" s="322">
        <v>218013.12</v>
      </c>
      <c r="OB22" s="322">
        <v>266714.09999999998</v>
      </c>
      <c r="OC22" s="322">
        <v>281446.92</v>
      </c>
      <c r="OD22" s="322">
        <v>297246</v>
      </c>
      <c r="OE22" s="322">
        <v>285339</v>
      </c>
      <c r="OF22" s="322">
        <v>272454</v>
      </c>
      <c r="OG22" s="322">
        <v>255356</v>
      </c>
      <c r="OH22" s="322">
        <v>263408</v>
      </c>
      <c r="OI22" s="322">
        <v>266428</v>
      </c>
      <c r="OJ22" s="322">
        <v>270896</v>
      </c>
      <c r="OK22" s="322">
        <v>271127</v>
      </c>
      <c r="OL22" s="322"/>
      <c r="OM22" s="322">
        <v>276976</v>
      </c>
      <c r="ON22" s="322">
        <v>326994</v>
      </c>
      <c r="OO22" s="322">
        <v>326994</v>
      </c>
      <c r="OP22" s="322">
        <v>360157</v>
      </c>
      <c r="OQ22" s="322">
        <v>416345</v>
      </c>
      <c r="OR22" s="334"/>
      <c r="OS22" s="322" t="s">
        <v>5</v>
      </c>
      <c r="OT22" s="322">
        <v>82318.399999999994</v>
      </c>
      <c r="OU22" s="322">
        <v>121851.73</v>
      </c>
      <c r="OV22" s="322">
        <v>124753.98</v>
      </c>
      <c r="OW22" s="322">
        <v>132225.54</v>
      </c>
      <c r="OX22" s="322">
        <v>106618.85</v>
      </c>
      <c r="OY22" s="322">
        <v>121118.39999999999</v>
      </c>
      <c r="OZ22" s="322">
        <v>133357.04999999999</v>
      </c>
      <c r="PA22" s="322">
        <v>125087.52</v>
      </c>
      <c r="PB22" s="322">
        <v>132289</v>
      </c>
      <c r="PC22" s="322">
        <v>157977</v>
      </c>
      <c r="PD22" s="322">
        <v>170289</v>
      </c>
      <c r="PE22" s="322">
        <v>169372</v>
      </c>
      <c r="PF22" s="322">
        <v>172653</v>
      </c>
      <c r="PG22" s="322">
        <v>174742</v>
      </c>
      <c r="PH22" s="322">
        <v>184564</v>
      </c>
      <c r="PI22" s="322">
        <v>159572</v>
      </c>
      <c r="PJ22" s="322"/>
      <c r="PK22" s="322">
        <v>139182</v>
      </c>
      <c r="PL22" s="322">
        <v>107863</v>
      </c>
      <c r="PM22" s="322">
        <v>107863</v>
      </c>
      <c r="PN22" s="322">
        <v>113821</v>
      </c>
      <c r="PO22" s="322">
        <v>123522</v>
      </c>
      <c r="PP22" s="334"/>
      <c r="PQ22" s="322" t="s">
        <v>5</v>
      </c>
      <c r="PR22" s="322">
        <v>20579.599999999999</v>
      </c>
      <c r="PS22" s="322">
        <v>17407.39</v>
      </c>
      <c r="PT22" s="322">
        <v>20792.330000000002</v>
      </c>
      <c r="PU22" s="322">
        <v>22037.59</v>
      </c>
      <c r="PV22" s="322">
        <v>21323.77</v>
      </c>
      <c r="PW22" s="322">
        <v>24223.68</v>
      </c>
      <c r="PX22" s="322">
        <v>44452.35</v>
      </c>
      <c r="PY22" s="322">
        <v>31271.88</v>
      </c>
      <c r="PZ22" s="322">
        <v>29883</v>
      </c>
      <c r="QA22" s="322">
        <v>33904</v>
      </c>
      <c r="QB22" s="322">
        <v>26862</v>
      </c>
      <c r="QC22" s="322">
        <v>27878</v>
      </c>
      <c r="QD22" s="322">
        <v>38068</v>
      </c>
      <c r="QE22" s="322">
        <v>21219</v>
      </c>
      <c r="QF22" s="322">
        <v>56504</v>
      </c>
      <c r="QG22" s="322">
        <v>21808</v>
      </c>
      <c r="QH22" s="322"/>
      <c r="QI22" s="322">
        <v>22987</v>
      </c>
      <c r="QJ22" s="322">
        <v>27310</v>
      </c>
      <c r="QK22" s="322">
        <v>27310</v>
      </c>
      <c r="QL22" s="322">
        <v>23641</v>
      </c>
      <c r="QM22" s="322">
        <v>31600</v>
      </c>
      <c r="QN22" s="334"/>
      <c r="QO22" s="322" t="s">
        <v>5</v>
      </c>
      <c r="QP22" s="322">
        <v>0</v>
      </c>
      <c r="QQ22" s="322">
        <v>0</v>
      </c>
      <c r="QR22" s="322">
        <v>0</v>
      </c>
      <c r="QS22" s="322">
        <v>0</v>
      </c>
      <c r="QT22" s="322">
        <v>0</v>
      </c>
      <c r="QU22" s="322">
        <v>0</v>
      </c>
      <c r="QV22" s="322">
        <v>0</v>
      </c>
      <c r="QW22" s="322">
        <v>0</v>
      </c>
      <c r="QX22" s="322">
        <v>0</v>
      </c>
      <c r="QY22" s="322">
        <v>100791</v>
      </c>
      <c r="QZ22" s="322">
        <v>368272</v>
      </c>
      <c r="RA22" s="322">
        <v>437292</v>
      </c>
      <c r="RB22" s="322">
        <v>260193</v>
      </c>
      <c r="RC22" s="322">
        <v>285052</v>
      </c>
      <c r="RD22" s="322">
        <v>235565</v>
      </c>
      <c r="RE22" s="322">
        <v>0</v>
      </c>
      <c r="RF22" s="322"/>
      <c r="RG22" s="322">
        <v>0</v>
      </c>
      <c r="RH22" s="322">
        <v>0</v>
      </c>
      <c r="RI22" s="322">
        <v>0</v>
      </c>
      <c r="RJ22" s="322">
        <v>0</v>
      </c>
      <c r="RK22" s="322">
        <v>0</v>
      </c>
      <c r="RL22" s="334"/>
      <c r="RM22" s="322" t="s">
        <v>5</v>
      </c>
      <c r="RN22" s="322">
        <v>0</v>
      </c>
      <c r="RO22" s="322">
        <v>0</v>
      </c>
      <c r="RP22" s="322">
        <v>228715.63</v>
      </c>
      <c r="RQ22" s="322">
        <v>66112.77</v>
      </c>
      <c r="RR22" s="322">
        <v>0</v>
      </c>
      <c r="RS22" s="322">
        <v>0</v>
      </c>
      <c r="RT22" s="322">
        <v>0</v>
      </c>
      <c r="RU22" s="322">
        <v>0</v>
      </c>
      <c r="RV22" s="322">
        <v>0</v>
      </c>
      <c r="RW22" s="322">
        <v>1011</v>
      </c>
      <c r="RX22" s="322">
        <v>1306</v>
      </c>
      <c r="RY22" s="322">
        <v>95</v>
      </c>
      <c r="RZ22" s="322">
        <v>96</v>
      </c>
      <c r="SA22" s="322">
        <v>0</v>
      </c>
      <c r="SB22" s="322">
        <v>0</v>
      </c>
      <c r="SC22" s="322">
        <v>0</v>
      </c>
      <c r="SD22" s="322"/>
      <c r="SE22" s="322">
        <v>105000</v>
      </c>
      <c r="SF22" s="322">
        <v>105270</v>
      </c>
      <c r="SG22" s="322">
        <v>105270</v>
      </c>
      <c r="SH22" s="322">
        <v>566000</v>
      </c>
      <c r="SI22" s="322">
        <v>0</v>
      </c>
    </row>
    <row r="23" spans="1:503">
      <c r="A23" s="319" t="s">
        <v>6</v>
      </c>
      <c r="B23" s="319">
        <v>569327</v>
      </c>
      <c r="C23" s="319">
        <v>544021</v>
      </c>
      <c r="D23" s="319">
        <v>758625</v>
      </c>
      <c r="E23" s="319">
        <v>749232</v>
      </c>
      <c r="F23" s="319">
        <v>769240</v>
      </c>
      <c r="G23" s="319">
        <v>773308</v>
      </c>
      <c r="H23" s="319">
        <v>789201</v>
      </c>
      <c r="I23" s="319">
        <v>783232</v>
      </c>
      <c r="J23" s="319">
        <v>957483.94</v>
      </c>
      <c r="K23" s="319">
        <v>887769.63</v>
      </c>
      <c r="L23" s="319">
        <v>968909.1</v>
      </c>
      <c r="M23" s="319">
        <v>927788.31</v>
      </c>
      <c r="N23" s="319">
        <v>1059290.82</v>
      </c>
      <c r="O23" s="319">
        <v>955130.51</v>
      </c>
      <c r="P23" s="319">
        <v>1195873.1599999999</v>
      </c>
      <c r="Q23" s="319">
        <v>1143129.58</v>
      </c>
      <c r="R23" s="319">
        <v>1161190.8500000001</v>
      </c>
      <c r="S23" s="322">
        <v>1175625.9699999997</v>
      </c>
      <c r="T23" s="319">
        <v>1241648.97</v>
      </c>
      <c r="U23" s="319">
        <v>1295276.3999999999</v>
      </c>
      <c r="V23" s="319">
        <v>1284867.99</v>
      </c>
      <c r="W23" s="319">
        <v>1712397</v>
      </c>
      <c r="X23" s="330"/>
      <c r="Y23" s="319" t="s">
        <v>6</v>
      </c>
      <c r="Z23" s="319">
        <v>62625.97</v>
      </c>
      <c r="AA23" s="319">
        <v>54402.1</v>
      </c>
      <c r="AB23" s="319">
        <v>60690</v>
      </c>
      <c r="AC23" s="319">
        <v>74923.199999999997</v>
      </c>
      <c r="AD23" s="319">
        <v>69231.600000000006</v>
      </c>
      <c r="AE23" s="319">
        <v>92796.96</v>
      </c>
      <c r="AF23" s="319">
        <v>85063.88</v>
      </c>
      <c r="AG23" s="319">
        <v>86155.520000000004</v>
      </c>
      <c r="AH23" s="319">
        <v>90794.52</v>
      </c>
      <c r="AI23" s="319">
        <v>100331.02</v>
      </c>
      <c r="AJ23" s="319">
        <v>98977.73</v>
      </c>
      <c r="AK23" s="319">
        <v>107137.59</v>
      </c>
      <c r="AL23" s="319">
        <v>127476.17</v>
      </c>
      <c r="AM23" s="319">
        <v>110286.1</v>
      </c>
      <c r="AN23" s="319">
        <v>131383.66</v>
      </c>
      <c r="AO23" s="319">
        <v>129847.46</v>
      </c>
      <c r="AP23" s="319">
        <v>119343.06</v>
      </c>
      <c r="AQ23" s="322">
        <v>142565.06</v>
      </c>
      <c r="AR23" s="319">
        <v>157594.19</v>
      </c>
      <c r="AS23" s="319">
        <v>151321.16</v>
      </c>
      <c r="AT23" s="319">
        <v>135977.71000000002</v>
      </c>
      <c r="AU23" s="319">
        <v>182504</v>
      </c>
      <c r="AV23" s="334"/>
      <c r="AW23" s="319" t="s">
        <v>6</v>
      </c>
      <c r="AX23" s="319">
        <v>45546.16</v>
      </c>
      <c r="AY23" s="319">
        <v>54402.100000000006</v>
      </c>
      <c r="AZ23" s="319">
        <v>60690</v>
      </c>
      <c r="BA23" s="319">
        <v>67430.880000000005</v>
      </c>
      <c r="BB23" s="319">
        <v>61539.200000000004</v>
      </c>
      <c r="BC23" s="319">
        <v>61864.639999999999</v>
      </c>
      <c r="BD23" s="319">
        <v>63136.08</v>
      </c>
      <c r="BE23" s="319">
        <v>70490.880000000005</v>
      </c>
      <c r="BF23" s="319">
        <v>70234.149999999994</v>
      </c>
      <c r="BG23" s="319">
        <v>71379.55</v>
      </c>
      <c r="BH23" s="319">
        <v>71164.22</v>
      </c>
      <c r="BI23" s="319">
        <v>69581.899999999994</v>
      </c>
      <c r="BJ23" s="319">
        <v>69935.820000000007</v>
      </c>
      <c r="BK23" s="319">
        <v>71766.880000000005</v>
      </c>
      <c r="BL23" s="319">
        <v>70878.569999999992</v>
      </c>
      <c r="BM23" s="319">
        <v>71231.28</v>
      </c>
      <c r="BN23" s="319">
        <v>78482.52</v>
      </c>
      <c r="BO23" s="322">
        <v>77393.959999999992</v>
      </c>
      <c r="BP23" s="319">
        <v>75309.94</v>
      </c>
      <c r="BQ23" s="319">
        <v>74627.58</v>
      </c>
      <c r="BR23" s="319">
        <v>76587.789999999994</v>
      </c>
      <c r="BS23" s="319">
        <v>77076</v>
      </c>
      <c r="BT23" s="334"/>
      <c r="BU23" s="322" t="s">
        <v>6</v>
      </c>
      <c r="BV23" s="322">
        <v>56932.7</v>
      </c>
      <c r="BW23" s="322">
        <v>32641.26</v>
      </c>
      <c r="BX23" s="322">
        <v>53103.75</v>
      </c>
      <c r="BY23" s="322">
        <v>37461.599999999999</v>
      </c>
      <c r="BZ23" s="322">
        <v>84616.4</v>
      </c>
      <c r="CA23" s="322">
        <v>38665.4</v>
      </c>
      <c r="CB23" s="322">
        <v>63136.08</v>
      </c>
      <c r="CC23" s="322">
        <v>39161.599999999999</v>
      </c>
      <c r="CD23" s="322">
        <v>84167.01</v>
      </c>
      <c r="CE23" s="322">
        <v>42723.600000000006</v>
      </c>
      <c r="CF23" s="322">
        <v>76592.719999999987</v>
      </c>
      <c r="CG23" s="322">
        <v>46591.890000000007</v>
      </c>
      <c r="CH23" s="322">
        <v>99920.89</v>
      </c>
      <c r="CI23" s="322">
        <v>45619.009999999995</v>
      </c>
      <c r="CJ23" s="322">
        <v>88529.600000000006</v>
      </c>
      <c r="CK23" s="322">
        <v>59102.09</v>
      </c>
      <c r="CL23" s="322">
        <v>89774.78</v>
      </c>
      <c r="CM23" s="322">
        <v>89579.590000000011</v>
      </c>
      <c r="CN23" s="322">
        <v>76389.740000000005</v>
      </c>
      <c r="CO23" s="322">
        <v>53281.08</v>
      </c>
      <c r="CP23" s="322">
        <v>94353.35</v>
      </c>
      <c r="CQ23" s="322">
        <v>61557</v>
      </c>
      <c r="CR23" s="334"/>
      <c r="CS23" s="322" t="s">
        <v>6</v>
      </c>
      <c r="CT23" s="322">
        <v>62625.97</v>
      </c>
      <c r="CU23" s="322">
        <v>48961.89</v>
      </c>
      <c r="CV23" s="322">
        <v>204828.75</v>
      </c>
      <c r="CW23" s="322">
        <v>119877.12</v>
      </c>
      <c r="CX23" s="322">
        <v>100001.2</v>
      </c>
      <c r="CY23" s="322">
        <v>85063.88</v>
      </c>
      <c r="CZ23" s="322">
        <v>55244.07</v>
      </c>
      <c r="DA23" s="322">
        <v>54826.239999999998</v>
      </c>
      <c r="DB23" s="322">
        <v>63545.2</v>
      </c>
      <c r="DC23" s="322">
        <v>69966.5</v>
      </c>
      <c r="DD23" s="322">
        <v>95445.19</v>
      </c>
      <c r="DE23" s="322">
        <v>89525.63</v>
      </c>
      <c r="DF23" s="322">
        <v>103023.15999999999</v>
      </c>
      <c r="DG23" s="322">
        <v>65147.619999999995</v>
      </c>
      <c r="DH23" s="322">
        <v>116781.6</v>
      </c>
      <c r="DI23" s="322">
        <v>79944.740000000005</v>
      </c>
      <c r="DJ23" s="322">
        <v>71662.349999999991</v>
      </c>
      <c r="DK23" s="322">
        <v>69567.81</v>
      </c>
      <c r="DL23" s="322">
        <v>114688.44</v>
      </c>
      <c r="DM23" s="322">
        <v>103808.56</v>
      </c>
      <c r="DN23" s="322">
        <v>87376.27</v>
      </c>
      <c r="DO23" s="322">
        <v>146633</v>
      </c>
      <c r="DP23" s="334"/>
      <c r="DQ23" s="322" t="s">
        <v>6</v>
      </c>
      <c r="DR23" s="322">
        <v>28466.35</v>
      </c>
      <c r="DS23" s="322">
        <v>27201.05</v>
      </c>
      <c r="DT23" s="322">
        <v>30345</v>
      </c>
      <c r="DU23" s="322">
        <v>29969.279999999999</v>
      </c>
      <c r="DV23" s="322">
        <v>53846.8</v>
      </c>
      <c r="DW23" s="322">
        <v>61864.639999999999</v>
      </c>
      <c r="DX23" s="322">
        <v>71028.09</v>
      </c>
      <c r="DY23" s="322">
        <v>70490.880000000005</v>
      </c>
      <c r="DZ23" s="322">
        <v>78926.95</v>
      </c>
      <c r="EA23" s="322">
        <v>80835.98</v>
      </c>
      <c r="EB23" s="322">
        <v>84884.579999999987</v>
      </c>
      <c r="EC23" s="322">
        <v>87874.95</v>
      </c>
      <c r="ED23" s="322">
        <v>97859.650000000009</v>
      </c>
      <c r="EE23" s="322">
        <v>108895.37</v>
      </c>
      <c r="EF23" s="322">
        <v>134045.20000000001</v>
      </c>
      <c r="EG23" s="322">
        <v>126955.34999999999</v>
      </c>
      <c r="EH23" s="322">
        <v>133164.20000000001</v>
      </c>
      <c r="EI23" s="322">
        <v>142712.85</v>
      </c>
      <c r="EJ23" s="322">
        <v>151463.93</v>
      </c>
      <c r="EK23" s="322">
        <v>167877.03</v>
      </c>
      <c r="EL23" s="322">
        <v>170173.47000000003</v>
      </c>
      <c r="EM23" s="322">
        <v>183700</v>
      </c>
      <c r="EN23" s="334"/>
      <c r="EO23" s="322" t="s">
        <v>6</v>
      </c>
      <c r="EP23" s="322">
        <v>34159.620000000003</v>
      </c>
      <c r="EQ23" s="322">
        <v>43521.68</v>
      </c>
      <c r="ER23" s="322">
        <v>37931.25</v>
      </c>
      <c r="ES23" s="322">
        <v>44953.919999999998</v>
      </c>
      <c r="ET23" s="322">
        <v>53846.8</v>
      </c>
      <c r="EU23" s="322">
        <v>61864.639999999999</v>
      </c>
      <c r="EV23" s="322">
        <v>63136.08</v>
      </c>
      <c r="EW23" s="322">
        <v>62658.559999999998</v>
      </c>
      <c r="EX23" s="322">
        <v>64142.909999999996</v>
      </c>
      <c r="EY23" s="322">
        <v>74885.3</v>
      </c>
      <c r="EZ23" s="322">
        <v>92357.499999999985</v>
      </c>
      <c r="FA23" s="322">
        <v>0</v>
      </c>
      <c r="FB23" s="322">
        <v>0</v>
      </c>
      <c r="FC23" s="322">
        <v>0</v>
      </c>
      <c r="FD23" s="322">
        <v>0</v>
      </c>
      <c r="FE23" s="322">
        <v>0</v>
      </c>
      <c r="FF23" s="322">
        <v>0</v>
      </c>
      <c r="FG23" s="322">
        <v>0</v>
      </c>
      <c r="FH23" s="322">
        <v>0</v>
      </c>
      <c r="FI23" s="322">
        <v>0</v>
      </c>
      <c r="FJ23" s="322">
        <v>0</v>
      </c>
      <c r="FK23" s="322">
        <v>0</v>
      </c>
      <c r="FL23" s="334"/>
      <c r="FM23" s="322" t="s">
        <v>6</v>
      </c>
      <c r="FN23" s="322">
        <v>0</v>
      </c>
      <c r="FO23" s="322">
        <v>0</v>
      </c>
      <c r="FP23" s="322">
        <v>0</v>
      </c>
      <c r="FQ23" s="322">
        <v>0</v>
      </c>
      <c r="FR23" s="322">
        <v>0</v>
      </c>
      <c r="FS23" s="322">
        <v>0</v>
      </c>
      <c r="FT23" s="322">
        <v>0</v>
      </c>
      <c r="FU23" s="322">
        <v>0</v>
      </c>
      <c r="FV23" s="322">
        <v>0</v>
      </c>
      <c r="FW23" s="322">
        <v>797.87</v>
      </c>
      <c r="FX23" s="322">
        <v>797.87</v>
      </c>
      <c r="FY23" s="322">
        <v>106396.65999999999</v>
      </c>
      <c r="FZ23" s="322">
        <v>112039.84999999999</v>
      </c>
      <c r="GA23" s="322">
        <v>114447.93000000001</v>
      </c>
      <c r="GB23" s="322">
        <v>103881.23</v>
      </c>
      <c r="GC23" s="322">
        <v>113197.38</v>
      </c>
      <c r="GD23" s="322">
        <v>115264.39</v>
      </c>
      <c r="GE23" s="322">
        <v>110664.01999999999</v>
      </c>
      <c r="GF23" s="340">
        <v>98842.8</v>
      </c>
      <c r="GG23" s="704">
        <v>94275.37000000001</v>
      </c>
      <c r="GH23" s="704">
        <v>94762.43</v>
      </c>
      <c r="GI23" s="704">
        <v>121831</v>
      </c>
      <c r="GJ23" s="334"/>
      <c r="GK23" s="322" t="s">
        <v>6</v>
      </c>
      <c r="GL23" s="322">
        <v>22773.08</v>
      </c>
      <c r="GM23" s="322">
        <v>21760.84</v>
      </c>
      <c r="GN23" s="322">
        <v>22758.75</v>
      </c>
      <c r="GO23" s="322">
        <v>29969.279999999999</v>
      </c>
      <c r="GP23" s="322">
        <v>30769.599999999999</v>
      </c>
      <c r="GQ23" s="322">
        <v>30932.32</v>
      </c>
      <c r="GR23" s="322">
        <v>39460.050000000003</v>
      </c>
      <c r="GS23" s="322">
        <v>54826.239999999998</v>
      </c>
      <c r="GT23" s="322">
        <v>60172.549999999996</v>
      </c>
      <c r="GU23" s="322">
        <v>65107.9</v>
      </c>
      <c r="GV23" s="322">
        <v>64942</v>
      </c>
      <c r="GW23" s="322">
        <v>66324.350000000006</v>
      </c>
      <c r="GX23" s="322">
        <v>67468.81</v>
      </c>
      <c r="GY23" s="322">
        <v>69230.95</v>
      </c>
      <c r="GZ23" s="322">
        <v>73711.259999999995</v>
      </c>
      <c r="HA23" s="322">
        <v>72598.650000000009</v>
      </c>
      <c r="HB23" s="322">
        <v>78558.73</v>
      </c>
      <c r="HC23" s="322">
        <v>78072.7</v>
      </c>
      <c r="HD23" s="322">
        <v>82237.009999999995</v>
      </c>
      <c r="HE23" s="322">
        <v>77114.080000000002</v>
      </c>
      <c r="HF23" s="322">
        <v>79154.600000000006</v>
      </c>
      <c r="HG23" s="322">
        <v>80398</v>
      </c>
      <c r="HH23" s="334"/>
      <c r="HI23" s="322" t="s">
        <v>6</v>
      </c>
      <c r="HJ23" s="322">
        <v>5693.27</v>
      </c>
      <c r="HK23" s="322">
        <v>10880.42</v>
      </c>
      <c r="HL23" s="322">
        <v>15172.5</v>
      </c>
      <c r="HM23" s="322">
        <v>14984.64</v>
      </c>
      <c r="HN23" s="322">
        <v>7692.4</v>
      </c>
      <c r="HO23" s="322">
        <v>7733.08</v>
      </c>
      <c r="HP23" s="322">
        <v>15784.02</v>
      </c>
      <c r="HQ23" s="322">
        <v>7832.32</v>
      </c>
      <c r="HR23" s="322">
        <v>16644.97</v>
      </c>
      <c r="HS23" s="322">
        <v>9718.4900000000016</v>
      </c>
      <c r="HT23" s="322">
        <v>12289.84</v>
      </c>
      <c r="HU23" s="322">
        <v>14130.029999999999</v>
      </c>
      <c r="HV23" s="322">
        <v>22809.73</v>
      </c>
      <c r="HW23" s="322">
        <v>24835.599999999999</v>
      </c>
      <c r="HX23" s="322">
        <v>17735.57</v>
      </c>
      <c r="HY23" s="322">
        <v>29292.489999999998</v>
      </c>
      <c r="HZ23" s="322">
        <v>21688.15</v>
      </c>
      <c r="IA23" s="322">
        <v>21032.43</v>
      </c>
      <c r="IB23" s="322">
        <v>15666.57</v>
      </c>
      <c r="IC23" s="322">
        <v>14395.93</v>
      </c>
      <c r="ID23" s="322">
        <v>11938.25</v>
      </c>
      <c r="IE23" s="322">
        <v>24400</v>
      </c>
      <c r="IF23" s="334"/>
      <c r="IG23" s="322" t="s">
        <v>6</v>
      </c>
      <c r="IH23" s="322">
        <v>17079.810000000001</v>
      </c>
      <c r="II23" s="322">
        <v>0</v>
      </c>
      <c r="IJ23" s="322">
        <v>0</v>
      </c>
      <c r="IK23" s="322">
        <v>0</v>
      </c>
      <c r="IL23" s="322">
        <v>0</v>
      </c>
      <c r="IM23" s="322">
        <v>0</v>
      </c>
      <c r="IN23" s="322">
        <v>0</v>
      </c>
      <c r="IO23" s="322">
        <v>0</v>
      </c>
      <c r="IP23" s="322">
        <v>0</v>
      </c>
      <c r="IQ23" s="322">
        <v>0</v>
      </c>
      <c r="IR23" s="322">
        <v>0</v>
      </c>
      <c r="IS23" s="322">
        <v>0</v>
      </c>
      <c r="IT23" s="322">
        <v>0</v>
      </c>
      <c r="IU23" s="322">
        <v>0</v>
      </c>
      <c r="IV23" s="322"/>
      <c r="IW23" s="322"/>
      <c r="IX23" s="322"/>
      <c r="IY23" s="322"/>
      <c r="IZ23" s="322"/>
      <c r="JA23" s="322"/>
      <c r="JB23" s="322"/>
      <c r="JC23" s="322"/>
      <c r="JD23" s="334"/>
      <c r="JE23" s="322" t="s">
        <v>6</v>
      </c>
      <c r="JF23" s="322">
        <v>11386.54</v>
      </c>
      <c r="JG23" s="322">
        <v>5440.21</v>
      </c>
      <c r="JH23" s="322">
        <v>7586.25</v>
      </c>
      <c r="JI23" s="322">
        <v>7492.32</v>
      </c>
      <c r="JJ23" s="322">
        <v>7692.4</v>
      </c>
      <c r="JK23" s="322">
        <v>15466.16</v>
      </c>
      <c r="JL23" s="322">
        <v>15784.02</v>
      </c>
      <c r="JM23" s="322">
        <v>15664.64</v>
      </c>
      <c r="JN23" s="322">
        <v>15733.58</v>
      </c>
      <c r="JO23" s="322">
        <v>14766.560000000001</v>
      </c>
      <c r="JP23" s="322">
        <v>13042.300000000001</v>
      </c>
      <c r="JQ23" s="322">
        <v>14440.64</v>
      </c>
      <c r="JR23" s="322">
        <v>17141.260000000002</v>
      </c>
      <c r="JS23" s="322">
        <v>17343.84</v>
      </c>
      <c r="JT23" s="322">
        <v>12036.86</v>
      </c>
      <c r="JU23" s="322">
        <v>16068.55</v>
      </c>
      <c r="JV23" s="322">
        <v>18766.23</v>
      </c>
      <c r="JW23" s="322">
        <v>11879.55</v>
      </c>
      <c r="JX23" s="322">
        <v>11700.369999999999</v>
      </c>
      <c r="JY23" s="322">
        <v>20068.54</v>
      </c>
      <c r="JZ23" s="322">
        <v>17029.53</v>
      </c>
      <c r="KA23" s="322">
        <v>216975</v>
      </c>
      <c r="KB23" s="334"/>
      <c r="KC23" s="322" t="s">
        <v>6</v>
      </c>
      <c r="KD23" s="322">
        <v>22773.08</v>
      </c>
      <c r="KE23" s="322">
        <v>38081.47</v>
      </c>
      <c r="KF23" s="322">
        <v>37931.25</v>
      </c>
      <c r="KG23" s="322">
        <v>29969.279999999999</v>
      </c>
      <c r="KH23" s="322">
        <v>30769.599999999999</v>
      </c>
      <c r="KI23" s="322">
        <v>38665.4</v>
      </c>
      <c r="KJ23" s="322">
        <v>39460.050000000003</v>
      </c>
      <c r="KK23" s="322">
        <v>54826.239999999998</v>
      </c>
      <c r="KL23" s="322">
        <v>50786.680000000008</v>
      </c>
      <c r="KM23" s="322">
        <v>55818.85</v>
      </c>
      <c r="KN23" s="322">
        <v>41726.99</v>
      </c>
      <c r="KO23" s="322">
        <v>54444</v>
      </c>
      <c r="KP23" s="322">
        <v>57588.389999999992</v>
      </c>
      <c r="KQ23" s="322">
        <v>54158.55</v>
      </c>
      <c r="KR23" s="322">
        <v>53999.72</v>
      </c>
      <c r="KS23" s="322">
        <v>56068.83</v>
      </c>
      <c r="KT23" s="322">
        <v>55029.420000000006</v>
      </c>
      <c r="KU23" s="322">
        <v>57745.430000000008</v>
      </c>
      <c r="KV23" s="322">
        <v>58070.67</v>
      </c>
      <c r="KW23" s="322">
        <v>56896.43</v>
      </c>
      <c r="KX23" s="322">
        <v>57945.619999999995</v>
      </c>
      <c r="KY23" s="322">
        <v>64300</v>
      </c>
      <c r="KZ23" s="334"/>
      <c r="LA23" s="322" t="s">
        <v>6</v>
      </c>
      <c r="LB23" s="322">
        <v>79705.78</v>
      </c>
      <c r="LC23" s="322">
        <v>87043.36</v>
      </c>
      <c r="LD23" s="322">
        <v>98621.25</v>
      </c>
      <c r="LE23" s="322">
        <v>134861.76000000001</v>
      </c>
      <c r="LF23" s="322">
        <v>146155.6</v>
      </c>
      <c r="LG23" s="322">
        <v>139195.44</v>
      </c>
      <c r="LH23" s="322">
        <v>126272.16</v>
      </c>
      <c r="LI23" s="322">
        <v>109652.48</v>
      </c>
      <c r="LJ23" s="322">
        <v>128056.98</v>
      </c>
      <c r="LK23" s="322">
        <v>141780.53</v>
      </c>
      <c r="LL23" s="322">
        <v>149309.19</v>
      </c>
      <c r="LM23" s="322">
        <v>130674.3</v>
      </c>
      <c r="LN23" s="322">
        <v>118092.75</v>
      </c>
      <c r="LO23" s="322">
        <v>116557.86</v>
      </c>
      <c r="LP23" s="322">
        <v>162784.98000000001</v>
      </c>
      <c r="LQ23" s="322">
        <v>139407.33000000002</v>
      </c>
      <c r="LR23" s="322">
        <v>147626.16</v>
      </c>
      <c r="LS23" s="322">
        <v>148302.75</v>
      </c>
      <c r="LT23" s="322">
        <v>161167.74000000002</v>
      </c>
      <c r="LU23" s="322">
        <v>169611.03999999998</v>
      </c>
      <c r="LV23" s="322">
        <v>198497.66999999998</v>
      </c>
      <c r="LW23" s="322">
        <v>200325</v>
      </c>
      <c r="LX23" s="334"/>
      <c r="LY23" s="322" t="s">
        <v>6</v>
      </c>
      <c r="LZ23" s="322">
        <v>0</v>
      </c>
      <c r="MA23" s="322">
        <v>0</v>
      </c>
      <c r="MB23" s="322">
        <v>0</v>
      </c>
      <c r="MC23" s="322">
        <v>0</v>
      </c>
      <c r="MD23" s="322">
        <v>0</v>
      </c>
      <c r="ME23" s="322">
        <v>0</v>
      </c>
      <c r="MF23" s="322">
        <v>0</v>
      </c>
      <c r="MG23" s="322">
        <v>0</v>
      </c>
      <c r="MH23" s="322">
        <v>0</v>
      </c>
      <c r="MI23" s="322">
        <v>0</v>
      </c>
      <c r="MJ23" s="322">
        <v>0</v>
      </c>
      <c r="MK23" s="322">
        <v>0</v>
      </c>
      <c r="ML23" s="322">
        <v>0</v>
      </c>
      <c r="MM23" s="322">
        <v>0</v>
      </c>
      <c r="MN23" s="322">
        <v>0</v>
      </c>
      <c r="MO23" s="322">
        <v>0</v>
      </c>
      <c r="MP23" s="322">
        <v>0</v>
      </c>
      <c r="MQ23" s="322">
        <v>0</v>
      </c>
      <c r="MR23" s="322">
        <v>0</v>
      </c>
      <c r="MS23" s="322">
        <v>0</v>
      </c>
      <c r="MT23" s="322">
        <v>0</v>
      </c>
      <c r="MU23" s="322">
        <v>0</v>
      </c>
      <c r="MV23" s="334"/>
      <c r="MW23" s="322" t="s">
        <v>6</v>
      </c>
      <c r="MX23" s="322">
        <v>0</v>
      </c>
      <c r="MY23" s="322">
        <v>0</v>
      </c>
      <c r="MZ23" s="322">
        <v>0</v>
      </c>
      <c r="NA23" s="322">
        <v>0</v>
      </c>
      <c r="NB23" s="322">
        <v>0</v>
      </c>
      <c r="NC23" s="322">
        <v>0</v>
      </c>
      <c r="ND23" s="322">
        <v>0</v>
      </c>
      <c r="NE23" s="322">
        <v>0</v>
      </c>
      <c r="NF23" s="322">
        <v>0</v>
      </c>
      <c r="NG23" s="322">
        <v>0</v>
      </c>
      <c r="NH23" s="322">
        <v>15238.71</v>
      </c>
      <c r="NI23" s="322">
        <v>0</v>
      </c>
      <c r="NJ23" s="322">
        <v>0</v>
      </c>
      <c r="NK23" s="322">
        <v>0</v>
      </c>
      <c r="NL23" s="322">
        <v>0</v>
      </c>
      <c r="NM23" s="322">
        <v>0</v>
      </c>
      <c r="NN23" s="322">
        <v>0</v>
      </c>
      <c r="NO23" s="322">
        <v>0</v>
      </c>
      <c r="NP23" s="322">
        <v>0</v>
      </c>
      <c r="NQ23" s="322">
        <v>0</v>
      </c>
      <c r="NR23" s="322">
        <v>0</v>
      </c>
      <c r="NS23" s="322">
        <v>0</v>
      </c>
      <c r="NT23" s="334"/>
      <c r="NU23" s="322" t="s">
        <v>6</v>
      </c>
      <c r="NV23" s="322">
        <v>51239.43</v>
      </c>
      <c r="NW23" s="322">
        <v>54402.1</v>
      </c>
      <c r="NX23" s="322">
        <v>60690</v>
      </c>
      <c r="NY23" s="322">
        <v>89907.839999999997</v>
      </c>
      <c r="NZ23" s="322">
        <v>76924</v>
      </c>
      <c r="OA23" s="322">
        <v>85063.88</v>
      </c>
      <c r="OB23" s="322">
        <v>86812.11</v>
      </c>
      <c r="OC23" s="322">
        <v>86155.520000000004</v>
      </c>
      <c r="OD23" s="322">
        <v>88061.49</v>
      </c>
      <c r="OE23" s="322">
        <v>95930.28</v>
      </c>
      <c r="OF23" s="322">
        <v>96866.07</v>
      </c>
      <c r="OG23" s="322">
        <v>99005.73</v>
      </c>
      <c r="OH23" s="322">
        <v>101344.37</v>
      </c>
      <c r="OI23" s="322">
        <v>96330.189999999988</v>
      </c>
      <c r="OJ23" s="322">
        <v>123126.89</v>
      </c>
      <c r="OK23" s="322">
        <v>103883.28</v>
      </c>
      <c r="OL23" s="322">
        <v>104433.07</v>
      </c>
      <c r="OM23" s="322">
        <v>113351.97999999998</v>
      </c>
      <c r="ON23" s="322">
        <v>109543.48999999999</v>
      </c>
      <c r="OO23" s="322">
        <v>104921.08</v>
      </c>
      <c r="OP23" s="322">
        <v>121793.76</v>
      </c>
      <c r="OQ23" s="322">
        <v>125161</v>
      </c>
      <c r="OR23" s="334"/>
      <c r="OS23" s="322" t="s">
        <v>6</v>
      </c>
      <c r="OT23" s="322">
        <v>28466.35</v>
      </c>
      <c r="OU23" s="322">
        <v>27201.05</v>
      </c>
      <c r="OV23" s="322">
        <v>37931.25</v>
      </c>
      <c r="OW23" s="322">
        <v>29969.279999999999</v>
      </c>
      <c r="OX23" s="322">
        <v>23077.200000000001</v>
      </c>
      <c r="OY23" s="322">
        <v>23199.24</v>
      </c>
      <c r="OZ23" s="322">
        <v>23676.03</v>
      </c>
      <c r="PA23" s="322">
        <v>23496.959999999999</v>
      </c>
      <c r="PB23" s="322">
        <v>25651.759999999998</v>
      </c>
      <c r="PC23" s="322">
        <v>18492.38</v>
      </c>
      <c r="PD23" s="322">
        <v>19824.18</v>
      </c>
      <c r="PE23" s="322">
        <v>19460.509999999998</v>
      </c>
      <c r="PF23" s="322">
        <v>18997.900000000001</v>
      </c>
      <c r="PG23" s="322">
        <v>20746.14</v>
      </c>
      <c r="PH23" s="322">
        <v>17636.43</v>
      </c>
      <c r="PI23" s="322">
        <v>21658.86</v>
      </c>
      <c r="PJ23" s="322">
        <v>17651.38</v>
      </c>
      <c r="PK23" s="322">
        <v>28108.86</v>
      </c>
      <c r="PL23" s="322">
        <v>21246.29</v>
      </c>
      <c r="PM23" s="322">
        <v>21495.38</v>
      </c>
      <c r="PN23" s="322">
        <v>24180.21</v>
      </c>
      <c r="PO23" s="322">
        <v>28250</v>
      </c>
      <c r="PP23" s="334"/>
      <c r="PQ23" s="322" t="s">
        <v>6</v>
      </c>
      <c r="PR23" s="322">
        <v>5693.27</v>
      </c>
      <c r="PS23" s="322">
        <v>0</v>
      </c>
      <c r="PT23" s="322">
        <v>0</v>
      </c>
      <c r="PU23" s="322">
        <v>0</v>
      </c>
      <c r="PV23" s="322">
        <v>0</v>
      </c>
      <c r="PW23" s="322">
        <v>0</v>
      </c>
      <c r="PX23" s="322">
        <v>0</v>
      </c>
      <c r="PY23" s="322">
        <v>0</v>
      </c>
      <c r="PZ23" s="322">
        <v>0</v>
      </c>
      <c r="QA23" s="322">
        <v>0</v>
      </c>
      <c r="QB23" s="322">
        <v>0</v>
      </c>
      <c r="QC23" s="322">
        <v>0</v>
      </c>
      <c r="QD23" s="322">
        <v>14016.6</v>
      </c>
      <c r="QE23" s="322">
        <v>20113.169999999998</v>
      </c>
      <c r="QF23" s="322">
        <v>22503.51</v>
      </c>
      <c r="QG23" s="322">
        <v>21862.2</v>
      </c>
      <c r="QH23" s="322">
        <v>27741.1</v>
      </c>
      <c r="QI23" s="322">
        <v>20705.63</v>
      </c>
      <c r="QJ23" s="322">
        <v>19615.949999999997</v>
      </c>
      <c r="QK23" s="322">
        <v>19456.73</v>
      </c>
      <c r="QL23" s="322">
        <v>20548.47</v>
      </c>
      <c r="QM23" s="322">
        <v>24430</v>
      </c>
      <c r="QN23" s="334"/>
      <c r="QO23" s="322" t="s">
        <v>6</v>
      </c>
      <c r="QP23" s="322">
        <v>5693.27</v>
      </c>
      <c r="QQ23" s="322">
        <v>5440.21</v>
      </c>
      <c r="QR23" s="322">
        <v>7586.25</v>
      </c>
      <c r="QS23" s="322">
        <v>7492.32</v>
      </c>
      <c r="QT23" s="322">
        <v>7692.4</v>
      </c>
      <c r="QU23" s="322">
        <v>7733.08</v>
      </c>
      <c r="QV23" s="322">
        <v>15784.02</v>
      </c>
      <c r="QW23" s="322">
        <v>15664.64</v>
      </c>
      <c r="QX23" s="322">
        <v>92375.19</v>
      </c>
      <c r="QY23" s="322">
        <v>29968.83</v>
      </c>
      <c r="QZ23" s="322">
        <v>11559.21</v>
      </c>
      <c r="RA23" s="322">
        <v>15110.13</v>
      </c>
      <c r="RB23" s="322">
        <v>15457.84</v>
      </c>
      <c r="RC23" s="322">
        <v>19651.3</v>
      </c>
      <c r="RD23" s="322">
        <v>40102.89</v>
      </c>
      <c r="RE23" s="322">
        <v>44648.789999999994</v>
      </c>
      <c r="RF23" s="322">
        <v>29209.83</v>
      </c>
      <c r="RG23" s="322">
        <v>25943.35</v>
      </c>
      <c r="RH23" s="322">
        <v>34161.839999999997</v>
      </c>
      <c r="RI23" s="322">
        <v>34529.410000000003</v>
      </c>
      <c r="RJ23" s="322">
        <v>34098.06</v>
      </c>
      <c r="RK23" s="322">
        <v>35400</v>
      </c>
      <c r="RL23" s="334"/>
      <c r="RM23" s="322" t="s">
        <v>6</v>
      </c>
      <c r="RN23" s="322">
        <v>28466.35</v>
      </c>
      <c r="RO23" s="322">
        <v>32641.26</v>
      </c>
      <c r="RP23" s="322">
        <v>22758.75</v>
      </c>
      <c r="RQ23" s="322">
        <v>29969.279999999999</v>
      </c>
      <c r="RR23" s="322">
        <v>15384.8</v>
      </c>
      <c r="RS23" s="322">
        <v>23199.24</v>
      </c>
      <c r="RT23" s="322">
        <v>23676.03</v>
      </c>
      <c r="RU23" s="322">
        <v>31329.279999999999</v>
      </c>
      <c r="RV23" s="322">
        <v>28190</v>
      </c>
      <c r="RW23" s="322">
        <v>15265.99</v>
      </c>
      <c r="RX23" s="322">
        <v>23890.799999999999</v>
      </c>
      <c r="RY23" s="322">
        <v>7090</v>
      </c>
      <c r="RZ23" s="322">
        <v>16117.630000000001</v>
      </c>
      <c r="SA23" s="322">
        <v>0</v>
      </c>
      <c r="SB23" s="322">
        <v>26735.190000000002</v>
      </c>
      <c r="SC23" s="322">
        <v>57362.3</v>
      </c>
      <c r="SD23" s="322">
        <v>52795.48</v>
      </c>
      <c r="SE23" s="322">
        <v>38000</v>
      </c>
      <c r="SF23" s="322">
        <v>53950</v>
      </c>
      <c r="SG23" s="322">
        <v>131597</v>
      </c>
      <c r="SH23" s="322">
        <v>60450.8</v>
      </c>
      <c r="SI23" s="322">
        <v>103000</v>
      </c>
    </row>
    <row r="24" spans="1:503">
      <c r="A24" s="319" t="s">
        <v>7</v>
      </c>
      <c r="B24" s="319">
        <v>510762</v>
      </c>
      <c r="C24" s="319">
        <v>629212</v>
      </c>
      <c r="D24" s="319">
        <v>449416</v>
      </c>
      <c r="E24" s="319">
        <v>507425</v>
      </c>
      <c r="F24" s="319">
        <v>615582</v>
      </c>
      <c r="G24" s="319">
        <v>746609</v>
      </c>
      <c r="H24" s="319">
        <v>707704</v>
      </c>
      <c r="I24" s="319">
        <v>620728</v>
      </c>
      <c r="J24" s="319">
        <v>1478316</v>
      </c>
      <c r="K24" s="319"/>
      <c r="L24" s="319"/>
      <c r="M24" s="319"/>
      <c r="N24" s="319"/>
      <c r="O24" s="319"/>
      <c r="P24" s="319"/>
      <c r="Q24" s="319"/>
      <c r="R24" s="319"/>
      <c r="S24" s="322"/>
      <c r="T24" s="319"/>
      <c r="U24" s="319"/>
      <c r="V24" s="319"/>
      <c r="W24" s="319"/>
      <c r="X24" s="330"/>
      <c r="Y24" s="319" t="s">
        <v>7</v>
      </c>
      <c r="Z24" s="319">
        <v>56183.82</v>
      </c>
      <c r="AA24" s="319">
        <v>56629.08</v>
      </c>
      <c r="AB24" s="319">
        <v>58424.08</v>
      </c>
      <c r="AC24" s="319">
        <v>86262.25</v>
      </c>
      <c r="AD24" s="319">
        <v>86181.48</v>
      </c>
      <c r="AE24" s="319">
        <v>89593.08</v>
      </c>
      <c r="AF24" s="319">
        <v>89593.08</v>
      </c>
      <c r="AG24" s="319">
        <v>86901.92</v>
      </c>
      <c r="AH24" s="319">
        <v>88698.96</v>
      </c>
      <c r="AI24" s="319"/>
      <c r="AJ24" s="319"/>
      <c r="AK24" s="319"/>
      <c r="AL24" s="319"/>
      <c r="AM24" s="319"/>
      <c r="AN24" s="319"/>
      <c r="AO24" s="319"/>
      <c r="AP24" s="319"/>
      <c r="AQ24" s="322"/>
      <c r="AR24" s="319"/>
      <c r="AS24" s="319"/>
      <c r="AT24" s="319"/>
      <c r="AU24" s="319"/>
      <c r="AV24" s="334"/>
      <c r="AW24" s="319" t="s">
        <v>7</v>
      </c>
      <c r="AX24" s="319">
        <v>51076.200000000004</v>
      </c>
      <c r="AY24" s="319">
        <v>56629.079999999994</v>
      </c>
      <c r="AZ24" s="319">
        <v>53929.919999999998</v>
      </c>
      <c r="BA24" s="319">
        <v>60891</v>
      </c>
      <c r="BB24" s="319">
        <v>67714.02</v>
      </c>
      <c r="BC24" s="319">
        <v>67194.81</v>
      </c>
      <c r="BD24" s="319">
        <v>70770.400000000009</v>
      </c>
      <c r="BE24" s="319">
        <v>68280.08</v>
      </c>
      <c r="BF24" s="319">
        <v>7332.9166666666661</v>
      </c>
      <c r="BG24" s="319"/>
      <c r="BH24" s="319"/>
      <c r="BI24" s="319"/>
      <c r="BJ24" s="319"/>
      <c r="BK24" s="319"/>
      <c r="BL24" s="319"/>
      <c r="BM24" s="319"/>
      <c r="BN24" s="319"/>
      <c r="BO24" s="322"/>
      <c r="BP24" s="319"/>
      <c r="BQ24" s="319"/>
      <c r="BR24" s="319"/>
      <c r="BS24" s="319"/>
      <c r="BT24" s="334"/>
      <c r="BU24" s="322" t="s">
        <v>7</v>
      </c>
      <c r="BV24" s="322">
        <v>20430.48</v>
      </c>
      <c r="BW24" s="322">
        <v>12584.24</v>
      </c>
      <c r="BX24" s="322">
        <v>22470.799999999999</v>
      </c>
      <c r="BY24" s="322">
        <v>10148.5</v>
      </c>
      <c r="BZ24" s="322">
        <v>36934.92</v>
      </c>
      <c r="CA24" s="322">
        <v>14932.18</v>
      </c>
      <c r="CB24" s="322">
        <v>42462.239999999998</v>
      </c>
      <c r="CC24" s="322">
        <v>6207.28</v>
      </c>
      <c r="CD24" s="322">
        <v>59132.639999999999</v>
      </c>
      <c r="CE24" s="322"/>
      <c r="CF24" s="322"/>
      <c r="CG24" s="322"/>
      <c r="CH24" s="322"/>
      <c r="CI24" s="322"/>
      <c r="CJ24" s="322"/>
      <c r="CK24" s="322"/>
      <c r="CL24" s="322"/>
      <c r="CM24" s="322"/>
      <c r="CN24" s="322"/>
      <c r="CO24" s="322"/>
      <c r="CP24" s="322"/>
      <c r="CQ24" s="322"/>
      <c r="CR24" s="334"/>
      <c r="CS24" s="322" t="s">
        <v>7</v>
      </c>
      <c r="CT24" s="322">
        <v>112367.64</v>
      </c>
      <c r="CU24" s="322">
        <v>245392.68</v>
      </c>
      <c r="CV24" s="322">
        <v>62918.239999999998</v>
      </c>
      <c r="CW24" s="322">
        <v>60891</v>
      </c>
      <c r="CX24" s="322">
        <v>80025.66</v>
      </c>
      <c r="CY24" s="322">
        <v>253847.06</v>
      </c>
      <c r="CZ24" s="322">
        <v>169848.95999999999</v>
      </c>
      <c r="DA24" s="322">
        <v>86901.92</v>
      </c>
      <c r="DB24" s="322">
        <v>399145.32</v>
      </c>
      <c r="DC24" s="322"/>
      <c r="DD24" s="322"/>
      <c r="DE24" s="322"/>
      <c r="DF24" s="322"/>
      <c r="DG24" s="322"/>
      <c r="DH24" s="322"/>
      <c r="DI24" s="322"/>
      <c r="DJ24" s="322"/>
      <c r="DK24" s="322"/>
      <c r="DL24" s="322"/>
      <c r="DM24" s="322"/>
      <c r="DN24" s="322"/>
      <c r="DO24" s="322"/>
      <c r="DP24" s="334"/>
      <c r="DQ24" s="322" t="s">
        <v>7</v>
      </c>
      <c r="DR24" s="322">
        <v>40860.959999999999</v>
      </c>
      <c r="DS24" s="322">
        <v>44044.84</v>
      </c>
      <c r="DT24" s="322">
        <v>44941.599999999999</v>
      </c>
      <c r="DU24" s="322">
        <v>50742.5</v>
      </c>
      <c r="DV24" s="322">
        <v>61558.2</v>
      </c>
      <c r="DW24" s="322">
        <v>52262.63</v>
      </c>
      <c r="DX24" s="322">
        <v>63693.36</v>
      </c>
      <c r="DY24" s="322">
        <v>74487.360000000001</v>
      </c>
      <c r="DZ24" s="322">
        <v>88698.96</v>
      </c>
      <c r="EA24" s="322"/>
      <c r="EB24" s="322"/>
      <c r="EC24" s="322"/>
      <c r="ED24" s="322"/>
      <c r="EE24" s="322"/>
      <c r="EF24" s="322"/>
      <c r="EG24" s="322"/>
      <c r="EH24" s="322"/>
      <c r="EI24" s="322"/>
      <c r="EJ24" s="322"/>
      <c r="EK24" s="322"/>
      <c r="EL24" s="322"/>
      <c r="EM24" s="322"/>
      <c r="EN24" s="334"/>
      <c r="EO24" s="322" t="s">
        <v>7</v>
      </c>
      <c r="EP24" s="322">
        <v>51076.2</v>
      </c>
      <c r="EQ24" s="322">
        <v>62921.2</v>
      </c>
      <c r="ER24" s="322">
        <v>53929.919999999998</v>
      </c>
      <c r="ES24" s="322">
        <v>55816.75</v>
      </c>
      <c r="ET24" s="322">
        <v>61558.2</v>
      </c>
      <c r="EU24" s="322">
        <v>67194.81</v>
      </c>
      <c r="EV24" s="322">
        <v>63693.36</v>
      </c>
      <c r="EW24" s="322">
        <v>68280.08</v>
      </c>
      <c r="EX24" s="322">
        <v>59132.639999999999</v>
      </c>
      <c r="EY24" s="322"/>
      <c r="EZ24" s="322"/>
      <c r="FA24" s="322"/>
      <c r="FB24" s="322"/>
      <c r="FC24" s="322"/>
      <c r="FD24" s="322"/>
      <c r="FE24" s="322"/>
      <c r="FF24" s="322"/>
      <c r="FG24" s="322"/>
      <c r="FH24" s="322"/>
      <c r="FI24" s="322"/>
      <c r="FJ24" s="322"/>
      <c r="FK24" s="322"/>
      <c r="FL24" s="334"/>
      <c r="FM24" s="322" t="s">
        <v>7</v>
      </c>
      <c r="FN24" s="322">
        <v>0</v>
      </c>
      <c r="FO24" s="322">
        <v>0</v>
      </c>
      <c r="FP24" s="322">
        <v>0</v>
      </c>
      <c r="FQ24" s="322">
        <v>0</v>
      </c>
      <c r="FR24" s="322">
        <v>0</v>
      </c>
      <c r="FS24" s="322">
        <v>0</v>
      </c>
      <c r="FT24" s="322">
        <v>0</v>
      </c>
      <c r="FU24" s="322">
        <v>0</v>
      </c>
      <c r="FV24" s="322">
        <v>0</v>
      </c>
      <c r="FW24" s="322"/>
      <c r="FX24" s="322"/>
      <c r="FY24" s="322"/>
      <c r="FZ24" s="322"/>
      <c r="GA24" s="322"/>
      <c r="GB24" s="322"/>
      <c r="GC24" s="322"/>
      <c r="GD24" s="322"/>
      <c r="GE24" s="322"/>
      <c r="GF24" s="340"/>
      <c r="GG24" s="704"/>
      <c r="GH24" s="704"/>
      <c r="GI24" s="704"/>
      <c r="GJ24" s="334"/>
      <c r="GK24" s="322" t="s">
        <v>7</v>
      </c>
      <c r="GL24" s="322">
        <v>45968.58</v>
      </c>
      <c r="GM24" s="322">
        <v>44044.84</v>
      </c>
      <c r="GN24" s="322">
        <v>49435.76</v>
      </c>
      <c r="GO24" s="322">
        <v>55816.75</v>
      </c>
      <c r="GP24" s="322">
        <v>61558.2</v>
      </c>
      <c r="GQ24" s="322">
        <v>67194.81</v>
      </c>
      <c r="GR24" s="322">
        <v>77847.44</v>
      </c>
      <c r="GS24" s="322">
        <v>74487.360000000001</v>
      </c>
      <c r="GT24" s="322">
        <v>73915.8</v>
      </c>
      <c r="GU24" s="322"/>
      <c r="GV24" s="322"/>
      <c r="GW24" s="322"/>
      <c r="GX24" s="322"/>
      <c r="GY24" s="322"/>
      <c r="GZ24" s="322"/>
      <c r="HA24" s="322"/>
      <c r="HB24" s="322"/>
      <c r="HC24" s="322"/>
      <c r="HD24" s="322"/>
      <c r="HE24" s="322"/>
      <c r="HF24" s="322"/>
      <c r="HG24" s="322"/>
      <c r="HH24" s="334"/>
      <c r="HI24" s="322" t="s">
        <v>7</v>
      </c>
      <c r="HJ24" s="322">
        <v>10215.24</v>
      </c>
      <c r="HK24" s="322">
        <v>6292.12</v>
      </c>
      <c r="HL24" s="322">
        <v>8988.32</v>
      </c>
      <c r="HM24" s="322">
        <v>10148.5</v>
      </c>
      <c r="HN24" s="322">
        <v>6155.82</v>
      </c>
      <c r="HO24" s="322">
        <v>7466.09</v>
      </c>
      <c r="HP24" s="322">
        <v>7077.04</v>
      </c>
      <c r="HQ24" s="322">
        <v>6207.28</v>
      </c>
      <c r="HR24" s="322">
        <v>0</v>
      </c>
      <c r="HS24" s="322"/>
      <c r="HT24" s="322"/>
      <c r="HU24" s="322"/>
      <c r="HV24" s="322"/>
      <c r="HW24" s="322"/>
      <c r="HX24" s="322"/>
      <c r="HY24" s="322"/>
      <c r="HZ24" s="322"/>
      <c r="IA24" s="322"/>
      <c r="IB24" s="322"/>
      <c r="IC24" s="322"/>
      <c r="ID24" s="322"/>
      <c r="IE24" s="322"/>
      <c r="IF24" s="334"/>
      <c r="IG24" s="322" t="s">
        <v>7</v>
      </c>
      <c r="IH24" s="322">
        <v>5107.62</v>
      </c>
      <c r="II24" s="322">
        <v>6292.12</v>
      </c>
      <c r="IJ24" s="322">
        <v>4494.16</v>
      </c>
      <c r="IK24" s="322">
        <v>5074.25</v>
      </c>
      <c r="IL24" s="322">
        <v>6155.82</v>
      </c>
      <c r="IM24" s="322">
        <v>7466.09</v>
      </c>
      <c r="IN24" s="322">
        <v>7077.04</v>
      </c>
      <c r="IO24" s="322">
        <v>6207.28</v>
      </c>
      <c r="IP24" s="322">
        <v>0</v>
      </c>
      <c r="IQ24" s="322"/>
      <c r="IR24" s="322"/>
      <c r="IS24" s="322"/>
      <c r="IT24" s="322"/>
      <c r="IU24" s="322"/>
      <c r="IV24" s="322"/>
      <c r="IW24" s="322"/>
      <c r="IX24" s="322"/>
      <c r="IY24" s="322"/>
      <c r="IZ24" s="322"/>
      <c r="JA24" s="322"/>
      <c r="JB24" s="322"/>
      <c r="JC24" s="322"/>
      <c r="JD24" s="334"/>
      <c r="JE24" s="322" t="s">
        <v>7</v>
      </c>
      <c r="JF24" s="322">
        <v>15322.86</v>
      </c>
      <c r="JG24" s="322">
        <v>12584.24</v>
      </c>
      <c r="JH24" s="322">
        <v>8988.32</v>
      </c>
      <c r="JI24" s="322">
        <v>5074.25</v>
      </c>
      <c r="JJ24" s="322">
        <v>6155.82</v>
      </c>
      <c r="JK24" s="322">
        <v>14932.18</v>
      </c>
      <c r="JL24" s="322">
        <v>14154.08</v>
      </c>
      <c r="JM24" s="322">
        <v>6207.28</v>
      </c>
      <c r="JN24" s="322">
        <v>14783.16</v>
      </c>
      <c r="JO24" s="322"/>
      <c r="JP24" s="322"/>
      <c r="JQ24" s="322"/>
      <c r="JR24" s="322"/>
      <c r="JS24" s="322"/>
      <c r="JT24" s="322"/>
      <c r="JU24" s="322"/>
      <c r="JV24" s="322"/>
      <c r="JW24" s="322"/>
      <c r="JX24" s="322"/>
      <c r="JY24" s="322"/>
      <c r="JZ24" s="322"/>
      <c r="KA24" s="322"/>
      <c r="KB24" s="334"/>
      <c r="KC24" s="322" t="s">
        <v>7</v>
      </c>
      <c r="KD24" s="322">
        <v>5107.62</v>
      </c>
      <c r="KE24" s="322">
        <v>18876.36</v>
      </c>
      <c r="KF24" s="322">
        <v>17976.64</v>
      </c>
      <c r="KG24" s="322">
        <v>30445.5</v>
      </c>
      <c r="KH24" s="322">
        <v>49246.559999999998</v>
      </c>
      <c r="KI24" s="322">
        <v>22398.27</v>
      </c>
      <c r="KJ24" s="322">
        <v>21231.119999999999</v>
      </c>
      <c r="KK24" s="322">
        <v>18621.84</v>
      </c>
      <c r="KL24" s="322">
        <v>14783.16</v>
      </c>
      <c r="KM24" s="322"/>
      <c r="KN24" s="322"/>
      <c r="KO24" s="322"/>
      <c r="KP24" s="322"/>
      <c r="KQ24" s="322"/>
      <c r="KR24" s="322"/>
      <c r="KS24" s="322"/>
      <c r="KT24" s="322"/>
      <c r="KU24" s="322"/>
      <c r="KV24" s="322"/>
      <c r="KW24" s="322"/>
      <c r="KX24" s="322"/>
      <c r="KY24" s="322"/>
      <c r="KZ24" s="334"/>
      <c r="LA24" s="322" t="s">
        <v>7</v>
      </c>
      <c r="LB24" s="322">
        <v>81721.919999999998</v>
      </c>
      <c r="LC24" s="322">
        <v>56629.08</v>
      </c>
      <c r="LD24" s="322">
        <v>53929.919999999998</v>
      </c>
      <c r="LE24" s="322">
        <v>76113.75</v>
      </c>
      <c r="LF24" s="322">
        <v>80025.66</v>
      </c>
      <c r="LG24" s="322">
        <v>82126.990000000005</v>
      </c>
      <c r="LH24" s="322">
        <v>84924.479999999996</v>
      </c>
      <c r="LI24" s="322">
        <v>105523.76</v>
      </c>
      <c r="LJ24" s="322">
        <v>591326.4</v>
      </c>
      <c r="LK24" s="322"/>
      <c r="LL24" s="322"/>
      <c r="LM24" s="322"/>
      <c r="LN24" s="322"/>
      <c r="LO24" s="322"/>
      <c r="LP24" s="322"/>
      <c r="LQ24" s="322"/>
      <c r="LR24" s="322"/>
      <c r="LS24" s="322"/>
      <c r="LT24" s="322"/>
      <c r="LU24" s="322"/>
      <c r="LV24" s="322"/>
      <c r="LW24" s="322"/>
      <c r="LX24" s="334"/>
      <c r="LY24" s="322" t="s">
        <v>7</v>
      </c>
      <c r="LZ24" s="322">
        <v>0</v>
      </c>
      <c r="MA24" s="322">
        <v>0</v>
      </c>
      <c r="MB24" s="322">
        <v>0</v>
      </c>
      <c r="MC24" s="322">
        <v>0</v>
      </c>
      <c r="MD24" s="322">
        <v>0</v>
      </c>
      <c r="ME24" s="322">
        <v>0</v>
      </c>
      <c r="MF24" s="322">
        <v>0</v>
      </c>
      <c r="MG24" s="322">
        <v>0</v>
      </c>
      <c r="MH24" s="322">
        <v>0</v>
      </c>
      <c r="MI24" s="322"/>
      <c r="MJ24" s="322"/>
      <c r="MK24" s="322"/>
      <c r="ML24" s="322"/>
      <c r="MM24" s="322"/>
      <c r="MN24" s="322"/>
      <c r="MO24" s="322"/>
      <c r="MP24" s="322"/>
      <c r="MQ24" s="322"/>
      <c r="MR24" s="322"/>
      <c r="MS24" s="322"/>
      <c r="MT24" s="322"/>
      <c r="MU24" s="322"/>
      <c r="MV24" s="334"/>
      <c r="MW24" s="322" t="s">
        <v>7</v>
      </c>
      <c r="MX24" s="322">
        <v>0</v>
      </c>
      <c r="MY24" s="322">
        <v>0</v>
      </c>
      <c r="MZ24" s="322">
        <v>0</v>
      </c>
      <c r="NA24" s="322">
        <v>0</v>
      </c>
      <c r="NB24" s="322">
        <v>0</v>
      </c>
      <c r="NC24" s="322">
        <v>0</v>
      </c>
      <c r="ND24" s="322">
        <v>0</v>
      </c>
      <c r="NE24" s="322">
        <v>0</v>
      </c>
      <c r="NF24" s="322">
        <v>0</v>
      </c>
      <c r="NG24" s="322"/>
      <c r="NH24" s="322"/>
      <c r="NI24" s="322"/>
      <c r="NJ24" s="322"/>
      <c r="NK24" s="322"/>
      <c r="NL24" s="322"/>
      <c r="NM24" s="322"/>
      <c r="NN24" s="322"/>
      <c r="NO24" s="322"/>
      <c r="NP24" s="322"/>
      <c r="NQ24" s="322"/>
      <c r="NR24" s="322"/>
      <c r="NS24" s="322"/>
      <c r="NT24" s="334"/>
      <c r="NU24" s="322" t="s">
        <v>7</v>
      </c>
      <c r="NV24" s="322">
        <v>0</v>
      </c>
      <c r="NW24" s="322">
        <v>0</v>
      </c>
      <c r="NX24" s="322">
        <v>0</v>
      </c>
      <c r="NY24" s="322">
        <v>0</v>
      </c>
      <c r="NZ24" s="322">
        <v>0</v>
      </c>
      <c r="OA24" s="322">
        <v>0</v>
      </c>
      <c r="OB24" s="322">
        <v>0</v>
      </c>
      <c r="OC24" s="322">
        <v>0</v>
      </c>
      <c r="OD24" s="322">
        <v>0</v>
      </c>
      <c r="OE24" s="322"/>
      <c r="OF24" s="322"/>
      <c r="OG24" s="322"/>
      <c r="OH24" s="322"/>
      <c r="OI24" s="322"/>
      <c r="OJ24" s="322"/>
      <c r="OK24" s="322"/>
      <c r="OL24" s="322"/>
      <c r="OM24" s="322"/>
      <c r="ON24" s="322"/>
      <c r="OO24" s="322"/>
      <c r="OP24" s="322"/>
      <c r="OQ24" s="322"/>
      <c r="OR24" s="334"/>
      <c r="OS24" s="322" t="s">
        <v>7</v>
      </c>
      <c r="OT24" s="322">
        <v>0</v>
      </c>
      <c r="OU24" s="322">
        <v>0</v>
      </c>
      <c r="OV24" s="322">
        <v>0</v>
      </c>
      <c r="OW24" s="322">
        <v>0</v>
      </c>
      <c r="OX24" s="322">
        <v>0</v>
      </c>
      <c r="OY24" s="322">
        <v>0</v>
      </c>
      <c r="OZ24" s="322">
        <v>0</v>
      </c>
      <c r="PA24" s="322">
        <v>0</v>
      </c>
      <c r="PB24" s="322">
        <v>0</v>
      </c>
      <c r="PC24" s="322"/>
      <c r="PD24" s="322"/>
      <c r="PE24" s="322"/>
      <c r="PF24" s="322"/>
      <c r="PG24" s="322"/>
      <c r="PH24" s="322"/>
      <c r="PI24" s="322"/>
      <c r="PJ24" s="322"/>
      <c r="PK24" s="322"/>
      <c r="PL24" s="322"/>
      <c r="PM24" s="322"/>
      <c r="PN24" s="322"/>
      <c r="PO24" s="322"/>
      <c r="PP24" s="334"/>
      <c r="PQ24" s="322" t="s">
        <v>7</v>
      </c>
      <c r="PR24" s="322">
        <v>0</v>
      </c>
      <c r="PS24" s="322">
        <v>0</v>
      </c>
      <c r="PT24" s="322">
        <v>0</v>
      </c>
      <c r="PU24" s="322">
        <v>0</v>
      </c>
      <c r="PV24" s="322">
        <v>0</v>
      </c>
      <c r="PW24" s="322">
        <v>0</v>
      </c>
      <c r="PX24" s="322">
        <v>0</v>
      </c>
      <c r="PY24" s="322">
        <v>0</v>
      </c>
      <c r="PZ24" s="322">
        <v>0</v>
      </c>
      <c r="QA24" s="322"/>
      <c r="QB24" s="322"/>
      <c r="QC24" s="322"/>
      <c r="QD24" s="322"/>
      <c r="QE24" s="322"/>
      <c r="QF24" s="322"/>
      <c r="QG24" s="322"/>
      <c r="QH24" s="322"/>
      <c r="QI24" s="322"/>
      <c r="QJ24" s="322"/>
      <c r="QK24" s="322"/>
      <c r="QL24" s="322"/>
      <c r="QM24" s="322"/>
      <c r="QN24" s="334"/>
      <c r="QO24" s="322" t="s">
        <v>7</v>
      </c>
      <c r="QP24" s="322">
        <v>0</v>
      </c>
      <c r="QQ24" s="322">
        <v>0</v>
      </c>
      <c r="QR24" s="322">
        <v>4494.16</v>
      </c>
      <c r="QS24" s="322">
        <v>0</v>
      </c>
      <c r="QT24" s="322">
        <v>0</v>
      </c>
      <c r="QU24" s="322">
        <v>0</v>
      </c>
      <c r="QV24" s="322">
        <v>0</v>
      </c>
      <c r="QW24" s="322">
        <v>0</v>
      </c>
      <c r="QX24" s="322">
        <v>0</v>
      </c>
      <c r="QY24" s="322"/>
      <c r="QZ24" s="322"/>
      <c r="RA24" s="322"/>
      <c r="RB24" s="322"/>
      <c r="RC24" s="322"/>
      <c r="RD24" s="322"/>
      <c r="RE24" s="322"/>
      <c r="RF24" s="322"/>
      <c r="RG24" s="322"/>
      <c r="RH24" s="322"/>
      <c r="RI24" s="322"/>
      <c r="RJ24" s="322"/>
      <c r="RK24" s="322"/>
      <c r="RL24" s="334"/>
      <c r="RM24" s="322" t="s">
        <v>7</v>
      </c>
      <c r="RN24" s="322">
        <v>15322.86</v>
      </c>
      <c r="RO24" s="322">
        <v>6292.12</v>
      </c>
      <c r="RP24" s="322">
        <v>4494.16</v>
      </c>
      <c r="RQ24" s="322">
        <v>0</v>
      </c>
      <c r="RR24" s="322">
        <v>12311.64</v>
      </c>
      <c r="RS24" s="322">
        <v>0</v>
      </c>
      <c r="RT24" s="322">
        <v>0</v>
      </c>
      <c r="RU24" s="322">
        <v>12414.56</v>
      </c>
      <c r="RV24" s="322">
        <v>14783.16</v>
      </c>
      <c r="RW24" s="322"/>
      <c r="RX24" s="322"/>
      <c r="RY24" s="322"/>
      <c r="RZ24" s="322"/>
      <c r="SA24" s="322"/>
      <c r="SB24" s="322"/>
      <c r="SC24" s="322"/>
      <c r="SD24" s="322"/>
      <c r="SE24" s="322"/>
      <c r="SF24" s="322"/>
      <c r="SG24" s="322"/>
      <c r="SH24" s="322"/>
      <c r="SI24" s="322"/>
    </row>
    <row r="25" spans="1:503">
      <c r="A25" s="319" t="s">
        <v>8</v>
      </c>
      <c r="B25" s="319">
        <v>1376300</v>
      </c>
      <c r="C25" s="319">
        <v>1409073</v>
      </c>
      <c r="D25" s="319">
        <v>1372397</v>
      </c>
      <c r="E25" s="319">
        <v>1429467</v>
      </c>
      <c r="F25" s="319">
        <v>1452789</v>
      </c>
      <c r="G25" s="319">
        <v>1567010</v>
      </c>
      <c r="H25" s="319">
        <v>1724415</v>
      </c>
      <c r="I25" s="319">
        <v>1808531</v>
      </c>
      <c r="J25" s="319">
        <v>1871919.5499999998</v>
      </c>
      <c r="K25" s="319">
        <v>1825406.35</v>
      </c>
      <c r="L25" s="319">
        <v>1923622.3900000004</v>
      </c>
      <c r="M25" s="319">
        <v>2014093</v>
      </c>
      <c r="N25" s="319">
        <v>2245822.5300000003</v>
      </c>
      <c r="O25" s="319">
        <v>2136798.21</v>
      </c>
      <c r="P25" s="319">
        <v>2280071.2399999998</v>
      </c>
      <c r="Q25" s="319">
        <v>2265765.48</v>
      </c>
      <c r="R25" s="319">
        <v>2315910.4099999997</v>
      </c>
      <c r="S25" s="322">
        <v>2289409.2600000002</v>
      </c>
      <c r="T25" s="319">
        <v>2444689.92</v>
      </c>
      <c r="U25" s="319">
        <v>2509649.65</v>
      </c>
      <c r="V25" s="319">
        <v>2655685.7599999998</v>
      </c>
      <c r="W25" s="319">
        <v>2759106.03</v>
      </c>
      <c r="X25" s="330"/>
      <c r="Y25" s="319" t="s">
        <v>8</v>
      </c>
      <c r="Z25" s="319">
        <v>55052</v>
      </c>
      <c r="AA25" s="319">
        <v>56362.92</v>
      </c>
      <c r="AB25" s="319">
        <v>54895.88</v>
      </c>
      <c r="AC25" s="319">
        <v>85768.02</v>
      </c>
      <c r="AD25" s="319">
        <v>87167.34</v>
      </c>
      <c r="AE25" s="319">
        <v>78350.5</v>
      </c>
      <c r="AF25" s="319">
        <v>78350.5</v>
      </c>
      <c r="AG25" s="319">
        <v>90426.55</v>
      </c>
      <c r="AH25" s="319">
        <v>87297.939999999988</v>
      </c>
      <c r="AI25" s="319">
        <v>87653.64</v>
      </c>
      <c r="AJ25" s="319">
        <v>86102.180000000008</v>
      </c>
      <c r="AK25" s="319">
        <v>94361.31</v>
      </c>
      <c r="AL25" s="319">
        <v>92641.78</v>
      </c>
      <c r="AM25" s="319">
        <v>92368.3</v>
      </c>
      <c r="AN25" s="319">
        <v>92057.12</v>
      </c>
      <c r="AO25" s="319">
        <v>94592.87</v>
      </c>
      <c r="AP25" s="319">
        <v>111338.84999999999</v>
      </c>
      <c r="AQ25" s="322">
        <v>93192.95</v>
      </c>
      <c r="AR25" s="319">
        <v>91292.45</v>
      </c>
      <c r="AS25" s="319">
        <v>93929.590000000011</v>
      </c>
      <c r="AT25" s="319">
        <v>96369.37</v>
      </c>
      <c r="AU25" s="319">
        <v>104511.57</v>
      </c>
      <c r="AV25" s="334"/>
      <c r="AW25" s="319" t="s">
        <v>8</v>
      </c>
      <c r="AX25" s="319">
        <v>55052</v>
      </c>
      <c r="AY25" s="319">
        <v>56362.92</v>
      </c>
      <c r="AZ25" s="319">
        <v>54895.880000000005</v>
      </c>
      <c r="BA25" s="319">
        <v>57178.68</v>
      </c>
      <c r="BB25" s="319">
        <v>58111.56</v>
      </c>
      <c r="BC25" s="319">
        <v>62680.4</v>
      </c>
      <c r="BD25" s="319">
        <v>68976.600000000006</v>
      </c>
      <c r="BE25" s="319">
        <v>72341.240000000005</v>
      </c>
      <c r="BF25" s="319">
        <v>75783.77</v>
      </c>
      <c r="BG25" s="319">
        <v>73287.670000000013</v>
      </c>
      <c r="BH25" s="319">
        <v>72885.849999999991</v>
      </c>
      <c r="BI25" s="319">
        <v>69320.039999999994</v>
      </c>
      <c r="BJ25" s="319">
        <v>73781.259999999995</v>
      </c>
      <c r="BK25" s="319">
        <v>77653.549999999988</v>
      </c>
      <c r="BL25" s="319">
        <v>77139.820000000007</v>
      </c>
      <c r="BM25" s="319">
        <v>74713.97</v>
      </c>
      <c r="BN25" s="319">
        <v>70039.680000000008</v>
      </c>
      <c r="BO25" s="322">
        <v>69887.180000000008</v>
      </c>
      <c r="BP25" s="319">
        <v>75844.45</v>
      </c>
      <c r="BQ25" s="319">
        <v>66746.739999999991</v>
      </c>
      <c r="BR25" s="319">
        <v>95242.67</v>
      </c>
      <c r="BS25" s="319">
        <v>90879.17</v>
      </c>
      <c r="BT25" s="334"/>
      <c r="BU25" s="322" t="s">
        <v>8</v>
      </c>
      <c r="BV25" s="322">
        <v>41289</v>
      </c>
      <c r="BW25" s="322">
        <v>14090.73</v>
      </c>
      <c r="BX25" s="322">
        <v>54895.88</v>
      </c>
      <c r="BY25" s="322">
        <v>14294.67</v>
      </c>
      <c r="BZ25" s="322">
        <v>58111.56</v>
      </c>
      <c r="CA25" s="322">
        <v>15670.1</v>
      </c>
      <c r="CB25" s="322">
        <v>51732.45</v>
      </c>
      <c r="CC25" s="322">
        <v>18085.310000000001</v>
      </c>
      <c r="CD25" s="322">
        <v>82723.349999999991</v>
      </c>
      <c r="CE25" s="322">
        <v>35111.019999999997</v>
      </c>
      <c r="CF25" s="322">
        <v>82799.06</v>
      </c>
      <c r="CG25" s="322">
        <v>42954.840000000004</v>
      </c>
      <c r="CH25" s="322">
        <v>116482.33</v>
      </c>
      <c r="CI25" s="322">
        <v>47191.75</v>
      </c>
      <c r="CJ25" s="322">
        <v>86024.040000000008</v>
      </c>
      <c r="CK25" s="322">
        <v>40295.729999999996</v>
      </c>
      <c r="CL25" s="322">
        <v>112267.75000000001</v>
      </c>
      <c r="CM25" s="322">
        <v>30661.86</v>
      </c>
      <c r="CN25" s="322">
        <v>80637.59</v>
      </c>
      <c r="CO25" s="322">
        <v>48498.68</v>
      </c>
      <c r="CP25" s="322">
        <v>111303.22999999998</v>
      </c>
      <c r="CQ25" s="322">
        <v>58644</v>
      </c>
      <c r="CR25" s="334"/>
      <c r="CS25" s="322" t="s">
        <v>8</v>
      </c>
      <c r="CT25" s="322">
        <v>41289</v>
      </c>
      <c r="CU25" s="322">
        <v>42272.19</v>
      </c>
      <c r="CV25" s="322">
        <v>41171.910000000003</v>
      </c>
      <c r="CW25" s="322">
        <v>42884.01</v>
      </c>
      <c r="CX25" s="322">
        <v>29055.78</v>
      </c>
      <c r="CY25" s="322">
        <v>31340.2</v>
      </c>
      <c r="CZ25" s="322">
        <v>34488.300000000003</v>
      </c>
      <c r="DA25" s="322">
        <v>36170.620000000003</v>
      </c>
      <c r="DB25" s="322">
        <v>38248.68</v>
      </c>
      <c r="DC25" s="322">
        <v>39811.14</v>
      </c>
      <c r="DD25" s="322">
        <v>39716.020000000004</v>
      </c>
      <c r="DE25" s="322">
        <v>44079.87</v>
      </c>
      <c r="DF25" s="322">
        <v>46403.96</v>
      </c>
      <c r="DG25" s="322">
        <v>46426.89</v>
      </c>
      <c r="DH25" s="322">
        <v>49673.899999999994</v>
      </c>
      <c r="DI25" s="322">
        <v>51399.639999999992</v>
      </c>
      <c r="DJ25" s="322">
        <v>55326.64</v>
      </c>
      <c r="DK25" s="322">
        <v>54869.57</v>
      </c>
      <c r="DL25" s="322">
        <v>59041.79</v>
      </c>
      <c r="DM25" s="322">
        <v>57666.479999999996</v>
      </c>
      <c r="DN25" s="322">
        <v>55491.829999999994</v>
      </c>
      <c r="DO25" s="322">
        <v>62000</v>
      </c>
      <c r="DP25" s="334"/>
      <c r="DQ25" s="322" t="s">
        <v>8</v>
      </c>
      <c r="DR25" s="322">
        <v>82578</v>
      </c>
      <c r="DS25" s="322">
        <v>84544.38</v>
      </c>
      <c r="DT25" s="322">
        <v>68619.850000000006</v>
      </c>
      <c r="DU25" s="322">
        <v>71473.350000000006</v>
      </c>
      <c r="DV25" s="322">
        <v>87167.34</v>
      </c>
      <c r="DW25" s="322">
        <v>94020.6</v>
      </c>
      <c r="DX25" s="322">
        <v>86220.75</v>
      </c>
      <c r="DY25" s="322">
        <v>108511.86</v>
      </c>
      <c r="DZ25" s="322">
        <v>160059.62000000002</v>
      </c>
      <c r="EA25" s="322">
        <v>154994.9</v>
      </c>
      <c r="EB25" s="322">
        <v>161152.05000000002</v>
      </c>
      <c r="EC25" s="322">
        <v>218636.16000000003</v>
      </c>
      <c r="ED25" s="322">
        <v>194456.77</v>
      </c>
      <c r="EE25" s="322">
        <v>253557.37000000002</v>
      </c>
      <c r="EF25" s="322">
        <v>235570.49</v>
      </c>
      <c r="EG25" s="322">
        <v>243382.06</v>
      </c>
      <c r="EH25" s="322">
        <v>218756.66999999998</v>
      </c>
      <c r="EI25" s="322">
        <v>238975.19</v>
      </c>
      <c r="EJ25" s="322">
        <v>261954.96</v>
      </c>
      <c r="EK25" s="322">
        <v>274965.03000000003</v>
      </c>
      <c r="EL25" s="322">
        <v>299038.18000000005</v>
      </c>
      <c r="EM25" s="322">
        <v>299370</v>
      </c>
      <c r="EN25" s="334"/>
      <c r="EO25" s="322" t="s">
        <v>8</v>
      </c>
      <c r="EP25" s="322">
        <v>27526</v>
      </c>
      <c r="EQ25" s="322">
        <v>14090.73</v>
      </c>
      <c r="ER25" s="322">
        <v>13723.97</v>
      </c>
      <c r="ES25" s="322">
        <v>28589.34</v>
      </c>
      <c r="ET25" s="322">
        <v>29055.78</v>
      </c>
      <c r="EU25" s="322">
        <v>31340.2</v>
      </c>
      <c r="EV25" s="322">
        <v>34488.300000000003</v>
      </c>
      <c r="EW25" s="322">
        <v>36170.620000000003</v>
      </c>
      <c r="EX25" s="322">
        <v>32011.08</v>
      </c>
      <c r="EY25" s="322">
        <v>31912.5</v>
      </c>
      <c r="EZ25" s="322">
        <v>32260.75</v>
      </c>
      <c r="FA25" s="322">
        <v>42902.85</v>
      </c>
      <c r="FB25" s="322">
        <v>42920.009999999995</v>
      </c>
      <c r="FC25" s="322">
        <v>42990.829999999994</v>
      </c>
      <c r="FD25" s="322">
        <v>42409.3</v>
      </c>
      <c r="FE25" s="322">
        <v>45682.54</v>
      </c>
      <c r="FF25" s="322">
        <v>43860.639999999999</v>
      </c>
      <c r="FG25" s="322">
        <v>44850.799999999996</v>
      </c>
      <c r="FH25" s="322">
        <v>45113.22</v>
      </c>
      <c r="FI25" s="322">
        <v>46905.79</v>
      </c>
      <c r="FJ25" s="322">
        <v>48965.939999999995</v>
      </c>
      <c r="FK25" s="322">
        <v>48729.17</v>
      </c>
      <c r="FL25" s="334"/>
      <c r="FM25" s="322" t="s">
        <v>8</v>
      </c>
      <c r="FN25" s="322">
        <v>82578</v>
      </c>
      <c r="FO25" s="322">
        <v>84544.38</v>
      </c>
      <c r="FP25" s="322">
        <v>82343.820000000007</v>
      </c>
      <c r="FQ25" s="322">
        <v>100062.69</v>
      </c>
      <c r="FR25" s="322">
        <v>101695.23</v>
      </c>
      <c r="FS25" s="322">
        <v>94020.6</v>
      </c>
      <c r="FT25" s="322">
        <v>103464.9</v>
      </c>
      <c r="FU25" s="322">
        <v>108511.86</v>
      </c>
      <c r="FV25" s="322">
        <v>111582.49</v>
      </c>
      <c r="FW25" s="322">
        <v>108509.04</v>
      </c>
      <c r="FX25" s="322">
        <v>118859.77</v>
      </c>
      <c r="FY25" s="322">
        <v>115694.2</v>
      </c>
      <c r="FZ25" s="322">
        <v>125660.92</v>
      </c>
      <c r="GA25" s="322">
        <v>121748.8</v>
      </c>
      <c r="GB25" s="322">
        <v>121451.65</v>
      </c>
      <c r="GC25" s="322">
        <v>116851.84999999999</v>
      </c>
      <c r="GD25" s="322">
        <v>130915.27</v>
      </c>
      <c r="GE25" s="322">
        <v>130354.7</v>
      </c>
      <c r="GF25" s="340">
        <v>131973</v>
      </c>
      <c r="GG25" s="704">
        <v>136235.63</v>
      </c>
      <c r="GH25" s="704">
        <v>132614.23000000001</v>
      </c>
      <c r="GI25" s="704">
        <v>148231.16999999998</v>
      </c>
      <c r="GJ25" s="334"/>
      <c r="GK25" s="322" t="s">
        <v>8</v>
      </c>
      <c r="GL25" s="322">
        <v>0</v>
      </c>
      <c r="GM25" s="322">
        <v>0</v>
      </c>
      <c r="GN25" s="322">
        <v>13723.97</v>
      </c>
      <c r="GO25" s="322">
        <v>28589.34</v>
      </c>
      <c r="GP25" s="322">
        <v>29055.78</v>
      </c>
      <c r="GQ25" s="322">
        <v>31340.2</v>
      </c>
      <c r="GR25" s="322">
        <v>34488.300000000003</v>
      </c>
      <c r="GS25" s="322">
        <v>36170.620000000003</v>
      </c>
      <c r="GT25" s="322">
        <v>27705.040000000001</v>
      </c>
      <c r="GU25" s="322">
        <v>29633.85</v>
      </c>
      <c r="GV25" s="322">
        <v>32306.58</v>
      </c>
      <c r="GW25" s="322">
        <v>35590.619999999995</v>
      </c>
      <c r="GX25" s="322">
        <v>42161.99</v>
      </c>
      <c r="GY25" s="322">
        <v>64645.01</v>
      </c>
      <c r="GZ25" s="322">
        <v>65799.25</v>
      </c>
      <c r="HA25" s="322">
        <v>67961.62000000001</v>
      </c>
      <c r="HB25" s="322">
        <v>67135.98000000001</v>
      </c>
      <c r="HC25" s="322">
        <v>68005.599999999991</v>
      </c>
      <c r="HD25" s="322">
        <v>70228.990000000005</v>
      </c>
      <c r="HE25" s="322">
        <v>72052.87000000001</v>
      </c>
      <c r="HF25" s="322">
        <v>73514.27</v>
      </c>
      <c r="HG25" s="322">
        <v>74331.67</v>
      </c>
      <c r="HH25" s="334"/>
      <c r="HI25" s="322" t="s">
        <v>8</v>
      </c>
      <c r="HJ25" s="322">
        <v>41289</v>
      </c>
      <c r="HK25" s="322">
        <v>42272.19</v>
      </c>
      <c r="HL25" s="322">
        <v>13723.97</v>
      </c>
      <c r="HM25" s="322">
        <v>28589.34</v>
      </c>
      <c r="HN25" s="322">
        <v>14527.89</v>
      </c>
      <c r="HO25" s="322">
        <v>31340.2</v>
      </c>
      <c r="HP25" s="322">
        <v>17244.150000000001</v>
      </c>
      <c r="HQ25" s="322">
        <v>18085.310000000001</v>
      </c>
      <c r="HR25" s="322">
        <v>23285.32</v>
      </c>
      <c r="HS25" s="322">
        <v>42002.19</v>
      </c>
      <c r="HT25" s="322">
        <v>41083.209999999992</v>
      </c>
      <c r="HU25" s="322">
        <v>36712.25</v>
      </c>
      <c r="HV25" s="322">
        <v>43801.91</v>
      </c>
      <c r="HW25" s="322">
        <v>46420.130000000005</v>
      </c>
      <c r="HX25" s="322">
        <v>58104.49</v>
      </c>
      <c r="HY25" s="322">
        <v>39324.32</v>
      </c>
      <c r="HZ25" s="322">
        <v>30344.049999999996</v>
      </c>
      <c r="IA25" s="322">
        <v>56590.87000000001</v>
      </c>
      <c r="IB25" s="322">
        <v>27460.46</v>
      </c>
      <c r="IC25" s="322">
        <v>18131.5</v>
      </c>
      <c r="ID25" s="322">
        <v>16033.59</v>
      </c>
      <c r="IE25" s="322">
        <v>36700</v>
      </c>
      <c r="IF25" s="334"/>
      <c r="IG25" s="322" t="s">
        <v>8</v>
      </c>
      <c r="IH25" s="322">
        <v>13763</v>
      </c>
      <c r="II25" s="322">
        <v>14090.73</v>
      </c>
      <c r="IJ25" s="322">
        <v>13723.97</v>
      </c>
      <c r="IK25" s="322">
        <v>0</v>
      </c>
      <c r="IL25" s="322">
        <v>0</v>
      </c>
      <c r="IM25" s="322">
        <v>0</v>
      </c>
      <c r="IN25" s="322">
        <v>0</v>
      </c>
      <c r="IO25" s="322">
        <v>0</v>
      </c>
      <c r="IP25" s="322">
        <v>0</v>
      </c>
      <c r="IQ25" s="322">
        <v>0</v>
      </c>
      <c r="IR25" s="322">
        <v>0</v>
      </c>
      <c r="IS25" s="322">
        <v>0</v>
      </c>
      <c r="IT25" s="322">
        <v>0</v>
      </c>
      <c r="IU25" s="322">
        <v>0</v>
      </c>
      <c r="IV25" s="322"/>
      <c r="IW25" s="322"/>
      <c r="IX25" s="322"/>
      <c r="IY25" s="322"/>
      <c r="IZ25" s="322"/>
      <c r="JA25" s="322"/>
      <c r="JB25" s="322"/>
      <c r="JC25" s="322"/>
      <c r="JD25" s="334"/>
      <c r="JE25" s="322" t="s">
        <v>8</v>
      </c>
      <c r="JF25" s="322">
        <v>13763</v>
      </c>
      <c r="JG25" s="322">
        <v>42272.19</v>
      </c>
      <c r="JH25" s="322">
        <v>27447.94</v>
      </c>
      <c r="JI25" s="322">
        <v>14294.67</v>
      </c>
      <c r="JJ25" s="322">
        <v>14527.89</v>
      </c>
      <c r="JK25" s="322">
        <v>31340.2</v>
      </c>
      <c r="JL25" s="322">
        <v>17244.150000000001</v>
      </c>
      <c r="JM25" s="322">
        <v>18085.310000000001</v>
      </c>
      <c r="JN25" s="322">
        <v>22618.71</v>
      </c>
      <c r="JO25" s="322">
        <v>6068.09</v>
      </c>
      <c r="JP25" s="322">
        <v>4916.4799999999996</v>
      </c>
      <c r="JQ25" s="322">
        <v>4304.22</v>
      </c>
      <c r="JR25" s="322">
        <v>3905.7599999999993</v>
      </c>
      <c r="JS25" s="322">
        <v>4419.66</v>
      </c>
      <c r="JT25" s="322">
        <v>4455.2299999999996</v>
      </c>
      <c r="JU25" s="322">
        <v>4757.62</v>
      </c>
      <c r="JV25" s="322">
        <v>4972.78</v>
      </c>
      <c r="JW25" s="322">
        <v>5116.49</v>
      </c>
      <c r="JX25" s="322">
        <v>6713.7999999999993</v>
      </c>
      <c r="JY25" s="322">
        <v>5859.69</v>
      </c>
      <c r="JZ25" s="322">
        <v>5039.96</v>
      </c>
      <c r="KA25" s="322">
        <v>12380.25</v>
      </c>
      <c r="KB25" s="334"/>
      <c r="KC25" s="322" t="s">
        <v>8</v>
      </c>
      <c r="KD25" s="322">
        <v>13763</v>
      </c>
      <c r="KE25" s="322">
        <v>14090.73</v>
      </c>
      <c r="KF25" s="322">
        <v>13723.97</v>
      </c>
      <c r="KG25" s="322">
        <v>14294.67</v>
      </c>
      <c r="KH25" s="322">
        <v>0</v>
      </c>
      <c r="KI25" s="322">
        <v>15670.1</v>
      </c>
      <c r="KJ25" s="322">
        <v>17244.150000000001</v>
      </c>
      <c r="KK25" s="322">
        <v>18085.310000000001</v>
      </c>
      <c r="KL25" s="322">
        <v>23441.350000000002</v>
      </c>
      <c r="KM25" s="322">
        <v>30518.949999999997</v>
      </c>
      <c r="KN25" s="322">
        <v>30262.2</v>
      </c>
      <c r="KO25" s="322">
        <v>31625.030000000002</v>
      </c>
      <c r="KP25" s="322">
        <v>31511.54</v>
      </c>
      <c r="KQ25" s="322">
        <v>48461.25</v>
      </c>
      <c r="KR25" s="322">
        <v>45817.84</v>
      </c>
      <c r="KS25" s="322">
        <v>47650.82</v>
      </c>
      <c r="KT25" s="322">
        <v>48865.440000000002</v>
      </c>
      <c r="KU25" s="322">
        <v>51432.97</v>
      </c>
      <c r="KV25" s="322">
        <v>50265.89</v>
      </c>
      <c r="KW25" s="322">
        <v>55016.2</v>
      </c>
      <c r="KX25" s="322">
        <v>56743.090000000004</v>
      </c>
      <c r="KY25" s="322">
        <v>59734.17</v>
      </c>
      <c r="KZ25" s="334"/>
      <c r="LA25" s="322" t="s">
        <v>8</v>
      </c>
      <c r="LB25" s="322">
        <v>55052</v>
      </c>
      <c r="LC25" s="322">
        <v>126816.57</v>
      </c>
      <c r="LD25" s="322">
        <v>109791.76</v>
      </c>
      <c r="LE25" s="322">
        <v>85768.02</v>
      </c>
      <c r="LF25" s="322">
        <v>116223.12</v>
      </c>
      <c r="LG25" s="322">
        <v>156701</v>
      </c>
      <c r="LH25" s="322">
        <v>137953.20000000001</v>
      </c>
      <c r="LI25" s="322">
        <v>162767.79</v>
      </c>
      <c r="LJ25" s="322">
        <v>150312.5</v>
      </c>
      <c r="LK25" s="322">
        <v>140567.61999999997</v>
      </c>
      <c r="LL25" s="322">
        <v>168094.31000000003</v>
      </c>
      <c r="LM25" s="322">
        <v>164796.39000000001</v>
      </c>
      <c r="LN25" s="322">
        <v>191447.62</v>
      </c>
      <c r="LO25" s="322">
        <v>144499.84999999998</v>
      </c>
      <c r="LP25" s="322">
        <v>191533.69</v>
      </c>
      <c r="LQ25" s="322">
        <v>188943.33</v>
      </c>
      <c r="LR25" s="322">
        <v>146580.85999999999</v>
      </c>
      <c r="LS25" s="322">
        <v>160206.05000000002</v>
      </c>
      <c r="LT25" s="322">
        <v>156369.03</v>
      </c>
      <c r="LU25" s="322">
        <v>161325.75</v>
      </c>
      <c r="LV25" s="322">
        <v>129884.96999999997</v>
      </c>
      <c r="LW25" s="322">
        <v>196314</v>
      </c>
      <c r="LX25" s="334"/>
      <c r="LY25" s="322" t="s">
        <v>8</v>
      </c>
      <c r="LZ25" s="322">
        <v>536757</v>
      </c>
      <c r="MA25" s="322">
        <v>549538.47</v>
      </c>
      <c r="MB25" s="322">
        <v>576406.74</v>
      </c>
      <c r="MC25" s="322">
        <v>586081.47</v>
      </c>
      <c r="MD25" s="322">
        <v>581115.6</v>
      </c>
      <c r="ME25" s="322">
        <v>642474.1</v>
      </c>
      <c r="MF25" s="322">
        <v>655277.69999999995</v>
      </c>
      <c r="MG25" s="322">
        <v>687241.78</v>
      </c>
      <c r="MH25" s="322">
        <v>637283.25999999989</v>
      </c>
      <c r="MI25" s="322">
        <v>586659.17999999993</v>
      </c>
      <c r="MJ25" s="322">
        <v>586671.77000000014</v>
      </c>
      <c r="MK25" s="322">
        <v>627460.05999999994</v>
      </c>
      <c r="ML25" s="322">
        <v>718024.39</v>
      </c>
      <c r="MM25" s="322">
        <v>633868.56999999995</v>
      </c>
      <c r="MN25" s="322">
        <v>672804.20000000007</v>
      </c>
      <c r="MO25" s="322">
        <v>721140.72000000009</v>
      </c>
      <c r="MP25" s="322">
        <v>711074.75999999989</v>
      </c>
      <c r="MQ25" s="322">
        <v>696551.95000000007</v>
      </c>
      <c r="MR25" s="322">
        <v>717175.80999999982</v>
      </c>
      <c r="MS25" s="322">
        <v>723957.76000000001</v>
      </c>
      <c r="MT25" s="322">
        <v>754912.19</v>
      </c>
      <c r="MU25" s="322">
        <v>771130.89</v>
      </c>
      <c r="MV25" s="334"/>
      <c r="MW25" s="322" t="s">
        <v>8</v>
      </c>
      <c r="MX25" s="322">
        <v>110104</v>
      </c>
      <c r="MY25" s="322">
        <v>98635.11</v>
      </c>
      <c r="MZ25" s="322">
        <v>54895.88</v>
      </c>
      <c r="NA25" s="322">
        <v>85768.02</v>
      </c>
      <c r="NB25" s="322">
        <v>101695.23</v>
      </c>
      <c r="NC25" s="322">
        <v>78350.5</v>
      </c>
      <c r="ND25" s="322">
        <v>120709.05</v>
      </c>
      <c r="NE25" s="322">
        <v>126597.17</v>
      </c>
      <c r="NF25" s="322">
        <v>158693.49</v>
      </c>
      <c r="NG25" s="322">
        <v>221320.00000000003</v>
      </c>
      <c r="NH25" s="322">
        <v>225596.41</v>
      </c>
      <c r="NI25" s="322">
        <v>204654.27999999997</v>
      </c>
      <c r="NJ25" s="322">
        <v>236088.59999999998</v>
      </c>
      <c r="NK25" s="322">
        <v>244218.74</v>
      </c>
      <c r="NL25" s="322">
        <v>264490.09000000003</v>
      </c>
      <c r="NM25" s="322">
        <v>253718.31000000003</v>
      </c>
      <c r="NN25" s="322">
        <v>257311.53999999998</v>
      </c>
      <c r="NO25" s="322">
        <v>282628.38</v>
      </c>
      <c r="NP25" s="322">
        <v>339335.01</v>
      </c>
      <c r="NQ25" s="322">
        <v>403903.31999999995</v>
      </c>
      <c r="NR25" s="322">
        <v>451992.72000000003</v>
      </c>
      <c r="NS25" s="322">
        <v>342800</v>
      </c>
      <c r="NT25" s="334"/>
      <c r="NU25" s="322" t="s">
        <v>8</v>
      </c>
      <c r="NV25" s="322">
        <v>82578</v>
      </c>
      <c r="NW25" s="322">
        <v>84544.38</v>
      </c>
      <c r="NX25" s="322">
        <v>82343.820000000007</v>
      </c>
      <c r="NY25" s="322">
        <v>114357.36</v>
      </c>
      <c r="NZ25" s="322">
        <v>116223.12</v>
      </c>
      <c r="OA25" s="322">
        <v>125360.8</v>
      </c>
      <c r="OB25" s="322">
        <v>137953.20000000001</v>
      </c>
      <c r="OC25" s="322">
        <v>198938.41</v>
      </c>
      <c r="OD25" s="322">
        <v>192075.46999999997</v>
      </c>
      <c r="OE25" s="322">
        <v>194989.39</v>
      </c>
      <c r="OF25" s="322">
        <v>190194.36000000002</v>
      </c>
      <c r="OG25" s="322">
        <v>196226.57</v>
      </c>
      <c r="OH25" s="322">
        <v>226241.64</v>
      </c>
      <c r="OI25" s="322">
        <v>214269.49</v>
      </c>
      <c r="OJ25" s="322">
        <v>215126.3</v>
      </c>
      <c r="OK25" s="322">
        <v>211981.43</v>
      </c>
      <c r="OL25" s="322">
        <v>226302.48</v>
      </c>
      <c r="OM25" s="322">
        <v>225748.12000000002</v>
      </c>
      <c r="ON25" s="322">
        <v>247048.51</v>
      </c>
      <c r="OO25" s="322">
        <v>250704.34999999998</v>
      </c>
      <c r="OP25" s="322">
        <v>244389.57</v>
      </c>
      <c r="OQ25" s="322">
        <v>268347.81</v>
      </c>
      <c r="OR25" s="334"/>
      <c r="OS25" s="322" t="s">
        <v>8</v>
      </c>
      <c r="OT25" s="322">
        <v>55052</v>
      </c>
      <c r="OU25" s="322">
        <v>56362.92</v>
      </c>
      <c r="OV25" s="322">
        <v>54895.88</v>
      </c>
      <c r="OW25" s="322">
        <v>42884.01</v>
      </c>
      <c r="OX25" s="322">
        <v>14527.89</v>
      </c>
      <c r="OY25" s="322">
        <v>15670.1</v>
      </c>
      <c r="OZ25" s="322">
        <v>17244.150000000001</v>
      </c>
      <c r="PA25" s="322">
        <v>18085.310000000001</v>
      </c>
      <c r="PB25" s="322">
        <v>13577.58</v>
      </c>
      <c r="PC25" s="322">
        <v>21180.87</v>
      </c>
      <c r="PD25" s="322">
        <v>26360.91</v>
      </c>
      <c r="PE25" s="322">
        <v>27934.880000000001</v>
      </c>
      <c r="PF25" s="322">
        <v>30889.51</v>
      </c>
      <c r="PG25" s="322">
        <v>35333.600000000006</v>
      </c>
      <c r="PH25" s="322">
        <v>35868.83</v>
      </c>
      <c r="PI25" s="322">
        <v>32120.03</v>
      </c>
      <c r="PJ25" s="322">
        <v>39023.620000000003</v>
      </c>
      <c r="PK25" s="322">
        <v>37925.020000000004</v>
      </c>
      <c r="PL25" s="322">
        <v>45211.17</v>
      </c>
      <c r="PM25" s="322">
        <v>43819.58</v>
      </c>
      <c r="PN25" s="322">
        <v>43681.59</v>
      </c>
      <c r="PO25" s="322">
        <v>49731</v>
      </c>
      <c r="PP25" s="334"/>
      <c r="PQ25" s="322" t="s">
        <v>8</v>
      </c>
      <c r="PR25" s="322">
        <v>13763</v>
      </c>
      <c r="PS25" s="322">
        <v>0</v>
      </c>
      <c r="PT25" s="322">
        <v>13723.97</v>
      </c>
      <c r="PU25" s="322">
        <v>14294.67</v>
      </c>
      <c r="PV25" s="322">
        <v>14527.89</v>
      </c>
      <c r="PW25" s="322">
        <v>15670.1</v>
      </c>
      <c r="PX25" s="322">
        <v>17244.150000000001</v>
      </c>
      <c r="PY25" s="322">
        <v>18085.310000000001</v>
      </c>
      <c r="PZ25" s="322">
        <v>17323.89</v>
      </c>
      <c r="QA25" s="322">
        <v>17274.14</v>
      </c>
      <c r="QB25" s="322">
        <v>18946.379999999997</v>
      </c>
      <c r="QC25" s="322">
        <v>19821.669999999998</v>
      </c>
      <c r="QD25" s="322">
        <v>22913.27</v>
      </c>
      <c r="QE25" s="322">
        <v>18724.419999999998</v>
      </c>
      <c r="QF25" s="322">
        <v>21745</v>
      </c>
      <c r="QG25" s="322">
        <v>31248.62</v>
      </c>
      <c r="QH25" s="322">
        <v>41793.4</v>
      </c>
      <c r="QI25" s="322">
        <v>42411.56</v>
      </c>
      <c r="QJ25" s="322">
        <v>39023.79</v>
      </c>
      <c r="QK25" s="322">
        <v>49930.69</v>
      </c>
      <c r="QL25" s="322">
        <v>40468.36</v>
      </c>
      <c r="QM25" s="322">
        <v>48527.16</v>
      </c>
      <c r="QN25" s="334"/>
      <c r="QO25" s="322" t="s">
        <v>8</v>
      </c>
      <c r="QP25" s="322">
        <v>0</v>
      </c>
      <c r="QQ25" s="322">
        <v>0</v>
      </c>
      <c r="QR25" s="322">
        <v>0</v>
      </c>
      <c r="QS25" s="322">
        <v>0</v>
      </c>
      <c r="QT25" s="322">
        <v>0</v>
      </c>
      <c r="QU25" s="322">
        <v>0</v>
      </c>
      <c r="QV25" s="322">
        <v>0</v>
      </c>
      <c r="QW25" s="322">
        <v>0</v>
      </c>
      <c r="QX25" s="322">
        <v>0</v>
      </c>
      <c r="QY25" s="322">
        <v>0</v>
      </c>
      <c r="QZ25" s="322">
        <v>0</v>
      </c>
      <c r="RA25" s="322">
        <v>0</v>
      </c>
      <c r="RB25" s="322">
        <v>1000</v>
      </c>
      <c r="RC25" s="322">
        <v>0</v>
      </c>
      <c r="RD25" s="322">
        <v>0</v>
      </c>
      <c r="RE25" s="322">
        <v>0</v>
      </c>
      <c r="RF25" s="322">
        <v>0</v>
      </c>
      <c r="RG25" s="322">
        <v>0</v>
      </c>
      <c r="RH25" s="322">
        <v>0</v>
      </c>
      <c r="RI25" s="322">
        <v>0</v>
      </c>
      <c r="RJ25" s="322">
        <v>0</v>
      </c>
      <c r="RK25" s="322">
        <v>0</v>
      </c>
      <c r="RL25" s="334"/>
      <c r="RM25" s="322" t="s">
        <v>8</v>
      </c>
      <c r="RN25" s="322">
        <v>55052</v>
      </c>
      <c r="RO25" s="322">
        <v>28181.46</v>
      </c>
      <c r="RP25" s="322">
        <v>27447.94</v>
      </c>
      <c r="RQ25" s="322">
        <v>14294.67</v>
      </c>
      <c r="RR25" s="322">
        <v>0</v>
      </c>
      <c r="RS25" s="322">
        <v>15670.1</v>
      </c>
      <c r="RT25" s="322">
        <v>86220.75</v>
      </c>
      <c r="RU25" s="322">
        <v>36170.620000000003</v>
      </c>
      <c r="RV25" s="322">
        <v>17896.010000000002</v>
      </c>
      <c r="RW25" s="322">
        <v>3912.16</v>
      </c>
      <c r="RX25" s="322">
        <v>5414.1</v>
      </c>
      <c r="RY25" s="322">
        <v>37017.760000000002</v>
      </c>
      <c r="RZ25" s="322">
        <v>5489.27</v>
      </c>
      <c r="SA25" s="322">
        <v>0</v>
      </c>
      <c r="SB25" s="322">
        <v>0</v>
      </c>
      <c r="SC25" s="322">
        <v>0</v>
      </c>
      <c r="SD25" s="322">
        <v>0</v>
      </c>
      <c r="SE25" s="322">
        <v>0</v>
      </c>
      <c r="SF25" s="322">
        <v>0</v>
      </c>
      <c r="SG25" s="322">
        <v>0</v>
      </c>
      <c r="SH25" s="322">
        <v>0</v>
      </c>
      <c r="SI25" s="322">
        <v>0</v>
      </c>
    </row>
    <row r="26" spans="1:503">
      <c r="A26" s="319" t="s">
        <v>9</v>
      </c>
      <c r="B26" s="319">
        <v>819775</v>
      </c>
      <c r="C26" s="319">
        <v>764377</v>
      </c>
      <c r="D26" s="319">
        <v>893737</v>
      </c>
      <c r="E26" s="319">
        <v>862651</v>
      </c>
      <c r="F26" s="319">
        <v>1008427</v>
      </c>
      <c r="G26" s="319">
        <v>1056270</v>
      </c>
      <c r="H26" s="319">
        <v>1153542</v>
      </c>
      <c r="I26" s="319">
        <v>1253681</v>
      </c>
      <c r="J26" s="319">
        <v>1303644.4400000002</v>
      </c>
      <c r="K26" s="319">
        <v>1524562.06</v>
      </c>
      <c r="L26" s="319">
        <v>1417463.48</v>
      </c>
      <c r="M26" s="319">
        <v>1354435.96</v>
      </c>
      <c r="N26" s="319">
        <v>1534843.1100000003</v>
      </c>
      <c r="O26" s="319">
        <v>1532041.73</v>
      </c>
      <c r="P26" s="319">
        <v>1501644.25</v>
      </c>
      <c r="Q26" s="319">
        <v>1455354.99</v>
      </c>
      <c r="R26" s="319"/>
      <c r="S26" s="322">
        <v>1721583.6509999998</v>
      </c>
      <c r="T26" s="319">
        <v>1901318.9700000002</v>
      </c>
      <c r="U26" s="319">
        <v>1838867.3</v>
      </c>
      <c r="V26" s="319">
        <v>1790317.32</v>
      </c>
      <c r="W26" s="319">
        <v>2002332.8</v>
      </c>
      <c r="X26" s="330"/>
      <c r="Y26" s="319" t="s">
        <v>9</v>
      </c>
      <c r="Z26" s="319">
        <v>32791</v>
      </c>
      <c r="AA26" s="319">
        <v>38218.85</v>
      </c>
      <c r="AB26" s="319">
        <v>35749.480000000003</v>
      </c>
      <c r="AC26" s="319">
        <v>60385.57</v>
      </c>
      <c r="AD26" s="319">
        <v>60505.62</v>
      </c>
      <c r="AE26" s="319">
        <v>63376.2</v>
      </c>
      <c r="AF26" s="319">
        <v>52813.5</v>
      </c>
      <c r="AG26" s="319">
        <v>62684.05</v>
      </c>
      <c r="AH26" s="319">
        <v>62447.19</v>
      </c>
      <c r="AI26" s="319">
        <v>63480.2</v>
      </c>
      <c r="AJ26" s="319">
        <v>65968.5</v>
      </c>
      <c r="AK26" s="319">
        <v>61280.86</v>
      </c>
      <c r="AL26" s="319">
        <v>62247.59</v>
      </c>
      <c r="AM26" s="319">
        <v>76804.42</v>
      </c>
      <c r="AN26" s="319">
        <v>76339.64</v>
      </c>
      <c r="AO26" s="319">
        <v>77928.600000000006</v>
      </c>
      <c r="AP26" s="319"/>
      <c r="AQ26" s="322">
        <v>80495.73</v>
      </c>
      <c r="AR26" s="319">
        <v>80598.09</v>
      </c>
      <c r="AS26" s="319">
        <v>79655.679999999993</v>
      </c>
      <c r="AT26" s="319">
        <v>79742.78</v>
      </c>
      <c r="AU26" s="319">
        <v>80440</v>
      </c>
      <c r="AV26" s="334"/>
      <c r="AW26" s="319" t="s">
        <v>9</v>
      </c>
      <c r="AX26" s="319">
        <v>40988.75</v>
      </c>
      <c r="AY26" s="319">
        <v>38218.85</v>
      </c>
      <c r="AZ26" s="319">
        <v>44686.850000000006</v>
      </c>
      <c r="BA26" s="319">
        <v>51759.06</v>
      </c>
      <c r="BB26" s="319">
        <v>50421.350000000006</v>
      </c>
      <c r="BC26" s="319">
        <v>52813.5</v>
      </c>
      <c r="BD26" s="319">
        <v>46141.68</v>
      </c>
      <c r="BE26" s="319">
        <v>50147.24</v>
      </c>
      <c r="BF26" s="319">
        <v>48838.49</v>
      </c>
      <c r="BG26" s="319">
        <v>48232.6</v>
      </c>
      <c r="BH26" s="319">
        <v>47525.14</v>
      </c>
      <c r="BI26" s="319">
        <v>50680.2</v>
      </c>
      <c r="BJ26" s="319">
        <v>48684.18</v>
      </c>
      <c r="BK26" s="319">
        <v>56480.93</v>
      </c>
      <c r="BL26" s="319">
        <v>53776.880000000005</v>
      </c>
      <c r="BM26" s="319">
        <v>64076.310000000005</v>
      </c>
      <c r="BN26" s="319"/>
      <c r="BO26" s="322">
        <v>70812.079999999987</v>
      </c>
      <c r="BP26" s="319">
        <v>70220.310000000012</v>
      </c>
      <c r="BQ26" s="319">
        <v>70951.62000000001</v>
      </c>
      <c r="BR26" s="319">
        <v>70963.360000000001</v>
      </c>
      <c r="BS26" s="319">
        <v>71000</v>
      </c>
      <c r="BT26" s="334"/>
      <c r="BU26" s="322" t="s">
        <v>9</v>
      </c>
      <c r="BV26" s="322">
        <v>57384.25</v>
      </c>
      <c r="BW26" s="322">
        <v>7643.77</v>
      </c>
      <c r="BX26" s="322">
        <v>44686.85</v>
      </c>
      <c r="BY26" s="322">
        <v>8626.51</v>
      </c>
      <c r="BZ26" s="322">
        <v>60505.62</v>
      </c>
      <c r="CA26" s="322">
        <v>10562.7</v>
      </c>
      <c r="CB26" s="322">
        <v>57677.1</v>
      </c>
      <c r="CC26" s="322">
        <v>25073.62</v>
      </c>
      <c r="CD26" s="322">
        <v>66932.02</v>
      </c>
      <c r="CE26" s="322">
        <v>24097.309999999998</v>
      </c>
      <c r="CF26" s="322">
        <v>80626</v>
      </c>
      <c r="CG26" s="322">
        <v>18012.629999999997</v>
      </c>
      <c r="CH26" s="322">
        <v>110004.95</v>
      </c>
      <c r="CI26" s="322">
        <v>26656.42</v>
      </c>
      <c r="CJ26" s="322">
        <v>70631.850000000006</v>
      </c>
      <c r="CK26" s="322">
        <v>25452.959999999999</v>
      </c>
      <c r="CL26" s="322"/>
      <c r="CM26" s="322">
        <v>26133.46</v>
      </c>
      <c r="CN26" s="322">
        <v>67646.179999999993</v>
      </c>
      <c r="CO26" s="322">
        <v>22955.43</v>
      </c>
      <c r="CP26" s="322">
        <v>83069.91</v>
      </c>
      <c r="CQ26" s="322">
        <v>41000</v>
      </c>
      <c r="CR26" s="334"/>
      <c r="CS26" s="322" t="s">
        <v>9</v>
      </c>
      <c r="CT26" s="322">
        <v>90175.25</v>
      </c>
      <c r="CU26" s="322">
        <v>61150.16</v>
      </c>
      <c r="CV26" s="322">
        <v>62561.59</v>
      </c>
      <c r="CW26" s="322">
        <v>51759.06</v>
      </c>
      <c r="CX26" s="322">
        <v>60505.62</v>
      </c>
      <c r="CY26" s="322">
        <v>63376.2</v>
      </c>
      <c r="CZ26" s="322">
        <v>69212.52</v>
      </c>
      <c r="DA26" s="322">
        <v>112831.29</v>
      </c>
      <c r="DB26" s="322">
        <v>85500.37</v>
      </c>
      <c r="DC26" s="322">
        <v>114158.78</v>
      </c>
      <c r="DD26" s="322">
        <v>101708.47</v>
      </c>
      <c r="DE26" s="322">
        <v>96444.07</v>
      </c>
      <c r="DF26" s="322">
        <v>111256.40000000001</v>
      </c>
      <c r="DG26" s="322">
        <v>106198.98</v>
      </c>
      <c r="DH26" s="322">
        <v>99187.04</v>
      </c>
      <c r="DI26" s="322">
        <v>100855.64</v>
      </c>
      <c r="DJ26" s="322"/>
      <c r="DK26" s="322">
        <v>125222.97000000002</v>
      </c>
      <c r="DL26" s="322">
        <v>141924.66000000003</v>
      </c>
      <c r="DM26" s="322">
        <v>160449.29</v>
      </c>
      <c r="DN26" s="322">
        <v>167278.13</v>
      </c>
      <c r="DO26" s="322">
        <v>215440</v>
      </c>
      <c r="DP26" s="334"/>
      <c r="DQ26" s="322" t="s">
        <v>9</v>
      </c>
      <c r="DR26" s="322">
        <v>40988.75</v>
      </c>
      <c r="DS26" s="322">
        <v>45862.62</v>
      </c>
      <c r="DT26" s="322">
        <v>35749.480000000003</v>
      </c>
      <c r="DU26" s="322">
        <v>43132.55</v>
      </c>
      <c r="DV26" s="322">
        <v>50421.35</v>
      </c>
      <c r="DW26" s="322">
        <v>63376.2</v>
      </c>
      <c r="DX26" s="322">
        <v>57677.1</v>
      </c>
      <c r="DY26" s="322">
        <v>62684.05</v>
      </c>
      <c r="DZ26" s="322">
        <v>64578.58</v>
      </c>
      <c r="EA26" s="322">
        <v>71387.5</v>
      </c>
      <c r="EB26" s="322">
        <v>77670.11</v>
      </c>
      <c r="EC26" s="322">
        <v>78602.290000000008</v>
      </c>
      <c r="ED26" s="322">
        <v>83085.150000000009</v>
      </c>
      <c r="EE26" s="322">
        <v>81612.990000000005</v>
      </c>
      <c r="EF26" s="322">
        <v>75816.67</v>
      </c>
      <c r="EG26" s="322">
        <v>89409.23</v>
      </c>
      <c r="EH26" s="322"/>
      <c r="EI26" s="322">
        <v>102294.72</v>
      </c>
      <c r="EJ26" s="322">
        <v>94679.66</v>
      </c>
      <c r="EK26" s="322">
        <v>93618.95</v>
      </c>
      <c r="EL26" s="322">
        <v>97077.37000000001</v>
      </c>
      <c r="EM26" s="322">
        <v>156000</v>
      </c>
      <c r="EN26" s="334"/>
      <c r="EO26" s="322" t="s">
        <v>9</v>
      </c>
      <c r="EP26" s="322">
        <v>16395.5</v>
      </c>
      <c r="EQ26" s="322">
        <v>15287.54</v>
      </c>
      <c r="ER26" s="322">
        <v>17874.740000000002</v>
      </c>
      <c r="ES26" s="322">
        <v>25879.53</v>
      </c>
      <c r="ET26" s="322">
        <v>20168.54</v>
      </c>
      <c r="EU26" s="322">
        <v>21125.4</v>
      </c>
      <c r="EV26" s="322">
        <v>23070.84</v>
      </c>
      <c r="EW26" s="322">
        <v>25073.62</v>
      </c>
      <c r="EX26" s="322">
        <v>24775.98</v>
      </c>
      <c r="EY26" s="322">
        <v>27622.809999999998</v>
      </c>
      <c r="EZ26" s="322">
        <v>26823.19</v>
      </c>
      <c r="FA26" s="322">
        <v>36119.879999999997</v>
      </c>
      <c r="FB26" s="322">
        <v>36162.97</v>
      </c>
      <c r="FC26" s="322">
        <v>36932.749999999993</v>
      </c>
      <c r="FD26" s="322">
        <v>38335.56</v>
      </c>
      <c r="FE26" s="322">
        <v>41138.080000000002</v>
      </c>
      <c r="FF26" s="322"/>
      <c r="FG26" s="322">
        <v>42292.92</v>
      </c>
      <c r="FH26" s="322">
        <v>42213.499999999993</v>
      </c>
      <c r="FI26" s="322">
        <v>42278.63</v>
      </c>
      <c r="FJ26" s="322">
        <v>42124.87</v>
      </c>
      <c r="FK26" s="322">
        <v>42800</v>
      </c>
      <c r="FL26" s="334"/>
      <c r="FM26" s="322" t="s">
        <v>9</v>
      </c>
      <c r="FN26" s="322">
        <v>49186.5</v>
      </c>
      <c r="FO26" s="322">
        <v>45862.62</v>
      </c>
      <c r="FP26" s="322">
        <v>44686.85</v>
      </c>
      <c r="FQ26" s="322">
        <v>60385.57</v>
      </c>
      <c r="FR26" s="322">
        <v>60505.62</v>
      </c>
      <c r="FS26" s="322">
        <v>63376.2</v>
      </c>
      <c r="FT26" s="322">
        <v>57677.1</v>
      </c>
      <c r="FU26" s="322">
        <v>62684.05</v>
      </c>
      <c r="FV26" s="322">
        <v>63126.79</v>
      </c>
      <c r="FW26" s="322">
        <v>63596.19</v>
      </c>
      <c r="FX26" s="322">
        <v>66615.76999999999</v>
      </c>
      <c r="FY26" s="322">
        <v>71596.679999999993</v>
      </c>
      <c r="FZ26" s="322">
        <v>75987.89</v>
      </c>
      <c r="GA26" s="322">
        <v>75363.350000000006</v>
      </c>
      <c r="GB26" s="322">
        <v>77831.3</v>
      </c>
      <c r="GC26" s="322">
        <v>84843.839999999997</v>
      </c>
      <c r="GD26" s="322"/>
      <c r="GE26" s="322">
        <v>89676.87</v>
      </c>
      <c r="GF26" s="340">
        <v>91214.639999999985</v>
      </c>
      <c r="GG26" s="704">
        <v>90863.690000000017</v>
      </c>
      <c r="GH26" s="704">
        <v>87667.89</v>
      </c>
      <c r="GI26" s="704">
        <v>92000</v>
      </c>
      <c r="GJ26" s="334"/>
      <c r="GK26" s="322" t="s">
        <v>9</v>
      </c>
      <c r="GL26" s="322">
        <v>16395.5</v>
      </c>
      <c r="GM26" s="322">
        <v>15287.54</v>
      </c>
      <c r="GN26" s="322">
        <v>17874.740000000002</v>
      </c>
      <c r="GO26" s="322">
        <v>17253.02</v>
      </c>
      <c r="GP26" s="322">
        <v>20168.54</v>
      </c>
      <c r="GQ26" s="322">
        <v>21125.4</v>
      </c>
      <c r="GR26" s="322">
        <v>23070.84</v>
      </c>
      <c r="GS26" s="322">
        <v>50147.24</v>
      </c>
      <c r="GT26" s="322">
        <v>54649.49</v>
      </c>
      <c r="GU26" s="322">
        <v>58969.48</v>
      </c>
      <c r="GV26" s="322">
        <v>60130.3</v>
      </c>
      <c r="GW26" s="322">
        <v>53841.57</v>
      </c>
      <c r="GX26" s="322">
        <v>56634.990000000005</v>
      </c>
      <c r="GY26" s="322">
        <v>58134.3</v>
      </c>
      <c r="GZ26" s="322">
        <v>57699.95</v>
      </c>
      <c r="HA26" s="322">
        <v>62592.26</v>
      </c>
      <c r="HB26" s="322"/>
      <c r="HC26" s="322">
        <v>72159</v>
      </c>
      <c r="HD26" s="322">
        <v>72311.520000000004</v>
      </c>
      <c r="HE26" s="322">
        <v>62427.260000000009</v>
      </c>
      <c r="HF26" s="322">
        <v>62173.9</v>
      </c>
      <c r="HG26" s="322">
        <v>63370</v>
      </c>
      <c r="HH26" s="334"/>
      <c r="HI26" s="322" t="s">
        <v>9</v>
      </c>
      <c r="HJ26" s="322">
        <v>8197.75</v>
      </c>
      <c r="HK26" s="322">
        <v>7643.77</v>
      </c>
      <c r="HL26" s="322">
        <v>17874.740000000002</v>
      </c>
      <c r="HM26" s="322">
        <v>8626.51</v>
      </c>
      <c r="HN26" s="322">
        <v>10084.27</v>
      </c>
      <c r="HO26" s="322">
        <v>10562.7</v>
      </c>
      <c r="HP26" s="322">
        <v>11535.42</v>
      </c>
      <c r="HQ26" s="322">
        <v>12536.81</v>
      </c>
      <c r="HR26" s="322">
        <v>14629.060000000001</v>
      </c>
      <c r="HS26" s="322">
        <v>16670.72</v>
      </c>
      <c r="HT26" s="322">
        <v>19451.66</v>
      </c>
      <c r="HU26" s="322">
        <v>10957.509999999998</v>
      </c>
      <c r="HV26" s="322">
        <v>15363.7</v>
      </c>
      <c r="HW26" s="322">
        <v>11762.52</v>
      </c>
      <c r="HX26" s="322">
        <v>16130.77</v>
      </c>
      <c r="HY26" s="322">
        <v>17110.2</v>
      </c>
      <c r="HZ26" s="322"/>
      <c r="IA26" s="322">
        <v>13109.47</v>
      </c>
      <c r="IB26" s="322">
        <v>8253.4</v>
      </c>
      <c r="IC26" s="322">
        <v>8600.1899999999987</v>
      </c>
      <c r="ID26" s="322">
        <v>11290.01</v>
      </c>
      <c r="IE26" s="322">
        <v>14900</v>
      </c>
      <c r="IF26" s="334"/>
      <c r="IG26" s="322" t="s">
        <v>9</v>
      </c>
      <c r="IH26" s="322">
        <v>8197.75</v>
      </c>
      <c r="II26" s="322">
        <v>7643.77</v>
      </c>
      <c r="IJ26" s="322">
        <v>8937.3700000000008</v>
      </c>
      <c r="IK26" s="322">
        <v>8626.51</v>
      </c>
      <c r="IL26" s="322">
        <v>10084.27</v>
      </c>
      <c r="IM26" s="322">
        <v>10562.7</v>
      </c>
      <c r="IN26" s="322">
        <v>0</v>
      </c>
      <c r="IO26" s="322">
        <v>0</v>
      </c>
      <c r="IP26" s="322">
        <v>7020.42</v>
      </c>
      <c r="IQ26" s="322">
        <v>5783.86</v>
      </c>
      <c r="IR26" s="322">
        <v>13463.64</v>
      </c>
      <c r="IS26" s="322">
        <v>4742.7900000000009</v>
      </c>
      <c r="IT26" s="322">
        <v>6595.829999999999</v>
      </c>
      <c r="IU26" s="322">
        <v>3878.6600000000003</v>
      </c>
      <c r="IV26" s="322"/>
      <c r="IW26" s="322"/>
      <c r="IX26" s="322"/>
      <c r="IY26" s="322"/>
      <c r="IZ26" s="322"/>
      <c r="JA26" s="322"/>
      <c r="JB26" s="322"/>
      <c r="JC26" s="322"/>
      <c r="JD26" s="334"/>
      <c r="JE26" s="322" t="s">
        <v>9</v>
      </c>
      <c r="JF26" s="322">
        <v>0</v>
      </c>
      <c r="JG26" s="322">
        <v>0</v>
      </c>
      <c r="JH26" s="322">
        <v>8937.3700000000008</v>
      </c>
      <c r="JI26" s="322">
        <v>8626.51</v>
      </c>
      <c r="JJ26" s="322">
        <v>0</v>
      </c>
      <c r="JK26" s="322">
        <v>0</v>
      </c>
      <c r="JL26" s="322">
        <v>11535.42</v>
      </c>
      <c r="JM26" s="322">
        <v>0</v>
      </c>
      <c r="JN26" s="322">
        <v>13547.929999999998</v>
      </c>
      <c r="JO26" s="322">
        <v>14896.2</v>
      </c>
      <c r="JP26" s="322">
        <v>4891.1099999999997</v>
      </c>
      <c r="JQ26" s="322">
        <v>6780.74</v>
      </c>
      <c r="JR26" s="322">
        <v>13476.41</v>
      </c>
      <c r="JS26" s="322">
        <v>6822.3099999999995</v>
      </c>
      <c r="JT26" s="322">
        <v>23405.550000000003</v>
      </c>
      <c r="JU26" s="322">
        <v>5396.51</v>
      </c>
      <c r="JV26" s="322"/>
      <c r="JW26" s="322">
        <v>8090.29</v>
      </c>
      <c r="JX26" s="322">
        <v>4668.32</v>
      </c>
      <c r="JY26" s="322">
        <v>6772.92</v>
      </c>
      <c r="JZ26" s="322">
        <v>3744.44</v>
      </c>
      <c r="KA26" s="322">
        <v>7650</v>
      </c>
      <c r="KB26" s="334"/>
      <c r="KC26" s="322" t="s">
        <v>9</v>
      </c>
      <c r="KD26" s="322">
        <v>8197.75</v>
      </c>
      <c r="KE26" s="322">
        <v>7643.77</v>
      </c>
      <c r="KF26" s="322">
        <v>8937.3700000000008</v>
      </c>
      <c r="KG26" s="322">
        <v>8626.51</v>
      </c>
      <c r="KH26" s="322">
        <v>10084.27</v>
      </c>
      <c r="KI26" s="322">
        <v>21125.4</v>
      </c>
      <c r="KJ26" s="322">
        <v>23070.84</v>
      </c>
      <c r="KK26" s="322">
        <v>25073.62</v>
      </c>
      <c r="KL26" s="322">
        <v>19486.900000000001</v>
      </c>
      <c r="KM26" s="322">
        <v>20817.78</v>
      </c>
      <c r="KN26" s="322">
        <v>23659.54</v>
      </c>
      <c r="KO26" s="322">
        <v>23301.079999999998</v>
      </c>
      <c r="KP26" s="322">
        <v>22505.14</v>
      </c>
      <c r="KQ26" s="322">
        <v>27592.870000000003</v>
      </c>
      <c r="KR26" s="322">
        <v>27993.55</v>
      </c>
      <c r="KS26" s="322">
        <v>28567.67</v>
      </c>
      <c r="KT26" s="322"/>
      <c r="KU26" s="322">
        <v>28784.780000000002</v>
      </c>
      <c r="KV26" s="322">
        <v>28952</v>
      </c>
      <c r="KW26" s="322">
        <v>29107.690000000002</v>
      </c>
      <c r="KX26" s="322">
        <v>29640.579999999998</v>
      </c>
      <c r="KY26" s="322">
        <v>29940</v>
      </c>
      <c r="KZ26" s="334"/>
      <c r="LA26" s="322" t="s">
        <v>9</v>
      </c>
      <c r="LB26" s="322">
        <v>65582</v>
      </c>
      <c r="LC26" s="322">
        <v>53506.39</v>
      </c>
      <c r="LD26" s="322">
        <v>125123.18</v>
      </c>
      <c r="LE26" s="322">
        <v>60385.57</v>
      </c>
      <c r="LF26" s="322">
        <v>110926.97</v>
      </c>
      <c r="LG26" s="322">
        <v>116189.7</v>
      </c>
      <c r="LH26" s="322">
        <v>103818.78</v>
      </c>
      <c r="LI26" s="322">
        <v>213125.77</v>
      </c>
      <c r="LJ26" s="322">
        <v>112800.69000000002</v>
      </c>
      <c r="LK26" s="322">
        <v>160318.28999999998</v>
      </c>
      <c r="LL26" s="322">
        <v>117332.08</v>
      </c>
      <c r="LM26" s="322">
        <v>111457.32000000002</v>
      </c>
      <c r="LN26" s="322">
        <v>107677.85000000002</v>
      </c>
      <c r="LO26" s="322">
        <v>93546.180000000008</v>
      </c>
      <c r="LP26" s="322">
        <v>101858.26</v>
      </c>
      <c r="LQ26" s="322">
        <v>106147.09000000001</v>
      </c>
      <c r="LR26" s="322"/>
      <c r="LS26" s="322">
        <v>119827.18999999999</v>
      </c>
      <c r="LT26" s="322">
        <v>237998.54999999996</v>
      </c>
      <c r="LU26" s="322">
        <v>143005.96</v>
      </c>
      <c r="LV26" s="322">
        <v>102979.2</v>
      </c>
      <c r="LW26" s="322">
        <v>163342.79999999999</v>
      </c>
      <c r="LX26" s="334"/>
      <c r="LY26" s="322" t="s">
        <v>9</v>
      </c>
      <c r="LZ26" s="322">
        <v>196746</v>
      </c>
      <c r="MA26" s="322">
        <v>229313.1</v>
      </c>
      <c r="MB26" s="322">
        <v>250246.36</v>
      </c>
      <c r="MC26" s="322">
        <v>163903.69</v>
      </c>
      <c r="MD26" s="322">
        <v>231938.21</v>
      </c>
      <c r="ME26" s="322">
        <v>316881</v>
      </c>
      <c r="MF26" s="322">
        <v>357598.02</v>
      </c>
      <c r="MG26" s="322">
        <v>300883.44</v>
      </c>
      <c r="MH26" s="322">
        <v>341273.36000000004</v>
      </c>
      <c r="MI26" s="322">
        <v>337214.17</v>
      </c>
      <c r="MJ26" s="322">
        <v>362519.05</v>
      </c>
      <c r="MK26" s="322">
        <v>380309.67000000004</v>
      </c>
      <c r="ML26" s="322">
        <v>415494.49000000005</v>
      </c>
      <c r="MM26" s="322">
        <v>441454.61000000004</v>
      </c>
      <c r="MN26" s="322">
        <v>344557.66</v>
      </c>
      <c r="MO26" s="322">
        <v>411496.50999999995</v>
      </c>
      <c r="MP26" s="322"/>
      <c r="MQ26" s="322">
        <v>512198.38999999996</v>
      </c>
      <c r="MR26" s="322">
        <v>543867.03000000014</v>
      </c>
      <c r="MS26" s="322">
        <v>545653.51</v>
      </c>
      <c r="MT26" s="322">
        <v>562916.63</v>
      </c>
      <c r="MU26" s="322">
        <v>552000</v>
      </c>
      <c r="MV26" s="334"/>
      <c r="MW26" s="322" t="s">
        <v>9</v>
      </c>
      <c r="MX26" s="322">
        <v>24593.25</v>
      </c>
      <c r="MY26" s="322">
        <v>38218.85</v>
      </c>
      <c r="MZ26" s="322">
        <v>35749.480000000003</v>
      </c>
      <c r="NA26" s="322">
        <v>120771.14</v>
      </c>
      <c r="NB26" s="322">
        <v>131095.51</v>
      </c>
      <c r="NC26" s="322">
        <v>105627</v>
      </c>
      <c r="ND26" s="322">
        <v>138425.04</v>
      </c>
      <c r="NE26" s="322">
        <v>137904.91</v>
      </c>
      <c r="NF26" s="322">
        <v>154330.82</v>
      </c>
      <c r="NG26" s="322">
        <v>209375.73</v>
      </c>
      <c r="NH26" s="322">
        <v>194547.71000000005</v>
      </c>
      <c r="NI26" s="322">
        <v>161939.70999999996</v>
      </c>
      <c r="NJ26" s="322">
        <v>175512.4</v>
      </c>
      <c r="NK26" s="322">
        <v>199919.71</v>
      </c>
      <c r="NL26" s="322">
        <v>146976.46000000002</v>
      </c>
      <c r="NM26" s="322">
        <v>141875.56</v>
      </c>
      <c r="NN26" s="322"/>
      <c r="NO26" s="322">
        <v>221477.58999999997</v>
      </c>
      <c r="NP26" s="322">
        <v>184216.19</v>
      </c>
      <c r="NQ26" s="322">
        <v>160119.18</v>
      </c>
      <c r="NR26" s="322">
        <v>162364.16</v>
      </c>
      <c r="NS26" s="322">
        <v>170000</v>
      </c>
      <c r="NT26" s="334"/>
      <c r="NU26" s="322" t="s">
        <v>9</v>
      </c>
      <c r="NV26" s="322">
        <v>57384.25</v>
      </c>
      <c r="NW26" s="322">
        <v>53506.39</v>
      </c>
      <c r="NX26" s="322">
        <v>62561.59</v>
      </c>
      <c r="NY26" s="322">
        <v>69012.08</v>
      </c>
      <c r="NZ26" s="322">
        <v>70589.89</v>
      </c>
      <c r="OA26" s="322">
        <v>73938.899999999994</v>
      </c>
      <c r="OB26" s="322">
        <v>80747.94</v>
      </c>
      <c r="OC26" s="322">
        <v>75220.86</v>
      </c>
      <c r="OD26" s="322">
        <v>79497.350000000006</v>
      </c>
      <c r="OE26" s="322">
        <v>84695.760000000009</v>
      </c>
      <c r="OF26" s="322">
        <v>87487.01</v>
      </c>
      <c r="OG26" s="322">
        <v>86783.26</v>
      </c>
      <c r="OH26" s="322">
        <v>93993.050000000017</v>
      </c>
      <c r="OI26" s="322">
        <v>99078.159999999989</v>
      </c>
      <c r="OJ26" s="322">
        <v>100487.20000000001</v>
      </c>
      <c r="OK26" s="322">
        <v>106352.46000000002</v>
      </c>
      <c r="OL26" s="322"/>
      <c r="OM26" s="322">
        <v>94339.450000000012</v>
      </c>
      <c r="ON26" s="322">
        <v>96003.249999999985</v>
      </c>
      <c r="OO26" s="322">
        <v>88550.859999999986</v>
      </c>
      <c r="OP26" s="322">
        <v>89977.22</v>
      </c>
      <c r="OQ26" s="322">
        <v>87450</v>
      </c>
      <c r="OR26" s="334"/>
      <c r="OS26" s="322" t="s">
        <v>9</v>
      </c>
      <c r="OT26" s="322">
        <v>73779.75</v>
      </c>
      <c r="OU26" s="322">
        <v>68793.929999999993</v>
      </c>
      <c r="OV26" s="322">
        <v>62561.59</v>
      </c>
      <c r="OW26" s="322">
        <v>60385.57</v>
      </c>
      <c r="OX26" s="322">
        <v>40337.08</v>
      </c>
      <c r="OY26" s="322">
        <v>31688.1</v>
      </c>
      <c r="OZ26" s="322">
        <v>0</v>
      </c>
      <c r="PA26" s="322">
        <v>12536.81</v>
      </c>
      <c r="PB26" s="322">
        <v>20439.61</v>
      </c>
      <c r="PC26" s="322">
        <v>27596.82</v>
      </c>
      <c r="PD26" s="322">
        <v>17696.23</v>
      </c>
      <c r="PE26" s="322">
        <v>30672.44</v>
      </c>
      <c r="PF26" s="322">
        <v>44512.85</v>
      </c>
      <c r="PG26" s="322">
        <v>26445.91</v>
      </c>
      <c r="PH26" s="322">
        <v>35151.86</v>
      </c>
      <c r="PI26" s="322">
        <v>34736.5</v>
      </c>
      <c r="PJ26" s="322"/>
      <c r="PK26" s="322">
        <v>39305.900999999998</v>
      </c>
      <c r="PL26" s="322">
        <v>58204.08</v>
      </c>
      <c r="PM26" s="322">
        <v>55175.61</v>
      </c>
      <c r="PN26" s="322">
        <v>62683.17</v>
      </c>
      <c r="PO26" s="322">
        <v>65000</v>
      </c>
      <c r="PP26" s="334"/>
      <c r="PQ26" s="322" t="s">
        <v>9</v>
      </c>
      <c r="PR26" s="322">
        <v>8197.75</v>
      </c>
      <c r="PS26" s="322">
        <v>7643.77</v>
      </c>
      <c r="PT26" s="322">
        <v>8937.3700000000008</v>
      </c>
      <c r="PU26" s="322">
        <v>8626.51</v>
      </c>
      <c r="PV26" s="322">
        <v>10084.27</v>
      </c>
      <c r="PW26" s="322">
        <v>10562.7</v>
      </c>
      <c r="PX26" s="322">
        <v>23070.84</v>
      </c>
      <c r="PY26" s="322">
        <v>12536.81</v>
      </c>
      <c r="PZ26" s="322">
        <v>16812.25</v>
      </c>
      <c r="QA26" s="322">
        <v>21727.730000000003</v>
      </c>
      <c r="QB26" s="322">
        <v>18847.97</v>
      </c>
      <c r="QC26" s="322">
        <v>16306.67</v>
      </c>
      <c r="QD26" s="322">
        <v>21329.269999999997</v>
      </c>
      <c r="QE26" s="322">
        <v>19883.330000000002</v>
      </c>
      <c r="QF26" s="322">
        <v>21275.16</v>
      </c>
      <c r="QG26" s="322">
        <v>22375.57</v>
      </c>
      <c r="QH26" s="322"/>
      <c r="QI26" s="322">
        <v>22862.840000000004</v>
      </c>
      <c r="QJ26" s="322">
        <v>25847.59</v>
      </c>
      <c r="QK26" s="322">
        <v>29130.829999999998</v>
      </c>
      <c r="QL26" s="322">
        <v>26623.7</v>
      </c>
      <c r="QM26" s="322">
        <v>27000</v>
      </c>
      <c r="QN26" s="334"/>
      <c r="QO26" s="322" t="s">
        <v>9</v>
      </c>
      <c r="QP26" s="322">
        <v>0</v>
      </c>
      <c r="QQ26" s="322">
        <v>0</v>
      </c>
      <c r="QR26" s="322">
        <v>0</v>
      </c>
      <c r="QS26" s="322">
        <v>0</v>
      </c>
      <c r="QT26" s="322">
        <v>0</v>
      </c>
      <c r="QU26" s="322">
        <v>0</v>
      </c>
      <c r="QV26" s="322">
        <v>0</v>
      </c>
      <c r="QW26" s="322">
        <v>0</v>
      </c>
      <c r="QX26" s="322">
        <v>0</v>
      </c>
      <c r="QY26" s="322">
        <v>0</v>
      </c>
      <c r="QZ26" s="322">
        <v>0</v>
      </c>
      <c r="RA26" s="322">
        <v>0</v>
      </c>
      <c r="RB26" s="322">
        <v>0</v>
      </c>
      <c r="RC26" s="322">
        <v>0</v>
      </c>
      <c r="RD26" s="322">
        <v>0</v>
      </c>
      <c r="RE26" s="322">
        <v>0</v>
      </c>
      <c r="RF26" s="322"/>
      <c r="RG26" s="322">
        <v>0</v>
      </c>
      <c r="RH26" s="322">
        <v>0</v>
      </c>
      <c r="RI26" s="322">
        <v>0</v>
      </c>
      <c r="RJ26" s="322">
        <v>0</v>
      </c>
      <c r="RK26" s="322">
        <v>0</v>
      </c>
      <c r="RL26" s="334"/>
      <c r="RM26" s="322" t="s">
        <v>9</v>
      </c>
      <c r="RN26" s="322">
        <v>24593.25</v>
      </c>
      <c r="RO26" s="322">
        <v>22931.31</v>
      </c>
      <c r="RP26" s="322">
        <v>0</v>
      </c>
      <c r="RQ26" s="322">
        <v>25879.53</v>
      </c>
      <c r="RR26" s="322">
        <v>0</v>
      </c>
      <c r="RS26" s="322">
        <v>0</v>
      </c>
      <c r="RT26" s="322">
        <v>11535.42</v>
      </c>
      <c r="RU26" s="322">
        <v>12536.81</v>
      </c>
      <c r="RV26" s="322">
        <v>18500</v>
      </c>
      <c r="RW26" s="322">
        <v>19200</v>
      </c>
      <c r="RX26" s="322">
        <v>30500</v>
      </c>
      <c r="RY26" s="322">
        <v>0</v>
      </c>
      <c r="RZ26" s="322">
        <v>34318</v>
      </c>
      <c r="SA26" s="322">
        <v>23000</v>
      </c>
      <c r="SB26" s="322">
        <v>30000</v>
      </c>
      <c r="SC26" s="322">
        <v>35000</v>
      </c>
      <c r="SD26" s="322"/>
      <c r="SE26" s="322">
        <v>52500</v>
      </c>
      <c r="SF26" s="322">
        <v>52500</v>
      </c>
      <c r="SG26" s="322">
        <v>47250</v>
      </c>
      <c r="SH26" s="322">
        <v>48000</v>
      </c>
      <c r="SI26" s="322">
        <v>50000</v>
      </c>
    </row>
    <row r="27" spans="1:503">
      <c r="A27" s="319" t="s">
        <v>10</v>
      </c>
      <c r="B27" s="319">
        <v>2921808</v>
      </c>
      <c r="C27" s="319">
        <v>3701571</v>
      </c>
      <c r="D27" s="319">
        <v>4091527</v>
      </c>
      <c r="E27" s="319">
        <v>4377728</v>
      </c>
      <c r="F27" s="319">
        <v>4269348</v>
      </c>
      <c r="G27" s="319">
        <v>4584113</v>
      </c>
      <c r="H27" s="319">
        <v>4911311</v>
      </c>
      <c r="I27" s="319">
        <v>4486226</v>
      </c>
      <c r="J27" s="319">
        <v>3480160.55</v>
      </c>
      <c r="K27" s="319">
        <v>3747749.7</v>
      </c>
      <c r="L27" s="319">
        <v>3921065.5300000003</v>
      </c>
      <c r="M27" s="319">
        <v>3933562.4200000004</v>
      </c>
      <c r="N27" s="319">
        <v>4223802.09</v>
      </c>
      <c r="O27" s="319">
        <v>3812509.7699999996</v>
      </c>
      <c r="P27" s="319">
        <v>4457089.67</v>
      </c>
      <c r="Q27" s="319">
        <v>4746640.0600000005</v>
      </c>
      <c r="R27" s="319">
        <v>4435316.5100000007</v>
      </c>
      <c r="S27" s="322">
        <v>4736676.0999999996</v>
      </c>
      <c r="T27" s="319"/>
      <c r="U27" s="319">
        <v>4739445.51</v>
      </c>
      <c r="V27" s="319">
        <v>4315931.3599999994</v>
      </c>
      <c r="W27" s="319">
        <v>5279097.32</v>
      </c>
      <c r="X27" s="330"/>
      <c r="Y27" s="319" t="s">
        <v>10</v>
      </c>
      <c r="Z27" s="319">
        <v>58436.160000000003</v>
      </c>
      <c r="AA27" s="319">
        <v>74031.42</v>
      </c>
      <c r="AB27" s="319">
        <v>81830.539999999994</v>
      </c>
      <c r="AC27" s="319">
        <v>87554.559999999998</v>
      </c>
      <c r="AD27" s="319">
        <v>85386.96</v>
      </c>
      <c r="AE27" s="319">
        <v>91682.26</v>
      </c>
      <c r="AF27" s="319">
        <v>91682.26</v>
      </c>
      <c r="AG27" s="319">
        <v>89724.52</v>
      </c>
      <c r="AH27" s="319">
        <v>111504.96000000001</v>
      </c>
      <c r="AI27" s="319">
        <v>111981.41</v>
      </c>
      <c r="AJ27" s="319">
        <v>117446.44</v>
      </c>
      <c r="AK27" s="319">
        <v>123598.87</v>
      </c>
      <c r="AL27" s="319">
        <v>132892.22</v>
      </c>
      <c r="AM27" s="319">
        <v>126023.05</v>
      </c>
      <c r="AN27" s="319">
        <v>121919.04000000001</v>
      </c>
      <c r="AO27" s="319">
        <v>130284.74</v>
      </c>
      <c r="AP27" s="319">
        <v>125788.13</v>
      </c>
      <c r="AQ27" s="322">
        <v>130256.8</v>
      </c>
      <c r="AR27" s="319"/>
      <c r="AS27" s="319">
        <v>137197.51999999999</v>
      </c>
      <c r="AT27" s="319">
        <v>135288.48000000001</v>
      </c>
      <c r="AU27" s="319">
        <v>143194.31</v>
      </c>
      <c r="AV27" s="334"/>
      <c r="AW27" s="319" t="s">
        <v>10</v>
      </c>
      <c r="AX27" s="319">
        <v>87654.239999999991</v>
      </c>
      <c r="AY27" s="319">
        <v>111047.12999999999</v>
      </c>
      <c r="AZ27" s="319">
        <v>122745.81</v>
      </c>
      <c r="BA27" s="319">
        <v>131331.84</v>
      </c>
      <c r="BB27" s="319">
        <v>128080.44</v>
      </c>
      <c r="BC27" s="319">
        <v>137523.38999999998</v>
      </c>
      <c r="BD27" s="319">
        <v>147339.32999999999</v>
      </c>
      <c r="BE27" s="319">
        <v>134586.78</v>
      </c>
      <c r="BF27" s="319">
        <v>140166.35</v>
      </c>
      <c r="BG27" s="319">
        <v>146491.57999999999</v>
      </c>
      <c r="BH27" s="319">
        <v>168252.48</v>
      </c>
      <c r="BI27" s="319">
        <v>153960.93999999997</v>
      </c>
      <c r="BJ27" s="319">
        <v>158429.9</v>
      </c>
      <c r="BK27" s="319">
        <v>151655.32</v>
      </c>
      <c r="BL27" s="319">
        <v>148629.60999999999</v>
      </c>
      <c r="BM27" s="319">
        <v>155870.04999999999</v>
      </c>
      <c r="BN27" s="319">
        <v>155970.99000000002</v>
      </c>
      <c r="BO27" s="322">
        <v>160699.1</v>
      </c>
      <c r="BP27" s="319"/>
      <c r="BQ27" s="319">
        <v>177493.18</v>
      </c>
      <c r="BR27" s="319">
        <v>164386.04</v>
      </c>
      <c r="BS27" s="319">
        <v>178573.54</v>
      </c>
      <c r="BT27" s="334"/>
      <c r="BU27" s="322" t="s">
        <v>10</v>
      </c>
      <c r="BV27" s="322">
        <v>87654.24</v>
      </c>
      <c r="BW27" s="322">
        <v>37015.71</v>
      </c>
      <c r="BX27" s="322">
        <v>81830.539999999994</v>
      </c>
      <c r="BY27" s="322">
        <v>43777.279999999999</v>
      </c>
      <c r="BZ27" s="322">
        <v>85386.96</v>
      </c>
      <c r="CA27" s="322">
        <v>0</v>
      </c>
      <c r="CB27" s="322">
        <v>49113.11</v>
      </c>
      <c r="CC27" s="322">
        <v>44862.26</v>
      </c>
      <c r="CD27" s="322">
        <v>97620.76</v>
      </c>
      <c r="CE27" s="322">
        <v>170681.42</v>
      </c>
      <c r="CF27" s="322">
        <v>222102.25</v>
      </c>
      <c r="CG27" s="322">
        <v>57647.119999999995</v>
      </c>
      <c r="CH27" s="322">
        <v>188307.57000000004</v>
      </c>
      <c r="CI27" s="322">
        <v>38572.97</v>
      </c>
      <c r="CJ27" s="322">
        <v>155570.51999999999</v>
      </c>
      <c r="CK27" s="322">
        <v>34173.4</v>
      </c>
      <c r="CL27" s="322">
        <v>141065.39000000001</v>
      </c>
      <c r="CM27" s="322">
        <v>35423.440000000002</v>
      </c>
      <c r="CN27" s="322"/>
      <c r="CO27" s="322">
        <v>33846.1</v>
      </c>
      <c r="CP27" s="322">
        <v>212521.49000000002</v>
      </c>
      <c r="CQ27" s="322">
        <v>88500</v>
      </c>
      <c r="CR27" s="334"/>
      <c r="CS27" s="322" t="s">
        <v>10</v>
      </c>
      <c r="CT27" s="322">
        <v>262962.71999999997</v>
      </c>
      <c r="CU27" s="322">
        <v>259109.97</v>
      </c>
      <c r="CV27" s="322">
        <v>286406.89</v>
      </c>
      <c r="CW27" s="322">
        <v>306440.96000000002</v>
      </c>
      <c r="CX27" s="322">
        <v>341547.84</v>
      </c>
      <c r="CY27" s="322">
        <v>412570.17</v>
      </c>
      <c r="CZ27" s="322">
        <v>442017.99</v>
      </c>
      <c r="DA27" s="322">
        <v>403760.34</v>
      </c>
      <c r="DB27" s="322">
        <v>279922.63999999996</v>
      </c>
      <c r="DC27" s="322">
        <v>270306.29000000004</v>
      </c>
      <c r="DD27" s="322">
        <v>267156.72000000009</v>
      </c>
      <c r="DE27" s="322">
        <v>329178.63</v>
      </c>
      <c r="DF27" s="322">
        <v>308450.20000000007</v>
      </c>
      <c r="DG27" s="322">
        <v>324296.87999999995</v>
      </c>
      <c r="DH27" s="322">
        <v>288919.32000000007</v>
      </c>
      <c r="DI27" s="322">
        <v>478228.03</v>
      </c>
      <c r="DJ27" s="322">
        <v>354524.31000000006</v>
      </c>
      <c r="DK27" s="322">
        <v>407143.64</v>
      </c>
      <c r="DL27" s="322"/>
      <c r="DM27" s="322">
        <v>388186.24</v>
      </c>
      <c r="DN27" s="322">
        <v>370124.18999999994</v>
      </c>
      <c r="DO27" s="322">
        <v>485229.6</v>
      </c>
      <c r="DP27" s="334"/>
      <c r="DQ27" s="322" t="s">
        <v>10</v>
      </c>
      <c r="DR27" s="322">
        <v>292180.8</v>
      </c>
      <c r="DS27" s="322">
        <v>370157.1</v>
      </c>
      <c r="DT27" s="322">
        <v>450067.97</v>
      </c>
      <c r="DU27" s="322">
        <v>437772.79999999999</v>
      </c>
      <c r="DV27" s="322">
        <v>469628.28</v>
      </c>
      <c r="DW27" s="322">
        <v>687616.95</v>
      </c>
      <c r="DX27" s="322">
        <v>884035.98</v>
      </c>
      <c r="DY27" s="322">
        <v>672933.9</v>
      </c>
      <c r="DZ27" s="322">
        <v>376346.80000000005</v>
      </c>
      <c r="EA27" s="322">
        <v>487184.83999999997</v>
      </c>
      <c r="EB27" s="322">
        <v>443643.39999999997</v>
      </c>
      <c r="EC27" s="322">
        <v>579863.34999999986</v>
      </c>
      <c r="ED27" s="322">
        <v>597549.82999999996</v>
      </c>
      <c r="EE27" s="322">
        <v>600000.64</v>
      </c>
      <c r="EF27" s="322">
        <v>688382.83</v>
      </c>
      <c r="EG27" s="322">
        <v>756565.91</v>
      </c>
      <c r="EH27" s="322">
        <v>738652.7300000001</v>
      </c>
      <c r="EI27" s="322">
        <v>930265.24</v>
      </c>
      <c r="EJ27" s="322"/>
      <c r="EK27" s="322">
        <v>735821.21</v>
      </c>
      <c r="EL27" s="322">
        <v>690135.23999999987</v>
      </c>
      <c r="EM27" s="322">
        <v>805200</v>
      </c>
      <c r="EN27" s="334"/>
      <c r="EO27" s="322" t="s">
        <v>10</v>
      </c>
      <c r="EP27" s="322">
        <v>29218.080000000002</v>
      </c>
      <c r="EQ27" s="322">
        <v>37015.71</v>
      </c>
      <c r="ER27" s="322">
        <v>40915.269999999997</v>
      </c>
      <c r="ES27" s="322">
        <v>43777.279999999999</v>
      </c>
      <c r="ET27" s="322">
        <v>42693.48</v>
      </c>
      <c r="EU27" s="322">
        <v>45841.13</v>
      </c>
      <c r="EV27" s="322">
        <v>49113.11</v>
      </c>
      <c r="EW27" s="322">
        <v>89724.52</v>
      </c>
      <c r="EX27" s="322">
        <v>76905.73000000001</v>
      </c>
      <c r="EY27" s="322">
        <v>79796.58</v>
      </c>
      <c r="EZ27" s="322">
        <v>78862.540000000008</v>
      </c>
      <c r="FA27" s="322">
        <v>86353.41</v>
      </c>
      <c r="FB27" s="322">
        <v>90432.75</v>
      </c>
      <c r="FC27" s="322">
        <v>90160.129999999976</v>
      </c>
      <c r="FD27" s="322">
        <v>89603.44</v>
      </c>
      <c r="FE27" s="322">
        <v>93854.489999999991</v>
      </c>
      <c r="FF27" s="322">
        <v>97378.4</v>
      </c>
      <c r="FG27" s="322">
        <v>97483.1</v>
      </c>
      <c r="FH27" s="322"/>
      <c r="FI27" s="322">
        <v>101127.1</v>
      </c>
      <c r="FJ27" s="322">
        <v>103559.60000000002</v>
      </c>
      <c r="FK27" s="322">
        <v>110538.41</v>
      </c>
      <c r="FL27" s="334"/>
      <c r="FM27" s="322" t="s">
        <v>10</v>
      </c>
      <c r="FN27" s="322">
        <v>87654.24</v>
      </c>
      <c r="FO27" s="322">
        <v>111047.13</v>
      </c>
      <c r="FP27" s="322">
        <v>122745.81</v>
      </c>
      <c r="FQ27" s="322">
        <v>131331.84</v>
      </c>
      <c r="FR27" s="322">
        <v>128080.44</v>
      </c>
      <c r="FS27" s="322">
        <v>137523.39000000001</v>
      </c>
      <c r="FT27" s="322">
        <v>147339.32999999999</v>
      </c>
      <c r="FU27" s="322">
        <v>134586.78</v>
      </c>
      <c r="FV27" s="322">
        <v>143980.28</v>
      </c>
      <c r="FW27" s="322">
        <v>142139.79</v>
      </c>
      <c r="FX27" s="322">
        <v>152039.39000000001</v>
      </c>
      <c r="FY27" s="322">
        <v>153672.45000000001</v>
      </c>
      <c r="FZ27" s="322">
        <v>159514.1</v>
      </c>
      <c r="GA27" s="322">
        <v>181019.53</v>
      </c>
      <c r="GB27" s="322">
        <v>161538.71000000002</v>
      </c>
      <c r="GC27" s="322">
        <v>164578.03999999998</v>
      </c>
      <c r="GD27" s="322">
        <v>171051.54</v>
      </c>
      <c r="GE27" s="322">
        <v>154683.45000000001</v>
      </c>
      <c r="GF27" s="340"/>
      <c r="GG27" s="704">
        <v>175175.43</v>
      </c>
      <c r="GH27" s="704">
        <v>152660.07</v>
      </c>
      <c r="GI27" s="704">
        <v>174831.07</v>
      </c>
      <c r="GJ27" s="334"/>
      <c r="GK27" s="322" t="s">
        <v>10</v>
      </c>
      <c r="GL27" s="322">
        <v>116872.32000000001</v>
      </c>
      <c r="GM27" s="322">
        <v>111047.13</v>
      </c>
      <c r="GN27" s="322">
        <v>122745.81</v>
      </c>
      <c r="GO27" s="322">
        <v>131331.84</v>
      </c>
      <c r="GP27" s="322">
        <v>128080.44</v>
      </c>
      <c r="GQ27" s="322">
        <v>137523.39000000001</v>
      </c>
      <c r="GR27" s="322">
        <v>147339.32999999999</v>
      </c>
      <c r="GS27" s="322">
        <v>179449.04</v>
      </c>
      <c r="GT27" s="322">
        <v>166100.32</v>
      </c>
      <c r="GU27" s="322">
        <v>174867.3</v>
      </c>
      <c r="GV27" s="322">
        <v>186605.03</v>
      </c>
      <c r="GW27" s="322">
        <v>183016.11000000002</v>
      </c>
      <c r="GX27" s="322">
        <v>192425.09</v>
      </c>
      <c r="GY27" s="322">
        <v>180258.88</v>
      </c>
      <c r="GZ27" s="322">
        <v>182020.93000000002</v>
      </c>
      <c r="HA27" s="322">
        <v>183263.73</v>
      </c>
      <c r="HB27" s="322">
        <v>187378.87</v>
      </c>
      <c r="HC27" s="322">
        <v>197126.59</v>
      </c>
      <c r="HD27" s="322"/>
      <c r="HE27" s="322">
        <v>186087.35</v>
      </c>
      <c r="HF27" s="322">
        <v>185439.8</v>
      </c>
      <c r="HG27" s="322">
        <v>192148.54</v>
      </c>
      <c r="HH27" s="334"/>
      <c r="HI27" s="322" t="s">
        <v>10</v>
      </c>
      <c r="HJ27" s="322">
        <v>29218.080000000002</v>
      </c>
      <c r="HK27" s="322">
        <v>0</v>
      </c>
      <c r="HL27" s="322">
        <v>0</v>
      </c>
      <c r="HM27" s="322">
        <v>0</v>
      </c>
      <c r="HN27" s="322">
        <v>0</v>
      </c>
      <c r="HO27" s="322">
        <v>0</v>
      </c>
      <c r="HP27" s="322">
        <v>0</v>
      </c>
      <c r="HQ27" s="322">
        <v>0</v>
      </c>
      <c r="HR27" s="322">
        <v>18206.63</v>
      </c>
      <c r="HS27" s="322">
        <v>42147.670000000006</v>
      </c>
      <c r="HT27" s="322">
        <v>57491.67</v>
      </c>
      <c r="HU27" s="322">
        <v>59583.509999999995</v>
      </c>
      <c r="HV27" s="322">
        <v>48385.89</v>
      </c>
      <c r="HW27" s="322">
        <v>41929.14</v>
      </c>
      <c r="HX27" s="322">
        <v>47648.4</v>
      </c>
      <c r="HY27" s="322">
        <v>66254.14</v>
      </c>
      <c r="HZ27" s="322">
        <v>58117.200000000004</v>
      </c>
      <c r="IA27" s="322">
        <v>69162.460000000006</v>
      </c>
      <c r="IB27" s="322"/>
      <c r="IC27" s="322">
        <v>55907.15</v>
      </c>
      <c r="ID27" s="322">
        <v>61997.680000000008</v>
      </c>
      <c r="IE27" s="322">
        <v>82000</v>
      </c>
      <c r="IF27" s="334"/>
      <c r="IG27" s="322" t="s">
        <v>10</v>
      </c>
      <c r="IH27" s="322">
        <v>29218.080000000002</v>
      </c>
      <c r="II27" s="322">
        <v>37015.71</v>
      </c>
      <c r="IJ27" s="322">
        <v>40915.269999999997</v>
      </c>
      <c r="IK27" s="322">
        <v>43777.279999999999</v>
      </c>
      <c r="IL27" s="322">
        <v>42693.48</v>
      </c>
      <c r="IM27" s="322">
        <v>45841.13</v>
      </c>
      <c r="IN27" s="322">
        <v>49113.11</v>
      </c>
      <c r="IO27" s="322">
        <v>44862.26</v>
      </c>
      <c r="IP27" s="322">
        <v>13972.75</v>
      </c>
      <c r="IQ27" s="322">
        <v>0</v>
      </c>
      <c r="IR27" s="322">
        <v>0</v>
      </c>
      <c r="IS27" s="322">
        <v>0</v>
      </c>
      <c r="IT27" s="322">
        <v>0</v>
      </c>
      <c r="IU27" s="322">
        <v>0</v>
      </c>
      <c r="IV27" s="322"/>
      <c r="IW27" s="322"/>
      <c r="IX27" s="322"/>
      <c r="IY27" s="322"/>
      <c r="IZ27" s="322"/>
      <c r="JA27" s="322"/>
      <c r="JB27" s="322"/>
      <c r="JC27" s="322"/>
      <c r="JD27" s="334"/>
      <c r="JE27" s="322" t="s">
        <v>10</v>
      </c>
      <c r="JF27" s="322">
        <v>0</v>
      </c>
      <c r="JG27" s="322">
        <v>0</v>
      </c>
      <c r="JH27" s="322">
        <v>0</v>
      </c>
      <c r="JI27" s="322">
        <v>0</v>
      </c>
      <c r="JJ27" s="322">
        <v>0</v>
      </c>
      <c r="JK27" s="322">
        <v>0</v>
      </c>
      <c r="JL27" s="322">
        <v>0</v>
      </c>
      <c r="JM27" s="322">
        <v>0</v>
      </c>
      <c r="JN27" s="322">
        <v>7951.9299999999994</v>
      </c>
      <c r="JO27" s="322">
        <v>5850.57</v>
      </c>
      <c r="JP27" s="322">
        <v>4783.13</v>
      </c>
      <c r="JQ27" s="322">
        <v>6138.82</v>
      </c>
      <c r="JR27" s="322">
        <v>4809.24</v>
      </c>
      <c r="JS27" s="322">
        <v>28915.14</v>
      </c>
      <c r="JT27" s="322">
        <v>44619.14</v>
      </c>
      <c r="JU27" s="322">
        <v>10261.33</v>
      </c>
      <c r="JV27" s="322">
        <v>13061.02</v>
      </c>
      <c r="JW27" s="322">
        <v>12223.86</v>
      </c>
      <c r="JX27" s="322"/>
      <c r="JY27" s="322">
        <v>14468.34</v>
      </c>
      <c r="JZ27" s="322">
        <v>11535.72</v>
      </c>
      <c r="KA27" s="322">
        <v>23185</v>
      </c>
      <c r="KB27" s="334"/>
      <c r="KC27" s="322" t="s">
        <v>10</v>
      </c>
      <c r="KD27" s="322">
        <v>0</v>
      </c>
      <c r="KE27" s="322">
        <v>0</v>
      </c>
      <c r="KF27" s="322">
        <v>0</v>
      </c>
      <c r="KG27" s="322">
        <v>0</v>
      </c>
      <c r="KH27" s="322">
        <v>128080.44</v>
      </c>
      <c r="KI27" s="322">
        <v>91682.26</v>
      </c>
      <c r="KJ27" s="322">
        <v>98226.22</v>
      </c>
      <c r="KK27" s="322">
        <v>89724.52</v>
      </c>
      <c r="KL27" s="322">
        <v>104066.42</v>
      </c>
      <c r="KM27" s="322">
        <v>111464.46</v>
      </c>
      <c r="KN27" s="322">
        <v>111842.46</v>
      </c>
      <c r="KO27" s="322">
        <v>114874.64</v>
      </c>
      <c r="KP27" s="322">
        <v>119188.66999999998</v>
      </c>
      <c r="KQ27" s="322">
        <v>114032.96000000001</v>
      </c>
      <c r="KR27" s="322">
        <v>108831.23999999999</v>
      </c>
      <c r="KS27" s="322">
        <v>119776.06999999999</v>
      </c>
      <c r="KT27" s="322">
        <v>123826.04000000001</v>
      </c>
      <c r="KU27" s="322">
        <v>131381.5</v>
      </c>
      <c r="KV27" s="322"/>
      <c r="KW27" s="322">
        <v>152611.17000000001</v>
      </c>
      <c r="KX27" s="322">
        <v>119251.79000000001</v>
      </c>
      <c r="KY27" s="322">
        <v>140028.85</v>
      </c>
      <c r="KZ27" s="334"/>
      <c r="LA27" s="322" t="s">
        <v>10</v>
      </c>
      <c r="LB27" s="322">
        <v>204526.56</v>
      </c>
      <c r="LC27" s="322">
        <v>481204.23</v>
      </c>
      <c r="LD27" s="322">
        <v>450067.97</v>
      </c>
      <c r="LE27" s="322">
        <v>1006877.44</v>
      </c>
      <c r="LF27" s="322">
        <v>683095.68</v>
      </c>
      <c r="LG27" s="322">
        <v>641775.81999999995</v>
      </c>
      <c r="LH27" s="322">
        <v>589357.31999999995</v>
      </c>
      <c r="LI27" s="322">
        <v>717796.16</v>
      </c>
      <c r="LJ27" s="322">
        <v>658777.98</v>
      </c>
      <c r="LK27" s="322">
        <v>758028.77</v>
      </c>
      <c r="LL27" s="322">
        <v>824988.29999999993</v>
      </c>
      <c r="LM27" s="322">
        <v>767751.2200000002</v>
      </c>
      <c r="LN27" s="322">
        <v>1077632.93</v>
      </c>
      <c r="LO27" s="322">
        <v>805232.79</v>
      </c>
      <c r="LP27" s="322">
        <v>1209247.81</v>
      </c>
      <c r="LQ27" s="322">
        <v>1109070.53</v>
      </c>
      <c r="LR27" s="322">
        <v>953283.16000000015</v>
      </c>
      <c r="LS27" s="322">
        <v>817172.83</v>
      </c>
      <c r="LT27" s="322"/>
      <c r="LU27" s="322">
        <v>1197911.7900000003</v>
      </c>
      <c r="LV27" s="322">
        <v>903031.82000000007</v>
      </c>
      <c r="LW27" s="322">
        <v>1152166.1399999999</v>
      </c>
      <c r="LX27" s="334"/>
      <c r="LY27" s="322" t="s">
        <v>10</v>
      </c>
      <c r="LZ27" s="322">
        <v>759670.08</v>
      </c>
      <c r="MA27" s="322">
        <v>925392.75</v>
      </c>
      <c r="MB27" s="322">
        <v>941051.21</v>
      </c>
      <c r="MC27" s="322">
        <v>963100.16000000003</v>
      </c>
      <c r="MD27" s="322">
        <v>1024643.52</v>
      </c>
      <c r="ME27" s="322">
        <v>1100187.1200000001</v>
      </c>
      <c r="MF27" s="322">
        <v>1129601.53</v>
      </c>
      <c r="MG27" s="322">
        <v>942107.46</v>
      </c>
      <c r="MH27" s="322">
        <v>17143.38</v>
      </c>
      <c r="MI27" s="322">
        <v>0</v>
      </c>
      <c r="MJ27" s="322">
        <v>0</v>
      </c>
      <c r="MK27" s="322">
        <v>0</v>
      </c>
      <c r="ML27" s="322">
        <v>0</v>
      </c>
      <c r="MM27" s="322">
        <v>0</v>
      </c>
      <c r="MN27" s="322">
        <v>0</v>
      </c>
      <c r="MO27" s="322">
        <v>0</v>
      </c>
      <c r="MP27" s="322">
        <v>0</v>
      </c>
      <c r="MQ27" s="322">
        <v>0</v>
      </c>
      <c r="MR27" s="322"/>
      <c r="MS27" s="322">
        <v>0</v>
      </c>
      <c r="MT27" s="322">
        <v>0</v>
      </c>
      <c r="MU27" s="322">
        <v>0</v>
      </c>
      <c r="MV27" s="334"/>
      <c r="MW27" s="322" t="s">
        <v>10</v>
      </c>
      <c r="MX27" s="322">
        <v>233744.64000000001</v>
      </c>
      <c r="MY27" s="322">
        <v>444188.52</v>
      </c>
      <c r="MZ27" s="322">
        <v>490983.24</v>
      </c>
      <c r="NA27" s="322">
        <v>481550.08000000002</v>
      </c>
      <c r="NB27" s="322">
        <v>512321.76</v>
      </c>
      <c r="NC27" s="322">
        <v>550093.56000000006</v>
      </c>
      <c r="ND27" s="322">
        <v>540244.21</v>
      </c>
      <c r="NE27" s="322">
        <v>493484.86</v>
      </c>
      <c r="NF27" s="322">
        <v>1190</v>
      </c>
      <c r="NG27" s="322">
        <v>0</v>
      </c>
      <c r="NH27" s="322">
        <v>0</v>
      </c>
      <c r="NI27" s="322">
        <v>0</v>
      </c>
      <c r="NJ27" s="322">
        <v>0</v>
      </c>
      <c r="NK27" s="322">
        <v>0</v>
      </c>
      <c r="NL27" s="322">
        <v>0</v>
      </c>
      <c r="NM27" s="322">
        <v>0</v>
      </c>
      <c r="NN27" s="322">
        <v>0</v>
      </c>
      <c r="NO27" s="322">
        <v>0</v>
      </c>
      <c r="NP27" s="322"/>
      <c r="NQ27" s="322">
        <v>0</v>
      </c>
      <c r="NR27" s="322">
        <v>0</v>
      </c>
      <c r="NS27" s="322">
        <v>0</v>
      </c>
      <c r="NT27" s="334"/>
      <c r="NU27" s="322" t="s">
        <v>10</v>
      </c>
      <c r="NV27" s="322">
        <v>292180.8</v>
      </c>
      <c r="NW27" s="322">
        <v>333141.39</v>
      </c>
      <c r="NX27" s="322">
        <v>327322.15999999997</v>
      </c>
      <c r="NY27" s="322">
        <v>218886.39999999999</v>
      </c>
      <c r="NZ27" s="322">
        <v>213467.4</v>
      </c>
      <c r="OA27" s="322">
        <v>229205.65</v>
      </c>
      <c r="OB27" s="322">
        <v>245565.55</v>
      </c>
      <c r="OC27" s="322">
        <v>224311.3</v>
      </c>
      <c r="OD27" s="322">
        <v>245849.41</v>
      </c>
      <c r="OE27" s="322">
        <v>236634.52</v>
      </c>
      <c r="OF27" s="322">
        <v>262248.83999999997</v>
      </c>
      <c r="OG27" s="322">
        <v>282956</v>
      </c>
      <c r="OH27" s="322">
        <v>297150.28999999998</v>
      </c>
      <c r="OI27" s="322">
        <v>301103.95999999996</v>
      </c>
      <c r="OJ27" s="322">
        <v>306691.34000000003</v>
      </c>
      <c r="OK27" s="322">
        <v>312219.2</v>
      </c>
      <c r="OL27" s="322">
        <v>316654.68</v>
      </c>
      <c r="OM27" s="322">
        <v>300495.09999999998</v>
      </c>
      <c r="ON27" s="322"/>
      <c r="OO27" s="322">
        <v>343617.62000000005</v>
      </c>
      <c r="OP27" s="322">
        <v>343663.61</v>
      </c>
      <c r="OQ27" s="322">
        <v>343542.08999999997</v>
      </c>
      <c r="OR27" s="334"/>
      <c r="OS27" s="322" t="s">
        <v>10</v>
      </c>
      <c r="OT27" s="322">
        <v>262962.71999999997</v>
      </c>
      <c r="OU27" s="322">
        <v>296125.68</v>
      </c>
      <c r="OV27" s="322">
        <v>368237.43</v>
      </c>
      <c r="OW27" s="322">
        <v>262663.67999999999</v>
      </c>
      <c r="OX27" s="322">
        <v>213467.4</v>
      </c>
      <c r="OY27" s="322">
        <v>229205.65</v>
      </c>
      <c r="OZ27" s="322">
        <v>196452.44</v>
      </c>
      <c r="PA27" s="322">
        <v>179449.04</v>
      </c>
      <c r="PB27" s="322">
        <v>179411.86000000002</v>
      </c>
      <c r="PC27" s="322">
        <v>170912.52</v>
      </c>
      <c r="PD27" s="322">
        <v>237009.24</v>
      </c>
      <c r="PE27" s="322">
        <v>245568.86</v>
      </c>
      <c r="PF27" s="322">
        <v>331443.34999999992</v>
      </c>
      <c r="PG27" s="322">
        <v>290726.53000000003</v>
      </c>
      <c r="PH27" s="322">
        <v>306753.99000000005</v>
      </c>
      <c r="PI27" s="322">
        <v>332849.16000000003</v>
      </c>
      <c r="PJ27" s="322">
        <v>337654.11</v>
      </c>
      <c r="PK27" s="322">
        <v>233116.72</v>
      </c>
      <c r="PL27" s="322"/>
      <c r="PM27" s="322">
        <v>304207.74</v>
      </c>
      <c r="PN27" s="322">
        <v>282991.35999999999</v>
      </c>
      <c r="PO27" s="322">
        <v>282316.26</v>
      </c>
      <c r="PP27" s="334"/>
      <c r="PQ27" s="322" t="s">
        <v>10</v>
      </c>
      <c r="PR27" s="322">
        <v>29218.080000000002</v>
      </c>
      <c r="PS27" s="322">
        <v>37015.71</v>
      </c>
      <c r="PT27" s="322">
        <v>40915.269999999997</v>
      </c>
      <c r="PU27" s="322">
        <v>43777.279999999999</v>
      </c>
      <c r="PV27" s="322">
        <v>42693.48</v>
      </c>
      <c r="PW27" s="322">
        <v>45841.13</v>
      </c>
      <c r="PX27" s="322">
        <v>49113.11</v>
      </c>
      <c r="PY27" s="322">
        <v>44862.26</v>
      </c>
      <c r="PZ27" s="322">
        <v>46899.850000000006</v>
      </c>
      <c r="QA27" s="322">
        <v>51670.499999999993</v>
      </c>
      <c r="QB27" s="322">
        <v>52125.9</v>
      </c>
      <c r="QC27" s="322">
        <v>54097.25</v>
      </c>
      <c r="QD27" s="322">
        <v>86190.06</v>
      </c>
      <c r="QE27" s="322">
        <v>78981.850000000006</v>
      </c>
      <c r="QF27" s="322">
        <v>73162.16</v>
      </c>
      <c r="QG27" s="322">
        <v>82791.239999999976</v>
      </c>
      <c r="QH27" s="322">
        <v>78509.940000000017</v>
      </c>
      <c r="QI27" s="322">
        <v>68442.27</v>
      </c>
      <c r="QJ27" s="322"/>
      <c r="QK27" s="322">
        <v>82987.569999999992</v>
      </c>
      <c r="QL27" s="322">
        <v>76944.469999999987</v>
      </c>
      <c r="QM27" s="322">
        <v>122643.51000000001</v>
      </c>
      <c r="QN27" s="334"/>
      <c r="QO27" s="322" t="s">
        <v>10</v>
      </c>
      <c r="QP27" s="322">
        <v>29218.080000000002</v>
      </c>
      <c r="QQ27" s="322">
        <v>37015.71</v>
      </c>
      <c r="QR27" s="322">
        <v>40915.269999999997</v>
      </c>
      <c r="QS27" s="322">
        <v>43777.279999999999</v>
      </c>
      <c r="QT27" s="322">
        <v>0</v>
      </c>
      <c r="QU27" s="322">
        <v>0</v>
      </c>
      <c r="QV27" s="322">
        <v>0</v>
      </c>
      <c r="QW27" s="322">
        <v>0</v>
      </c>
      <c r="QX27" s="322">
        <v>1850</v>
      </c>
      <c r="QY27" s="322">
        <v>800</v>
      </c>
      <c r="QZ27" s="322">
        <v>2400</v>
      </c>
      <c r="RA27" s="322">
        <v>2000</v>
      </c>
      <c r="RB27" s="322">
        <v>6000</v>
      </c>
      <c r="RC27" s="322">
        <v>9600</v>
      </c>
      <c r="RD27" s="322">
        <v>1600</v>
      </c>
      <c r="RE27" s="322">
        <v>1600</v>
      </c>
      <c r="RF27" s="322">
        <v>2400</v>
      </c>
      <c r="RG27" s="322">
        <v>1600</v>
      </c>
      <c r="RH27" s="322"/>
      <c r="RI27" s="322">
        <v>2800</v>
      </c>
      <c r="RJ27" s="322">
        <v>2400</v>
      </c>
      <c r="RK27" s="322">
        <v>5000</v>
      </c>
      <c r="RL27" s="334"/>
      <c r="RM27" s="322" t="s">
        <v>10</v>
      </c>
      <c r="RN27" s="322">
        <v>29218.080000000002</v>
      </c>
      <c r="RO27" s="322">
        <v>0</v>
      </c>
      <c r="RP27" s="322">
        <v>81830.539999999994</v>
      </c>
      <c r="RQ27" s="322">
        <v>0</v>
      </c>
      <c r="RR27" s="322">
        <v>0</v>
      </c>
      <c r="RS27" s="322">
        <v>0</v>
      </c>
      <c r="RT27" s="322">
        <v>49113.11</v>
      </c>
      <c r="RU27" s="322">
        <v>0</v>
      </c>
      <c r="RV27" s="322">
        <v>705000</v>
      </c>
      <c r="RW27" s="322">
        <v>700000</v>
      </c>
      <c r="RX27" s="322">
        <v>700000</v>
      </c>
      <c r="RY27" s="322">
        <v>700000</v>
      </c>
      <c r="RZ27" s="322">
        <v>425000</v>
      </c>
      <c r="SA27" s="322">
        <v>450000</v>
      </c>
      <c r="SB27" s="322">
        <v>521951.19</v>
      </c>
      <c r="SC27" s="322">
        <v>715000</v>
      </c>
      <c r="SD27" s="322">
        <v>580000</v>
      </c>
      <c r="SE27" s="322">
        <v>990000</v>
      </c>
      <c r="SF27" s="322"/>
      <c r="SG27" s="322">
        <v>650000</v>
      </c>
      <c r="SH27" s="322">
        <v>500000</v>
      </c>
      <c r="SI27" s="322">
        <v>500000</v>
      </c>
    </row>
    <row r="28" spans="1:503">
      <c r="A28" s="319" t="s">
        <v>11</v>
      </c>
      <c r="B28" s="319">
        <v>587155</v>
      </c>
      <c r="C28" s="319">
        <v>714162</v>
      </c>
      <c r="D28" s="319">
        <v>831466</v>
      </c>
      <c r="E28" s="319">
        <v>838390</v>
      </c>
      <c r="F28" s="319">
        <v>854015</v>
      </c>
      <c r="G28" s="319">
        <v>906852</v>
      </c>
      <c r="H28" s="319">
        <v>879829</v>
      </c>
      <c r="I28" s="319">
        <v>840800</v>
      </c>
      <c r="J28" s="319">
        <v>1542585.5699999998</v>
      </c>
      <c r="K28" s="319">
        <v>2110508.52</v>
      </c>
      <c r="L28" s="319">
        <v>2112419.642</v>
      </c>
      <c r="M28" s="319">
        <v>2786342.23</v>
      </c>
      <c r="N28" s="319">
        <v>2884065.61</v>
      </c>
      <c r="O28" s="319">
        <v>2404468.6</v>
      </c>
      <c r="P28" s="319">
        <v>1376906.7999999998</v>
      </c>
      <c r="Q28" s="319">
        <v>937644.24</v>
      </c>
      <c r="R28" s="319">
        <v>1055005.3799999999</v>
      </c>
      <c r="S28" s="322">
        <v>948333.53999999992</v>
      </c>
      <c r="T28" s="319">
        <v>804594.74</v>
      </c>
      <c r="U28" s="319">
        <v>826505.85</v>
      </c>
      <c r="V28" s="319">
        <v>1140222.07</v>
      </c>
      <c r="W28" s="319">
        <v>2145825</v>
      </c>
      <c r="X28" s="330"/>
      <c r="Y28" s="319" t="s">
        <v>11</v>
      </c>
      <c r="Z28" s="319">
        <v>41100.85</v>
      </c>
      <c r="AA28" s="319">
        <v>64274.58</v>
      </c>
      <c r="AB28" s="319">
        <v>74831.94</v>
      </c>
      <c r="AC28" s="319">
        <v>67071.199999999997</v>
      </c>
      <c r="AD28" s="319">
        <v>68321.2</v>
      </c>
      <c r="AE28" s="319">
        <v>72548.160000000003</v>
      </c>
      <c r="AF28" s="319">
        <v>72548.160000000003</v>
      </c>
      <c r="AG28" s="319">
        <v>67264</v>
      </c>
      <c r="AH28" s="319">
        <v>70904.200000000012</v>
      </c>
      <c r="AI28" s="319">
        <v>72352.97</v>
      </c>
      <c r="AJ28" s="319">
        <v>77831.03</v>
      </c>
      <c r="AK28" s="319">
        <v>84552.939999999988</v>
      </c>
      <c r="AL28" s="319">
        <v>82518.05</v>
      </c>
      <c r="AM28" s="319">
        <v>95250.840000000011</v>
      </c>
      <c r="AN28" s="319">
        <v>86694.51999999999</v>
      </c>
      <c r="AO28" s="319">
        <v>88500.74</v>
      </c>
      <c r="AP28" s="319">
        <v>88010.51</v>
      </c>
      <c r="AQ28" s="322">
        <v>90331.330000000016</v>
      </c>
      <c r="AR28" s="319">
        <v>92407.38</v>
      </c>
      <c r="AS28" s="319">
        <v>95700.2</v>
      </c>
      <c r="AT28" s="319">
        <v>95420.039999999979</v>
      </c>
      <c r="AU28" s="319">
        <v>99850</v>
      </c>
      <c r="AV28" s="334"/>
      <c r="AW28" s="319" t="s">
        <v>11</v>
      </c>
      <c r="AX28" s="319">
        <v>46972.4</v>
      </c>
      <c r="AY28" s="319">
        <v>57132.959999999999</v>
      </c>
      <c r="AZ28" s="319">
        <v>66517.279999999999</v>
      </c>
      <c r="BA28" s="319">
        <v>58687.3</v>
      </c>
      <c r="BB28" s="319">
        <v>68321.2</v>
      </c>
      <c r="BC28" s="319">
        <v>63479.640000000007</v>
      </c>
      <c r="BD28" s="319">
        <v>70386.320000000007</v>
      </c>
      <c r="BE28" s="319">
        <v>67264</v>
      </c>
      <c r="BF28" s="319">
        <v>76805.3</v>
      </c>
      <c r="BG28" s="319">
        <v>82465.31</v>
      </c>
      <c r="BH28" s="319">
        <v>91768</v>
      </c>
      <c r="BI28" s="319">
        <v>110182.37000000001</v>
      </c>
      <c r="BJ28" s="319">
        <v>149234.00999999998</v>
      </c>
      <c r="BK28" s="319">
        <v>112983.96999999999</v>
      </c>
      <c r="BL28" s="319">
        <v>104221.81999999998</v>
      </c>
      <c r="BM28" s="319">
        <v>104987.39000000001</v>
      </c>
      <c r="BN28" s="319">
        <v>110256.15999999997</v>
      </c>
      <c r="BO28" s="322">
        <v>108925.05</v>
      </c>
      <c r="BP28" s="319">
        <v>109302.74</v>
      </c>
      <c r="BQ28" s="319">
        <v>112169.43</v>
      </c>
      <c r="BR28" s="319">
        <v>120394.79000000002</v>
      </c>
      <c r="BS28" s="319">
        <v>146621</v>
      </c>
      <c r="BT28" s="334"/>
      <c r="BU28" s="322" t="s">
        <v>11</v>
      </c>
      <c r="BV28" s="322">
        <v>11743.1</v>
      </c>
      <c r="BW28" s="322">
        <v>14283.24</v>
      </c>
      <c r="BX28" s="322">
        <v>0</v>
      </c>
      <c r="BY28" s="322">
        <v>16767.8</v>
      </c>
      <c r="BZ28" s="322">
        <v>8540.15</v>
      </c>
      <c r="CA28" s="322">
        <v>0</v>
      </c>
      <c r="CB28" s="322">
        <v>0</v>
      </c>
      <c r="CC28" s="322">
        <v>0</v>
      </c>
      <c r="CD28" s="322">
        <v>24171.46</v>
      </c>
      <c r="CE28" s="322">
        <v>0</v>
      </c>
      <c r="CF28" s="322">
        <v>0</v>
      </c>
      <c r="CG28" s="322">
        <v>0</v>
      </c>
      <c r="CH28" s="322">
        <v>0</v>
      </c>
      <c r="CI28" s="322">
        <v>0</v>
      </c>
      <c r="CJ28" s="322">
        <v>0</v>
      </c>
      <c r="CK28" s="322">
        <v>0</v>
      </c>
      <c r="CL28" s="322">
        <v>0</v>
      </c>
      <c r="CM28" s="322">
        <v>0</v>
      </c>
      <c r="CN28" s="322">
        <v>0</v>
      </c>
      <c r="CO28" s="322">
        <v>0</v>
      </c>
      <c r="CP28" s="322">
        <v>0</v>
      </c>
      <c r="CQ28" s="322">
        <v>0</v>
      </c>
      <c r="CR28" s="334"/>
      <c r="CS28" s="322" t="s">
        <v>11</v>
      </c>
      <c r="CT28" s="322">
        <v>58715.5</v>
      </c>
      <c r="CU28" s="322">
        <v>64274.58</v>
      </c>
      <c r="CV28" s="322">
        <v>74831.94</v>
      </c>
      <c r="CW28" s="322">
        <v>67071.199999999997</v>
      </c>
      <c r="CX28" s="322">
        <v>42700.75</v>
      </c>
      <c r="CY28" s="322">
        <v>45342.6</v>
      </c>
      <c r="CZ28" s="322">
        <v>52789.74</v>
      </c>
      <c r="DA28" s="322">
        <v>25224</v>
      </c>
      <c r="DB28" s="322">
        <v>34563.11</v>
      </c>
      <c r="DC28" s="322">
        <v>33500.910000000003</v>
      </c>
      <c r="DD28" s="322">
        <v>80257</v>
      </c>
      <c r="DE28" s="322">
        <v>366252.97</v>
      </c>
      <c r="DF28" s="322">
        <v>103519.43</v>
      </c>
      <c r="DG28" s="322">
        <v>60611.889999999985</v>
      </c>
      <c r="DH28" s="322">
        <v>57910.74</v>
      </c>
      <c r="DI28" s="322">
        <v>82131.25999999998</v>
      </c>
      <c r="DJ28" s="322">
        <v>70429.88</v>
      </c>
      <c r="DK28" s="322">
        <v>137246.79999999999</v>
      </c>
      <c r="DL28" s="322">
        <v>181383.55</v>
      </c>
      <c r="DM28" s="322">
        <v>144478.95000000001</v>
      </c>
      <c r="DN28" s="322">
        <v>165887.16999999998</v>
      </c>
      <c r="DO28" s="322">
        <v>201600</v>
      </c>
      <c r="DP28" s="334"/>
      <c r="DQ28" s="322" t="s">
        <v>11</v>
      </c>
      <c r="DR28" s="322">
        <v>46972.4</v>
      </c>
      <c r="DS28" s="322">
        <v>57132.959999999999</v>
      </c>
      <c r="DT28" s="322">
        <v>66517.279999999999</v>
      </c>
      <c r="DU28" s="322">
        <v>75455.100000000006</v>
      </c>
      <c r="DV28" s="322">
        <v>93941.65</v>
      </c>
      <c r="DW28" s="322">
        <v>72548.160000000003</v>
      </c>
      <c r="DX28" s="322">
        <v>114377.77</v>
      </c>
      <c r="DY28" s="322">
        <v>117712</v>
      </c>
      <c r="DZ28" s="322">
        <v>206604.90000000002</v>
      </c>
      <c r="EA28" s="322">
        <v>260711.27000000002</v>
      </c>
      <c r="EB28" s="322">
        <v>254466.28999999998</v>
      </c>
      <c r="EC28" s="322">
        <v>337388.97000000003</v>
      </c>
      <c r="ED28" s="322">
        <v>349245.13</v>
      </c>
      <c r="EE28" s="322">
        <v>314790.05000000005</v>
      </c>
      <c r="EF28" s="322">
        <v>72232.47</v>
      </c>
      <c r="EG28" s="322">
        <v>69556</v>
      </c>
      <c r="EH28" s="322">
        <v>73187.98</v>
      </c>
      <c r="EI28" s="322">
        <v>77961.91</v>
      </c>
      <c r="EJ28" s="322">
        <v>84229.62</v>
      </c>
      <c r="EK28" s="322">
        <v>88262.07</v>
      </c>
      <c r="EL28" s="322">
        <v>86212.06</v>
      </c>
      <c r="EM28" s="322">
        <v>109250</v>
      </c>
      <c r="EN28" s="334"/>
      <c r="EO28" s="322" t="s">
        <v>11</v>
      </c>
      <c r="EP28" s="322">
        <v>29357.75</v>
      </c>
      <c r="EQ28" s="322">
        <v>35708.1</v>
      </c>
      <c r="ER28" s="322">
        <v>41573.300000000003</v>
      </c>
      <c r="ES28" s="322">
        <v>41919.5</v>
      </c>
      <c r="ET28" s="322">
        <v>42700.75</v>
      </c>
      <c r="EU28" s="322">
        <v>45342.6</v>
      </c>
      <c r="EV28" s="322">
        <v>43991.45</v>
      </c>
      <c r="EW28" s="322">
        <v>42040</v>
      </c>
      <c r="EX28" s="322">
        <v>46679.96</v>
      </c>
      <c r="EY28" s="322">
        <v>71436.2</v>
      </c>
      <c r="EZ28" s="322">
        <v>51541.26</v>
      </c>
      <c r="FA28" s="322">
        <v>35280</v>
      </c>
      <c r="FB28" s="322">
        <v>35280</v>
      </c>
      <c r="FC28" s="322">
        <v>37789.550000000003</v>
      </c>
      <c r="FD28" s="322">
        <v>38000.04</v>
      </c>
      <c r="FE28" s="322">
        <v>38000.04</v>
      </c>
      <c r="FF28" s="322">
        <v>38000.04</v>
      </c>
      <c r="FG28" s="322">
        <v>40000.22</v>
      </c>
      <c r="FH28" s="322">
        <v>40707.93</v>
      </c>
      <c r="FI28" s="322">
        <v>40800.239999999998</v>
      </c>
      <c r="FJ28" s="322">
        <v>41525.760000000002</v>
      </c>
      <c r="FK28" s="322">
        <v>41621</v>
      </c>
      <c r="FL28" s="334"/>
      <c r="FM28" s="322" t="s">
        <v>11</v>
      </c>
      <c r="FN28" s="322">
        <v>0</v>
      </c>
      <c r="FO28" s="322">
        <v>0</v>
      </c>
      <c r="FP28" s="322">
        <v>0</v>
      </c>
      <c r="FQ28" s="322">
        <v>0</v>
      </c>
      <c r="FR28" s="322">
        <v>0</v>
      </c>
      <c r="FS28" s="322">
        <v>0</v>
      </c>
      <c r="FT28" s="322">
        <v>0</v>
      </c>
      <c r="FU28" s="322">
        <v>0</v>
      </c>
      <c r="FV28" s="322">
        <v>0</v>
      </c>
      <c r="FW28" s="322">
        <v>0</v>
      </c>
      <c r="FX28" s="322">
        <v>0</v>
      </c>
      <c r="FY28" s="322">
        <v>44580.829999999994</v>
      </c>
      <c r="FZ28" s="322">
        <v>52084.83</v>
      </c>
      <c r="GA28" s="322">
        <v>35659.42</v>
      </c>
      <c r="GB28" s="322">
        <v>31690.29</v>
      </c>
      <c r="GC28" s="322">
        <v>24884.240000000002</v>
      </c>
      <c r="GD28" s="322">
        <v>32714.9</v>
      </c>
      <c r="GE28" s="322">
        <v>34154.130000000005</v>
      </c>
      <c r="GF28" s="340">
        <v>37771.82</v>
      </c>
      <c r="GG28" s="704">
        <v>36629.61</v>
      </c>
      <c r="GH28" s="704">
        <v>36749.410000000003</v>
      </c>
      <c r="GI28" s="704">
        <v>48800</v>
      </c>
      <c r="GJ28" s="334"/>
      <c r="GK28" s="322" t="s">
        <v>11</v>
      </c>
      <c r="GL28" s="322">
        <v>0</v>
      </c>
      <c r="GM28" s="322">
        <v>0</v>
      </c>
      <c r="GN28" s="322">
        <v>0</v>
      </c>
      <c r="GO28" s="322">
        <v>0</v>
      </c>
      <c r="GP28" s="322">
        <v>0</v>
      </c>
      <c r="GQ28" s="322">
        <v>0</v>
      </c>
      <c r="GR28" s="322">
        <v>0</v>
      </c>
      <c r="GS28" s="322">
        <v>42040</v>
      </c>
      <c r="GT28" s="322">
        <v>46920.310000000005</v>
      </c>
      <c r="GU28" s="322">
        <v>48192.88</v>
      </c>
      <c r="GV28" s="322">
        <v>58390</v>
      </c>
      <c r="GW28" s="322">
        <v>65249.51</v>
      </c>
      <c r="GX28" s="322">
        <v>68272.940000000017</v>
      </c>
      <c r="GY28" s="322">
        <v>70275.609999999986</v>
      </c>
      <c r="GZ28" s="322">
        <v>70765.47</v>
      </c>
      <c r="HA28" s="322">
        <v>73100.500000000015</v>
      </c>
      <c r="HB28" s="322">
        <v>77809.05</v>
      </c>
      <c r="HC28" s="322">
        <v>81342.320000000007</v>
      </c>
      <c r="HD28" s="322">
        <v>83729.88</v>
      </c>
      <c r="HE28" s="322">
        <v>88119.020000000019</v>
      </c>
      <c r="HF28" s="322">
        <v>92442.83</v>
      </c>
      <c r="HG28" s="322">
        <v>110021</v>
      </c>
      <c r="HH28" s="334"/>
      <c r="HI28" s="322" t="s">
        <v>11</v>
      </c>
      <c r="HJ28" s="322">
        <v>29357.75</v>
      </c>
      <c r="HK28" s="322">
        <v>35708.1</v>
      </c>
      <c r="HL28" s="322">
        <v>33258.639999999999</v>
      </c>
      <c r="HM28" s="322">
        <v>33535.599999999999</v>
      </c>
      <c r="HN28" s="322">
        <v>34160.6</v>
      </c>
      <c r="HO28" s="322">
        <v>36274.080000000002</v>
      </c>
      <c r="HP28" s="322">
        <v>26394.87</v>
      </c>
      <c r="HQ28" s="322">
        <v>8408</v>
      </c>
      <c r="HR28" s="322">
        <v>13281.57</v>
      </c>
      <c r="HS28" s="322">
        <v>11810.820000000002</v>
      </c>
      <c r="HT28" s="322">
        <v>19955.02</v>
      </c>
      <c r="HU28" s="322">
        <v>18713.39</v>
      </c>
      <c r="HV28" s="322">
        <v>20092.53</v>
      </c>
      <c r="HW28" s="322">
        <v>18487.95</v>
      </c>
      <c r="HX28" s="322">
        <v>0</v>
      </c>
      <c r="HY28" s="322">
        <v>0</v>
      </c>
      <c r="HZ28" s="322">
        <v>0</v>
      </c>
      <c r="IA28" s="322">
        <v>0</v>
      </c>
      <c r="IB28" s="322">
        <v>0</v>
      </c>
      <c r="IC28" s="322">
        <v>0</v>
      </c>
      <c r="ID28" s="322">
        <v>0</v>
      </c>
      <c r="IE28" s="322">
        <v>0</v>
      </c>
      <c r="IF28" s="334"/>
      <c r="IG28" s="322" t="s">
        <v>11</v>
      </c>
      <c r="IH28" s="322">
        <v>5871.55</v>
      </c>
      <c r="II28" s="322">
        <v>14283.24</v>
      </c>
      <c r="IJ28" s="322">
        <v>8314.66</v>
      </c>
      <c r="IK28" s="322">
        <v>8383.9</v>
      </c>
      <c r="IL28" s="322">
        <v>8540.15</v>
      </c>
      <c r="IM28" s="322">
        <v>9068.52</v>
      </c>
      <c r="IN28" s="322">
        <v>8798.2900000000009</v>
      </c>
      <c r="IO28" s="322">
        <v>8408</v>
      </c>
      <c r="IP28" s="322">
        <v>0</v>
      </c>
      <c r="IQ28" s="322">
        <v>0</v>
      </c>
      <c r="IR28" s="322">
        <v>0</v>
      </c>
      <c r="IS28" s="322">
        <v>0</v>
      </c>
      <c r="IT28" s="322">
        <v>0</v>
      </c>
      <c r="IU28" s="322">
        <v>0</v>
      </c>
      <c r="IV28" s="322"/>
      <c r="IW28" s="322"/>
      <c r="IX28" s="322"/>
      <c r="IY28" s="322"/>
      <c r="IZ28" s="322"/>
      <c r="JA28" s="322"/>
      <c r="JB28" s="322"/>
      <c r="JC28" s="322"/>
      <c r="JD28" s="334"/>
      <c r="JE28" s="322" t="s">
        <v>11</v>
      </c>
      <c r="JF28" s="322">
        <v>0</v>
      </c>
      <c r="JG28" s="322">
        <v>0</v>
      </c>
      <c r="JH28" s="322">
        <v>0</v>
      </c>
      <c r="JI28" s="322">
        <v>0</v>
      </c>
      <c r="JJ28" s="322">
        <v>0</v>
      </c>
      <c r="JK28" s="322">
        <v>0</v>
      </c>
      <c r="JL28" s="322">
        <v>0</v>
      </c>
      <c r="JM28" s="322">
        <v>0</v>
      </c>
      <c r="JN28" s="322">
        <v>0</v>
      </c>
      <c r="JO28" s="322">
        <v>0</v>
      </c>
      <c r="JP28" s="322">
        <v>0</v>
      </c>
      <c r="JQ28" s="322">
        <v>0</v>
      </c>
      <c r="JR28" s="322">
        <v>0</v>
      </c>
      <c r="JS28" s="322">
        <v>0</v>
      </c>
      <c r="JT28" s="322">
        <v>0</v>
      </c>
      <c r="JU28" s="322">
        <v>0</v>
      </c>
      <c r="JV28" s="322">
        <v>0</v>
      </c>
      <c r="JW28" s="322">
        <v>0</v>
      </c>
      <c r="JX28" s="322">
        <v>0</v>
      </c>
      <c r="JY28" s="322">
        <v>0</v>
      </c>
      <c r="JZ28" s="322">
        <v>0</v>
      </c>
      <c r="KA28" s="322">
        <v>0</v>
      </c>
      <c r="KB28" s="334"/>
      <c r="KC28" s="322" t="s">
        <v>11</v>
      </c>
      <c r="KD28" s="322">
        <v>5871.55</v>
      </c>
      <c r="KE28" s="322">
        <v>14283.24</v>
      </c>
      <c r="KF28" s="322">
        <v>8314.66</v>
      </c>
      <c r="KG28" s="322">
        <v>8383.9</v>
      </c>
      <c r="KH28" s="322">
        <v>8540.15</v>
      </c>
      <c r="KI28" s="322">
        <v>18137.04</v>
      </c>
      <c r="KJ28" s="322">
        <v>17596.580000000002</v>
      </c>
      <c r="KK28" s="322">
        <v>25224</v>
      </c>
      <c r="KL28" s="322">
        <v>21901.850000000002</v>
      </c>
      <c r="KM28" s="322">
        <v>21415.410000000003</v>
      </c>
      <c r="KN28" s="322">
        <v>22417</v>
      </c>
      <c r="KO28" s="322">
        <v>21697.08</v>
      </c>
      <c r="KP28" s="322">
        <v>21798.039999999997</v>
      </c>
      <c r="KQ28" s="322">
        <v>24384.850000000002</v>
      </c>
      <c r="KR28" s="322">
        <v>25721.870000000003</v>
      </c>
      <c r="KS28" s="322">
        <v>24111.190000000002</v>
      </c>
      <c r="KT28" s="322">
        <v>23165.45</v>
      </c>
      <c r="KU28" s="322">
        <v>28446.93</v>
      </c>
      <c r="KV28" s="322">
        <v>29114.280000000002</v>
      </c>
      <c r="KW28" s="322">
        <v>29205.43</v>
      </c>
      <c r="KX28" s="322">
        <v>32307.280000000002</v>
      </c>
      <c r="KY28" s="322">
        <v>53850</v>
      </c>
      <c r="KZ28" s="334"/>
      <c r="LA28" s="322" t="s">
        <v>11</v>
      </c>
      <c r="LB28" s="322">
        <v>82201.7</v>
      </c>
      <c r="LC28" s="322">
        <v>64274.58</v>
      </c>
      <c r="LD28" s="322">
        <v>116405.24</v>
      </c>
      <c r="LE28" s="322">
        <v>134142.39999999999</v>
      </c>
      <c r="LF28" s="322">
        <v>136642.4</v>
      </c>
      <c r="LG28" s="322">
        <v>126959.28</v>
      </c>
      <c r="LH28" s="322">
        <v>87982.9</v>
      </c>
      <c r="LI28" s="322">
        <v>75672</v>
      </c>
      <c r="LJ28" s="322">
        <v>266056.36</v>
      </c>
      <c r="LK28" s="322">
        <v>109656.91999999998</v>
      </c>
      <c r="LL28" s="322">
        <v>140066.212</v>
      </c>
      <c r="LM28" s="322">
        <v>292092.32999999996</v>
      </c>
      <c r="LN28" s="322">
        <v>486529.62</v>
      </c>
      <c r="LO28" s="322">
        <v>183330.91</v>
      </c>
      <c r="LP28" s="322">
        <v>114518.56</v>
      </c>
      <c r="LQ28" s="322">
        <v>143596.97</v>
      </c>
      <c r="LR28" s="322">
        <v>88247.859999999986</v>
      </c>
      <c r="LS28" s="322">
        <v>167048.41</v>
      </c>
      <c r="LT28" s="322">
        <v>107167.18</v>
      </c>
      <c r="LU28" s="322">
        <v>141127.16999999998</v>
      </c>
      <c r="LV28" s="322">
        <v>136123.77000000002</v>
      </c>
      <c r="LW28" s="322">
        <v>789090</v>
      </c>
      <c r="LX28" s="334"/>
      <c r="LY28" s="322" t="s">
        <v>11</v>
      </c>
      <c r="LZ28" s="322">
        <v>135045.65</v>
      </c>
      <c r="MA28" s="322">
        <v>157115.64000000001</v>
      </c>
      <c r="MB28" s="322">
        <v>199551.84</v>
      </c>
      <c r="MC28" s="322">
        <v>192829.7</v>
      </c>
      <c r="MD28" s="322">
        <v>239124.2</v>
      </c>
      <c r="ME28" s="322">
        <v>272055.59999999998</v>
      </c>
      <c r="MF28" s="322">
        <v>255150.41</v>
      </c>
      <c r="MG28" s="322">
        <v>243832</v>
      </c>
      <c r="MH28" s="322">
        <v>562810.53</v>
      </c>
      <c r="MI28" s="322">
        <v>1275334.33</v>
      </c>
      <c r="MJ28" s="322">
        <v>1203488</v>
      </c>
      <c r="MK28" s="322">
        <v>1222981.75</v>
      </c>
      <c r="ML28" s="322">
        <v>1312398.02</v>
      </c>
      <c r="MM28" s="322">
        <v>1303440.07</v>
      </c>
      <c r="MN28" s="322">
        <v>-43.33</v>
      </c>
      <c r="MO28" s="322">
        <v>0</v>
      </c>
      <c r="MP28" s="322">
        <v>0</v>
      </c>
      <c r="MQ28" s="322">
        <v>0</v>
      </c>
      <c r="MR28" s="322">
        <v>0</v>
      </c>
      <c r="MS28" s="322">
        <v>0</v>
      </c>
      <c r="MT28" s="322">
        <v>0</v>
      </c>
      <c r="MU28" s="322">
        <v>0</v>
      </c>
      <c r="MV28" s="334"/>
      <c r="MW28" s="322" t="s">
        <v>11</v>
      </c>
      <c r="MX28" s="322">
        <v>0</v>
      </c>
      <c r="MY28" s="322">
        <v>0</v>
      </c>
      <c r="MZ28" s="322">
        <v>0</v>
      </c>
      <c r="NA28" s="322">
        <v>0</v>
      </c>
      <c r="NB28" s="322">
        <v>0</v>
      </c>
      <c r="NC28" s="322">
        <v>0</v>
      </c>
      <c r="ND28" s="322">
        <v>0</v>
      </c>
      <c r="NE28" s="322">
        <v>0</v>
      </c>
      <c r="NF28" s="322">
        <v>0</v>
      </c>
      <c r="NG28" s="322">
        <v>0</v>
      </c>
      <c r="NH28" s="322">
        <v>0</v>
      </c>
      <c r="NI28" s="322">
        <v>0</v>
      </c>
      <c r="NJ28" s="322">
        <v>0</v>
      </c>
      <c r="NK28" s="322">
        <v>0</v>
      </c>
      <c r="NL28" s="322">
        <v>1582.48</v>
      </c>
      <c r="NM28" s="322">
        <v>0</v>
      </c>
      <c r="NN28" s="322">
        <v>0</v>
      </c>
      <c r="NO28" s="322">
        <v>0</v>
      </c>
      <c r="NP28" s="322">
        <v>0</v>
      </c>
      <c r="NQ28" s="322">
        <v>0</v>
      </c>
      <c r="NR28" s="322">
        <v>0</v>
      </c>
      <c r="NS28" s="322">
        <v>0</v>
      </c>
      <c r="NT28" s="334"/>
      <c r="NU28" s="322" t="s">
        <v>11</v>
      </c>
      <c r="NV28" s="322">
        <v>52843.95</v>
      </c>
      <c r="NW28" s="322">
        <v>64274.58</v>
      </c>
      <c r="NX28" s="322">
        <v>66517.279999999999</v>
      </c>
      <c r="NY28" s="322">
        <v>75455.100000000006</v>
      </c>
      <c r="NZ28" s="322">
        <v>76861.350000000006</v>
      </c>
      <c r="OA28" s="322">
        <v>81616.679999999993</v>
      </c>
      <c r="OB28" s="322">
        <v>96781.19</v>
      </c>
      <c r="OC28" s="322">
        <v>75672</v>
      </c>
      <c r="OD28" s="322">
        <v>69302.570000000007</v>
      </c>
      <c r="OE28" s="322">
        <v>73787.580000000016</v>
      </c>
      <c r="OF28" s="322">
        <v>76826</v>
      </c>
      <c r="OG28" s="322">
        <v>84220.2</v>
      </c>
      <c r="OH28" s="322">
        <v>84406.44</v>
      </c>
      <c r="OI28" s="322">
        <v>84372.63</v>
      </c>
      <c r="OJ28" s="322">
        <v>0.05</v>
      </c>
      <c r="OK28" s="322">
        <v>0</v>
      </c>
      <c r="OL28" s="322">
        <v>0</v>
      </c>
      <c r="OM28" s="322">
        <v>0</v>
      </c>
      <c r="ON28" s="322">
        <v>0</v>
      </c>
      <c r="OO28" s="322">
        <v>0</v>
      </c>
      <c r="OP28" s="322">
        <v>0</v>
      </c>
      <c r="OQ28" s="322">
        <v>0</v>
      </c>
      <c r="OR28" s="334"/>
      <c r="OS28" s="322" t="s">
        <v>11</v>
      </c>
      <c r="OT28" s="322">
        <v>17614.650000000001</v>
      </c>
      <c r="OU28" s="322">
        <v>14283.24</v>
      </c>
      <c r="OV28" s="322">
        <v>16629.32</v>
      </c>
      <c r="OW28" s="322">
        <v>16767.8</v>
      </c>
      <c r="OX28" s="322">
        <v>8540.15</v>
      </c>
      <c r="OY28" s="322">
        <v>9068.52</v>
      </c>
      <c r="OZ28" s="322">
        <v>8798.2900000000009</v>
      </c>
      <c r="PA28" s="322">
        <v>8408</v>
      </c>
      <c r="PB28" s="322">
        <v>5197.0099999999993</v>
      </c>
      <c r="PC28" s="322">
        <v>5822.91</v>
      </c>
      <c r="PD28" s="322">
        <v>5168.95</v>
      </c>
      <c r="PE28" s="322">
        <v>41316.789999999994</v>
      </c>
      <c r="PF28" s="322">
        <v>42022.479999999996</v>
      </c>
      <c r="PG28" s="322">
        <v>42743.44</v>
      </c>
      <c r="PH28" s="322">
        <v>0</v>
      </c>
      <c r="PI28" s="322">
        <v>0</v>
      </c>
      <c r="PJ28" s="322">
        <v>0</v>
      </c>
      <c r="PK28" s="322">
        <v>0</v>
      </c>
      <c r="PL28" s="322">
        <v>0</v>
      </c>
      <c r="PM28" s="322">
        <v>0</v>
      </c>
      <c r="PN28" s="322">
        <v>0</v>
      </c>
      <c r="PO28" s="322">
        <v>0</v>
      </c>
      <c r="PP28" s="334"/>
      <c r="PQ28" s="322" t="s">
        <v>11</v>
      </c>
      <c r="PR28" s="322">
        <v>5871.55</v>
      </c>
      <c r="PS28" s="322">
        <v>7141.62</v>
      </c>
      <c r="PT28" s="322">
        <v>8314.66</v>
      </c>
      <c r="PU28" s="322">
        <v>8383.9</v>
      </c>
      <c r="PV28" s="322">
        <v>8540.15</v>
      </c>
      <c r="PW28" s="322">
        <v>9068.52</v>
      </c>
      <c r="PX28" s="322">
        <v>8798.2900000000009</v>
      </c>
      <c r="PY28" s="322">
        <v>8408</v>
      </c>
      <c r="PZ28" s="322">
        <v>40226.359999999993</v>
      </c>
      <c r="QA28" s="322">
        <v>24328.92</v>
      </c>
      <c r="QB28" s="322">
        <v>10552.79</v>
      </c>
      <c r="QC28" s="322">
        <v>14384.58</v>
      </c>
      <c r="QD28" s="322">
        <v>19737.09</v>
      </c>
      <c r="QE28" s="322">
        <v>20347.419999999998</v>
      </c>
      <c r="QF28" s="322">
        <v>0</v>
      </c>
      <c r="QG28" s="322">
        <v>0</v>
      </c>
      <c r="QH28" s="322">
        <v>0</v>
      </c>
      <c r="QI28" s="322">
        <v>0</v>
      </c>
      <c r="QJ28" s="322">
        <v>0</v>
      </c>
      <c r="QK28" s="322">
        <v>0</v>
      </c>
      <c r="QL28" s="322">
        <v>0</v>
      </c>
      <c r="QM28" s="322">
        <v>0</v>
      </c>
      <c r="QN28" s="334"/>
      <c r="QO28" s="322" t="s">
        <v>11</v>
      </c>
      <c r="QP28" s="322">
        <v>0</v>
      </c>
      <c r="QQ28" s="322">
        <v>0</v>
      </c>
      <c r="QR28" s="322">
        <v>0</v>
      </c>
      <c r="QS28" s="322">
        <v>0</v>
      </c>
      <c r="QT28" s="322">
        <v>0</v>
      </c>
      <c r="QU28" s="322">
        <v>0</v>
      </c>
      <c r="QV28" s="322">
        <v>0</v>
      </c>
      <c r="QW28" s="322">
        <v>0</v>
      </c>
      <c r="QX28" s="322">
        <v>0</v>
      </c>
      <c r="QY28" s="322">
        <v>0</v>
      </c>
      <c r="QZ28" s="322">
        <v>0</v>
      </c>
      <c r="RA28" s="322">
        <v>0</v>
      </c>
      <c r="RB28" s="322">
        <v>0</v>
      </c>
      <c r="RC28" s="322">
        <v>0</v>
      </c>
      <c r="RD28" s="322">
        <v>639.63</v>
      </c>
      <c r="RE28" s="322">
        <v>775.91</v>
      </c>
      <c r="RF28" s="322">
        <v>346.87</v>
      </c>
      <c r="RG28" s="322">
        <v>2935.64</v>
      </c>
      <c r="RH28" s="322">
        <v>5180.3600000000006</v>
      </c>
      <c r="RI28" s="322">
        <v>6224.43</v>
      </c>
      <c r="RJ28" s="322">
        <v>97158.96</v>
      </c>
      <c r="RK28" s="322">
        <v>26000</v>
      </c>
      <c r="RL28" s="334"/>
      <c r="RM28" s="322" t="s">
        <v>11</v>
      </c>
      <c r="RN28" s="322">
        <v>17614.650000000001</v>
      </c>
      <c r="RO28" s="322">
        <v>49991.34</v>
      </c>
      <c r="RP28" s="322">
        <v>49887.96</v>
      </c>
      <c r="RQ28" s="322">
        <v>33535.599999999999</v>
      </c>
      <c r="RR28" s="322">
        <v>8540.15</v>
      </c>
      <c r="RS28" s="322">
        <v>45342.6</v>
      </c>
      <c r="RT28" s="322">
        <v>17596.580000000002</v>
      </c>
      <c r="RU28" s="322">
        <v>25224</v>
      </c>
      <c r="RV28" s="322">
        <v>57160.08</v>
      </c>
      <c r="RW28" s="322">
        <v>19692.09</v>
      </c>
      <c r="RX28" s="322">
        <v>19692.09</v>
      </c>
      <c r="RY28" s="322">
        <v>47448.52</v>
      </c>
      <c r="RZ28" s="322">
        <v>56927</v>
      </c>
      <c r="SA28" s="322">
        <v>0</v>
      </c>
      <c r="SB28" s="322">
        <v>772972.19</v>
      </c>
      <c r="SC28" s="322">
        <v>288000</v>
      </c>
      <c r="SD28" s="322">
        <v>402691</v>
      </c>
      <c r="SE28" s="322">
        <v>179940.8</v>
      </c>
      <c r="SF28" s="322">
        <v>30000</v>
      </c>
      <c r="SG28" s="322">
        <v>43789.3</v>
      </c>
      <c r="SH28" s="322">
        <v>136000</v>
      </c>
      <c r="SI28" s="322">
        <v>119122</v>
      </c>
    </row>
    <row r="29" spans="1:503">
      <c r="A29" s="319" t="s">
        <v>12</v>
      </c>
      <c r="B29" s="319">
        <v>1046805</v>
      </c>
      <c r="C29" s="319">
        <v>1134288</v>
      </c>
      <c r="D29" s="319">
        <v>1173732</v>
      </c>
      <c r="E29" s="319">
        <v>1105617</v>
      </c>
      <c r="F29" s="319">
        <v>1368342</v>
      </c>
      <c r="G29" s="319">
        <v>1134015</v>
      </c>
      <c r="H29" s="319">
        <v>1148179</v>
      </c>
      <c r="I29" s="319">
        <v>1138263</v>
      </c>
      <c r="J29" s="319">
        <v>1205846.5499999998</v>
      </c>
      <c r="K29" s="319">
        <v>1240948.7000000002</v>
      </c>
      <c r="L29" s="319">
        <v>1456266.24</v>
      </c>
      <c r="M29" s="319">
        <v>1332484.7000000002</v>
      </c>
      <c r="N29" s="319">
        <v>1596005.4</v>
      </c>
      <c r="O29" s="319">
        <v>1466128.9800000002</v>
      </c>
      <c r="P29" s="319">
        <v>1530579.2400000002</v>
      </c>
      <c r="Q29" s="319">
        <v>1536834.88</v>
      </c>
      <c r="R29" s="319">
        <v>1527436.27</v>
      </c>
      <c r="S29" s="322">
        <v>1655913.7899999998</v>
      </c>
      <c r="T29" s="319">
        <v>1862542.9499999997</v>
      </c>
      <c r="U29" s="319">
        <v>1848823.29</v>
      </c>
      <c r="V29" s="319">
        <v>1655818.0900000003</v>
      </c>
      <c r="W29" s="319">
        <v>2081134.3299999998</v>
      </c>
      <c r="X29" s="330"/>
      <c r="Y29" s="319" t="s">
        <v>12</v>
      </c>
      <c r="Z29" s="319">
        <v>83744.399999999994</v>
      </c>
      <c r="AA29" s="319">
        <v>90743.039999999994</v>
      </c>
      <c r="AB29" s="319">
        <v>70423.92</v>
      </c>
      <c r="AC29" s="319">
        <v>77393.19</v>
      </c>
      <c r="AD29" s="319">
        <v>82100.52</v>
      </c>
      <c r="AE29" s="319">
        <v>102061.35</v>
      </c>
      <c r="AF29" s="319">
        <v>102061.35</v>
      </c>
      <c r="AG29" s="319">
        <v>102443.67</v>
      </c>
      <c r="AH29" s="319">
        <v>111792.9</v>
      </c>
      <c r="AI29" s="319">
        <v>122538.42000000003</v>
      </c>
      <c r="AJ29" s="319">
        <v>125293.75999999999</v>
      </c>
      <c r="AK29" s="319">
        <v>109936.26</v>
      </c>
      <c r="AL29" s="319">
        <v>132305.54999999999</v>
      </c>
      <c r="AM29" s="319">
        <v>118649.49</v>
      </c>
      <c r="AN29" s="319">
        <v>114117.01</v>
      </c>
      <c r="AO29" s="319">
        <v>118067.85</v>
      </c>
      <c r="AP29" s="319">
        <v>108974.76000000001</v>
      </c>
      <c r="AQ29" s="322">
        <v>116477.16</v>
      </c>
      <c r="AR29" s="319">
        <v>113104.42</v>
      </c>
      <c r="AS29" s="319">
        <v>123103.53000000001</v>
      </c>
      <c r="AT29" s="319">
        <v>118012.94</v>
      </c>
      <c r="AU29" s="319">
        <v>128820.41</v>
      </c>
      <c r="AV29" s="334"/>
      <c r="AW29" s="319" t="s">
        <v>12</v>
      </c>
      <c r="AX29" s="319">
        <v>83744.400000000009</v>
      </c>
      <c r="AY29" s="319">
        <v>90743.040000000008</v>
      </c>
      <c r="AZ29" s="319">
        <v>82161.240000000005</v>
      </c>
      <c r="BA29" s="319">
        <v>77393.19</v>
      </c>
      <c r="BB29" s="319">
        <v>82100.52</v>
      </c>
      <c r="BC29" s="319">
        <v>79381.05</v>
      </c>
      <c r="BD29" s="319">
        <v>68890.739999999991</v>
      </c>
      <c r="BE29" s="319">
        <v>79678.41</v>
      </c>
      <c r="BF29" s="319">
        <v>85219.55</v>
      </c>
      <c r="BG29" s="319">
        <v>96258.92</v>
      </c>
      <c r="BH29" s="319">
        <v>113634.38999999998</v>
      </c>
      <c r="BI29" s="319">
        <v>106011.16</v>
      </c>
      <c r="BJ29" s="319">
        <v>113730.59</v>
      </c>
      <c r="BK29" s="319">
        <v>119174.09</v>
      </c>
      <c r="BL29" s="319">
        <v>122582.5</v>
      </c>
      <c r="BM29" s="319">
        <v>124548.67</v>
      </c>
      <c r="BN29" s="319">
        <v>126693.87000000002</v>
      </c>
      <c r="BO29" s="322">
        <v>144032.32000000001</v>
      </c>
      <c r="BP29" s="319">
        <v>127542.01000000001</v>
      </c>
      <c r="BQ29" s="319">
        <v>138019.63</v>
      </c>
      <c r="BR29" s="319">
        <v>150578.18000000002</v>
      </c>
      <c r="BS29" s="319">
        <v>182311.15</v>
      </c>
      <c r="BT29" s="334"/>
      <c r="BU29" s="322" t="s">
        <v>12</v>
      </c>
      <c r="BV29" s="322">
        <v>62808.3</v>
      </c>
      <c r="BW29" s="322">
        <v>56714.400000000001</v>
      </c>
      <c r="BX29" s="322">
        <v>70423.92</v>
      </c>
      <c r="BY29" s="322">
        <v>44224.68</v>
      </c>
      <c r="BZ29" s="322">
        <v>95783.94</v>
      </c>
      <c r="CA29" s="322">
        <v>68040.899999999994</v>
      </c>
      <c r="CB29" s="322">
        <v>80372.53</v>
      </c>
      <c r="CC29" s="322">
        <v>45530.52</v>
      </c>
      <c r="CD29" s="322">
        <v>99036.700000000012</v>
      </c>
      <c r="CE29" s="322">
        <v>128593.3</v>
      </c>
      <c r="CF29" s="322">
        <v>221973.24</v>
      </c>
      <c r="CG29" s="322">
        <v>55821.229999999996</v>
      </c>
      <c r="CH29" s="322">
        <v>146435.09</v>
      </c>
      <c r="CI29" s="322">
        <v>74015.159999999989</v>
      </c>
      <c r="CJ29" s="322">
        <v>102935.87</v>
      </c>
      <c r="CK29" s="322">
        <v>69812.320000000007</v>
      </c>
      <c r="CL29" s="322">
        <v>129808.89000000001</v>
      </c>
      <c r="CM29" s="322">
        <v>69854.87999999999</v>
      </c>
      <c r="CN29" s="322">
        <v>124336.91999999998</v>
      </c>
      <c r="CO29" s="322">
        <v>154270.07</v>
      </c>
      <c r="CP29" s="322">
        <v>114157.56000000001</v>
      </c>
      <c r="CQ29" s="322">
        <v>103300.97</v>
      </c>
      <c r="CR29" s="334"/>
      <c r="CS29" s="322" t="s">
        <v>12</v>
      </c>
      <c r="CT29" s="322">
        <v>62808.3</v>
      </c>
      <c r="CU29" s="322">
        <v>68057.279999999999</v>
      </c>
      <c r="CV29" s="322">
        <v>117373.2</v>
      </c>
      <c r="CW29" s="322">
        <v>55280.85</v>
      </c>
      <c r="CX29" s="322">
        <v>68417.100000000006</v>
      </c>
      <c r="CY29" s="322">
        <v>68040.899999999994</v>
      </c>
      <c r="CZ29" s="322">
        <v>68890.740000000005</v>
      </c>
      <c r="DA29" s="322">
        <v>79678.41</v>
      </c>
      <c r="DB29" s="322">
        <v>70306.100000000006</v>
      </c>
      <c r="DC29" s="322">
        <v>72686.59</v>
      </c>
      <c r="DD29" s="322">
        <v>76271.17</v>
      </c>
      <c r="DE29" s="322">
        <v>87258.03</v>
      </c>
      <c r="DF29" s="322">
        <v>100029.20000000001</v>
      </c>
      <c r="DG29" s="322">
        <v>85961.510000000009</v>
      </c>
      <c r="DH29" s="322">
        <v>82913.009999999995</v>
      </c>
      <c r="DI29" s="322">
        <v>87663.680000000008</v>
      </c>
      <c r="DJ29" s="322">
        <v>79906.95</v>
      </c>
      <c r="DK29" s="322">
        <v>89127.37999999999</v>
      </c>
      <c r="DL29" s="322">
        <v>203504.18</v>
      </c>
      <c r="DM29" s="322">
        <v>210401.9</v>
      </c>
      <c r="DN29" s="322">
        <v>83120.34</v>
      </c>
      <c r="DO29" s="322">
        <v>217397.88</v>
      </c>
      <c r="DP29" s="334"/>
      <c r="DQ29" s="322" t="s">
        <v>12</v>
      </c>
      <c r="DR29" s="322">
        <v>104680.5</v>
      </c>
      <c r="DS29" s="322">
        <v>124771.68</v>
      </c>
      <c r="DT29" s="322">
        <v>129110.52</v>
      </c>
      <c r="DU29" s="322">
        <v>132674.04</v>
      </c>
      <c r="DV29" s="322">
        <v>150517.62</v>
      </c>
      <c r="DW29" s="322">
        <v>147421.95000000001</v>
      </c>
      <c r="DX29" s="322">
        <v>149263.26999999999</v>
      </c>
      <c r="DY29" s="322">
        <v>159356.82</v>
      </c>
      <c r="DZ29" s="322">
        <v>166570.96999999997</v>
      </c>
      <c r="EA29" s="322">
        <v>179777.29</v>
      </c>
      <c r="EB29" s="322">
        <v>193649.58</v>
      </c>
      <c r="EC29" s="322">
        <v>182153.27000000002</v>
      </c>
      <c r="ED29" s="322">
        <v>198503.94999999998</v>
      </c>
      <c r="EE29" s="322">
        <v>196576.79</v>
      </c>
      <c r="EF29" s="322">
        <v>211247.06000000003</v>
      </c>
      <c r="EG29" s="322">
        <v>205660.46000000002</v>
      </c>
      <c r="EH29" s="322">
        <v>202239.21</v>
      </c>
      <c r="EI29" s="322">
        <v>218605.81</v>
      </c>
      <c r="EJ29" s="322">
        <v>228247.08999999997</v>
      </c>
      <c r="EK29" s="322">
        <v>210222.75999999998</v>
      </c>
      <c r="EL29" s="322">
        <v>203226.12999999998</v>
      </c>
      <c r="EM29" s="322">
        <v>231215</v>
      </c>
      <c r="EN29" s="334"/>
      <c r="EO29" s="322" t="s">
        <v>12</v>
      </c>
      <c r="EP29" s="322">
        <v>0</v>
      </c>
      <c r="EQ29" s="322">
        <v>56714.400000000001</v>
      </c>
      <c r="ER29" s="322">
        <v>58686.6</v>
      </c>
      <c r="ES29" s="322">
        <v>55280.85</v>
      </c>
      <c r="ET29" s="322">
        <v>54733.68</v>
      </c>
      <c r="EU29" s="322">
        <v>68040.899999999994</v>
      </c>
      <c r="EV29" s="322">
        <v>68890.740000000005</v>
      </c>
      <c r="EW29" s="322">
        <v>68295.78</v>
      </c>
      <c r="EX29" s="322">
        <v>72153.859999999986</v>
      </c>
      <c r="EY29" s="322">
        <v>74621.350000000006</v>
      </c>
      <c r="EZ29" s="322">
        <v>0</v>
      </c>
      <c r="FA29" s="322">
        <v>0</v>
      </c>
      <c r="FB29" s="322">
        <v>0</v>
      </c>
      <c r="FC29" s="322">
        <v>0</v>
      </c>
      <c r="FD29" s="322">
        <v>0</v>
      </c>
      <c r="FE29" s="322">
        <v>0</v>
      </c>
      <c r="FF29" s="322">
        <v>0</v>
      </c>
      <c r="FG29" s="322">
        <v>128158.88</v>
      </c>
      <c r="FH29" s="322">
        <v>122278.11000000002</v>
      </c>
      <c r="FI29" s="322">
        <v>127790.78</v>
      </c>
      <c r="FJ29" s="322">
        <v>127797.43</v>
      </c>
      <c r="FK29" s="322">
        <v>135758.09</v>
      </c>
      <c r="FL29" s="334"/>
      <c r="FM29" s="322" t="s">
        <v>12</v>
      </c>
      <c r="FN29" s="322">
        <v>73276.350000000006</v>
      </c>
      <c r="FO29" s="322">
        <v>0</v>
      </c>
      <c r="FP29" s="322">
        <v>0</v>
      </c>
      <c r="FQ29" s="322">
        <v>0</v>
      </c>
      <c r="FR29" s="322">
        <v>0</v>
      </c>
      <c r="FS29" s="322">
        <v>0</v>
      </c>
      <c r="FT29" s="322">
        <v>0</v>
      </c>
      <c r="FU29" s="322">
        <v>0</v>
      </c>
      <c r="FV29" s="322">
        <v>0</v>
      </c>
      <c r="FW29" s="322">
        <v>0</v>
      </c>
      <c r="FX29" s="322">
        <v>80236.140000000014</v>
      </c>
      <c r="FY29" s="322">
        <v>98412.56</v>
      </c>
      <c r="FZ29" s="322">
        <v>112678.59000000003</v>
      </c>
      <c r="GA29" s="322">
        <v>114614.36000000002</v>
      </c>
      <c r="GB29" s="322">
        <v>119917.97</v>
      </c>
      <c r="GC29" s="322">
        <v>125704.35000000002</v>
      </c>
      <c r="GD29" s="322">
        <v>124723.78000000001</v>
      </c>
      <c r="GE29" s="322">
        <v>0</v>
      </c>
      <c r="GF29" s="340">
        <v>0</v>
      </c>
      <c r="GG29" s="704">
        <v>0</v>
      </c>
      <c r="GH29" s="704">
        <v>0</v>
      </c>
      <c r="GI29" s="704">
        <v>0</v>
      </c>
      <c r="GJ29" s="334"/>
      <c r="GK29" s="322" t="s">
        <v>12</v>
      </c>
      <c r="GL29" s="322">
        <v>0</v>
      </c>
      <c r="GM29" s="322">
        <v>34028.639999999999</v>
      </c>
      <c r="GN29" s="322">
        <v>23474.639999999999</v>
      </c>
      <c r="GO29" s="322">
        <v>33168.51</v>
      </c>
      <c r="GP29" s="322">
        <v>13683.42</v>
      </c>
      <c r="GQ29" s="322">
        <v>22680.3</v>
      </c>
      <c r="GR29" s="322">
        <v>22963.58</v>
      </c>
      <c r="GS29" s="322">
        <v>22765.26</v>
      </c>
      <c r="GT29" s="322">
        <v>24213.54</v>
      </c>
      <c r="GU29" s="322">
        <v>25548.19</v>
      </c>
      <c r="GV29" s="322">
        <v>26688.639999999996</v>
      </c>
      <c r="GW29" s="322">
        <v>28039.41</v>
      </c>
      <c r="GX29" s="322">
        <v>27118.05</v>
      </c>
      <c r="GY29" s="322">
        <v>25403.799999999996</v>
      </c>
      <c r="GZ29" s="322">
        <v>22035.15</v>
      </c>
      <c r="HA29" s="322">
        <v>13412.5</v>
      </c>
      <c r="HB29" s="322">
        <v>13869.609999999999</v>
      </c>
      <c r="HC29" s="322">
        <v>13701.32</v>
      </c>
      <c r="HD29" s="322">
        <v>51288.84</v>
      </c>
      <c r="HE29" s="322">
        <v>25595.539999999997</v>
      </c>
      <c r="HF29" s="322">
        <v>23113.920000000002</v>
      </c>
      <c r="HG29" s="322">
        <v>31766</v>
      </c>
      <c r="HH29" s="334"/>
      <c r="HI29" s="322" t="s">
        <v>12</v>
      </c>
      <c r="HJ29" s="322">
        <v>20936.099999999999</v>
      </c>
      <c r="HK29" s="322">
        <v>0</v>
      </c>
      <c r="HL29" s="322">
        <v>0</v>
      </c>
      <c r="HM29" s="322">
        <v>0</v>
      </c>
      <c r="HN29" s="322">
        <v>0</v>
      </c>
      <c r="HO29" s="322">
        <v>0</v>
      </c>
      <c r="HP29" s="322">
        <v>0</v>
      </c>
      <c r="HQ29" s="322">
        <v>0</v>
      </c>
      <c r="HR29" s="322">
        <v>0</v>
      </c>
      <c r="HS29" s="322">
        <v>0</v>
      </c>
      <c r="HT29" s="322">
        <v>0</v>
      </c>
      <c r="HU29" s="322">
        <v>0</v>
      </c>
      <c r="HV29" s="322">
        <v>0</v>
      </c>
      <c r="HW29" s="322">
        <v>8723.130000000001</v>
      </c>
      <c r="HX29" s="322">
        <v>15201.410000000002</v>
      </c>
      <c r="HY29" s="322">
        <v>17301.87</v>
      </c>
      <c r="HZ29" s="322">
        <v>16717.480000000003</v>
      </c>
      <c r="IA29" s="322">
        <v>30677.299999999996</v>
      </c>
      <c r="IB29" s="322">
        <v>16238.99</v>
      </c>
      <c r="IC29" s="322">
        <v>12668.64</v>
      </c>
      <c r="ID29" s="322">
        <v>9260.89</v>
      </c>
      <c r="IE29" s="322">
        <v>19910</v>
      </c>
      <c r="IF29" s="334"/>
      <c r="IG29" s="322" t="s">
        <v>12</v>
      </c>
      <c r="IH29" s="322">
        <v>10468.049999999999</v>
      </c>
      <c r="II29" s="322">
        <v>11342.88</v>
      </c>
      <c r="IJ29" s="322">
        <v>11737.32</v>
      </c>
      <c r="IK29" s="322">
        <v>11056.17</v>
      </c>
      <c r="IL29" s="322">
        <v>0</v>
      </c>
      <c r="IM29" s="322">
        <v>11340.15</v>
      </c>
      <c r="IN29" s="322">
        <v>11481.79</v>
      </c>
      <c r="IO29" s="322">
        <v>11382.63</v>
      </c>
      <c r="IP29" s="322">
        <v>0</v>
      </c>
      <c r="IQ29" s="322">
        <v>7662.67</v>
      </c>
      <c r="IR29" s="322">
        <v>8835.43</v>
      </c>
      <c r="IS29" s="322">
        <v>8119.5400000000009</v>
      </c>
      <c r="IT29" s="322">
        <v>8863.8599999999988</v>
      </c>
      <c r="IU29" s="322">
        <v>0</v>
      </c>
      <c r="IV29" s="322"/>
      <c r="IW29" s="322"/>
      <c r="IX29" s="322"/>
      <c r="IY29" s="322"/>
      <c r="IZ29" s="322"/>
      <c r="JA29" s="322"/>
      <c r="JB29" s="322"/>
      <c r="JC29" s="322"/>
      <c r="JD29" s="334"/>
      <c r="JE29" s="322" t="s">
        <v>12</v>
      </c>
      <c r="JF29" s="322">
        <v>0</v>
      </c>
      <c r="JG29" s="322">
        <v>0</v>
      </c>
      <c r="JH29" s="322">
        <v>0</v>
      </c>
      <c r="JI29" s="322">
        <v>44224.68</v>
      </c>
      <c r="JJ29" s="322">
        <v>54733.68</v>
      </c>
      <c r="JK29" s="322">
        <v>0</v>
      </c>
      <c r="JL29" s="322">
        <v>0</v>
      </c>
      <c r="JM29" s="322">
        <v>56913.15</v>
      </c>
      <c r="JN29" s="322">
        <v>48951.11</v>
      </c>
      <c r="JO29" s="322">
        <v>66220.900000000009</v>
      </c>
      <c r="JP29" s="322">
        <v>72895.39</v>
      </c>
      <c r="JQ29" s="322">
        <v>76664.84</v>
      </c>
      <c r="JR29" s="322">
        <v>75753.709999999992</v>
      </c>
      <c r="JS29" s="322">
        <v>84796.03</v>
      </c>
      <c r="JT29" s="322">
        <v>67954.58</v>
      </c>
      <c r="JU29" s="322">
        <v>65081.97</v>
      </c>
      <c r="JV29" s="322">
        <v>67378.97</v>
      </c>
      <c r="JW29" s="322">
        <v>68352.59</v>
      </c>
      <c r="JX29" s="322">
        <v>71023.37</v>
      </c>
      <c r="JY29" s="322">
        <v>72908.3</v>
      </c>
      <c r="JZ29" s="322">
        <v>74619.739999999991</v>
      </c>
      <c r="KA29" s="322">
        <v>85260</v>
      </c>
      <c r="KB29" s="334"/>
      <c r="KC29" s="322" t="s">
        <v>12</v>
      </c>
      <c r="KD29" s="322">
        <v>10468.049999999999</v>
      </c>
      <c r="KE29" s="322">
        <v>22685.759999999998</v>
      </c>
      <c r="KF29" s="322">
        <v>23474.639999999999</v>
      </c>
      <c r="KG29" s="322">
        <v>22112.34</v>
      </c>
      <c r="KH29" s="322">
        <v>82100.52</v>
      </c>
      <c r="KI29" s="322">
        <v>34020.449999999997</v>
      </c>
      <c r="KJ29" s="322">
        <v>11481.79</v>
      </c>
      <c r="KK29" s="322">
        <v>22765.26</v>
      </c>
      <c r="KL29" s="322">
        <v>18569.189999999999</v>
      </c>
      <c r="KM29" s="322">
        <v>37801.64</v>
      </c>
      <c r="KN29" s="322">
        <v>32170.86</v>
      </c>
      <c r="KO29" s="322">
        <v>23718.87</v>
      </c>
      <c r="KP29" s="322">
        <v>55317.67</v>
      </c>
      <c r="KQ29" s="322">
        <v>27136.98</v>
      </c>
      <c r="KR29" s="322">
        <v>26385.17</v>
      </c>
      <c r="KS29" s="322">
        <v>26367.13</v>
      </c>
      <c r="KT29" s="322">
        <v>26329.96</v>
      </c>
      <c r="KU29" s="322">
        <v>26452.91</v>
      </c>
      <c r="KV29" s="322">
        <v>43873.79</v>
      </c>
      <c r="KW29" s="322">
        <v>43995.030000000006</v>
      </c>
      <c r="KX29" s="322">
        <v>44684.98</v>
      </c>
      <c r="KY29" s="322">
        <v>46500</v>
      </c>
      <c r="KZ29" s="334"/>
      <c r="LA29" s="322" t="s">
        <v>12</v>
      </c>
      <c r="LB29" s="322">
        <v>41872.199999999997</v>
      </c>
      <c r="LC29" s="322">
        <v>34028.639999999999</v>
      </c>
      <c r="LD29" s="322">
        <v>35211.96</v>
      </c>
      <c r="LE29" s="322">
        <v>22112.34</v>
      </c>
      <c r="LF29" s="322">
        <v>0</v>
      </c>
      <c r="LG29" s="322">
        <v>56700.75</v>
      </c>
      <c r="LH29" s="322">
        <v>68890.740000000005</v>
      </c>
      <c r="LI29" s="322">
        <v>0</v>
      </c>
      <c r="LJ29" s="322">
        <v>0</v>
      </c>
      <c r="LK29" s="322">
        <v>0</v>
      </c>
      <c r="LL29" s="322">
        <v>0</v>
      </c>
      <c r="LM29" s="322">
        <v>0</v>
      </c>
      <c r="LN29" s="322">
        <v>0</v>
      </c>
      <c r="LO29" s="322">
        <v>0</v>
      </c>
      <c r="LP29" s="322">
        <v>49.1</v>
      </c>
      <c r="LQ29" s="322">
        <v>65862.990000000005</v>
      </c>
      <c r="LR29" s="322">
        <v>0</v>
      </c>
      <c r="LS29" s="322">
        <v>791.4</v>
      </c>
      <c r="LT29" s="322">
        <v>0</v>
      </c>
      <c r="LU29" s="322">
        <v>0</v>
      </c>
      <c r="LV29" s="322">
        <v>16776</v>
      </c>
      <c r="LW29" s="322">
        <v>15000</v>
      </c>
      <c r="LX29" s="334"/>
      <c r="LY29" s="322" t="s">
        <v>12</v>
      </c>
      <c r="LZ29" s="322">
        <v>251233.2</v>
      </c>
      <c r="MA29" s="322">
        <v>260886.24</v>
      </c>
      <c r="MB29" s="322">
        <v>269958.36</v>
      </c>
      <c r="MC29" s="322">
        <v>265348.08</v>
      </c>
      <c r="MD29" s="322">
        <v>301035.24</v>
      </c>
      <c r="ME29" s="322">
        <v>238143.15</v>
      </c>
      <c r="MF29" s="322">
        <v>298526.53999999998</v>
      </c>
      <c r="MG29" s="322">
        <v>284565.75</v>
      </c>
      <c r="MH29" s="322">
        <v>266490</v>
      </c>
      <c r="MI29" s="322">
        <v>230738.53</v>
      </c>
      <c r="MJ29" s="322">
        <v>266691.92000000004</v>
      </c>
      <c r="MK29" s="322">
        <v>296915.30000000005</v>
      </c>
      <c r="ML29" s="322">
        <v>329244.69</v>
      </c>
      <c r="MM29" s="322">
        <v>310757.81000000006</v>
      </c>
      <c r="MN29" s="322">
        <v>513472.25000000006</v>
      </c>
      <c r="MO29" s="322">
        <v>477577.72</v>
      </c>
      <c r="MP29" s="322">
        <v>462325.78999999992</v>
      </c>
      <c r="MQ29" s="322">
        <v>579397.73999999987</v>
      </c>
      <c r="MR29" s="322">
        <v>598352.40999999992</v>
      </c>
      <c r="MS29" s="322">
        <v>565378.6</v>
      </c>
      <c r="MT29" s="322">
        <v>547435.99000000011</v>
      </c>
      <c r="MU29" s="322">
        <v>654190.53</v>
      </c>
      <c r="MV29" s="334"/>
      <c r="MW29" s="322" t="s">
        <v>12</v>
      </c>
      <c r="MX29" s="322">
        <v>94212.45</v>
      </c>
      <c r="MY29" s="322">
        <v>113428.8</v>
      </c>
      <c r="MZ29" s="322">
        <v>140847.84</v>
      </c>
      <c r="NA29" s="322">
        <v>154786.38</v>
      </c>
      <c r="NB29" s="322">
        <v>177884.46</v>
      </c>
      <c r="NC29" s="322">
        <v>136081.79999999999</v>
      </c>
      <c r="ND29" s="322">
        <v>91854.32</v>
      </c>
      <c r="NE29" s="322">
        <v>113826.3</v>
      </c>
      <c r="NF29" s="322">
        <v>124833.51</v>
      </c>
      <c r="NG29" s="322">
        <v>104945.28</v>
      </c>
      <c r="NH29" s="322">
        <v>120332.26000000001</v>
      </c>
      <c r="NI29" s="322">
        <v>139600.94</v>
      </c>
      <c r="NJ29" s="322">
        <v>154426.66999999998</v>
      </c>
      <c r="NK29" s="322">
        <v>170114.74</v>
      </c>
      <c r="NL29" s="322">
        <v>0</v>
      </c>
      <c r="NM29" s="322">
        <v>0</v>
      </c>
      <c r="NN29" s="322">
        <v>0</v>
      </c>
      <c r="NO29" s="322">
        <v>0</v>
      </c>
      <c r="NP29" s="322">
        <v>0</v>
      </c>
      <c r="NQ29" s="322">
        <v>0</v>
      </c>
      <c r="NR29" s="322">
        <v>0</v>
      </c>
      <c r="NS29" s="322">
        <v>0</v>
      </c>
      <c r="NT29" s="334"/>
      <c r="NU29" s="322" t="s">
        <v>12</v>
      </c>
      <c r="NV29" s="322">
        <v>73276.350000000006</v>
      </c>
      <c r="NW29" s="322">
        <v>68057.279999999999</v>
      </c>
      <c r="NX29" s="322">
        <v>70423.92</v>
      </c>
      <c r="NY29" s="322">
        <v>77393.19</v>
      </c>
      <c r="NZ29" s="322">
        <v>82100.52</v>
      </c>
      <c r="OA29" s="322">
        <v>79381.05</v>
      </c>
      <c r="OB29" s="322">
        <v>80372.53</v>
      </c>
      <c r="OC29" s="322">
        <v>79678.41</v>
      </c>
      <c r="OD29" s="322">
        <v>86460.87</v>
      </c>
      <c r="OE29" s="322">
        <v>74137.36</v>
      </c>
      <c r="OF29" s="322">
        <v>93716.859999999986</v>
      </c>
      <c r="OG29" s="322">
        <v>98025.379999999976</v>
      </c>
      <c r="OH29" s="322">
        <v>114264.51</v>
      </c>
      <c r="OI29" s="322">
        <v>102271.26</v>
      </c>
      <c r="OJ29" s="322">
        <v>97750.38</v>
      </c>
      <c r="OK29" s="322">
        <v>102506.27</v>
      </c>
      <c r="OL29" s="322">
        <v>108950.04</v>
      </c>
      <c r="OM29" s="322">
        <v>118078.59</v>
      </c>
      <c r="ON29" s="322">
        <v>113122.03</v>
      </c>
      <c r="OO29" s="322">
        <v>116834.71</v>
      </c>
      <c r="OP29" s="322">
        <v>108391.70999999999</v>
      </c>
      <c r="OQ29" s="322">
        <v>128154.79000000001</v>
      </c>
      <c r="OR29" s="334"/>
      <c r="OS29" s="322" t="s">
        <v>12</v>
      </c>
      <c r="OT29" s="322">
        <v>41872.199999999997</v>
      </c>
      <c r="OU29" s="322">
        <v>45371.519999999997</v>
      </c>
      <c r="OV29" s="322">
        <v>46949.279999999999</v>
      </c>
      <c r="OW29" s="322">
        <v>22112.34</v>
      </c>
      <c r="OX29" s="322">
        <v>13683.42</v>
      </c>
      <c r="OY29" s="322">
        <v>11340.15</v>
      </c>
      <c r="OZ29" s="322">
        <v>0</v>
      </c>
      <c r="PA29" s="322">
        <v>0</v>
      </c>
      <c r="PB29" s="322">
        <v>4037.1800000000003</v>
      </c>
      <c r="PC29" s="322">
        <v>4788.4800000000005</v>
      </c>
      <c r="PD29" s="322">
        <v>5014.7700000000004</v>
      </c>
      <c r="PE29" s="322">
        <v>5714.9</v>
      </c>
      <c r="PF29" s="322">
        <v>5805.16</v>
      </c>
      <c r="PG29" s="322">
        <v>5501.2099999999991</v>
      </c>
      <c r="PH29" s="322">
        <v>7377.15</v>
      </c>
      <c r="PI29" s="322">
        <v>8301.7900000000009</v>
      </c>
      <c r="PJ29" s="322">
        <v>4315.2299999999996</v>
      </c>
      <c r="PK29" s="322">
        <v>25340.47</v>
      </c>
      <c r="PL29" s="322">
        <v>19380.23</v>
      </c>
      <c r="PM29" s="322">
        <v>18712.400000000001</v>
      </c>
      <c r="PN29" s="322">
        <v>13496.42</v>
      </c>
      <c r="PO29" s="322">
        <v>24035</v>
      </c>
      <c r="PP29" s="334"/>
      <c r="PQ29" s="322" t="s">
        <v>12</v>
      </c>
      <c r="PR29" s="322">
        <v>10468.049999999999</v>
      </c>
      <c r="PS29" s="322">
        <v>11342.88</v>
      </c>
      <c r="PT29" s="322">
        <v>11737.32</v>
      </c>
      <c r="PU29" s="322">
        <v>11056.17</v>
      </c>
      <c r="PV29" s="322">
        <v>0</v>
      </c>
      <c r="PW29" s="322">
        <v>11340.15</v>
      </c>
      <c r="PX29" s="322">
        <v>11481.79</v>
      </c>
      <c r="PY29" s="322">
        <v>11382.63</v>
      </c>
      <c r="PZ29" s="322">
        <v>11682.619999999999</v>
      </c>
      <c r="QA29" s="322">
        <v>13110.2</v>
      </c>
      <c r="QB29" s="322">
        <v>13836.18</v>
      </c>
      <c r="QC29" s="322">
        <v>14737.990000000002</v>
      </c>
      <c r="QD29" s="322">
        <v>16377.2</v>
      </c>
      <c r="QE29" s="322">
        <v>16655.809999999998</v>
      </c>
      <c r="QF29" s="322">
        <v>21315.809999999998</v>
      </c>
      <c r="QG29" s="322">
        <v>21481.91</v>
      </c>
      <c r="QH29" s="322">
        <v>18294.580000000002</v>
      </c>
      <c r="QI29" s="322">
        <v>17790.730000000003</v>
      </c>
      <c r="QJ29" s="322">
        <v>19687.120000000003</v>
      </c>
      <c r="QK29" s="322">
        <v>17864.900000000001</v>
      </c>
      <c r="QL29" s="322">
        <v>15351.19</v>
      </c>
      <c r="QM29" s="322">
        <v>18614.510000000002</v>
      </c>
      <c r="QN29" s="334"/>
      <c r="QO29" s="322" t="s">
        <v>12</v>
      </c>
      <c r="QP29" s="322">
        <v>0</v>
      </c>
      <c r="QQ29" s="322">
        <v>0</v>
      </c>
      <c r="QR29" s="322">
        <v>0</v>
      </c>
      <c r="QS29" s="322">
        <v>0</v>
      </c>
      <c r="QT29" s="322">
        <v>0</v>
      </c>
      <c r="QU29" s="322">
        <v>0</v>
      </c>
      <c r="QV29" s="322">
        <v>0</v>
      </c>
      <c r="QW29" s="322">
        <v>0</v>
      </c>
      <c r="QX29" s="322">
        <v>0</v>
      </c>
      <c r="QY29" s="322">
        <v>0</v>
      </c>
      <c r="QZ29" s="322">
        <v>0</v>
      </c>
      <c r="RA29" s="322">
        <v>0</v>
      </c>
      <c r="RB29" s="322">
        <v>0</v>
      </c>
      <c r="RC29" s="322">
        <v>0</v>
      </c>
      <c r="RD29" s="322">
        <v>0</v>
      </c>
      <c r="RE29" s="322">
        <v>0</v>
      </c>
      <c r="RF29" s="322">
        <v>0</v>
      </c>
      <c r="RG29" s="322">
        <v>0</v>
      </c>
      <c r="RH29" s="322">
        <v>0</v>
      </c>
      <c r="RI29" s="322">
        <v>0</v>
      </c>
      <c r="RJ29" s="322">
        <v>0</v>
      </c>
      <c r="RK29" s="322">
        <v>0</v>
      </c>
      <c r="RL29" s="334"/>
      <c r="RM29" s="322" t="s">
        <v>12</v>
      </c>
      <c r="RN29" s="322">
        <v>20936.099999999999</v>
      </c>
      <c r="RO29" s="322">
        <v>45371.519999999997</v>
      </c>
      <c r="RP29" s="322">
        <v>11737.32</v>
      </c>
      <c r="RQ29" s="322">
        <v>0</v>
      </c>
      <c r="RR29" s="322">
        <v>109467.36</v>
      </c>
      <c r="RS29" s="322">
        <v>0</v>
      </c>
      <c r="RT29" s="322">
        <v>11481.79</v>
      </c>
      <c r="RU29" s="322">
        <v>11382.63</v>
      </c>
      <c r="RV29" s="322">
        <v>9247.08</v>
      </c>
      <c r="RW29" s="322">
        <v>1519.58</v>
      </c>
      <c r="RX29" s="322">
        <v>5025.6499999999996</v>
      </c>
      <c r="RY29" s="322">
        <v>1355.02</v>
      </c>
      <c r="RZ29" s="322">
        <v>5150.91</v>
      </c>
      <c r="SA29" s="322">
        <v>5776.81</v>
      </c>
      <c r="SB29" s="322">
        <v>5324.82</v>
      </c>
      <c r="SC29" s="322">
        <v>7483.4</v>
      </c>
      <c r="SD29" s="322">
        <v>36907.15</v>
      </c>
      <c r="SE29" s="322">
        <v>9074.31</v>
      </c>
      <c r="SF29" s="322">
        <v>10563.439999999999</v>
      </c>
      <c r="SG29" s="322">
        <v>11056.5</v>
      </c>
      <c r="SH29" s="322">
        <v>5794.67</v>
      </c>
      <c r="SI29" s="322">
        <v>3900</v>
      </c>
    </row>
    <row r="30" spans="1:503">
      <c r="A30" s="319" t="s">
        <v>13</v>
      </c>
      <c r="B30" s="319">
        <v>632261</v>
      </c>
      <c r="C30" s="319">
        <v>753723</v>
      </c>
      <c r="D30" s="319">
        <v>827433</v>
      </c>
      <c r="E30" s="319">
        <v>602190</v>
      </c>
      <c r="F30" s="319">
        <v>562455</v>
      </c>
      <c r="G30" s="319">
        <v>586813</v>
      </c>
      <c r="H30" s="319">
        <v>628913</v>
      </c>
      <c r="I30" s="319">
        <v>683735</v>
      </c>
      <c r="J30" s="319">
        <v>709232.76</v>
      </c>
      <c r="K30" s="319">
        <v>913449.55999999994</v>
      </c>
      <c r="L30" s="319">
        <v>806371.37</v>
      </c>
      <c r="M30" s="319">
        <v>850438.74</v>
      </c>
      <c r="N30" s="319"/>
      <c r="O30" s="319">
        <v>877627.81</v>
      </c>
      <c r="P30" s="319">
        <v>1103119.08</v>
      </c>
      <c r="Q30" s="319">
        <v>1455354.99</v>
      </c>
      <c r="R30" s="319">
        <v>931177.5</v>
      </c>
      <c r="S30" s="322">
        <v>918008.95</v>
      </c>
      <c r="T30" s="319">
        <v>1019973.3999999999</v>
      </c>
      <c r="U30" s="319">
        <v>967349.35000000009</v>
      </c>
      <c r="V30" s="319">
        <v>1000628.7999999998</v>
      </c>
      <c r="W30" s="319">
        <v>1631880.41395</v>
      </c>
      <c r="X30" s="330"/>
      <c r="Y30" s="319" t="s">
        <v>13</v>
      </c>
      <c r="Z30" s="319">
        <v>37935.660000000003</v>
      </c>
      <c r="AA30" s="319">
        <v>37686.15</v>
      </c>
      <c r="AB30" s="319">
        <v>41371.65</v>
      </c>
      <c r="AC30" s="319">
        <v>48175.199999999997</v>
      </c>
      <c r="AD30" s="319">
        <v>50620.95</v>
      </c>
      <c r="AE30" s="319">
        <v>46945.04</v>
      </c>
      <c r="AF30" s="319">
        <v>41076.910000000003</v>
      </c>
      <c r="AG30" s="319">
        <v>47861.45</v>
      </c>
      <c r="AH30" s="319">
        <v>46296.71</v>
      </c>
      <c r="AI30" s="319">
        <v>57619.58</v>
      </c>
      <c r="AJ30" s="319">
        <v>58380.91</v>
      </c>
      <c r="AK30" s="319">
        <v>64721.35</v>
      </c>
      <c r="AL30" s="319"/>
      <c r="AM30" s="319">
        <v>64097.94</v>
      </c>
      <c r="AN30" s="319">
        <v>61537.74</v>
      </c>
      <c r="AO30" s="319">
        <v>77928.600000000006</v>
      </c>
      <c r="AP30" s="319">
        <v>63977.390000000007</v>
      </c>
      <c r="AQ30" s="322">
        <v>63720.369999999995</v>
      </c>
      <c r="AR30" s="319">
        <v>70471.75</v>
      </c>
      <c r="AS30" s="319">
        <v>70946.069999999992</v>
      </c>
      <c r="AT30" s="319">
        <v>73661.039999999994</v>
      </c>
      <c r="AU30" s="319">
        <v>90719</v>
      </c>
      <c r="AV30" s="334"/>
      <c r="AW30" s="319" t="s">
        <v>13</v>
      </c>
      <c r="AX30" s="319">
        <v>31613.050000000003</v>
      </c>
      <c r="AY30" s="319">
        <v>30148.920000000002</v>
      </c>
      <c r="AZ30" s="319">
        <v>24822.989999999998</v>
      </c>
      <c r="BA30" s="319">
        <v>24087.600000000002</v>
      </c>
      <c r="BB30" s="319">
        <v>22498.2</v>
      </c>
      <c r="BC30" s="319">
        <v>23472.52</v>
      </c>
      <c r="BD30" s="319">
        <v>25156.52</v>
      </c>
      <c r="BE30" s="319">
        <v>27349.4</v>
      </c>
      <c r="BF30" s="319">
        <v>25302.97</v>
      </c>
      <c r="BG30" s="319">
        <v>25409.940000000002</v>
      </c>
      <c r="BH30" s="319">
        <v>25677.88</v>
      </c>
      <c r="BI30" s="319">
        <v>32268.509999999995</v>
      </c>
      <c r="BJ30" s="319"/>
      <c r="BK30" s="319">
        <v>31642.41</v>
      </c>
      <c r="BL30" s="319">
        <v>31745.91</v>
      </c>
      <c r="BM30" s="319">
        <v>64076.310000000005</v>
      </c>
      <c r="BN30" s="319">
        <v>33232.270000000004</v>
      </c>
      <c r="BO30" s="322">
        <v>32982.99</v>
      </c>
      <c r="BP30" s="319">
        <v>35047.509999999995</v>
      </c>
      <c r="BQ30" s="319">
        <v>36061.879999999997</v>
      </c>
      <c r="BR30" s="319">
        <v>37659.96</v>
      </c>
      <c r="BS30" s="319">
        <v>49039</v>
      </c>
      <c r="BT30" s="334"/>
      <c r="BU30" s="322" t="s">
        <v>13</v>
      </c>
      <c r="BV30" s="322">
        <v>18967.830000000002</v>
      </c>
      <c r="BW30" s="322">
        <v>0</v>
      </c>
      <c r="BX30" s="322">
        <v>16548.66</v>
      </c>
      <c r="BY30" s="322">
        <v>0</v>
      </c>
      <c r="BZ30" s="322">
        <v>16873.650000000001</v>
      </c>
      <c r="CA30" s="322">
        <v>0</v>
      </c>
      <c r="CB30" s="322">
        <v>12578.26</v>
      </c>
      <c r="CC30" s="322">
        <v>0</v>
      </c>
      <c r="CD30" s="322">
        <v>18213</v>
      </c>
      <c r="CE30" s="322">
        <v>1282.4199999999998</v>
      </c>
      <c r="CF30" s="322">
        <v>35830.590000000004</v>
      </c>
      <c r="CG30" s="322">
        <v>6882.1799999999994</v>
      </c>
      <c r="CH30" s="319"/>
      <c r="CI30" s="322">
        <v>8210.84</v>
      </c>
      <c r="CJ30" s="322">
        <v>37159.640000000007</v>
      </c>
      <c r="CK30" s="322">
        <v>25452.959999999999</v>
      </c>
      <c r="CL30" s="322">
        <v>39237.189999999995</v>
      </c>
      <c r="CM30" s="322">
        <v>7336.42</v>
      </c>
      <c r="CN30" s="322">
        <v>51798.96</v>
      </c>
      <c r="CO30" s="322">
        <v>13176.55</v>
      </c>
      <c r="CP30" s="322">
        <v>53617.31</v>
      </c>
      <c r="CQ30" s="322">
        <v>37087.5</v>
      </c>
      <c r="CR30" s="334"/>
      <c r="CS30" s="322" t="s">
        <v>13</v>
      </c>
      <c r="CT30" s="322">
        <v>50580.88</v>
      </c>
      <c r="CU30" s="322">
        <v>30148.92</v>
      </c>
      <c r="CV30" s="322">
        <v>16548.66</v>
      </c>
      <c r="CW30" s="322">
        <v>12043.8</v>
      </c>
      <c r="CX30" s="322">
        <v>16873.650000000001</v>
      </c>
      <c r="CY30" s="322">
        <v>23472.52</v>
      </c>
      <c r="CZ30" s="322">
        <v>25156.52</v>
      </c>
      <c r="DA30" s="322">
        <v>20512.05</v>
      </c>
      <c r="DB30" s="322">
        <v>40135.339999999997</v>
      </c>
      <c r="DC30" s="322">
        <v>36481.229999999996</v>
      </c>
      <c r="DD30" s="322">
        <v>27029.079999999998</v>
      </c>
      <c r="DE30" s="322">
        <v>29897.79</v>
      </c>
      <c r="DF30" s="319"/>
      <c r="DG30" s="322">
        <v>92987.11</v>
      </c>
      <c r="DH30" s="322">
        <v>36819.599999999999</v>
      </c>
      <c r="DI30" s="322">
        <v>100855.64</v>
      </c>
      <c r="DJ30" s="322">
        <v>26892.38</v>
      </c>
      <c r="DK30" s="322">
        <v>29413.19</v>
      </c>
      <c r="DL30" s="322">
        <v>29446.11</v>
      </c>
      <c r="DM30" s="322">
        <v>31414.27</v>
      </c>
      <c r="DN30" s="322">
        <v>46071.779999999992</v>
      </c>
      <c r="DO30" s="322">
        <v>249377.61</v>
      </c>
      <c r="DP30" s="334"/>
      <c r="DQ30" s="322" t="s">
        <v>13</v>
      </c>
      <c r="DR30" s="322">
        <v>31613.05</v>
      </c>
      <c r="DS30" s="322">
        <v>30148.92</v>
      </c>
      <c r="DT30" s="322">
        <v>33097.32</v>
      </c>
      <c r="DU30" s="322">
        <v>24087.599999999999</v>
      </c>
      <c r="DV30" s="322">
        <v>28122.75</v>
      </c>
      <c r="DW30" s="322">
        <v>23472.52</v>
      </c>
      <c r="DX30" s="322">
        <v>31445.65</v>
      </c>
      <c r="DY30" s="322">
        <v>34186.75</v>
      </c>
      <c r="DZ30" s="322">
        <v>40324.350000000006</v>
      </c>
      <c r="EA30" s="322">
        <v>42306.119999999995</v>
      </c>
      <c r="EB30" s="322">
        <v>39459.85</v>
      </c>
      <c r="EC30" s="322">
        <v>46351.21</v>
      </c>
      <c r="ED30" s="319"/>
      <c r="EE30" s="322">
        <v>50997.17</v>
      </c>
      <c r="EF30" s="322">
        <v>52511.37</v>
      </c>
      <c r="EG30" s="322">
        <v>89409.23</v>
      </c>
      <c r="EH30" s="322">
        <v>58310.93</v>
      </c>
      <c r="EI30" s="322">
        <v>56396.139999999992</v>
      </c>
      <c r="EJ30" s="322">
        <v>60014.280000000006</v>
      </c>
      <c r="EK30" s="322">
        <v>57703.200000000004</v>
      </c>
      <c r="EL30" s="322">
        <v>55496.61</v>
      </c>
      <c r="EM30" s="322">
        <v>79608</v>
      </c>
      <c r="EN30" s="334"/>
      <c r="EO30" s="322" t="s">
        <v>13</v>
      </c>
      <c r="EP30" s="322">
        <v>12645.22</v>
      </c>
      <c r="EQ30" s="322">
        <v>15074.46</v>
      </c>
      <c r="ER30" s="322">
        <v>16548.66</v>
      </c>
      <c r="ES30" s="322">
        <v>12043.8</v>
      </c>
      <c r="ET30" s="322">
        <v>11249.1</v>
      </c>
      <c r="EU30" s="322">
        <v>11736.26</v>
      </c>
      <c r="EV30" s="322">
        <v>12578.26</v>
      </c>
      <c r="EW30" s="322">
        <v>13674.7</v>
      </c>
      <c r="EX30" s="322">
        <v>13129.93</v>
      </c>
      <c r="EY30" s="322">
        <v>13008.189999999999</v>
      </c>
      <c r="EZ30" s="322">
        <v>13290.510000000002</v>
      </c>
      <c r="FA30" s="322">
        <v>22045.809999999998</v>
      </c>
      <c r="FB30" s="319"/>
      <c r="FC30" s="322">
        <v>23165.84</v>
      </c>
      <c r="FD30" s="322">
        <v>24251.37</v>
      </c>
      <c r="FE30" s="322">
        <v>41138.080000000002</v>
      </c>
      <c r="FF30" s="322">
        <v>32204.86</v>
      </c>
      <c r="FG30" s="322">
        <v>31848.7</v>
      </c>
      <c r="FH30" s="322">
        <v>33796.300000000003</v>
      </c>
      <c r="FI30" s="322">
        <v>34440.19</v>
      </c>
      <c r="FJ30" s="322">
        <v>34009.17</v>
      </c>
      <c r="FK30" s="322">
        <v>34465</v>
      </c>
      <c r="FL30" s="334"/>
      <c r="FM30" s="322" t="s">
        <v>13</v>
      </c>
      <c r="FN30" s="322">
        <v>31613.05</v>
      </c>
      <c r="FO30" s="322">
        <v>30148.92</v>
      </c>
      <c r="FP30" s="322">
        <v>33097.32</v>
      </c>
      <c r="FQ30" s="322">
        <v>36131.4</v>
      </c>
      <c r="FR30" s="322">
        <v>28122.75</v>
      </c>
      <c r="FS30" s="322">
        <v>29340.65</v>
      </c>
      <c r="FT30" s="322">
        <v>31445.65</v>
      </c>
      <c r="FU30" s="322">
        <v>34186.75</v>
      </c>
      <c r="FV30" s="322">
        <v>29216.28</v>
      </c>
      <c r="FW30" s="322">
        <v>31211.33</v>
      </c>
      <c r="FX30" s="322">
        <v>30453.51</v>
      </c>
      <c r="FY30" s="322">
        <v>35395.449999999997</v>
      </c>
      <c r="FZ30" s="319"/>
      <c r="GA30" s="322">
        <v>36591.950000000004</v>
      </c>
      <c r="GB30" s="322">
        <v>37768.26</v>
      </c>
      <c r="GC30" s="322">
        <v>84843.839999999997</v>
      </c>
      <c r="GD30" s="322">
        <v>36064.21</v>
      </c>
      <c r="GE30" s="322">
        <v>38723.9</v>
      </c>
      <c r="GF30" s="340">
        <v>42037.599999999991</v>
      </c>
      <c r="GG30" s="704">
        <v>43912.499999999993</v>
      </c>
      <c r="GH30" s="704">
        <v>43715.14</v>
      </c>
      <c r="GI30" s="704">
        <v>44900</v>
      </c>
      <c r="GJ30" s="334"/>
      <c r="GK30" s="322" t="s">
        <v>13</v>
      </c>
      <c r="GL30" s="322">
        <v>12645.22</v>
      </c>
      <c r="GM30" s="322">
        <v>7537.23</v>
      </c>
      <c r="GN30" s="322">
        <v>8274.33</v>
      </c>
      <c r="GO30" s="322">
        <v>6021.9</v>
      </c>
      <c r="GP30" s="322">
        <v>11249.1</v>
      </c>
      <c r="GQ30" s="322">
        <v>11736.26</v>
      </c>
      <c r="GR30" s="322">
        <v>6289.13</v>
      </c>
      <c r="GS30" s="322">
        <v>27349.4</v>
      </c>
      <c r="GT30" s="322">
        <v>29140.85</v>
      </c>
      <c r="GU30" s="322">
        <v>31370.97</v>
      </c>
      <c r="GV30" s="322">
        <v>28444.160000000003</v>
      </c>
      <c r="GW30" s="322">
        <v>34186.359999999993</v>
      </c>
      <c r="GX30" s="319"/>
      <c r="GY30" s="322">
        <v>33615.03</v>
      </c>
      <c r="GZ30" s="322">
        <v>33993.510000000009</v>
      </c>
      <c r="HA30" s="322">
        <v>62592.26</v>
      </c>
      <c r="HB30" s="322">
        <v>43074.7</v>
      </c>
      <c r="HC30" s="322">
        <v>44481.579999999994</v>
      </c>
      <c r="HD30" s="322">
        <v>46127.8</v>
      </c>
      <c r="HE30" s="322">
        <v>50007.94999999999</v>
      </c>
      <c r="HF30" s="322">
        <v>47856.160000000003</v>
      </c>
      <c r="HG30" s="322">
        <v>49024</v>
      </c>
      <c r="HH30" s="334"/>
      <c r="HI30" s="322" t="s">
        <v>13</v>
      </c>
      <c r="HJ30" s="322">
        <v>0</v>
      </c>
      <c r="HK30" s="322">
        <v>7537.23</v>
      </c>
      <c r="HL30" s="322">
        <v>8274.33</v>
      </c>
      <c r="HM30" s="322">
        <v>6021.9</v>
      </c>
      <c r="HN30" s="322">
        <v>5624.55</v>
      </c>
      <c r="HO30" s="322">
        <v>5868.13</v>
      </c>
      <c r="HP30" s="322">
        <v>6289.13</v>
      </c>
      <c r="HQ30" s="322">
        <v>6837.35</v>
      </c>
      <c r="HR30" s="322">
        <v>4307.7999999999993</v>
      </c>
      <c r="HS30" s="322">
        <v>8962.91</v>
      </c>
      <c r="HT30" s="322">
        <v>7473.2599999999993</v>
      </c>
      <c r="HU30" s="322">
        <v>6599.23</v>
      </c>
      <c r="HV30" s="319"/>
      <c r="HW30" s="322">
        <v>7085.9599999999991</v>
      </c>
      <c r="HX30" s="322">
        <v>12610.59</v>
      </c>
      <c r="HY30" s="322">
        <v>17110.2</v>
      </c>
      <c r="HZ30" s="322">
        <v>27772.35</v>
      </c>
      <c r="IA30" s="322">
        <v>15987.019999999999</v>
      </c>
      <c r="IB30" s="322">
        <v>19886.64</v>
      </c>
      <c r="IC30" s="322">
        <v>12796.36</v>
      </c>
      <c r="ID30" s="322">
        <v>14908.029999999999</v>
      </c>
      <c r="IE30" s="322">
        <v>20350</v>
      </c>
      <c r="IF30" s="334"/>
      <c r="IG30" s="322" t="s">
        <v>13</v>
      </c>
      <c r="IH30" s="322">
        <v>6322.61</v>
      </c>
      <c r="II30" s="322">
        <v>7537.23</v>
      </c>
      <c r="IJ30" s="322">
        <v>8274.33</v>
      </c>
      <c r="IK30" s="322">
        <v>6021.9</v>
      </c>
      <c r="IL30" s="322">
        <v>5624.55</v>
      </c>
      <c r="IM30" s="322">
        <v>5868.13</v>
      </c>
      <c r="IN30" s="322">
        <v>12578.26</v>
      </c>
      <c r="IO30" s="322">
        <v>6837.35</v>
      </c>
      <c r="IP30" s="322">
        <v>9153.27</v>
      </c>
      <c r="IQ30" s="322">
        <v>7642.6400000000012</v>
      </c>
      <c r="IR30" s="322">
        <v>10908.63</v>
      </c>
      <c r="IS30" s="322">
        <v>7705.58</v>
      </c>
      <c r="IT30" s="319"/>
      <c r="IU30" s="322">
        <v>6771.829999999999</v>
      </c>
      <c r="IV30" s="322"/>
      <c r="IW30" s="322"/>
      <c r="IX30" s="322"/>
      <c r="IY30" s="322"/>
      <c r="IZ30" s="322"/>
      <c r="JA30" s="322"/>
      <c r="JB30" s="322"/>
      <c r="JC30" s="322"/>
      <c r="JD30" s="334"/>
      <c r="JE30" s="322" t="s">
        <v>13</v>
      </c>
      <c r="JF30" s="322">
        <v>0</v>
      </c>
      <c r="JG30" s="322">
        <v>0</v>
      </c>
      <c r="JH30" s="322">
        <v>0</v>
      </c>
      <c r="JI30" s="322">
        <v>0</v>
      </c>
      <c r="JJ30" s="322">
        <v>0</v>
      </c>
      <c r="JK30" s="322">
        <v>0</v>
      </c>
      <c r="JL30" s="322">
        <v>0</v>
      </c>
      <c r="JM30" s="322">
        <v>0</v>
      </c>
      <c r="JN30" s="322">
        <v>301.01</v>
      </c>
      <c r="JO30" s="322">
        <v>457.19</v>
      </c>
      <c r="JP30" s="322">
        <v>415.37000000000006</v>
      </c>
      <c r="JQ30" s="322">
        <v>502.6400000000001</v>
      </c>
      <c r="JR30" s="319"/>
      <c r="JS30" s="322">
        <v>449.92999999999995</v>
      </c>
      <c r="JT30" s="322">
        <v>566.53</v>
      </c>
      <c r="JU30" s="322">
        <v>5396.51</v>
      </c>
      <c r="JV30" s="322">
        <v>600.16999999999996</v>
      </c>
      <c r="JW30" s="322">
        <v>578.30999999999995</v>
      </c>
      <c r="JX30" s="322">
        <v>525.5</v>
      </c>
      <c r="JY30" s="322">
        <v>2702.91</v>
      </c>
      <c r="JZ30" s="322">
        <v>2245.4</v>
      </c>
      <c r="KA30" s="322">
        <v>6501</v>
      </c>
      <c r="KB30" s="334"/>
      <c r="KC30" s="322" t="s">
        <v>13</v>
      </c>
      <c r="KD30" s="322">
        <v>6322.61</v>
      </c>
      <c r="KE30" s="322">
        <v>15074.46</v>
      </c>
      <c r="KF30" s="322">
        <v>16548.66</v>
      </c>
      <c r="KG30" s="322">
        <v>18065.7</v>
      </c>
      <c r="KH30" s="322">
        <v>16873.650000000001</v>
      </c>
      <c r="KI30" s="322">
        <v>17604.39</v>
      </c>
      <c r="KJ30" s="322">
        <v>18867.39</v>
      </c>
      <c r="KK30" s="322">
        <v>20512.05</v>
      </c>
      <c r="KL30" s="322">
        <v>17438.2</v>
      </c>
      <c r="KM30" s="322">
        <v>20771.370000000003</v>
      </c>
      <c r="KN30" s="322">
        <v>20702.84</v>
      </c>
      <c r="KO30" s="322">
        <v>20870.04</v>
      </c>
      <c r="KP30" s="319"/>
      <c r="KQ30" s="322">
        <v>21581.34</v>
      </c>
      <c r="KR30" s="322">
        <v>21439.629999999997</v>
      </c>
      <c r="KS30" s="322">
        <v>28567.67</v>
      </c>
      <c r="KT30" s="322">
        <v>21484.440000000002</v>
      </c>
      <c r="KU30" s="322">
        <v>21901.4</v>
      </c>
      <c r="KV30" s="322">
        <v>21515.27</v>
      </c>
      <c r="KW30" s="322">
        <v>22105.37</v>
      </c>
      <c r="KX30" s="322">
        <v>23048.280000000002</v>
      </c>
      <c r="KY30" s="322">
        <v>25533</v>
      </c>
      <c r="KZ30" s="334"/>
      <c r="LA30" s="322" t="s">
        <v>13</v>
      </c>
      <c r="LB30" s="322">
        <v>88516.54</v>
      </c>
      <c r="LC30" s="322">
        <v>165819.06</v>
      </c>
      <c r="LD30" s="322">
        <v>115840.62</v>
      </c>
      <c r="LE30" s="322">
        <v>150547.5</v>
      </c>
      <c r="LF30" s="322">
        <v>56245.5</v>
      </c>
      <c r="LG30" s="322">
        <v>58681.3</v>
      </c>
      <c r="LH30" s="322">
        <v>62891.3</v>
      </c>
      <c r="LI30" s="322">
        <v>68373.5</v>
      </c>
      <c r="LJ30" s="322">
        <v>78160.490000000005</v>
      </c>
      <c r="LK30" s="322">
        <v>208711.58999999997</v>
      </c>
      <c r="LL30" s="322">
        <v>186360.59</v>
      </c>
      <c r="LM30" s="322">
        <v>172187.37</v>
      </c>
      <c r="LN30" s="319"/>
      <c r="LO30" s="322">
        <v>178305.49000000002</v>
      </c>
      <c r="LP30" s="322">
        <v>183988.77</v>
      </c>
      <c r="LQ30" s="322">
        <v>106147.09000000001</v>
      </c>
      <c r="LR30" s="322">
        <v>125070.17</v>
      </c>
      <c r="LS30" s="322">
        <v>143991.09999999998</v>
      </c>
      <c r="LT30" s="322">
        <v>147496</v>
      </c>
      <c r="LU30" s="322">
        <v>175721.94999999998</v>
      </c>
      <c r="LV30" s="322">
        <v>140196.08000000002</v>
      </c>
      <c r="LW30" s="322">
        <v>476186.62</v>
      </c>
      <c r="LX30" s="334"/>
      <c r="LY30" s="322" t="s">
        <v>13</v>
      </c>
      <c r="LZ30" s="322">
        <v>126452.2</v>
      </c>
      <c r="MA30" s="322">
        <v>165819.06</v>
      </c>
      <c r="MB30" s="322">
        <v>157212.26999999999</v>
      </c>
      <c r="MC30" s="322">
        <v>120438</v>
      </c>
      <c r="MD30" s="322">
        <v>163111.95000000001</v>
      </c>
      <c r="ME30" s="322">
        <v>176043.9</v>
      </c>
      <c r="MF30" s="322">
        <v>182384.77</v>
      </c>
      <c r="MG30" s="322">
        <v>191445.8</v>
      </c>
      <c r="MH30" s="322">
        <v>189933.66000000003</v>
      </c>
      <c r="MI30" s="322">
        <v>162335.68999999997</v>
      </c>
      <c r="MJ30" s="322">
        <v>150770.92000000001</v>
      </c>
      <c r="MK30" s="322">
        <v>141402.85</v>
      </c>
      <c r="ML30" s="319"/>
      <c r="MM30" s="322">
        <v>124846.21999999999</v>
      </c>
      <c r="MN30" s="322">
        <v>139421.82999999999</v>
      </c>
      <c r="MO30" s="322">
        <v>411496.50999999995</v>
      </c>
      <c r="MP30" s="322">
        <v>198191.89</v>
      </c>
      <c r="MQ30" s="322">
        <v>208999.75999999998</v>
      </c>
      <c r="MR30" s="322">
        <v>220814.4</v>
      </c>
      <c r="MS30" s="322">
        <v>222179.25</v>
      </c>
      <c r="MT30" s="322">
        <v>208150.5</v>
      </c>
      <c r="MU30" s="322">
        <v>216588.16999999998</v>
      </c>
      <c r="MV30" s="334"/>
      <c r="MW30" s="322" t="s">
        <v>13</v>
      </c>
      <c r="MX30" s="322">
        <v>50580.88</v>
      </c>
      <c r="MY30" s="322">
        <v>52760.61</v>
      </c>
      <c r="MZ30" s="322">
        <v>41371.65</v>
      </c>
      <c r="NA30" s="322">
        <v>42153.3</v>
      </c>
      <c r="NB30" s="322">
        <v>22498.2</v>
      </c>
      <c r="NC30" s="322">
        <v>17604.39</v>
      </c>
      <c r="ND30" s="322">
        <v>31445.65</v>
      </c>
      <c r="NE30" s="322">
        <v>68373.5</v>
      </c>
      <c r="NF30" s="322">
        <v>48132.76</v>
      </c>
      <c r="NG30" s="322">
        <v>88067.299999999988</v>
      </c>
      <c r="NH30" s="322">
        <v>53099.490000000005</v>
      </c>
      <c r="NI30" s="322">
        <v>80528.200000000012</v>
      </c>
      <c r="NJ30" s="319"/>
      <c r="NK30" s="322">
        <v>41110.090000000004</v>
      </c>
      <c r="NL30" s="322">
        <v>30963.619999999995</v>
      </c>
      <c r="NM30" s="322">
        <v>141875.56</v>
      </c>
      <c r="NN30" s="322">
        <v>38914.639999999999</v>
      </c>
      <c r="NO30" s="322">
        <v>49511.039999999994</v>
      </c>
      <c r="NP30" s="322">
        <v>61907.99</v>
      </c>
      <c r="NQ30" s="322">
        <v>50694.100000000006</v>
      </c>
      <c r="NR30" s="322">
        <v>69356.36</v>
      </c>
      <c r="NS30" s="322">
        <v>52060</v>
      </c>
      <c r="NT30" s="334"/>
      <c r="NU30" s="322" t="s">
        <v>13</v>
      </c>
      <c r="NV30" s="322">
        <v>44258.27</v>
      </c>
      <c r="NW30" s="322">
        <v>52760.61</v>
      </c>
      <c r="NX30" s="322">
        <v>91017.63</v>
      </c>
      <c r="NY30" s="322">
        <v>42153.3</v>
      </c>
      <c r="NZ30" s="322">
        <v>50620.95</v>
      </c>
      <c r="OA30" s="322">
        <v>46945.04</v>
      </c>
      <c r="OB30" s="322">
        <v>44023.91</v>
      </c>
      <c r="OC30" s="322">
        <v>47861.45</v>
      </c>
      <c r="OD30" s="322">
        <v>47768.860000000008</v>
      </c>
      <c r="OE30" s="322">
        <v>47809.56</v>
      </c>
      <c r="OF30" s="322">
        <v>42654.09</v>
      </c>
      <c r="OG30" s="322">
        <v>56925.5</v>
      </c>
      <c r="OH30" s="319"/>
      <c r="OI30" s="322">
        <v>57715.46</v>
      </c>
      <c r="OJ30" s="322">
        <v>58745.270000000004</v>
      </c>
      <c r="OK30" s="322">
        <v>106352.46000000002</v>
      </c>
      <c r="OL30" s="322">
        <v>56211.65</v>
      </c>
      <c r="OM30" s="322">
        <v>56983.390000000007</v>
      </c>
      <c r="ON30" s="322">
        <v>63788.689999999995</v>
      </c>
      <c r="OO30" s="322">
        <v>64356.840000000004</v>
      </c>
      <c r="OP30" s="322">
        <v>65463.18</v>
      </c>
      <c r="OQ30" s="322">
        <v>78150</v>
      </c>
      <c r="OR30" s="334"/>
      <c r="OS30" s="322" t="s">
        <v>13</v>
      </c>
      <c r="OT30" s="322">
        <v>25290.44</v>
      </c>
      <c r="OU30" s="322">
        <v>22611.69</v>
      </c>
      <c r="OV30" s="322">
        <v>33097.32</v>
      </c>
      <c r="OW30" s="322">
        <v>30109.5</v>
      </c>
      <c r="OX30" s="322">
        <v>22498.2</v>
      </c>
      <c r="OY30" s="322">
        <v>23472.52</v>
      </c>
      <c r="OZ30" s="322">
        <v>25156.52</v>
      </c>
      <c r="PA30" s="322">
        <v>27349.4</v>
      </c>
      <c r="PB30" s="322">
        <v>27558.279999999992</v>
      </c>
      <c r="PC30" s="322">
        <v>26838.400000000001</v>
      </c>
      <c r="PD30" s="322">
        <v>28750.53</v>
      </c>
      <c r="PE30" s="322">
        <v>33482.42</v>
      </c>
      <c r="PF30" s="319"/>
      <c r="PG30" s="322">
        <v>32491.980000000003</v>
      </c>
      <c r="PH30" s="322">
        <v>32179.66</v>
      </c>
      <c r="PI30" s="322">
        <v>34736.5</v>
      </c>
      <c r="PJ30" s="322">
        <v>30541.72</v>
      </c>
      <c r="PK30" s="322">
        <v>36521.589999999997</v>
      </c>
      <c r="PL30" s="322">
        <v>34654.33</v>
      </c>
      <c r="PM30" s="322">
        <v>38871.890000000007</v>
      </c>
      <c r="PN30" s="322">
        <v>35579.310000000005</v>
      </c>
      <c r="PO30" s="322">
        <v>38945.030549999996</v>
      </c>
      <c r="PP30" s="334"/>
      <c r="PQ30" s="322" t="s">
        <v>13</v>
      </c>
      <c r="PR30" s="322">
        <v>6322.61</v>
      </c>
      <c r="PS30" s="322">
        <v>7537.23</v>
      </c>
      <c r="PT30" s="322">
        <v>8274.33</v>
      </c>
      <c r="PU30" s="322">
        <v>6021.9</v>
      </c>
      <c r="PV30" s="322">
        <v>5624.55</v>
      </c>
      <c r="PW30" s="322">
        <v>5868.13</v>
      </c>
      <c r="PX30" s="322">
        <v>6289.13</v>
      </c>
      <c r="PY30" s="322">
        <v>6837.35</v>
      </c>
      <c r="PZ30" s="322">
        <v>8725</v>
      </c>
      <c r="QA30" s="322">
        <v>8999</v>
      </c>
      <c r="QB30" s="322">
        <v>11894</v>
      </c>
      <c r="QC30" s="322">
        <v>8664.5600000000013</v>
      </c>
      <c r="QD30" s="319"/>
      <c r="QE30" s="322">
        <v>13828.3</v>
      </c>
      <c r="QF30" s="322">
        <v>12382.34</v>
      </c>
      <c r="QG30" s="322">
        <v>22375.57</v>
      </c>
      <c r="QH30" s="322">
        <v>15178.74</v>
      </c>
      <c r="QI30" s="322">
        <v>12573.599999999999</v>
      </c>
      <c r="QJ30" s="322">
        <v>11125</v>
      </c>
      <c r="QK30" s="322">
        <v>11432.1</v>
      </c>
      <c r="QL30" s="322">
        <v>13400</v>
      </c>
      <c r="QM30" s="322">
        <v>13500</v>
      </c>
      <c r="QN30" s="334"/>
      <c r="QO30" s="322" t="s">
        <v>13</v>
      </c>
      <c r="QP30" s="322">
        <v>0</v>
      </c>
      <c r="QQ30" s="322">
        <v>0</v>
      </c>
      <c r="QR30" s="322">
        <v>0</v>
      </c>
      <c r="QS30" s="322">
        <v>0</v>
      </c>
      <c r="QT30" s="322">
        <v>0</v>
      </c>
      <c r="QU30" s="322">
        <v>0</v>
      </c>
      <c r="QV30" s="322">
        <v>0</v>
      </c>
      <c r="QW30" s="322">
        <v>0</v>
      </c>
      <c r="QX30" s="322">
        <v>0</v>
      </c>
      <c r="QY30" s="322">
        <v>0</v>
      </c>
      <c r="QZ30" s="322">
        <v>0</v>
      </c>
      <c r="RA30" s="322">
        <v>0</v>
      </c>
      <c r="RB30" s="319"/>
      <c r="RC30" s="322">
        <v>0</v>
      </c>
      <c r="RD30" s="322">
        <v>0</v>
      </c>
      <c r="RE30" s="322">
        <v>0</v>
      </c>
      <c r="RF30" s="322">
        <v>0</v>
      </c>
      <c r="RG30" s="322">
        <v>0</v>
      </c>
      <c r="RH30" s="322">
        <v>0</v>
      </c>
      <c r="RI30" s="322">
        <v>0</v>
      </c>
      <c r="RJ30" s="322">
        <v>0</v>
      </c>
      <c r="RK30" s="322">
        <v>0</v>
      </c>
      <c r="RL30" s="334"/>
      <c r="RM30" s="322" t="s">
        <v>13</v>
      </c>
      <c r="RN30" s="322">
        <v>50580.88</v>
      </c>
      <c r="RO30" s="322">
        <v>75372.3</v>
      </c>
      <c r="RP30" s="322">
        <v>157212.26999999999</v>
      </c>
      <c r="RQ30" s="322">
        <v>18065.7</v>
      </c>
      <c r="RR30" s="322">
        <v>28122.75</v>
      </c>
      <c r="RS30" s="322">
        <v>58681.3</v>
      </c>
      <c r="RT30" s="322">
        <v>50313.04</v>
      </c>
      <c r="RU30" s="322">
        <v>34186.75</v>
      </c>
      <c r="RV30" s="322">
        <v>35994</v>
      </c>
      <c r="RW30" s="322">
        <v>94164.13</v>
      </c>
      <c r="RX30" s="322">
        <v>34775.160000000003</v>
      </c>
      <c r="RY30" s="322">
        <v>49821.69</v>
      </c>
      <c r="RZ30" s="319"/>
      <c r="SA30" s="322">
        <v>52132.92</v>
      </c>
      <c r="SB30" s="322">
        <v>295033.44</v>
      </c>
      <c r="SC30" s="322">
        <v>35000</v>
      </c>
      <c r="SD30" s="322">
        <v>84217.8</v>
      </c>
      <c r="SE30" s="322">
        <v>66058.45</v>
      </c>
      <c r="SF30" s="322">
        <v>69519.26999999999</v>
      </c>
      <c r="SG30" s="322">
        <v>28745.31</v>
      </c>
      <c r="SH30" s="322">
        <v>36194.49</v>
      </c>
      <c r="SI30" s="322">
        <v>28362.19</v>
      </c>
    </row>
    <row r="31" spans="1:503">
      <c r="A31" s="319" t="s">
        <v>14</v>
      </c>
      <c r="B31" s="319">
        <v>795829</v>
      </c>
      <c r="C31" s="319">
        <v>868218</v>
      </c>
      <c r="D31" s="319">
        <v>862995</v>
      </c>
      <c r="E31" s="319">
        <v>935532</v>
      </c>
      <c r="F31" s="319">
        <v>936339</v>
      </c>
      <c r="G31" s="319">
        <v>1309665</v>
      </c>
      <c r="H31" s="319">
        <v>857913</v>
      </c>
      <c r="I31" s="319">
        <v>991850</v>
      </c>
      <c r="J31" s="319">
        <v>946027.85</v>
      </c>
      <c r="K31" s="319">
        <v>1075345.1299999999</v>
      </c>
      <c r="L31" s="319">
        <v>1273433.2300000002</v>
      </c>
      <c r="M31" s="319">
        <v>853280.7699999999</v>
      </c>
      <c r="N31" s="319"/>
      <c r="O31" s="319">
        <v>984771.79999999993</v>
      </c>
      <c r="P31" s="319">
        <v>964847.54</v>
      </c>
      <c r="Q31" s="319">
        <v>960261.95</v>
      </c>
      <c r="R31" s="319">
        <v>3500757.58</v>
      </c>
      <c r="S31" s="322"/>
      <c r="T31" s="319">
        <v>2452882.5099999998</v>
      </c>
      <c r="U31" s="319"/>
      <c r="V31" s="319"/>
      <c r="W31" s="319"/>
      <c r="X31" s="330"/>
      <c r="Y31" s="319" t="s">
        <v>14</v>
      </c>
      <c r="Z31" s="319">
        <v>39791.449999999997</v>
      </c>
      <c r="AA31" s="319">
        <v>34728.720000000001</v>
      </c>
      <c r="AB31" s="319">
        <v>43149.75</v>
      </c>
      <c r="AC31" s="319">
        <v>46776.6</v>
      </c>
      <c r="AD31" s="319">
        <v>46816.95</v>
      </c>
      <c r="AE31" s="319">
        <v>65483.25</v>
      </c>
      <c r="AF31" s="319">
        <v>91676.55</v>
      </c>
      <c r="AG31" s="319">
        <v>59511</v>
      </c>
      <c r="AH31" s="319">
        <v>64668.469999999994</v>
      </c>
      <c r="AI31" s="319">
        <v>69245.53</v>
      </c>
      <c r="AJ31" s="319">
        <v>66591.17</v>
      </c>
      <c r="AK31" s="319">
        <v>71730.420000000013</v>
      </c>
      <c r="AL31" s="319"/>
      <c r="AM31" s="319">
        <v>74615.320000000007</v>
      </c>
      <c r="AN31" s="319">
        <v>77175.159999999989</v>
      </c>
      <c r="AO31" s="319">
        <v>78658.02</v>
      </c>
      <c r="AP31" s="319">
        <v>82820.649999999994</v>
      </c>
      <c r="AQ31" s="322"/>
      <c r="AR31" s="319">
        <v>85341.98</v>
      </c>
      <c r="AS31" s="319"/>
      <c r="AT31" s="319"/>
      <c r="AU31" s="319"/>
      <c r="AV31" s="334"/>
      <c r="AW31" s="319" t="s">
        <v>14</v>
      </c>
      <c r="AX31" s="319">
        <v>47749.74</v>
      </c>
      <c r="AY31" s="319">
        <v>52093.079999999994</v>
      </c>
      <c r="AZ31" s="319">
        <v>51779.7</v>
      </c>
      <c r="BA31" s="319">
        <v>56131.92</v>
      </c>
      <c r="BB31" s="319">
        <v>65543.73000000001</v>
      </c>
      <c r="BC31" s="319">
        <v>65483.25</v>
      </c>
      <c r="BD31" s="319">
        <v>68633.040000000008</v>
      </c>
      <c r="BE31" s="319">
        <v>79348</v>
      </c>
      <c r="BF31" s="319">
        <v>98885.52</v>
      </c>
      <c r="BG31" s="319">
        <v>92235.99</v>
      </c>
      <c r="BH31" s="319">
        <v>95943.54</v>
      </c>
      <c r="BI31" s="319">
        <v>107370.17</v>
      </c>
      <c r="BJ31" s="319"/>
      <c r="BK31" s="319">
        <v>101440.65000000001</v>
      </c>
      <c r="BL31" s="319">
        <v>103893.12000000001</v>
      </c>
      <c r="BM31" s="319">
        <v>105533.62</v>
      </c>
      <c r="BN31" s="319">
        <v>111398.97</v>
      </c>
      <c r="BO31" s="322"/>
      <c r="BP31" s="319">
        <v>112969</v>
      </c>
      <c r="BQ31" s="319"/>
      <c r="BR31" s="319"/>
      <c r="BS31" s="319"/>
      <c r="BT31" s="334"/>
      <c r="BU31" s="322" t="s">
        <v>14</v>
      </c>
      <c r="BV31" s="322">
        <v>39791.449999999997</v>
      </c>
      <c r="BW31" s="322">
        <v>17364.36</v>
      </c>
      <c r="BX31" s="322">
        <v>51779.7</v>
      </c>
      <c r="BY31" s="322">
        <v>18710.64</v>
      </c>
      <c r="BZ31" s="322">
        <v>65543.73</v>
      </c>
      <c r="CA31" s="322">
        <v>13096.65</v>
      </c>
      <c r="CB31" s="322">
        <v>60053.91</v>
      </c>
      <c r="CC31" s="322">
        <v>29755.5</v>
      </c>
      <c r="CD31" s="322">
        <v>80931.39</v>
      </c>
      <c r="CE31" s="322">
        <v>35940.57</v>
      </c>
      <c r="CF31" s="322">
        <v>69362.33</v>
      </c>
      <c r="CG31" s="322">
        <v>21784.739999999998</v>
      </c>
      <c r="CH31" s="322"/>
      <c r="CI31" s="322">
        <v>26665.81</v>
      </c>
      <c r="CJ31" s="322">
        <v>47698.28</v>
      </c>
      <c r="CK31" s="322">
        <v>24396.519999999997</v>
      </c>
      <c r="CL31" s="322">
        <v>71976.349999999991</v>
      </c>
      <c r="CM31" s="322"/>
      <c r="CN31" s="322">
        <v>55558.090000000004</v>
      </c>
      <c r="CO31" s="322"/>
      <c r="CP31" s="322"/>
      <c r="CQ31" s="322"/>
      <c r="CR31" s="334"/>
      <c r="CS31" s="322" t="s">
        <v>14</v>
      </c>
      <c r="CT31" s="322">
        <v>31833.16</v>
      </c>
      <c r="CU31" s="322">
        <v>69457.440000000002</v>
      </c>
      <c r="CV31" s="322">
        <v>77669.55</v>
      </c>
      <c r="CW31" s="322">
        <v>56131.92</v>
      </c>
      <c r="CX31" s="322">
        <v>74907.12</v>
      </c>
      <c r="CY31" s="322">
        <v>366706.2</v>
      </c>
      <c r="CZ31" s="322">
        <v>102949.56</v>
      </c>
      <c r="DA31" s="322">
        <v>267799.5</v>
      </c>
      <c r="DB31" s="322">
        <v>109004.41000000002</v>
      </c>
      <c r="DC31" s="322">
        <v>80730.489999999991</v>
      </c>
      <c r="DD31" s="322">
        <v>57872.71</v>
      </c>
      <c r="DE31" s="322">
        <v>56908.05</v>
      </c>
      <c r="DF31" s="322"/>
      <c r="DG31" s="322">
        <v>96600.18</v>
      </c>
      <c r="DH31" s="322">
        <v>81599.98000000001</v>
      </c>
      <c r="DI31" s="322">
        <v>62880.54</v>
      </c>
      <c r="DJ31" s="322">
        <v>57249.259999999995</v>
      </c>
      <c r="DK31" s="322"/>
      <c r="DL31" s="322">
        <v>61930.27</v>
      </c>
      <c r="DM31" s="322"/>
      <c r="DN31" s="322"/>
      <c r="DO31" s="322"/>
      <c r="DP31" s="334"/>
      <c r="DQ31" s="322" t="s">
        <v>14</v>
      </c>
      <c r="DR31" s="322">
        <v>39791.449999999997</v>
      </c>
      <c r="DS31" s="322">
        <v>34728.720000000001</v>
      </c>
      <c r="DT31" s="322">
        <v>51779.7</v>
      </c>
      <c r="DU31" s="322">
        <v>65487.24</v>
      </c>
      <c r="DV31" s="322">
        <v>74907.12</v>
      </c>
      <c r="DW31" s="322">
        <v>78579.899999999994</v>
      </c>
      <c r="DX31" s="322">
        <v>42895.65</v>
      </c>
      <c r="DY31" s="322">
        <v>49592.5</v>
      </c>
      <c r="DZ31" s="322">
        <v>57455.54</v>
      </c>
      <c r="EA31" s="322">
        <v>62207.23</v>
      </c>
      <c r="EB31" s="322">
        <v>59353.82</v>
      </c>
      <c r="EC31" s="322">
        <v>61674.15</v>
      </c>
      <c r="ED31" s="322"/>
      <c r="EE31" s="322">
        <v>91384.79</v>
      </c>
      <c r="EF31" s="322">
        <v>75690.319999999992</v>
      </c>
      <c r="EG31" s="322">
        <v>88139.24</v>
      </c>
      <c r="EH31" s="322">
        <v>89964.160000000003</v>
      </c>
      <c r="EI31" s="322"/>
      <c r="EJ31" s="322">
        <v>140799.93000000002</v>
      </c>
      <c r="EK31" s="322"/>
      <c r="EL31" s="322"/>
      <c r="EM31" s="322"/>
      <c r="EN31" s="334"/>
      <c r="EO31" s="322" t="s">
        <v>14</v>
      </c>
      <c r="EP31" s="322">
        <v>15916.58</v>
      </c>
      <c r="EQ31" s="322">
        <v>17364.36</v>
      </c>
      <c r="ER31" s="322">
        <v>17259.900000000001</v>
      </c>
      <c r="ES31" s="322">
        <v>18710.64</v>
      </c>
      <c r="ET31" s="322">
        <v>18726.78</v>
      </c>
      <c r="EU31" s="322">
        <v>26193.3</v>
      </c>
      <c r="EV31" s="322">
        <v>25737.39</v>
      </c>
      <c r="EW31" s="322">
        <v>39674</v>
      </c>
      <c r="EX31" s="322">
        <v>33572.58</v>
      </c>
      <c r="EY31" s="322">
        <v>33839.47</v>
      </c>
      <c r="EZ31" s="322">
        <v>33886.17</v>
      </c>
      <c r="FA31" s="322">
        <v>37097.379999999997</v>
      </c>
      <c r="FB31" s="322"/>
      <c r="FC31" s="322">
        <v>36949.54</v>
      </c>
      <c r="FD31" s="322">
        <v>37308.480000000003</v>
      </c>
      <c r="FE31" s="322">
        <v>40125.47</v>
      </c>
      <c r="FF31" s="322">
        <v>41603.31</v>
      </c>
      <c r="FG31" s="322"/>
      <c r="FH31" s="322">
        <v>43408.829999999994</v>
      </c>
      <c r="FI31" s="322"/>
      <c r="FJ31" s="322"/>
      <c r="FK31" s="322"/>
      <c r="FL31" s="334"/>
      <c r="FM31" s="322" t="s">
        <v>14</v>
      </c>
      <c r="FN31" s="322">
        <v>39791.449999999997</v>
      </c>
      <c r="FO31" s="322">
        <v>43410.9</v>
      </c>
      <c r="FP31" s="322">
        <v>43149.75</v>
      </c>
      <c r="FQ31" s="322">
        <v>56131.92</v>
      </c>
      <c r="FR31" s="322">
        <v>46816.95</v>
      </c>
      <c r="FS31" s="322">
        <v>52386.6</v>
      </c>
      <c r="FT31" s="322">
        <v>51474.78</v>
      </c>
      <c r="FU31" s="322">
        <v>59511</v>
      </c>
      <c r="FV31" s="322">
        <v>62438.200000000004</v>
      </c>
      <c r="FW31" s="322">
        <v>58168.080000000009</v>
      </c>
      <c r="FX31" s="322">
        <v>63395.340000000004</v>
      </c>
      <c r="FY31" s="322">
        <v>63319.770000000004</v>
      </c>
      <c r="FZ31" s="322"/>
      <c r="GA31" s="322">
        <v>69875.810000000012</v>
      </c>
      <c r="GB31" s="322">
        <v>67554.28</v>
      </c>
      <c r="GC31" s="322">
        <v>72453.84</v>
      </c>
      <c r="GD31" s="322">
        <v>73724.179999999993</v>
      </c>
      <c r="GE31" s="322"/>
      <c r="GF31" s="340">
        <v>80984.399999999994</v>
      </c>
      <c r="GG31" s="704"/>
      <c r="GH31" s="704"/>
      <c r="GI31" s="704"/>
      <c r="GJ31" s="334"/>
      <c r="GK31" s="322" t="s">
        <v>14</v>
      </c>
      <c r="GL31" s="322">
        <v>23874.87</v>
      </c>
      <c r="GM31" s="322">
        <v>26046.54</v>
      </c>
      <c r="GN31" s="322">
        <v>8629.9500000000007</v>
      </c>
      <c r="GO31" s="322">
        <v>28065.96</v>
      </c>
      <c r="GP31" s="322">
        <v>28090.17</v>
      </c>
      <c r="GQ31" s="322">
        <v>26193.3</v>
      </c>
      <c r="GR31" s="322">
        <v>34316.519999999997</v>
      </c>
      <c r="GS31" s="322">
        <v>59511</v>
      </c>
      <c r="GT31" s="322">
        <v>55747.310000000012</v>
      </c>
      <c r="GU31" s="322">
        <v>47348.950000000004</v>
      </c>
      <c r="GV31" s="322">
        <v>48892.26</v>
      </c>
      <c r="GW31" s="322">
        <v>52634.05</v>
      </c>
      <c r="GX31" s="322"/>
      <c r="GY31" s="322">
        <v>65387.25</v>
      </c>
      <c r="GZ31" s="322">
        <v>67169.94</v>
      </c>
      <c r="HA31" s="322">
        <v>58089.549999999996</v>
      </c>
      <c r="HB31" s="322">
        <v>59997.83</v>
      </c>
      <c r="HC31" s="322"/>
      <c r="HD31" s="322">
        <v>61972.520000000004</v>
      </c>
      <c r="HE31" s="322"/>
      <c r="HF31" s="322"/>
      <c r="HG31" s="322"/>
      <c r="HH31" s="334"/>
      <c r="HI31" s="322" t="s">
        <v>14</v>
      </c>
      <c r="HJ31" s="322">
        <v>0</v>
      </c>
      <c r="HK31" s="322">
        <v>0</v>
      </c>
      <c r="HL31" s="322">
        <v>34519.800000000003</v>
      </c>
      <c r="HM31" s="322">
        <v>28065.96</v>
      </c>
      <c r="HN31" s="322">
        <v>28090.17</v>
      </c>
      <c r="HO31" s="322">
        <v>26193.3</v>
      </c>
      <c r="HP31" s="322">
        <v>34316.519999999997</v>
      </c>
      <c r="HQ31" s="322">
        <v>39674</v>
      </c>
      <c r="HR31" s="322">
        <v>47306.53</v>
      </c>
      <c r="HS31" s="322">
        <v>37572.430000000008</v>
      </c>
      <c r="HT31" s="322">
        <v>43574.270000000004</v>
      </c>
      <c r="HU31" s="322">
        <v>41402.11</v>
      </c>
      <c r="HV31" s="322"/>
      <c r="HW31" s="322">
        <v>44003.750000000007</v>
      </c>
      <c r="HX31" s="322">
        <v>33289.21</v>
      </c>
      <c r="HY31" s="322">
        <v>27151.78</v>
      </c>
      <c r="HZ31" s="322">
        <v>29587.19</v>
      </c>
      <c r="IA31" s="322"/>
      <c r="IB31" s="322">
        <v>24135.119999999999</v>
      </c>
      <c r="IC31" s="322"/>
      <c r="ID31" s="322"/>
      <c r="IE31" s="322"/>
      <c r="IF31" s="334"/>
      <c r="IG31" s="322" t="s">
        <v>14</v>
      </c>
      <c r="IH31" s="322">
        <v>7958.29</v>
      </c>
      <c r="II31" s="322">
        <v>8682.18</v>
      </c>
      <c r="IJ31" s="322">
        <v>0</v>
      </c>
      <c r="IK31" s="322">
        <v>0</v>
      </c>
      <c r="IL31" s="322">
        <v>0</v>
      </c>
      <c r="IM31" s="322">
        <v>0</v>
      </c>
      <c r="IN31" s="322">
        <v>0</v>
      </c>
      <c r="IO31" s="322">
        <v>0</v>
      </c>
      <c r="IP31" s="322">
        <v>0</v>
      </c>
      <c r="IQ31" s="322">
        <v>0</v>
      </c>
      <c r="IR31" s="322">
        <v>2115</v>
      </c>
      <c r="IS31" s="322">
        <v>2308.71</v>
      </c>
      <c r="IT31" s="322"/>
      <c r="IU31" s="322">
        <v>1950</v>
      </c>
      <c r="IV31" s="322"/>
      <c r="IW31" s="322"/>
      <c r="IX31" s="322"/>
      <c r="IY31" s="322"/>
      <c r="IZ31" s="322"/>
      <c r="JA31" s="322"/>
      <c r="JB31" s="322"/>
      <c r="JC31" s="322"/>
      <c r="JD31" s="334"/>
      <c r="JE31" s="322" t="s">
        <v>14</v>
      </c>
      <c r="JF31" s="322">
        <v>7958.29</v>
      </c>
      <c r="JG31" s="322">
        <v>8682.18</v>
      </c>
      <c r="JH31" s="322">
        <v>8629.9500000000007</v>
      </c>
      <c r="JI31" s="322">
        <v>9355.32</v>
      </c>
      <c r="JJ31" s="322">
        <v>9363.39</v>
      </c>
      <c r="JK31" s="322">
        <v>13096.65</v>
      </c>
      <c r="JL31" s="322">
        <v>8579.1299999999992</v>
      </c>
      <c r="JM31" s="322">
        <v>9918.5</v>
      </c>
      <c r="JN31" s="322">
        <v>7414.26</v>
      </c>
      <c r="JO31" s="322">
        <v>4696.2700000000004</v>
      </c>
      <c r="JP31" s="322">
        <v>10268.49</v>
      </c>
      <c r="JQ31" s="322">
        <v>10031.52</v>
      </c>
      <c r="JR31" s="322"/>
      <c r="JS31" s="322">
        <v>10086</v>
      </c>
      <c r="JT31" s="322">
        <v>11710.85</v>
      </c>
      <c r="JU31" s="322">
        <v>36577.14</v>
      </c>
      <c r="JV31" s="322">
        <v>10763.7</v>
      </c>
      <c r="JW31" s="322"/>
      <c r="JX31" s="322">
        <v>9178.93</v>
      </c>
      <c r="JY31" s="322"/>
      <c r="JZ31" s="322"/>
      <c r="KA31" s="322"/>
      <c r="KB31" s="334"/>
      <c r="KC31" s="322" t="s">
        <v>14</v>
      </c>
      <c r="KD31" s="322">
        <v>7958.29</v>
      </c>
      <c r="KE31" s="322">
        <v>8682.18</v>
      </c>
      <c r="KF31" s="322">
        <v>8629.9500000000007</v>
      </c>
      <c r="KG31" s="322">
        <v>9355.32</v>
      </c>
      <c r="KH31" s="322">
        <v>9363.39</v>
      </c>
      <c r="KI31" s="322">
        <v>39289.949999999997</v>
      </c>
      <c r="KJ31" s="322">
        <v>34316.519999999997</v>
      </c>
      <c r="KK31" s="322">
        <v>29755.5</v>
      </c>
      <c r="KL31" s="322">
        <v>31547.9</v>
      </c>
      <c r="KM31" s="322">
        <v>35772.519999999997</v>
      </c>
      <c r="KN31" s="322">
        <v>35764.869999999995</v>
      </c>
      <c r="KO31" s="322">
        <v>38913.03</v>
      </c>
      <c r="KP31" s="322"/>
      <c r="KQ31" s="322">
        <v>45319.03</v>
      </c>
      <c r="KR31" s="322">
        <v>44308.820000000007</v>
      </c>
      <c r="KS31" s="322">
        <v>41418.409999999996</v>
      </c>
      <c r="KT31" s="322">
        <v>44221.17</v>
      </c>
      <c r="KU31" s="322"/>
      <c r="KV31" s="322">
        <v>46879.670000000006</v>
      </c>
      <c r="KW31" s="322"/>
      <c r="KX31" s="322"/>
      <c r="KY31" s="322"/>
      <c r="KZ31" s="334"/>
      <c r="LA31" s="322" t="s">
        <v>14</v>
      </c>
      <c r="LB31" s="322">
        <v>39791.449999999997</v>
      </c>
      <c r="LC31" s="322">
        <v>78139.62</v>
      </c>
      <c r="LD31" s="322">
        <v>86299.5</v>
      </c>
      <c r="LE31" s="322">
        <v>65487.24</v>
      </c>
      <c r="LF31" s="322">
        <v>140450.85</v>
      </c>
      <c r="LG31" s="322">
        <v>130966.5</v>
      </c>
      <c r="LH31" s="322">
        <v>85791.3</v>
      </c>
      <c r="LI31" s="322">
        <v>69429.5</v>
      </c>
      <c r="LJ31" s="322">
        <v>80286.849999999991</v>
      </c>
      <c r="LK31" s="322">
        <v>110122.12</v>
      </c>
      <c r="LL31" s="322">
        <v>111545.15</v>
      </c>
      <c r="LM31" s="322">
        <v>78876.12</v>
      </c>
      <c r="LN31" s="322"/>
      <c r="LO31" s="322">
        <v>90754.27</v>
      </c>
      <c r="LP31" s="322">
        <v>117556.2</v>
      </c>
      <c r="LQ31" s="322">
        <v>110659.12</v>
      </c>
      <c r="LR31" s="322">
        <v>189759.69999999998</v>
      </c>
      <c r="LS31" s="322"/>
      <c r="LT31" s="322">
        <v>135095.66</v>
      </c>
      <c r="LU31" s="322"/>
      <c r="LV31" s="322"/>
      <c r="LW31" s="322"/>
      <c r="LX31" s="334"/>
      <c r="LY31" s="322" t="s">
        <v>14</v>
      </c>
      <c r="LZ31" s="322">
        <v>230790.41</v>
      </c>
      <c r="MA31" s="322">
        <v>260465.4</v>
      </c>
      <c r="MB31" s="322">
        <v>241638.6</v>
      </c>
      <c r="MC31" s="322">
        <v>252593.64</v>
      </c>
      <c r="MD31" s="322">
        <v>205994.58</v>
      </c>
      <c r="ME31" s="322">
        <v>261933</v>
      </c>
      <c r="MF31" s="322">
        <v>42895.65</v>
      </c>
      <c r="MG31" s="322">
        <v>0</v>
      </c>
      <c r="MH31" s="322">
        <v>0</v>
      </c>
      <c r="MI31" s="322">
        <v>0</v>
      </c>
      <c r="MJ31" s="322">
        <v>0</v>
      </c>
      <c r="MK31" s="322">
        <v>0</v>
      </c>
      <c r="ML31" s="322"/>
      <c r="MM31" s="322">
        <v>159265.26</v>
      </c>
      <c r="MN31" s="322">
        <v>132166.77000000002</v>
      </c>
      <c r="MO31" s="322">
        <v>0</v>
      </c>
      <c r="MP31" s="322">
        <v>0</v>
      </c>
      <c r="MQ31" s="322"/>
      <c r="MR31" s="322">
        <v>0</v>
      </c>
      <c r="MS31" s="322"/>
      <c r="MT31" s="322"/>
      <c r="MU31" s="322"/>
      <c r="MV31" s="334"/>
      <c r="MW31" s="322" t="s">
        <v>14</v>
      </c>
      <c r="MX31" s="322">
        <v>15916.58</v>
      </c>
      <c r="MY31" s="322">
        <v>26046.54</v>
      </c>
      <c r="MZ31" s="322">
        <v>25889.85</v>
      </c>
      <c r="NA31" s="322">
        <v>28065.96</v>
      </c>
      <c r="NB31" s="322">
        <v>28090.17</v>
      </c>
      <c r="NC31" s="322">
        <v>39289.949999999997</v>
      </c>
      <c r="ND31" s="322">
        <v>0</v>
      </c>
      <c r="NE31" s="322">
        <v>0</v>
      </c>
      <c r="NF31" s="322">
        <v>0</v>
      </c>
      <c r="NG31" s="322">
        <v>0</v>
      </c>
      <c r="NH31" s="322">
        <v>0</v>
      </c>
      <c r="NI31" s="322">
        <v>0</v>
      </c>
      <c r="NJ31" s="322"/>
      <c r="NK31" s="322">
        <v>16574.060000000001</v>
      </c>
      <c r="NL31" s="322">
        <v>16144.91</v>
      </c>
      <c r="NM31" s="322">
        <v>0</v>
      </c>
      <c r="NN31" s="322">
        <v>0</v>
      </c>
      <c r="NO31" s="322"/>
      <c r="NP31" s="322">
        <v>0</v>
      </c>
      <c r="NQ31" s="322"/>
      <c r="NR31" s="322"/>
      <c r="NS31" s="322"/>
      <c r="NT31" s="334"/>
      <c r="NU31" s="322" t="s">
        <v>14</v>
      </c>
      <c r="NV31" s="322">
        <v>47749.74</v>
      </c>
      <c r="NW31" s="322">
        <v>43410.9</v>
      </c>
      <c r="NX31" s="322">
        <v>51779.7</v>
      </c>
      <c r="NY31" s="322">
        <v>56131.92</v>
      </c>
      <c r="NZ31" s="322">
        <v>56180.34</v>
      </c>
      <c r="OA31" s="322">
        <v>65483.25</v>
      </c>
      <c r="OB31" s="322">
        <v>0</v>
      </c>
      <c r="OC31" s="322">
        <v>0</v>
      </c>
      <c r="OD31" s="322">
        <v>0</v>
      </c>
      <c r="OE31" s="322">
        <v>0</v>
      </c>
      <c r="OF31" s="322">
        <v>0</v>
      </c>
      <c r="OG31" s="322">
        <v>0</v>
      </c>
      <c r="OH31" s="322"/>
      <c r="OI31" s="322">
        <v>28188.720000000001</v>
      </c>
      <c r="OJ31" s="322">
        <v>26202.09</v>
      </c>
      <c r="OK31" s="322">
        <v>185976.18000000005</v>
      </c>
      <c r="OL31" s="322">
        <v>206397.24000000002</v>
      </c>
      <c r="OM31" s="322"/>
      <c r="ON31" s="322">
        <v>226689.74</v>
      </c>
      <c r="OO31" s="322"/>
      <c r="OP31" s="322"/>
      <c r="OQ31" s="322"/>
      <c r="OR31" s="334"/>
      <c r="OS31" s="322" t="s">
        <v>14</v>
      </c>
      <c r="OT31" s="322">
        <v>31833.16</v>
      </c>
      <c r="OU31" s="322">
        <v>34728.720000000001</v>
      </c>
      <c r="OV31" s="322">
        <v>43149.75</v>
      </c>
      <c r="OW31" s="322">
        <v>28065.96</v>
      </c>
      <c r="OX31" s="322">
        <v>28090.17</v>
      </c>
      <c r="OY31" s="322">
        <v>26193.3</v>
      </c>
      <c r="OZ31" s="322">
        <v>0</v>
      </c>
      <c r="PA31" s="322">
        <v>0</v>
      </c>
      <c r="PB31" s="322">
        <v>0</v>
      </c>
      <c r="PC31" s="322">
        <v>0</v>
      </c>
      <c r="PD31" s="322">
        <v>0</v>
      </c>
      <c r="PE31" s="322">
        <v>0</v>
      </c>
      <c r="PF31" s="322"/>
      <c r="PG31" s="322">
        <v>0</v>
      </c>
      <c r="PH31" s="322">
        <v>0</v>
      </c>
      <c r="PI31" s="322">
        <v>0</v>
      </c>
      <c r="PJ31" s="322">
        <v>21878.73</v>
      </c>
      <c r="PK31" s="322"/>
      <c r="PL31" s="322">
        <v>25089.46</v>
      </c>
      <c r="PM31" s="322"/>
      <c r="PN31" s="322"/>
      <c r="PO31" s="322"/>
      <c r="PP31" s="334"/>
      <c r="PQ31" s="322" t="s">
        <v>14</v>
      </c>
      <c r="PR31" s="322">
        <v>7958.29</v>
      </c>
      <c r="PS31" s="322">
        <v>8682.18</v>
      </c>
      <c r="PT31" s="322">
        <v>8629.9500000000007</v>
      </c>
      <c r="PU31" s="322">
        <v>9355.32</v>
      </c>
      <c r="PV31" s="322">
        <v>9363.39</v>
      </c>
      <c r="PW31" s="322">
        <v>13096.65</v>
      </c>
      <c r="PX31" s="322">
        <v>0</v>
      </c>
      <c r="PY31" s="322">
        <v>0</v>
      </c>
      <c r="PZ31" s="322">
        <v>0</v>
      </c>
      <c r="QA31" s="322">
        <v>0</v>
      </c>
      <c r="QB31" s="322">
        <v>0</v>
      </c>
      <c r="QC31" s="322">
        <v>0</v>
      </c>
      <c r="QD31" s="322"/>
      <c r="QE31" s="322">
        <v>1811.1499999999999</v>
      </c>
      <c r="QF31" s="322">
        <v>1018.37</v>
      </c>
      <c r="QG31" s="322">
        <v>16860.519999999997</v>
      </c>
      <c r="QH31" s="322">
        <v>22808.76</v>
      </c>
      <c r="QI31" s="322"/>
      <c r="QJ31" s="322">
        <v>22498.000000000004</v>
      </c>
      <c r="QK31" s="322"/>
      <c r="QL31" s="322"/>
      <c r="QM31" s="322"/>
      <c r="QN31" s="334"/>
      <c r="QO31" s="322" t="s">
        <v>14</v>
      </c>
      <c r="QP31" s="322">
        <v>111416.06</v>
      </c>
      <c r="QQ31" s="322">
        <v>86821.8</v>
      </c>
      <c r="QR31" s="322">
        <v>0</v>
      </c>
      <c r="QS31" s="322">
        <v>0</v>
      </c>
      <c r="QT31" s="322">
        <v>0</v>
      </c>
      <c r="QU31" s="322">
        <v>0</v>
      </c>
      <c r="QV31" s="322">
        <v>0</v>
      </c>
      <c r="QW31" s="322">
        <v>0</v>
      </c>
      <c r="QX31" s="322">
        <v>3072.5</v>
      </c>
      <c r="QY31" s="322">
        <v>3072.5</v>
      </c>
      <c r="QZ31" s="322">
        <v>11343</v>
      </c>
      <c r="RA31" s="322">
        <v>11342</v>
      </c>
      <c r="RB31" s="322"/>
      <c r="RC31" s="322">
        <v>19612</v>
      </c>
      <c r="RD31" s="322">
        <v>11342</v>
      </c>
      <c r="RE31" s="322">
        <v>11342</v>
      </c>
      <c r="RF31" s="322">
        <v>11342</v>
      </c>
      <c r="RG31" s="322"/>
      <c r="RH31" s="322">
        <v>11342</v>
      </c>
      <c r="RI31" s="322"/>
      <c r="RJ31" s="322"/>
      <c r="RK31" s="322"/>
      <c r="RL31" s="334"/>
      <c r="RM31" s="322" t="s">
        <v>14</v>
      </c>
      <c r="RN31" s="322">
        <v>7958.29</v>
      </c>
      <c r="RO31" s="322">
        <v>8682.18</v>
      </c>
      <c r="RP31" s="322">
        <v>8629.9500000000007</v>
      </c>
      <c r="RQ31" s="322">
        <v>102908.52</v>
      </c>
      <c r="RR31" s="322">
        <v>0</v>
      </c>
      <c r="RS31" s="322">
        <v>0</v>
      </c>
      <c r="RT31" s="322">
        <v>205899.12</v>
      </c>
      <c r="RU31" s="322">
        <v>198370</v>
      </c>
      <c r="RV31" s="322">
        <v>213696.39</v>
      </c>
      <c r="RW31" s="322">
        <v>404392.98</v>
      </c>
      <c r="RX31" s="322">
        <v>563525.1100000001</v>
      </c>
      <c r="RY31" s="322">
        <v>197888.54999999996</v>
      </c>
      <c r="RZ31" s="322"/>
      <c r="SA31" s="322">
        <v>4288.21</v>
      </c>
      <c r="SB31" s="322">
        <v>15225.84</v>
      </c>
      <c r="SC31" s="322">
        <v>0</v>
      </c>
      <c r="SD31" s="322">
        <v>2375264.38</v>
      </c>
      <c r="SE31" s="322"/>
      <c r="SF31" s="322">
        <v>1309008.9100000001</v>
      </c>
      <c r="SG31" s="322"/>
      <c r="SH31" s="322"/>
      <c r="SI31" s="322"/>
    </row>
    <row r="32" spans="1:503">
      <c r="A32" s="319" t="s">
        <v>15</v>
      </c>
      <c r="B32" s="319">
        <v>877154</v>
      </c>
      <c r="C32" s="319">
        <v>1061523</v>
      </c>
      <c r="D32" s="319">
        <v>1230155</v>
      </c>
      <c r="E32" s="319">
        <v>1337102</v>
      </c>
      <c r="F32" s="319">
        <v>1203913</v>
      </c>
      <c r="G32" s="319">
        <v>1156630</v>
      </c>
      <c r="H32" s="319">
        <v>1190029</v>
      </c>
      <c r="I32" s="319">
        <v>1187577</v>
      </c>
      <c r="J32" s="319">
        <v>1302092.33</v>
      </c>
      <c r="K32" s="319">
        <v>1025596.43</v>
      </c>
      <c r="L32" s="319">
        <v>1073765.3999999999</v>
      </c>
      <c r="M32" s="319">
        <v>1117134.82</v>
      </c>
      <c r="N32" s="319">
        <v>1314302.3899999999</v>
      </c>
      <c r="O32" s="319">
        <v>1297643.1700000002</v>
      </c>
      <c r="P32" s="319">
        <v>1429522.1900000002</v>
      </c>
      <c r="Q32" s="319">
        <v>1451256.37</v>
      </c>
      <c r="R32" s="319">
        <v>1380932.05</v>
      </c>
      <c r="S32" s="322">
        <v>1298682.0900000001</v>
      </c>
      <c r="T32" s="319">
        <v>1312661.1800000002</v>
      </c>
      <c r="U32" s="319">
        <v>1452818.2800000003</v>
      </c>
      <c r="V32" s="319">
        <v>1388582.92</v>
      </c>
      <c r="W32" s="319">
        <v>2004118</v>
      </c>
      <c r="X32" s="330"/>
      <c r="Y32" s="319" t="s">
        <v>15</v>
      </c>
      <c r="Z32" s="319">
        <v>35086.160000000003</v>
      </c>
      <c r="AA32" s="319">
        <v>42460.92</v>
      </c>
      <c r="AB32" s="319">
        <v>36904.65</v>
      </c>
      <c r="AC32" s="319">
        <v>66855.100000000006</v>
      </c>
      <c r="AD32" s="319">
        <v>72234.78</v>
      </c>
      <c r="AE32" s="319">
        <v>69397.8</v>
      </c>
      <c r="AF32" s="319">
        <v>69397.8</v>
      </c>
      <c r="AG32" s="319">
        <v>71254.62</v>
      </c>
      <c r="AH32" s="319">
        <v>73203.740000000005</v>
      </c>
      <c r="AI32" s="319">
        <v>73305.489999999991</v>
      </c>
      <c r="AJ32" s="319">
        <v>72945.95</v>
      </c>
      <c r="AK32" s="319">
        <v>75199.53</v>
      </c>
      <c r="AL32" s="319">
        <v>73782.59</v>
      </c>
      <c r="AM32" s="319">
        <v>77507.579999999987</v>
      </c>
      <c r="AN32" s="319">
        <v>76662.14</v>
      </c>
      <c r="AO32" s="319">
        <v>79354.16</v>
      </c>
      <c r="AP32" s="319">
        <v>87897.18</v>
      </c>
      <c r="AQ32" s="322">
        <v>83723.139999999985</v>
      </c>
      <c r="AR32" s="319">
        <v>87971.67</v>
      </c>
      <c r="AS32" s="319">
        <v>88574.32</v>
      </c>
      <c r="AT32" s="319">
        <v>90231.46</v>
      </c>
      <c r="AU32" s="319">
        <v>92520</v>
      </c>
      <c r="AV32" s="334"/>
      <c r="AW32" s="319" t="s">
        <v>15</v>
      </c>
      <c r="AX32" s="319">
        <v>52629.24</v>
      </c>
      <c r="AY32" s="319">
        <v>53076.15</v>
      </c>
      <c r="AZ32" s="319">
        <v>61507.75</v>
      </c>
      <c r="BA32" s="319">
        <v>80226.12</v>
      </c>
      <c r="BB32" s="319">
        <v>84273.91</v>
      </c>
      <c r="BC32" s="319">
        <v>80964.100000000006</v>
      </c>
      <c r="BD32" s="319">
        <v>83302.030000000013</v>
      </c>
      <c r="BE32" s="319">
        <v>83130.390000000014</v>
      </c>
      <c r="BF32" s="319">
        <v>80266.700000000012</v>
      </c>
      <c r="BG32" s="319">
        <v>88192.02</v>
      </c>
      <c r="BH32" s="319">
        <v>94930.13</v>
      </c>
      <c r="BI32" s="319">
        <v>92879.12000000001</v>
      </c>
      <c r="BJ32" s="319">
        <v>93804.199999999983</v>
      </c>
      <c r="BK32" s="319">
        <v>97459.659999999989</v>
      </c>
      <c r="BL32" s="319">
        <v>101159.46000000002</v>
      </c>
      <c r="BM32" s="319">
        <v>101200.54000000001</v>
      </c>
      <c r="BN32" s="319">
        <v>113114.47000000002</v>
      </c>
      <c r="BO32" s="322">
        <v>108554.65999999999</v>
      </c>
      <c r="BP32" s="319">
        <v>114016.00000000001</v>
      </c>
      <c r="BQ32" s="319">
        <v>118974.9</v>
      </c>
      <c r="BR32" s="319">
        <v>124848.57</v>
      </c>
      <c r="BS32" s="319">
        <v>145730</v>
      </c>
      <c r="BT32" s="334"/>
      <c r="BU32" s="322" t="s">
        <v>15</v>
      </c>
      <c r="BV32" s="322">
        <v>26314.62</v>
      </c>
      <c r="BW32" s="322">
        <v>10615.23</v>
      </c>
      <c r="BX32" s="322">
        <v>24603.1</v>
      </c>
      <c r="BY32" s="322">
        <v>13371.02</v>
      </c>
      <c r="BZ32" s="322">
        <v>48156.52</v>
      </c>
      <c r="CA32" s="322">
        <v>11566.3</v>
      </c>
      <c r="CB32" s="322">
        <v>23800.58</v>
      </c>
      <c r="CC32" s="322">
        <v>11875.77</v>
      </c>
      <c r="CD32" s="322">
        <v>36024.33</v>
      </c>
      <c r="CE32" s="322">
        <v>6028.7</v>
      </c>
      <c r="CF32" s="322">
        <v>34055.600000000006</v>
      </c>
      <c r="CG32" s="322">
        <v>20807.22</v>
      </c>
      <c r="CH32" s="322">
        <v>56254.239999999998</v>
      </c>
      <c r="CI32" s="322">
        <v>20790.160000000003</v>
      </c>
      <c r="CJ32" s="322">
        <v>39731.58</v>
      </c>
      <c r="CK32" s="322">
        <v>15565.019999999999</v>
      </c>
      <c r="CL32" s="322">
        <v>67981.59</v>
      </c>
      <c r="CM32" s="322">
        <v>23803.999999999996</v>
      </c>
      <c r="CN32" s="322">
        <v>58855.41</v>
      </c>
      <c r="CO32" s="322">
        <v>118327.59000000001</v>
      </c>
      <c r="CP32" s="322">
        <v>65111.07</v>
      </c>
      <c r="CQ32" s="322">
        <v>38350</v>
      </c>
      <c r="CR32" s="334"/>
      <c r="CS32" s="322" t="s">
        <v>15</v>
      </c>
      <c r="CT32" s="322">
        <v>87715.4</v>
      </c>
      <c r="CU32" s="322">
        <v>95537.07</v>
      </c>
      <c r="CV32" s="322">
        <v>110713.95</v>
      </c>
      <c r="CW32" s="322">
        <v>80226.12</v>
      </c>
      <c r="CX32" s="322">
        <v>96313.04</v>
      </c>
      <c r="CY32" s="322">
        <v>80964.100000000006</v>
      </c>
      <c r="CZ32" s="322">
        <v>83302.03</v>
      </c>
      <c r="DA32" s="322">
        <v>83130.39</v>
      </c>
      <c r="DB32" s="322">
        <v>69482.55</v>
      </c>
      <c r="DC32" s="322">
        <v>100448.00999999998</v>
      </c>
      <c r="DD32" s="322">
        <v>83617.55</v>
      </c>
      <c r="DE32" s="322">
        <v>91495.02</v>
      </c>
      <c r="DF32" s="322">
        <v>101741.17999999998</v>
      </c>
      <c r="DG32" s="322">
        <v>152095.76999999999</v>
      </c>
      <c r="DH32" s="322">
        <v>162286.30000000002</v>
      </c>
      <c r="DI32" s="322">
        <v>393893.99</v>
      </c>
      <c r="DJ32" s="322">
        <v>108873.30000000002</v>
      </c>
      <c r="DK32" s="322">
        <v>153315.87</v>
      </c>
      <c r="DL32" s="322">
        <v>129899.98999999999</v>
      </c>
      <c r="DM32" s="322">
        <v>147865.01999999999</v>
      </c>
      <c r="DN32" s="322">
        <v>143567.54999999999</v>
      </c>
      <c r="DO32" s="322">
        <v>314962</v>
      </c>
      <c r="DP32" s="334"/>
      <c r="DQ32" s="322" t="s">
        <v>15</v>
      </c>
      <c r="DR32" s="322">
        <v>96486.94</v>
      </c>
      <c r="DS32" s="322">
        <v>106152.3</v>
      </c>
      <c r="DT32" s="322">
        <v>135317.04999999999</v>
      </c>
      <c r="DU32" s="322">
        <v>133710.20000000001</v>
      </c>
      <c r="DV32" s="322">
        <v>132430.43</v>
      </c>
      <c r="DW32" s="322">
        <v>150361.9</v>
      </c>
      <c r="DX32" s="322">
        <v>142803.48000000001</v>
      </c>
      <c r="DY32" s="322">
        <v>154385.01</v>
      </c>
      <c r="DZ32" s="322">
        <v>173845.44</v>
      </c>
      <c r="EA32" s="322">
        <v>104716.68000000001</v>
      </c>
      <c r="EB32" s="322">
        <v>107894.44</v>
      </c>
      <c r="EC32" s="322">
        <v>116832.68</v>
      </c>
      <c r="ED32" s="322">
        <v>125853.51999999999</v>
      </c>
      <c r="EE32" s="322">
        <v>128643.63</v>
      </c>
      <c r="EF32" s="322">
        <v>137705.78</v>
      </c>
      <c r="EG32" s="322">
        <v>140718.97999999998</v>
      </c>
      <c r="EH32" s="322">
        <v>146468.90000000002</v>
      </c>
      <c r="EI32" s="322">
        <v>134619.57999999999</v>
      </c>
      <c r="EJ32" s="322">
        <v>124204.53</v>
      </c>
      <c r="EK32" s="322">
        <v>132797.56999999998</v>
      </c>
      <c r="EL32" s="322">
        <v>131966.78</v>
      </c>
      <c r="EM32" s="322">
        <v>169870</v>
      </c>
      <c r="EN32" s="334"/>
      <c r="EO32" s="322" t="s">
        <v>15</v>
      </c>
      <c r="EP32" s="322">
        <v>61400.78</v>
      </c>
      <c r="EQ32" s="322">
        <v>53076.15</v>
      </c>
      <c r="ER32" s="322">
        <v>49206.2</v>
      </c>
      <c r="ES32" s="322">
        <v>66855.100000000006</v>
      </c>
      <c r="ET32" s="322">
        <v>48156.52</v>
      </c>
      <c r="EU32" s="322">
        <v>57831.5</v>
      </c>
      <c r="EV32" s="322">
        <v>59501.45</v>
      </c>
      <c r="EW32" s="322">
        <v>59378.85</v>
      </c>
      <c r="EX32" s="322">
        <v>56176.12</v>
      </c>
      <c r="EY32" s="322">
        <v>59274.09</v>
      </c>
      <c r="EZ32" s="322">
        <v>64738.22</v>
      </c>
      <c r="FA32" s="322">
        <v>84094.77</v>
      </c>
      <c r="FB32" s="322">
        <v>77821.279999999999</v>
      </c>
      <c r="FC32" s="322">
        <v>79356.510000000009</v>
      </c>
      <c r="FD32" s="322">
        <v>0</v>
      </c>
      <c r="FE32" s="322">
        <v>0</v>
      </c>
      <c r="FF32" s="322">
        <v>0</v>
      </c>
      <c r="FG32" s="322">
        <v>0</v>
      </c>
      <c r="FH32" s="322">
        <v>0</v>
      </c>
      <c r="FI32" s="322">
        <v>0</v>
      </c>
      <c r="FJ32" s="322">
        <v>0</v>
      </c>
      <c r="FK32" s="322">
        <v>0</v>
      </c>
      <c r="FL32" s="334"/>
      <c r="FM32" s="322" t="s">
        <v>15</v>
      </c>
      <c r="FN32" s="322">
        <v>0</v>
      </c>
      <c r="FO32" s="322">
        <v>0</v>
      </c>
      <c r="FP32" s="322">
        <v>0</v>
      </c>
      <c r="FQ32" s="322">
        <v>0</v>
      </c>
      <c r="FR32" s="322">
        <v>0</v>
      </c>
      <c r="FS32" s="322">
        <v>0</v>
      </c>
      <c r="FT32" s="322">
        <v>0</v>
      </c>
      <c r="FU32" s="322">
        <v>0</v>
      </c>
      <c r="FV32" s="322">
        <v>2628.45</v>
      </c>
      <c r="FW32" s="322">
        <v>2591.29</v>
      </c>
      <c r="FX32" s="322">
        <v>3908.04</v>
      </c>
      <c r="FY32" s="322">
        <v>0</v>
      </c>
      <c r="FZ32" s="322">
        <v>0</v>
      </c>
      <c r="GA32" s="322">
        <v>0</v>
      </c>
      <c r="GB32" s="322">
        <v>79819.859999999986</v>
      </c>
      <c r="GC32" s="322">
        <v>83137.42</v>
      </c>
      <c r="GD32" s="322">
        <v>85875.26</v>
      </c>
      <c r="GE32" s="322">
        <v>87141.98000000001</v>
      </c>
      <c r="GF32" s="340">
        <v>82954.680000000008</v>
      </c>
      <c r="GG32" s="704">
        <v>84814.810000000012</v>
      </c>
      <c r="GH32" s="704">
        <v>88646.12</v>
      </c>
      <c r="GI32" s="704">
        <v>92860</v>
      </c>
      <c r="GJ32" s="334"/>
      <c r="GK32" s="322" t="s">
        <v>15</v>
      </c>
      <c r="GL32" s="322">
        <v>0</v>
      </c>
      <c r="GM32" s="322">
        <v>0</v>
      </c>
      <c r="GN32" s="322">
        <v>0</v>
      </c>
      <c r="GO32" s="322">
        <v>66855.100000000006</v>
      </c>
      <c r="GP32" s="322">
        <v>0</v>
      </c>
      <c r="GQ32" s="322">
        <v>46265.2</v>
      </c>
      <c r="GR32" s="322">
        <v>23800.58</v>
      </c>
      <c r="GS32" s="322">
        <v>23751.54</v>
      </c>
      <c r="GT32" s="322">
        <v>25647.130000000005</v>
      </c>
      <c r="GU32" s="322">
        <v>27569.919999999998</v>
      </c>
      <c r="GV32" s="322">
        <v>0</v>
      </c>
      <c r="GW32" s="322">
        <v>0</v>
      </c>
      <c r="GX32" s="322">
        <v>0</v>
      </c>
      <c r="GY32" s="322">
        <v>0</v>
      </c>
      <c r="GZ32" s="322">
        <v>0</v>
      </c>
      <c r="HA32" s="322">
        <v>0</v>
      </c>
      <c r="HB32" s="322">
        <v>0</v>
      </c>
      <c r="HC32" s="322">
        <v>0</v>
      </c>
      <c r="HD32" s="322">
        <v>0</v>
      </c>
      <c r="HE32" s="322">
        <v>0</v>
      </c>
      <c r="HF32" s="322">
        <v>0</v>
      </c>
      <c r="HG32" s="322">
        <v>0</v>
      </c>
      <c r="HH32" s="334"/>
      <c r="HI32" s="322" t="s">
        <v>15</v>
      </c>
      <c r="HJ32" s="322">
        <v>26314.62</v>
      </c>
      <c r="HK32" s="322">
        <v>31845.69</v>
      </c>
      <c r="HL32" s="322">
        <v>61507.75</v>
      </c>
      <c r="HM32" s="322">
        <v>13371.02</v>
      </c>
      <c r="HN32" s="322">
        <v>60195.65</v>
      </c>
      <c r="HO32" s="322">
        <v>0</v>
      </c>
      <c r="HP32" s="322">
        <v>0</v>
      </c>
      <c r="HQ32" s="322">
        <v>0</v>
      </c>
      <c r="HR32" s="322">
        <v>0</v>
      </c>
      <c r="HS32" s="322">
        <v>0</v>
      </c>
      <c r="HT32" s="322">
        <v>30110.65</v>
      </c>
      <c r="HU32" s="322">
        <v>32366.820000000003</v>
      </c>
      <c r="HV32" s="322">
        <v>38816.509999999995</v>
      </c>
      <c r="HW32" s="322">
        <v>47288.100000000006</v>
      </c>
      <c r="HX32" s="322">
        <v>35102.82</v>
      </c>
      <c r="HY32" s="322">
        <v>36009.5</v>
      </c>
      <c r="HZ32" s="322">
        <v>39321.909999999996</v>
      </c>
      <c r="IA32" s="322">
        <v>40388.83</v>
      </c>
      <c r="IB32" s="322">
        <v>53722.48000000001</v>
      </c>
      <c r="IC32" s="322">
        <v>74483.25</v>
      </c>
      <c r="ID32" s="322">
        <v>48485.22</v>
      </c>
      <c r="IE32" s="322">
        <v>54233</v>
      </c>
      <c r="IF32" s="334"/>
      <c r="IG32" s="322" t="s">
        <v>15</v>
      </c>
      <c r="IH32" s="322">
        <v>8771.5400000000009</v>
      </c>
      <c r="II32" s="322">
        <v>0</v>
      </c>
      <c r="IJ32" s="322">
        <v>0</v>
      </c>
      <c r="IK32" s="322">
        <v>0</v>
      </c>
      <c r="IL32" s="322">
        <v>12039.13</v>
      </c>
      <c r="IM32" s="322">
        <v>11566.3</v>
      </c>
      <c r="IN32" s="322">
        <v>0</v>
      </c>
      <c r="IO32" s="322">
        <v>0</v>
      </c>
      <c r="IP32" s="322">
        <v>6354.6600000000008</v>
      </c>
      <c r="IQ32" s="322">
        <v>5161.7699999999995</v>
      </c>
      <c r="IR32" s="322">
        <v>0</v>
      </c>
      <c r="IS32" s="322">
        <v>0</v>
      </c>
      <c r="IT32" s="322">
        <v>0</v>
      </c>
      <c r="IU32" s="322">
        <v>0</v>
      </c>
      <c r="IV32" s="322"/>
      <c r="IW32" s="322"/>
      <c r="IX32" s="322"/>
      <c r="IY32" s="322"/>
      <c r="IZ32" s="322"/>
      <c r="JA32" s="322"/>
      <c r="JB32" s="322"/>
      <c r="JC32" s="322"/>
      <c r="JD32" s="334"/>
      <c r="JE32" s="322" t="s">
        <v>15</v>
      </c>
      <c r="JF32" s="322">
        <v>8771.5400000000009</v>
      </c>
      <c r="JG32" s="322">
        <v>0</v>
      </c>
      <c r="JH32" s="322">
        <v>0</v>
      </c>
      <c r="JI32" s="322">
        <v>13371.02</v>
      </c>
      <c r="JJ32" s="322">
        <v>12039.13</v>
      </c>
      <c r="JK32" s="322">
        <v>11566.3</v>
      </c>
      <c r="JL32" s="322">
        <v>11900.29</v>
      </c>
      <c r="JM32" s="322">
        <v>11875.77</v>
      </c>
      <c r="JN32" s="322">
        <v>30399.75</v>
      </c>
      <c r="JO32" s="322">
        <v>21455.86</v>
      </c>
      <c r="JP32" s="322">
        <v>17531.730000000003</v>
      </c>
      <c r="JQ32" s="322">
        <v>14634.84</v>
      </c>
      <c r="JR32" s="322">
        <v>22020.199999999997</v>
      </c>
      <c r="JS32" s="322">
        <v>18632.069999999996</v>
      </c>
      <c r="JT32" s="322">
        <v>23899.54</v>
      </c>
      <c r="JU32" s="322">
        <v>9010.68</v>
      </c>
      <c r="JV32" s="322">
        <v>13607.05</v>
      </c>
      <c r="JW32" s="322">
        <v>20612.420000000002</v>
      </c>
      <c r="JX32" s="322">
        <v>28778.44</v>
      </c>
      <c r="JY32" s="322">
        <v>26991.040000000001</v>
      </c>
      <c r="JZ32" s="322">
        <v>44949.729999999996</v>
      </c>
      <c r="KA32" s="322">
        <v>50380</v>
      </c>
      <c r="KB32" s="334"/>
      <c r="KC32" s="322" t="s">
        <v>15</v>
      </c>
      <c r="KD32" s="322">
        <v>8771.5400000000009</v>
      </c>
      <c r="KE32" s="322">
        <v>10615.23</v>
      </c>
      <c r="KF32" s="322">
        <v>12301.55</v>
      </c>
      <c r="KG32" s="322">
        <v>13371.02</v>
      </c>
      <c r="KH32" s="322">
        <v>12039.13</v>
      </c>
      <c r="KI32" s="322">
        <v>23132.6</v>
      </c>
      <c r="KJ32" s="322">
        <v>11900.29</v>
      </c>
      <c r="KK32" s="322">
        <v>11875.77</v>
      </c>
      <c r="KL32" s="322">
        <v>14893.92</v>
      </c>
      <c r="KM32" s="322">
        <v>19082.650000000001</v>
      </c>
      <c r="KN32" s="322">
        <v>19276.93</v>
      </c>
      <c r="KO32" s="322">
        <v>18780.060000000001</v>
      </c>
      <c r="KP32" s="322">
        <v>19755.55</v>
      </c>
      <c r="KQ32" s="322">
        <v>21392.79</v>
      </c>
      <c r="KR32" s="322">
        <v>21077.120000000003</v>
      </c>
      <c r="KS32" s="322">
        <v>22604.37</v>
      </c>
      <c r="KT32" s="322">
        <v>21082.309999999998</v>
      </c>
      <c r="KU32" s="322">
        <v>23020.020000000004</v>
      </c>
      <c r="KV32" s="322">
        <v>21385.73</v>
      </c>
      <c r="KW32" s="322">
        <v>20723.100000000002</v>
      </c>
      <c r="KX32" s="322">
        <v>23230.25</v>
      </c>
      <c r="KY32" s="322">
        <v>31050</v>
      </c>
      <c r="KZ32" s="334"/>
      <c r="LA32" s="322" t="s">
        <v>15</v>
      </c>
      <c r="LB32" s="322">
        <v>78943.86</v>
      </c>
      <c r="LC32" s="322">
        <v>53076.15</v>
      </c>
      <c r="LD32" s="322">
        <v>61507.75</v>
      </c>
      <c r="LE32" s="322">
        <v>80226.12</v>
      </c>
      <c r="LF32" s="322">
        <v>72234.78</v>
      </c>
      <c r="LG32" s="322">
        <v>69397.8</v>
      </c>
      <c r="LH32" s="322">
        <v>95202.32</v>
      </c>
      <c r="LI32" s="322">
        <v>83130.39</v>
      </c>
      <c r="LJ32" s="322">
        <v>93226.52</v>
      </c>
      <c r="LK32" s="322">
        <v>92536.68</v>
      </c>
      <c r="LL32" s="322">
        <v>87233.68</v>
      </c>
      <c r="LM32" s="322">
        <v>88034.38</v>
      </c>
      <c r="LN32" s="322">
        <v>94702.9</v>
      </c>
      <c r="LO32" s="322">
        <v>155665.39000000001</v>
      </c>
      <c r="LP32" s="322">
        <v>161929.82</v>
      </c>
      <c r="LQ32" s="322">
        <v>159642.75</v>
      </c>
      <c r="LR32" s="322">
        <v>106438.70000000001</v>
      </c>
      <c r="LS32" s="322">
        <v>129533.79</v>
      </c>
      <c r="LT32" s="322">
        <v>160384.79</v>
      </c>
      <c r="LU32" s="322">
        <v>177011.8</v>
      </c>
      <c r="LV32" s="322">
        <v>134967.09999999998</v>
      </c>
      <c r="LW32" s="322">
        <v>166360</v>
      </c>
      <c r="LX32" s="334"/>
      <c r="LY32" s="322" t="s">
        <v>15</v>
      </c>
      <c r="LZ32" s="322">
        <v>236831.58</v>
      </c>
      <c r="MA32" s="322">
        <v>286611.21000000002</v>
      </c>
      <c r="MB32" s="322">
        <v>332141.84999999998</v>
      </c>
      <c r="MC32" s="322">
        <v>361017.54</v>
      </c>
      <c r="MD32" s="322">
        <v>409330.42</v>
      </c>
      <c r="ME32" s="322">
        <v>404820.5</v>
      </c>
      <c r="MF32" s="322">
        <v>428410.44</v>
      </c>
      <c r="MG32" s="322">
        <v>451279.26</v>
      </c>
      <c r="MH32" s="322">
        <v>474636.32000000007</v>
      </c>
      <c r="MI32" s="322">
        <v>220768.41999999998</v>
      </c>
      <c r="MJ32" s="322">
        <v>135143.31</v>
      </c>
      <c r="MK32" s="322">
        <v>173811.86000000002</v>
      </c>
      <c r="ML32" s="322">
        <v>197114.36000000002</v>
      </c>
      <c r="MM32" s="322">
        <v>172751.62000000005</v>
      </c>
      <c r="MN32" s="322">
        <v>195725.54000000004</v>
      </c>
      <c r="MO32" s="322">
        <v>160574.63999999998</v>
      </c>
      <c r="MP32" s="322">
        <v>173700.38</v>
      </c>
      <c r="MQ32" s="322">
        <v>150785.80000000002</v>
      </c>
      <c r="MR32" s="322">
        <v>140050.14000000001</v>
      </c>
      <c r="MS32" s="322">
        <v>91841.11</v>
      </c>
      <c r="MT32" s="322">
        <v>109906.83</v>
      </c>
      <c r="MU32" s="322">
        <v>180850</v>
      </c>
      <c r="MV32" s="334"/>
      <c r="MW32" s="322" t="s">
        <v>15</v>
      </c>
      <c r="MX32" s="322">
        <v>52629.24</v>
      </c>
      <c r="MY32" s="322">
        <v>63691.38</v>
      </c>
      <c r="MZ32" s="322">
        <v>86110.85</v>
      </c>
      <c r="NA32" s="322">
        <v>80226.12</v>
      </c>
      <c r="NB32" s="322">
        <v>60195.65</v>
      </c>
      <c r="NC32" s="322">
        <v>34698.9</v>
      </c>
      <c r="ND32" s="322">
        <v>59501.45</v>
      </c>
      <c r="NE32" s="322">
        <v>47503.08</v>
      </c>
      <c r="NF32" s="322">
        <v>76055.59</v>
      </c>
      <c r="NG32" s="322">
        <v>62005.73</v>
      </c>
      <c r="NH32" s="322">
        <v>41345.71</v>
      </c>
      <c r="NI32" s="322">
        <v>31551.86</v>
      </c>
      <c r="NJ32" s="322">
        <v>57223.78</v>
      </c>
      <c r="NK32" s="322">
        <v>53458.41</v>
      </c>
      <c r="NL32" s="322">
        <v>60456.89</v>
      </c>
      <c r="NM32" s="322">
        <v>54589.29</v>
      </c>
      <c r="NN32" s="322">
        <v>60146.69</v>
      </c>
      <c r="NO32" s="322">
        <v>72458.959999999992</v>
      </c>
      <c r="NP32" s="322">
        <v>109723.6</v>
      </c>
      <c r="NQ32" s="322">
        <v>138696.67000000001</v>
      </c>
      <c r="NR32" s="322">
        <v>74432.599999999991</v>
      </c>
      <c r="NS32" s="322">
        <v>135500</v>
      </c>
      <c r="NT32" s="334"/>
      <c r="NU32" s="322" t="s">
        <v>15</v>
      </c>
      <c r="NV32" s="322">
        <v>43857.7</v>
      </c>
      <c r="NW32" s="322">
        <v>42460.92</v>
      </c>
      <c r="NX32" s="322">
        <v>36904.65</v>
      </c>
      <c r="NY32" s="322">
        <v>53484.08</v>
      </c>
      <c r="NZ32" s="322">
        <v>60195.65</v>
      </c>
      <c r="OA32" s="322">
        <v>57831.5</v>
      </c>
      <c r="OB32" s="322">
        <v>59501.45</v>
      </c>
      <c r="OC32" s="322">
        <v>59378.85</v>
      </c>
      <c r="OD32" s="322">
        <v>58963.939999999995</v>
      </c>
      <c r="OE32" s="322">
        <v>59428.399999999994</v>
      </c>
      <c r="OF32" s="322">
        <v>61705.950000000004</v>
      </c>
      <c r="OG32" s="322">
        <v>64211.37</v>
      </c>
      <c r="OH32" s="322">
        <v>66453.729999999981</v>
      </c>
      <c r="OI32" s="322">
        <v>73954.73</v>
      </c>
      <c r="OJ32" s="322">
        <v>70994.11</v>
      </c>
      <c r="OK32" s="322">
        <v>71261.159999999989</v>
      </c>
      <c r="OL32" s="322">
        <v>76306.669999999984</v>
      </c>
      <c r="OM32" s="322">
        <v>77062.55</v>
      </c>
      <c r="ON32" s="322">
        <v>78829.149999999994</v>
      </c>
      <c r="OO32" s="322">
        <v>78660.92</v>
      </c>
      <c r="OP32" s="322">
        <v>84980.93</v>
      </c>
      <c r="OQ32" s="322">
        <v>90450</v>
      </c>
      <c r="OR32" s="334"/>
      <c r="OS32" s="322" t="s">
        <v>15</v>
      </c>
      <c r="OT32" s="322">
        <v>43857.7</v>
      </c>
      <c r="OU32" s="322">
        <v>42460.92</v>
      </c>
      <c r="OV32" s="322">
        <v>49206.2</v>
      </c>
      <c r="OW32" s="322">
        <v>26742.04</v>
      </c>
      <c r="OX32" s="322">
        <v>12039.13</v>
      </c>
      <c r="OY32" s="322">
        <v>11566.3</v>
      </c>
      <c r="OZ32" s="322">
        <v>11900.29</v>
      </c>
      <c r="PA32" s="322">
        <v>11875.77</v>
      </c>
      <c r="PB32" s="322">
        <v>7908.92</v>
      </c>
      <c r="PC32" s="322">
        <v>8884.880000000001</v>
      </c>
      <c r="PD32" s="322">
        <v>9795.42</v>
      </c>
      <c r="PE32" s="322">
        <v>13643.410000000002</v>
      </c>
      <c r="PF32" s="322">
        <v>11077.95</v>
      </c>
      <c r="PG32" s="322">
        <v>10149.93</v>
      </c>
      <c r="PH32" s="322">
        <v>10943.8</v>
      </c>
      <c r="PI32" s="322">
        <v>11154.26</v>
      </c>
      <c r="PJ32" s="322">
        <v>13557.33</v>
      </c>
      <c r="PK32" s="322">
        <v>11139.060000000001</v>
      </c>
      <c r="PL32" s="322">
        <v>18916.07</v>
      </c>
      <c r="PM32" s="322">
        <v>14725.529999999999</v>
      </c>
      <c r="PN32" s="322">
        <v>12945.32</v>
      </c>
      <c r="PO32" s="322">
        <v>23490</v>
      </c>
      <c r="PP32" s="334"/>
      <c r="PQ32" s="322" t="s">
        <v>15</v>
      </c>
      <c r="PR32" s="322">
        <v>8771.5400000000009</v>
      </c>
      <c r="PS32" s="322">
        <v>10615.23</v>
      </c>
      <c r="PT32" s="322">
        <v>12301.55</v>
      </c>
      <c r="PU32" s="322">
        <v>13371.02</v>
      </c>
      <c r="PV32" s="322">
        <v>12039.13</v>
      </c>
      <c r="PW32" s="322">
        <v>11566.3</v>
      </c>
      <c r="PX32" s="322">
        <v>11900.29</v>
      </c>
      <c r="PY32" s="322">
        <v>11875.77</v>
      </c>
      <c r="PZ32" s="322">
        <v>11058.14</v>
      </c>
      <c r="QA32" s="322">
        <v>17312.96</v>
      </c>
      <c r="QB32" s="322">
        <v>11104.08</v>
      </c>
      <c r="QC32" s="322">
        <v>13711.08</v>
      </c>
      <c r="QD32" s="322">
        <v>12512.72</v>
      </c>
      <c r="QE32" s="322">
        <v>13283.63</v>
      </c>
      <c r="QF32" s="322">
        <v>13372.8</v>
      </c>
      <c r="QG32" s="322">
        <v>18771.21</v>
      </c>
      <c r="QH32" s="322">
        <v>21575.71</v>
      </c>
      <c r="QI32" s="322">
        <v>15801.91</v>
      </c>
      <c r="QJ32" s="322">
        <v>17772.059999999998</v>
      </c>
      <c r="QK32" s="322">
        <v>23185.05</v>
      </c>
      <c r="QL32" s="322">
        <v>16771.599999999999</v>
      </c>
      <c r="QM32" s="322">
        <v>32825</v>
      </c>
      <c r="QN32" s="334"/>
      <c r="QO32" s="322" t="s">
        <v>15</v>
      </c>
      <c r="QP32" s="322">
        <v>0</v>
      </c>
      <c r="QQ32" s="322">
        <v>0</v>
      </c>
      <c r="QR32" s="322">
        <v>0</v>
      </c>
      <c r="QS32" s="322">
        <v>0</v>
      </c>
      <c r="QT32" s="322">
        <v>0</v>
      </c>
      <c r="QU32" s="322">
        <v>0</v>
      </c>
      <c r="QV32" s="322">
        <v>0</v>
      </c>
      <c r="QW32" s="322">
        <v>0</v>
      </c>
      <c r="QX32" s="322">
        <v>0</v>
      </c>
      <c r="QY32" s="322">
        <v>0</v>
      </c>
      <c r="QZ32" s="322">
        <v>0</v>
      </c>
      <c r="RA32" s="322">
        <v>0</v>
      </c>
      <c r="RB32" s="322">
        <v>0</v>
      </c>
      <c r="RC32" s="322">
        <v>0</v>
      </c>
      <c r="RD32" s="322">
        <v>0</v>
      </c>
      <c r="RE32" s="322">
        <v>0</v>
      </c>
      <c r="RF32" s="322">
        <v>0</v>
      </c>
      <c r="RG32" s="322">
        <v>0</v>
      </c>
      <c r="RH32" s="322">
        <v>0</v>
      </c>
      <c r="RI32" s="322">
        <v>0</v>
      </c>
      <c r="RJ32" s="322">
        <v>0</v>
      </c>
      <c r="RK32" s="322">
        <v>1000</v>
      </c>
      <c r="RL32" s="334"/>
      <c r="RM32" s="322" t="s">
        <v>15</v>
      </c>
      <c r="RN32" s="322">
        <v>0</v>
      </c>
      <c r="RO32" s="322">
        <v>159228.45000000001</v>
      </c>
      <c r="RP32" s="322">
        <v>159920.15</v>
      </c>
      <c r="RQ32" s="322">
        <v>173823.26</v>
      </c>
      <c r="RR32" s="322">
        <v>0</v>
      </c>
      <c r="RS32" s="322">
        <v>23132.6</v>
      </c>
      <c r="RT32" s="322">
        <v>11900.29</v>
      </c>
      <c r="RU32" s="322">
        <v>11875.77</v>
      </c>
      <c r="RV32" s="322">
        <v>11320.11</v>
      </c>
      <c r="RW32" s="322">
        <v>56832.88</v>
      </c>
      <c r="RX32" s="322">
        <v>198428.00999999998</v>
      </c>
      <c r="RY32" s="322">
        <v>185080.8</v>
      </c>
      <c r="RZ32" s="322">
        <v>265367.67999999999</v>
      </c>
      <c r="SA32" s="322">
        <v>175213.19</v>
      </c>
      <c r="SB32" s="322">
        <v>238654.63</v>
      </c>
      <c r="SC32" s="322">
        <v>93768.4</v>
      </c>
      <c r="SD32" s="322">
        <v>244984.6</v>
      </c>
      <c r="SE32" s="322">
        <v>166719.51999999999</v>
      </c>
      <c r="SF32" s="322">
        <v>85196.44</v>
      </c>
      <c r="SG32" s="322">
        <v>115145.60000000001</v>
      </c>
      <c r="SH32" s="322">
        <v>193541.79</v>
      </c>
      <c r="SI32" s="322">
        <v>330188</v>
      </c>
    </row>
    <row r="33" spans="1:503">
      <c r="A33" s="319" t="s">
        <v>16</v>
      </c>
      <c r="B33" s="319">
        <v>709610</v>
      </c>
      <c r="C33" s="319">
        <v>784393</v>
      </c>
      <c r="D33" s="319">
        <v>726653</v>
      </c>
      <c r="E33" s="319">
        <v>780661</v>
      </c>
      <c r="F33" s="319">
        <v>766418</v>
      </c>
      <c r="G33" s="319">
        <v>904808</v>
      </c>
      <c r="H33" s="319">
        <v>1004084</v>
      </c>
      <c r="I33" s="319">
        <v>944160</v>
      </c>
      <c r="J33" s="319">
        <v>934557.17000000016</v>
      </c>
      <c r="K33" s="319">
        <v>1023676.35</v>
      </c>
      <c r="L33" s="319">
        <v>956133.48</v>
      </c>
      <c r="M33" s="319">
        <v>683779.05999999994</v>
      </c>
      <c r="N33" s="319">
        <v>744537.44000000006</v>
      </c>
      <c r="O33" s="319">
        <v>851831.72</v>
      </c>
      <c r="P33" s="319">
        <v>877536.82000000007</v>
      </c>
      <c r="Q33" s="319">
        <v>956079.77</v>
      </c>
      <c r="R33" s="319">
        <v>928517.14</v>
      </c>
      <c r="S33" s="322">
        <v>960631.57000000007</v>
      </c>
      <c r="T33" s="319">
        <v>909203.15</v>
      </c>
      <c r="U33" s="319">
        <v>983727.65999999992</v>
      </c>
      <c r="V33" s="319">
        <v>990413.19000000006</v>
      </c>
      <c r="W33" s="319">
        <v>1170962.92</v>
      </c>
      <c r="X33" s="330"/>
      <c r="Y33" s="319" t="s">
        <v>16</v>
      </c>
      <c r="Z33" s="319">
        <v>42576.6</v>
      </c>
      <c r="AA33" s="319">
        <v>39219.65</v>
      </c>
      <c r="AB33" s="319">
        <v>43599.18</v>
      </c>
      <c r="AC33" s="319">
        <v>46839.66</v>
      </c>
      <c r="AD33" s="319">
        <v>45985.08</v>
      </c>
      <c r="AE33" s="319">
        <v>54288.480000000003</v>
      </c>
      <c r="AF33" s="319">
        <v>45240.4</v>
      </c>
      <c r="AG33" s="319">
        <v>66091.199999999997</v>
      </c>
      <c r="AH33" s="319">
        <v>66918.94</v>
      </c>
      <c r="AI33" s="319">
        <v>89750.79</v>
      </c>
      <c r="AJ33" s="319">
        <v>85343.23</v>
      </c>
      <c r="AK33" s="319">
        <v>84008.42</v>
      </c>
      <c r="AL33" s="319">
        <v>79952.58</v>
      </c>
      <c r="AM33" s="319">
        <v>85029.02</v>
      </c>
      <c r="AN33" s="319">
        <v>85437.750000000015</v>
      </c>
      <c r="AO33" s="319">
        <v>95141.260000000009</v>
      </c>
      <c r="AP33" s="319">
        <v>99215.02</v>
      </c>
      <c r="AQ33" s="322">
        <v>106588.51</v>
      </c>
      <c r="AR33" s="319">
        <v>94762.78</v>
      </c>
      <c r="AS33" s="319">
        <v>93372.66</v>
      </c>
      <c r="AT33" s="319">
        <v>102830.05999999998</v>
      </c>
      <c r="AU33" s="319">
        <v>170035</v>
      </c>
      <c r="AV33" s="334"/>
      <c r="AW33" s="319" t="s">
        <v>16</v>
      </c>
      <c r="AX33" s="319">
        <v>28384.400000000001</v>
      </c>
      <c r="AY33" s="319">
        <v>31375.72</v>
      </c>
      <c r="AZ33" s="319">
        <v>50865.710000000006</v>
      </c>
      <c r="BA33" s="319">
        <v>54646.270000000004</v>
      </c>
      <c r="BB33" s="319">
        <v>53649.26</v>
      </c>
      <c r="BC33" s="319">
        <v>54288.479999999996</v>
      </c>
      <c r="BD33" s="319">
        <v>60245.04</v>
      </c>
      <c r="BE33" s="319">
        <v>66091.200000000012</v>
      </c>
      <c r="BF33" s="319">
        <v>66323.360000000001</v>
      </c>
      <c r="BG33" s="319">
        <v>68016.41</v>
      </c>
      <c r="BH33" s="319">
        <v>67564.91</v>
      </c>
      <c r="BI33" s="319">
        <v>65698.86</v>
      </c>
      <c r="BJ33" s="319">
        <v>67750.460000000006</v>
      </c>
      <c r="BK33" s="319">
        <v>70202.45</v>
      </c>
      <c r="BL33" s="319">
        <v>72248.51999999999</v>
      </c>
      <c r="BM33" s="319">
        <v>77458.67</v>
      </c>
      <c r="BN33" s="319">
        <v>80255.690000000017</v>
      </c>
      <c r="BO33" s="322">
        <v>80923.649999999994</v>
      </c>
      <c r="BP33" s="319">
        <v>71867.360000000001</v>
      </c>
      <c r="BQ33" s="319">
        <v>68143.700000000012</v>
      </c>
      <c r="BR33" s="319">
        <v>74526.009999999995</v>
      </c>
      <c r="BS33" s="319">
        <v>91025</v>
      </c>
      <c r="BT33" s="334"/>
      <c r="BU33" s="322" t="s">
        <v>16</v>
      </c>
      <c r="BV33" s="322">
        <v>0</v>
      </c>
      <c r="BW33" s="322">
        <v>0</v>
      </c>
      <c r="BX33" s="322">
        <v>14533.06</v>
      </c>
      <c r="BY33" s="322">
        <v>0</v>
      </c>
      <c r="BZ33" s="322">
        <v>30656.720000000001</v>
      </c>
      <c r="CA33" s="322">
        <v>0</v>
      </c>
      <c r="CB33" s="322">
        <v>30122.52</v>
      </c>
      <c r="CC33" s="322">
        <v>9441.6</v>
      </c>
      <c r="CD33" s="322">
        <v>23955.919999999998</v>
      </c>
      <c r="CE33" s="322">
        <v>6510.07</v>
      </c>
      <c r="CF33" s="322">
        <v>23173.129999999997</v>
      </c>
      <c r="CG33" s="322">
        <v>3768.02</v>
      </c>
      <c r="CH33" s="322">
        <v>35728.699999999997</v>
      </c>
      <c r="CI33" s="322">
        <v>12561.75</v>
      </c>
      <c r="CJ33" s="322">
        <v>45107.519999999997</v>
      </c>
      <c r="CK33" s="322">
        <v>6469.73</v>
      </c>
      <c r="CL33" s="322">
        <v>32080.38</v>
      </c>
      <c r="CM33" s="322">
        <v>10695</v>
      </c>
      <c r="CN33" s="322">
        <v>43954.880000000005</v>
      </c>
      <c r="CO33" s="322">
        <v>18968.02</v>
      </c>
      <c r="CP33" s="322">
        <v>43052.39</v>
      </c>
      <c r="CQ33" s="322">
        <v>13745</v>
      </c>
      <c r="CR33" s="334"/>
      <c r="CS33" s="322" t="s">
        <v>16</v>
      </c>
      <c r="CT33" s="322">
        <v>28384.400000000001</v>
      </c>
      <c r="CU33" s="322">
        <v>39219.65</v>
      </c>
      <c r="CV33" s="322">
        <v>29066.12</v>
      </c>
      <c r="CW33" s="322">
        <v>31226.44</v>
      </c>
      <c r="CX33" s="322">
        <v>38320.9</v>
      </c>
      <c r="CY33" s="322">
        <v>54288.480000000003</v>
      </c>
      <c r="CZ33" s="322">
        <v>80326.720000000001</v>
      </c>
      <c r="DA33" s="322">
        <v>37766.400000000001</v>
      </c>
      <c r="DB33" s="322">
        <v>48404.13</v>
      </c>
      <c r="DC33" s="322">
        <v>42006.320000000007</v>
      </c>
      <c r="DD33" s="322">
        <v>39304.559999999998</v>
      </c>
      <c r="DE33" s="322">
        <v>42647.05</v>
      </c>
      <c r="DF33" s="322">
        <v>46519.020000000011</v>
      </c>
      <c r="DG33" s="322">
        <v>42954.25</v>
      </c>
      <c r="DH33" s="322">
        <v>68242.28</v>
      </c>
      <c r="DI33" s="322">
        <v>48285.970000000008</v>
      </c>
      <c r="DJ33" s="322">
        <v>56720.159999999996</v>
      </c>
      <c r="DK33" s="322">
        <v>71712.399999999994</v>
      </c>
      <c r="DL33" s="322">
        <v>63098.28</v>
      </c>
      <c r="DM33" s="322">
        <v>75891.320000000007</v>
      </c>
      <c r="DN33" s="322">
        <v>76593.210000000006</v>
      </c>
      <c r="DO33" s="322">
        <v>97715</v>
      </c>
      <c r="DP33" s="334"/>
      <c r="DQ33" s="322" t="s">
        <v>16</v>
      </c>
      <c r="DR33" s="322">
        <v>7096.1</v>
      </c>
      <c r="DS33" s="322">
        <v>7843.93</v>
      </c>
      <c r="DT33" s="322">
        <v>7266.53</v>
      </c>
      <c r="DU33" s="322">
        <v>0</v>
      </c>
      <c r="DV33" s="322">
        <v>0</v>
      </c>
      <c r="DW33" s="322">
        <v>0</v>
      </c>
      <c r="DX33" s="322">
        <v>0</v>
      </c>
      <c r="DY33" s="322">
        <v>0</v>
      </c>
      <c r="DZ33" s="322">
        <v>3349.99</v>
      </c>
      <c r="EA33" s="322">
        <v>3181.2200000000003</v>
      </c>
      <c r="EB33" s="322">
        <v>3407.4399999999996</v>
      </c>
      <c r="EC33" s="322">
        <v>3913.84</v>
      </c>
      <c r="ED33" s="322">
        <v>2943.96</v>
      </c>
      <c r="EE33" s="322">
        <v>2779.1200000000003</v>
      </c>
      <c r="EF33" s="322">
        <v>2005.52</v>
      </c>
      <c r="EG33" s="322">
        <v>798.2600000000001</v>
      </c>
      <c r="EH33" s="322">
        <v>2360.16</v>
      </c>
      <c r="EI33" s="322">
        <v>0</v>
      </c>
      <c r="EJ33" s="322">
        <v>4179</v>
      </c>
      <c r="EK33" s="322">
        <v>0</v>
      </c>
      <c r="EL33" s="322">
        <v>0</v>
      </c>
      <c r="EM33" s="322">
        <v>0</v>
      </c>
      <c r="EN33" s="334"/>
      <c r="EO33" s="322" t="s">
        <v>16</v>
      </c>
      <c r="EP33" s="322">
        <v>21288.3</v>
      </c>
      <c r="EQ33" s="322">
        <v>15687.86</v>
      </c>
      <c r="ER33" s="322">
        <v>21799.59</v>
      </c>
      <c r="ES33" s="322">
        <v>23419.83</v>
      </c>
      <c r="ET33" s="322">
        <v>22992.54</v>
      </c>
      <c r="EU33" s="322">
        <v>18096.16</v>
      </c>
      <c r="EV33" s="322">
        <v>20081.68</v>
      </c>
      <c r="EW33" s="322">
        <v>28324.799999999999</v>
      </c>
      <c r="EX33" s="322">
        <v>33107.880000000005</v>
      </c>
      <c r="EY33" s="322">
        <v>33451.490000000005</v>
      </c>
      <c r="EZ33" s="322">
        <v>33830.469999999994</v>
      </c>
      <c r="FA33" s="322">
        <v>29864.400000000001</v>
      </c>
      <c r="FB33" s="322">
        <v>29860.100000000002</v>
      </c>
      <c r="FC33" s="322">
        <v>30780.789999999997</v>
      </c>
      <c r="FD33" s="322">
        <v>31678.690000000002</v>
      </c>
      <c r="FE33" s="322">
        <v>31259.850000000002</v>
      </c>
      <c r="FF33" s="322">
        <v>33042.61</v>
      </c>
      <c r="FG33" s="322">
        <v>32288.63</v>
      </c>
      <c r="FH33" s="322">
        <v>43244.380000000005</v>
      </c>
      <c r="FI33" s="322">
        <v>42337.56</v>
      </c>
      <c r="FJ33" s="322">
        <v>43621.259999999995</v>
      </c>
      <c r="FK33" s="322">
        <v>45150</v>
      </c>
      <c r="FL33" s="334"/>
      <c r="FM33" s="322" t="s">
        <v>16</v>
      </c>
      <c r="FN33" s="322">
        <v>56768.800000000003</v>
      </c>
      <c r="FO33" s="322">
        <v>54907.51</v>
      </c>
      <c r="FP33" s="322">
        <v>58132.24</v>
      </c>
      <c r="FQ33" s="322">
        <v>62452.88</v>
      </c>
      <c r="FR33" s="322">
        <v>61313.440000000002</v>
      </c>
      <c r="FS33" s="322">
        <v>63336.56</v>
      </c>
      <c r="FT33" s="322">
        <v>70285.88</v>
      </c>
      <c r="FU33" s="322">
        <v>75532.800000000003</v>
      </c>
      <c r="FV33" s="322">
        <v>74139.210000000021</v>
      </c>
      <c r="FW33" s="322">
        <v>76133.930000000022</v>
      </c>
      <c r="FX33" s="322">
        <v>75063.759999999995</v>
      </c>
      <c r="FY33" s="322">
        <v>71337.609999999986</v>
      </c>
      <c r="FZ33" s="322">
        <v>71283</v>
      </c>
      <c r="GA33" s="322">
        <v>82018.359999999986</v>
      </c>
      <c r="GB33" s="322">
        <v>78568.780000000013</v>
      </c>
      <c r="GC33" s="322">
        <v>84576.24</v>
      </c>
      <c r="GD33" s="322">
        <v>91176.329999999987</v>
      </c>
      <c r="GE33" s="322">
        <v>94044.65</v>
      </c>
      <c r="GF33" s="340">
        <v>91364.34</v>
      </c>
      <c r="GG33" s="704">
        <v>98665.09</v>
      </c>
      <c r="GH33" s="704">
        <v>95829.6</v>
      </c>
      <c r="GI33" s="704">
        <v>104950</v>
      </c>
      <c r="GJ33" s="334"/>
      <c r="GK33" s="322" t="s">
        <v>16</v>
      </c>
      <c r="GL33" s="322">
        <v>0</v>
      </c>
      <c r="GM33" s="322">
        <v>0</v>
      </c>
      <c r="GN33" s="322">
        <v>0</v>
      </c>
      <c r="GO33" s="322">
        <v>0</v>
      </c>
      <c r="GP33" s="322">
        <v>0</v>
      </c>
      <c r="GQ33" s="322">
        <v>0</v>
      </c>
      <c r="GR33" s="322">
        <v>0</v>
      </c>
      <c r="GS33" s="322">
        <v>0</v>
      </c>
      <c r="GT33" s="322">
        <v>0</v>
      </c>
      <c r="GU33" s="322">
        <v>0</v>
      </c>
      <c r="GV33" s="322">
        <v>0</v>
      </c>
      <c r="GW33" s="322">
        <v>0</v>
      </c>
      <c r="GX33" s="322">
        <v>0</v>
      </c>
      <c r="GY33" s="322">
        <v>0</v>
      </c>
      <c r="GZ33" s="322">
        <v>0</v>
      </c>
      <c r="HA33" s="322">
        <v>0</v>
      </c>
      <c r="HB33" s="322">
        <v>0</v>
      </c>
      <c r="HC33" s="322">
        <v>0</v>
      </c>
      <c r="HD33" s="322">
        <v>0</v>
      </c>
      <c r="HE33" s="322">
        <v>52400.320000000007</v>
      </c>
      <c r="HF33" s="322">
        <v>56449.99</v>
      </c>
      <c r="HG33" s="322">
        <v>65750</v>
      </c>
      <c r="HH33" s="334"/>
      <c r="HI33" s="322" t="s">
        <v>16</v>
      </c>
      <c r="HJ33" s="322">
        <v>35480.5</v>
      </c>
      <c r="HK33" s="322">
        <v>39219.65</v>
      </c>
      <c r="HL33" s="322">
        <v>29066.12</v>
      </c>
      <c r="HM33" s="322">
        <v>23419.83</v>
      </c>
      <c r="HN33" s="322">
        <v>22992.54</v>
      </c>
      <c r="HO33" s="322">
        <v>27144.240000000002</v>
      </c>
      <c r="HP33" s="322">
        <v>30122.52</v>
      </c>
      <c r="HQ33" s="322">
        <v>28324.799999999999</v>
      </c>
      <c r="HR33" s="322">
        <v>30740.09</v>
      </c>
      <c r="HS33" s="322">
        <v>33436.839999999997</v>
      </c>
      <c r="HT33" s="322">
        <v>28389.670000000002</v>
      </c>
      <c r="HU33" s="322">
        <v>27500.200000000004</v>
      </c>
      <c r="HV33" s="322">
        <v>33156.83</v>
      </c>
      <c r="HW33" s="322">
        <v>34849.879999999997</v>
      </c>
      <c r="HX33" s="322">
        <v>39975.909999999996</v>
      </c>
      <c r="HY33" s="322">
        <v>44775.119999999995</v>
      </c>
      <c r="HZ33" s="322">
        <v>44184.780000000006</v>
      </c>
      <c r="IA33" s="322">
        <v>43147.41</v>
      </c>
      <c r="IB33" s="322">
        <v>39963.599999999999</v>
      </c>
      <c r="IC33" s="322">
        <v>10614.14</v>
      </c>
      <c r="ID33" s="322">
        <v>9165.9</v>
      </c>
      <c r="IE33" s="322">
        <v>20300</v>
      </c>
      <c r="IF33" s="334"/>
      <c r="IG33" s="322" t="s">
        <v>16</v>
      </c>
      <c r="IH33" s="322">
        <v>7096.1</v>
      </c>
      <c r="II33" s="322">
        <v>7843.93</v>
      </c>
      <c r="IJ33" s="322">
        <v>7266.53</v>
      </c>
      <c r="IK33" s="322">
        <v>7806.61</v>
      </c>
      <c r="IL33" s="322">
        <v>7664.18</v>
      </c>
      <c r="IM33" s="322">
        <v>9048.08</v>
      </c>
      <c r="IN33" s="322">
        <v>0</v>
      </c>
      <c r="IO33" s="322">
        <v>9441.6</v>
      </c>
      <c r="IP33" s="322">
        <v>4229.8600000000006</v>
      </c>
      <c r="IQ33" s="322">
        <v>2895.05</v>
      </c>
      <c r="IR33" s="322">
        <v>3617.12</v>
      </c>
      <c r="IS33" s="322">
        <v>5807.33</v>
      </c>
      <c r="IT33" s="322">
        <v>4442.8600000000006</v>
      </c>
      <c r="IU33" s="322">
        <v>5373.7</v>
      </c>
      <c r="IV33" s="322"/>
      <c r="IW33" s="322"/>
      <c r="IX33" s="322"/>
      <c r="IY33" s="322"/>
      <c r="IZ33" s="322"/>
      <c r="JA33" s="322"/>
      <c r="JB33" s="322"/>
      <c r="JC33" s="322"/>
      <c r="JD33" s="334"/>
      <c r="JE33" s="322" t="s">
        <v>16</v>
      </c>
      <c r="JF33" s="322">
        <v>7096.1</v>
      </c>
      <c r="JG33" s="322">
        <v>7843.93</v>
      </c>
      <c r="JH33" s="322">
        <v>7266.53</v>
      </c>
      <c r="JI33" s="322">
        <v>7806.61</v>
      </c>
      <c r="JJ33" s="322">
        <v>7664.18</v>
      </c>
      <c r="JK33" s="322">
        <v>0</v>
      </c>
      <c r="JL33" s="322">
        <v>10040.84</v>
      </c>
      <c r="JM33" s="322">
        <v>0</v>
      </c>
      <c r="JN33" s="322">
        <v>5062.59</v>
      </c>
      <c r="JO33" s="322">
        <v>3585.9</v>
      </c>
      <c r="JP33" s="322">
        <v>3665.44</v>
      </c>
      <c r="JQ33" s="322">
        <v>4291.66</v>
      </c>
      <c r="JR33" s="322">
        <v>4699.74</v>
      </c>
      <c r="JS33" s="322">
        <v>4446.7</v>
      </c>
      <c r="JT33" s="322">
        <v>5300.77</v>
      </c>
      <c r="JU33" s="322">
        <v>5509.25</v>
      </c>
      <c r="JV33" s="322">
        <v>6358.8</v>
      </c>
      <c r="JW33" s="322">
        <v>6568.5</v>
      </c>
      <c r="JX33" s="322">
        <v>19895.09</v>
      </c>
      <c r="JY33" s="322">
        <v>20585.37</v>
      </c>
      <c r="JZ33" s="322">
        <v>21594.36</v>
      </c>
      <c r="KA33" s="322">
        <v>22601</v>
      </c>
      <c r="KB33" s="334"/>
      <c r="KC33" s="322" t="s">
        <v>16</v>
      </c>
      <c r="KD33" s="322">
        <v>7096.1</v>
      </c>
      <c r="KE33" s="322">
        <v>7843.93</v>
      </c>
      <c r="KF33" s="322">
        <v>7266.53</v>
      </c>
      <c r="KG33" s="322">
        <v>7806.61</v>
      </c>
      <c r="KH33" s="322">
        <v>7664.18</v>
      </c>
      <c r="KI33" s="322">
        <v>18096.16</v>
      </c>
      <c r="KJ33" s="322">
        <v>20081.68</v>
      </c>
      <c r="KK33" s="322">
        <v>18883.2</v>
      </c>
      <c r="KL33" s="322">
        <v>21279.81</v>
      </c>
      <c r="KM33" s="322">
        <v>16811.89</v>
      </c>
      <c r="KN33" s="322">
        <v>16925.5</v>
      </c>
      <c r="KO33" s="322">
        <v>17670.580000000002</v>
      </c>
      <c r="KP33" s="322">
        <v>17505.68</v>
      </c>
      <c r="KQ33" s="322">
        <v>23148.61</v>
      </c>
      <c r="KR33" s="322">
        <v>25100.31</v>
      </c>
      <c r="KS33" s="322">
        <v>27019.559999999998</v>
      </c>
      <c r="KT33" s="322">
        <v>27154.78</v>
      </c>
      <c r="KU33" s="322">
        <v>27255.25</v>
      </c>
      <c r="KV33" s="322">
        <v>25256.05</v>
      </c>
      <c r="KW33" s="322">
        <v>26925.420000000002</v>
      </c>
      <c r="KX33" s="322">
        <v>26967.200000000001</v>
      </c>
      <c r="KY33" s="322">
        <v>29909.25</v>
      </c>
      <c r="KZ33" s="334"/>
      <c r="LA33" s="322" t="s">
        <v>16</v>
      </c>
      <c r="LB33" s="322">
        <v>28384.400000000001</v>
      </c>
      <c r="LC33" s="322">
        <v>117658.95</v>
      </c>
      <c r="LD33" s="322">
        <v>94464.89</v>
      </c>
      <c r="LE33" s="322">
        <v>148325.59</v>
      </c>
      <c r="LF33" s="322">
        <v>114962.7</v>
      </c>
      <c r="LG33" s="322">
        <v>153817.35999999999</v>
      </c>
      <c r="LH33" s="322">
        <v>160653.44</v>
      </c>
      <c r="LI33" s="322">
        <v>141624</v>
      </c>
      <c r="LJ33" s="322">
        <v>122453.84999999999</v>
      </c>
      <c r="LK33" s="322">
        <v>130371.43</v>
      </c>
      <c r="LL33" s="322">
        <v>125129.72</v>
      </c>
      <c r="LM33" s="322">
        <v>71161.88</v>
      </c>
      <c r="LN33" s="322">
        <v>51167.1</v>
      </c>
      <c r="LO33" s="322">
        <v>64092.41</v>
      </c>
      <c r="LP33" s="322">
        <v>58486.959999999992</v>
      </c>
      <c r="LQ33" s="322">
        <v>89480.87999999999</v>
      </c>
      <c r="LR33" s="322">
        <v>59113.440000000002</v>
      </c>
      <c r="LS33" s="322">
        <v>62442.6</v>
      </c>
      <c r="LT33" s="322">
        <v>51730.1</v>
      </c>
      <c r="LU33" s="322">
        <v>66129.73</v>
      </c>
      <c r="LV33" s="322">
        <v>66201.16</v>
      </c>
      <c r="LW33" s="322">
        <v>67085</v>
      </c>
      <c r="LX33" s="334"/>
      <c r="LY33" s="322" t="s">
        <v>16</v>
      </c>
      <c r="LZ33" s="322">
        <v>269651.8</v>
      </c>
      <c r="MA33" s="322">
        <v>227473.97</v>
      </c>
      <c r="MB33" s="322">
        <v>203462.84</v>
      </c>
      <c r="MC33" s="322">
        <v>281037.96000000002</v>
      </c>
      <c r="MD33" s="322">
        <v>283574.65999999997</v>
      </c>
      <c r="ME33" s="322">
        <v>343827.04</v>
      </c>
      <c r="MF33" s="322">
        <v>331347.71999999997</v>
      </c>
      <c r="MG33" s="322">
        <v>321014.40000000002</v>
      </c>
      <c r="MH33" s="322">
        <v>331787.91000000009</v>
      </c>
      <c r="MI33" s="322">
        <v>344898.11</v>
      </c>
      <c r="MJ33" s="322">
        <v>347331.48</v>
      </c>
      <c r="MK33" s="322">
        <v>0</v>
      </c>
      <c r="ML33" s="322">
        <v>0</v>
      </c>
      <c r="MM33" s="322">
        <v>0</v>
      </c>
      <c r="MN33" s="322">
        <v>0</v>
      </c>
      <c r="MO33" s="322">
        <v>0</v>
      </c>
      <c r="MP33" s="322">
        <v>0</v>
      </c>
      <c r="MQ33" s="322">
        <v>0</v>
      </c>
      <c r="MR33" s="322">
        <v>0</v>
      </c>
      <c r="MS33" s="322">
        <v>0</v>
      </c>
      <c r="MT33" s="322">
        <v>0</v>
      </c>
      <c r="MU33" s="322">
        <v>0</v>
      </c>
      <c r="MV33" s="334"/>
      <c r="MW33" s="322" t="s">
        <v>16</v>
      </c>
      <c r="MX33" s="322">
        <v>85153.2</v>
      </c>
      <c r="MY33" s="322">
        <v>101971.09</v>
      </c>
      <c r="MZ33" s="322">
        <v>65398.77</v>
      </c>
      <c r="NA33" s="322">
        <v>0</v>
      </c>
      <c r="NB33" s="322">
        <v>0</v>
      </c>
      <c r="NC33" s="322">
        <v>0</v>
      </c>
      <c r="ND33" s="322">
        <v>0</v>
      </c>
      <c r="NE33" s="322">
        <v>0</v>
      </c>
      <c r="NF33" s="322">
        <v>0</v>
      </c>
      <c r="NG33" s="322">
        <v>0</v>
      </c>
      <c r="NH33" s="322">
        <v>0</v>
      </c>
      <c r="NI33" s="322">
        <v>0</v>
      </c>
      <c r="NJ33" s="322">
        <v>0</v>
      </c>
      <c r="NK33" s="322">
        <v>0</v>
      </c>
      <c r="NL33" s="322">
        <v>0</v>
      </c>
      <c r="NM33" s="322">
        <v>0</v>
      </c>
      <c r="NN33" s="322">
        <v>0</v>
      </c>
      <c r="NO33" s="322">
        <v>0</v>
      </c>
      <c r="NP33" s="322">
        <v>0</v>
      </c>
      <c r="NQ33" s="322">
        <v>0</v>
      </c>
      <c r="NR33" s="322">
        <v>0</v>
      </c>
      <c r="NS33" s="322">
        <v>0</v>
      </c>
      <c r="NT33" s="334"/>
      <c r="NU33" s="322" t="s">
        <v>16</v>
      </c>
      <c r="NV33" s="322">
        <v>42576.6</v>
      </c>
      <c r="NW33" s="322">
        <v>47063.58</v>
      </c>
      <c r="NX33" s="322">
        <v>43599.18</v>
      </c>
      <c r="NY33" s="322">
        <v>46839.66</v>
      </c>
      <c r="NZ33" s="322">
        <v>45985.08</v>
      </c>
      <c r="OA33" s="322">
        <v>54288.480000000003</v>
      </c>
      <c r="OB33" s="322">
        <v>60245.04</v>
      </c>
      <c r="OC33" s="322">
        <v>75532.800000000003</v>
      </c>
      <c r="OD33" s="322">
        <v>71043.789999999994</v>
      </c>
      <c r="OE33" s="322">
        <v>75248.37000000001</v>
      </c>
      <c r="OF33" s="322">
        <v>75775.930000000008</v>
      </c>
      <c r="OG33" s="322">
        <v>76704.009999999995</v>
      </c>
      <c r="OH33" s="322">
        <v>75234.37999999999</v>
      </c>
      <c r="OI33" s="322">
        <v>75609.78</v>
      </c>
      <c r="OJ33" s="322">
        <v>80485.100000000006</v>
      </c>
      <c r="OK33" s="322">
        <v>94763.01</v>
      </c>
      <c r="OL33" s="322">
        <v>88047.48</v>
      </c>
      <c r="OM33" s="322">
        <v>86974.53</v>
      </c>
      <c r="ON33" s="322">
        <v>76102.33</v>
      </c>
      <c r="OO33" s="322">
        <v>86474.329999999987</v>
      </c>
      <c r="OP33" s="322">
        <v>84257.000000000015</v>
      </c>
      <c r="OQ33" s="322">
        <v>89396.78</v>
      </c>
      <c r="OR33" s="334"/>
      <c r="OS33" s="322" t="s">
        <v>16</v>
      </c>
      <c r="OT33" s="322">
        <v>35480.5</v>
      </c>
      <c r="OU33" s="322">
        <v>31375.72</v>
      </c>
      <c r="OV33" s="322">
        <v>36332.65</v>
      </c>
      <c r="OW33" s="322">
        <v>23419.83</v>
      </c>
      <c r="OX33" s="322">
        <v>7664.18</v>
      </c>
      <c r="OY33" s="322">
        <v>9048.08</v>
      </c>
      <c r="OZ33" s="322">
        <v>30122.52</v>
      </c>
      <c r="PA33" s="322">
        <v>9441.6</v>
      </c>
      <c r="PB33" s="322">
        <v>11633.179999999998</v>
      </c>
      <c r="PC33" s="322">
        <v>14333.52</v>
      </c>
      <c r="PD33" s="322">
        <v>9583.32</v>
      </c>
      <c r="PE33" s="322">
        <v>12345.279999999999</v>
      </c>
      <c r="PF33" s="322">
        <v>10111.469999999999</v>
      </c>
      <c r="PG33" s="322">
        <v>12120.7</v>
      </c>
      <c r="PH33" s="322">
        <v>12602.19</v>
      </c>
      <c r="PI33" s="322">
        <v>14030.14</v>
      </c>
      <c r="PJ33" s="322">
        <v>16252.71</v>
      </c>
      <c r="PK33" s="322">
        <v>19618.5</v>
      </c>
      <c r="PL33" s="322">
        <v>17595.47</v>
      </c>
      <c r="PM33" s="322">
        <v>12977.900000000001</v>
      </c>
      <c r="PN33" s="322">
        <v>11128.93</v>
      </c>
      <c r="PO33" s="322">
        <v>21300</v>
      </c>
      <c r="PP33" s="334"/>
      <c r="PQ33" s="322" t="s">
        <v>16</v>
      </c>
      <c r="PR33" s="322">
        <v>7096.1</v>
      </c>
      <c r="PS33" s="322">
        <v>7843.93</v>
      </c>
      <c r="PT33" s="322">
        <v>7266.53</v>
      </c>
      <c r="PU33" s="322">
        <v>7806.61</v>
      </c>
      <c r="PV33" s="322">
        <v>7664.18</v>
      </c>
      <c r="PW33" s="322">
        <v>9048.08</v>
      </c>
      <c r="PX33" s="322">
        <v>10040.84</v>
      </c>
      <c r="PY33" s="322">
        <v>9441.6</v>
      </c>
      <c r="PZ33" s="322">
        <v>9828.25</v>
      </c>
      <c r="QA33" s="322">
        <v>11738.17</v>
      </c>
      <c r="QB33" s="322">
        <v>14919.8</v>
      </c>
      <c r="QC33" s="322">
        <v>14815.92</v>
      </c>
      <c r="QD33" s="322">
        <v>11937.56</v>
      </c>
      <c r="QE33" s="322">
        <v>20244.439999999999</v>
      </c>
      <c r="QF33" s="322">
        <v>21160.34</v>
      </c>
      <c r="QG33" s="322">
        <v>28823.8</v>
      </c>
      <c r="QH33" s="322">
        <v>27449.489999999998</v>
      </c>
      <c r="QI33" s="322">
        <v>28133.23</v>
      </c>
      <c r="QJ33" s="322">
        <v>18587.7</v>
      </c>
      <c r="QK33" s="322">
        <v>30398.489999999998</v>
      </c>
      <c r="QL33" s="322">
        <v>25018.120000000003</v>
      </c>
      <c r="QM33" s="322">
        <v>27408</v>
      </c>
      <c r="QN33" s="334"/>
      <c r="QO33" s="322" t="s">
        <v>16</v>
      </c>
      <c r="QP33" s="322">
        <v>0</v>
      </c>
      <c r="QQ33" s="322">
        <v>0</v>
      </c>
      <c r="QR33" s="322">
        <v>0</v>
      </c>
      <c r="QS33" s="322">
        <v>0</v>
      </c>
      <c r="QT33" s="322">
        <v>0</v>
      </c>
      <c r="QU33" s="322">
        <v>0</v>
      </c>
      <c r="QV33" s="322">
        <v>0</v>
      </c>
      <c r="QW33" s="322">
        <v>0</v>
      </c>
      <c r="QX33" s="322">
        <v>0</v>
      </c>
      <c r="QY33" s="322">
        <v>0</v>
      </c>
      <c r="QZ33" s="322">
        <v>0</v>
      </c>
      <c r="RA33" s="322">
        <v>0</v>
      </c>
      <c r="RB33" s="322">
        <v>0</v>
      </c>
      <c r="RC33" s="322">
        <v>0</v>
      </c>
      <c r="RD33" s="322">
        <v>0</v>
      </c>
      <c r="RE33" s="322">
        <v>0</v>
      </c>
      <c r="RF33" s="322">
        <v>0</v>
      </c>
      <c r="RG33" s="322">
        <v>0</v>
      </c>
      <c r="RH33" s="322">
        <v>0</v>
      </c>
      <c r="RI33" s="322">
        <v>0</v>
      </c>
      <c r="RJ33" s="322">
        <v>0</v>
      </c>
      <c r="RK33" s="322">
        <v>0</v>
      </c>
      <c r="RL33" s="334"/>
      <c r="RM33" s="322" t="s">
        <v>16</v>
      </c>
      <c r="RN33" s="322">
        <v>0</v>
      </c>
      <c r="RO33" s="322">
        <v>0</v>
      </c>
      <c r="RP33" s="322">
        <v>0</v>
      </c>
      <c r="RQ33" s="322">
        <v>7806.61</v>
      </c>
      <c r="RR33" s="322">
        <v>7664.18</v>
      </c>
      <c r="RS33" s="322">
        <v>36192.32</v>
      </c>
      <c r="RT33" s="322">
        <v>40163.360000000001</v>
      </c>
      <c r="RU33" s="322">
        <v>47208</v>
      </c>
      <c r="RV33" s="322">
        <v>2244</v>
      </c>
      <c r="RW33" s="322">
        <v>37471.599999999999</v>
      </c>
      <c r="RX33" s="322">
        <v>3108</v>
      </c>
      <c r="RY33" s="322">
        <v>152244</v>
      </c>
      <c r="RZ33" s="322">
        <v>202244</v>
      </c>
      <c r="SA33" s="322">
        <v>234643.75</v>
      </c>
      <c r="SB33" s="322">
        <v>251136.18</v>
      </c>
      <c r="SC33" s="322">
        <v>307688.02999999997</v>
      </c>
      <c r="SD33" s="322">
        <v>259012.14</v>
      </c>
      <c r="SE33" s="322">
        <v>261452.07</v>
      </c>
      <c r="SF33" s="322">
        <v>246159.62</v>
      </c>
      <c r="SG33" s="322">
        <v>260952.8</v>
      </c>
      <c r="SH33" s="322">
        <v>252618</v>
      </c>
      <c r="SI33" s="322">
        <v>272618</v>
      </c>
    </row>
    <row r="34" spans="1:503">
      <c r="A34" s="319" t="s">
        <v>17</v>
      </c>
      <c r="B34" s="319">
        <v>1293811</v>
      </c>
      <c r="C34" s="319">
        <v>1349297</v>
      </c>
      <c r="D34" s="319">
        <v>1443432</v>
      </c>
      <c r="E34" s="319">
        <v>1523128</v>
      </c>
      <c r="F34" s="319">
        <v>1629526</v>
      </c>
      <c r="G34" s="319">
        <v>1720064</v>
      </c>
      <c r="H34" s="319">
        <v>1816125</v>
      </c>
      <c r="I34" s="319">
        <v>1925765</v>
      </c>
      <c r="J34" s="319">
        <v>2071449.56</v>
      </c>
      <c r="K34" s="319">
        <v>2033101.72</v>
      </c>
      <c r="L34" s="319">
        <v>2040793.47</v>
      </c>
      <c r="M34" s="319">
        <v>2054231.9100000001</v>
      </c>
      <c r="N34" s="319">
        <v>2602934.66</v>
      </c>
      <c r="O34" s="319">
        <v>2285096.44</v>
      </c>
      <c r="P34" s="319">
        <v>2387184.2599999998</v>
      </c>
      <c r="Q34" s="319">
        <v>2545210.62</v>
      </c>
      <c r="R34" s="319">
        <v>2584038.91</v>
      </c>
      <c r="S34" s="322">
        <v>2447263.1</v>
      </c>
      <c r="T34" s="319">
        <v>2674226.61</v>
      </c>
      <c r="U34" s="319">
        <v>2298088.37</v>
      </c>
      <c r="V34" s="319">
        <v>2416411.6300000004</v>
      </c>
      <c r="W34" s="319">
        <v>2669802</v>
      </c>
      <c r="X34" s="330"/>
      <c r="Y34" s="319" t="s">
        <v>17</v>
      </c>
      <c r="Z34" s="319">
        <v>64690.55</v>
      </c>
      <c r="AA34" s="319">
        <v>67464.850000000006</v>
      </c>
      <c r="AB34" s="319">
        <v>57737.279999999999</v>
      </c>
      <c r="AC34" s="319">
        <v>91387.68</v>
      </c>
      <c r="AD34" s="319">
        <v>81476.3</v>
      </c>
      <c r="AE34" s="319">
        <v>86003.199999999997</v>
      </c>
      <c r="AF34" s="319">
        <v>86003.199999999997</v>
      </c>
      <c r="AG34" s="319">
        <v>96288.25</v>
      </c>
      <c r="AH34" s="319">
        <v>125503.43000000001</v>
      </c>
      <c r="AI34" s="319">
        <v>88736.72</v>
      </c>
      <c r="AJ34" s="319">
        <v>90218.51999999999</v>
      </c>
      <c r="AK34" s="319">
        <v>89014.36</v>
      </c>
      <c r="AL34" s="319">
        <v>89279.86</v>
      </c>
      <c r="AM34" s="319">
        <v>89273.46</v>
      </c>
      <c r="AN34" s="319">
        <v>89487.97</v>
      </c>
      <c r="AO34" s="319">
        <v>88790.99</v>
      </c>
      <c r="AP34" s="319">
        <v>89146.25</v>
      </c>
      <c r="AQ34" s="322">
        <v>89139.81</v>
      </c>
      <c r="AR34" s="319">
        <v>90211.37</v>
      </c>
      <c r="AS34" s="319">
        <v>88734.540000000008</v>
      </c>
      <c r="AT34" s="319">
        <v>89598.54</v>
      </c>
      <c r="AU34" s="319">
        <v>92538</v>
      </c>
      <c r="AV34" s="334"/>
      <c r="AW34" s="319" t="s">
        <v>17</v>
      </c>
      <c r="AX34" s="319">
        <v>51752.44</v>
      </c>
      <c r="AY34" s="319">
        <v>53971.880000000005</v>
      </c>
      <c r="AZ34" s="319">
        <v>57737.279999999999</v>
      </c>
      <c r="BA34" s="319">
        <v>60925.120000000003</v>
      </c>
      <c r="BB34" s="319">
        <v>65181.04</v>
      </c>
      <c r="BC34" s="319">
        <v>68802.559999999998</v>
      </c>
      <c r="BD34" s="319">
        <v>72645</v>
      </c>
      <c r="BE34" s="319">
        <v>57772.95</v>
      </c>
      <c r="BF34" s="319">
        <v>66510.100000000006</v>
      </c>
      <c r="BG34" s="319">
        <v>87315.37</v>
      </c>
      <c r="BH34" s="319">
        <v>68921.23</v>
      </c>
      <c r="BI34" s="319">
        <v>69403.990000000005</v>
      </c>
      <c r="BJ34" s="319">
        <v>83605.099999999991</v>
      </c>
      <c r="BK34" s="319">
        <v>75773.810000000012</v>
      </c>
      <c r="BL34" s="319">
        <v>84884.1</v>
      </c>
      <c r="BM34" s="319">
        <v>86365.01</v>
      </c>
      <c r="BN34" s="319">
        <v>90042.240000000005</v>
      </c>
      <c r="BO34" s="322">
        <v>74633.87000000001</v>
      </c>
      <c r="BP34" s="319">
        <v>70017.489999999991</v>
      </c>
      <c r="BQ34" s="319">
        <v>70282.720000000016</v>
      </c>
      <c r="BR34" s="319">
        <v>68958.73</v>
      </c>
      <c r="BS34" s="319">
        <v>71510</v>
      </c>
      <c r="BT34" s="334"/>
      <c r="BU34" s="322" t="s">
        <v>17</v>
      </c>
      <c r="BV34" s="322">
        <v>51752.44</v>
      </c>
      <c r="BW34" s="322">
        <v>26985.94</v>
      </c>
      <c r="BX34" s="322">
        <v>57737.279999999999</v>
      </c>
      <c r="BY34" s="322">
        <v>45693.84</v>
      </c>
      <c r="BZ34" s="322">
        <v>65181.04</v>
      </c>
      <c r="CA34" s="322">
        <v>34401.279999999999</v>
      </c>
      <c r="CB34" s="322">
        <v>54483.75</v>
      </c>
      <c r="CC34" s="322">
        <v>19257.650000000001</v>
      </c>
      <c r="CD34" s="322">
        <v>63405.569999999992</v>
      </c>
      <c r="CE34" s="322">
        <v>24437.25</v>
      </c>
      <c r="CF34" s="322">
        <v>67057.400000000009</v>
      </c>
      <c r="CG34" s="322">
        <v>24591.17</v>
      </c>
      <c r="CH34" s="322">
        <v>56432.3</v>
      </c>
      <c r="CI34" s="322">
        <v>23313.06</v>
      </c>
      <c r="CJ34" s="322">
        <v>66258.010000000009</v>
      </c>
      <c r="CK34" s="322">
        <v>22509.48</v>
      </c>
      <c r="CL34" s="322">
        <v>61415.81</v>
      </c>
      <c r="CM34" s="322">
        <v>22289.74</v>
      </c>
      <c r="CN34" s="322">
        <v>59790.68</v>
      </c>
      <c r="CO34" s="322">
        <v>24242.120000000003</v>
      </c>
      <c r="CP34" s="322">
        <v>56680.3</v>
      </c>
      <c r="CQ34" s="322">
        <v>31100</v>
      </c>
      <c r="CR34" s="334"/>
      <c r="CS34" s="322" t="s">
        <v>17</v>
      </c>
      <c r="CT34" s="322">
        <v>142319.21</v>
      </c>
      <c r="CU34" s="322">
        <v>188901.58</v>
      </c>
      <c r="CV34" s="322">
        <v>173211.84</v>
      </c>
      <c r="CW34" s="322">
        <v>121850.24000000001</v>
      </c>
      <c r="CX34" s="322">
        <v>146657.34</v>
      </c>
      <c r="CY34" s="322">
        <v>137605.12</v>
      </c>
      <c r="CZ34" s="322">
        <v>163451.25</v>
      </c>
      <c r="DA34" s="322">
        <v>192576.5</v>
      </c>
      <c r="DB34" s="322">
        <v>158012.56</v>
      </c>
      <c r="DC34" s="322">
        <v>129767.64000000001</v>
      </c>
      <c r="DD34" s="322">
        <v>134014.13</v>
      </c>
      <c r="DE34" s="322">
        <v>124989.05</v>
      </c>
      <c r="DF34" s="322">
        <v>366888.25999999995</v>
      </c>
      <c r="DG34" s="322">
        <v>133208.75</v>
      </c>
      <c r="DH34" s="322">
        <v>140674.56</v>
      </c>
      <c r="DI34" s="322">
        <v>152180.88</v>
      </c>
      <c r="DJ34" s="322">
        <v>137838.32</v>
      </c>
      <c r="DK34" s="322">
        <v>134282.97</v>
      </c>
      <c r="DL34" s="322">
        <v>166252.75</v>
      </c>
      <c r="DM34" s="322">
        <v>135863.72</v>
      </c>
      <c r="DN34" s="322">
        <v>155301.76000000001</v>
      </c>
      <c r="DO34" s="322">
        <v>181000</v>
      </c>
      <c r="DP34" s="334"/>
      <c r="DQ34" s="322" t="s">
        <v>17</v>
      </c>
      <c r="DR34" s="322">
        <v>116442.99</v>
      </c>
      <c r="DS34" s="322">
        <v>134929.70000000001</v>
      </c>
      <c r="DT34" s="322">
        <v>144343.20000000001</v>
      </c>
      <c r="DU34" s="322">
        <v>121850.24000000001</v>
      </c>
      <c r="DV34" s="322">
        <v>211838.38</v>
      </c>
      <c r="DW34" s="322">
        <v>240808.95999999999</v>
      </c>
      <c r="DX34" s="322">
        <v>254257.5</v>
      </c>
      <c r="DY34" s="322">
        <v>308122.40000000002</v>
      </c>
      <c r="DZ34" s="322">
        <v>264384.58</v>
      </c>
      <c r="EA34" s="322">
        <v>286546.13999999996</v>
      </c>
      <c r="EB34" s="322">
        <v>304537.12</v>
      </c>
      <c r="EC34" s="322">
        <v>303389.89000000007</v>
      </c>
      <c r="ED34" s="322">
        <v>335469.59000000003</v>
      </c>
      <c r="EE34" s="322">
        <v>324066.57</v>
      </c>
      <c r="EF34" s="322">
        <v>338805.27</v>
      </c>
      <c r="EG34" s="322">
        <v>365600.56</v>
      </c>
      <c r="EH34" s="322">
        <v>323901.96000000002</v>
      </c>
      <c r="EI34" s="322">
        <v>335124.76</v>
      </c>
      <c r="EJ34" s="322">
        <v>358256.05999999994</v>
      </c>
      <c r="EK34" s="322">
        <v>326282.31</v>
      </c>
      <c r="EL34" s="322">
        <v>311613.46000000002</v>
      </c>
      <c r="EM34" s="322">
        <v>361650</v>
      </c>
      <c r="EN34" s="334"/>
      <c r="EO34" s="322" t="s">
        <v>17</v>
      </c>
      <c r="EP34" s="322">
        <v>25876.22</v>
      </c>
      <c r="EQ34" s="322">
        <v>26985.94</v>
      </c>
      <c r="ER34" s="322">
        <v>28868.639999999999</v>
      </c>
      <c r="ES34" s="322">
        <v>45693.84</v>
      </c>
      <c r="ET34" s="322">
        <v>48885.78</v>
      </c>
      <c r="EU34" s="322">
        <v>34401.279999999999</v>
      </c>
      <c r="EV34" s="322">
        <v>36322.5</v>
      </c>
      <c r="EW34" s="322">
        <v>57772.95</v>
      </c>
      <c r="EX34" s="322">
        <v>51368.94</v>
      </c>
      <c r="EY34" s="322">
        <v>53642.32</v>
      </c>
      <c r="EZ34" s="322">
        <v>54710.76</v>
      </c>
      <c r="FA34" s="322">
        <v>50419.46</v>
      </c>
      <c r="FB34" s="322">
        <v>53676.62</v>
      </c>
      <c r="FC34" s="322">
        <v>52027.57</v>
      </c>
      <c r="FD34" s="322">
        <v>51436.800000000003</v>
      </c>
      <c r="FE34" s="322">
        <v>51510.23</v>
      </c>
      <c r="FF34" s="322">
        <v>52255.280000000006</v>
      </c>
      <c r="FG34" s="322">
        <v>51723.41</v>
      </c>
      <c r="FH34" s="322">
        <v>51444.15</v>
      </c>
      <c r="FI34" s="322">
        <v>52013.37</v>
      </c>
      <c r="FJ34" s="322">
        <v>52557.68</v>
      </c>
      <c r="FK34" s="322">
        <v>53010</v>
      </c>
      <c r="FL34" s="334"/>
      <c r="FM34" s="322" t="s">
        <v>17</v>
      </c>
      <c r="FN34" s="322">
        <v>64690.55</v>
      </c>
      <c r="FO34" s="322">
        <v>67464.850000000006</v>
      </c>
      <c r="FP34" s="322">
        <v>57737.279999999999</v>
      </c>
      <c r="FQ34" s="322">
        <v>76156.399999999994</v>
      </c>
      <c r="FR34" s="322">
        <v>81476.3</v>
      </c>
      <c r="FS34" s="322">
        <v>68802.559999999998</v>
      </c>
      <c r="FT34" s="322">
        <v>72645</v>
      </c>
      <c r="FU34" s="322">
        <v>77030.600000000006</v>
      </c>
      <c r="FV34" s="322">
        <v>71016.399999999994</v>
      </c>
      <c r="FW34" s="322">
        <v>71744.62000000001</v>
      </c>
      <c r="FX34" s="322">
        <v>74794.34</v>
      </c>
      <c r="FY34" s="322">
        <v>75098.2</v>
      </c>
      <c r="FZ34" s="322">
        <v>75038.98000000001</v>
      </c>
      <c r="GA34" s="322">
        <v>77841.25</v>
      </c>
      <c r="GB34" s="322">
        <v>86005.369999999981</v>
      </c>
      <c r="GC34" s="322">
        <v>82890.349999999991</v>
      </c>
      <c r="GD34" s="322">
        <v>79736.759999999995</v>
      </c>
      <c r="GE34" s="322">
        <v>78305.039999999994</v>
      </c>
      <c r="GF34" s="340">
        <v>77954.899999999994</v>
      </c>
      <c r="GG34" s="704">
        <v>82083.09</v>
      </c>
      <c r="GH34" s="704">
        <v>77189.320000000007</v>
      </c>
      <c r="GI34" s="704">
        <v>87073</v>
      </c>
      <c r="GJ34" s="334"/>
      <c r="GK34" s="322" t="s">
        <v>17</v>
      </c>
      <c r="GL34" s="322">
        <v>12938.11</v>
      </c>
      <c r="GM34" s="322">
        <v>13492.97</v>
      </c>
      <c r="GN34" s="322">
        <v>28868.639999999999</v>
      </c>
      <c r="GO34" s="322">
        <v>30462.560000000001</v>
      </c>
      <c r="GP34" s="322">
        <v>32590.52</v>
      </c>
      <c r="GQ34" s="322">
        <v>51601.919999999998</v>
      </c>
      <c r="GR34" s="322">
        <v>54483.75</v>
      </c>
      <c r="GS34" s="322">
        <v>38515.300000000003</v>
      </c>
      <c r="GT34" s="322">
        <v>43410.44</v>
      </c>
      <c r="GU34" s="322">
        <v>49264.53</v>
      </c>
      <c r="GV34" s="322">
        <v>50107.030000000006</v>
      </c>
      <c r="GW34" s="322">
        <v>51559.38</v>
      </c>
      <c r="GX34" s="322">
        <v>50709.08</v>
      </c>
      <c r="GY34" s="322">
        <v>46653.77</v>
      </c>
      <c r="GZ34" s="322">
        <v>48558.54</v>
      </c>
      <c r="HA34" s="322">
        <v>48080.159999999996</v>
      </c>
      <c r="HB34" s="322">
        <v>36323.96</v>
      </c>
      <c r="HC34" s="322">
        <v>35793.96</v>
      </c>
      <c r="HD34" s="322">
        <v>36028.959999999999</v>
      </c>
      <c r="HE34" s="322">
        <v>35723.96</v>
      </c>
      <c r="HF34" s="322">
        <v>35603.96</v>
      </c>
      <c r="HG34" s="322">
        <v>36190</v>
      </c>
      <c r="HH34" s="334"/>
      <c r="HI34" s="322" t="s">
        <v>17</v>
      </c>
      <c r="HJ34" s="322">
        <v>12938.11</v>
      </c>
      <c r="HK34" s="322">
        <v>13492.97</v>
      </c>
      <c r="HL34" s="322">
        <v>14434.32</v>
      </c>
      <c r="HM34" s="322">
        <v>15231.28</v>
      </c>
      <c r="HN34" s="322">
        <v>32590.52</v>
      </c>
      <c r="HO34" s="322">
        <v>0</v>
      </c>
      <c r="HP34" s="322">
        <v>0</v>
      </c>
      <c r="HQ34" s="322">
        <v>0</v>
      </c>
      <c r="HR34" s="322">
        <v>3926.33</v>
      </c>
      <c r="HS34" s="322">
        <v>4116.66</v>
      </c>
      <c r="HT34" s="322">
        <v>4885.16</v>
      </c>
      <c r="HU34" s="322">
        <v>4357.88</v>
      </c>
      <c r="HV34" s="322">
        <v>4659.12</v>
      </c>
      <c r="HW34" s="322">
        <v>4766.43</v>
      </c>
      <c r="HX34" s="322">
        <v>5273.09</v>
      </c>
      <c r="HY34" s="322">
        <v>4986.1499999999996</v>
      </c>
      <c r="HZ34" s="322">
        <v>15682.570000000002</v>
      </c>
      <c r="IA34" s="322">
        <v>15105.890000000001</v>
      </c>
      <c r="IB34" s="322">
        <v>15861.689999999999</v>
      </c>
      <c r="IC34" s="322">
        <v>13655.09</v>
      </c>
      <c r="ID34" s="322">
        <v>11228.470000000001</v>
      </c>
      <c r="IE34" s="322">
        <v>20200</v>
      </c>
      <c r="IF34" s="334"/>
      <c r="IG34" s="322" t="s">
        <v>17</v>
      </c>
      <c r="IH34" s="322">
        <v>12938.11</v>
      </c>
      <c r="II34" s="322">
        <v>13492.97</v>
      </c>
      <c r="IJ34" s="322">
        <v>14434.32</v>
      </c>
      <c r="IK34" s="322">
        <v>15231.28</v>
      </c>
      <c r="IL34" s="322">
        <v>16295.26</v>
      </c>
      <c r="IM34" s="322">
        <v>0</v>
      </c>
      <c r="IN34" s="322">
        <v>0</v>
      </c>
      <c r="IO34" s="322">
        <v>0</v>
      </c>
      <c r="IP34" s="322">
        <v>0</v>
      </c>
      <c r="IQ34" s="322">
        <v>6944.91</v>
      </c>
      <c r="IR34" s="322">
        <v>0</v>
      </c>
      <c r="IS34" s="322">
        <v>0</v>
      </c>
      <c r="IT34" s="322">
        <v>0</v>
      </c>
      <c r="IU34" s="322">
        <v>0</v>
      </c>
      <c r="IV34" s="322"/>
      <c r="IW34" s="322"/>
      <c r="IX34" s="322"/>
      <c r="IY34" s="322"/>
      <c r="IZ34" s="322"/>
      <c r="JA34" s="322"/>
      <c r="JB34" s="322"/>
      <c r="JC34" s="322"/>
      <c r="JD34" s="334"/>
      <c r="JE34" s="322" t="s">
        <v>17</v>
      </c>
      <c r="JF34" s="322">
        <v>12938.11</v>
      </c>
      <c r="JG34" s="322">
        <v>0</v>
      </c>
      <c r="JH34" s="322">
        <v>0</v>
      </c>
      <c r="JI34" s="322">
        <v>0</v>
      </c>
      <c r="JJ34" s="322">
        <v>0</v>
      </c>
      <c r="JK34" s="322">
        <v>0</v>
      </c>
      <c r="JL34" s="322">
        <v>0</v>
      </c>
      <c r="JM34" s="322">
        <v>0</v>
      </c>
      <c r="JN34" s="322">
        <v>4229.3600000000006</v>
      </c>
      <c r="JO34" s="322">
        <v>2680.8500000000004</v>
      </c>
      <c r="JP34" s="322">
        <v>21270.12</v>
      </c>
      <c r="JQ34" s="322">
        <v>4674.1400000000003</v>
      </c>
      <c r="JR34" s="322">
        <v>2417.7600000000002</v>
      </c>
      <c r="JS34" s="322">
        <v>4313.1499999999996</v>
      </c>
      <c r="JT34" s="322">
        <v>8380.18</v>
      </c>
      <c r="JU34" s="322">
        <v>802.8</v>
      </c>
      <c r="JV34" s="322">
        <v>3691.44</v>
      </c>
      <c r="JW34" s="322">
        <v>2971.85</v>
      </c>
      <c r="JX34" s="322">
        <v>7508.06</v>
      </c>
      <c r="JY34" s="322">
        <v>3462.93</v>
      </c>
      <c r="JZ34" s="322">
        <v>4142.82</v>
      </c>
      <c r="KA34" s="322">
        <v>10250</v>
      </c>
      <c r="KB34" s="334"/>
      <c r="KC34" s="322" t="s">
        <v>17</v>
      </c>
      <c r="KD34" s="322">
        <v>0</v>
      </c>
      <c r="KE34" s="322">
        <v>0</v>
      </c>
      <c r="KF34" s="322">
        <v>0</v>
      </c>
      <c r="KG34" s="322">
        <v>0</v>
      </c>
      <c r="KH34" s="322">
        <v>0</v>
      </c>
      <c r="KI34" s="322">
        <v>17200.64</v>
      </c>
      <c r="KJ34" s="322">
        <v>18161.25</v>
      </c>
      <c r="KK34" s="322">
        <v>19257.650000000001</v>
      </c>
      <c r="KL34" s="322">
        <v>22452.350000000002</v>
      </c>
      <c r="KM34" s="322">
        <v>30146.460000000003</v>
      </c>
      <c r="KN34" s="322">
        <v>29602.51</v>
      </c>
      <c r="KO34" s="322">
        <v>33448.089999999997</v>
      </c>
      <c r="KP34" s="322">
        <v>38284.810000000005</v>
      </c>
      <c r="KQ34" s="322">
        <v>56003.819999999992</v>
      </c>
      <c r="KR34" s="322">
        <v>55862.30000000001</v>
      </c>
      <c r="KS34" s="322">
        <v>55674.59</v>
      </c>
      <c r="KT34" s="322">
        <v>55019.380000000005</v>
      </c>
      <c r="KU34" s="322">
        <v>56953.599999999999</v>
      </c>
      <c r="KV34" s="322">
        <v>60602.630000000005</v>
      </c>
      <c r="KW34" s="322">
        <v>60344.5</v>
      </c>
      <c r="KX34" s="322">
        <v>61584.47</v>
      </c>
      <c r="KY34" s="322">
        <v>61660</v>
      </c>
      <c r="KZ34" s="334"/>
      <c r="LA34" s="322" t="s">
        <v>17</v>
      </c>
      <c r="LB34" s="322">
        <v>168195.43</v>
      </c>
      <c r="LC34" s="322">
        <v>148422.67000000001</v>
      </c>
      <c r="LD34" s="322">
        <v>173211.84</v>
      </c>
      <c r="LE34" s="322">
        <v>228469.2</v>
      </c>
      <c r="LF34" s="322">
        <v>179247.86</v>
      </c>
      <c r="LG34" s="322">
        <v>258009.60000000001</v>
      </c>
      <c r="LH34" s="322">
        <v>272418.75</v>
      </c>
      <c r="LI34" s="322">
        <v>250349.45</v>
      </c>
      <c r="LJ34" s="322">
        <v>207967.63</v>
      </c>
      <c r="LK34" s="322">
        <v>218509.81</v>
      </c>
      <c r="LL34" s="322">
        <v>188286.88</v>
      </c>
      <c r="LM34" s="322">
        <v>251291.7</v>
      </c>
      <c r="LN34" s="322">
        <v>265163.39</v>
      </c>
      <c r="LO34" s="322">
        <v>198691.73</v>
      </c>
      <c r="LP34" s="322">
        <v>195285.51</v>
      </c>
      <c r="LQ34" s="322">
        <v>193497.16999999998</v>
      </c>
      <c r="LR34" s="322">
        <v>186625.07</v>
      </c>
      <c r="LS34" s="322">
        <v>190302.01</v>
      </c>
      <c r="LT34" s="322">
        <v>207567.97</v>
      </c>
      <c r="LU34" s="322">
        <v>214915.96</v>
      </c>
      <c r="LV34" s="322">
        <v>225487.79</v>
      </c>
      <c r="LW34" s="322">
        <v>266181</v>
      </c>
      <c r="LX34" s="334"/>
      <c r="LY34" s="322" t="s">
        <v>17</v>
      </c>
      <c r="LZ34" s="322">
        <v>284638.42</v>
      </c>
      <c r="MA34" s="322">
        <v>323831.28000000003</v>
      </c>
      <c r="MB34" s="322">
        <v>360858</v>
      </c>
      <c r="MC34" s="322">
        <v>411244.56</v>
      </c>
      <c r="MD34" s="322">
        <v>407381.5</v>
      </c>
      <c r="ME34" s="322">
        <v>447216.64000000001</v>
      </c>
      <c r="MF34" s="322">
        <v>435870</v>
      </c>
      <c r="MG34" s="322">
        <v>500698.9</v>
      </c>
      <c r="MH34" s="322">
        <v>539021.39</v>
      </c>
      <c r="MI34" s="322">
        <v>565641.6</v>
      </c>
      <c r="MJ34" s="322">
        <v>582084.47</v>
      </c>
      <c r="MK34" s="322">
        <v>582114.21</v>
      </c>
      <c r="ML34" s="322">
        <v>661598.22</v>
      </c>
      <c r="MM34" s="322">
        <v>618423.21</v>
      </c>
      <c r="MN34" s="322">
        <v>648723.36999999988</v>
      </c>
      <c r="MO34" s="322">
        <v>680186.43</v>
      </c>
      <c r="MP34" s="322">
        <v>688576.42999999993</v>
      </c>
      <c r="MQ34" s="322">
        <v>681172.70000000007</v>
      </c>
      <c r="MR34" s="322">
        <v>641061.28</v>
      </c>
      <c r="MS34" s="322">
        <v>571695.54</v>
      </c>
      <c r="MT34" s="322">
        <v>568561.87</v>
      </c>
      <c r="MU34" s="322">
        <v>662384</v>
      </c>
      <c r="MV34" s="334"/>
      <c r="MW34" s="322" t="s">
        <v>17</v>
      </c>
      <c r="MX34" s="322">
        <v>142319.21</v>
      </c>
      <c r="MY34" s="322">
        <v>121436.73</v>
      </c>
      <c r="MZ34" s="322">
        <v>144343.20000000001</v>
      </c>
      <c r="NA34" s="322">
        <v>121850.24000000001</v>
      </c>
      <c r="NB34" s="322">
        <v>97771.56</v>
      </c>
      <c r="NC34" s="322">
        <v>103203.84</v>
      </c>
      <c r="ND34" s="322">
        <v>108967.5</v>
      </c>
      <c r="NE34" s="322">
        <v>134803.54999999999</v>
      </c>
      <c r="NF34" s="322">
        <v>169974.69</v>
      </c>
      <c r="NG34" s="322">
        <v>230661.45</v>
      </c>
      <c r="NH34" s="322">
        <v>213459.77</v>
      </c>
      <c r="NI34" s="322">
        <v>219784.2</v>
      </c>
      <c r="NJ34" s="322">
        <v>336805.30000000005</v>
      </c>
      <c r="NK34" s="322">
        <v>412836.82999999996</v>
      </c>
      <c r="NL34" s="322">
        <v>379579.83</v>
      </c>
      <c r="NM34" s="322">
        <v>519600.96000000008</v>
      </c>
      <c r="NN34" s="322">
        <v>471783.43999999994</v>
      </c>
      <c r="NO34" s="322">
        <v>503026.16000000009</v>
      </c>
      <c r="NP34" s="322">
        <v>477146.43</v>
      </c>
      <c r="NQ34" s="322">
        <v>413797.32</v>
      </c>
      <c r="NR34" s="322">
        <v>407764.25</v>
      </c>
      <c r="NS34" s="322">
        <v>447401</v>
      </c>
      <c r="NT34" s="334"/>
      <c r="NU34" s="322" t="s">
        <v>17</v>
      </c>
      <c r="NV34" s="322">
        <v>77628.66</v>
      </c>
      <c r="NW34" s="322">
        <v>80957.820000000007</v>
      </c>
      <c r="NX34" s="322">
        <v>72171.600000000006</v>
      </c>
      <c r="NY34" s="322">
        <v>91387.68</v>
      </c>
      <c r="NZ34" s="322">
        <v>130362.08</v>
      </c>
      <c r="OA34" s="322">
        <v>120404.48</v>
      </c>
      <c r="OB34" s="322">
        <v>127128.75</v>
      </c>
      <c r="OC34" s="322">
        <v>115545.9</v>
      </c>
      <c r="OD34" s="322">
        <v>134437.09</v>
      </c>
      <c r="OE34" s="322">
        <v>125233.39</v>
      </c>
      <c r="OF34" s="322">
        <v>121887.73</v>
      </c>
      <c r="OG34" s="322">
        <v>124131.53000000001</v>
      </c>
      <c r="OH34" s="322">
        <v>138089.12</v>
      </c>
      <c r="OI34" s="322">
        <v>129152.21999999999</v>
      </c>
      <c r="OJ34" s="322">
        <v>132850.66</v>
      </c>
      <c r="OK34" s="322">
        <v>137491.94</v>
      </c>
      <c r="OL34" s="322">
        <v>146237.82</v>
      </c>
      <c r="OM34" s="322">
        <v>110571.04</v>
      </c>
      <c r="ON34" s="322">
        <v>121166.37000000001</v>
      </c>
      <c r="OO34" s="322">
        <v>115103.75000000001</v>
      </c>
      <c r="OP34" s="322">
        <v>123398.23</v>
      </c>
      <c r="OQ34" s="322">
        <v>124790</v>
      </c>
      <c r="OR34" s="334"/>
      <c r="OS34" s="322" t="s">
        <v>17</v>
      </c>
      <c r="OT34" s="322">
        <v>25876.22</v>
      </c>
      <c r="OU34" s="322">
        <v>26985.94</v>
      </c>
      <c r="OV34" s="322">
        <v>28868.639999999999</v>
      </c>
      <c r="OW34" s="322">
        <v>30462.560000000001</v>
      </c>
      <c r="OX34" s="322">
        <v>16295.26</v>
      </c>
      <c r="OY34" s="322">
        <v>17200.64</v>
      </c>
      <c r="OZ34" s="322">
        <v>18161.25</v>
      </c>
      <c r="PA34" s="322">
        <v>19257.650000000001</v>
      </c>
      <c r="PB34" s="322">
        <v>11746.16</v>
      </c>
      <c r="PC34" s="322">
        <v>13801.81</v>
      </c>
      <c r="PD34" s="322">
        <v>12564.74</v>
      </c>
      <c r="PE34" s="322">
        <v>16753.910000000003</v>
      </c>
      <c r="PF34" s="322">
        <v>15740.98</v>
      </c>
      <c r="PG34" s="322">
        <v>16720.759999999998</v>
      </c>
      <c r="PH34" s="322">
        <v>15427.43</v>
      </c>
      <c r="PI34" s="322">
        <v>17543.36</v>
      </c>
      <c r="PJ34" s="322">
        <v>26254.129999999997</v>
      </c>
      <c r="PK34" s="322">
        <v>29912.479999999996</v>
      </c>
      <c r="PL34" s="322">
        <v>37732.639999999999</v>
      </c>
      <c r="PM34" s="322">
        <v>44085.11</v>
      </c>
      <c r="PN34" s="322">
        <v>48210.41</v>
      </c>
      <c r="PO34" s="322">
        <v>51597</v>
      </c>
      <c r="PP34" s="334"/>
      <c r="PQ34" s="322" t="s">
        <v>17</v>
      </c>
      <c r="PR34" s="322">
        <v>12938.11</v>
      </c>
      <c r="PS34" s="322">
        <v>13492.97</v>
      </c>
      <c r="PT34" s="322">
        <v>14434.32</v>
      </c>
      <c r="PU34" s="322">
        <v>15231.28</v>
      </c>
      <c r="PV34" s="322">
        <v>16295.26</v>
      </c>
      <c r="PW34" s="322">
        <v>17200.64</v>
      </c>
      <c r="PX34" s="322">
        <v>18161.25</v>
      </c>
      <c r="PY34" s="322">
        <v>19257.650000000001</v>
      </c>
      <c r="PZ34" s="322">
        <v>21654.460000000003</v>
      </c>
      <c r="QA34" s="322">
        <v>27910.189999999995</v>
      </c>
      <c r="QB34" s="322">
        <v>21691.559999999998</v>
      </c>
      <c r="QC34" s="322">
        <v>25790.75</v>
      </c>
      <c r="QD34" s="322">
        <v>29076.17</v>
      </c>
      <c r="QE34" s="322">
        <v>22030.050000000003</v>
      </c>
      <c r="QF34" s="322">
        <v>29691.269999999997</v>
      </c>
      <c r="QG34" s="324">
        <v>37499.56</v>
      </c>
      <c r="QH34" s="324">
        <v>39508.050000000003</v>
      </c>
      <c r="QI34" s="324">
        <v>35953.81</v>
      </c>
      <c r="QJ34" s="324">
        <v>38546.18</v>
      </c>
      <c r="QK34" s="324">
        <v>45802.34</v>
      </c>
      <c r="QL34" s="324">
        <v>51629.57</v>
      </c>
      <c r="QM34" s="324">
        <v>51898</v>
      </c>
      <c r="QN34" s="334"/>
      <c r="QO34" s="322" t="s">
        <v>17</v>
      </c>
      <c r="QP34" s="322">
        <v>0</v>
      </c>
      <c r="QQ34" s="322">
        <v>0</v>
      </c>
      <c r="QR34" s="322">
        <v>0</v>
      </c>
      <c r="QS34" s="322">
        <v>0</v>
      </c>
      <c r="QT34" s="322">
        <v>0</v>
      </c>
      <c r="QU34" s="322">
        <v>0</v>
      </c>
      <c r="QV34" s="322">
        <v>0</v>
      </c>
      <c r="QW34" s="322">
        <v>0</v>
      </c>
      <c r="QX34" s="322">
        <v>0</v>
      </c>
      <c r="QY34" s="322">
        <v>0</v>
      </c>
      <c r="QZ34" s="322">
        <v>0</v>
      </c>
      <c r="RA34" s="322">
        <v>0</v>
      </c>
      <c r="RB34" s="322">
        <v>0</v>
      </c>
      <c r="RC34" s="322">
        <v>0</v>
      </c>
      <c r="RD34" s="322">
        <v>0</v>
      </c>
      <c r="RE34" s="322">
        <v>0</v>
      </c>
      <c r="RF34" s="322">
        <v>0</v>
      </c>
      <c r="RG34" s="322">
        <v>0</v>
      </c>
      <c r="RH34" s="322">
        <v>0</v>
      </c>
      <c r="RI34" s="322">
        <v>0</v>
      </c>
      <c r="RJ34" s="322">
        <v>0</v>
      </c>
      <c r="RK34" s="322">
        <v>0</v>
      </c>
      <c r="RL34" s="334"/>
      <c r="RM34" s="322" t="s">
        <v>17</v>
      </c>
      <c r="RN34" s="322">
        <v>12938.11</v>
      </c>
      <c r="RO34" s="322">
        <v>26985.94</v>
      </c>
      <c r="RP34" s="322">
        <v>14434.32</v>
      </c>
      <c r="RQ34" s="322">
        <v>0</v>
      </c>
      <c r="RR34" s="322">
        <v>0</v>
      </c>
      <c r="RS34" s="322">
        <v>17200.64</v>
      </c>
      <c r="RT34" s="322">
        <v>18161.25</v>
      </c>
      <c r="RU34" s="322">
        <v>19257.650000000001</v>
      </c>
      <c r="RV34" s="322">
        <v>105180.42000000001</v>
      </c>
      <c r="RW34" s="322">
        <v>16000</v>
      </c>
      <c r="RX34" s="322">
        <v>700</v>
      </c>
      <c r="RY34" s="322">
        <v>0</v>
      </c>
      <c r="RZ34" s="322">
        <v>0</v>
      </c>
      <c r="SA34" s="322">
        <v>0</v>
      </c>
      <c r="SB34" s="322">
        <v>0</v>
      </c>
      <c r="SC34" s="322">
        <v>0</v>
      </c>
      <c r="SD34" s="322">
        <v>0</v>
      </c>
      <c r="SE34" s="322">
        <v>0</v>
      </c>
      <c r="SF34" s="322">
        <v>0</v>
      </c>
      <c r="SG34" s="322">
        <v>0</v>
      </c>
      <c r="SH34" s="322">
        <v>0</v>
      </c>
      <c r="SI34" s="322">
        <v>0</v>
      </c>
    </row>
    <row r="35" spans="1:503">
      <c r="A35" s="319" t="s">
        <v>18</v>
      </c>
      <c r="B35" s="319">
        <v>1536089</v>
      </c>
      <c r="C35" s="319">
        <v>1583992</v>
      </c>
      <c r="D35" s="319">
        <v>1656152</v>
      </c>
      <c r="E35" s="319">
        <v>1577519</v>
      </c>
      <c r="F35" s="319">
        <v>1559414</v>
      </c>
      <c r="G35" s="319">
        <v>1652123</v>
      </c>
      <c r="H35" s="319">
        <v>1945177</v>
      </c>
      <c r="I35" s="319">
        <v>1977519</v>
      </c>
      <c r="J35" s="319">
        <v>2230061.83</v>
      </c>
      <c r="K35" s="319">
        <v>2379948.9900000002</v>
      </c>
      <c r="L35" s="319">
        <v>2158011.94</v>
      </c>
      <c r="M35" s="319">
        <v>2141210.0900000003</v>
      </c>
      <c r="N35" s="319">
        <v>2171492.98</v>
      </c>
      <c r="O35" s="319">
        <v>2127225.7800000003</v>
      </c>
      <c r="P35" s="319">
        <v>2322581.4299999997</v>
      </c>
      <c r="Q35" s="319">
        <v>2325955.8499999996</v>
      </c>
      <c r="R35" s="319">
        <v>2619284.17</v>
      </c>
      <c r="S35" s="322">
        <v>2402920.0699999998</v>
      </c>
      <c r="T35" s="319">
        <v>2741074.2300000004</v>
      </c>
      <c r="U35" s="319">
        <v>2492863.06</v>
      </c>
      <c r="V35" s="319">
        <v>2869822.5</v>
      </c>
      <c r="W35" s="319">
        <v>3234258.0199999996</v>
      </c>
      <c r="X35" s="330"/>
      <c r="Y35" s="319" t="s">
        <v>18</v>
      </c>
      <c r="Z35" s="319">
        <v>76804.45</v>
      </c>
      <c r="AA35" s="319">
        <v>79199.600000000006</v>
      </c>
      <c r="AB35" s="319">
        <v>66246.080000000002</v>
      </c>
      <c r="AC35" s="319">
        <v>78875.95</v>
      </c>
      <c r="AD35" s="319">
        <v>93564.84</v>
      </c>
      <c r="AE35" s="319">
        <v>99127.38</v>
      </c>
      <c r="AF35" s="319">
        <v>82606.149999999994</v>
      </c>
      <c r="AG35" s="319">
        <v>98875.95</v>
      </c>
      <c r="AH35" s="319">
        <v>98770.29</v>
      </c>
      <c r="AI35" s="319">
        <v>112437.68</v>
      </c>
      <c r="AJ35" s="319">
        <v>114981.01</v>
      </c>
      <c r="AK35" s="319">
        <v>118987.79</v>
      </c>
      <c r="AL35" s="319">
        <v>124387.45</v>
      </c>
      <c r="AM35" s="319">
        <v>128217.27</v>
      </c>
      <c r="AN35" s="319">
        <v>129970.60999999999</v>
      </c>
      <c r="AO35" s="319">
        <v>132733.15</v>
      </c>
      <c r="AP35" s="319">
        <v>135446.68000000002</v>
      </c>
      <c r="AQ35" s="322">
        <v>135595.01</v>
      </c>
      <c r="AR35" s="319">
        <v>133837.21000000002</v>
      </c>
      <c r="AS35" s="319">
        <v>136167.76</v>
      </c>
      <c r="AT35" s="319">
        <v>133311.99000000002</v>
      </c>
      <c r="AU35" s="319">
        <v>140789.35999999999</v>
      </c>
      <c r="AV35" s="334"/>
      <c r="AW35" s="319" t="s">
        <v>18</v>
      </c>
      <c r="AX35" s="319">
        <v>61443.56</v>
      </c>
      <c r="AY35" s="319">
        <v>63359.68</v>
      </c>
      <c r="AZ35" s="319">
        <v>66246.080000000002</v>
      </c>
      <c r="BA35" s="319">
        <v>78875.950000000012</v>
      </c>
      <c r="BB35" s="319">
        <v>93564.84</v>
      </c>
      <c r="BC35" s="319">
        <v>82606.150000000009</v>
      </c>
      <c r="BD35" s="319">
        <v>97258.85</v>
      </c>
      <c r="BE35" s="319">
        <v>98875.950000000012</v>
      </c>
      <c r="BF35" s="319">
        <v>113150.75000000001</v>
      </c>
      <c r="BG35" s="319">
        <v>102668.06000000001</v>
      </c>
      <c r="BH35" s="319">
        <v>123001.05000000002</v>
      </c>
      <c r="BI35" s="319">
        <v>118967.37</v>
      </c>
      <c r="BJ35" s="319">
        <v>128976.07</v>
      </c>
      <c r="BK35" s="319">
        <v>122157.87</v>
      </c>
      <c r="BL35" s="319">
        <v>127584.3</v>
      </c>
      <c r="BM35" s="319">
        <v>113103.03999999999</v>
      </c>
      <c r="BN35" s="319">
        <v>148684.81</v>
      </c>
      <c r="BO35" s="322">
        <v>118106.48000000001</v>
      </c>
      <c r="BP35" s="319">
        <v>155343.81</v>
      </c>
      <c r="BQ35" s="319">
        <v>130567.57999999999</v>
      </c>
      <c r="BR35" s="319">
        <v>147645.71</v>
      </c>
      <c r="BS35" s="319">
        <v>174603.25000000003</v>
      </c>
      <c r="BT35" s="334"/>
      <c r="BU35" s="322" t="s">
        <v>18</v>
      </c>
      <c r="BV35" s="322">
        <v>46082.67</v>
      </c>
      <c r="BW35" s="322">
        <v>31679.84</v>
      </c>
      <c r="BX35" s="322">
        <v>49684.56</v>
      </c>
      <c r="BY35" s="322">
        <v>31550.38</v>
      </c>
      <c r="BZ35" s="322">
        <v>77970.7</v>
      </c>
      <c r="CA35" s="322">
        <v>33042.46</v>
      </c>
      <c r="CB35" s="322">
        <v>58355.31</v>
      </c>
      <c r="CC35" s="322">
        <v>39550.379999999997</v>
      </c>
      <c r="CD35" s="322">
        <v>75257.56</v>
      </c>
      <c r="CE35" s="322">
        <v>45096.61</v>
      </c>
      <c r="CF35" s="322">
        <v>91915.700000000012</v>
      </c>
      <c r="CG35" s="322">
        <v>44158.77</v>
      </c>
      <c r="CH35" s="322">
        <v>111256.92</v>
      </c>
      <c r="CI35" s="322">
        <v>46834.02</v>
      </c>
      <c r="CJ35" s="322">
        <v>89333.36</v>
      </c>
      <c r="CK35" s="322">
        <v>52189.19</v>
      </c>
      <c r="CL35" s="322">
        <v>129547.45</v>
      </c>
      <c r="CM35" s="322">
        <v>65065.610000000008</v>
      </c>
      <c r="CN35" s="322">
        <v>116236.03</v>
      </c>
      <c r="CO35" s="322">
        <v>72299.51999999999</v>
      </c>
      <c r="CP35" s="322">
        <v>117976.81000000001</v>
      </c>
      <c r="CQ35" s="322">
        <v>116671.67</v>
      </c>
      <c r="CR35" s="334"/>
      <c r="CS35" s="322" t="s">
        <v>18</v>
      </c>
      <c r="CT35" s="322">
        <v>245774.24</v>
      </c>
      <c r="CU35" s="322">
        <v>205918.96</v>
      </c>
      <c r="CV35" s="322">
        <v>99369.12</v>
      </c>
      <c r="CW35" s="322">
        <v>110426.33</v>
      </c>
      <c r="CX35" s="322">
        <v>62376.56</v>
      </c>
      <c r="CY35" s="322">
        <v>115648.61</v>
      </c>
      <c r="CZ35" s="322">
        <v>58355.31</v>
      </c>
      <c r="DA35" s="322">
        <v>79100.759999999995</v>
      </c>
      <c r="DB35" s="322">
        <v>169570.31</v>
      </c>
      <c r="DC35" s="322">
        <v>226085.55000000002</v>
      </c>
      <c r="DD35" s="322">
        <v>85181.08</v>
      </c>
      <c r="DE35" s="322">
        <v>148323.31</v>
      </c>
      <c r="DF35" s="322">
        <v>110450.99</v>
      </c>
      <c r="DG35" s="322">
        <v>83977.05</v>
      </c>
      <c r="DH35" s="322">
        <v>143446.28</v>
      </c>
      <c r="DI35" s="322">
        <v>138399.44999999998</v>
      </c>
      <c r="DJ35" s="322">
        <v>100088.96000000001</v>
      </c>
      <c r="DK35" s="322">
        <v>97553.78</v>
      </c>
      <c r="DL35" s="322">
        <v>156260.57</v>
      </c>
      <c r="DM35" s="322">
        <v>102225.08000000002</v>
      </c>
      <c r="DN35" s="322">
        <v>310026.83999999997</v>
      </c>
      <c r="DO35" s="322">
        <v>421800</v>
      </c>
      <c r="DP35" s="334"/>
      <c r="DQ35" s="322" t="s">
        <v>18</v>
      </c>
      <c r="DR35" s="322">
        <v>107526.23</v>
      </c>
      <c r="DS35" s="322">
        <v>110879.44</v>
      </c>
      <c r="DT35" s="322">
        <v>115930.64</v>
      </c>
      <c r="DU35" s="322">
        <v>126201.52</v>
      </c>
      <c r="DV35" s="322">
        <v>140347.26</v>
      </c>
      <c r="DW35" s="322">
        <v>198254.76</v>
      </c>
      <c r="DX35" s="322">
        <v>252873.01</v>
      </c>
      <c r="DY35" s="322">
        <v>257077.47</v>
      </c>
      <c r="DZ35" s="322">
        <v>279224.31999999995</v>
      </c>
      <c r="EA35" s="322">
        <v>266300.2</v>
      </c>
      <c r="EB35" s="322">
        <v>260405.03</v>
      </c>
      <c r="EC35" s="322">
        <v>274741.15999999997</v>
      </c>
      <c r="ED35" s="322">
        <v>260916.55</v>
      </c>
      <c r="EE35" s="322">
        <v>295217.95</v>
      </c>
      <c r="EF35" s="322">
        <v>313642.57999999996</v>
      </c>
      <c r="EG35" s="322">
        <v>303094.17</v>
      </c>
      <c r="EH35" s="322">
        <v>325061.34000000003</v>
      </c>
      <c r="EI35" s="322">
        <v>312442.91000000003</v>
      </c>
      <c r="EJ35" s="322">
        <v>335963.18999999994</v>
      </c>
      <c r="EK35" s="322">
        <v>349543.67</v>
      </c>
      <c r="EL35" s="322">
        <v>314777.90000000002</v>
      </c>
      <c r="EM35" s="322">
        <v>374700</v>
      </c>
      <c r="EN35" s="334"/>
      <c r="EO35" s="322" t="s">
        <v>18</v>
      </c>
      <c r="EP35" s="322">
        <v>30721.78</v>
      </c>
      <c r="EQ35" s="322">
        <v>31679.84</v>
      </c>
      <c r="ER35" s="322">
        <v>33123.040000000001</v>
      </c>
      <c r="ES35" s="322">
        <v>31550.38</v>
      </c>
      <c r="ET35" s="322">
        <v>31188.28</v>
      </c>
      <c r="EU35" s="322">
        <v>33042.46</v>
      </c>
      <c r="EV35" s="322">
        <v>38903.54</v>
      </c>
      <c r="EW35" s="322">
        <v>39550.379999999997</v>
      </c>
      <c r="EX35" s="322">
        <v>38283.699999999997</v>
      </c>
      <c r="EY35" s="322">
        <v>36995.450000000012</v>
      </c>
      <c r="EZ35" s="322">
        <v>39343.65</v>
      </c>
      <c r="FA35" s="322">
        <v>40790.339999999997</v>
      </c>
      <c r="FB35" s="322">
        <v>42005.759999999995</v>
      </c>
      <c r="FC35" s="322">
        <v>43664.480000000003</v>
      </c>
      <c r="FD35" s="322">
        <v>44396.11</v>
      </c>
      <c r="FE35" s="322">
        <v>45229.710000000006</v>
      </c>
      <c r="FF35" s="322">
        <v>47417.09</v>
      </c>
      <c r="FG35" s="322">
        <v>46607.26</v>
      </c>
      <c r="FH35" s="322">
        <v>46479.75</v>
      </c>
      <c r="FI35" s="322">
        <v>54070.460000000006</v>
      </c>
      <c r="FJ35" s="322">
        <v>49764.19000000001</v>
      </c>
      <c r="FK35" s="322">
        <v>51617.77</v>
      </c>
      <c r="FL35" s="334"/>
      <c r="FM35" s="322" t="s">
        <v>18</v>
      </c>
      <c r="FN35" s="322">
        <v>76804.45</v>
      </c>
      <c r="FO35" s="322">
        <v>79199.600000000006</v>
      </c>
      <c r="FP35" s="322">
        <v>66246.080000000002</v>
      </c>
      <c r="FQ35" s="322">
        <v>78875.95</v>
      </c>
      <c r="FR35" s="322">
        <v>77970.7</v>
      </c>
      <c r="FS35" s="322">
        <v>82606.149999999994</v>
      </c>
      <c r="FT35" s="322">
        <v>77807.08</v>
      </c>
      <c r="FU35" s="322">
        <v>98875.95</v>
      </c>
      <c r="FV35" s="322">
        <v>98354.960000000021</v>
      </c>
      <c r="FW35" s="322">
        <v>103652.64000000001</v>
      </c>
      <c r="FX35" s="322">
        <v>105294.48999999999</v>
      </c>
      <c r="FY35" s="322">
        <v>111061.04000000002</v>
      </c>
      <c r="FZ35" s="322">
        <v>113294.80000000002</v>
      </c>
      <c r="GA35" s="322">
        <v>124878.69</v>
      </c>
      <c r="GB35" s="322">
        <v>119193.4</v>
      </c>
      <c r="GC35" s="322">
        <v>131322.27999999997</v>
      </c>
      <c r="GD35" s="322">
        <v>123508.7</v>
      </c>
      <c r="GE35" s="322">
        <v>124326.26</v>
      </c>
      <c r="GF35" s="340">
        <v>117122.82</v>
      </c>
      <c r="GG35" s="704">
        <v>113158.62000000001</v>
      </c>
      <c r="GH35" s="704">
        <v>120946.41</v>
      </c>
      <c r="GI35" s="704">
        <v>130893.73000000001</v>
      </c>
      <c r="GJ35" s="334"/>
      <c r="GK35" s="322" t="s">
        <v>18</v>
      </c>
      <c r="GL35" s="322">
        <v>30721.78</v>
      </c>
      <c r="GM35" s="322">
        <v>0</v>
      </c>
      <c r="GN35" s="322">
        <v>0</v>
      </c>
      <c r="GO35" s="322">
        <v>31550.38</v>
      </c>
      <c r="GP35" s="322">
        <v>31188.28</v>
      </c>
      <c r="GQ35" s="322">
        <v>33042.46</v>
      </c>
      <c r="GR35" s="322">
        <v>38903.54</v>
      </c>
      <c r="GS35" s="322">
        <v>39550.379999999997</v>
      </c>
      <c r="GT35" s="322">
        <v>45176.44</v>
      </c>
      <c r="GU35" s="322">
        <v>46302.69</v>
      </c>
      <c r="GV35" s="322">
        <v>48331.92</v>
      </c>
      <c r="GW35" s="322">
        <v>47272.040000000008</v>
      </c>
      <c r="GX35" s="322">
        <v>48876.44</v>
      </c>
      <c r="GY35" s="322">
        <v>45340.679999999993</v>
      </c>
      <c r="GZ35" s="322">
        <v>55396.9</v>
      </c>
      <c r="HA35" s="322">
        <v>44908.479999999996</v>
      </c>
      <c r="HB35" s="322">
        <v>48250.119999999995</v>
      </c>
      <c r="HC35" s="322">
        <v>53486.810000000005</v>
      </c>
      <c r="HD35" s="322">
        <v>44962.55</v>
      </c>
      <c r="HE35" s="322">
        <v>47387.41</v>
      </c>
      <c r="HF35" s="322">
        <v>54078.34</v>
      </c>
      <c r="HG35" s="322">
        <v>69740</v>
      </c>
      <c r="HH35" s="334"/>
      <c r="HI35" s="322" t="s">
        <v>18</v>
      </c>
      <c r="HJ35" s="322">
        <v>15360.89</v>
      </c>
      <c r="HK35" s="322">
        <v>31679.84</v>
      </c>
      <c r="HL35" s="322">
        <v>49684.56</v>
      </c>
      <c r="HM35" s="322">
        <v>15775.19</v>
      </c>
      <c r="HN35" s="322">
        <v>15594.14</v>
      </c>
      <c r="HO35" s="322">
        <v>16521.23</v>
      </c>
      <c r="HP35" s="322">
        <v>0</v>
      </c>
      <c r="HQ35" s="322">
        <v>0</v>
      </c>
      <c r="HR35" s="322">
        <v>5587.38</v>
      </c>
      <c r="HS35" s="322">
        <v>10610.359999999999</v>
      </c>
      <c r="HT35" s="322">
        <v>23822.14</v>
      </c>
      <c r="HU35" s="322">
        <v>22958.54</v>
      </c>
      <c r="HV35" s="322">
        <v>21972.899999999998</v>
      </c>
      <c r="HW35" s="322">
        <v>27601.42</v>
      </c>
      <c r="HX35" s="322">
        <v>22771.56</v>
      </c>
      <c r="HY35" s="322">
        <v>17669.399999999998</v>
      </c>
      <c r="HZ35" s="322">
        <v>19623.61</v>
      </c>
      <c r="IA35" s="322">
        <v>18652</v>
      </c>
      <c r="IB35" s="322">
        <v>12618.36</v>
      </c>
      <c r="IC35" s="322">
        <v>13774.099999999999</v>
      </c>
      <c r="ID35" s="322">
        <v>9453.1200000000008</v>
      </c>
      <c r="IE35" s="322">
        <v>12000</v>
      </c>
      <c r="IF35" s="334"/>
      <c r="IG35" s="322" t="s">
        <v>18</v>
      </c>
      <c r="IH35" s="322">
        <v>15360.89</v>
      </c>
      <c r="II35" s="322">
        <v>15839.92</v>
      </c>
      <c r="IJ35" s="322">
        <v>16561.52</v>
      </c>
      <c r="IK35" s="322">
        <v>15775.19</v>
      </c>
      <c r="IL35" s="322">
        <v>15594.14</v>
      </c>
      <c r="IM35" s="322">
        <v>16521.23</v>
      </c>
      <c r="IN35" s="322">
        <v>19451.77</v>
      </c>
      <c r="IO35" s="322">
        <v>19775.189999999999</v>
      </c>
      <c r="IP35" s="322">
        <v>13975.82</v>
      </c>
      <c r="IQ35" s="322">
        <v>19277.539999999997</v>
      </c>
      <c r="IR35" s="322">
        <v>0</v>
      </c>
      <c r="IS35" s="322">
        <v>0</v>
      </c>
      <c r="IT35" s="322">
        <v>0</v>
      </c>
      <c r="IU35" s="322">
        <v>0</v>
      </c>
      <c r="IV35" s="322"/>
      <c r="IW35" s="322"/>
      <c r="IX35" s="322"/>
      <c r="IY35" s="322"/>
      <c r="IZ35" s="322"/>
      <c r="JA35" s="322"/>
      <c r="JB35" s="322"/>
      <c r="JC35" s="322"/>
      <c r="JD35" s="334"/>
      <c r="JE35" s="322" t="s">
        <v>18</v>
      </c>
      <c r="JF35" s="322">
        <v>30721.78</v>
      </c>
      <c r="JG35" s="322">
        <v>31679.84</v>
      </c>
      <c r="JH35" s="322">
        <v>33123.040000000001</v>
      </c>
      <c r="JI35" s="322">
        <v>15775.19</v>
      </c>
      <c r="JJ35" s="322">
        <v>15594.14</v>
      </c>
      <c r="JK35" s="322">
        <v>49563.69</v>
      </c>
      <c r="JL35" s="322">
        <v>38903.54</v>
      </c>
      <c r="JM35" s="322">
        <v>39550.379999999997</v>
      </c>
      <c r="JN35" s="322">
        <v>39233.299999999996</v>
      </c>
      <c r="JO35" s="322">
        <v>51866.270000000004</v>
      </c>
      <c r="JP35" s="322">
        <v>48417.619999999995</v>
      </c>
      <c r="JQ35" s="322">
        <v>53114.899999999994</v>
      </c>
      <c r="JR35" s="322">
        <v>52027.520000000004</v>
      </c>
      <c r="JS35" s="322">
        <v>58128.65</v>
      </c>
      <c r="JT35" s="322">
        <v>64012.26</v>
      </c>
      <c r="JU35" s="322">
        <v>55285.130000000005</v>
      </c>
      <c r="JV35" s="322">
        <v>74702.37999999999</v>
      </c>
      <c r="JW35" s="322">
        <v>30613.499999999996</v>
      </c>
      <c r="JX35" s="322">
        <v>33715.89</v>
      </c>
      <c r="JY35" s="322">
        <v>27348.22</v>
      </c>
      <c r="JZ35" s="322">
        <v>32584.32</v>
      </c>
      <c r="KA35" s="322">
        <v>42570</v>
      </c>
      <c r="KB35" s="334"/>
      <c r="KC35" s="322" t="s">
        <v>18</v>
      </c>
      <c r="KD35" s="322">
        <v>15360.89</v>
      </c>
      <c r="KE35" s="322">
        <v>15839.92</v>
      </c>
      <c r="KF35" s="322">
        <v>16561.52</v>
      </c>
      <c r="KG35" s="322">
        <v>31550.38</v>
      </c>
      <c r="KH35" s="322">
        <v>31188.28</v>
      </c>
      <c r="KI35" s="322">
        <v>49563.69</v>
      </c>
      <c r="KJ35" s="322">
        <v>38903.54</v>
      </c>
      <c r="KK35" s="322">
        <v>39550.379999999997</v>
      </c>
      <c r="KL35" s="322">
        <v>48644.25</v>
      </c>
      <c r="KM35" s="322">
        <v>55289.72</v>
      </c>
      <c r="KN35" s="322">
        <v>56622.5</v>
      </c>
      <c r="KO35" s="322">
        <v>59572.990000000005</v>
      </c>
      <c r="KP35" s="322">
        <v>61910.100000000006</v>
      </c>
      <c r="KQ35" s="322">
        <v>65866.2</v>
      </c>
      <c r="KR35" s="322">
        <v>61962.079999999994</v>
      </c>
      <c r="KS35" s="322">
        <v>63439</v>
      </c>
      <c r="KT35" s="322">
        <v>68313.62</v>
      </c>
      <c r="KU35" s="322">
        <v>69435.510000000009</v>
      </c>
      <c r="KV35" s="322">
        <v>68697.430000000008</v>
      </c>
      <c r="KW35" s="322">
        <v>68990.880000000005</v>
      </c>
      <c r="KX35" s="322">
        <v>71078.880000000005</v>
      </c>
      <c r="KY35" s="322">
        <v>79223.73000000001</v>
      </c>
      <c r="KZ35" s="334"/>
      <c r="LA35" s="322" t="s">
        <v>18</v>
      </c>
      <c r="LB35" s="322">
        <v>153608.9</v>
      </c>
      <c r="LC35" s="322">
        <v>190079.04</v>
      </c>
      <c r="LD35" s="322">
        <v>231861.28</v>
      </c>
      <c r="LE35" s="322">
        <v>220852.66</v>
      </c>
      <c r="LF35" s="322">
        <v>265100.38</v>
      </c>
      <c r="LG35" s="322">
        <v>231297.22</v>
      </c>
      <c r="LH35" s="322">
        <v>369583.63</v>
      </c>
      <c r="LI35" s="322">
        <v>336178.23</v>
      </c>
      <c r="LJ35" s="322">
        <v>380761.34</v>
      </c>
      <c r="LK35" s="322">
        <v>499576.57999999996</v>
      </c>
      <c r="LL35" s="322">
        <v>372035.36</v>
      </c>
      <c r="LM35" s="322">
        <v>397650.08</v>
      </c>
      <c r="LN35" s="322">
        <v>444562.1</v>
      </c>
      <c r="LO35" s="322">
        <v>429220.80000000005</v>
      </c>
      <c r="LP35" s="322">
        <v>449581.55000000005</v>
      </c>
      <c r="LQ35" s="322">
        <v>496836.41</v>
      </c>
      <c r="LR35" s="322">
        <v>629856.44999999995</v>
      </c>
      <c r="LS35" s="322">
        <v>544075.46</v>
      </c>
      <c r="LT35" s="322">
        <v>564149.09</v>
      </c>
      <c r="LU35" s="322">
        <v>557217.27</v>
      </c>
      <c r="LV35" s="322">
        <v>489923.84999999992</v>
      </c>
      <c r="LW35" s="322">
        <v>574914.76</v>
      </c>
      <c r="LX35" s="334"/>
      <c r="LY35" s="322" t="s">
        <v>18</v>
      </c>
      <c r="LZ35" s="322">
        <v>276496.02</v>
      </c>
      <c r="MA35" s="322">
        <v>300958.48</v>
      </c>
      <c r="MB35" s="322">
        <v>430599.52</v>
      </c>
      <c r="MC35" s="322">
        <v>347054.18</v>
      </c>
      <c r="MD35" s="322">
        <v>218317.96</v>
      </c>
      <c r="ME35" s="322">
        <v>214775.99</v>
      </c>
      <c r="MF35" s="322">
        <v>272324.78000000003</v>
      </c>
      <c r="MG35" s="322">
        <v>296627.84999999998</v>
      </c>
      <c r="MH35" s="322">
        <v>275174.57</v>
      </c>
      <c r="MI35" s="322">
        <v>298398.90000000008</v>
      </c>
      <c r="MJ35" s="322">
        <v>286870.82</v>
      </c>
      <c r="MK35" s="322">
        <v>305490.90000000008</v>
      </c>
      <c r="ML35" s="322">
        <v>308971.87999999995</v>
      </c>
      <c r="MM35" s="322">
        <v>309791.77000000008</v>
      </c>
      <c r="MN35" s="322">
        <v>311514.39</v>
      </c>
      <c r="MO35" s="322">
        <v>312931.98</v>
      </c>
      <c r="MP35" s="322">
        <v>325083.19</v>
      </c>
      <c r="MQ35" s="322">
        <v>389583.58</v>
      </c>
      <c r="MR35" s="322">
        <v>389580.64000000007</v>
      </c>
      <c r="MS35" s="322">
        <v>417069.4599999999</v>
      </c>
      <c r="MT35" s="322">
        <v>438413.81000000006</v>
      </c>
      <c r="MU35" s="322">
        <v>485527.70999999996</v>
      </c>
      <c r="MV35" s="334"/>
      <c r="MW35" s="322" t="s">
        <v>18</v>
      </c>
      <c r="MX35" s="322">
        <v>0</v>
      </c>
      <c r="MY35" s="322">
        <v>63359.68</v>
      </c>
      <c r="MZ35" s="322">
        <v>16561.52</v>
      </c>
      <c r="NA35" s="322">
        <v>31550.38</v>
      </c>
      <c r="NB35" s="322">
        <v>31188.28</v>
      </c>
      <c r="NC35" s="322">
        <v>33042.46</v>
      </c>
      <c r="ND35" s="322">
        <v>38903.54</v>
      </c>
      <c r="NE35" s="322">
        <v>19775.189999999999</v>
      </c>
      <c r="NF35" s="322">
        <v>31911.279999999999</v>
      </c>
      <c r="NG35" s="322">
        <v>28420.360000000004</v>
      </c>
      <c r="NH35" s="322">
        <v>35366.820000000007</v>
      </c>
      <c r="NI35" s="322">
        <v>33787.189999999995</v>
      </c>
      <c r="NJ35" s="322">
        <v>43569.59</v>
      </c>
      <c r="NK35" s="322">
        <v>33196.78</v>
      </c>
      <c r="NL35" s="322">
        <v>41960.71</v>
      </c>
      <c r="NM35" s="322">
        <v>43836.11</v>
      </c>
      <c r="NN35" s="322">
        <v>49064.060000000005</v>
      </c>
      <c r="NO35" s="322">
        <v>49258.400000000009</v>
      </c>
      <c r="NP35" s="322">
        <v>64562.59</v>
      </c>
      <c r="NQ35" s="322">
        <v>49683.43</v>
      </c>
      <c r="NR35" s="322">
        <v>46711.530000000006</v>
      </c>
      <c r="NS35" s="322">
        <v>62000</v>
      </c>
      <c r="NT35" s="334"/>
      <c r="NU35" s="322" t="s">
        <v>18</v>
      </c>
      <c r="NV35" s="322">
        <v>138248.01</v>
      </c>
      <c r="NW35" s="322">
        <v>79199.600000000006</v>
      </c>
      <c r="NX35" s="322">
        <v>82807.600000000006</v>
      </c>
      <c r="NY35" s="322">
        <v>110426.33</v>
      </c>
      <c r="NZ35" s="322">
        <v>109158.98</v>
      </c>
      <c r="OA35" s="322">
        <v>115648.61</v>
      </c>
      <c r="OB35" s="322">
        <v>136162.39000000001</v>
      </c>
      <c r="OC35" s="322">
        <v>177976.71</v>
      </c>
      <c r="OD35" s="322">
        <v>169629.93999999997</v>
      </c>
      <c r="OE35" s="322">
        <v>174800.46999999997</v>
      </c>
      <c r="OF35" s="322">
        <v>191413.1</v>
      </c>
      <c r="OG35" s="322">
        <v>218785.25999999998</v>
      </c>
      <c r="OH35" s="322">
        <v>225481.96</v>
      </c>
      <c r="OI35" s="322">
        <v>229196.75999999998</v>
      </c>
      <c r="OJ35" s="322">
        <v>237997.12000000002</v>
      </c>
      <c r="OK35" s="322">
        <v>237566.94999999998</v>
      </c>
      <c r="OL35" s="322">
        <v>260116.73</v>
      </c>
      <c r="OM35" s="322">
        <v>274199.88</v>
      </c>
      <c r="ON35" s="322">
        <v>249786.25</v>
      </c>
      <c r="OO35" s="322">
        <v>277728.38</v>
      </c>
      <c r="OP35" s="322">
        <v>284029.23000000004</v>
      </c>
      <c r="OQ35" s="322">
        <v>301356.42000000004</v>
      </c>
      <c r="OR35" s="334"/>
      <c r="OS35" s="322" t="s">
        <v>18</v>
      </c>
      <c r="OT35" s="322">
        <v>61443.56</v>
      </c>
      <c r="OU35" s="322">
        <v>47519.76</v>
      </c>
      <c r="OV35" s="322">
        <v>49684.56</v>
      </c>
      <c r="OW35" s="322">
        <v>47325.57</v>
      </c>
      <c r="OX35" s="322">
        <v>31188.28</v>
      </c>
      <c r="OY35" s="322">
        <v>33042.46</v>
      </c>
      <c r="OZ35" s="322">
        <v>19451.77</v>
      </c>
      <c r="PA35" s="322">
        <v>59325.57</v>
      </c>
      <c r="PB35" s="322">
        <v>26726.46</v>
      </c>
      <c r="PC35" s="322">
        <v>66386.81</v>
      </c>
      <c r="PD35" s="322">
        <v>31006.26</v>
      </c>
      <c r="PE35" s="322">
        <v>34360.990000000005</v>
      </c>
      <c r="PF35" s="322">
        <v>30042.7</v>
      </c>
      <c r="PG35" s="322">
        <v>37456.21</v>
      </c>
      <c r="PH35" s="322">
        <v>34589.360000000001</v>
      </c>
      <c r="PI35" s="322">
        <v>35092.71</v>
      </c>
      <c r="PJ35" s="322">
        <v>27183.599999999995</v>
      </c>
      <c r="PK35" s="322">
        <v>27479.200000000001</v>
      </c>
      <c r="PL35" s="322">
        <v>32631.710000000003</v>
      </c>
      <c r="PM35" s="322">
        <v>29717.4</v>
      </c>
      <c r="PN35" s="322">
        <v>36467.410000000003</v>
      </c>
      <c r="PO35" s="322">
        <v>43055.199999999997</v>
      </c>
      <c r="PP35" s="334"/>
      <c r="PQ35" s="322" t="s">
        <v>18</v>
      </c>
      <c r="PR35" s="322">
        <v>15360.89</v>
      </c>
      <c r="PS35" s="322">
        <v>15839.92</v>
      </c>
      <c r="PT35" s="322">
        <v>16561.52</v>
      </c>
      <c r="PU35" s="322">
        <v>15775.19</v>
      </c>
      <c r="PV35" s="322">
        <v>15594.14</v>
      </c>
      <c r="PW35" s="322">
        <v>16521.23</v>
      </c>
      <c r="PX35" s="322">
        <v>19451.77</v>
      </c>
      <c r="PY35" s="322">
        <v>19775.189999999999</v>
      </c>
      <c r="PZ35" s="322">
        <v>18983.36</v>
      </c>
      <c r="QA35" s="322">
        <v>19194.5</v>
      </c>
      <c r="QB35" s="322">
        <v>20565.09</v>
      </c>
      <c r="QC35" s="322">
        <v>21724.34</v>
      </c>
      <c r="QD35" s="322">
        <v>20460.41</v>
      </c>
      <c r="QE35" s="322">
        <v>29515.64</v>
      </c>
      <c r="QF35" s="322">
        <v>21661.910000000003</v>
      </c>
      <c r="QG35" s="547">
        <v>26737.919999999998</v>
      </c>
      <c r="QH35" s="547">
        <v>23506.41</v>
      </c>
      <c r="QI35" s="547">
        <v>28753.250000000004</v>
      </c>
      <c r="QJ35" s="707">
        <v>29001.399999999998</v>
      </c>
      <c r="QK35" s="707">
        <v>27923.820000000003</v>
      </c>
      <c r="QL35" s="707">
        <v>29761.4</v>
      </c>
      <c r="QM35" s="707">
        <v>32383.96</v>
      </c>
      <c r="QN35" s="334"/>
      <c r="QO35" s="322" t="s">
        <v>18</v>
      </c>
      <c r="QP35" s="322">
        <v>138248.01</v>
      </c>
      <c r="QQ35" s="322">
        <v>142559.28</v>
      </c>
      <c r="QR35" s="322">
        <v>165615.20000000001</v>
      </c>
      <c r="QS35" s="322">
        <v>157751.9</v>
      </c>
      <c r="QT35" s="322">
        <v>155941.4</v>
      </c>
      <c r="QU35" s="322">
        <v>165212.29999999999</v>
      </c>
      <c r="QV35" s="322">
        <v>213969.47</v>
      </c>
      <c r="QW35" s="322">
        <v>197751.9</v>
      </c>
      <c r="QX35" s="322">
        <v>193883.09</v>
      </c>
      <c r="QY35" s="322">
        <v>201901.94</v>
      </c>
      <c r="QZ35" s="322">
        <v>202535.37000000002</v>
      </c>
      <c r="RA35" s="322">
        <v>0</v>
      </c>
      <c r="RB35" s="322">
        <v>0</v>
      </c>
      <c r="RC35" s="322">
        <v>0</v>
      </c>
      <c r="RD35" s="322">
        <v>0</v>
      </c>
      <c r="RE35" s="322">
        <v>0</v>
      </c>
      <c r="RF35" s="322">
        <v>0</v>
      </c>
      <c r="RG35" s="322">
        <v>0</v>
      </c>
      <c r="RH35" s="322">
        <v>0</v>
      </c>
      <c r="RI35" s="322">
        <v>0</v>
      </c>
      <c r="RJ35" s="322">
        <v>0</v>
      </c>
      <c r="RK35" s="322">
        <v>0</v>
      </c>
      <c r="RL35" s="334"/>
      <c r="RM35" s="322" t="s">
        <v>18</v>
      </c>
      <c r="RN35" s="322">
        <v>0</v>
      </c>
      <c r="RO35" s="322">
        <v>47519.76</v>
      </c>
      <c r="RP35" s="322">
        <v>49684.56</v>
      </c>
      <c r="RQ35" s="322">
        <v>0</v>
      </c>
      <c r="RR35" s="322">
        <v>46782.42</v>
      </c>
      <c r="RS35" s="322">
        <v>33042.46</v>
      </c>
      <c r="RT35" s="322">
        <v>58355.31</v>
      </c>
      <c r="RU35" s="322">
        <v>19775.189999999999</v>
      </c>
      <c r="RV35" s="322">
        <v>24931.200000000001</v>
      </c>
      <c r="RW35" s="322">
        <v>14686.66</v>
      </c>
      <c r="RX35" s="322">
        <v>20902.93</v>
      </c>
      <c r="RY35" s="322">
        <v>17463.080000000002</v>
      </c>
      <c r="RZ35" s="322">
        <v>22328.84</v>
      </c>
      <c r="SA35" s="322">
        <v>16963.54</v>
      </c>
      <c r="SB35" s="322">
        <v>39707.82</v>
      </c>
      <c r="SC35" s="322">
        <v>16683.98</v>
      </c>
      <c r="SD35" s="322">
        <v>83828.97</v>
      </c>
      <c r="SE35" s="322">
        <v>17685.169999999998</v>
      </c>
      <c r="SF35" s="322">
        <v>21174.94</v>
      </c>
      <c r="SG35" s="322">
        <v>17990</v>
      </c>
      <c r="SH35" s="322">
        <v>182870.76</v>
      </c>
      <c r="SI35" s="322">
        <v>20410.46</v>
      </c>
    </row>
    <row r="36" spans="1:503">
      <c r="A36" s="319" t="s">
        <v>19</v>
      </c>
      <c r="B36" s="319">
        <v>1583022</v>
      </c>
      <c r="C36" s="319">
        <v>1609960</v>
      </c>
      <c r="D36" s="319">
        <v>1764044</v>
      </c>
      <c r="E36" s="319">
        <v>1825157</v>
      </c>
      <c r="F36" s="319">
        <v>2008662</v>
      </c>
      <c r="G36" s="319">
        <v>2269367</v>
      </c>
      <c r="H36" s="319">
        <v>2387686</v>
      </c>
      <c r="I36" s="319">
        <v>2297874</v>
      </c>
      <c r="J36" s="319">
        <v>2328997.21</v>
      </c>
      <c r="K36" s="319">
        <v>2333012.7199999997</v>
      </c>
      <c r="L36" s="319">
        <v>2581496.6800000002</v>
      </c>
      <c r="M36" s="319">
        <v>2585704.52</v>
      </c>
      <c r="N36" s="319">
        <v>2656005.14</v>
      </c>
      <c r="O36" s="319"/>
      <c r="P36" s="319"/>
      <c r="Q36" s="319"/>
      <c r="R36" s="319"/>
      <c r="S36" s="322"/>
      <c r="T36" s="319"/>
      <c r="U36" s="319"/>
      <c r="V36" s="319"/>
      <c r="W36" s="319"/>
      <c r="X36" s="330"/>
      <c r="Y36" s="319" t="s">
        <v>19</v>
      </c>
      <c r="Z36" s="319">
        <v>47490.66</v>
      </c>
      <c r="AA36" s="319">
        <v>48298.8</v>
      </c>
      <c r="AB36" s="319">
        <v>52921.32</v>
      </c>
      <c r="AC36" s="319">
        <v>73006.28</v>
      </c>
      <c r="AD36" s="319">
        <v>80346.48</v>
      </c>
      <c r="AE36" s="319">
        <v>90774.68</v>
      </c>
      <c r="AF36" s="319">
        <v>90774.68</v>
      </c>
      <c r="AG36" s="319">
        <v>91914.96</v>
      </c>
      <c r="AH36" s="319">
        <v>91255.82</v>
      </c>
      <c r="AI36" s="319">
        <v>94300.689999999988</v>
      </c>
      <c r="AJ36" s="319">
        <v>103186.62000000002</v>
      </c>
      <c r="AK36" s="319">
        <v>100333.7</v>
      </c>
      <c r="AL36" s="319">
        <v>99912.33</v>
      </c>
      <c r="AM36" s="319"/>
      <c r="AN36" s="319"/>
      <c r="AO36" s="319"/>
      <c r="AP36" s="319"/>
      <c r="AQ36" s="322"/>
      <c r="AR36" s="319"/>
      <c r="AS36" s="319"/>
      <c r="AT36" s="319"/>
      <c r="AU36" s="319"/>
      <c r="AV36" s="334"/>
      <c r="AW36" s="319" t="s">
        <v>19</v>
      </c>
      <c r="AX36" s="319">
        <v>79151.100000000006</v>
      </c>
      <c r="AY36" s="319">
        <v>80498</v>
      </c>
      <c r="AZ36" s="319">
        <v>70561.759999999995</v>
      </c>
      <c r="BA36" s="319">
        <v>73006.28</v>
      </c>
      <c r="BB36" s="319">
        <v>80346.48</v>
      </c>
      <c r="BC36" s="319">
        <v>90774.680000000008</v>
      </c>
      <c r="BD36" s="319">
        <v>71630.58</v>
      </c>
      <c r="BE36" s="319">
        <v>68936.22</v>
      </c>
      <c r="BF36" s="319">
        <v>80681.239999999991</v>
      </c>
      <c r="BG36" s="319">
        <v>83764.759999999995</v>
      </c>
      <c r="BH36" s="319">
        <v>85676.040000000008</v>
      </c>
      <c r="BI36" s="319">
        <v>105149.26000000002</v>
      </c>
      <c r="BJ36" s="319">
        <v>93797.159999999989</v>
      </c>
      <c r="BK36" s="319"/>
      <c r="BL36" s="319"/>
      <c r="BM36" s="319"/>
      <c r="BN36" s="319"/>
      <c r="BO36" s="322"/>
      <c r="BP36" s="319"/>
      <c r="BQ36" s="319"/>
      <c r="BR36" s="319"/>
      <c r="BS36" s="319"/>
      <c r="BT36" s="334"/>
      <c r="BU36" s="322" t="s">
        <v>19</v>
      </c>
      <c r="BV36" s="322">
        <v>31660.44</v>
      </c>
      <c r="BW36" s="322">
        <v>0</v>
      </c>
      <c r="BX36" s="322">
        <v>52921.32</v>
      </c>
      <c r="BY36" s="322">
        <v>0</v>
      </c>
      <c r="BZ36" s="322">
        <v>80346.48</v>
      </c>
      <c r="CA36" s="322">
        <v>45387.34</v>
      </c>
      <c r="CB36" s="322">
        <v>71630.58</v>
      </c>
      <c r="CC36" s="322">
        <v>45957.48</v>
      </c>
      <c r="CD36" s="322">
        <v>108028.48</v>
      </c>
      <c r="CE36" s="322">
        <v>93285.250000000015</v>
      </c>
      <c r="CF36" s="322">
        <v>133976.73000000001</v>
      </c>
      <c r="CG36" s="322">
        <v>79037.180000000008</v>
      </c>
      <c r="CH36" s="322">
        <v>179421.96</v>
      </c>
      <c r="CI36" s="322"/>
      <c r="CJ36" s="322"/>
      <c r="CK36" s="322"/>
      <c r="CL36" s="322"/>
      <c r="CM36" s="322"/>
      <c r="CN36" s="322"/>
      <c r="CO36" s="322"/>
      <c r="CP36" s="322"/>
      <c r="CQ36" s="322"/>
      <c r="CR36" s="334"/>
      <c r="CS36" s="322" t="s">
        <v>19</v>
      </c>
      <c r="CT36" s="322">
        <v>63320.88</v>
      </c>
      <c r="CU36" s="322">
        <v>80498</v>
      </c>
      <c r="CV36" s="322">
        <v>70561.759999999995</v>
      </c>
      <c r="CW36" s="322">
        <v>73006.28</v>
      </c>
      <c r="CX36" s="322">
        <v>60259.86</v>
      </c>
      <c r="CY36" s="322">
        <v>68081.009999999995</v>
      </c>
      <c r="CZ36" s="322">
        <v>71630.58</v>
      </c>
      <c r="DA36" s="322">
        <v>68936.22</v>
      </c>
      <c r="DB36" s="322">
        <v>74699.89</v>
      </c>
      <c r="DC36" s="322">
        <v>82331.839999999997</v>
      </c>
      <c r="DD36" s="322">
        <v>92313.96</v>
      </c>
      <c r="DE36" s="322">
        <v>95504.88</v>
      </c>
      <c r="DF36" s="322">
        <v>101681.73000000001</v>
      </c>
      <c r="DG36" s="322"/>
      <c r="DH36" s="322"/>
      <c r="DI36" s="322"/>
      <c r="DJ36" s="322"/>
      <c r="DK36" s="322"/>
      <c r="DL36" s="322"/>
      <c r="DM36" s="322"/>
      <c r="DN36" s="322"/>
      <c r="DO36" s="322"/>
      <c r="DP36" s="334"/>
      <c r="DQ36" s="322" t="s">
        <v>19</v>
      </c>
      <c r="DR36" s="322">
        <v>126641.76</v>
      </c>
      <c r="DS36" s="322">
        <v>112697.2</v>
      </c>
      <c r="DT36" s="322">
        <v>141123.51999999999</v>
      </c>
      <c r="DU36" s="322">
        <v>146012.56</v>
      </c>
      <c r="DV36" s="322">
        <v>20086.62</v>
      </c>
      <c r="DW36" s="322">
        <v>22693.67</v>
      </c>
      <c r="DX36" s="322">
        <v>0</v>
      </c>
      <c r="DY36" s="322">
        <v>0</v>
      </c>
      <c r="DZ36" s="322">
        <v>3267.37</v>
      </c>
      <c r="EA36" s="322">
        <v>7547.25</v>
      </c>
      <c r="EB36" s="322">
        <v>12500.86</v>
      </c>
      <c r="EC36" s="322">
        <v>15691.38</v>
      </c>
      <c r="ED36" s="322">
        <v>6577.79</v>
      </c>
      <c r="EE36" s="322"/>
      <c r="EF36" s="322"/>
      <c r="EG36" s="322"/>
      <c r="EH36" s="322"/>
      <c r="EI36" s="322"/>
      <c r="EJ36" s="322"/>
      <c r="EK36" s="322"/>
      <c r="EL36" s="322"/>
      <c r="EM36" s="322"/>
      <c r="EN36" s="334"/>
      <c r="EO36" s="322" t="s">
        <v>19</v>
      </c>
      <c r="EP36" s="322">
        <v>31660.44</v>
      </c>
      <c r="EQ36" s="322">
        <v>16099.6</v>
      </c>
      <c r="ER36" s="322">
        <v>17640.439999999999</v>
      </c>
      <c r="ES36" s="322">
        <v>36503.14</v>
      </c>
      <c r="ET36" s="322">
        <v>40173.24</v>
      </c>
      <c r="EU36" s="322">
        <v>22693.67</v>
      </c>
      <c r="EV36" s="322">
        <v>23876.86</v>
      </c>
      <c r="EW36" s="322">
        <v>22978.74</v>
      </c>
      <c r="EX36" s="322">
        <v>33355.93</v>
      </c>
      <c r="EY36" s="322">
        <v>34875.53</v>
      </c>
      <c r="EZ36" s="322">
        <v>36573.000000000007</v>
      </c>
      <c r="FA36" s="322">
        <v>50047.189999999995</v>
      </c>
      <c r="FB36" s="322">
        <v>49145.899999999994</v>
      </c>
      <c r="FC36" s="322"/>
      <c r="FD36" s="322"/>
      <c r="FE36" s="322"/>
      <c r="FF36" s="322"/>
      <c r="FG36" s="322"/>
      <c r="FH36" s="322"/>
      <c r="FI36" s="322"/>
      <c r="FJ36" s="322"/>
      <c r="FK36" s="322"/>
      <c r="FL36" s="334"/>
      <c r="FM36" s="322" t="s">
        <v>19</v>
      </c>
      <c r="FN36" s="322">
        <v>79151.100000000006</v>
      </c>
      <c r="FO36" s="322">
        <v>80498</v>
      </c>
      <c r="FP36" s="322">
        <v>70561.759999999995</v>
      </c>
      <c r="FQ36" s="322">
        <v>73006.28</v>
      </c>
      <c r="FR36" s="322">
        <v>100433.1</v>
      </c>
      <c r="FS36" s="322">
        <v>90774.68</v>
      </c>
      <c r="FT36" s="322">
        <v>95507.44</v>
      </c>
      <c r="FU36" s="322">
        <v>114893.7</v>
      </c>
      <c r="FV36" s="322">
        <v>106559.64</v>
      </c>
      <c r="FW36" s="322">
        <v>111003.98</v>
      </c>
      <c r="FX36" s="322">
        <v>111383</v>
      </c>
      <c r="FY36" s="322">
        <v>133669.22999999998</v>
      </c>
      <c r="FZ36" s="322">
        <v>135842.62999999998</v>
      </c>
      <c r="GA36" s="322"/>
      <c r="GB36" s="322"/>
      <c r="GC36" s="322"/>
      <c r="GD36" s="322"/>
      <c r="GE36" s="322"/>
      <c r="GF36" s="340"/>
      <c r="GG36" s="704"/>
      <c r="GH36" s="704"/>
      <c r="GI36" s="704"/>
      <c r="GJ36" s="334"/>
      <c r="GK36" s="322" t="s">
        <v>19</v>
      </c>
      <c r="GL36" s="322">
        <v>31660.44</v>
      </c>
      <c r="GM36" s="322">
        <v>32199.200000000001</v>
      </c>
      <c r="GN36" s="322">
        <v>35280.879999999997</v>
      </c>
      <c r="GO36" s="322">
        <v>36503.14</v>
      </c>
      <c r="GP36" s="322">
        <v>40173.24</v>
      </c>
      <c r="GQ36" s="322">
        <v>45387.34</v>
      </c>
      <c r="GR36" s="322">
        <v>47753.72</v>
      </c>
      <c r="GS36" s="322">
        <v>45957.48</v>
      </c>
      <c r="GT36" s="322">
        <v>52376.36</v>
      </c>
      <c r="GU36" s="322">
        <v>61715.26</v>
      </c>
      <c r="GV36" s="322">
        <v>67681.19</v>
      </c>
      <c r="GW36" s="322">
        <v>89116.94</v>
      </c>
      <c r="GX36" s="322">
        <v>92945.920000000013</v>
      </c>
      <c r="GY36" s="322"/>
      <c r="GZ36" s="322"/>
      <c r="HA36" s="322"/>
      <c r="HB36" s="322"/>
      <c r="HC36" s="322"/>
      <c r="HD36" s="322"/>
      <c r="HE36" s="322"/>
      <c r="HF36" s="322"/>
      <c r="HG36" s="322"/>
      <c r="HH36" s="334"/>
      <c r="HI36" s="322" t="s">
        <v>19</v>
      </c>
      <c r="HJ36" s="322">
        <v>15830.22</v>
      </c>
      <c r="HK36" s="322">
        <v>16099.6</v>
      </c>
      <c r="HL36" s="322">
        <v>17640.439999999999</v>
      </c>
      <c r="HM36" s="322">
        <v>18251.57</v>
      </c>
      <c r="HN36" s="322">
        <v>20086.62</v>
      </c>
      <c r="HO36" s="322">
        <v>0</v>
      </c>
      <c r="HP36" s="322">
        <v>0</v>
      </c>
      <c r="HQ36" s="322">
        <v>0</v>
      </c>
      <c r="HR36" s="322">
        <v>7800.5500000000011</v>
      </c>
      <c r="HS36" s="322">
        <v>12400.31</v>
      </c>
      <c r="HT36" s="322">
        <v>19698.91</v>
      </c>
      <c r="HU36" s="322">
        <v>19822.399999999998</v>
      </c>
      <c r="HV36" s="322">
        <v>22124.300000000003</v>
      </c>
      <c r="HW36" s="322"/>
      <c r="HX36" s="322"/>
      <c r="HY36" s="322"/>
      <c r="HZ36" s="322"/>
      <c r="IA36" s="322"/>
      <c r="IB36" s="322"/>
      <c r="IC36" s="322"/>
      <c r="ID36" s="322"/>
      <c r="IE36" s="322"/>
      <c r="IF36" s="334"/>
      <c r="IG36" s="322" t="s">
        <v>19</v>
      </c>
      <c r="IH36" s="322">
        <v>15830.22</v>
      </c>
      <c r="II36" s="322">
        <v>16099.6</v>
      </c>
      <c r="IJ36" s="322">
        <v>0</v>
      </c>
      <c r="IK36" s="322">
        <v>18251.57</v>
      </c>
      <c r="IL36" s="322">
        <v>0</v>
      </c>
      <c r="IM36" s="322">
        <v>0</v>
      </c>
      <c r="IN36" s="322">
        <v>0</v>
      </c>
      <c r="IO36" s="322">
        <v>0</v>
      </c>
      <c r="IP36" s="322">
        <v>14079.839999999998</v>
      </c>
      <c r="IQ36" s="322">
        <v>13772.76</v>
      </c>
      <c r="IR36" s="322">
        <v>13526.76</v>
      </c>
      <c r="IS36" s="322">
        <v>15423.58</v>
      </c>
      <c r="IT36" s="322">
        <v>12964.82</v>
      </c>
      <c r="IU36" s="322"/>
      <c r="IV36" s="322"/>
      <c r="IW36" s="322"/>
      <c r="IX36" s="322"/>
      <c r="IY36" s="322"/>
      <c r="IZ36" s="322"/>
      <c r="JA36" s="322"/>
      <c r="JB36" s="322"/>
      <c r="JC36" s="322"/>
      <c r="JD36" s="334"/>
      <c r="JE36" s="322" t="s">
        <v>19</v>
      </c>
      <c r="JF36" s="322">
        <v>15830.22</v>
      </c>
      <c r="JG36" s="322">
        <v>0</v>
      </c>
      <c r="JH36" s="322">
        <v>0</v>
      </c>
      <c r="JI36" s="322">
        <v>18251.57</v>
      </c>
      <c r="JJ36" s="322">
        <v>0</v>
      </c>
      <c r="JK36" s="322">
        <v>0</v>
      </c>
      <c r="JL36" s="322">
        <v>0</v>
      </c>
      <c r="JM36" s="322">
        <v>0</v>
      </c>
      <c r="JN36" s="322">
        <v>12036.3</v>
      </c>
      <c r="JO36" s="322">
        <v>17072.47</v>
      </c>
      <c r="JP36" s="322">
        <v>10180.689999999999</v>
      </c>
      <c r="JQ36" s="322">
        <v>10638.2</v>
      </c>
      <c r="JR36" s="322">
        <v>7223.63</v>
      </c>
      <c r="JS36" s="322"/>
      <c r="JT36" s="322"/>
      <c r="JU36" s="322"/>
      <c r="JV36" s="322"/>
      <c r="JW36" s="322"/>
      <c r="JX36" s="322"/>
      <c r="JY36" s="322"/>
      <c r="JZ36" s="322"/>
      <c r="KA36" s="322"/>
      <c r="KB36" s="334"/>
      <c r="KC36" s="322" t="s">
        <v>19</v>
      </c>
      <c r="KD36" s="322">
        <v>15830.22</v>
      </c>
      <c r="KE36" s="322">
        <v>16099.6</v>
      </c>
      <c r="KF36" s="322">
        <v>35280.879999999997</v>
      </c>
      <c r="KG36" s="322">
        <v>18251.57</v>
      </c>
      <c r="KH36" s="322">
        <v>40173.24</v>
      </c>
      <c r="KI36" s="322">
        <v>45387.34</v>
      </c>
      <c r="KJ36" s="322">
        <v>47753.72</v>
      </c>
      <c r="KK36" s="322">
        <v>45957.48</v>
      </c>
      <c r="KL36" s="322">
        <v>50168.98</v>
      </c>
      <c r="KM36" s="322">
        <v>44957.83</v>
      </c>
      <c r="KN36" s="322">
        <v>44770.15</v>
      </c>
      <c r="KO36" s="322">
        <v>44776.000000000007</v>
      </c>
      <c r="KP36" s="322">
        <v>45183.61</v>
      </c>
      <c r="KQ36" s="322"/>
      <c r="KR36" s="322"/>
      <c r="KS36" s="322"/>
      <c r="KT36" s="322"/>
      <c r="KU36" s="322"/>
      <c r="KV36" s="322"/>
      <c r="KW36" s="322"/>
      <c r="KX36" s="322"/>
      <c r="KY36" s="322"/>
      <c r="KZ36" s="334"/>
      <c r="LA36" s="322" t="s">
        <v>19</v>
      </c>
      <c r="LB36" s="322">
        <v>126641.76</v>
      </c>
      <c r="LC36" s="322">
        <v>241494</v>
      </c>
      <c r="LD36" s="322">
        <v>229325.72</v>
      </c>
      <c r="LE36" s="322">
        <v>182515.7</v>
      </c>
      <c r="LF36" s="322">
        <v>220952.82</v>
      </c>
      <c r="LG36" s="322">
        <v>272324.03999999998</v>
      </c>
      <c r="LH36" s="322">
        <v>310399.18</v>
      </c>
      <c r="LI36" s="322">
        <v>367659.84</v>
      </c>
      <c r="LJ36" s="322">
        <v>390807.26</v>
      </c>
      <c r="LK36" s="322">
        <v>489818.76999999996</v>
      </c>
      <c r="LL36" s="322">
        <v>348464.2</v>
      </c>
      <c r="LM36" s="322">
        <v>377049.31000000006</v>
      </c>
      <c r="LN36" s="322">
        <v>384614.87</v>
      </c>
      <c r="LO36" s="322"/>
      <c r="LP36" s="322"/>
      <c r="LQ36" s="322"/>
      <c r="LR36" s="322"/>
      <c r="LS36" s="322"/>
      <c r="LT36" s="322"/>
      <c r="LU36" s="322"/>
      <c r="LV36" s="322"/>
      <c r="LW36" s="322"/>
      <c r="LX36" s="334"/>
      <c r="LY36" s="322" t="s">
        <v>19</v>
      </c>
      <c r="LZ36" s="322">
        <v>395755.5</v>
      </c>
      <c r="MA36" s="322">
        <v>434689.2</v>
      </c>
      <c r="MB36" s="322">
        <v>370449.24</v>
      </c>
      <c r="MC36" s="322">
        <v>383282.97</v>
      </c>
      <c r="MD36" s="322">
        <v>461992.26</v>
      </c>
      <c r="ME36" s="322">
        <v>408486.06</v>
      </c>
      <c r="MF36" s="322">
        <v>596921.5</v>
      </c>
      <c r="MG36" s="322">
        <v>436596.06</v>
      </c>
      <c r="MH36" s="322">
        <v>409338.58000000013</v>
      </c>
      <c r="MI36" s="322">
        <v>460242.82</v>
      </c>
      <c r="MJ36" s="322">
        <v>477340.68</v>
      </c>
      <c r="MK36" s="322">
        <v>534855.10999999987</v>
      </c>
      <c r="ML36" s="322">
        <v>582040.57000000007</v>
      </c>
      <c r="MM36" s="322"/>
      <c r="MN36" s="322"/>
      <c r="MO36" s="322"/>
      <c r="MP36" s="322"/>
      <c r="MQ36" s="322"/>
      <c r="MR36" s="322"/>
      <c r="MS36" s="322"/>
      <c r="MT36" s="322"/>
      <c r="MU36" s="322"/>
      <c r="MV36" s="334"/>
      <c r="MW36" s="322" t="s">
        <v>19</v>
      </c>
      <c r="MX36" s="322">
        <v>79151.100000000006</v>
      </c>
      <c r="MY36" s="322">
        <v>64398.400000000001</v>
      </c>
      <c r="MZ36" s="322">
        <v>194044.84</v>
      </c>
      <c r="NA36" s="322">
        <v>273773.55</v>
      </c>
      <c r="NB36" s="322">
        <v>301299.3</v>
      </c>
      <c r="NC36" s="322">
        <v>567341.75</v>
      </c>
      <c r="ND36" s="322">
        <v>429783.48</v>
      </c>
      <c r="NE36" s="322">
        <v>436596.06</v>
      </c>
      <c r="NF36" s="322">
        <v>299000</v>
      </c>
      <c r="NG36" s="322">
        <v>92000</v>
      </c>
      <c r="NH36" s="322">
        <v>310000</v>
      </c>
      <c r="NI36" s="322">
        <v>83453.5</v>
      </c>
      <c r="NJ36" s="322">
        <v>0</v>
      </c>
      <c r="NK36" s="322"/>
      <c r="NL36" s="322"/>
      <c r="NM36" s="322"/>
      <c r="NN36" s="322"/>
      <c r="NO36" s="322"/>
      <c r="NP36" s="322"/>
      <c r="NQ36" s="322"/>
      <c r="NR36" s="322"/>
      <c r="NS36" s="322"/>
      <c r="NT36" s="334"/>
      <c r="NU36" s="322" t="s">
        <v>19</v>
      </c>
      <c r="NV36" s="322">
        <v>158302.20000000001</v>
      </c>
      <c r="NW36" s="322">
        <v>80498</v>
      </c>
      <c r="NX36" s="322">
        <v>88202.2</v>
      </c>
      <c r="NY36" s="322">
        <v>109509.42</v>
      </c>
      <c r="NZ36" s="322">
        <v>140606.34</v>
      </c>
      <c r="OA36" s="322">
        <v>158855.69</v>
      </c>
      <c r="OB36" s="322">
        <v>167138.01999999999</v>
      </c>
      <c r="OC36" s="322">
        <v>183829.92</v>
      </c>
      <c r="OD36" s="322">
        <v>193783.19</v>
      </c>
      <c r="OE36" s="322">
        <v>206309.53</v>
      </c>
      <c r="OF36" s="322">
        <v>242142.76999999996</v>
      </c>
      <c r="OG36" s="322">
        <v>278500.81</v>
      </c>
      <c r="OH36" s="322">
        <v>293209.99</v>
      </c>
      <c r="OI36" s="322"/>
      <c r="OJ36" s="322"/>
      <c r="OK36" s="322"/>
      <c r="OL36" s="322"/>
      <c r="OM36" s="322"/>
      <c r="ON36" s="322"/>
      <c r="OO36" s="322"/>
      <c r="OP36" s="322"/>
      <c r="OQ36" s="322"/>
      <c r="OR36" s="334"/>
      <c r="OS36" s="322" t="s">
        <v>19</v>
      </c>
      <c r="OT36" s="322">
        <v>63320.88</v>
      </c>
      <c r="OU36" s="322">
        <v>64398.400000000001</v>
      </c>
      <c r="OV36" s="322">
        <v>70561.759999999995</v>
      </c>
      <c r="OW36" s="322">
        <v>54754.71</v>
      </c>
      <c r="OX36" s="322">
        <v>40173.24</v>
      </c>
      <c r="OY36" s="322">
        <v>45387.34</v>
      </c>
      <c r="OZ36" s="322">
        <v>47753.72</v>
      </c>
      <c r="PA36" s="322">
        <v>45957.48</v>
      </c>
      <c r="PB36" s="322">
        <v>50791.35</v>
      </c>
      <c r="PC36" s="322">
        <v>60882.23</v>
      </c>
      <c r="PD36" s="322">
        <v>67742.990000000005</v>
      </c>
      <c r="PE36" s="322">
        <v>68487.25</v>
      </c>
      <c r="PF36" s="322">
        <v>69366.38</v>
      </c>
      <c r="PG36" s="322"/>
      <c r="PH36" s="322"/>
      <c r="PI36" s="322"/>
      <c r="PJ36" s="322"/>
      <c r="PK36" s="322"/>
      <c r="PL36" s="322"/>
      <c r="PM36" s="322"/>
      <c r="PN36" s="322"/>
      <c r="PO36" s="322"/>
      <c r="PP36" s="334"/>
      <c r="PQ36" s="322" t="s">
        <v>19</v>
      </c>
      <c r="PR36" s="322">
        <v>15830.22</v>
      </c>
      <c r="PS36" s="322">
        <v>16099.6</v>
      </c>
      <c r="PT36" s="322">
        <v>17640.439999999999</v>
      </c>
      <c r="PU36" s="322">
        <v>18251.57</v>
      </c>
      <c r="PV36" s="322">
        <v>20086.62</v>
      </c>
      <c r="PW36" s="322">
        <v>22693.67</v>
      </c>
      <c r="PX36" s="322">
        <v>23876.86</v>
      </c>
      <c r="PY36" s="322">
        <v>22978.74</v>
      </c>
      <c r="PZ36" s="322">
        <v>39953.439999999995</v>
      </c>
      <c r="QA36" s="322">
        <v>27871.89</v>
      </c>
      <c r="QB36" s="322">
        <v>37749.479999999996</v>
      </c>
      <c r="QC36" s="322">
        <v>33370.979999999996</v>
      </c>
      <c r="QD36" s="322">
        <v>32570.149999999998</v>
      </c>
      <c r="QE36" s="322"/>
      <c r="QF36" s="322"/>
      <c r="QG36" s="375"/>
      <c r="QH36" s="375"/>
      <c r="QI36" s="375"/>
      <c r="QJ36" s="375"/>
      <c r="QK36" s="375"/>
      <c r="QL36" s="375"/>
      <c r="QM36" s="375"/>
      <c r="QN36" s="334"/>
      <c r="QO36" s="322" t="s">
        <v>19</v>
      </c>
      <c r="QP36" s="322">
        <v>189962.64</v>
      </c>
      <c r="QQ36" s="322">
        <v>209294.8</v>
      </c>
      <c r="QR36" s="322">
        <v>229325.72</v>
      </c>
      <c r="QS36" s="322">
        <v>219018.84</v>
      </c>
      <c r="QT36" s="322">
        <v>261126.06</v>
      </c>
      <c r="QU36" s="322">
        <v>272324.03999999998</v>
      </c>
      <c r="QV36" s="322">
        <v>286522.32</v>
      </c>
      <c r="QW36" s="322">
        <v>298723.62</v>
      </c>
      <c r="QX36" s="322">
        <v>304362.99</v>
      </c>
      <c r="QY36" s="322">
        <v>315598.03000000003</v>
      </c>
      <c r="QZ36" s="322">
        <v>352262.56999999995</v>
      </c>
      <c r="RA36" s="322">
        <v>426468.51000000007</v>
      </c>
      <c r="RB36" s="322">
        <v>421725.19999999995</v>
      </c>
      <c r="RC36" s="322"/>
      <c r="RD36" s="322"/>
      <c r="RE36" s="322"/>
      <c r="RF36" s="322"/>
      <c r="RG36" s="322"/>
      <c r="RH36" s="322"/>
      <c r="RI36" s="322"/>
      <c r="RJ36" s="322"/>
      <c r="RK36" s="322"/>
      <c r="RL36" s="334"/>
      <c r="RM36" s="322" t="s">
        <v>19</v>
      </c>
      <c r="RN36" s="322">
        <v>0</v>
      </c>
      <c r="RO36" s="322">
        <v>0</v>
      </c>
      <c r="RP36" s="322">
        <v>0</v>
      </c>
      <c r="RQ36" s="322">
        <v>0</v>
      </c>
      <c r="RR36" s="322">
        <v>0</v>
      </c>
      <c r="RS36" s="322">
        <v>0</v>
      </c>
      <c r="RT36" s="322">
        <v>0</v>
      </c>
      <c r="RU36" s="322">
        <v>0</v>
      </c>
      <c r="RV36" s="322">
        <v>0</v>
      </c>
      <c r="RW36" s="322">
        <v>0</v>
      </c>
      <c r="RX36" s="322">
        <v>0</v>
      </c>
      <c r="RY36" s="322">
        <v>0</v>
      </c>
      <c r="RZ36" s="322">
        <v>0</v>
      </c>
      <c r="SA36" s="322"/>
      <c r="SB36" s="322"/>
      <c r="SC36" s="322"/>
      <c r="SD36" s="322"/>
      <c r="SE36" s="322"/>
      <c r="SF36" s="322"/>
      <c r="SG36" s="322"/>
      <c r="SH36" s="322"/>
      <c r="SI36" s="322"/>
    </row>
    <row r="37" spans="1:503">
      <c r="A37" s="319" t="s">
        <v>20</v>
      </c>
      <c r="B37" s="319">
        <v>399239</v>
      </c>
      <c r="C37" s="319">
        <v>478366</v>
      </c>
      <c r="D37" s="319">
        <v>421953</v>
      </c>
      <c r="E37" s="319">
        <v>461956</v>
      </c>
      <c r="F37" s="319">
        <v>530328</v>
      </c>
      <c r="G37" s="319">
        <v>553630</v>
      </c>
      <c r="H37" s="319">
        <v>631975</v>
      </c>
      <c r="I37" s="319">
        <v>525915</v>
      </c>
      <c r="J37" s="319">
        <v>493486.68000000005</v>
      </c>
      <c r="K37" s="319">
        <v>702219.73</v>
      </c>
      <c r="L37" s="319">
        <v>856145.90105400002</v>
      </c>
      <c r="M37" s="319">
        <v>892299.1100000001</v>
      </c>
      <c r="N37" s="319">
        <v>834967.52</v>
      </c>
      <c r="O37" s="319">
        <v>815536.33000000007</v>
      </c>
      <c r="P37" s="319">
        <v>924054.39</v>
      </c>
      <c r="Q37" s="319">
        <v>772985.45000000007</v>
      </c>
      <c r="R37" s="319">
        <v>736167.53</v>
      </c>
      <c r="S37" s="322">
        <v>662322.01</v>
      </c>
      <c r="T37" s="319">
        <v>929324.21</v>
      </c>
      <c r="U37" s="319">
        <v>772326.51</v>
      </c>
      <c r="V37" s="319">
        <v>841605.3</v>
      </c>
      <c r="W37" s="319">
        <v>1187411.3999999999</v>
      </c>
      <c r="X37" s="330"/>
      <c r="Y37" s="319" t="s">
        <v>20</v>
      </c>
      <c r="Z37" s="319">
        <v>39923.9</v>
      </c>
      <c r="AA37" s="319">
        <v>43052.94</v>
      </c>
      <c r="AB37" s="319">
        <v>42195.3</v>
      </c>
      <c r="AC37" s="319">
        <v>60054.28</v>
      </c>
      <c r="AD37" s="319">
        <v>58336.08</v>
      </c>
      <c r="AE37" s="319">
        <v>66435.600000000006</v>
      </c>
      <c r="AF37" s="319">
        <v>60899.3</v>
      </c>
      <c r="AG37" s="319">
        <v>73628.100000000006</v>
      </c>
      <c r="AH37" s="319">
        <v>72029.11</v>
      </c>
      <c r="AI37" s="319">
        <v>72425.87999999999</v>
      </c>
      <c r="AJ37" s="319">
        <v>72953.429999999993</v>
      </c>
      <c r="AK37" s="319">
        <v>75125.59</v>
      </c>
      <c r="AL37" s="319">
        <v>79341.02</v>
      </c>
      <c r="AM37" s="319">
        <v>79620.47</v>
      </c>
      <c r="AN37" s="319">
        <v>77540.45</v>
      </c>
      <c r="AO37" s="319">
        <v>77476.479999999996</v>
      </c>
      <c r="AP37" s="319">
        <v>77745.22</v>
      </c>
      <c r="AQ37" s="322">
        <v>77188.179999999993</v>
      </c>
      <c r="AR37" s="319">
        <v>80946.390000000014</v>
      </c>
      <c r="AS37" s="319">
        <v>79498.559999999998</v>
      </c>
      <c r="AT37" s="319">
        <v>85238.179999999978</v>
      </c>
      <c r="AU37" s="319">
        <v>81690</v>
      </c>
      <c r="AV37" s="334"/>
      <c r="AW37" s="319" t="s">
        <v>20</v>
      </c>
      <c r="AX37" s="319">
        <v>51901.07</v>
      </c>
      <c r="AY37" s="319">
        <v>47836.600000000006</v>
      </c>
      <c r="AZ37" s="319">
        <v>42195.3</v>
      </c>
      <c r="BA37" s="319">
        <v>41576.04</v>
      </c>
      <c r="BB37" s="319">
        <v>42426.239999999998</v>
      </c>
      <c r="BC37" s="319">
        <v>44290.400000000001</v>
      </c>
      <c r="BD37" s="319">
        <v>44238.250000000007</v>
      </c>
      <c r="BE37" s="319">
        <v>47332.35</v>
      </c>
      <c r="BF37" s="319">
        <v>49107.450000000004</v>
      </c>
      <c r="BG37" s="319">
        <v>49121.38</v>
      </c>
      <c r="BH37" s="319">
        <v>49839.32</v>
      </c>
      <c r="BI37" s="319">
        <v>64715.939999999995</v>
      </c>
      <c r="BJ37" s="319">
        <v>60727.48</v>
      </c>
      <c r="BK37" s="319">
        <v>57890.840000000004</v>
      </c>
      <c r="BL37" s="319">
        <v>60594.689999999995</v>
      </c>
      <c r="BM37" s="319">
        <v>56550.13</v>
      </c>
      <c r="BN37" s="319">
        <v>56716.32</v>
      </c>
      <c r="BO37" s="322">
        <v>56268.869999999995</v>
      </c>
      <c r="BP37" s="319">
        <v>58965.399999999994</v>
      </c>
      <c r="BQ37" s="319">
        <v>59085.83</v>
      </c>
      <c r="BR37" s="319">
        <v>60436.56</v>
      </c>
      <c r="BS37" s="319">
        <v>111077</v>
      </c>
      <c r="BT37" s="334"/>
      <c r="BU37" s="322" t="s">
        <v>20</v>
      </c>
      <c r="BV37" s="322">
        <v>11977.17</v>
      </c>
      <c r="BW37" s="322">
        <v>9567.32</v>
      </c>
      <c r="BX37" s="322">
        <v>25317.18</v>
      </c>
      <c r="BY37" s="322">
        <v>9239.1200000000008</v>
      </c>
      <c r="BZ37" s="322">
        <v>31819.68</v>
      </c>
      <c r="CA37" s="322">
        <v>5536.3</v>
      </c>
      <c r="CB37" s="322">
        <v>25279</v>
      </c>
      <c r="CC37" s="322">
        <v>10518.3</v>
      </c>
      <c r="CD37" s="322">
        <v>36926.369999999995</v>
      </c>
      <c r="CE37" s="322">
        <v>20968.349999999999</v>
      </c>
      <c r="CF37" s="322">
        <v>162910.101054</v>
      </c>
      <c r="CG37" s="322">
        <v>28621.720000000005</v>
      </c>
      <c r="CH37" s="322">
        <v>50996.79</v>
      </c>
      <c r="CI37" s="322">
        <v>20593.5</v>
      </c>
      <c r="CJ37" s="322">
        <v>48668.38</v>
      </c>
      <c r="CK37" s="322">
        <v>15448.339999999998</v>
      </c>
      <c r="CL37" s="322">
        <v>71263.94</v>
      </c>
      <c r="CM37" s="322">
        <v>31095.739999999998</v>
      </c>
      <c r="CN37" s="322">
        <v>74473.3</v>
      </c>
      <c r="CO37" s="322">
        <v>38797.11</v>
      </c>
      <c r="CP37" s="322">
        <v>67700.320000000007</v>
      </c>
      <c r="CQ37" s="322">
        <v>41710</v>
      </c>
      <c r="CR37" s="334"/>
      <c r="CS37" s="322" t="s">
        <v>20</v>
      </c>
      <c r="CT37" s="322">
        <v>47908.68</v>
      </c>
      <c r="CU37" s="322">
        <v>57403.92</v>
      </c>
      <c r="CV37" s="322">
        <v>33756.239999999998</v>
      </c>
      <c r="CW37" s="322">
        <v>73912.960000000006</v>
      </c>
      <c r="CX37" s="322">
        <v>68942.64</v>
      </c>
      <c r="CY37" s="322">
        <v>44290.400000000001</v>
      </c>
      <c r="CZ37" s="322">
        <v>126395</v>
      </c>
      <c r="DA37" s="322">
        <v>36814.050000000003</v>
      </c>
      <c r="DB37" s="322">
        <v>47286.220000000016</v>
      </c>
      <c r="DC37" s="322">
        <v>103943.44</v>
      </c>
      <c r="DD37" s="322">
        <v>60151.44</v>
      </c>
      <c r="DE37" s="322">
        <v>70349.11</v>
      </c>
      <c r="DF37" s="322">
        <v>68436.160000000003</v>
      </c>
      <c r="DG37" s="322">
        <v>54144.7</v>
      </c>
      <c r="DH37" s="322">
        <v>71267.790000000008</v>
      </c>
      <c r="DI37" s="322">
        <v>71522.62</v>
      </c>
      <c r="DJ37" s="322">
        <v>45933.979999999996</v>
      </c>
      <c r="DK37" s="322">
        <v>52912.4</v>
      </c>
      <c r="DL37" s="322">
        <v>153104.13</v>
      </c>
      <c r="DM37" s="322">
        <v>163701.16</v>
      </c>
      <c r="DN37" s="322">
        <v>98501.62</v>
      </c>
      <c r="DO37" s="322">
        <v>163200</v>
      </c>
      <c r="DP37" s="334"/>
      <c r="DQ37" s="322" t="s">
        <v>20</v>
      </c>
      <c r="DR37" s="322">
        <v>35931.51</v>
      </c>
      <c r="DS37" s="322">
        <v>38269.279999999999</v>
      </c>
      <c r="DT37" s="322">
        <v>25317.18</v>
      </c>
      <c r="DU37" s="322">
        <v>27717.360000000001</v>
      </c>
      <c r="DV37" s="322">
        <v>26516.400000000001</v>
      </c>
      <c r="DW37" s="322">
        <v>22145.200000000001</v>
      </c>
      <c r="DX37" s="322">
        <v>31598.75</v>
      </c>
      <c r="DY37" s="322">
        <v>36814.050000000003</v>
      </c>
      <c r="DZ37" s="322">
        <v>44652.549999999996</v>
      </c>
      <c r="EA37" s="322">
        <v>45557.969999999994</v>
      </c>
      <c r="EB37" s="322">
        <v>44985.75</v>
      </c>
      <c r="EC37" s="322">
        <v>47152.45</v>
      </c>
      <c r="ED37" s="322">
        <v>47787.9</v>
      </c>
      <c r="EE37" s="322">
        <v>57910.770000000004</v>
      </c>
      <c r="EF37" s="322">
        <v>56389.229999999989</v>
      </c>
      <c r="EG37" s="322">
        <v>43055.850000000006</v>
      </c>
      <c r="EH37" s="322">
        <v>45802.289999999994</v>
      </c>
      <c r="EI37" s="322">
        <v>37064.129999999997</v>
      </c>
      <c r="EJ37" s="322">
        <v>42447.7</v>
      </c>
      <c r="EK37" s="322">
        <v>41450.11</v>
      </c>
      <c r="EL37" s="322">
        <v>52072.18</v>
      </c>
      <c r="EM37" s="322">
        <v>62000</v>
      </c>
      <c r="EN37" s="334"/>
      <c r="EO37" s="322" t="s">
        <v>20</v>
      </c>
      <c r="EP37" s="322">
        <v>39923.9</v>
      </c>
      <c r="EQ37" s="322">
        <v>47836.6</v>
      </c>
      <c r="ER37" s="322">
        <v>46414.83</v>
      </c>
      <c r="ES37" s="322">
        <v>46195.6</v>
      </c>
      <c r="ET37" s="322">
        <v>47729.52</v>
      </c>
      <c r="EU37" s="322">
        <v>71971.899999999994</v>
      </c>
      <c r="EV37" s="322">
        <v>69517.25</v>
      </c>
      <c r="EW37" s="322">
        <v>52591.5</v>
      </c>
      <c r="EX37" s="322">
        <v>57308.960000000006</v>
      </c>
      <c r="EY37" s="322">
        <v>59774.86</v>
      </c>
      <c r="EZ37" s="322">
        <v>60997.7</v>
      </c>
      <c r="FA37" s="322">
        <v>91529.35</v>
      </c>
      <c r="FB37" s="322">
        <v>71784.899999999994</v>
      </c>
      <c r="FC37" s="322">
        <v>82881.720000000016</v>
      </c>
      <c r="FD37" s="322">
        <v>78816.42</v>
      </c>
      <c r="FE37" s="322">
        <v>77207.240000000005</v>
      </c>
      <c r="FF37" s="322">
        <v>91054.06</v>
      </c>
      <c r="FG37" s="322">
        <v>85942.61</v>
      </c>
      <c r="FH37" s="322">
        <v>82183.199999999983</v>
      </c>
      <c r="FI37" s="322">
        <v>89897.619999999981</v>
      </c>
      <c r="FJ37" s="322">
        <v>90406.82</v>
      </c>
      <c r="FK37" s="322">
        <v>92090</v>
      </c>
      <c r="FL37" s="334"/>
      <c r="FM37" s="322" t="s">
        <v>20</v>
      </c>
      <c r="FN37" s="322">
        <v>0</v>
      </c>
      <c r="FO37" s="322">
        <v>0</v>
      </c>
      <c r="FP37" s="322">
        <v>0</v>
      </c>
      <c r="FQ37" s="322">
        <v>0</v>
      </c>
      <c r="FR37" s="322">
        <v>0</v>
      </c>
      <c r="FS37" s="322">
        <v>0</v>
      </c>
      <c r="FT37" s="322">
        <v>0</v>
      </c>
      <c r="FU37" s="322">
        <v>0</v>
      </c>
      <c r="FV37" s="322">
        <v>0</v>
      </c>
      <c r="FW37" s="322">
        <v>0</v>
      </c>
      <c r="FX37" s="322">
        <v>0</v>
      </c>
      <c r="FY37" s="322">
        <v>0</v>
      </c>
      <c r="FZ37" s="322">
        <v>0</v>
      </c>
      <c r="GA37" s="322">
        <v>0</v>
      </c>
      <c r="GB37" s="322">
        <v>0</v>
      </c>
      <c r="GC37" s="322">
        <v>0</v>
      </c>
      <c r="GD37" s="322">
        <v>0</v>
      </c>
      <c r="GE37" s="322">
        <v>0</v>
      </c>
      <c r="GF37" s="340">
        <v>0</v>
      </c>
      <c r="GG37" s="704">
        <v>0</v>
      </c>
      <c r="GH37" s="704">
        <v>0</v>
      </c>
      <c r="GI37" s="704">
        <v>0</v>
      </c>
      <c r="GJ37" s="334"/>
      <c r="GK37" s="322" t="s">
        <v>20</v>
      </c>
      <c r="GL37" s="322">
        <v>0</v>
      </c>
      <c r="GM37" s="322">
        <v>0</v>
      </c>
      <c r="GN37" s="322">
        <v>0</v>
      </c>
      <c r="GO37" s="322">
        <v>9239.1200000000008</v>
      </c>
      <c r="GP37" s="322">
        <v>21213.119999999999</v>
      </c>
      <c r="GQ37" s="322">
        <v>5536.3</v>
      </c>
      <c r="GR37" s="322">
        <v>18959.25</v>
      </c>
      <c r="GS37" s="322">
        <v>36814.050000000003</v>
      </c>
      <c r="GT37" s="322">
        <v>37675.5</v>
      </c>
      <c r="GU37" s="322">
        <v>36612.960000000006</v>
      </c>
      <c r="GV37" s="322">
        <v>40400.060000000005</v>
      </c>
      <c r="GW37" s="322">
        <v>44574.02</v>
      </c>
      <c r="GX37" s="322">
        <v>46176.130000000005</v>
      </c>
      <c r="GY37" s="322">
        <v>44728.959999999999</v>
      </c>
      <c r="GZ37" s="322">
        <v>45143.539999999994</v>
      </c>
      <c r="HA37" s="322">
        <v>43621.85</v>
      </c>
      <c r="HB37" s="322">
        <v>44351.55</v>
      </c>
      <c r="HC37" s="322">
        <v>43693.61</v>
      </c>
      <c r="HD37" s="322">
        <v>45872.52</v>
      </c>
      <c r="HE37" s="322">
        <v>47006.700000000004</v>
      </c>
      <c r="HF37" s="322">
        <v>46196.78</v>
      </c>
      <c r="HG37" s="322">
        <v>54635</v>
      </c>
      <c r="HH37" s="334"/>
      <c r="HI37" s="322" t="s">
        <v>20</v>
      </c>
      <c r="HJ37" s="322">
        <v>19961.95</v>
      </c>
      <c r="HK37" s="322">
        <v>33485.620000000003</v>
      </c>
      <c r="HL37" s="322">
        <v>21097.65</v>
      </c>
      <c r="HM37" s="322">
        <v>0</v>
      </c>
      <c r="HN37" s="322">
        <v>0</v>
      </c>
      <c r="HO37" s="322">
        <v>0</v>
      </c>
      <c r="HP37" s="322">
        <v>12639.5</v>
      </c>
      <c r="HQ37" s="322">
        <v>21036.6</v>
      </c>
      <c r="HR37" s="322">
        <v>21074.350000000002</v>
      </c>
      <c r="HS37" s="322">
        <v>22438.739999999998</v>
      </c>
      <c r="HT37" s="322">
        <v>21948.550000000003</v>
      </c>
      <c r="HU37" s="322">
        <v>23565.800000000003</v>
      </c>
      <c r="HV37" s="322">
        <v>27705.450000000004</v>
      </c>
      <c r="HW37" s="322">
        <v>24580.65</v>
      </c>
      <c r="HX37" s="322">
        <v>27980.25</v>
      </c>
      <c r="HY37" s="322">
        <v>18427.100000000002</v>
      </c>
      <c r="HZ37" s="322">
        <v>19302.060000000001</v>
      </c>
      <c r="IA37" s="322">
        <v>22837.510000000002</v>
      </c>
      <c r="IB37" s="322">
        <v>17359.770000000004</v>
      </c>
      <c r="IC37" s="322">
        <v>12994.2</v>
      </c>
      <c r="ID37" s="322">
        <v>17086.18</v>
      </c>
      <c r="IE37" s="322">
        <v>28680</v>
      </c>
      <c r="IF37" s="334"/>
      <c r="IG37" s="322" t="s">
        <v>20</v>
      </c>
      <c r="IH37" s="322">
        <v>15969.56</v>
      </c>
      <c r="II37" s="322">
        <v>19134.64</v>
      </c>
      <c r="IJ37" s="322">
        <v>16878.12</v>
      </c>
      <c r="IK37" s="322">
        <v>23097.8</v>
      </c>
      <c r="IL37" s="322">
        <v>21213.119999999999</v>
      </c>
      <c r="IM37" s="322">
        <v>27681.5</v>
      </c>
      <c r="IN37" s="322">
        <v>0</v>
      </c>
      <c r="IO37" s="322">
        <v>0</v>
      </c>
      <c r="IP37" s="322">
        <v>0</v>
      </c>
      <c r="IQ37" s="322">
        <v>0</v>
      </c>
      <c r="IR37" s="322">
        <v>0</v>
      </c>
      <c r="IS37" s="322">
        <v>0</v>
      </c>
      <c r="IT37" s="322">
        <v>0</v>
      </c>
      <c r="IU37" s="322">
        <v>0</v>
      </c>
      <c r="IV37" s="322"/>
      <c r="IW37" s="322"/>
      <c r="IX37" s="322"/>
      <c r="IY37" s="322"/>
      <c r="IZ37" s="322"/>
      <c r="JA37" s="322"/>
      <c r="JB37" s="322"/>
      <c r="JC37" s="322"/>
      <c r="JD37" s="334"/>
      <c r="JE37" s="322" t="s">
        <v>20</v>
      </c>
      <c r="JF37" s="322">
        <v>0</v>
      </c>
      <c r="JG37" s="322">
        <v>0</v>
      </c>
      <c r="JH37" s="322">
        <v>0</v>
      </c>
      <c r="JI37" s="322">
        <v>0</v>
      </c>
      <c r="JJ37" s="322">
        <v>0</v>
      </c>
      <c r="JK37" s="322">
        <v>0</v>
      </c>
      <c r="JL37" s="322">
        <v>0</v>
      </c>
      <c r="JM37" s="322">
        <v>0</v>
      </c>
      <c r="JN37" s="322">
        <v>0</v>
      </c>
      <c r="JO37" s="322">
        <v>0</v>
      </c>
      <c r="JP37" s="322">
        <v>0</v>
      </c>
      <c r="JQ37" s="322">
        <v>0</v>
      </c>
      <c r="JR37" s="322">
        <v>0</v>
      </c>
      <c r="JS37" s="322">
        <v>0</v>
      </c>
      <c r="JT37" s="322">
        <v>0</v>
      </c>
      <c r="JU37" s="322">
        <v>0</v>
      </c>
      <c r="JV37" s="322">
        <v>0</v>
      </c>
      <c r="JW37" s="322">
        <v>0</v>
      </c>
      <c r="JX37" s="322">
        <v>0</v>
      </c>
      <c r="JY37" s="322">
        <v>0</v>
      </c>
      <c r="JZ37" s="322">
        <v>0</v>
      </c>
      <c r="KA37" s="322">
        <v>0</v>
      </c>
      <c r="KB37" s="334"/>
      <c r="KC37" s="322" t="s">
        <v>20</v>
      </c>
      <c r="KD37" s="322">
        <v>3992.39</v>
      </c>
      <c r="KE37" s="322">
        <v>4783.66</v>
      </c>
      <c r="KF37" s="322">
        <v>4219.53</v>
      </c>
      <c r="KG37" s="322">
        <v>4619.5600000000004</v>
      </c>
      <c r="KH37" s="322">
        <v>10606.56</v>
      </c>
      <c r="KI37" s="322">
        <v>16608.900000000001</v>
      </c>
      <c r="KJ37" s="322">
        <v>18959.25</v>
      </c>
      <c r="KK37" s="322">
        <v>15777.45</v>
      </c>
      <c r="KL37" s="322">
        <v>16799.71</v>
      </c>
      <c r="KM37" s="322">
        <v>18107.75</v>
      </c>
      <c r="KN37" s="322">
        <v>18350.989999999998</v>
      </c>
      <c r="KO37" s="322">
        <v>18560.559999999998</v>
      </c>
      <c r="KP37" s="322">
        <v>23908.280000000002</v>
      </c>
      <c r="KQ37" s="322">
        <v>27437.91</v>
      </c>
      <c r="KR37" s="322">
        <v>27464.740000000005</v>
      </c>
      <c r="KS37" s="322">
        <v>28926.25</v>
      </c>
      <c r="KT37" s="322">
        <v>28160.14</v>
      </c>
      <c r="KU37" s="322">
        <v>24628.559999999998</v>
      </c>
      <c r="KV37" s="322">
        <v>23845.07</v>
      </c>
      <c r="KW37" s="322">
        <v>24253.300000000003</v>
      </c>
      <c r="KX37" s="322">
        <v>24261.479999999996</v>
      </c>
      <c r="KY37" s="322">
        <v>31150</v>
      </c>
      <c r="KZ37" s="334"/>
      <c r="LA37" s="322" t="s">
        <v>20</v>
      </c>
      <c r="LB37" s="322">
        <v>59885.85</v>
      </c>
      <c r="LC37" s="322">
        <v>62187.58</v>
      </c>
      <c r="LD37" s="322">
        <v>63292.95</v>
      </c>
      <c r="LE37" s="322">
        <v>73912.960000000006</v>
      </c>
      <c r="LF37" s="322">
        <v>58336.08</v>
      </c>
      <c r="LG37" s="322">
        <v>83044.5</v>
      </c>
      <c r="LH37" s="322">
        <v>101116</v>
      </c>
      <c r="LI37" s="322">
        <v>84146.4</v>
      </c>
      <c r="LJ37" s="322">
        <v>79633.33</v>
      </c>
      <c r="LK37" s="322">
        <v>94912.57</v>
      </c>
      <c r="LL37" s="322">
        <v>97393.42</v>
      </c>
      <c r="LM37" s="322">
        <v>121810.11000000002</v>
      </c>
      <c r="LN37" s="322">
        <v>154089.16</v>
      </c>
      <c r="LO37" s="322">
        <v>141602.82</v>
      </c>
      <c r="LP37" s="322">
        <v>125355.84</v>
      </c>
      <c r="LQ37" s="322">
        <v>149764.55000000002</v>
      </c>
      <c r="LR37" s="322">
        <v>78146.840000000011</v>
      </c>
      <c r="LS37" s="322">
        <v>79888.98</v>
      </c>
      <c r="LT37" s="322">
        <v>118682.40000000001</v>
      </c>
      <c r="LU37" s="322">
        <v>80978.399999999994</v>
      </c>
      <c r="LV37" s="322">
        <v>109807.35</v>
      </c>
      <c r="LW37" s="322">
        <v>214303</v>
      </c>
      <c r="LX37" s="334"/>
      <c r="LY37" s="322" t="s">
        <v>20</v>
      </c>
      <c r="LZ37" s="322">
        <v>19961.95</v>
      </c>
      <c r="MA37" s="322">
        <v>0</v>
      </c>
      <c r="MB37" s="322">
        <v>0</v>
      </c>
      <c r="MC37" s="322">
        <v>0</v>
      </c>
      <c r="MD37" s="322">
        <v>0</v>
      </c>
      <c r="ME37" s="322">
        <v>0</v>
      </c>
      <c r="MF37" s="322">
        <v>0</v>
      </c>
      <c r="MG37" s="322">
        <v>0</v>
      </c>
      <c r="MH37" s="322">
        <v>0</v>
      </c>
      <c r="MI37" s="322">
        <v>0</v>
      </c>
      <c r="MJ37" s="322">
        <v>0</v>
      </c>
      <c r="MK37" s="322">
        <v>0</v>
      </c>
      <c r="ML37" s="322">
        <v>0</v>
      </c>
      <c r="MM37" s="322">
        <v>0</v>
      </c>
      <c r="MN37" s="322">
        <v>0</v>
      </c>
      <c r="MO37" s="322">
        <v>0</v>
      </c>
      <c r="MP37" s="322">
        <v>0</v>
      </c>
      <c r="MQ37" s="322">
        <v>0</v>
      </c>
      <c r="MR37" s="322">
        <v>0</v>
      </c>
      <c r="MS37" s="322">
        <v>0</v>
      </c>
      <c r="MT37" s="322">
        <v>0</v>
      </c>
      <c r="MU37" s="322">
        <v>0</v>
      </c>
      <c r="MV37" s="334"/>
      <c r="MW37" s="322" t="s">
        <v>20</v>
      </c>
      <c r="MX37" s="322">
        <v>0</v>
      </c>
      <c r="MY37" s="322">
        <v>0</v>
      </c>
      <c r="MZ37" s="322">
        <v>0</v>
      </c>
      <c r="NA37" s="322">
        <v>0</v>
      </c>
      <c r="NB37" s="322">
        <v>0</v>
      </c>
      <c r="NC37" s="322">
        <v>0</v>
      </c>
      <c r="ND37" s="322">
        <v>0</v>
      </c>
      <c r="NE37" s="322">
        <v>0</v>
      </c>
      <c r="NF37" s="322">
        <v>0</v>
      </c>
      <c r="NG37" s="322">
        <v>0</v>
      </c>
      <c r="NH37" s="322">
        <v>0</v>
      </c>
      <c r="NI37" s="322">
        <v>0</v>
      </c>
      <c r="NJ37" s="322">
        <v>0</v>
      </c>
      <c r="NK37" s="322">
        <v>0</v>
      </c>
      <c r="NL37" s="322">
        <v>0</v>
      </c>
      <c r="NM37" s="322">
        <v>0</v>
      </c>
      <c r="NN37" s="322">
        <v>0</v>
      </c>
      <c r="NO37" s="322">
        <v>0</v>
      </c>
      <c r="NP37" s="322">
        <v>0</v>
      </c>
      <c r="NQ37" s="322">
        <v>0</v>
      </c>
      <c r="NR37" s="322">
        <v>0</v>
      </c>
      <c r="NS37" s="322">
        <v>0</v>
      </c>
      <c r="NT37" s="334"/>
      <c r="NU37" s="322" t="s">
        <v>20</v>
      </c>
      <c r="NV37" s="322">
        <v>0</v>
      </c>
      <c r="NW37" s="322">
        <v>0</v>
      </c>
      <c r="NX37" s="322">
        <v>0</v>
      </c>
      <c r="NY37" s="322">
        <v>0</v>
      </c>
      <c r="NZ37" s="322">
        <v>0</v>
      </c>
      <c r="OA37" s="322">
        <v>0</v>
      </c>
      <c r="OB37" s="322">
        <v>0</v>
      </c>
      <c r="OC37" s="322">
        <v>0</v>
      </c>
      <c r="OD37" s="322">
        <v>0</v>
      </c>
      <c r="OE37" s="322">
        <v>0</v>
      </c>
      <c r="OF37" s="322">
        <v>0</v>
      </c>
      <c r="OG37" s="322">
        <v>0</v>
      </c>
      <c r="OH37" s="322">
        <v>0</v>
      </c>
      <c r="OI37" s="322">
        <v>0</v>
      </c>
      <c r="OJ37" s="322">
        <v>0</v>
      </c>
      <c r="OK37" s="322">
        <v>0</v>
      </c>
      <c r="OL37" s="322">
        <v>0</v>
      </c>
      <c r="OM37" s="322">
        <v>0</v>
      </c>
      <c r="ON37" s="322">
        <v>0</v>
      </c>
      <c r="OO37" s="322">
        <v>0</v>
      </c>
      <c r="OP37" s="322">
        <v>0</v>
      </c>
      <c r="OQ37" s="322">
        <v>0</v>
      </c>
      <c r="OR37" s="334"/>
      <c r="OS37" s="322" t="s">
        <v>20</v>
      </c>
      <c r="OT37" s="322">
        <v>0</v>
      </c>
      <c r="OU37" s="322">
        <v>0</v>
      </c>
      <c r="OV37" s="322">
        <v>0</v>
      </c>
      <c r="OW37" s="322">
        <v>0</v>
      </c>
      <c r="OX37" s="322">
        <v>0</v>
      </c>
      <c r="OY37" s="322">
        <v>0</v>
      </c>
      <c r="OZ37" s="322">
        <v>0</v>
      </c>
      <c r="PA37" s="322">
        <v>0</v>
      </c>
      <c r="PB37" s="322">
        <v>0</v>
      </c>
      <c r="PC37" s="322">
        <v>0</v>
      </c>
      <c r="PD37" s="322">
        <v>0</v>
      </c>
      <c r="PE37" s="322">
        <v>0</v>
      </c>
      <c r="PF37" s="322">
        <v>0</v>
      </c>
      <c r="PG37" s="322">
        <v>0</v>
      </c>
      <c r="PH37" s="322">
        <v>0</v>
      </c>
      <c r="PI37" s="322">
        <v>0</v>
      </c>
      <c r="PJ37" s="322">
        <v>0</v>
      </c>
      <c r="PK37" s="322">
        <v>0</v>
      </c>
      <c r="PL37" s="322">
        <v>0</v>
      </c>
      <c r="PM37" s="322">
        <v>0</v>
      </c>
      <c r="PN37" s="322">
        <v>0</v>
      </c>
      <c r="PO37" s="322">
        <v>0</v>
      </c>
      <c r="PP37" s="334"/>
      <c r="PQ37" s="322" t="s">
        <v>20</v>
      </c>
      <c r="PR37" s="322">
        <v>0</v>
      </c>
      <c r="PS37" s="322">
        <v>0</v>
      </c>
      <c r="PT37" s="322">
        <v>0</v>
      </c>
      <c r="PU37" s="322">
        <v>0</v>
      </c>
      <c r="PV37" s="322">
        <v>0</v>
      </c>
      <c r="PW37" s="322">
        <v>0</v>
      </c>
      <c r="PX37" s="322">
        <v>0</v>
      </c>
      <c r="PY37" s="322">
        <v>0</v>
      </c>
      <c r="PZ37" s="322">
        <v>0</v>
      </c>
      <c r="QA37" s="322">
        <v>0</v>
      </c>
      <c r="QB37" s="322">
        <v>0</v>
      </c>
      <c r="QC37" s="322">
        <v>0</v>
      </c>
      <c r="QD37" s="322">
        <v>0</v>
      </c>
      <c r="QE37" s="322">
        <v>0</v>
      </c>
      <c r="QF37" s="322">
        <v>0</v>
      </c>
      <c r="QG37" s="322">
        <v>0</v>
      </c>
      <c r="QH37" s="322">
        <v>0</v>
      </c>
      <c r="QI37" s="322">
        <v>0</v>
      </c>
      <c r="QJ37" s="322">
        <v>0</v>
      </c>
      <c r="QK37" s="322">
        <v>0</v>
      </c>
      <c r="QL37" s="322">
        <v>0</v>
      </c>
      <c r="QM37" s="322">
        <v>0</v>
      </c>
      <c r="QN37" s="334"/>
      <c r="QO37" s="322" t="s">
        <v>20</v>
      </c>
      <c r="QP37" s="322">
        <v>0</v>
      </c>
      <c r="QQ37" s="322">
        <v>0</v>
      </c>
      <c r="QR37" s="322">
        <v>0</v>
      </c>
      <c r="QS37" s="322">
        <v>0</v>
      </c>
      <c r="QT37" s="322">
        <v>0</v>
      </c>
      <c r="QU37" s="322">
        <v>0</v>
      </c>
      <c r="QV37" s="322">
        <v>0</v>
      </c>
      <c r="QW37" s="322">
        <v>0</v>
      </c>
      <c r="QX37" s="322">
        <v>0</v>
      </c>
      <c r="QY37" s="322">
        <v>0</v>
      </c>
      <c r="QZ37" s="322">
        <v>0</v>
      </c>
      <c r="RA37" s="322">
        <v>0</v>
      </c>
      <c r="RB37" s="322">
        <v>0</v>
      </c>
      <c r="RC37" s="322">
        <v>0</v>
      </c>
      <c r="RD37" s="322">
        <v>0</v>
      </c>
      <c r="RE37" s="322">
        <v>0</v>
      </c>
      <c r="RF37" s="322">
        <v>0</v>
      </c>
      <c r="RG37" s="322">
        <v>0</v>
      </c>
      <c r="RH37" s="322">
        <v>0</v>
      </c>
      <c r="RI37" s="322">
        <v>0</v>
      </c>
      <c r="RJ37" s="322">
        <v>0</v>
      </c>
      <c r="RK37" s="322">
        <v>0</v>
      </c>
      <c r="RL37" s="334"/>
      <c r="RM37" s="322" t="s">
        <v>20</v>
      </c>
      <c r="RN37" s="322">
        <v>51901.07</v>
      </c>
      <c r="RO37" s="322">
        <v>114807.84</v>
      </c>
      <c r="RP37" s="322">
        <v>101268.72</v>
      </c>
      <c r="RQ37" s="322">
        <v>92391.2</v>
      </c>
      <c r="RR37" s="322">
        <v>143188.56</v>
      </c>
      <c r="RS37" s="322">
        <v>166089</v>
      </c>
      <c r="RT37" s="322">
        <v>113755.5</v>
      </c>
      <c r="RU37" s="322">
        <v>110442.15</v>
      </c>
      <c r="RV37" s="322">
        <v>30993.13</v>
      </c>
      <c r="RW37" s="322">
        <v>178355.83</v>
      </c>
      <c r="RX37" s="322">
        <v>226215.14</v>
      </c>
      <c r="RY37" s="322">
        <v>306294.46000000002</v>
      </c>
      <c r="RZ37" s="322">
        <v>204014.25</v>
      </c>
      <c r="SA37" s="322">
        <v>224143.99</v>
      </c>
      <c r="SB37" s="322">
        <v>304833.06</v>
      </c>
      <c r="SC37" s="322">
        <v>190985.04</v>
      </c>
      <c r="SD37" s="322">
        <v>177691.13</v>
      </c>
      <c r="SE37" s="322">
        <v>150801.42000000001</v>
      </c>
      <c r="SF37" s="322">
        <v>231444.33000000002</v>
      </c>
      <c r="SG37" s="322">
        <v>134663.51999999999</v>
      </c>
      <c r="SH37" s="322">
        <v>189897.83000000002</v>
      </c>
      <c r="SI37" s="322">
        <v>266876.40000000002</v>
      </c>
    </row>
    <row r="38" spans="1:503">
      <c r="A38" s="319" t="s">
        <v>21</v>
      </c>
      <c r="B38" s="319">
        <v>902445</v>
      </c>
      <c r="C38" s="319">
        <v>1219102</v>
      </c>
      <c r="D38" s="319">
        <v>872864</v>
      </c>
      <c r="E38" s="319">
        <v>970072</v>
      </c>
      <c r="F38" s="319">
        <v>940274</v>
      </c>
      <c r="G38" s="319">
        <v>1095743</v>
      </c>
      <c r="H38" s="319">
        <v>1027990</v>
      </c>
      <c r="I38" s="319">
        <v>1036567</v>
      </c>
      <c r="J38" s="319">
        <v>1017674.3899999999</v>
      </c>
      <c r="K38" s="319">
        <v>1097571.3900000001</v>
      </c>
      <c r="L38" s="319">
        <v>1212803.8899999999</v>
      </c>
      <c r="M38" s="319">
        <v>1498372.88</v>
      </c>
      <c r="N38" s="319">
        <v>1536585.23</v>
      </c>
      <c r="O38" s="319">
        <v>1395886.46</v>
      </c>
      <c r="P38" s="319">
        <v>1423518.2199999997</v>
      </c>
      <c r="Q38" s="319">
        <v>1281987.01</v>
      </c>
      <c r="R38" s="319"/>
      <c r="S38" s="322">
        <v>1404497.1800000002</v>
      </c>
      <c r="T38" s="319">
        <v>1511466.04</v>
      </c>
      <c r="U38" s="319">
        <v>1488952.46</v>
      </c>
      <c r="V38" s="319">
        <v>1486856.41</v>
      </c>
      <c r="W38" s="319">
        <v>1559533</v>
      </c>
      <c r="X38" s="330"/>
      <c r="Y38" s="319" t="s">
        <v>21</v>
      </c>
      <c r="Z38" s="319">
        <v>54146.7</v>
      </c>
      <c r="AA38" s="319">
        <v>48764.08</v>
      </c>
      <c r="AB38" s="319">
        <v>52371.839999999997</v>
      </c>
      <c r="AC38" s="319">
        <v>77605.759999999995</v>
      </c>
      <c r="AD38" s="319">
        <v>84624.66</v>
      </c>
      <c r="AE38" s="319">
        <v>87659.44</v>
      </c>
      <c r="AF38" s="319">
        <v>87659.44</v>
      </c>
      <c r="AG38" s="319">
        <v>82925.36</v>
      </c>
      <c r="AH38" s="319">
        <v>82231.319999999992</v>
      </c>
      <c r="AI38" s="319">
        <v>89737.84</v>
      </c>
      <c r="AJ38" s="319">
        <v>83822.100000000006</v>
      </c>
      <c r="AK38" s="319">
        <v>85041.61</v>
      </c>
      <c r="AL38" s="319">
        <v>85209.68</v>
      </c>
      <c r="AM38" s="319">
        <v>89665.279999999999</v>
      </c>
      <c r="AN38" s="319">
        <v>88561.87999999999</v>
      </c>
      <c r="AO38" s="319">
        <v>87883.049999999988</v>
      </c>
      <c r="AP38" s="319"/>
      <c r="AQ38" s="322">
        <v>85667.029999999984</v>
      </c>
      <c r="AR38" s="319">
        <v>85496.549999999988</v>
      </c>
      <c r="AS38" s="319">
        <v>84688.37</v>
      </c>
      <c r="AT38" s="319">
        <v>86795.56</v>
      </c>
      <c r="AU38" s="319">
        <v>84150</v>
      </c>
      <c r="AV38" s="334"/>
      <c r="AW38" s="319" t="s">
        <v>21</v>
      </c>
      <c r="AX38" s="319">
        <v>54146.7</v>
      </c>
      <c r="AY38" s="319">
        <v>48764.08</v>
      </c>
      <c r="AZ38" s="319">
        <v>52371.839999999997</v>
      </c>
      <c r="BA38" s="319">
        <v>67905.040000000008</v>
      </c>
      <c r="BB38" s="319">
        <v>65819.180000000008</v>
      </c>
      <c r="BC38" s="319">
        <v>76702.010000000009</v>
      </c>
      <c r="BD38" s="319">
        <v>71959.3</v>
      </c>
      <c r="BE38" s="319">
        <v>72559.69</v>
      </c>
      <c r="BF38" s="319">
        <v>69554.92</v>
      </c>
      <c r="BG38" s="319">
        <v>70544.09</v>
      </c>
      <c r="BH38" s="319">
        <v>72119.95</v>
      </c>
      <c r="BI38" s="319">
        <v>74686.399999999994</v>
      </c>
      <c r="BJ38" s="319">
        <v>78526.14</v>
      </c>
      <c r="BK38" s="319">
        <v>73954.490000000005</v>
      </c>
      <c r="BL38" s="319">
        <v>73788.799999999988</v>
      </c>
      <c r="BM38" s="319">
        <v>73449.509999999995</v>
      </c>
      <c r="BN38" s="319"/>
      <c r="BO38" s="322">
        <v>73502.52</v>
      </c>
      <c r="BP38" s="319">
        <v>75497.47</v>
      </c>
      <c r="BQ38" s="319">
        <v>76155.069999999992</v>
      </c>
      <c r="BR38" s="319">
        <v>77659.27</v>
      </c>
      <c r="BS38" s="319">
        <v>75250</v>
      </c>
      <c r="BT38" s="334"/>
      <c r="BU38" s="322" t="s">
        <v>21</v>
      </c>
      <c r="BV38" s="322">
        <v>36097.800000000003</v>
      </c>
      <c r="BW38" s="322">
        <v>12191.02</v>
      </c>
      <c r="BX38" s="322">
        <v>34914.559999999998</v>
      </c>
      <c r="BY38" s="322">
        <v>19401.439999999999</v>
      </c>
      <c r="BZ38" s="322">
        <v>47013.7</v>
      </c>
      <c r="CA38" s="322">
        <v>10957.43</v>
      </c>
      <c r="CB38" s="322">
        <v>30839.7</v>
      </c>
      <c r="CC38" s="322">
        <v>10365.67</v>
      </c>
      <c r="CD38" s="322">
        <v>54664.099999999991</v>
      </c>
      <c r="CE38" s="322">
        <v>18513.110000000004</v>
      </c>
      <c r="CF38" s="322">
        <v>67709.61</v>
      </c>
      <c r="CG38" s="322">
        <v>24834.11</v>
      </c>
      <c r="CH38" s="322">
        <v>78872.78</v>
      </c>
      <c r="CI38" s="322">
        <v>31370.79</v>
      </c>
      <c r="CJ38" s="322">
        <v>73360.42</v>
      </c>
      <c r="CK38" s="322">
        <v>34943.270000000004</v>
      </c>
      <c r="CL38" s="322"/>
      <c r="CM38" s="322">
        <v>30539.86</v>
      </c>
      <c r="CN38" s="322">
        <v>83919.71</v>
      </c>
      <c r="CO38" s="322">
        <v>32788.83</v>
      </c>
      <c r="CP38" s="322">
        <v>34457.29</v>
      </c>
      <c r="CQ38" s="322">
        <v>93460.479999999996</v>
      </c>
      <c r="CR38" s="334"/>
      <c r="CS38" s="322" t="s">
        <v>21</v>
      </c>
      <c r="CT38" s="322">
        <v>54146.7</v>
      </c>
      <c r="CU38" s="322">
        <v>475449.78</v>
      </c>
      <c r="CV38" s="322">
        <v>96015.039999999994</v>
      </c>
      <c r="CW38" s="322">
        <v>38802.879999999997</v>
      </c>
      <c r="CX38" s="322">
        <v>37610.959999999999</v>
      </c>
      <c r="CY38" s="322">
        <v>32872.29</v>
      </c>
      <c r="CZ38" s="322">
        <v>41119.599999999999</v>
      </c>
      <c r="DA38" s="322">
        <v>41462.68</v>
      </c>
      <c r="DB38" s="322">
        <v>37596.67</v>
      </c>
      <c r="DC38" s="322">
        <v>56628.070000000007</v>
      </c>
      <c r="DD38" s="322">
        <v>60342.090000000004</v>
      </c>
      <c r="DE38" s="322">
        <v>204978.13</v>
      </c>
      <c r="DF38" s="322">
        <v>81970.64</v>
      </c>
      <c r="DG38" s="322">
        <v>86118.720000000001</v>
      </c>
      <c r="DH38" s="322">
        <v>61501.119999999995</v>
      </c>
      <c r="DI38" s="322">
        <v>111065.70999999999</v>
      </c>
      <c r="DJ38" s="322"/>
      <c r="DK38" s="322">
        <v>73444.149999999994</v>
      </c>
      <c r="DL38" s="322">
        <v>94582.099999999991</v>
      </c>
      <c r="DM38" s="322">
        <v>124267.06</v>
      </c>
      <c r="DN38" s="322">
        <v>64750.99</v>
      </c>
      <c r="DO38" s="322">
        <v>76000</v>
      </c>
      <c r="DP38" s="334"/>
      <c r="DQ38" s="322" t="s">
        <v>21</v>
      </c>
      <c r="DR38" s="322">
        <v>45122.25</v>
      </c>
      <c r="DS38" s="322">
        <v>48764.08</v>
      </c>
      <c r="DT38" s="322">
        <v>69829.119999999995</v>
      </c>
      <c r="DU38" s="322">
        <v>87306.48</v>
      </c>
      <c r="DV38" s="322">
        <v>94027.4</v>
      </c>
      <c r="DW38" s="322">
        <v>87659.44</v>
      </c>
      <c r="DX38" s="322">
        <v>102799</v>
      </c>
      <c r="DY38" s="322">
        <v>103656.7</v>
      </c>
      <c r="DZ38" s="322">
        <v>101471.60999999999</v>
      </c>
      <c r="EA38" s="322">
        <v>114490.3</v>
      </c>
      <c r="EB38" s="322">
        <v>97645.74</v>
      </c>
      <c r="EC38" s="322">
        <v>124832.3</v>
      </c>
      <c r="ED38" s="322">
        <v>114526.07</v>
      </c>
      <c r="EE38" s="322">
        <v>126768.89</v>
      </c>
      <c r="EF38" s="322">
        <v>122975.15999999999</v>
      </c>
      <c r="EG38" s="322">
        <v>115721.17</v>
      </c>
      <c r="EH38" s="322"/>
      <c r="EI38" s="322">
        <v>122484.62999999999</v>
      </c>
      <c r="EJ38" s="322">
        <v>135164.12999999998</v>
      </c>
      <c r="EK38" s="322">
        <v>125208.12999999999</v>
      </c>
      <c r="EL38" s="322">
        <v>135357.47</v>
      </c>
      <c r="EM38" s="322">
        <v>137400</v>
      </c>
      <c r="EN38" s="334"/>
      <c r="EO38" s="322" t="s">
        <v>21</v>
      </c>
      <c r="EP38" s="322">
        <v>27073.35</v>
      </c>
      <c r="EQ38" s="322">
        <v>24382.04</v>
      </c>
      <c r="ER38" s="322">
        <v>26185.919999999998</v>
      </c>
      <c r="ES38" s="322">
        <v>29102.16</v>
      </c>
      <c r="ET38" s="322">
        <v>37610.959999999999</v>
      </c>
      <c r="EU38" s="322">
        <v>32872.29</v>
      </c>
      <c r="EV38" s="322">
        <v>30839.7</v>
      </c>
      <c r="EW38" s="322">
        <v>41462.68</v>
      </c>
      <c r="EX38" s="322">
        <v>45219.57</v>
      </c>
      <c r="EY38" s="322">
        <v>44317.420000000006</v>
      </c>
      <c r="EZ38" s="322">
        <v>44265.7</v>
      </c>
      <c r="FA38" s="322">
        <v>44371.78</v>
      </c>
      <c r="FB38" s="322">
        <v>47300.619999999995</v>
      </c>
      <c r="FC38" s="322">
        <v>46911.850000000006</v>
      </c>
      <c r="FD38" s="322">
        <v>45961.669999999991</v>
      </c>
      <c r="FE38" s="322">
        <v>46512.049999999996</v>
      </c>
      <c r="FF38" s="322"/>
      <c r="FG38" s="322">
        <v>46267.169999999991</v>
      </c>
      <c r="FH38" s="322">
        <v>45814.239999999998</v>
      </c>
      <c r="FI38" s="322">
        <v>46375.57</v>
      </c>
      <c r="FJ38" s="322">
        <v>46784.800000000003</v>
      </c>
      <c r="FK38" s="322">
        <v>49030</v>
      </c>
      <c r="FL38" s="334"/>
      <c r="FM38" s="322" t="s">
        <v>21</v>
      </c>
      <c r="FN38" s="322">
        <v>63171.15</v>
      </c>
      <c r="FO38" s="322">
        <v>60955.1</v>
      </c>
      <c r="FP38" s="322">
        <v>69829.119999999995</v>
      </c>
      <c r="FQ38" s="322">
        <v>77605.759999999995</v>
      </c>
      <c r="FR38" s="322">
        <v>84624.66</v>
      </c>
      <c r="FS38" s="322">
        <v>87659.44</v>
      </c>
      <c r="FT38" s="322">
        <v>102799</v>
      </c>
      <c r="FU38" s="322">
        <v>103656.7</v>
      </c>
      <c r="FV38" s="322">
        <v>95320.590000000011</v>
      </c>
      <c r="FW38" s="322">
        <v>95621.06</v>
      </c>
      <c r="FX38" s="322">
        <v>97194.02</v>
      </c>
      <c r="FY38" s="322">
        <v>102144.96000000001</v>
      </c>
      <c r="FZ38" s="322">
        <v>108110.55</v>
      </c>
      <c r="GA38" s="322">
        <v>111889.87999999999</v>
      </c>
      <c r="GB38" s="322">
        <v>113321.20999999999</v>
      </c>
      <c r="GC38" s="322">
        <v>111233.64</v>
      </c>
      <c r="GD38" s="322"/>
      <c r="GE38" s="322">
        <v>107727.03</v>
      </c>
      <c r="GF38" s="340">
        <v>112542.76999999999</v>
      </c>
      <c r="GG38" s="704">
        <v>110601.41</v>
      </c>
      <c r="GH38" s="704">
        <v>109095.58</v>
      </c>
      <c r="GI38" s="704">
        <v>109235</v>
      </c>
      <c r="GJ38" s="334"/>
      <c r="GK38" s="322" t="s">
        <v>21</v>
      </c>
      <c r="GL38" s="322">
        <v>0</v>
      </c>
      <c r="GM38" s="322">
        <v>0</v>
      </c>
      <c r="GN38" s="322">
        <v>0</v>
      </c>
      <c r="GO38" s="322">
        <v>0</v>
      </c>
      <c r="GP38" s="322">
        <v>0</v>
      </c>
      <c r="GQ38" s="322">
        <v>0</v>
      </c>
      <c r="GR38" s="322">
        <v>0</v>
      </c>
      <c r="GS38" s="322">
        <v>0</v>
      </c>
      <c r="GT38" s="322">
        <v>25003.23</v>
      </c>
      <c r="GU38" s="322">
        <v>42103.33</v>
      </c>
      <c r="GV38" s="322">
        <v>43584.98</v>
      </c>
      <c r="GW38" s="322">
        <v>45985.49</v>
      </c>
      <c r="GX38" s="322">
        <v>46706.640000000007</v>
      </c>
      <c r="GY38" s="322">
        <v>45468.75</v>
      </c>
      <c r="GZ38" s="322">
        <v>46322.84</v>
      </c>
      <c r="HA38" s="322">
        <v>46815.75</v>
      </c>
      <c r="HB38" s="322"/>
      <c r="HC38" s="322">
        <v>46889.63</v>
      </c>
      <c r="HD38" s="322">
        <v>48587.869999999995</v>
      </c>
      <c r="HE38" s="322">
        <v>48254.66</v>
      </c>
      <c r="HF38" s="322">
        <v>48327.350000000006</v>
      </c>
      <c r="HG38" s="322">
        <v>49074.96</v>
      </c>
      <c r="HH38" s="334"/>
      <c r="HI38" s="322" t="s">
        <v>21</v>
      </c>
      <c r="HJ38" s="322">
        <v>36097.800000000003</v>
      </c>
      <c r="HK38" s="322">
        <v>36573.06</v>
      </c>
      <c r="HL38" s="322">
        <v>43643.199999999997</v>
      </c>
      <c r="HM38" s="322">
        <v>38802.879999999997</v>
      </c>
      <c r="HN38" s="322">
        <v>28208.22</v>
      </c>
      <c r="HO38" s="322">
        <v>32872.29</v>
      </c>
      <c r="HP38" s="322">
        <v>30839.7</v>
      </c>
      <c r="HQ38" s="322">
        <v>31097.01</v>
      </c>
      <c r="HR38" s="322">
        <v>9542.66</v>
      </c>
      <c r="HS38" s="322">
        <v>12069.25</v>
      </c>
      <c r="HT38" s="322">
        <v>9850.8299999999981</v>
      </c>
      <c r="HU38" s="322">
        <v>8916.36</v>
      </c>
      <c r="HV38" s="322">
        <v>8502.33</v>
      </c>
      <c r="HW38" s="322">
        <v>21388.659999999996</v>
      </c>
      <c r="HX38" s="322">
        <v>17435.829999999998</v>
      </c>
      <c r="HY38" s="322">
        <v>16149.25</v>
      </c>
      <c r="HZ38" s="322"/>
      <c r="IA38" s="322">
        <v>18695.250000000004</v>
      </c>
      <c r="IB38" s="322">
        <v>16748.2</v>
      </c>
      <c r="IC38" s="322">
        <v>16052.66</v>
      </c>
      <c r="ID38" s="322">
        <v>8761.91</v>
      </c>
      <c r="IE38" s="322">
        <v>14175</v>
      </c>
      <c r="IF38" s="334"/>
      <c r="IG38" s="322" t="s">
        <v>21</v>
      </c>
      <c r="IH38" s="322">
        <v>18048.900000000001</v>
      </c>
      <c r="II38" s="322">
        <v>12191.02</v>
      </c>
      <c r="IJ38" s="322">
        <v>52371.839999999997</v>
      </c>
      <c r="IK38" s="322">
        <v>58204.32</v>
      </c>
      <c r="IL38" s="322">
        <v>37610.959999999999</v>
      </c>
      <c r="IM38" s="322">
        <v>43829.72</v>
      </c>
      <c r="IN38" s="322">
        <v>41119.599999999999</v>
      </c>
      <c r="IO38" s="322">
        <v>51828.35</v>
      </c>
      <c r="IP38" s="322">
        <v>6221.0300000000007</v>
      </c>
      <c r="IQ38" s="322">
        <v>6961.74</v>
      </c>
      <c r="IR38" s="322">
        <v>8715.25</v>
      </c>
      <c r="IS38" s="322">
        <v>9738.41</v>
      </c>
      <c r="IT38" s="322">
        <v>9884.61</v>
      </c>
      <c r="IU38" s="322">
        <v>0</v>
      </c>
      <c r="IV38" s="322"/>
      <c r="IW38" s="322"/>
      <c r="IX38" s="322"/>
      <c r="IY38" s="322"/>
      <c r="IZ38" s="322"/>
      <c r="JA38" s="322"/>
      <c r="JB38" s="322"/>
      <c r="JC38" s="322"/>
      <c r="JD38" s="334"/>
      <c r="JE38" s="322" t="s">
        <v>21</v>
      </c>
      <c r="JF38" s="322">
        <v>9024.4500000000007</v>
      </c>
      <c r="JG38" s="322">
        <v>12191.02</v>
      </c>
      <c r="JH38" s="322">
        <v>8728.64</v>
      </c>
      <c r="JI38" s="322">
        <v>19401.439999999999</v>
      </c>
      <c r="JJ38" s="322">
        <v>18805.48</v>
      </c>
      <c r="JK38" s="322">
        <v>32872.29</v>
      </c>
      <c r="JL38" s="322">
        <v>0</v>
      </c>
      <c r="JM38" s="322">
        <v>10365.67</v>
      </c>
      <c r="JN38" s="322">
        <v>8198.25</v>
      </c>
      <c r="JO38" s="322">
        <v>8018.26</v>
      </c>
      <c r="JP38" s="322">
        <v>5590.19</v>
      </c>
      <c r="JQ38" s="322">
        <v>4208.75</v>
      </c>
      <c r="JR38" s="322">
        <v>4165.5600000000004</v>
      </c>
      <c r="JS38" s="322">
        <v>4999.62</v>
      </c>
      <c r="JT38" s="322">
        <v>9419.19</v>
      </c>
      <c r="JU38" s="322">
        <v>4868.3999999999996</v>
      </c>
      <c r="JV38" s="322"/>
      <c r="JW38" s="322">
        <v>10106.34</v>
      </c>
      <c r="JX38" s="322">
        <v>13772</v>
      </c>
      <c r="JY38" s="322">
        <v>12345.380000000001</v>
      </c>
      <c r="JZ38" s="322">
        <v>7867.28</v>
      </c>
      <c r="KA38" s="322">
        <v>14223.6</v>
      </c>
      <c r="KB38" s="334"/>
      <c r="KC38" s="322" t="s">
        <v>21</v>
      </c>
      <c r="KD38" s="322">
        <v>9024.4500000000007</v>
      </c>
      <c r="KE38" s="322">
        <v>12191.02</v>
      </c>
      <c r="KF38" s="322">
        <v>43643.199999999997</v>
      </c>
      <c r="KG38" s="322">
        <v>19401.439999999999</v>
      </c>
      <c r="KH38" s="322">
        <v>28208.22</v>
      </c>
      <c r="KI38" s="322">
        <v>32872.29</v>
      </c>
      <c r="KJ38" s="322">
        <v>30839.7</v>
      </c>
      <c r="KK38" s="322">
        <v>31097.01</v>
      </c>
      <c r="KL38" s="322">
        <v>28960.78</v>
      </c>
      <c r="KM38" s="322">
        <v>27898.289999999997</v>
      </c>
      <c r="KN38" s="322">
        <v>28068.25</v>
      </c>
      <c r="KO38" s="322">
        <v>28148.91</v>
      </c>
      <c r="KP38" s="322">
        <v>28340.959999999999</v>
      </c>
      <c r="KQ38" s="322">
        <v>28931.200000000001</v>
      </c>
      <c r="KR38" s="322">
        <v>29183.66</v>
      </c>
      <c r="KS38" s="322">
        <v>31393.49</v>
      </c>
      <c r="KT38" s="322"/>
      <c r="KU38" s="322">
        <v>32104.519999999997</v>
      </c>
      <c r="KV38" s="322">
        <v>32513.789999999997</v>
      </c>
      <c r="KW38" s="322">
        <v>31461.56</v>
      </c>
      <c r="KX38" s="322">
        <v>33063.519999999997</v>
      </c>
      <c r="KY38" s="322">
        <v>47958</v>
      </c>
      <c r="KZ38" s="334"/>
      <c r="LA38" s="322" t="s">
        <v>21</v>
      </c>
      <c r="LB38" s="322">
        <v>54146.7</v>
      </c>
      <c r="LC38" s="322">
        <v>97528.16</v>
      </c>
      <c r="LD38" s="322">
        <v>69829.119999999995</v>
      </c>
      <c r="LE38" s="322">
        <v>97007.2</v>
      </c>
      <c r="LF38" s="322">
        <v>75221.919999999998</v>
      </c>
      <c r="LG38" s="322">
        <v>175318.88</v>
      </c>
      <c r="LH38" s="322">
        <v>143918.6</v>
      </c>
      <c r="LI38" s="322">
        <v>176216.39</v>
      </c>
      <c r="LJ38" s="322">
        <v>134643.45000000001</v>
      </c>
      <c r="LK38" s="322">
        <v>134948.14000000001</v>
      </c>
      <c r="LL38" s="322">
        <v>150878.09</v>
      </c>
      <c r="LM38" s="322">
        <v>210884.95</v>
      </c>
      <c r="LN38" s="322">
        <v>285296.14</v>
      </c>
      <c r="LO38" s="322">
        <v>167065.69999999998</v>
      </c>
      <c r="LP38" s="322">
        <v>201300.44999999998</v>
      </c>
      <c r="LQ38" s="322">
        <v>105783.06000000001</v>
      </c>
      <c r="LR38" s="322"/>
      <c r="LS38" s="322">
        <v>143561.02000000002</v>
      </c>
      <c r="LT38" s="322">
        <v>158510.80000000002</v>
      </c>
      <c r="LU38" s="322">
        <v>161255.04000000004</v>
      </c>
      <c r="LV38" s="322">
        <v>159755.24000000002</v>
      </c>
      <c r="LW38" s="322">
        <v>114362</v>
      </c>
      <c r="LX38" s="334"/>
      <c r="LY38" s="322" t="s">
        <v>21</v>
      </c>
      <c r="LZ38" s="322">
        <v>0</v>
      </c>
      <c r="MA38" s="322">
        <v>0</v>
      </c>
      <c r="MB38" s="322">
        <v>0</v>
      </c>
      <c r="MC38" s="322">
        <v>0</v>
      </c>
      <c r="MD38" s="322">
        <v>0</v>
      </c>
      <c r="ME38" s="322">
        <v>0</v>
      </c>
      <c r="MF38" s="322">
        <v>0</v>
      </c>
      <c r="MG38" s="322">
        <v>0</v>
      </c>
      <c r="MH38" s="322">
        <v>0</v>
      </c>
      <c r="MI38" s="322">
        <v>0</v>
      </c>
      <c r="MJ38" s="322">
        <v>0</v>
      </c>
      <c r="MK38" s="322">
        <v>0</v>
      </c>
      <c r="ML38" s="322">
        <v>0</v>
      </c>
      <c r="MM38" s="322">
        <v>0</v>
      </c>
      <c r="MN38" s="322">
        <v>0</v>
      </c>
      <c r="MO38" s="322">
        <v>0</v>
      </c>
      <c r="MP38" s="322"/>
      <c r="MQ38" s="322">
        <v>25457.26</v>
      </c>
      <c r="MR38" s="322">
        <v>33808.910000000003</v>
      </c>
      <c r="MS38" s="322">
        <v>37891.4</v>
      </c>
      <c r="MT38" s="322">
        <v>58920.88</v>
      </c>
      <c r="MU38" s="322">
        <v>42000</v>
      </c>
      <c r="MV38" s="334"/>
      <c r="MW38" s="322" t="s">
        <v>21</v>
      </c>
      <c r="MX38" s="322">
        <v>0</v>
      </c>
      <c r="MY38" s="322">
        <v>0</v>
      </c>
      <c r="MZ38" s="322">
        <v>0</v>
      </c>
      <c r="NA38" s="322">
        <v>0</v>
      </c>
      <c r="NB38" s="322">
        <v>0</v>
      </c>
      <c r="NC38" s="322">
        <v>0</v>
      </c>
      <c r="ND38" s="322">
        <v>0</v>
      </c>
      <c r="NE38" s="322">
        <v>0</v>
      </c>
      <c r="NF38" s="322">
        <v>0</v>
      </c>
      <c r="NG38" s="322">
        <v>0</v>
      </c>
      <c r="NH38" s="322">
        <v>0</v>
      </c>
      <c r="NI38" s="322">
        <v>80532.42</v>
      </c>
      <c r="NJ38" s="322">
        <v>0</v>
      </c>
      <c r="NK38" s="322">
        <v>0</v>
      </c>
      <c r="NL38" s="322">
        <v>0</v>
      </c>
      <c r="NM38" s="322">
        <v>0</v>
      </c>
      <c r="NN38" s="322"/>
      <c r="NO38" s="322">
        <v>0</v>
      </c>
      <c r="NP38" s="322">
        <v>0</v>
      </c>
      <c r="NQ38" s="322">
        <v>0</v>
      </c>
      <c r="NR38" s="322">
        <v>0</v>
      </c>
      <c r="NS38" s="322">
        <v>0</v>
      </c>
      <c r="NT38" s="334"/>
      <c r="NU38" s="322" t="s">
        <v>21</v>
      </c>
      <c r="NV38" s="322">
        <v>63171.15</v>
      </c>
      <c r="NW38" s="322">
        <v>73146.12</v>
      </c>
      <c r="NX38" s="322">
        <v>69829.119999999995</v>
      </c>
      <c r="NY38" s="322">
        <v>106707.92</v>
      </c>
      <c r="NZ38" s="322">
        <v>84624.66</v>
      </c>
      <c r="OA38" s="322">
        <v>109574.3</v>
      </c>
      <c r="OB38" s="322">
        <v>113078.9</v>
      </c>
      <c r="OC38" s="322">
        <v>124388.04</v>
      </c>
      <c r="OD38" s="322">
        <v>124871.8</v>
      </c>
      <c r="OE38" s="322">
        <v>133189.92000000001</v>
      </c>
      <c r="OF38" s="322">
        <v>138578.51999999999</v>
      </c>
      <c r="OG38" s="322">
        <v>191780.50999999998</v>
      </c>
      <c r="OH38" s="322">
        <v>196033.78999999998</v>
      </c>
      <c r="OI38" s="322">
        <v>195419.77000000002</v>
      </c>
      <c r="OJ38" s="322">
        <v>205758.24000000002</v>
      </c>
      <c r="OK38" s="322">
        <v>177342.79</v>
      </c>
      <c r="OL38" s="322"/>
      <c r="OM38" s="322">
        <v>195009.61</v>
      </c>
      <c r="ON38" s="322">
        <v>216267.03</v>
      </c>
      <c r="OO38" s="322">
        <v>227663.06999999998</v>
      </c>
      <c r="OP38" s="322">
        <v>229891.10999999996</v>
      </c>
      <c r="OQ38" s="322">
        <v>225755.96000000002</v>
      </c>
      <c r="OR38" s="334"/>
      <c r="OS38" s="322" t="s">
        <v>21</v>
      </c>
      <c r="OT38" s="322">
        <v>306831.3</v>
      </c>
      <c r="OU38" s="322">
        <v>109719.18</v>
      </c>
      <c r="OV38" s="322">
        <v>130929.60000000001</v>
      </c>
      <c r="OW38" s="322">
        <v>145510.79999999999</v>
      </c>
      <c r="OX38" s="322">
        <v>131638.35999999999</v>
      </c>
      <c r="OY38" s="322">
        <v>120531.73</v>
      </c>
      <c r="OZ38" s="322">
        <v>102799</v>
      </c>
      <c r="PA38" s="322">
        <v>51828.35</v>
      </c>
      <c r="PB38" s="322">
        <v>57692.270000000004</v>
      </c>
      <c r="PC38" s="322">
        <v>61097.919999999998</v>
      </c>
      <c r="PD38" s="322">
        <v>67617.7</v>
      </c>
      <c r="PE38" s="322">
        <v>69163.649999999994</v>
      </c>
      <c r="PF38" s="322">
        <v>95172.590000000011</v>
      </c>
      <c r="PG38" s="322">
        <v>93366.67</v>
      </c>
      <c r="PH38" s="322">
        <v>29539.32</v>
      </c>
      <c r="PI38" s="322">
        <v>28747.45</v>
      </c>
      <c r="PJ38" s="322"/>
      <c r="PK38" s="322">
        <v>31022.99</v>
      </c>
      <c r="PL38" s="322">
        <v>39780.47</v>
      </c>
      <c r="PM38" s="322">
        <v>38556.050000000003</v>
      </c>
      <c r="PN38" s="322">
        <v>38556.25</v>
      </c>
      <c r="PO38" s="322">
        <v>43758</v>
      </c>
      <c r="PP38" s="334"/>
      <c r="PQ38" s="322" t="s">
        <v>21</v>
      </c>
      <c r="PR38" s="322">
        <v>9024.4500000000007</v>
      </c>
      <c r="PS38" s="322">
        <v>12191.02</v>
      </c>
      <c r="PT38" s="322">
        <v>8728.64</v>
      </c>
      <c r="PU38" s="322">
        <v>19401.439999999999</v>
      </c>
      <c r="PV38" s="322">
        <v>18805.48</v>
      </c>
      <c r="PW38" s="322">
        <v>10957.43</v>
      </c>
      <c r="PX38" s="322">
        <v>20559.8</v>
      </c>
      <c r="PY38" s="322">
        <v>20731.34</v>
      </c>
      <c r="PZ38" s="322">
        <v>17982.140000000003</v>
      </c>
      <c r="QA38" s="322">
        <v>25832.65</v>
      </c>
      <c r="QB38" s="322">
        <v>19820.870000000003</v>
      </c>
      <c r="QC38" s="322">
        <v>25124.14</v>
      </c>
      <c r="QD38" s="322">
        <v>18830.169999999998</v>
      </c>
      <c r="QE38" s="322">
        <v>19766.190000000002</v>
      </c>
      <c r="QF38" s="322">
        <v>19716.429999999997</v>
      </c>
      <c r="QG38" s="322">
        <v>20478.420000000002</v>
      </c>
      <c r="QH38" s="322"/>
      <c r="QI38" s="322">
        <v>29618.17</v>
      </c>
      <c r="QJ38" s="322">
        <v>23427</v>
      </c>
      <c r="QK38" s="322">
        <v>20038.2</v>
      </c>
      <c r="QL38" s="322">
        <v>25911.91</v>
      </c>
      <c r="QM38" s="322">
        <v>22700</v>
      </c>
      <c r="QN38" s="334"/>
      <c r="QO38" s="322" t="s">
        <v>21</v>
      </c>
      <c r="QP38" s="322">
        <v>0</v>
      </c>
      <c r="QQ38" s="322">
        <v>0</v>
      </c>
      <c r="QR38" s="322">
        <v>0</v>
      </c>
      <c r="QS38" s="322">
        <v>0</v>
      </c>
      <c r="QT38" s="322">
        <v>0</v>
      </c>
      <c r="QU38" s="322">
        <v>0</v>
      </c>
      <c r="QV38" s="322">
        <v>0</v>
      </c>
      <c r="QW38" s="322">
        <v>0</v>
      </c>
      <c r="QX38" s="322">
        <v>0</v>
      </c>
      <c r="QY38" s="322">
        <v>0</v>
      </c>
      <c r="QZ38" s="322">
        <v>0</v>
      </c>
      <c r="RA38" s="322">
        <v>0</v>
      </c>
      <c r="RB38" s="322">
        <v>0</v>
      </c>
      <c r="RC38" s="322">
        <v>0</v>
      </c>
      <c r="RD38" s="322">
        <v>0</v>
      </c>
      <c r="RE38" s="322">
        <v>0</v>
      </c>
      <c r="RF38" s="322"/>
      <c r="RG38" s="322">
        <v>0</v>
      </c>
      <c r="RH38" s="322">
        <v>0</v>
      </c>
      <c r="RI38" s="322">
        <v>0</v>
      </c>
      <c r="RJ38" s="322">
        <v>0</v>
      </c>
      <c r="RK38" s="322">
        <v>0</v>
      </c>
      <c r="RL38" s="334"/>
      <c r="RM38" s="322" t="s">
        <v>21</v>
      </c>
      <c r="RN38" s="322">
        <v>63171.15</v>
      </c>
      <c r="RO38" s="322">
        <v>134101.22</v>
      </c>
      <c r="RP38" s="322">
        <v>43643.199999999997</v>
      </c>
      <c r="RQ38" s="322">
        <v>67905.039999999994</v>
      </c>
      <c r="RR38" s="322">
        <v>65819.179999999993</v>
      </c>
      <c r="RS38" s="322">
        <v>120531.73</v>
      </c>
      <c r="RT38" s="322">
        <v>82239.199999999997</v>
      </c>
      <c r="RU38" s="322">
        <v>82925.36</v>
      </c>
      <c r="RV38" s="322">
        <v>118500</v>
      </c>
      <c r="RW38" s="322">
        <v>155600</v>
      </c>
      <c r="RX38" s="322">
        <v>217000</v>
      </c>
      <c r="RY38" s="322">
        <v>163000</v>
      </c>
      <c r="RZ38" s="322">
        <v>249135.96</v>
      </c>
      <c r="SA38" s="322">
        <v>252800</v>
      </c>
      <c r="SB38" s="322">
        <v>285372</v>
      </c>
      <c r="SC38" s="322">
        <v>269600</v>
      </c>
      <c r="SD38" s="322"/>
      <c r="SE38" s="322">
        <v>332400</v>
      </c>
      <c r="SF38" s="322">
        <v>295033</v>
      </c>
      <c r="SG38" s="322">
        <v>295350</v>
      </c>
      <c r="SH38" s="322">
        <v>320900</v>
      </c>
      <c r="SI38" s="322">
        <v>286000</v>
      </c>
    </row>
    <row r="39" spans="1:503">
      <c r="A39" s="319" t="s">
        <v>22</v>
      </c>
      <c r="B39" s="319">
        <v>464407</v>
      </c>
      <c r="C39" s="319">
        <v>432498</v>
      </c>
      <c r="D39" s="319">
        <v>596816</v>
      </c>
      <c r="E39" s="319">
        <v>573311</v>
      </c>
      <c r="F39" s="319">
        <v>592499</v>
      </c>
      <c r="G39" s="319">
        <v>739154</v>
      </c>
      <c r="H39" s="319">
        <v>619091</v>
      </c>
      <c r="I39" s="319">
        <v>680226</v>
      </c>
      <c r="J39" s="319">
        <v>721117.38</v>
      </c>
      <c r="K39" s="319">
        <v>655536.68000000005</v>
      </c>
      <c r="L39" s="319">
        <v>737948.69000000006</v>
      </c>
      <c r="M39" s="319">
        <v>784149.87999999989</v>
      </c>
      <c r="N39" s="319">
        <v>840560.36999999988</v>
      </c>
      <c r="O39" s="319">
        <v>1087887.5500000003</v>
      </c>
      <c r="P39" s="319">
        <v>1425604.7400000002</v>
      </c>
      <c r="Q39" s="319">
        <v>904770</v>
      </c>
      <c r="R39" s="319"/>
      <c r="S39" s="322">
        <v>1294742.72</v>
      </c>
      <c r="T39" s="319"/>
      <c r="U39" s="319">
        <v>946931.42</v>
      </c>
      <c r="V39" s="319">
        <v>1047146.48</v>
      </c>
      <c r="W39" s="319">
        <v>1205093.3599999999</v>
      </c>
      <c r="X39" s="330"/>
      <c r="Y39" s="319" t="s">
        <v>22</v>
      </c>
      <c r="Z39" s="319">
        <v>51084.77</v>
      </c>
      <c r="AA39" s="319">
        <v>51899.76</v>
      </c>
      <c r="AB39" s="319">
        <v>53713.440000000002</v>
      </c>
      <c r="AC39" s="319">
        <v>63064.21</v>
      </c>
      <c r="AD39" s="319">
        <v>65174.89</v>
      </c>
      <c r="AE39" s="319">
        <v>73915.399999999994</v>
      </c>
      <c r="AF39" s="319">
        <v>88698.48</v>
      </c>
      <c r="AG39" s="319">
        <v>74824.86</v>
      </c>
      <c r="AH39" s="319">
        <v>78854.039999999994</v>
      </c>
      <c r="AI39" s="319">
        <v>78706.26999999999</v>
      </c>
      <c r="AJ39" s="319">
        <v>82883.649999999994</v>
      </c>
      <c r="AK39" s="319">
        <v>83272.589999999982</v>
      </c>
      <c r="AL39" s="319">
        <v>87358.159999999989</v>
      </c>
      <c r="AM39" s="319">
        <v>88015.81</v>
      </c>
      <c r="AN39" s="319">
        <v>86909.34</v>
      </c>
      <c r="AO39" s="319">
        <v>84006.29</v>
      </c>
      <c r="AP39" s="319"/>
      <c r="AQ39" s="322">
        <v>91719.05</v>
      </c>
      <c r="AR39" s="319"/>
      <c r="AS39" s="319">
        <v>92830.609999999986</v>
      </c>
      <c r="AT39" s="319">
        <v>93549.56</v>
      </c>
      <c r="AU39" s="319">
        <v>95546.52</v>
      </c>
      <c r="AV39" s="334"/>
      <c r="AW39" s="319" t="s">
        <v>22</v>
      </c>
      <c r="AX39" s="319">
        <v>55728.84</v>
      </c>
      <c r="AY39" s="319">
        <v>51899.759999999995</v>
      </c>
      <c r="AZ39" s="319">
        <v>53713.439999999995</v>
      </c>
      <c r="BA39" s="319">
        <v>63064.21</v>
      </c>
      <c r="BB39" s="319">
        <v>59249.9</v>
      </c>
      <c r="BC39" s="319">
        <v>66523.86</v>
      </c>
      <c r="BD39" s="319">
        <v>68100.009999999995</v>
      </c>
      <c r="BE39" s="319">
        <v>68022.600000000006</v>
      </c>
      <c r="BF39" s="319">
        <v>66265.739999999991</v>
      </c>
      <c r="BG39" s="319">
        <v>68078.91</v>
      </c>
      <c r="BH39" s="319">
        <v>69102.41</v>
      </c>
      <c r="BI39" s="319">
        <v>75627.23</v>
      </c>
      <c r="BJ39" s="319">
        <v>83945.82</v>
      </c>
      <c r="BK39" s="319">
        <v>84217.439999999988</v>
      </c>
      <c r="BL39" s="319">
        <v>85820.319999999992</v>
      </c>
      <c r="BM39" s="319">
        <v>84104.579999999987</v>
      </c>
      <c r="BN39" s="319"/>
      <c r="BO39" s="322">
        <v>81012.509999999995</v>
      </c>
      <c r="BP39" s="319"/>
      <c r="BQ39" s="319">
        <v>86709.849999999991</v>
      </c>
      <c r="BR39" s="319">
        <v>87875.38</v>
      </c>
      <c r="BS39" s="319">
        <v>98956.75</v>
      </c>
      <c r="BT39" s="334"/>
      <c r="BU39" s="322" t="s">
        <v>22</v>
      </c>
      <c r="BV39" s="322">
        <v>27864.42</v>
      </c>
      <c r="BW39" s="322">
        <v>17299.919999999998</v>
      </c>
      <c r="BX39" s="322">
        <v>29840.799999999999</v>
      </c>
      <c r="BY39" s="322">
        <v>17199.330000000002</v>
      </c>
      <c r="BZ39" s="322">
        <v>35549.94</v>
      </c>
      <c r="CA39" s="322">
        <v>22174.62</v>
      </c>
      <c r="CB39" s="322">
        <v>30954.55</v>
      </c>
      <c r="CC39" s="322">
        <v>13604.52</v>
      </c>
      <c r="CD39" s="322">
        <v>45991.950000000004</v>
      </c>
      <c r="CE39" s="322">
        <v>17152.559999999998</v>
      </c>
      <c r="CF39" s="322">
        <v>35684.07</v>
      </c>
      <c r="CG39" s="322">
        <v>15303.539999999999</v>
      </c>
      <c r="CH39" s="322">
        <v>48284.470000000008</v>
      </c>
      <c r="CI39" s="322">
        <v>15631.270000000002</v>
      </c>
      <c r="CJ39" s="322">
        <v>40611.450000000004</v>
      </c>
      <c r="CK39" s="322">
        <v>18800.940000000002</v>
      </c>
      <c r="CL39" s="322"/>
      <c r="CM39" s="322">
        <v>39527.43</v>
      </c>
      <c r="CN39" s="322"/>
      <c r="CO39" s="322">
        <v>44226.51</v>
      </c>
      <c r="CP39" s="322">
        <v>69150.12</v>
      </c>
      <c r="CQ39" s="322">
        <v>30481</v>
      </c>
      <c r="CR39" s="334"/>
      <c r="CS39" s="322" t="s">
        <v>22</v>
      </c>
      <c r="CT39" s="322">
        <v>78949.19</v>
      </c>
      <c r="CU39" s="322">
        <v>38924.82</v>
      </c>
      <c r="CV39" s="322">
        <v>65649.759999999995</v>
      </c>
      <c r="CW39" s="322">
        <v>51597.99</v>
      </c>
      <c r="CX39" s="322">
        <v>53324.91</v>
      </c>
      <c r="CY39" s="322">
        <v>110873.1</v>
      </c>
      <c r="CZ39" s="322">
        <v>49527.28</v>
      </c>
      <c r="DA39" s="322">
        <v>108836.16</v>
      </c>
      <c r="DB39" s="322">
        <v>56329.259999999987</v>
      </c>
      <c r="DC39" s="322">
        <v>54053.94</v>
      </c>
      <c r="DD39" s="322">
        <v>85553.49</v>
      </c>
      <c r="DE39" s="322">
        <v>115472.83</v>
      </c>
      <c r="DF39" s="322">
        <v>78322.599999999991</v>
      </c>
      <c r="DG39" s="322">
        <v>74445.180000000008</v>
      </c>
      <c r="DH39" s="322">
        <v>96885.79</v>
      </c>
      <c r="DI39" s="322">
        <v>86456.11</v>
      </c>
      <c r="DJ39" s="322"/>
      <c r="DK39" s="322">
        <v>80645.03</v>
      </c>
      <c r="DL39" s="322"/>
      <c r="DM39" s="322">
        <v>79213.100000000006</v>
      </c>
      <c r="DN39" s="322">
        <v>87265.12000000001</v>
      </c>
      <c r="DO39" s="322">
        <v>82700</v>
      </c>
      <c r="DP39" s="334"/>
      <c r="DQ39" s="322" t="s">
        <v>22</v>
      </c>
      <c r="DR39" s="322">
        <v>18576.28</v>
      </c>
      <c r="DS39" s="322">
        <v>17299.919999999998</v>
      </c>
      <c r="DT39" s="322">
        <v>17904.48</v>
      </c>
      <c r="DU39" s="322">
        <v>22932.44</v>
      </c>
      <c r="DV39" s="322">
        <v>17774.97</v>
      </c>
      <c r="DW39" s="322">
        <v>22174.62</v>
      </c>
      <c r="DX39" s="322">
        <v>43336.37</v>
      </c>
      <c r="DY39" s="322">
        <v>40813.56</v>
      </c>
      <c r="DZ39" s="322">
        <v>46504.78</v>
      </c>
      <c r="EA39" s="322">
        <v>48897.91</v>
      </c>
      <c r="EB39" s="322">
        <v>53557.89</v>
      </c>
      <c r="EC39" s="322">
        <v>71500.42</v>
      </c>
      <c r="ED39" s="322">
        <v>79455.73</v>
      </c>
      <c r="EE39" s="322">
        <v>80859.3</v>
      </c>
      <c r="EF39" s="322">
        <v>81478.990000000005</v>
      </c>
      <c r="EG39" s="322">
        <v>73085.3</v>
      </c>
      <c r="EH39" s="322"/>
      <c r="EI39" s="322">
        <v>91835.14</v>
      </c>
      <c r="EJ39" s="322"/>
      <c r="EK39" s="322">
        <v>92526.69</v>
      </c>
      <c r="EL39" s="322">
        <v>93008.44</v>
      </c>
      <c r="EM39" s="322">
        <v>101142.34</v>
      </c>
      <c r="EN39" s="334"/>
      <c r="EO39" s="322" t="s">
        <v>22</v>
      </c>
      <c r="EP39" s="322">
        <v>37152.559999999998</v>
      </c>
      <c r="EQ39" s="322">
        <v>34599.839999999997</v>
      </c>
      <c r="ER39" s="322">
        <v>35808.959999999999</v>
      </c>
      <c r="ES39" s="322">
        <v>34398.660000000003</v>
      </c>
      <c r="ET39" s="322">
        <v>35549.94</v>
      </c>
      <c r="EU39" s="322">
        <v>36957.699999999997</v>
      </c>
      <c r="EV39" s="322">
        <v>43336.37</v>
      </c>
      <c r="EW39" s="322">
        <v>47615.82</v>
      </c>
      <c r="EX39" s="322">
        <v>45405.319999999992</v>
      </c>
      <c r="EY39" s="322">
        <v>45455.29</v>
      </c>
      <c r="EZ39" s="322">
        <v>48174.07</v>
      </c>
      <c r="FA39" s="322">
        <v>65944.41</v>
      </c>
      <c r="FB39" s="322">
        <v>71271.969999999987</v>
      </c>
      <c r="FC39" s="322">
        <v>70385.69</v>
      </c>
      <c r="FD39" s="322">
        <v>70819.47</v>
      </c>
      <c r="FE39" s="322">
        <v>70897.290000000008</v>
      </c>
      <c r="FF39" s="322"/>
      <c r="FG39" s="322">
        <v>82425.810000000012</v>
      </c>
      <c r="FH39" s="322"/>
      <c r="FI39" s="322">
        <v>79581.06</v>
      </c>
      <c r="FJ39" s="322">
        <v>83056.500000000015</v>
      </c>
      <c r="FK39" s="322">
        <v>85003.75</v>
      </c>
      <c r="FL39" s="334"/>
      <c r="FM39" s="322" t="s">
        <v>22</v>
      </c>
      <c r="FN39" s="322">
        <v>0</v>
      </c>
      <c r="FO39" s="322">
        <v>0</v>
      </c>
      <c r="FP39" s="322">
        <v>0</v>
      </c>
      <c r="FQ39" s="322">
        <v>0</v>
      </c>
      <c r="FR39" s="322">
        <v>0</v>
      </c>
      <c r="FS39" s="322">
        <v>0</v>
      </c>
      <c r="FT39" s="322">
        <v>0</v>
      </c>
      <c r="FU39" s="322">
        <v>0</v>
      </c>
      <c r="FV39" s="322">
        <v>1390.38</v>
      </c>
      <c r="FW39" s="322">
        <v>4053.21</v>
      </c>
      <c r="FX39" s="322">
        <v>4352.3900000000003</v>
      </c>
      <c r="FY39" s="322">
        <v>20866.370000000003</v>
      </c>
      <c r="FZ39" s="322">
        <v>9825.36</v>
      </c>
      <c r="GA39" s="322">
        <v>6635.75</v>
      </c>
      <c r="GB39" s="322">
        <v>6795.6999999999989</v>
      </c>
      <c r="GC39" s="322">
        <v>7390.7199999999993</v>
      </c>
      <c r="GD39" s="322"/>
      <c r="GE39" s="322">
        <v>0</v>
      </c>
      <c r="GF39" s="340"/>
      <c r="GG39" s="704">
        <v>0</v>
      </c>
      <c r="GH39" s="704">
        <v>0</v>
      </c>
      <c r="GI39" s="704">
        <v>0</v>
      </c>
      <c r="GJ39" s="334"/>
      <c r="GK39" s="322" t="s">
        <v>22</v>
      </c>
      <c r="GL39" s="322">
        <v>0</v>
      </c>
      <c r="GM39" s="322">
        <v>0</v>
      </c>
      <c r="GN39" s="322">
        <v>0</v>
      </c>
      <c r="GO39" s="322">
        <v>0</v>
      </c>
      <c r="GP39" s="322">
        <v>0</v>
      </c>
      <c r="GQ39" s="322">
        <v>0</v>
      </c>
      <c r="GR39" s="322">
        <v>18572.73</v>
      </c>
      <c r="GS39" s="322">
        <v>54418.080000000002</v>
      </c>
      <c r="GT39" s="322">
        <v>53909.55</v>
      </c>
      <c r="GU39" s="322">
        <v>54295.360000000001</v>
      </c>
      <c r="GV39" s="322">
        <v>57683.3</v>
      </c>
      <c r="GW39" s="322">
        <v>59096.829999999994</v>
      </c>
      <c r="GX39" s="322">
        <v>61246.94</v>
      </c>
      <c r="GY39" s="322">
        <v>64811.920000000006</v>
      </c>
      <c r="GZ39" s="322">
        <v>64769.52</v>
      </c>
      <c r="HA39" s="322">
        <v>65667.039999999994</v>
      </c>
      <c r="HB39" s="322"/>
      <c r="HC39" s="322">
        <v>68557.039999999994</v>
      </c>
      <c r="HD39" s="322"/>
      <c r="HE39" s="322">
        <v>64416.05</v>
      </c>
      <c r="HF39" s="322">
        <v>65974.16</v>
      </c>
      <c r="HG39" s="322">
        <v>69439</v>
      </c>
      <c r="HH39" s="334"/>
      <c r="HI39" s="322" t="s">
        <v>22</v>
      </c>
      <c r="HJ39" s="322">
        <v>13932.21</v>
      </c>
      <c r="HK39" s="322">
        <v>17299.919999999998</v>
      </c>
      <c r="HL39" s="322">
        <v>17904.48</v>
      </c>
      <c r="HM39" s="322">
        <v>17199.330000000002</v>
      </c>
      <c r="HN39" s="322">
        <v>17774.97</v>
      </c>
      <c r="HO39" s="322">
        <v>22174.62</v>
      </c>
      <c r="HP39" s="322">
        <v>0</v>
      </c>
      <c r="HQ39" s="322">
        <v>0</v>
      </c>
      <c r="HR39" s="322">
        <v>2918.86</v>
      </c>
      <c r="HS39" s="322">
        <v>3208.14</v>
      </c>
      <c r="HT39" s="322">
        <v>2832.7999999999997</v>
      </c>
      <c r="HU39" s="322">
        <v>11262.73</v>
      </c>
      <c r="HV39" s="322">
        <v>8674.26</v>
      </c>
      <c r="HW39" s="322">
        <v>12342.650000000001</v>
      </c>
      <c r="HX39" s="322">
        <v>21836.809999999998</v>
      </c>
      <c r="HY39" s="322">
        <v>29817.08</v>
      </c>
      <c r="HZ39" s="322"/>
      <c r="IA39" s="322">
        <v>26530.350000000002</v>
      </c>
      <c r="IB39" s="322"/>
      <c r="IC39" s="322">
        <v>18863.010000000002</v>
      </c>
      <c r="ID39" s="322">
        <v>18294.21</v>
      </c>
      <c r="IE39" s="322">
        <v>33160</v>
      </c>
      <c r="IF39" s="334"/>
      <c r="IG39" s="322" t="s">
        <v>22</v>
      </c>
      <c r="IH39" s="322">
        <v>4644.07</v>
      </c>
      <c r="II39" s="322">
        <v>4324.9799999999996</v>
      </c>
      <c r="IJ39" s="322">
        <v>5968.16</v>
      </c>
      <c r="IK39" s="322">
        <v>17199.330000000002</v>
      </c>
      <c r="IL39" s="322">
        <v>17774.97</v>
      </c>
      <c r="IM39" s="322">
        <v>14783.08</v>
      </c>
      <c r="IN39" s="322">
        <v>18572.73</v>
      </c>
      <c r="IO39" s="322">
        <v>13604.52</v>
      </c>
      <c r="IP39" s="322">
        <v>12459.88</v>
      </c>
      <c r="IQ39" s="322">
        <v>12744.73</v>
      </c>
      <c r="IR39" s="322">
        <v>14936.509999999998</v>
      </c>
      <c r="IS39" s="322">
        <v>14686.75</v>
      </c>
      <c r="IT39" s="322">
        <v>13616.76</v>
      </c>
      <c r="IU39" s="322">
        <v>14015.17</v>
      </c>
      <c r="IV39" s="322"/>
      <c r="IW39" s="322"/>
      <c r="IX39" s="322"/>
      <c r="IY39" s="322"/>
      <c r="IZ39" s="322"/>
      <c r="JA39" s="322"/>
      <c r="JB39" s="322"/>
      <c r="JC39" s="322"/>
      <c r="JD39" s="334"/>
      <c r="JE39" s="322" t="s">
        <v>22</v>
      </c>
      <c r="JF39" s="322">
        <v>9288.14</v>
      </c>
      <c r="JG39" s="322">
        <v>8649.9599999999991</v>
      </c>
      <c r="JH39" s="322">
        <v>5968.16</v>
      </c>
      <c r="JI39" s="322">
        <v>5733.11</v>
      </c>
      <c r="JJ39" s="322">
        <v>11849.98</v>
      </c>
      <c r="JK39" s="322">
        <v>7391.54</v>
      </c>
      <c r="JL39" s="322">
        <v>6190.91</v>
      </c>
      <c r="JM39" s="322">
        <v>6802.26</v>
      </c>
      <c r="JN39" s="322">
        <v>9702.33</v>
      </c>
      <c r="JO39" s="322">
        <v>19797.620000000003</v>
      </c>
      <c r="JP39" s="322">
        <v>13526.48</v>
      </c>
      <c r="JQ39" s="322">
        <v>16148.12</v>
      </c>
      <c r="JR39" s="322">
        <v>9864.6099999999988</v>
      </c>
      <c r="JS39" s="322">
        <v>9936.69</v>
      </c>
      <c r="JT39" s="322">
        <v>15789.9</v>
      </c>
      <c r="JU39" s="322">
        <v>28619.329999999998</v>
      </c>
      <c r="JV39" s="322"/>
      <c r="JW39" s="322">
        <v>11700.96</v>
      </c>
      <c r="JX39" s="322"/>
      <c r="JY39" s="322">
        <v>32960.860000000008</v>
      </c>
      <c r="JZ39" s="322">
        <v>12132.56</v>
      </c>
      <c r="KA39" s="322">
        <v>19020</v>
      </c>
      <c r="KB39" s="334"/>
      <c r="KC39" s="322" t="s">
        <v>22</v>
      </c>
      <c r="KD39" s="322">
        <v>4644.07</v>
      </c>
      <c r="KE39" s="322">
        <v>4324.9799999999996</v>
      </c>
      <c r="KF39" s="322">
        <v>5968.16</v>
      </c>
      <c r="KG39" s="322">
        <v>5733.11</v>
      </c>
      <c r="KH39" s="322">
        <v>5924.99</v>
      </c>
      <c r="KI39" s="322">
        <v>14783.08</v>
      </c>
      <c r="KJ39" s="322">
        <v>18572.73</v>
      </c>
      <c r="KK39" s="322">
        <v>20406.78</v>
      </c>
      <c r="KL39" s="322">
        <v>18478</v>
      </c>
      <c r="KM39" s="322">
        <v>22910.370000000003</v>
      </c>
      <c r="KN39" s="322">
        <v>27783.510000000002</v>
      </c>
      <c r="KO39" s="322">
        <v>27727.72</v>
      </c>
      <c r="KP39" s="322">
        <v>28020</v>
      </c>
      <c r="KQ39" s="322">
        <v>28251.23</v>
      </c>
      <c r="KR39" s="322">
        <v>28022.269999999997</v>
      </c>
      <c r="KS39" s="322">
        <v>28929.18</v>
      </c>
      <c r="KT39" s="322"/>
      <c r="KU39" s="322">
        <v>30891.88</v>
      </c>
      <c r="KV39" s="322"/>
      <c r="KW39" s="322">
        <v>28622.430000000004</v>
      </c>
      <c r="KX39" s="322">
        <v>30840.93</v>
      </c>
      <c r="KY39" s="322">
        <v>30867</v>
      </c>
      <c r="KZ39" s="334"/>
      <c r="LA39" s="322" t="s">
        <v>22</v>
      </c>
      <c r="LB39" s="322">
        <v>60372.91</v>
      </c>
      <c r="LC39" s="322">
        <v>82174.62</v>
      </c>
      <c r="LD39" s="322">
        <v>89522.4</v>
      </c>
      <c r="LE39" s="322">
        <v>57331.1</v>
      </c>
      <c r="LF39" s="322">
        <v>59249.9</v>
      </c>
      <c r="LG39" s="322">
        <v>118264.64</v>
      </c>
      <c r="LH39" s="322">
        <v>105245.47</v>
      </c>
      <c r="LI39" s="322">
        <v>88429.38</v>
      </c>
      <c r="LJ39" s="322">
        <v>59917.75</v>
      </c>
      <c r="LK39" s="322">
        <v>59094.8</v>
      </c>
      <c r="LL39" s="322">
        <v>76034.069999999992</v>
      </c>
      <c r="LM39" s="322">
        <v>86549.21</v>
      </c>
      <c r="LN39" s="322">
        <v>70721.14</v>
      </c>
      <c r="LO39" s="322">
        <v>81591.930000000008</v>
      </c>
      <c r="LP39" s="322">
        <v>596482.41</v>
      </c>
      <c r="LQ39" s="322">
        <v>102455.22</v>
      </c>
      <c r="LR39" s="322"/>
      <c r="LS39" s="322">
        <v>414150.13</v>
      </c>
      <c r="LT39" s="322"/>
      <c r="LU39" s="322">
        <v>79989.3</v>
      </c>
      <c r="LV39" s="322">
        <v>143261.53999999998</v>
      </c>
      <c r="LW39" s="322">
        <v>130151.3</v>
      </c>
      <c r="LX39" s="334"/>
      <c r="LY39" s="322" t="s">
        <v>22</v>
      </c>
      <c r="LZ39" s="322">
        <v>0</v>
      </c>
      <c r="MA39" s="322">
        <v>0</v>
      </c>
      <c r="MB39" s="322">
        <v>0</v>
      </c>
      <c r="MC39" s="322">
        <v>0</v>
      </c>
      <c r="MD39" s="322">
        <v>0</v>
      </c>
      <c r="ME39" s="322">
        <v>0</v>
      </c>
      <c r="MF39" s="322">
        <v>0</v>
      </c>
      <c r="MG39" s="322">
        <v>0</v>
      </c>
      <c r="MH39" s="322">
        <v>0</v>
      </c>
      <c r="MI39" s="322">
        <v>0</v>
      </c>
      <c r="MJ39" s="322">
        <v>0</v>
      </c>
      <c r="MK39" s="322">
        <v>5000</v>
      </c>
      <c r="ML39" s="322">
        <v>38671.01</v>
      </c>
      <c r="MM39" s="322">
        <v>12761</v>
      </c>
      <c r="MN39" s="322">
        <v>31028</v>
      </c>
      <c r="MO39" s="322">
        <v>68596.100000000006</v>
      </c>
      <c r="MP39" s="322"/>
      <c r="MQ39" s="322">
        <v>33212.410000000003</v>
      </c>
      <c r="MR39" s="322"/>
      <c r="MS39" s="322">
        <v>56886.09</v>
      </c>
      <c r="MT39" s="322">
        <v>55088.21</v>
      </c>
      <c r="MU39" s="322">
        <v>55975.82</v>
      </c>
      <c r="MV39" s="334"/>
      <c r="MW39" s="322" t="s">
        <v>22</v>
      </c>
      <c r="MX39" s="322">
        <v>0</v>
      </c>
      <c r="MY39" s="322">
        <v>0</v>
      </c>
      <c r="MZ39" s="322">
        <v>0</v>
      </c>
      <c r="NA39" s="322">
        <v>0</v>
      </c>
      <c r="NB39" s="322">
        <v>0</v>
      </c>
      <c r="NC39" s="322">
        <v>0</v>
      </c>
      <c r="ND39" s="322">
        <v>0</v>
      </c>
      <c r="NE39" s="322">
        <v>20406.78</v>
      </c>
      <c r="NF39" s="322">
        <v>88170.75</v>
      </c>
      <c r="NG39" s="322">
        <v>42388.530000000006</v>
      </c>
      <c r="NH39" s="322">
        <v>0</v>
      </c>
      <c r="NI39" s="322">
        <v>0</v>
      </c>
      <c r="NJ39" s="322">
        <v>24463.56</v>
      </c>
      <c r="NK39" s="322">
        <v>29362.560000000001</v>
      </c>
      <c r="NL39" s="322">
        <v>30305.040000000001</v>
      </c>
      <c r="NM39" s="322">
        <v>17525.82</v>
      </c>
      <c r="NN39" s="322"/>
      <c r="NO39" s="322">
        <v>0</v>
      </c>
      <c r="NP39" s="322"/>
      <c r="NQ39" s="322">
        <v>0</v>
      </c>
      <c r="NR39" s="322">
        <v>0</v>
      </c>
      <c r="NS39" s="322">
        <v>0</v>
      </c>
      <c r="NT39" s="334"/>
      <c r="NU39" s="322" t="s">
        <v>22</v>
      </c>
      <c r="NV39" s="322">
        <v>51084.77</v>
      </c>
      <c r="NW39" s="322">
        <v>56224.74</v>
      </c>
      <c r="NX39" s="322">
        <v>59681.599999999999</v>
      </c>
      <c r="NY39" s="322">
        <v>74530.429999999993</v>
      </c>
      <c r="NZ39" s="322">
        <v>77024.87</v>
      </c>
      <c r="OA39" s="322">
        <v>81306.94</v>
      </c>
      <c r="OB39" s="322">
        <v>74290.92</v>
      </c>
      <c r="OC39" s="322">
        <v>74824.86</v>
      </c>
      <c r="OD39" s="322">
        <v>82268.420000000013</v>
      </c>
      <c r="OE39" s="322">
        <v>80770.150000000009</v>
      </c>
      <c r="OF39" s="322">
        <v>81745.020000000019</v>
      </c>
      <c r="OG39" s="322">
        <v>79039.23</v>
      </c>
      <c r="OH39" s="322">
        <v>86563.01</v>
      </c>
      <c r="OI39" s="322">
        <v>83823.09</v>
      </c>
      <c r="OJ39" s="322">
        <v>85739.140000000014</v>
      </c>
      <c r="OK39" s="322">
        <v>87974.949999999983</v>
      </c>
      <c r="OL39" s="322"/>
      <c r="OM39" s="322">
        <v>80885.83</v>
      </c>
      <c r="ON39" s="322"/>
      <c r="OO39" s="322">
        <v>84596.470000000016</v>
      </c>
      <c r="OP39" s="322">
        <v>88006.07</v>
      </c>
      <c r="OQ39" s="322">
        <v>147765.35</v>
      </c>
      <c r="OR39" s="334"/>
      <c r="OS39" s="322" t="s">
        <v>22</v>
      </c>
      <c r="OT39" s="322">
        <v>13932.21</v>
      </c>
      <c r="OU39" s="322">
        <v>12974.94</v>
      </c>
      <c r="OV39" s="322">
        <v>17904.48</v>
      </c>
      <c r="OW39" s="322">
        <v>11466.22</v>
      </c>
      <c r="OX39" s="322">
        <v>5924.99</v>
      </c>
      <c r="OY39" s="322">
        <v>7391.54</v>
      </c>
      <c r="OZ39" s="322">
        <v>6190.91</v>
      </c>
      <c r="PA39" s="322">
        <v>6802.26</v>
      </c>
      <c r="PB39" s="322">
        <v>4885.09</v>
      </c>
      <c r="PC39" s="322">
        <v>5405.7400000000007</v>
      </c>
      <c r="PD39" s="322">
        <v>5304.76</v>
      </c>
      <c r="PE39" s="322">
        <v>7160.0499999999993</v>
      </c>
      <c r="PF39" s="322">
        <v>6821.6500000000005</v>
      </c>
      <c r="PG39" s="322">
        <v>7061.0700000000006</v>
      </c>
      <c r="PH39" s="322">
        <v>6519.9699999999993</v>
      </c>
      <c r="PI39" s="322">
        <v>7397.03</v>
      </c>
      <c r="PJ39" s="322"/>
      <c r="PK39" s="322">
        <v>12166.990000000002</v>
      </c>
      <c r="PL39" s="322"/>
      <c r="PM39" s="322">
        <v>17911.030000000002</v>
      </c>
      <c r="PN39" s="322">
        <v>19609.88</v>
      </c>
      <c r="PO39" s="322">
        <v>20986.350000000002</v>
      </c>
      <c r="PP39" s="334"/>
      <c r="PQ39" s="322" t="s">
        <v>22</v>
      </c>
      <c r="PR39" s="322">
        <v>9288.14</v>
      </c>
      <c r="PS39" s="322">
        <v>8649.9599999999991</v>
      </c>
      <c r="PT39" s="322">
        <v>5968.16</v>
      </c>
      <c r="PU39" s="322">
        <v>5733.11</v>
      </c>
      <c r="PV39" s="322">
        <v>11849.98</v>
      </c>
      <c r="PW39" s="322">
        <v>14783.08</v>
      </c>
      <c r="PX39" s="322">
        <v>12381.82</v>
      </c>
      <c r="PY39" s="322">
        <v>13604.52</v>
      </c>
      <c r="PZ39" s="322">
        <v>20014.28</v>
      </c>
      <c r="QA39" s="322">
        <v>13003.52</v>
      </c>
      <c r="QB39" s="322">
        <v>16005.82</v>
      </c>
      <c r="QC39" s="322">
        <v>16155.16</v>
      </c>
      <c r="QD39" s="322">
        <v>18646.32</v>
      </c>
      <c r="QE39" s="322">
        <v>16991.759999999998</v>
      </c>
      <c r="QF39" s="322">
        <v>22737.48</v>
      </c>
      <c r="QG39" s="322">
        <v>18054.02</v>
      </c>
      <c r="QH39" s="322"/>
      <c r="QI39" s="322">
        <v>17986.79</v>
      </c>
      <c r="QJ39" s="322"/>
      <c r="QK39" s="322">
        <v>21211.34</v>
      </c>
      <c r="QL39" s="322">
        <v>21721.59</v>
      </c>
      <c r="QM39" s="322">
        <v>33901</v>
      </c>
      <c r="QN39" s="334"/>
      <c r="QO39" s="322" t="s">
        <v>22</v>
      </c>
      <c r="QP39" s="322">
        <v>0</v>
      </c>
      <c r="QQ39" s="322">
        <v>0</v>
      </c>
      <c r="QR39" s="322">
        <v>0</v>
      </c>
      <c r="QS39" s="322">
        <v>0</v>
      </c>
      <c r="QT39" s="322">
        <v>0</v>
      </c>
      <c r="QU39" s="322">
        <v>0</v>
      </c>
      <c r="QV39" s="322">
        <v>0</v>
      </c>
      <c r="QW39" s="322">
        <v>0</v>
      </c>
      <c r="QX39" s="322">
        <v>350</v>
      </c>
      <c r="QY39" s="322">
        <v>2004</v>
      </c>
      <c r="QZ39" s="322">
        <v>2618.4499999999998</v>
      </c>
      <c r="RA39" s="322">
        <v>2004</v>
      </c>
      <c r="RB39" s="322">
        <v>2104</v>
      </c>
      <c r="RC39" s="322">
        <v>3473.12</v>
      </c>
      <c r="RD39" s="322">
        <v>3052</v>
      </c>
      <c r="RE39" s="322">
        <v>2049</v>
      </c>
      <c r="RF39" s="322"/>
      <c r="RG39" s="322">
        <v>0</v>
      </c>
      <c r="RH39" s="322"/>
      <c r="RI39" s="322">
        <v>0</v>
      </c>
      <c r="RJ39" s="322">
        <v>0</v>
      </c>
      <c r="RK39" s="322">
        <v>2000</v>
      </c>
      <c r="RL39" s="334"/>
      <c r="RM39" s="322" t="s">
        <v>22</v>
      </c>
      <c r="RN39" s="322">
        <v>27864.42</v>
      </c>
      <c r="RO39" s="322">
        <v>25949.88</v>
      </c>
      <c r="RP39" s="322">
        <v>131299.51999999999</v>
      </c>
      <c r="RQ39" s="322">
        <v>126128.42</v>
      </c>
      <c r="RR39" s="322">
        <v>118499.8</v>
      </c>
      <c r="RS39" s="322">
        <v>125656.18</v>
      </c>
      <c r="RT39" s="322">
        <v>49527.28</v>
      </c>
      <c r="RU39" s="322">
        <v>27209.040000000001</v>
      </c>
      <c r="RV39" s="322">
        <v>25981</v>
      </c>
      <c r="RW39" s="322">
        <v>2432</v>
      </c>
      <c r="RX39" s="322">
        <v>60170</v>
      </c>
      <c r="RY39" s="322">
        <v>3366</v>
      </c>
      <c r="RZ39" s="322">
        <v>12683</v>
      </c>
      <c r="SA39" s="322">
        <v>144998</v>
      </c>
      <c r="SB39" s="322">
        <v>8969.2099999999991</v>
      </c>
      <c r="SC39" s="322">
        <v>2244</v>
      </c>
      <c r="SD39" s="322"/>
      <c r="SE39" s="322">
        <v>131495.37</v>
      </c>
      <c r="SF39" s="322"/>
      <c r="SG39" s="322">
        <v>66387.01999999999</v>
      </c>
      <c r="SH39" s="322">
        <v>65432.810000000005</v>
      </c>
      <c r="SI39" s="322">
        <v>67997.179999999993</v>
      </c>
    </row>
    <row r="40" spans="1:503">
      <c r="A40" s="319" t="s">
        <v>23</v>
      </c>
      <c r="B40" s="319">
        <v>867834</v>
      </c>
      <c r="C40" s="319">
        <v>823165</v>
      </c>
      <c r="D40" s="319">
        <v>973748</v>
      </c>
      <c r="E40" s="319">
        <v>997858</v>
      </c>
      <c r="F40" s="319">
        <v>1022698</v>
      </c>
      <c r="G40" s="319">
        <v>1233947</v>
      </c>
      <c r="H40" s="319">
        <v>1102367</v>
      </c>
      <c r="I40" s="319">
        <v>1053971</v>
      </c>
      <c r="J40" s="319">
        <v>1150303</v>
      </c>
      <c r="K40" s="319">
        <v>1190824</v>
      </c>
      <c r="L40" s="319">
        <v>1366333</v>
      </c>
      <c r="M40" s="319">
        <v>1428225</v>
      </c>
      <c r="N40" s="319">
        <v>1499849</v>
      </c>
      <c r="O40" s="319">
        <v>1342087</v>
      </c>
      <c r="P40" s="319">
        <v>1386278</v>
      </c>
      <c r="Q40" s="319">
        <v>1608422.36</v>
      </c>
      <c r="R40" s="319">
        <v>1757793.75</v>
      </c>
      <c r="S40" s="322">
        <v>1596043.25</v>
      </c>
      <c r="T40" s="319">
        <v>1580988.48</v>
      </c>
      <c r="U40" s="319"/>
      <c r="V40" s="319"/>
      <c r="W40" s="319"/>
      <c r="X40" s="330"/>
      <c r="Y40" s="319" t="s">
        <v>23</v>
      </c>
      <c r="Z40" s="319">
        <v>43391.7</v>
      </c>
      <c r="AA40" s="319">
        <v>41158.25</v>
      </c>
      <c r="AB40" s="319">
        <v>38949.919999999998</v>
      </c>
      <c r="AC40" s="319">
        <v>69850.06</v>
      </c>
      <c r="AD40" s="319">
        <v>71588.86</v>
      </c>
      <c r="AE40" s="319">
        <v>74036.820000000007</v>
      </c>
      <c r="AF40" s="319">
        <v>86376.29</v>
      </c>
      <c r="AG40" s="319">
        <v>73777.97</v>
      </c>
      <c r="AH40" s="319">
        <v>75036</v>
      </c>
      <c r="AI40" s="319">
        <v>79348</v>
      </c>
      <c r="AJ40" s="319">
        <v>79345</v>
      </c>
      <c r="AK40" s="319">
        <v>79860</v>
      </c>
      <c r="AL40" s="319">
        <v>81303</v>
      </c>
      <c r="AM40" s="319">
        <v>83198</v>
      </c>
      <c r="AN40" s="319">
        <v>84389</v>
      </c>
      <c r="AO40" s="319">
        <v>84563.340000000011</v>
      </c>
      <c r="AP40" s="319">
        <v>85586.5</v>
      </c>
      <c r="AQ40" s="322">
        <v>84836.37999999999</v>
      </c>
      <c r="AR40" s="319">
        <v>85841.79</v>
      </c>
      <c r="AS40" s="319"/>
      <c r="AT40" s="319"/>
      <c r="AU40" s="319"/>
      <c r="AV40" s="334"/>
      <c r="AW40" s="319" t="s">
        <v>23</v>
      </c>
      <c r="AX40" s="319">
        <v>60748.380000000005</v>
      </c>
      <c r="AY40" s="319">
        <v>65853.2</v>
      </c>
      <c r="AZ40" s="319">
        <v>58424.88</v>
      </c>
      <c r="BA40" s="319">
        <v>69850.060000000012</v>
      </c>
      <c r="BB40" s="319">
        <v>71588.86</v>
      </c>
      <c r="BC40" s="319">
        <v>74036.819999999992</v>
      </c>
      <c r="BD40" s="319">
        <v>77165.69</v>
      </c>
      <c r="BE40" s="319">
        <v>73777.97</v>
      </c>
      <c r="BF40" s="319">
        <v>81957</v>
      </c>
      <c r="BG40" s="319">
        <v>75890</v>
      </c>
      <c r="BH40" s="319">
        <v>73478</v>
      </c>
      <c r="BI40" s="319">
        <v>71683</v>
      </c>
      <c r="BJ40" s="319">
        <v>84033</v>
      </c>
      <c r="BK40" s="319">
        <v>75737</v>
      </c>
      <c r="BL40" s="319">
        <v>72972</v>
      </c>
      <c r="BM40" s="319">
        <v>75081.11</v>
      </c>
      <c r="BN40" s="319">
        <v>77011.790000000008</v>
      </c>
      <c r="BO40" s="322">
        <v>77037.64</v>
      </c>
      <c r="BP40" s="319">
        <v>76299.360000000001</v>
      </c>
      <c r="BQ40" s="319"/>
      <c r="BR40" s="319"/>
      <c r="BS40" s="319"/>
      <c r="BT40" s="334"/>
      <c r="BU40" s="322" t="s">
        <v>23</v>
      </c>
      <c r="BV40" s="322">
        <v>17356.68</v>
      </c>
      <c r="BW40" s="322">
        <v>0</v>
      </c>
      <c r="BX40" s="322">
        <v>19474.96</v>
      </c>
      <c r="BY40" s="322">
        <v>0</v>
      </c>
      <c r="BZ40" s="322">
        <v>20453.96</v>
      </c>
      <c r="CA40" s="322">
        <v>0</v>
      </c>
      <c r="CB40" s="322">
        <v>22047.34</v>
      </c>
      <c r="CC40" s="322">
        <v>31619.13</v>
      </c>
      <c r="CD40" s="322">
        <v>46106</v>
      </c>
      <c r="CE40" s="322">
        <v>15528</v>
      </c>
      <c r="CF40" s="322">
        <v>145931</v>
      </c>
      <c r="CG40" s="322">
        <v>17938</v>
      </c>
      <c r="CH40" s="322">
        <v>44090</v>
      </c>
      <c r="CI40" s="322">
        <v>10627</v>
      </c>
      <c r="CJ40" s="322">
        <v>49299</v>
      </c>
      <c r="CK40" s="322">
        <v>21037.360000000001</v>
      </c>
      <c r="CL40" s="322">
        <v>40482.269999999997</v>
      </c>
      <c r="CM40" s="322">
        <v>37504.410000000003</v>
      </c>
      <c r="CN40" s="322">
        <v>51354.13</v>
      </c>
      <c r="CO40" s="322"/>
      <c r="CP40" s="322"/>
      <c r="CQ40" s="322"/>
      <c r="CR40" s="334"/>
      <c r="CS40" s="322" t="s">
        <v>23</v>
      </c>
      <c r="CT40" s="322">
        <v>52070.04</v>
      </c>
      <c r="CU40" s="322">
        <v>49389.9</v>
      </c>
      <c r="CV40" s="322">
        <v>48687.4</v>
      </c>
      <c r="CW40" s="322">
        <v>109764.38</v>
      </c>
      <c r="CX40" s="322">
        <v>61361.88</v>
      </c>
      <c r="CY40" s="322">
        <v>98715.76</v>
      </c>
      <c r="CZ40" s="322">
        <v>66142.02</v>
      </c>
      <c r="DA40" s="322">
        <v>31619.13</v>
      </c>
      <c r="DB40" s="322">
        <v>41315</v>
      </c>
      <c r="DC40" s="322">
        <v>49653</v>
      </c>
      <c r="DD40" s="322">
        <v>61223</v>
      </c>
      <c r="DE40" s="322">
        <v>79918</v>
      </c>
      <c r="DF40" s="322">
        <v>52142</v>
      </c>
      <c r="DG40" s="322">
        <v>48420</v>
      </c>
      <c r="DH40" s="322">
        <v>44564</v>
      </c>
      <c r="DI40" s="322">
        <v>180597.93</v>
      </c>
      <c r="DJ40" s="322">
        <v>238144.84</v>
      </c>
      <c r="DK40" s="322">
        <v>77348.19</v>
      </c>
      <c r="DL40" s="322">
        <v>42223.58</v>
      </c>
      <c r="DM40" s="322"/>
      <c r="DN40" s="322"/>
      <c r="DO40" s="322"/>
      <c r="DP40" s="334"/>
      <c r="DQ40" s="322" t="s">
        <v>23</v>
      </c>
      <c r="DR40" s="322">
        <v>78105.06</v>
      </c>
      <c r="DS40" s="322">
        <v>82316.5</v>
      </c>
      <c r="DT40" s="322">
        <v>87637.32</v>
      </c>
      <c r="DU40" s="322">
        <v>89807.22</v>
      </c>
      <c r="DV40" s="322">
        <v>92042.82</v>
      </c>
      <c r="DW40" s="322">
        <v>98715.76</v>
      </c>
      <c r="DX40" s="322">
        <v>176378.72</v>
      </c>
      <c r="DY40" s="322">
        <v>126476.52</v>
      </c>
      <c r="DZ40" s="322">
        <v>119435</v>
      </c>
      <c r="EA40" s="322">
        <v>145090</v>
      </c>
      <c r="EB40" s="322">
        <v>150201</v>
      </c>
      <c r="EC40" s="322">
        <v>199214</v>
      </c>
      <c r="ED40" s="322">
        <v>186458</v>
      </c>
      <c r="EE40" s="322">
        <v>184830</v>
      </c>
      <c r="EF40" s="322">
        <v>175931</v>
      </c>
      <c r="EG40" s="322">
        <v>172470.60000000003</v>
      </c>
      <c r="EH40" s="322">
        <v>209082.46</v>
      </c>
      <c r="EI40" s="322">
        <v>225342.24999999997</v>
      </c>
      <c r="EJ40" s="322">
        <v>226735.43</v>
      </c>
      <c r="EK40" s="322"/>
      <c r="EL40" s="322"/>
      <c r="EM40" s="322"/>
      <c r="EN40" s="334"/>
      <c r="EO40" s="322" t="s">
        <v>23</v>
      </c>
      <c r="EP40" s="322">
        <v>43391.7</v>
      </c>
      <c r="EQ40" s="322">
        <v>49389.9</v>
      </c>
      <c r="ER40" s="322">
        <v>29212.44</v>
      </c>
      <c r="ES40" s="322">
        <v>29935.74</v>
      </c>
      <c r="ET40" s="322">
        <v>30680.94</v>
      </c>
      <c r="EU40" s="322">
        <v>37018.410000000003</v>
      </c>
      <c r="EV40" s="322">
        <v>44094.68</v>
      </c>
      <c r="EW40" s="322">
        <v>42158.84</v>
      </c>
      <c r="EX40" s="322">
        <v>40967</v>
      </c>
      <c r="EY40" s="322">
        <v>44648</v>
      </c>
      <c r="EZ40" s="322">
        <v>62070</v>
      </c>
      <c r="FA40" s="322">
        <v>76592</v>
      </c>
      <c r="FB40" s="322">
        <v>80918</v>
      </c>
      <c r="FC40" s="322">
        <v>79180</v>
      </c>
      <c r="FD40" s="322">
        <v>82060</v>
      </c>
      <c r="FE40" s="322">
        <v>73735.48</v>
      </c>
      <c r="FF40" s="322">
        <v>83452.06</v>
      </c>
      <c r="FG40" s="322">
        <v>95751.719999999987</v>
      </c>
      <c r="FH40" s="322">
        <v>89900.63</v>
      </c>
      <c r="FI40" s="322"/>
      <c r="FJ40" s="322"/>
      <c r="FK40" s="322"/>
      <c r="FL40" s="334"/>
      <c r="FM40" s="322" t="s">
        <v>23</v>
      </c>
      <c r="FN40" s="322">
        <v>0</v>
      </c>
      <c r="FO40" s="322">
        <v>0</v>
      </c>
      <c r="FP40" s="322">
        <v>19474.96</v>
      </c>
      <c r="FQ40" s="322">
        <v>9978.58</v>
      </c>
      <c r="FR40" s="322">
        <v>10226.98</v>
      </c>
      <c r="FS40" s="322">
        <v>0</v>
      </c>
      <c r="FT40" s="322">
        <v>11023.67</v>
      </c>
      <c r="FU40" s="322">
        <v>10539.71</v>
      </c>
      <c r="FV40" s="322">
        <v>6565</v>
      </c>
      <c r="FW40" s="322">
        <v>6255</v>
      </c>
      <c r="FX40" s="322">
        <v>7282</v>
      </c>
      <c r="FY40" s="322">
        <v>13427</v>
      </c>
      <c r="FZ40" s="322">
        <v>11440</v>
      </c>
      <c r="GA40" s="322">
        <v>7622</v>
      </c>
      <c r="GB40" s="322">
        <v>0</v>
      </c>
      <c r="GC40" s="322">
        <v>0</v>
      </c>
      <c r="GD40" s="322">
        <v>0</v>
      </c>
      <c r="GE40" s="322">
        <v>0</v>
      </c>
      <c r="GF40" s="340">
        <v>0</v>
      </c>
      <c r="GG40" s="704"/>
      <c r="GH40" s="704"/>
      <c r="GI40" s="704"/>
      <c r="GJ40" s="334"/>
      <c r="GK40" s="322" t="s">
        <v>23</v>
      </c>
      <c r="GL40" s="322">
        <v>0</v>
      </c>
      <c r="GM40" s="322">
        <v>0</v>
      </c>
      <c r="GN40" s="322">
        <v>0</v>
      </c>
      <c r="GO40" s="322">
        <v>0</v>
      </c>
      <c r="GP40" s="322">
        <v>0</v>
      </c>
      <c r="GQ40" s="322">
        <v>0</v>
      </c>
      <c r="GR40" s="322">
        <v>0</v>
      </c>
      <c r="GS40" s="322">
        <v>0</v>
      </c>
      <c r="GT40" s="322">
        <v>0</v>
      </c>
      <c r="GU40" s="322">
        <v>0</v>
      </c>
      <c r="GV40" s="322">
        <v>0</v>
      </c>
      <c r="GW40" s="322">
        <v>0</v>
      </c>
      <c r="GX40" s="322">
        <v>0</v>
      </c>
      <c r="GY40" s="322">
        <v>0</v>
      </c>
      <c r="GZ40" s="322">
        <v>0</v>
      </c>
      <c r="HA40" s="322">
        <v>0</v>
      </c>
      <c r="HB40" s="322">
        <v>6857.2</v>
      </c>
      <c r="HC40" s="322">
        <v>63195.53</v>
      </c>
      <c r="HD40" s="322">
        <v>59477.79</v>
      </c>
      <c r="HE40" s="322"/>
      <c r="HF40" s="322"/>
      <c r="HG40" s="322"/>
      <c r="HH40" s="334"/>
      <c r="HI40" s="322" t="s">
        <v>23</v>
      </c>
      <c r="HJ40" s="322">
        <v>43391.7</v>
      </c>
      <c r="HK40" s="322">
        <v>41158.25</v>
      </c>
      <c r="HL40" s="322">
        <v>48687.4</v>
      </c>
      <c r="HM40" s="322">
        <v>39914.32</v>
      </c>
      <c r="HN40" s="322">
        <v>40907.919999999998</v>
      </c>
      <c r="HO40" s="322">
        <v>49357.88</v>
      </c>
      <c r="HP40" s="322">
        <v>44094.68</v>
      </c>
      <c r="HQ40" s="322">
        <v>52698.55</v>
      </c>
      <c r="HR40" s="322">
        <v>51377</v>
      </c>
      <c r="HS40" s="322">
        <v>47373</v>
      </c>
      <c r="HT40" s="322">
        <v>46828</v>
      </c>
      <c r="HU40" s="322">
        <v>50717</v>
      </c>
      <c r="HV40" s="322">
        <v>55383</v>
      </c>
      <c r="HW40" s="322">
        <v>48559</v>
      </c>
      <c r="HX40" s="322">
        <v>51218</v>
      </c>
      <c r="HY40" s="322">
        <v>58465.98</v>
      </c>
      <c r="HZ40" s="322">
        <v>54343.659999999996</v>
      </c>
      <c r="IA40" s="322">
        <v>31362.18</v>
      </c>
      <c r="IB40" s="322">
        <v>34411.360000000001</v>
      </c>
      <c r="IC40" s="322"/>
      <c r="ID40" s="322"/>
      <c r="IE40" s="322"/>
      <c r="IF40" s="334"/>
      <c r="IG40" s="322" t="s">
        <v>23</v>
      </c>
      <c r="IH40" s="322">
        <v>8678.34</v>
      </c>
      <c r="II40" s="322">
        <v>16463.3</v>
      </c>
      <c r="IJ40" s="322">
        <v>19474.96</v>
      </c>
      <c r="IK40" s="322">
        <v>19957.16</v>
      </c>
      <c r="IL40" s="322">
        <v>20453.96</v>
      </c>
      <c r="IM40" s="322">
        <v>12339.47</v>
      </c>
      <c r="IN40" s="322">
        <v>22047.34</v>
      </c>
      <c r="IO40" s="322">
        <v>10539.71</v>
      </c>
      <c r="IP40" s="322">
        <v>13003</v>
      </c>
      <c r="IQ40" s="322">
        <v>15597</v>
      </c>
      <c r="IR40" s="322">
        <v>13794</v>
      </c>
      <c r="IS40" s="322">
        <v>18902</v>
      </c>
      <c r="IT40" s="322">
        <v>21395</v>
      </c>
      <c r="IU40" s="322">
        <v>7563</v>
      </c>
      <c r="IV40" s="322"/>
      <c r="IW40" s="322"/>
      <c r="IX40" s="322"/>
      <c r="IY40" s="322"/>
      <c r="IZ40" s="322"/>
      <c r="JA40" s="322"/>
      <c r="JB40" s="322"/>
      <c r="JC40" s="322"/>
      <c r="JD40" s="334"/>
      <c r="JE40" s="322" t="s">
        <v>23</v>
      </c>
      <c r="JF40" s="322">
        <v>0</v>
      </c>
      <c r="JG40" s="322">
        <v>0</v>
      </c>
      <c r="JH40" s="322">
        <v>0</v>
      </c>
      <c r="JI40" s="322">
        <v>0</v>
      </c>
      <c r="JJ40" s="322">
        <v>0</v>
      </c>
      <c r="JK40" s="322">
        <v>0</v>
      </c>
      <c r="JL40" s="322">
        <v>0</v>
      </c>
      <c r="JM40" s="322">
        <v>0</v>
      </c>
      <c r="JN40" s="322">
        <v>0</v>
      </c>
      <c r="JO40" s="322">
        <v>0</v>
      </c>
      <c r="JP40" s="322">
        <v>0</v>
      </c>
      <c r="JQ40" s="322">
        <v>0</v>
      </c>
      <c r="JR40" s="322">
        <v>0</v>
      </c>
      <c r="JS40" s="322">
        <v>0</v>
      </c>
      <c r="JT40" s="322">
        <v>0</v>
      </c>
      <c r="JU40" s="322">
        <v>0</v>
      </c>
      <c r="JV40" s="322">
        <v>0</v>
      </c>
      <c r="JW40" s="322">
        <v>0</v>
      </c>
      <c r="JX40" s="322">
        <v>0</v>
      </c>
      <c r="JY40" s="322"/>
      <c r="JZ40" s="322"/>
      <c r="KA40" s="322"/>
      <c r="KB40" s="334"/>
      <c r="KC40" s="322" t="s">
        <v>23</v>
      </c>
      <c r="KD40" s="322">
        <v>8678.34</v>
      </c>
      <c r="KE40" s="322">
        <v>8231.65</v>
      </c>
      <c r="KF40" s="322">
        <v>0</v>
      </c>
      <c r="KG40" s="322">
        <v>0</v>
      </c>
      <c r="KH40" s="322">
        <v>0</v>
      </c>
      <c r="KI40" s="322">
        <v>12339.47</v>
      </c>
      <c r="KJ40" s="322">
        <v>11023.67</v>
      </c>
      <c r="KK40" s="322">
        <v>10539.71</v>
      </c>
      <c r="KL40" s="322">
        <v>15449</v>
      </c>
      <c r="KM40" s="322">
        <v>15454</v>
      </c>
      <c r="KN40" s="322">
        <v>15430</v>
      </c>
      <c r="KO40" s="322">
        <v>15555</v>
      </c>
      <c r="KP40" s="322">
        <v>16895</v>
      </c>
      <c r="KQ40" s="322">
        <v>16748</v>
      </c>
      <c r="KR40" s="322">
        <v>16884</v>
      </c>
      <c r="KS40" s="322">
        <v>18084.759999999998</v>
      </c>
      <c r="KT40" s="322">
        <v>18730.349999999999</v>
      </c>
      <c r="KU40" s="322">
        <v>21921.879999999997</v>
      </c>
      <c r="KV40" s="322">
        <v>21212.7</v>
      </c>
      <c r="KW40" s="322"/>
      <c r="KX40" s="322"/>
      <c r="KY40" s="322"/>
      <c r="KZ40" s="334"/>
      <c r="LA40" s="322" t="s">
        <v>23</v>
      </c>
      <c r="LB40" s="322">
        <v>147531.78</v>
      </c>
      <c r="LC40" s="322">
        <v>139938.04999999999</v>
      </c>
      <c r="LD40" s="322">
        <v>204487.08</v>
      </c>
      <c r="LE40" s="322">
        <v>149678.70000000001</v>
      </c>
      <c r="LF40" s="322">
        <v>204539.6</v>
      </c>
      <c r="LG40" s="322">
        <v>357844.63</v>
      </c>
      <c r="LH40" s="322">
        <v>110236.7</v>
      </c>
      <c r="LI40" s="322">
        <v>63238.26</v>
      </c>
      <c r="LJ40" s="322">
        <v>121574</v>
      </c>
      <c r="LK40" s="322">
        <v>88494</v>
      </c>
      <c r="LL40" s="322">
        <v>64374</v>
      </c>
      <c r="LM40" s="322">
        <v>79732</v>
      </c>
      <c r="LN40" s="322">
        <v>95757</v>
      </c>
      <c r="LO40" s="322">
        <v>86184</v>
      </c>
      <c r="LP40" s="322">
        <v>94213</v>
      </c>
      <c r="LQ40" s="322">
        <v>89572.709999999992</v>
      </c>
      <c r="LR40" s="322">
        <v>119937.04000000001</v>
      </c>
      <c r="LS40" s="322">
        <v>130775.48</v>
      </c>
      <c r="LT40" s="322">
        <v>124428.31999999998</v>
      </c>
      <c r="LU40" s="322"/>
      <c r="LV40" s="322"/>
      <c r="LW40" s="322"/>
      <c r="LX40" s="334"/>
      <c r="LY40" s="322" t="s">
        <v>23</v>
      </c>
      <c r="LZ40" s="322">
        <v>225636.84</v>
      </c>
      <c r="MA40" s="322">
        <v>238717.85</v>
      </c>
      <c r="MB40" s="322">
        <v>272649.44</v>
      </c>
      <c r="MC40" s="322">
        <v>279400.24</v>
      </c>
      <c r="MD40" s="322">
        <v>265901.48</v>
      </c>
      <c r="ME40" s="322">
        <v>259128.87</v>
      </c>
      <c r="MF40" s="322">
        <v>330710.09999999998</v>
      </c>
      <c r="MG40" s="322">
        <v>411048.69</v>
      </c>
      <c r="MH40" s="322">
        <v>399070</v>
      </c>
      <c r="MI40" s="322">
        <v>459624</v>
      </c>
      <c r="MJ40" s="322">
        <v>438865</v>
      </c>
      <c r="MK40" s="322">
        <v>511061</v>
      </c>
      <c r="ML40" s="322">
        <v>586893</v>
      </c>
      <c r="MM40" s="322">
        <v>553524</v>
      </c>
      <c r="MN40" s="322">
        <v>559638</v>
      </c>
      <c r="MO40" s="322">
        <v>681953.24000000011</v>
      </c>
      <c r="MP40" s="322">
        <v>615338.71</v>
      </c>
      <c r="MQ40" s="322">
        <v>594594.73</v>
      </c>
      <c r="MR40" s="322">
        <v>612103.99</v>
      </c>
      <c r="MS40" s="322"/>
      <c r="MT40" s="322"/>
      <c r="MU40" s="322"/>
      <c r="MV40" s="334"/>
      <c r="MW40" s="322" t="s">
        <v>23</v>
      </c>
      <c r="MX40" s="322">
        <v>0</v>
      </c>
      <c r="MY40" s="322">
        <v>0</v>
      </c>
      <c r="MZ40" s="322">
        <v>0</v>
      </c>
      <c r="NA40" s="322">
        <v>0</v>
      </c>
      <c r="NB40" s="322">
        <v>0</v>
      </c>
      <c r="NC40" s="322">
        <v>0</v>
      </c>
      <c r="ND40" s="322">
        <v>0</v>
      </c>
      <c r="NE40" s="322">
        <v>0</v>
      </c>
      <c r="NF40" s="322">
        <v>0</v>
      </c>
      <c r="NG40" s="322">
        <v>0</v>
      </c>
      <c r="NH40" s="322">
        <v>0</v>
      </c>
      <c r="NI40" s="322">
        <v>0</v>
      </c>
      <c r="NJ40" s="322">
        <v>0</v>
      </c>
      <c r="NK40" s="322">
        <v>0</v>
      </c>
      <c r="NL40" s="322">
        <v>0</v>
      </c>
      <c r="NM40" s="322">
        <v>0</v>
      </c>
      <c r="NN40" s="322">
        <v>0</v>
      </c>
      <c r="NO40" s="322">
        <v>0</v>
      </c>
      <c r="NP40" s="322">
        <v>0</v>
      </c>
      <c r="NQ40" s="322"/>
      <c r="NR40" s="322"/>
      <c r="NS40" s="322"/>
      <c r="NT40" s="334"/>
      <c r="NU40" s="322" t="s">
        <v>23</v>
      </c>
      <c r="NV40" s="322">
        <v>52070.04</v>
      </c>
      <c r="NW40" s="322">
        <v>57621.55</v>
      </c>
      <c r="NX40" s="322">
        <v>58424.88</v>
      </c>
      <c r="NY40" s="322">
        <v>59871.48</v>
      </c>
      <c r="NZ40" s="322">
        <v>81815.839999999997</v>
      </c>
      <c r="OA40" s="322">
        <v>98715.76</v>
      </c>
      <c r="OB40" s="322">
        <v>88189.36</v>
      </c>
      <c r="OC40" s="322">
        <v>84317.68</v>
      </c>
      <c r="OD40" s="322">
        <v>84138</v>
      </c>
      <c r="OE40" s="322">
        <v>93208</v>
      </c>
      <c r="OF40" s="322">
        <v>96881</v>
      </c>
      <c r="OG40" s="322">
        <v>96423</v>
      </c>
      <c r="OH40" s="322">
        <v>102243</v>
      </c>
      <c r="OI40" s="322">
        <v>94281</v>
      </c>
      <c r="OJ40" s="322">
        <v>103157</v>
      </c>
      <c r="OK40" s="322">
        <v>95087.5</v>
      </c>
      <c r="OL40" s="322">
        <v>100719.65999999999</v>
      </c>
      <c r="OM40" s="322">
        <v>101974.70000000001</v>
      </c>
      <c r="ON40" s="322">
        <v>96664.829999999987</v>
      </c>
      <c r="OO40" s="322"/>
      <c r="OP40" s="322"/>
      <c r="OQ40" s="322"/>
      <c r="OR40" s="334"/>
      <c r="OS40" s="322" t="s">
        <v>23</v>
      </c>
      <c r="OT40" s="322">
        <v>17356.68</v>
      </c>
      <c r="OU40" s="322">
        <v>16463.3</v>
      </c>
      <c r="OV40" s="322">
        <v>19474.96</v>
      </c>
      <c r="OW40" s="322">
        <v>19957.16</v>
      </c>
      <c r="OX40" s="322">
        <v>10226.98</v>
      </c>
      <c r="OY40" s="322">
        <v>12339.47</v>
      </c>
      <c r="OZ40" s="322">
        <v>11023.67</v>
      </c>
      <c r="PA40" s="322">
        <v>10539.71</v>
      </c>
      <c r="PB40" s="322">
        <v>7168</v>
      </c>
      <c r="PC40" s="322">
        <v>7894</v>
      </c>
      <c r="PD40" s="322">
        <v>7657</v>
      </c>
      <c r="PE40" s="322">
        <v>10362</v>
      </c>
      <c r="PF40" s="322">
        <v>9738</v>
      </c>
      <c r="PG40" s="322">
        <v>10220</v>
      </c>
      <c r="PH40" s="322">
        <v>9441</v>
      </c>
      <c r="PI40" s="322">
        <v>10722.06</v>
      </c>
      <c r="PJ40" s="322">
        <v>16332.76</v>
      </c>
      <c r="PK40" s="322">
        <v>18633.54</v>
      </c>
      <c r="PL40" s="322">
        <v>23172.589999999997</v>
      </c>
      <c r="PM40" s="322"/>
      <c r="PN40" s="322"/>
      <c r="PO40" s="322"/>
      <c r="PP40" s="334"/>
      <c r="PQ40" s="322" t="s">
        <v>23</v>
      </c>
      <c r="PR40" s="322">
        <v>8678.34</v>
      </c>
      <c r="PS40" s="322">
        <v>8231.65</v>
      </c>
      <c r="PT40" s="322">
        <v>9737.48</v>
      </c>
      <c r="PU40" s="322">
        <v>9978.58</v>
      </c>
      <c r="PV40" s="322">
        <v>10226.98</v>
      </c>
      <c r="PW40" s="322">
        <v>12339.47</v>
      </c>
      <c r="PX40" s="322">
        <v>11023.67</v>
      </c>
      <c r="PY40" s="322">
        <v>10539.71</v>
      </c>
      <c r="PZ40" s="322">
        <v>14167</v>
      </c>
      <c r="QA40" s="322">
        <v>18412</v>
      </c>
      <c r="QB40" s="322">
        <v>14618</v>
      </c>
      <c r="QC40" s="322">
        <v>15731</v>
      </c>
      <c r="QD40" s="322">
        <v>14717</v>
      </c>
      <c r="QE40" s="322">
        <v>15194</v>
      </c>
      <c r="QF40" s="322">
        <v>17512</v>
      </c>
      <c r="QG40" s="322">
        <v>17697</v>
      </c>
      <c r="QH40" s="322">
        <v>16126.12</v>
      </c>
      <c r="QI40" s="322">
        <v>17391.84</v>
      </c>
      <c r="QJ40" s="322">
        <v>17234.59</v>
      </c>
      <c r="QK40" s="322"/>
      <c r="QL40" s="322"/>
      <c r="QM40" s="322"/>
      <c r="QN40" s="334"/>
      <c r="QO40" s="322" t="s">
        <v>23</v>
      </c>
      <c r="QP40" s="322">
        <v>0</v>
      </c>
      <c r="QQ40" s="322">
        <v>0</v>
      </c>
      <c r="QR40" s="322">
        <v>0</v>
      </c>
      <c r="QS40" s="322">
        <v>9978.58</v>
      </c>
      <c r="QT40" s="322">
        <v>0</v>
      </c>
      <c r="QU40" s="322">
        <v>0</v>
      </c>
      <c r="QV40" s="322">
        <v>0</v>
      </c>
      <c r="QW40" s="322">
        <v>0</v>
      </c>
      <c r="QX40" s="322">
        <v>1556</v>
      </c>
      <c r="QY40" s="322">
        <v>8356</v>
      </c>
      <c r="QZ40" s="322">
        <v>28356</v>
      </c>
      <c r="RA40" s="322">
        <v>68783</v>
      </c>
      <c r="RB40" s="322">
        <v>13257</v>
      </c>
      <c r="RC40" s="322">
        <v>7500</v>
      </c>
      <c r="RD40" s="322">
        <v>7000</v>
      </c>
      <c r="RE40" s="322">
        <v>7000</v>
      </c>
      <c r="RF40" s="322">
        <v>7500</v>
      </c>
      <c r="RG40" s="322">
        <v>10500</v>
      </c>
      <c r="RH40" s="322">
        <v>7500</v>
      </c>
      <c r="RI40" s="322"/>
      <c r="RJ40" s="322"/>
      <c r="RK40" s="322"/>
      <c r="RL40" s="334"/>
      <c r="RM40" s="322" t="s">
        <v>23</v>
      </c>
      <c r="RN40" s="322">
        <v>60748.38</v>
      </c>
      <c r="RO40" s="322">
        <v>8231.65</v>
      </c>
      <c r="RP40" s="322">
        <v>38949.919999999998</v>
      </c>
      <c r="RQ40" s="322">
        <v>29935.74</v>
      </c>
      <c r="RR40" s="322">
        <v>30680.94</v>
      </c>
      <c r="RS40" s="322">
        <v>37018.410000000003</v>
      </c>
      <c r="RT40" s="322">
        <v>0</v>
      </c>
      <c r="RU40" s="322">
        <v>10539.71</v>
      </c>
      <c r="RV40" s="322">
        <v>31420</v>
      </c>
      <c r="RW40" s="322">
        <v>20000</v>
      </c>
      <c r="RX40" s="322">
        <v>60000</v>
      </c>
      <c r="RY40" s="322">
        <v>22327</v>
      </c>
      <c r="RZ40" s="322">
        <v>43187</v>
      </c>
      <c r="SA40" s="322">
        <v>12700</v>
      </c>
      <c r="SB40" s="322">
        <v>18000</v>
      </c>
      <c r="SC40" s="322">
        <v>22353.29</v>
      </c>
      <c r="SD40" s="322">
        <v>68148.329999999987</v>
      </c>
      <c r="SE40" s="322">
        <v>7872.78</v>
      </c>
      <c r="SF40" s="322">
        <v>12427.390000000001</v>
      </c>
      <c r="SG40" s="322"/>
      <c r="SH40" s="322"/>
      <c r="SI40" s="322"/>
    </row>
    <row r="41" spans="1:503">
      <c r="A41" s="319" t="s">
        <v>24</v>
      </c>
      <c r="B41" s="319">
        <v>952904</v>
      </c>
      <c r="C41" s="319">
        <v>970485</v>
      </c>
      <c r="D41" s="319">
        <v>1001634</v>
      </c>
      <c r="E41" s="319">
        <v>1075718</v>
      </c>
      <c r="F41" s="319">
        <v>1276573</v>
      </c>
      <c r="G41" s="319">
        <v>1123829</v>
      </c>
      <c r="H41" s="319">
        <v>1191309</v>
      </c>
      <c r="I41" s="319">
        <v>1297140</v>
      </c>
      <c r="J41" s="319">
        <v>1014629.8699999999</v>
      </c>
      <c r="K41" s="319">
        <v>1226068.05</v>
      </c>
      <c r="L41" s="319">
        <v>1277292.7199999997</v>
      </c>
      <c r="M41" s="319">
        <v>1418799.3800000001</v>
      </c>
      <c r="N41" s="319">
        <v>1527120.9100000001</v>
      </c>
      <c r="O41" s="319">
        <v>1458979.1799999997</v>
      </c>
      <c r="P41" s="319">
        <v>1371043.76</v>
      </c>
      <c r="Q41" s="319">
        <v>1331019.27</v>
      </c>
      <c r="R41" s="319">
        <v>1672253.94</v>
      </c>
      <c r="S41" s="322">
        <v>1352662.62</v>
      </c>
      <c r="T41" s="319">
        <v>1514709.56</v>
      </c>
      <c r="U41" s="319">
        <v>1427760.5299999998</v>
      </c>
      <c r="V41" s="319">
        <v>1446375.22</v>
      </c>
      <c r="W41" s="319">
        <v>1692611.44</v>
      </c>
      <c r="X41" s="330"/>
      <c r="Y41" s="319" t="s">
        <v>24</v>
      </c>
      <c r="Z41" s="319">
        <v>66703.28</v>
      </c>
      <c r="AA41" s="319">
        <v>58229.1</v>
      </c>
      <c r="AB41" s="319">
        <v>70114.38</v>
      </c>
      <c r="AC41" s="319">
        <v>75300.259999999995</v>
      </c>
      <c r="AD41" s="319">
        <v>89360.11</v>
      </c>
      <c r="AE41" s="319">
        <v>89906.32</v>
      </c>
      <c r="AF41" s="319">
        <v>78668.03</v>
      </c>
      <c r="AG41" s="319">
        <v>90799.8</v>
      </c>
      <c r="AH41" s="319">
        <v>89404.069999999992</v>
      </c>
      <c r="AI41" s="319">
        <v>90747.430000000008</v>
      </c>
      <c r="AJ41" s="319">
        <v>95782.099999999991</v>
      </c>
      <c r="AK41" s="319">
        <v>96999.46</v>
      </c>
      <c r="AL41" s="319">
        <v>96666.020000000019</v>
      </c>
      <c r="AM41" s="319">
        <v>97769.000000000015</v>
      </c>
      <c r="AN41" s="319">
        <v>94368.74</v>
      </c>
      <c r="AO41" s="319">
        <v>94521.48000000001</v>
      </c>
      <c r="AP41" s="319">
        <v>93936.72</v>
      </c>
      <c r="AQ41" s="322">
        <v>93233.25</v>
      </c>
      <c r="AR41" s="319">
        <v>94105.890000000014</v>
      </c>
      <c r="AS41" s="319">
        <v>92076.89</v>
      </c>
      <c r="AT41" s="319">
        <v>95388.49</v>
      </c>
      <c r="AU41" s="319">
        <v>96100</v>
      </c>
      <c r="AV41" s="334"/>
      <c r="AW41" s="319" t="s">
        <v>24</v>
      </c>
      <c r="AX41" s="319">
        <v>76232.320000000007</v>
      </c>
      <c r="AY41" s="319">
        <v>67933.950000000012</v>
      </c>
      <c r="AZ41" s="319">
        <v>60098.04</v>
      </c>
      <c r="BA41" s="319">
        <v>75300.260000000009</v>
      </c>
      <c r="BB41" s="319">
        <v>76594.37999999999</v>
      </c>
      <c r="BC41" s="319">
        <v>78668.030000000013</v>
      </c>
      <c r="BD41" s="319">
        <v>83391.63</v>
      </c>
      <c r="BE41" s="319">
        <v>90799.8</v>
      </c>
      <c r="BF41" s="319">
        <v>86075.069999999992</v>
      </c>
      <c r="BG41" s="319">
        <v>88701.14</v>
      </c>
      <c r="BH41" s="319">
        <v>95125.88</v>
      </c>
      <c r="BI41" s="319">
        <v>93656.91</v>
      </c>
      <c r="BJ41" s="319">
        <v>98986.75</v>
      </c>
      <c r="BK41" s="319">
        <v>103027.01999999999</v>
      </c>
      <c r="BL41" s="319">
        <v>103878.37999999999</v>
      </c>
      <c r="BM41" s="319">
        <v>102944.79000000001</v>
      </c>
      <c r="BN41" s="319">
        <v>104520.09999999999</v>
      </c>
      <c r="BO41" s="322">
        <v>108175.98000000003</v>
      </c>
      <c r="BP41" s="319">
        <v>109273.53999999998</v>
      </c>
      <c r="BQ41" s="319">
        <v>110339.31</v>
      </c>
      <c r="BR41" s="319">
        <v>110305.47</v>
      </c>
      <c r="BS41" s="319">
        <v>114467</v>
      </c>
      <c r="BT41" s="334"/>
      <c r="BU41" s="322" t="s">
        <v>24</v>
      </c>
      <c r="BV41" s="322">
        <v>28587.119999999999</v>
      </c>
      <c r="BW41" s="322">
        <v>9704.85</v>
      </c>
      <c r="BX41" s="322">
        <v>40065.360000000001</v>
      </c>
      <c r="BY41" s="322">
        <v>10757.18</v>
      </c>
      <c r="BZ41" s="322">
        <v>51062.92</v>
      </c>
      <c r="CA41" s="322">
        <v>11238.29</v>
      </c>
      <c r="CB41" s="322">
        <v>35739.269999999997</v>
      </c>
      <c r="CC41" s="322">
        <v>12971.4</v>
      </c>
      <c r="CD41" s="322">
        <v>49936.44000000001</v>
      </c>
      <c r="CE41" s="322">
        <v>70509.399999999994</v>
      </c>
      <c r="CF41" s="322">
        <v>42030.32</v>
      </c>
      <c r="CG41" s="322">
        <v>24457.940000000002</v>
      </c>
      <c r="CH41" s="322">
        <v>76649.170000000013</v>
      </c>
      <c r="CI41" s="322">
        <v>24017.089999999997</v>
      </c>
      <c r="CJ41" s="322">
        <v>66282.75</v>
      </c>
      <c r="CK41" s="322">
        <v>22417.38</v>
      </c>
      <c r="CL41" s="322">
        <v>87079.099999999991</v>
      </c>
      <c r="CM41" s="322">
        <v>37903.119999999995</v>
      </c>
      <c r="CN41" s="322">
        <v>115159.97</v>
      </c>
      <c r="CO41" s="322">
        <v>26665.080000000005</v>
      </c>
      <c r="CP41" s="322">
        <v>80722.850000000006</v>
      </c>
      <c r="CQ41" s="322">
        <v>31900</v>
      </c>
      <c r="CR41" s="334"/>
      <c r="CS41" s="322" t="s">
        <v>24</v>
      </c>
      <c r="CT41" s="322">
        <v>85761.36</v>
      </c>
      <c r="CU41" s="322">
        <v>77638.8</v>
      </c>
      <c r="CV41" s="322">
        <v>70114.38</v>
      </c>
      <c r="CW41" s="322">
        <v>75300.259999999995</v>
      </c>
      <c r="CX41" s="322">
        <v>204251.68</v>
      </c>
      <c r="CY41" s="322">
        <v>67429.740000000005</v>
      </c>
      <c r="CZ41" s="322">
        <v>47652.36</v>
      </c>
      <c r="DA41" s="322">
        <v>51885.599999999999</v>
      </c>
      <c r="DB41" s="322">
        <v>55596.36</v>
      </c>
      <c r="DC41" s="322">
        <v>72493</v>
      </c>
      <c r="DD41" s="322">
        <v>86565.69</v>
      </c>
      <c r="DE41" s="322">
        <v>67625.789999999994</v>
      </c>
      <c r="DF41" s="322">
        <v>98285.510000000009</v>
      </c>
      <c r="DG41" s="322">
        <v>123567.96</v>
      </c>
      <c r="DH41" s="322">
        <v>94042.329999999987</v>
      </c>
      <c r="DI41" s="322">
        <v>91993.68</v>
      </c>
      <c r="DJ41" s="322">
        <v>97851.65</v>
      </c>
      <c r="DK41" s="322">
        <v>105466.20000000003</v>
      </c>
      <c r="DL41" s="322">
        <v>105109.48999999999</v>
      </c>
      <c r="DM41" s="322">
        <v>103652.85</v>
      </c>
      <c r="DN41" s="322">
        <v>114476.16000000002</v>
      </c>
      <c r="DO41" s="322">
        <v>136522</v>
      </c>
      <c r="DP41" s="334"/>
      <c r="DQ41" s="322" t="s">
        <v>24</v>
      </c>
      <c r="DR41" s="322">
        <v>76232.320000000007</v>
      </c>
      <c r="DS41" s="322">
        <v>87343.65</v>
      </c>
      <c r="DT41" s="322">
        <v>40065.360000000001</v>
      </c>
      <c r="DU41" s="322">
        <v>75300.259999999995</v>
      </c>
      <c r="DV41" s="322">
        <v>63828.65</v>
      </c>
      <c r="DW41" s="322">
        <v>89906.32</v>
      </c>
      <c r="DX41" s="322">
        <v>107217.81</v>
      </c>
      <c r="DY41" s="322">
        <v>103771.2</v>
      </c>
      <c r="DZ41" s="322">
        <v>140954.82</v>
      </c>
      <c r="EA41" s="322">
        <v>158620.95000000001</v>
      </c>
      <c r="EB41" s="322">
        <v>168934.87</v>
      </c>
      <c r="EC41" s="322">
        <v>173052.64</v>
      </c>
      <c r="ED41" s="322">
        <v>199728.88</v>
      </c>
      <c r="EE41" s="322">
        <v>219558.32</v>
      </c>
      <c r="EF41" s="322">
        <v>247432.24999999997</v>
      </c>
      <c r="EG41" s="322">
        <v>270833.14</v>
      </c>
      <c r="EH41" s="322">
        <v>229554.51</v>
      </c>
      <c r="EI41" s="322">
        <v>145600</v>
      </c>
      <c r="EJ41" s="322">
        <v>124891.75</v>
      </c>
      <c r="EK41" s="322">
        <v>124389.62</v>
      </c>
      <c r="EL41" s="322">
        <v>149074.25</v>
      </c>
      <c r="EM41" s="322">
        <v>182700</v>
      </c>
      <c r="EN41" s="334"/>
      <c r="EO41" s="322" t="s">
        <v>24</v>
      </c>
      <c r="EP41" s="322">
        <v>28587.119999999999</v>
      </c>
      <c r="EQ41" s="322">
        <v>29114.55</v>
      </c>
      <c r="ER41" s="322">
        <v>30049.02</v>
      </c>
      <c r="ES41" s="322">
        <v>43028.72</v>
      </c>
      <c r="ET41" s="322">
        <v>38297.19</v>
      </c>
      <c r="EU41" s="322">
        <v>33714.870000000003</v>
      </c>
      <c r="EV41" s="322">
        <v>35739.269999999997</v>
      </c>
      <c r="EW41" s="322">
        <v>38914.199999999997</v>
      </c>
      <c r="EX41" s="322">
        <v>33047.83</v>
      </c>
      <c r="EY41" s="322">
        <v>32434.720000000001</v>
      </c>
      <c r="EZ41" s="322">
        <v>34137.550000000003</v>
      </c>
      <c r="FA41" s="322">
        <v>47419.45</v>
      </c>
      <c r="FB41" s="322">
        <v>46437.43</v>
      </c>
      <c r="FC41" s="322">
        <v>48259.79</v>
      </c>
      <c r="FD41" s="322">
        <v>46109.13</v>
      </c>
      <c r="FE41" s="322">
        <v>45228.619999999995</v>
      </c>
      <c r="FF41" s="322">
        <v>46284.68</v>
      </c>
      <c r="FG41" s="322">
        <v>47150.94</v>
      </c>
      <c r="FH41" s="322">
        <v>46006.28</v>
      </c>
      <c r="FI41" s="322">
        <v>47504.23</v>
      </c>
      <c r="FJ41" s="322">
        <v>46330.669999999991</v>
      </c>
      <c r="FK41" s="322">
        <v>48310</v>
      </c>
      <c r="FL41" s="334"/>
      <c r="FM41" s="322" t="s">
        <v>24</v>
      </c>
      <c r="FN41" s="322">
        <v>66703.28</v>
      </c>
      <c r="FO41" s="322">
        <v>67933.95</v>
      </c>
      <c r="FP41" s="322">
        <v>70114.38</v>
      </c>
      <c r="FQ41" s="322">
        <v>53785.9</v>
      </c>
      <c r="FR41" s="322">
        <v>63828.65</v>
      </c>
      <c r="FS41" s="322">
        <v>67429.740000000005</v>
      </c>
      <c r="FT41" s="322">
        <v>59565.45</v>
      </c>
      <c r="FU41" s="322">
        <v>64857</v>
      </c>
      <c r="FV41" s="322">
        <v>72653.740000000005</v>
      </c>
      <c r="FW41" s="322">
        <v>71361.159999999989</v>
      </c>
      <c r="FX41" s="322">
        <v>73071.25</v>
      </c>
      <c r="FY41" s="322">
        <v>80862.650000000023</v>
      </c>
      <c r="FZ41" s="322">
        <v>84110.430000000008</v>
      </c>
      <c r="GA41" s="322">
        <v>85521.89999999998</v>
      </c>
      <c r="GB41" s="322">
        <v>89775.049999999988</v>
      </c>
      <c r="GC41" s="322">
        <v>87128.029999999984</v>
      </c>
      <c r="GD41" s="322">
        <v>87598.67</v>
      </c>
      <c r="GE41" s="322">
        <v>89390.640000000014</v>
      </c>
      <c r="GF41" s="340">
        <v>88120.25</v>
      </c>
      <c r="GG41" s="704">
        <v>94544.17</v>
      </c>
      <c r="GH41" s="704">
        <v>91535.13</v>
      </c>
      <c r="GI41" s="704">
        <v>102954</v>
      </c>
      <c r="GJ41" s="334"/>
      <c r="GK41" s="322" t="s">
        <v>24</v>
      </c>
      <c r="GL41" s="322">
        <v>19058.080000000002</v>
      </c>
      <c r="GM41" s="322">
        <v>19409.7</v>
      </c>
      <c r="GN41" s="322">
        <v>20032.68</v>
      </c>
      <c r="GO41" s="322">
        <v>21514.36</v>
      </c>
      <c r="GP41" s="322">
        <v>25531.46</v>
      </c>
      <c r="GQ41" s="322">
        <v>22476.58</v>
      </c>
      <c r="GR41" s="322">
        <v>23826.18</v>
      </c>
      <c r="GS41" s="322">
        <v>25942.799999999999</v>
      </c>
      <c r="GT41" s="322">
        <v>30372.090000000004</v>
      </c>
      <c r="GU41" s="322">
        <v>28760.85</v>
      </c>
      <c r="GV41" s="322">
        <v>29830.45</v>
      </c>
      <c r="GW41" s="322">
        <v>51954.32</v>
      </c>
      <c r="GX41" s="322">
        <v>53813.14</v>
      </c>
      <c r="GY41" s="322">
        <v>53127.299999999988</v>
      </c>
      <c r="GZ41" s="322">
        <v>54780.649999999994</v>
      </c>
      <c r="HA41" s="322">
        <v>52971.12999999999</v>
      </c>
      <c r="HB41" s="322">
        <v>57846.49</v>
      </c>
      <c r="HC41" s="322">
        <v>50781.36</v>
      </c>
      <c r="HD41" s="322">
        <v>62641.86</v>
      </c>
      <c r="HE41" s="322">
        <v>59042.489999999991</v>
      </c>
      <c r="HF41" s="322">
        <v>59971.02</v>
      </c>
      <c r="HG41" s="322">
        <v>59850</v>
      </c>
      <c r="HH41" s="334"/>
      <c r="HI41" s="322" t="s">
        <v>24</v>
      </c>
      <c r="HJ41" s="322">
        <v>19058.080000000002</v>
      </c>
      <c r="HK41" s="322">
        <v>19409.7</v>
      </c>
      <c r="HL41" s="322">
        <v>10016.34</v>
      </c>
      <c r="HM41" s="322">
        <v>10757.18</v>
      </c>
      <c r="HN41" s="322">
        <v>12765.73</v>
      </c>
      <c r="HO41" s="322">
        <v>11238.29</v>
      </c>
      <c r="HP41" s="322">
        <v>11913.09</v>
      </c>
      <c r="HQ41" s="322">
        <v>12971.4</v>
      </c>
      <c r="HR41" s="322">
        <v>13468.130000000001</v>
      </c>
      <c r="HS41" s="322">
        <v>13011.220000000001</v>
      </c>
      <c r="HT41" s="322">
        <v>21993.07</v>
      </c>
      <c r="HU41" s="322">
        <v>15883.18</v>
      </c>
      <c r="HV41" s="322">
        <v>15390.43</v>
      </c>
      <c r="HW41" s="322">
        <v>14779.880000000001</v>
      </c>
      <c r="HX41" s="322">
        <v>31024.029999999995</v>
      </c>
      <c r="HY41" s="322">
        <v>28803.879999999997</v>
      </c>
      <c r="HZ41" s="322">
        <v>33794.69</v>
      </c>
      <c r="IA41" s="322">
        <v>34084.5</v>
      </c>
      <c r="IB41" s="322">
        <v>33069.979999999996</v>
      </c>
      <c r="IC41" s="322">
        <v>33985.64</v>
      </c>
      <c r="ID41" s="322">
        <v>29890.959999999999</v>
      </c>
      <c r="IE41" s="322">
        <v>91916</v>
      </c>
      <c r="IF41" s="334"/>
      <c r="IG41" s="322" t="s">
        <v>24</v>
      </c>
      <c r="IH41" s="322">
        <v>9529.0400000000009</v>
      </c>
      <c r="II41" s="322">
        <v>9704.85</v>
      </c>
      <c r="IJ41" s="322">
        <v>10016.34</v>
      </c>
      <c r="IK41" s="322">
        <v>10757.18</v>
      </c>
      <c r="IL41" s="322">
        <v>12765.73</v>
      </c>
      <c r="IM41" s="322">
        <v>11238.29</v>
      </c>
      <c r="IN41" s="322">
        <v>11913.09</v>
      </c>
      <c r="IO41" s="322">
        <v>12971.4</v>
      </c>
      <c r="IP41" s="322">
        <v>16207.76</v>
      </c>
      <c r="IQ41" s="322">
        <v>15010.68</v>
      </c>
      <c r="IR41" s="322">
        <v>13468.93</v>
      </c>
      <c r="IS41" s="322">
        <v>13542.859999999999</v>
      </c>
      <c r="IT41" s="322">
        <v>11193.73</v>
      </c>
      <c r="IU41" s="322">
        <v>11595.980000000001</v>
      </c>
      <c r="IV41" s="322"/>
      <c r="IW41" s="322"/>
      <c r="IX41" s="322"/>
      <c r="IY41" s="322"/>
      <c r="IZ41" s="322"/>
      <c r="JA41" s="322"/>
      <c r="JB41" s="322"/>
      <c r="JC41" s="322"/>
      <c r="JD41" s="334"/>
      <c r="JE41" s="322" t="s">
        <v>24</v>
      </c>
      <c r="JF41" s="322">
        <v>9529.0400000000009</v>
      </c>
      <c r="JG41" s="322">
        <v>9704.85</v>
      </c>
      <c r="JH41" s="322">
        <v>10016.34</v>
      </c>
      <c r="JI41" s="322">
        <v>10757.18</v>
      </c>
      <c r="JJ41" s="322">
        <v>12765.73</v>
      </c>
      <c r="JK41" s="322">
        <v>11238.29</v>
      </c>
      <c r="JL41" s="322">
        <v>11913.09</v>
      </c>
      <c r="JM41" s="322">
        <v>0</v>
      </c>
      <c r="JN41" s="322">
        <v>17519.439999999999</v>
      </c>
      <c r="JO41" s="322">
        <v>12579.62</v>
      </c>
      <c r="JP41" s="322">
        <v>13524.68</v>
      </c>
      <c r="JQ41" s="322">
        <v>9292.4</v>
      </c>
      <c r="JR41" s="322">
        <v>6829.0199999999995</v>
      </c>
      <c r="JS41" s="322">
        <v>7573.0399999999991</v>
      </c>
      <c r="JT41" s="322">
        <v>7958.5300000000007</v>
      </c>
      <c r="JU41" s="322">
        <v>8772.3799999999992</v>
      </c>
      <c r="JV41" s="322">
        <v>4464.58</v>
      </c>
      <c r="JW41" s="322">
        <v>2591.8399999999997</v>
      </c>
      <c r="JX41" s="322">
        <v>3085.86</v>
      </c>
      <c r="JY41" s="322">
        <v>2769.9</v>
      </c>
      <c r="JZ41" s="322">
        <v>2971.6899999999996</v>
      </c>
      <c r="KA41" s="322">
        <v>5379</v>
      </c>
      <c r="KB41" s="334"/>
      <c r="KC41" s="322" t="s">
        <v>24</v>
      </c>
      <c r="KD41" s="322">
        <v>9529.0400000000009</v>
      </c>
      <c r="KE41" s="322">
        <v>19409.7</v>
      </c>
      <c r="KF41" s="322">
        <v>20032.68</v>
      </c>
      <c r="KG41" s="322">
        <v>21514.36</v>
      </c>
      <c r="KH41" s="322">
        <v>25531.46</v>
      </c>
      <c r="KI41" s="322">
        <v>33714.870000000003</v>
      </c>
      <c r="KJ41" s="322">
        <v>23826.18</v>
      </c>
      <c r="KK41" s="322">
        <v>38914.199999999997</v>
      </c>
      <c r="KL41" s="322">
        <v>29135.449999999997</v>
      </c>
      <c r="KM41" s="322">
        <v>41686.51</v>
      </c>
      <c r="KN41" s="322">
        <v>41881.519999999997</v>
      </c>
      <c r="KO41" s="322">
        <v>44762.929999999993</v>
      </c>
      <c r="KP41" s="322">
        <v>42779.58</v>
      </c>
      <c r="KQ41" s="322">
        <v>46950.34</v>
      </c>
      <c r="KR41" s="322">
        <v>47281.34</v>
      </c>
      <c r="KS41" s="322">
        <v>47646.65</v>
      </c>
      <c r="KT41" s="322">
        <v>46123.310000000005</v>
      </c>
      <c r="KU41" s="322">
        <v>51132.070000000007</v>
      </c>
      <c r="KV41" s="322">
        <v>48950.549999999996</v>
      </c>
      <c r="KW41" s="322">
        <v>51789.640000000007</v>
      </c>
      <c r="KX41" s="322">
        <v>58585.079999999994</v>
      </c>
      <c r="KY41" s="322">
        <v>60640</v>
      </c>
      <c r="KZ41" s="334"/>
      <c r="LA41" s="322" t="s">
        <v>24</v>
      </c>
      <c r="LB41" s="322">
        <v>47645.2</v>
      </c>
      <c r="LC41" s="322">
        <v>48524.25</v>
      </c>
      <c r="LD41" s="322">
        <v>70114.38</v>
      </c>
      <c r="LE41" s="322">
        <v>75300.259999999995</v>
      </c>
      <c r="LF41" s="322">
        <v>114891.57</v>
      </c>
      <c r="LG41" s="322">
        <v>89906.32</v>
      </c>
      <c r="LH41" s="322">
        <v>83391.63</v>
      </c>
      <c r="LI41" s="322">
        <v>155656.79999999999</v>
      </c>
      <c r="LJ41" s="322">
        <v>164241.91999999998</v>
      </c>
      <c r="LK41" s="322">
        <v>303207.31</v>
      </c>
      <c r="LL41" s="322">
        <v>213932.63999999998</v>
      </c>
      <c r="LM41" s="322">
        <v>285364.66000000003</v>
      </c>
      <c r="LN41" s="322">
        <v>337239.06</v>
      </c>
      <c r="LO41" s="322">
        <v>254237.21999999997</v>
      </c>
      <c r="LP41" s="322">
        <v>185061.16</v>
      </c>
      <c r="LQ41" s="322">
        <v>132431.72</v>
      </c>
      <c r="LR41" s="322">
        <v>200405.13999999998</v>
      </c>
      <c r="LS41" s="322">
        <v>108592.76999999999</v>
      </c>
      <c r="LT41" s="322">
        <v>151807.18</v>
      </c>
      <c r="LU41" s="322">
        <v>167889.97</v>
      </c>
      <c r="LV41" s="322">
        <v>202606.6</v>
      </c>
      <c r="LW41" s="322">
        <v>303640</v>
      </c>
      <c r="LX41" s="334"/>
      <c r="LY41" s="322" t="s">
        <v>24</v>
      </c>
      <c r="LZ41" s="322">
        <v>190580.8</v>
      </c>
      <c r="MA41" s="322">
        <v>203801.85</v>
      </c>
      <c r="MB41" s="322">
        <v>200326.8</v>
      </c>
      <c r="MC41" s="322">
        <v>225900.78</v>
      </c>
      <c r="MD41" s="322">
        <v>229783.14</v>
      </c>
      <c r="ME41" s="322">
        <v>236004.09</v>
      </c>
      <c r="MF41" s="322">
        <v>226348.71</v>
      </c>
      <c r="MG41" s="322">
        <v>272399.40000000002</v>
      </c>
      <c r="MH41" s="322">
        <v>0</v>
      </c>
      <c r="MI41" s="322">
        <v>0</v>
      </c>
      <c r="MJ41" s="322">
        <v>0</v>
      </c>
      <c r="MK41" s="322">
        <v>0</v>
      </c>
      <c r="ML41" s="322">
        <v>0</v>
      </c>
      <c r="MM41" s="322">
        <v>0</v>
      </c>
      <c r="MN41" s="322">
        <v>0</v>
      </c>
      <c r="MO41" s="322">
        <v>0</v>
      </c>
      <c r="MP41" s="322">
        <v>0</v>
      </c>
      <c r="MQ41" s="322">
        <v>0</v>
      </c>
      <c r="MR41" s="322">
        <v>0</v>
      </c>
      <c r="MS41" s="322">
        <v>0</v>
      </c>
      <c r="MT41" s="322">
        <v>0</v>
      </c>
      <c r="MU41" s="322">
        <v>0</v>
      </c>
      <c r="MV41" s="334"/>
      <c r="MW41" s="322" t="s">
        <v>24</v>
      </c>
      <c r="MX41" s="322">
        <v>76232.320000000007</v>
      </c>
      <c r="MY41" s="322">
        <v>97048.5</v>
      </c>
      <c r="MZ41" s="322">
        <v>110179.74</v>
      </c>
      <c r="NA41" s="322">
        <v>118328.98</v>
      </c>
      <c r="NB41" s="322">
        <v>114891.57</v>
      </c>
      <c r="NC41" s="322">
        <v>112382.9</v>
      </c>
      <c r="ND41" s="322">
        <v>119130.9</v>
      </c>
      <c r="NE41" s="322">
        <v>155656.79999999999</v>
      </c>
      <c r="NF41" s="322">
        <v>0</v>
      </c>
      <c r="NG41" s="322">
        <v>0</v>
      </c>
      <c r="NH41" s="322">
        <v>0</v>
      </c>
      <c r="NI41" s="322">
        <v>0</v>
      </c>
      <c r="NJ41" s="322">
        <v>0</v>
      </c>
      <c r="NK41" s="322">
        <v>0</v>
      </c>
      <c r="NL41" s="322">
        <v>0</v>
      </c>
      <c r="NM41" s="322">
        <v>0</v>
      </c>
      <c r="NN41" s="322">
        <v>0</v>
      </c>
      <c r="NO41" s="322">
        <v>0</v>
      </c>
      <c r="NP41" s="322">
        <v>0</v>
      </c>
      <c r="NQ41" s="322">
        <v>0</v>
      </c>
      <c r="NR41" s="322">
        <v>0</v>
      </c>
      <c r="NS41" s="322">
        <v>0</v>
      </c>
      <c r="NT41" s="334"/>
      <c r="NU41" s="322" t="s">
        <v>24</v>
      </c>
      <c r="NV41" s="322">
        <v>76232.320000000007</v>
      </c>
      <c r="NW41" s="322">
        <v>77638.8</v>
      </c>
      <c r="NX41" s="322">
        <v>90147.06</v>
      </c>
      <c r="NY41" s="322">
        <v>96814.62</v>
      </c>
      <c r="NZ41" s="322">
        <v>102125.84</v>
      </c>
      <c r="OA41" s="322">
        <v>101144.61</v>
      </c>
      <c r="OB41" s="322">
        <v>107217.81</v>
      </c>
      <c r="OC41" s="322">
        <v>116742.6</v>
      </c>
      <c r="OD41" s="322">
        <v>122629.99</v>
      </c>
      <c r="OE41" s="322">
        <v>134960.16999999998</v>
      </c>
      <c r="OF41" s="322">
        <v>147741.31000000003</v>
      </c>
      <c r="OG41" s="322">
        <v>135981.29</v>
      </c>
      <c r="OH41" s="322">
        <v>148983.27000000002</v>
      </c>
      <c r="OI41" s="322">
        <v>160300.25999999995</v>
      </c>
      <c r="OJ41" s="322">
        <v>161589.38</v>
      </c>
      <c r="OK41" s="322">
        <v>229337.42</v>
      </c>
      <c r="OL41" s="322">
        <v>229291.47999999995</v>
      </c>
      <c r="OM41" s="322">
        <v>243286.97</v>
      </c>
      <c r="ON41" s="322">
        <v>247505.81</v>
      </c>
      <c r="OO41" s="322">
        <v>258960.25</v>
      </c>
      <c r="OP41" s="322">
        <v>277853.05000000005</v>
      </c>
      <c r="OQ41" s="322">
        <v>283963</v>
      </c>
      <c r="OR41" s="334"/>
      <c r="OS41" s="322" t="s">
        <v>24</v>
      </c>
      <c r="OT41" s="322">
        <v>38116.160000000003</v>
      </c>
      <c r="OU41" s="322">
        <v>48524.25</v>
      </c>
      <c r="OV41" s="322">
        <v>50081.7</v>
      </c>
      <c r="OW41" s="322">
        <v>43028.72</v>
      </c>
      <c r="OX41" s="322">
        <v>25531.46</v>
      </c>
      <c r="OY41" s="322">
        <v>22476.58</v>
      </c>
      <c r="OZ41" s="322">
        <v>35739.269999999997</v>
      </c>
      <c r="PA41" s="322">
        <v>25942.799999999999</v>
      </c>
      <c r="PB41" s="322">
        <v>32667.74</v>
      </c>
      <c r="PC41" s="322">
        <v>39410.15</v>
      </c>
      <c r="PD41" s="322">
        <v>43872.94</v>
      </c>
      <c r="PE41" s="322">
        <v>44371.47</v>
      </c>
      <c r="PF41" s="322">
        <v>56021.86</v>
      </c>
      <c r="PG41" s="322">
        <v>50090.26</v>
      </c>
      <c r="PH41" s="322">
        <v>51236.17</v>
      </c>
      <c r="PI41" s="322">
        <v>46642.96</v>
      </c>
      <c r="PJ41" s="322">
        <v>46849.87</v>
      </c>
      <c r="PK41" s="322">
        <v>48918.879999999997</v>
      </c>
      <c r="PL41" s="322">
        <v>58558.71</v>
      </c>
      <c r="PM41" s="322">
        <v>50287.5</v>
      </c>
      <c r="PN41" s="322">
        <v>57695.44</v>
      </c>
      <c r="PO41" s="322">
        <v>57695.44</v>
      </c>
      <c r="PP41" s="334"/>
      <c r="PQ41" s="322" t="s">
        <v>24</v>
      </c>
      <c r="PR41" s="322">
        <v>9529.0400000000009</v>
      </c>
      <c r="PS41" s="322">
        <v>9704.85</v>
      </c>
      <c r="PT41" s="322">
        <v>10016.34</v>
      </c>
      <c r="PU41" s="322">
        <v>10757.18</v>
      </c>
      <c r="PV41" s="322">
        <v>12765.73</v>
      </c>
      <c r="PW41" s="322">
        <v>11238.29</v>
      </c>
      <c r="PX41" s="322">
        <v>23826.18</v>
      </c>
      <c r="PY41" s="322">
        <v>25942.799999999999</v>
      </c>
      <c r="PZ41" s="322">
        <v>20033.740000000002</v>
      </c>
      <c r="QA41" s="322">
        <v>21408.240000000002</v>
      </c>
      <c r="QB41" s="322">
        <v>21342.959999999995</v>
      </c>
      <c r="QC41" s="322">
        <v>23085.43</v>
      </c>
      <c r="QD41" s="322">
        <v>25756.63</v>
      </c>
      <c r="QE41" s="322">
        <v>33407.65</v>
      </c>
      <c r="QF41" s="322">
        <v>32932.130000000005</v>
      </c>
      <c r="QG41" s="322">
        <v>30346.01</v>
      </c>
      <c r="QH41" s="322">
        <v>24295.050000000003</v>
      </c>
      <c r="QI41" s="322">
        <v>22354.1</v>
      </c>
      <c r="QJ41" s="322">
        <v>29230.5</v>
      </c>
      <c r="QK41" s="322">
        <v>24862.99</v>
      </c>
      <c r="QL41" s="322">
        <v>29968.359999999997</v>
      </c>
      <c r="QM41" s="322">
        <v>33175</v>
      </c>
      <c r="QN41" s="334"/>
      <c r="QO41" s="322" t="s">
        <v>24</v>
      </c>
      <c r="QP41" s="322">
        <v>0</v>
      </c>
      <c r="QQ41" s="322">
        <v>0</v>
      </c>
      <c r="QR41" s="322">
        <v>0</v>
      </c>
      <c r="QS41" s="322">
        <v>0</v>
      </c>
      <c r="QT41" s="322">
        <v>0</v>
      </c>
      <c r="QU41" s="322">
        <v>0</v>
      </c>
      <c r="QV41" s="322">
        <v>0</v>
      </c>
      <c r="QW41" s="322">
        <v>0</v>
      </c>
      <c r="QX41" s="322">
        <v>0</v>
      </c>
      <c r="QY41" s="322">
        <v>0</v>
      </c>
      <c r="QZ41" s="322">
        <v>0</v>
      </c>
      <c r="RA41" s="322">
        <v>0</v>
      </c>
      <c r="RB41" s="322">
        <v>0</v>
      </c>
      <c r="RC41" s="322">
        <v>0</v>
      </c>
      <c r="RD41" s="322">
        <v>0</v>
      </c>
      <c r="RE41" s="322">
        <v>0</v>
      </c>
      <c r="RF41" s="322">
        <v>0</v>
      </c>
      <c r="RG41" s="322">
        <v>0</v>
      </c>
      <c r="RH41" s="322">
        <v>0</v>
      </c>
      <c r="RI41" s="322">
        <v>0</v>
      </c>
      <c r="RJ41" s="322">
        <v>0</v>
      </c>
      <c r="RK41" s="322">
        <v>0</v>
      </c>
      <c r="RL41" s="334"/>
      <c r="RM41" s="322" t="s">
        <v>24</v>
      </c>
      <c r="RN41" s="322">
        <v>19058.080000000002</v>
      </c>
      <c r="RO41" s="322">
        <v>9704.85</v>
      </c>
      <c r="RP41" s="322">
        <v>20032.68</v>
      </c>
      <c r="RQ41" s="322">
        <v>21514.36</v>
      </c>
      <c r="RR41" s="322">
        <v>0</v>
      </c>
      <c r="RS41" s="322">
        <v>22476.58</v>
      </c>
      <c r="RT41" s="322">
        <v>59565.45</v>
      </c>
      <c r="RU41" s="322">
        <v>0</v>
      </c>
      <c r="RV41" s="322">
        <v>40685.279999999999</v>
      </c>
      <c r="RW41" s="322">
        <v>31165.5</v>
      </c>
      <c r="RX41" s="322">
        <v>134056.56</v>
      </c>
      <c r="RY41" s="322">
        <v>210486</v>
      </c>
      <c r="RZ41" s="322">
        <v>128250</v>
      </c>
      <c r="SA41" s="322">
        <v>102368</v>
      </c>
      <c r="SB41" s="322">
        <v>57291.740000000005</v>
      </c>
      <c r="SC41" s="322">
        <v>39000</v>
      </c>
      <c r="SD41" s="322">
        <v>39000</v>
      </c>
      <c r="SE41" s="322">
        <v>164000</v>
      </c>
      <c r="SF41" s="322">
        <v>169000</v>
      </c>
      <c r="SG41" s="322">
        <v>179000</v>
      </c>
      <c r="SH41" s="322">
        <v>39000</v>
      </c>
      <c r="SI41" s="322">
        <v>39000</v>
      </c>
    </row>
    <row r="42" spans="1:503">
      <c r="A42" s="319" t="s">
        <v>25</v>
      </c>
      <c r="B42" s="319">
        <v>876604</v>
      </c>
      <c r="C42" s="319">
        <v>897649</v>
      </c>
      <c r="D42" s="319">
        <v>1030241</v>
      </c>
      <c r="E42" s="319">
        <v>1129511</v>
      </c>
      <c r="F42" s="319">
        <v>1217165</v>
      </c>
      <c r="G42" s="319">
        <v>1285387</v>
      </c>
      <c r="H42" s="319">
        <v>1422457</v>
      </c>
      <c r="I42" s="319">
        <v>1501953</v>
      </c>
      <c r="J42" s="319">
        <v>1726493.46</v>
      </c>
      <c r="K42" s="319">
        <v>1659223.1900000002</v>
      </c>
      <c r="L42" s="319">
        <v>1569143.35</v>
      </c>
      <c r="M42" s="319">
        <v>1567291.31</v>
      </c>
      <c r="N42" s="319">
        <v>1649614.6800000002</v>
      </c>
      <c r="O42" s="319">
        <v>1628139.66</v>
      </c>
      <c r="P42" s="319">
        <v>1631478.86</v>
      </c>
      <c r="Q42" s="319">
        <v>1650316.23</v>
      </c>
      <c r="R42" s="319">
        <v>1578669.83</v>
      </c>
      <c r="S42" s="322">
        <v>1556946.65</v>
      </c>
      <c r="T42" s="319">
        <v>1653872.9699999997</v>
      </c>
      <c r="U42" s="319">
        <v>1727994.69</v>
      </c>
      <c r="V42" s="319">
        <v>1824525.1300000004</v>
      </c>
      <c r="W42" s="319">
        <v>1893068.06</v>
      </c>
      <c r="X42" s="330"/>
      <c r="Y42" s="319" t="s">
        <v>25</v>
      </c>
      <c r="Z42" s="319">
        <v>35064.160000000003</v>
      </c>
      <c r="AA42" s="319">
        <v>35905.96</v>
      </c>
      <c r="AB42" s="319">
        <v>41209.64</v>
      </c>
      <c r="AC42" s="319">
        <v>67770.66</v>
      </c>
      <c r="AD42" s="319">
        <v>60858.25</v>
      </c>
      <c r="AE42" s="319">
        <v>64269.35</v>
      </c>
      <c r="AF42" s="319">
        <v>64269.35</v>
      </c>
      <c r="AG42" s="319">
        <v>75097.649999999994</v>
      </c>
      <c r="AH42" s="319">
        <v>69742.240000000005</v>
      </c>
      <c r="AI42" s="319">
        <v>73577.16</v>
      </c>
      <c r="AJ42" s="319">
        <v>74293.72</v>
      </c>
      <c r="AK42" s="319">
        <v>73504.73</v>
      </c>
      <c r="AL42" s="319">
        <v>73394.33</v>
      </c>
      <c r="AM42" s="319">
        <v>78366.849999999991</v>
      </c>
      <c r="AN42" s="319">
        <v>78344.260000000009</v>
      </c>
      <c r="AO42" s="319">
        <v>83318.930000000008</v>
      </c>
      <c r="AP42" s="319">
        <v>80355.64</v>
      </c>
      <c r="AQ42" s="322">
        <v>84255.93</v>
      </c>
      <c r="AR42" s="319">
        <v>83885.099999999991</v>
      </c>
      <c r="AS42" s="319">
        <v>83291.05</v>
      </c>
      <c r="AT42" s="319">
        <v>83318.55</v>
      </c>
      <c r="AU42" s="319">
        <v>83830</v>
      </c>
      <c r="AV42" s="334"/>
      <c r="AW42" s="319" t="s">
        <v>25</v>
      </c>
      <c r="AX42" s="319">
        <v>52596.24</v>
      </c>
      <c r="AY42" s="319">
        <v>53858.939999999995</v>
      </c>
      <c r="AZ42" s="319">
        <v>61814.46</v>
      </c>
      <c r="BA42" s="319">
        <v>56475.55</v>
      </c>
      <c r="BB42" s="319">
        <v>60858.25</v>
      </c>
      <c r="BC42" s="319">
        <v>64269.350000000006</v>
      </c>
      <c r="BD42" s="319">
        <v>71122.850000000006</v>
      </c>
      <c r="BE42" s="319">
        <v>75097.650000000009</v>
      </c>
      <c r="BF42" s="319">
        <v>71507.539999999994</v>
      </c>
      <c r="BG42" s="319">
        <v>73973.17</v>
      </c>
      <c r="BH42" s="319">
        <v>75344.12000000001</v>
      </c>
      <c r="BI42" s="319">
        <v>64689.9</v>
      </c>
      <c r="BJ42" s="319">
        <v>66678.820000000007</v>
      </c>
      <c r="BK42" s="319">
        <v>67428</v>
      </c>
      <c r="BL42" s="319">
        <v>71608.05</v>
      </c>
      <c r="BM42" s="319">
        <v>63685.440000000002</v>
      </c>
      <c r="BN42" s="319">
        <v>63462.239999999998</v>
      </c>
      <c r="BO42" s="322">
        <v>66102.13</v>
      </c>
      <c r="BP42" s="319">
        <v>66765.59</v>
      </c>
      <c r="BQ42" s="319">
        <v>67186.679999999993</v>
      </c>
      <c r="BR42" s="319">
        <v>64054.95</v>
      </c>
      <c r="BS42" s="319">
        <v>71620</v>
      </c>
      <c r="BT42" s="334"/>
      <c r="BU42" s="322" t="s">
        <v>25</v>
      </c>
      <c r="BV42" s="322">
        <v>35064.160000000003</v>
      </c>
      <c r="BW42" s="322">
        <v>0</v>
      </c>
      <c r="BX42" s="322">
        <v>41209.64</v>
      </c>
      <c r="BY42" s="322">
        <v>0</v>
      </c>
      <c r="BZ42" s="322">
        <v>36514.949999999997</v>
      </c>
      <c r="CA42" s="322">
        <v>0</v>
      </c>
      <c r="CB42" s="322">
        <v>42673.71</v>
      </c>
      <c r="CC42" s="322">
        <v>0</v>
      </c>
      <c r="CD42" s="322">
        <v>50717.71</v>
      </c>
      <c r="CE42" s="322">
        <v>77669.039999999994</v>
      </c>
      <c r="CF42" s="322">
        <v>56952.49</v>
      </c>
      <c r="CG42" s="322">
        <v>4614.43</v>
      </c>
      <c r="CH42" s="322">
        <v>64195.01</v>
      </c>
      <c r="CI42" s="322">
        <v>5218.5399999999991</v>
      </c>
      <c r="CJ42" s="322">
        <v>66196.02</v>
      </c>
      <c r="CK42" s="322">
        <v>19618.75</v>
      </c>
      <c r="CL42" s="322">
        <v>59081.739999999991</v>
      </c>
      <c r="CM42" s="322">
        <v>29381.439999999999</v>
      </c>
      <c r="CN42" s="322">
        <v>80298.450000000012</v>
      </c>
      <c r="CO42" s="322">
        <v>42108.88</v>
      </c>
      <c r="CP42" s="322">
        <v>97517.21</v>
      </c>
      <c r="CQ42" s="322">
        <v>51434</v>
      </c>
      <c r="CR42" s="334"/>
      <c r="CS42" s="322" t="s">
        <v>25</v>
      </c>
      <c r="CT42" s="322">
        <v>52596.24</v>
      </c>
      <c r="CU42" s="322">
        <v>53858.94</v>
      </c>
      <c r="CV42" s="322">
        <v>51512.05</v>
      </c>
      <c r="CW42" s="322">
        <v>67770.66</v>
      </c>
      <c r="CX42" s="322">
        <v>60858.25</v>
      </c>
      <c r="CY42" s="322">
        <v>77123.22</v>
      </c>
      <c r="CZ42" s="322">
        <v>56898.28</v>
      </c>
      <c r="DA42" s="322">
        <v>45058.59</v>
      </c>
      <c r="DB42" s="322">
        <v>48456.119999999995</v>
      </c>
      <c r="DC42" s="322">
        <v>76308.37</v>
      </c>
      <c r="DD42" s="322">
        <v>51004.520000000004</v>
      </c>
      <c r="DE42" s="322">
        <v>88626.12</v>
      </c>
      <c r="DF42" s="322">
        <v>107240.55</v>
      </c>
      <c r="DG42" s="322">
        <v>75061.349999999991</v>
      </c>
      <c r="DH42" s="322">
        <v>72622.200000000012</v>
      </c>
      <c r="DI42" s="322">
        <v>69256.320000000007</v>
      </c>
      <c r="DJ42" s="322">
        <v>57422.740000000005</v>
      </c>
      <c r="DK42" s="322">
        <v>51241.700000000004</v>
      </c>
      <c r="DL42" s="322">
        <v>50028.109999999993</v>
      </c>
      <c r="DM42" s="322">
        <v>86709.32</v>
      </c>
      <c r="DN42" s="322">
        <v>149840.79999999999</v>
      </c>
      <c r="DO42" s="322">
        <v>97320</v>
      </c>
      <c r="DP42" s="334"/>
      <c r="DQ42" s="322" t="s">
        <v>25</v>
      </c>
      <c r="DR42" s="322">
        <v>70128.320000000007</v>
      </c>
      <c r="DS42" s="322">
        <v>80788.41</v>
      </c>
      <c r="DT42" s="322">
        <v>92721.69</v>
      </c>
      <c r="DU42" s="322">
        <v>124246.21</v>
      </c>
      <c r="DV42" s="322">
        <v>146059.79999999999</v>
      </c>
      <c r="DW42" s="322">
        <v>154246.44</v>
      </c>
      <c r="DX42" s="322">
        <v>184919.41</v>
      </c>
      <c r="DY42" s="322">
        <v>165214.82999999999</v>
      </c>
      <c r="DZ42" s="322">
        <v>175498.97</v>
      </c>
      <c r="EA42" s="322">
        <v>206813.76</v>
      </c>
      <c r="EB42" s="322">
        <v>208731.69</v>
      </c>
      <c r="EC42" s="322">
        <v>195808.85</v>
      </c>
      <c r="ED42" s="322">
        <v>193005.30000000002</v>
      </c>
      <c r="EE42" s="322">
        <v>200921.53</v>
      </c>
      <c r="EF42" s="322">
        <v>207298.31999999998</v>
      </c>
      <c r="EG42" s="322">
        <v>221984.17000000004</v>
      </c>
      <c r="EH42" s="322">
        <v>196901.35</v>
      </c>
      <c r="EI42" s="322">
        <v>204719.71</v>
      </c>
      <c r="EJ42" s="322">
        <v>206657.53999999998</v>
      </c>
      <c r="EK42" s="322">
        <v>221705.42</v>
      </c>
      <c r="EL42" s="322">
        <v>206335.54</v>
      </c>
      <c r="EM42" s="322">
        <v>256736.64000000001</v>
      </c>
      <c r="EN42" s="334"/>
      <c r="EO42" s="322" t="s">
        <v>25</v>
      </c>
      <c r="EP42" s="322">
        <v>26298.12</v>
      </c>
      <c r="EQ42" s="322">
        <v>26929.47</v>
      </c>
      <c r="ER42" s="322">
        <v>30907.23</v>
      </c>
      <c r="ES42" s="322">
        <v>33885.33</v>
      </c>
      <c r="ET42" s="322">
        <v>36514.949999999997</v>
      </c>
      <c r="EU42" s="322">
        <v>38561.61</v>
      </c>
      <c r="EV42" s="322">
        <v>42673.71</v>
      </c>
      <c r="EW42" s="322">
        <v>30039.06</v>
      </c>
      <c r="EX42" s="322">
        <v>35942.85</v>
      </c>
      <c r="EY42" s="322">
        <v>28153.64</v>
      </c>
      <c r="EZ42" s="322">
        <v>28153.8</v>
      </c>
      <c r="FA42" s="322">
        <v>38918.93</v>
      </c>
      <c r="FB42" s="322">
        <v>39258.46</v>
      </c>
      <c r="FC42" s="322">
        <v>39554.61</v>
      </c>
      <c r="FD42" s="322">
        <v>39014.759999999995</v>
      </c>
      <c r="FE42" s="322">
        <v>42326.880000000005</v>
      </c>
      <c r="FF42" s="322">
        <v>41783.769999999997</v>
      </c>
      <c r="FG42" s="322">
        <v>43440.049999999996</v>
      </c>
      <c r="FH42" s="322">
        <v>43761</v>
      </c>
      <c r="FI42" s="322">
        <v>44188.42</v>
      </c>
      <c r="FJ42" s="322">
        <v>44202.829999999994</v>
      </c>
      <c r="FK42" s="322">
        <v>45300</v>
      </c>
      <c r="FL42" s="334"/>
      <c r="FM42" s="322" t="s">
        <v>25</v>
      </c>
      <c r="FN42" s="322">
        <v>61362.28</v>
      </c>
      <c r="FO42" s="322">
        <v>53858.94</v>
      </c>
      <c r="FP42" s="322">
        <v>61814.46</v>
      </c>
      <c r="FQ42" s="322">
        <v>67770.66</v>
      </c>
      <c r="FR42" s="322">
        <v>73029.899999999994</v>
      </c>
      <c r="FS42" s="322">
        <v>77123.22</v>
      </c>
      <c r="FT42" s="322">
        <v>71122.850000000006</v>
      </c>
      <c r="FU42" s="322">
        <v>60078.12</v>
      </c>
      <c r="FV42" s="322">
        <v>62304.67</v>
      </c>
      <c r="FW42" s="322">
        <v>61618.399999999994</v>
      </c>
      <c r="FX42" s="322">
        <v>62570.12</v>
      </c>
      <c r="FY42" s="322">
        <v>67503.42</v>
      </c>
      <c r="FZ42" s="322">
        <v>70857.990000000005</v>
      </c>
      <c r="GA42" s="322">
        <v>68426.840000000011</v>
      </c>
      <c r="GB42" s="322">
        <v>69819.360000000001</v>
      </c>
      <c r="GC42" s="322">
        <v>74150.240000000005</v>
      </c>
      <c r="GD42" s="322">
        <v>74547.420000000013</v>
      </c>
      <c r="GE42" s="322">
        <v>78973.22</v>
      </c>
      <c r="GF42" s="340">
        <v>80235.040000000008</v>
      </c>
      <c r="GG42" s="704">
        <v>81753.490000000005</v>
      </c>
      <c r="GH42" s="704">
        <v>79836.030000000013</v>
      </c>
      <c r="GI42" s="704">
        <v>83004</v>
      </c>
      <c r="GJ42" s="334"/>
      <c r="GK42" s="322" t="s">
        <v>25</v>
      </c>
      <c r="GL42" s="322">
        <v>0</v>
      </c>
      <c r="GM42" s="322">
        <v>0</v>
      </c>
      <c r="GN42" s="322">
        <v>0</v>
      </c>
      <c r="GO42" s="322">
        <v>0</v>
      </c>
      <c r="GP42" s="322">
        <v>0</v>
      </c>
      <c r="GQ42" s="322">
        <v>0</v>
      </c>
      <c r="GR42" s="322">
        <v>0</v>
      </c>
      <c r="GS42" s="322">
        <v>0</v>
      </c>
      <c r="GT42" s="322">
        <v>0</v>
      </c>
      <c r="GU42" s="322">
        <v>0</v>
      </c>
      <c r="GV42" s="322">
        <v>0</v>
      </c>
      <c r="GW42" s="322">
        <v>0</v>
      </c>
      <c r="GX42" s="322">
        <v>0</v>
      </c>
      <c r="GY42" s="322">
        <v>43934.27</v>
      </c>
      <c r="GZ42" s="322">
        <v>44027.56</v>
      </c>
      <c r="HA42" s="322">
        <v>43687.38</v>
      </c>
      <c r="HB42" s="322">
        <v>51013.41</v>
      </c>
      <c r="HC42" s="322">
        <v>52461.560000000005</v>
      </c>
      <c r="HD42" s="322">
        <v>43962.97</v>
      </c>
      <c r="HE42" s="322">
        <v>44321.100000000006</v>
      </c>
      <c r="HF42" s="322">
        <v>44615.97</v>
      </c>
      <c r="HG42" s="322">
        <v>45200</v>
      </c>
      <c r="HH42" s="334"/>
      <c r="HI42" s="322" t="s">
        <v>25</v>
      </c>
      <c r="HJ42" s="322">
        <v>17532.080000000002</v>
      </c>
      <c r="HK42" s="322">
        <v>17952.98</v>
      </c>
      <c r="HL42" s="322">
        <v>20604.82</v>
      </c>
      <c r="HM42" s="322">
        <v>22590.22</v>
      </c>
      <c r="HN42" s="322">
        <v>24343.3</v>
      </c>
      <c r="HO42" s="322">
        <v>25707.74</v>
      </c>
      <c r="HP42" s="322">
        <v>28449.14</v>
      </c>
      <c r="HQ42" s="322">
        <v>15019.53</v>
      </c>
      <c r="HR42" s="322">
        <v>25147.72</v>
      </c>
      <c r="HS42" s="322">
        <v>26152.649999999998</v>
      </c>
      <c r="HT42" s="322">
        <v>25886.22</v>
      </c>
      <c r="HU42" s="322">
        <v>28689.05</v>
      </c>
      <c r="HV42" s="322">
        <v>29633.579999999998</v>
      </c>
      <c r="HW42" s="322">
        <v>5716.2</v>
      </c>
      <c r="HX42" s="322">
        <v>8891.74</v>
      </c>
      <c r="HY42" s="322">
        <v>9375.81</v>
      </c>
      <c r="HZ42" s="322">
        <v>9508.34</v>
      </c>
      <c r="IA42" s="322">
        <v>9080.0400000000009</v>
      </c>
      <c r="IB42" s="322">
        <v>9889.84</v>
      </c>
      <c r="IC42" s="322">
        <v>10588.3</v>
      </c>
      <c r="ID42" s="322">
        <v>10335.67</v>
      </c>
      <c r="IE42" s="322">
        <v>11075</v>
      </c>
      <c r="IF42" s="334"/>
      <c r="IG42" s="322" t="s">
        <v>25</v>
      </c>
      <c r="IH42" s="322">
        <v>8766.0400000000009</v>
      </c>
      <c r="II42" s="322">
        <v>8976.49</v>
      </c>
      <c r="IJ42" s="322">
        <v>10302.41</v>
      </c>
      <c r="IK42" s="322">
        <v>11295.11</v>
      </c>
      <c r="IL42" s="322">
        <v>12171.65</v>
      </c>
      <c r="IM42" s="322">
        <v>0</v>
      </c>
      <c r="IN42" s="322">
        <v>14224.57</v>
      </c>
      <c r="IO42" s="322">
        <v>0</v>
      </c>
      <c r="IP42" s="322">
        <v>6831.91</v>
      </c>
      <c r="IQ42" s="322">
        <v>5472.26</v>
      </c>
      <c r="IR42" s="322">
        <v>3720.97</v>
      </c>
      <c r="IS42" s="322">
        <v>5312.3</v>
      </c>
      <c r="IT42" s="322">
        <v>5158.1899999999996</v>
      </c>
      <c r="IU42" s="322">
        <v>5599.01</v>
      </c>
      <c r="IV42" s="322"/>
      <c r="IW42" s="322"/>
      <c r="IX42" s="322"/>
      <c r="IY42" s="322"/>
      <c r="IZ42" s="322"/>
      <c r="JA42" s="322"/>
      <c r="JB42" s="322"/>
      <c r="JC42" s="322"/>
      <c r="JD42" s="334"/>
      <c r="JE42" s="322" t="s">
        <v>25</v>
      </c>
      <c r="JF42" s="322">
        <v>8766.0400000000009</v>
      </c>
      <c r="JG42" s="322">
        <v>17952.98</v>
      </c>
      <c r="JH42" s="322">
        <v>30907.23</v>
      </c>
      <c r="JI42" s="322">
        <v>11295.11</v>
      </c>
      <c r="JJ42" s="322">
        <v>12171.65</v>
      </c>
      <c r="JK42" s="322">
        <v>12853.87</v>
      </c>
      <c r="JL42" s="322">
        <v>14224.57</v>
      </c>
      <c r="JM42" s="322">
        <v>15019.53</v>
      </c>
      <c r="JN42" s="322">
        <v>14384.31</v>
      </c>
      <c r="JO42" s="322">
        <v>25457.899999999998</v>
      </c>
      <c r="JP42" s="322">
        <v>25777.919999999998</v>
      </c>
      <c r="JQ42" s="322">
        <v>60365.98</v>
      </c>
      <c r="JR42" s="322">
        <v>31036.95</v>
      </c>
      <c r="JS42" s="322">
        <v>24262.98</v>
      </c>
      <c r="JT42" s="322">
        <v>17723.239999999998</v>
      </c>
      <c r="JU42" s="322">
        <v>17822.689999999999</v>
      </c>
      <c r="JV42" s="322">
        <v>13946.44</v>
      </c>
      <c r="JW42" s="322">
        <v>12190.99</v>
      </c>
      <c r="JX42" s="322">
        <v>9083.93</v>
      </c>
      <c r="JY42" s="322">
        <v>10363.57</v>
      </c>
      <c r="JZ42" s="322">
        <v>13731.029999999999</v>
      </c>
      <c r="KA42" s="322">
        <v>16608</v>
      </c>
      <c r="KB42" s="334"/>
      <c r="KC42" s="322" t="s">
        <v>25</v>
      </c>
      <c r="KD42" s="322">
        <v>17532.080000000002</v>
      </c>
      <c r="KE42" s="322">
        <v>17952.98</v>
      </c>
      <c r="KF42" s="322">
        <v>30907.23</v>
      </c>
      <c r="KG42" s="322">
        <v>22590.22</v>
      </c>
      <c r="KH42" s="322">
        <v>36514.949999999997</v>
      </c>
      <c r="KI42" s="322">
        <v>38561.61</v>
      </c>
      <c r="KJ42" s="322">
        <v>42673.71</v>
      </c>
      <c r="KK42" s="322">
        <v>30039.06</v>
      </c>
      <c r="KL42" s="322">
        <v>35734.269999999997</v>
      </c>
      <c r="KM42" s="322">
        <v>37754.5</v>
      </c>
      <c r="KN42" s="322">
        <v>37378.839999999997</v>
      </c>
      <c r="KO42" s="322">
        <v>39824.410000000003</v>
      </c>
      <c r="KP42" s="322">
        <v>40075.780000000006</v>
      </c>
      <c r="KQ42" s="322">
        <v>43556.29</v>
      </c>
      <c r="KR42" s="322">
        <v>43550.73</v>
      </c>
      <c r="KS42" s="322">
        <v>43441.37</v>
      </c>
      <c r="KT42" s="322">
        <v>43116.81</v>
      </c>
      <c r="KU42" s="322">
        <v>44940.22</v>
      </c>
      <c r="KV42" s="322">
        <v>45264.74</v>
      </c>
      <c r="KW42" s="322">
        <v>45210.63</v>
      </c>
      <c r="KX42" s="322">
        <v>45374.680000000008</v>
      </c>
      <c r="KY42" s="322">
        <v>46825</v>
      </c>
      <c r="KZ42" s="334"/>
      <c r="LA42" s="322" t="s">
        <v>25</v>
      </c>
      <c r="LB42" s="322">
        <v>175320.8</v>
      </c>
      <c r="LC42" s="322">
        <v>107717.88</v>
      </c>
      <c r="LD42" s="322">
        <v>103024.1</v>
      </c>
      <c r="LE42" s="322">
        <v>90360.88</v>
      </c>
      <c r="LF42" s="322">
        <v>133888.15</v>
      </c>
      <c r="LG42" s="322">
        <v>141392.57</v>
      </c>
      <c r="LH42" s="322">
        <v>156470.26999999999</v>
      </c>
      <c r="LI42" s="322">
        <v>300390.59999999998</v>
      </c>
      <c r="LJ42" s="322">
        <v>459010.63000000006</v>
      </c>
      <c r="LK42" s="322">
        <v>264662.74</v>
      </c>
      <c r="LL42" s="322">
        <v>166694.44</v>
      </c>
      <c r="LM42" s="322">
        <v>168852.24</v>
      </c>
      <c r="LN42" s="322">
        <v>177083.23</v>
      </c>
      <c r="LO42" s="322">
        <v>189707.15</v>
      </c>
      <c r="LP42" s="322">
        <v>170103.97</v>
      </c>
      <c r="LQ42" s="322">
        <v>221452.83000000002</v>
      </c>
      <c r="LR42" s="322">
        <v>194942.25</v>
      </c>
      <c r="LS42" s="322">
        <v>160745.05000000002</v>
      </c>
      <c r="LT42" s="322">
        <v>200106.09</v>
      </c>
      <c r="LU42" s="322">
        <v>194471.95</v>
      </c>
      <c r="LV42" s="322">
        <v>212526.97000000003</v>
      </c>
      <c r="LW42" s="322">
        <v>243693.05</v>
      </c>
      <c r="LX42" s="334"/>
      <c r="LY42" s="322" t="s">
        <v>25</v>
      </c>
      <c r="LZ42" s="322">
        <v>140256.64000000001</v>
      </c>
      <c r="MA42" s="322">
        <v>179529.8</v>
      </c>
      <c r="MB42" s="322">
        <v>216350.61</v>
      </c>
      <c r="MC42" s="322">
        <v>259787.53</v>
      </c>
      <c r="MD42" s="322">
        <v>267776.3</v>
      </c>
      <c r="ME42" s="322">
        <v>334200.62</v>
      </c>
      <c r="MF42" s="322">
        <v>355614.25</v>
      </c>
      <c r="MG42" s="322">
        <v>360468.72</v>
      </c>
      <c r="MH42" s="322">
        <v>348013.02999999997</v>
      </c>
      <c r="MI42" s="322">
        <v>353491.86000000004</v>
      </c>
      <c r="MJ42" s="322">
        <v>281566.17</v>
      </c>
      <c r="MK42" s="322">
        <v>330489.39</v>
      </c>
      <c r="ML42" s="322">
        <v>343768.7900000001</v>
      </c>
      <c r="MM42" s="322">
        <v>379687.22000000003</v>
      </c>
      <c r="MN42" s="322">
        <v>357157.9800000001</v>
      </c>
      <c r="MO42" s="322">
        <v>367347.13</v>
      </c>
      <c r="MP42" s="322">
        <v>366361.64999999997</v>
      </c>
      <c r="MQ42" s="322">
        <v>384226.38999999996</v>
      </c>
      <c r="MR42" s="322">
        <v>413344.51</v>
      </c>
      <c r="MS42" s="322">
        <v>449388.02999999991</v>
      </c>
      <c r="MT42" s="322">
        <v>432184.94000000012</v>
      </c>
      <c r="MU42" s="322">
        <v>443811.89999999991</v>
      </c>
      <c r="MV42" s="334"/>
      <c r="MW42" s="322" t="s">
        <v>25</v>
      </c>
      <c r="MX42" s="322">
        <v>17532.080000000002</v>
      </c>
      <c r="MY42" s="322">
        <v>53858.94</v>
      </c>
      <c r="MZ42" s="322">
        <v>51512.05</v>
      </c>
      <c r="NA42" s="322">
        <v>79065.77</v>
      </c>
      <c r="NB42" s="322">
        <v>60858.25</v>
      </c>
      <c r="NC42" s="322">
        <v>64269.35</v>
      </c>
      <c r="ND42" s="322">
        <v>56898.28</v>
      </c>
      <c r="NE42" s="322">
        <v>75097.649999999994</v>
      </c>
      <c r="NF42" s="322">
        <v>93010.819999999992</v>
      </c>
      <c r="NG42" s="322">
        <v>109132.04</v>
      </c>
      <c r="NH42" s="322">
        <v>116439.06000000001</v>
      </c>
      <c r="NI42" s="322">
        <v>119964.64</v>
      </c>
      <c r="NJ42" s="322">
        <v>160981.18</v>
      </c>
      <c r="NK42" s="322">
        <v>141483.71</v>
      </c>
      <c r="NL42" s="322">
        <v>132924.26</v>
      </c>
      <c r="NM42" s="322">
        <v>141279.36000000002</v>
      </c>
      <c r="NN42" s="322">
        <v>111416.58</v>
      </c>
      <c r="NO42" s="322">
        <v>119260.97</v>
      </c>
      <c r="NP42" s="322">
        <v>90924.28</v>
      </c>
      <c r="NQ42" s="322">
        <v>86567.489999999991</v>
      </c>
      <c r="NR42" s="322">
        <v>85657.24</v>
      </c>
      <c r="NS42" s="322">
        <v>85679</v>
      </c>
      <c r="NT42" s="334"/>
      <c r="NU42" s="322" t="s">
        <v>25</v>
      </c>
      <c r="NV42" s="322">
        <v>87660.4</v>
      </c>
      <c r="NW42" s="322">
        <v>89764.9</v>
      </c>
      <c r="NX42" s="322">
        <v>103024.1</v>
      </c>
      <c r="NY42" s="322">
        <v>112951.1</v>
      </c>
      <c r="NZ42" s="322">
        <v>121716.5</v>
      </c>
      <c r="OA42" s="322">
        <v>115684.83</v>
      </c>
      <c r="OB42" s="322">
        <v>128021.13</v>
      </c>
      <c r="OC42" s="322">
        <v>135175.76999999999</v>
      </c>
      <c r="OD42" s="322">
        <v>141335.22999999998</v>
      </c>
      <c r="OE42" s="322">
        <v>146037.94000000003</v>
      </c>
      <c r="OF42" s="322">
        <v>150049.21000000002</v>
      </c>
      <c r="OG42" s="322">
        <v>149242.5</v>
      </c>
      <c r="OH42" s="322">
        <v>149006.72000000003</v>
      </c>
      <c r="OI42" s="322">
        <v>153277.4</v>
      </c>
      <c r="OJ42" s="322">
        <v>151357.26999999999</v>
      </c>
      <c r="OK42" s="322">
        <v>122705.11</v>
      </c>
      <c r="OL42" s="322">
        <v>128086.5</v>
      </c>
      <c r="OM42" s="322">
        <v>133189.03</v>
      </c>
      <c r="ON42" s="322">
        <v>142501.65000000002</v>
      </c>
      <c r="OO42" s="322">
        <v>154123.12000000002</v>
      </c>
      <c r="OP42" s="322">
        <v>155211.94</v>
      </c>
      <c r="OQ42" s="322">
        <v>157858.45000000001</v>
      </c>
      <c r="OR42" s="334"/>
      <c r="OS42" s="322" t="s">
        <v>25</v>
      </c>
      <c r="OT42" s="322">
        <v>35064.160000000003</v>
      </c>
      <c r="OU42" s="322">
        <v>44882.45</v>
      </c>
      <c r="OV42" s="322">
        <v>41209.64</v>
      </c>
      <c r="OW42" s="322">
        <v>33885.33</v>
      </c>
      <c r="OX42" s="322">
        <v>24343.3</v>
      </c>
      <c r="OY42" s="322">
        <v>25707.74</v>
      </c>
      <c r="OZ42" s="322">
        <v>28449.14</v>
      </c>
      <c r="PA42" s="322">
        <v>30039.06</v>
      </c>
      <c r="PB42" s="322">
        <v>26633.08</v>
      </c>
      <c r="PC42" s="322">
        <v>32618.46</v>
      </c>
      <c r="PD42" s="322">
        <v>33534.49</v>
      </c>
      <c r="PE42" s="322">
        <v>31871.89</v>
      </c>
      <c r="PF42" s="322">
        <v>32494.199999999997</v>
      </c>
      <c r="PG42" s="322">
        <v>35149.5</v>
      </c>
      <c r="PH42" s="322">
        <v>33474.620000000003</v>
      </c>
      <c r="PI42" s="322">
        <v>36252.600000000006</v>
      </c>
      <c r="PJ42" s="322">
        <v>37422.979999999996</v>
      </c>
      <c r="PK42" s="322">
        <v>30498.86</v>
      </c>
      <c r="PL42" s="322">
        <v>30374.98</v>
      </c>
      <c r="PM42" s="322">
        <v>37393.339999999997</v>
      </c>
      <c r="PN42" s="322">
        <v>34891.130000000005</v>
      </c>
      <c r="PO42" s="322">
        <v>39089.179999999993</v>
      </c>
      <c r="PP42" s="334"/>
      <c r="PQ42" s="322" t="s">
        <v>25</v>
      </c>
      <c r="PR42" s="322">
        <v>8766.0400000000009</v>
      </c>
      <c r="PS42" s="322">
        <v>8976.49</v>
      </c>
      <c r="PT42" s="322">
        <v>10302.41</v>
      </c>
      <c r="PU42" s="322">
        <v>11295.11</v>
      </c>
      <c r="PV42" s="322">
        <v>12171.65</v>
      </c>
      <c r="PW42" s="322">
        <v>12853.87</v>
      </c>
      <c r="PX42" s="322">
        <v>14224.57</v>
      </c>
      <c r="PY42" s="322">
        <v>15019.53</v>
      </c>
      <c r="PZ42" s="322">
        <v>10064</v>
      </c>
      <c r="QA42" s="322">
        <v>11129.8</v>
      </c>
      <c r="QB42" s="322">
        <v>10996.42</v>
      </c>
      <c r="QC42" s="322">
        <v>11316.960000000001</v>
      </c>
      <c r="QD42" s="322">
        <v>11555.32</v>
      </c>
      <c r="QE42" s="322">
        <v>12456.529999999999</v>
      </c>
      <c r="QF42" s="322">
        <v>10398.18</v>
      </c>
      <c r="QG42" s="322">
        <v>12785.04</v>
      </c>
      <c r="QH42" s="322">
        <v>12579.97</v>
      </c>
      <c r="QI42" s="322">
        <v>13501.019999999999</v>
      </c>
      <c r="QJ42" s="322">
        <v>13451.2</v>
      </c>
      <c r="QK42" s="322">
        <v>13403.9</v>
      </c>
      <c r="QL42" s="322">
        <v>13484.980000000001</v>
      </c>
      <c r="QM42" s="322">
        <v>13690</v>
      </c>
      <c r="QN42" s="334"/>
      <c r="QO42" s="322" t="s">
        <v>25</v>
      </c>
      <c r="QP42" s="322">
        <v>0</v>
      </c>
      <c r="QQ42" s="322">
        <v>0</v>
      </c>
      <c r="QR42" s="322">
        <v>0</v>
      </c>
      <c r="QS42" s="322">
        <v>0</v>
      </c>
      <c r="QT42" s="322">
        <v>0</v>
      </c>
      <c r="QU42" s="322">
        <v>0</v>
      </c>
      <c r="QV42" s="322">
        <v>0</v>
      </c>
      <c r="QW42" s="322">
        <v>0</v>
      </c>
      <c r="QX42" s="322">
        <v>0</v>
      </c>
      <c r="QY42" s="322">
        <v>0</v>
      </c>
      <c r="QZ42" s="322">
        <v>0</v>
      </c>
      <c r="RA42" s="322">
        <v>0</v>
      </c>
      <c r="RB42" s="322">
        <v>0</v>
      </c>
      <c r="RC42" s="322">
        <v>0</v>
      </c>
      <c r="RD42" s="322">
        <v>0</v>
      </c>
      <c r="RE42" s="322">
        <v>0</v>
      </c>
      <c r="RF42" s="322">
        <v>0</v>
      </c>
      <c r="RG42" s="322">
        <v>0</v>
      </c>
      <c r="RH42" s="322">
        <v>0</v>
      </c>
      <c r="RI42" s="322">
        <v>0</v>
      </c>
      <c r="RJ42" s="322">
        <v>0</v>
      </c>
      <c r="RK42" s="322">
        <v>0</v>
      </c>
      <c r="RL42" s="334"/>
      <c r="RM42" s="322" t="s">
        <v>25</v>
      </c>
      <c r="RN42" s="322">
        <v>26298.12</v>
      </c>
      <c r="RO42" s="322">
        <v>44882.45</v>
      </c>
      <c r="RP42" s="322">
        <v>30907.23</v>
      </c>
      <c r="RQ42" s="322">
        <v>56475.55</v>
      </c>
      <c r="RR42" s="322">
        <v>36514.949999999997</v>
      </c>
      <c r="RS42" s="322">
        <v>38561.61</v>
      </c>
      <c r="RT42" s="322">
        <v>42673.71</v>
      </c>
      <c r="RU42" s="322">
        <v>75097.649999999994</v>
      </c>
      <c r="RV42" s="322">
        <v>52158.36</v>
      </c>
      <c r="RW42" s="322">
        <v>49199.5</v>
      </c>
      <c r="RX42" s="322">
        <v>149261.76000000001</v>
      </c>
      <c r="RY42" s="322">
        <v>59000.57</v>
      </c>
      <c r="RZ42" s="322">
        <v>54190.280000000006</v>
      </c>
      <c r="SA42" s="322">
        <v>58331.68</v>
      </c>
      <c r="SB42" s="322">
        <v>56966.340000000004</v>
      </c>
      <c r="SC42" s="322">
        <v>59826.180000000008</v>
      </c>
      <c r="SD42" s="322">
        <v>36720</v>
      </c>
      <c r="SE42" s="322">
        <v>38738.339999999997</v>
      </c>
      <c r="SF42" s="322">
        <v>43337.95</v>
      </c>
      <c r="SG42" s="322">
        <v>55220</v>
      </c>
      <c r="SH42" s="322">
        <v>51404.67</v>
      </c>
      <c r="SI42" s="322">
        <v>48507</v>
      </c>
    </row>
    <row r="43" spans="1:503">
      <c r="A43" s="319" t="s">
        <v>26</v>
      </c>
      <c r="B43" s="319">
        <v>1971607</v>
      </c>
      <c r="C43" s="319">
        <v>1986185</v>
      </c>
      <c r="D43" s="319">
        <v>2352250</v>
      </c>
      <c r="E43" s="319">
        <v>2056963</v>
      </c>
      <c r="F43" s="319">
        <v>2312935</v>
      </c>
      <c r="G43" s="319">
        <v>2467040</v>
      </c>
      <c r="H43" s="319">
        <v>2634370</v>
      </c>
      <c r="I43" s="319">
        <v>3712876</v>
      </c>
      <c r="J43" s="319">
        <v>2797479.8499999996</v>
      </c>
      <c r="K43" s="319">
        <v>3781764.79</v>
      </c>
      <c r="L43" s="319">
        <v>3462855.3899999997</v>
      </c>
      <c r="M43" s="319">
        <v>3677936.38</v>
      </c>
      <c r="N43" s="319">
        <v>3973790.6399999997</v>
      </c>
      <c r="O43" s="319">
        <v>4189376.8899999997</v>
      </c>
      <c r="P43" s="319">
        <v>4660325.6159999995</v>
      </c>
      <c r="Q43" s="319">
        <v>4325370.33</v>
      </c>
      <c r="R43" s="319"/>
      <c r="S43" s="322">
        <v>4403232.9400000004</v>
      </c>
      <c r="T43" s="319">
        <v>4724352.4499999993</v>
      </c>
      <c r="U43" s="319">
        <v>4865185.6400000006</v>
      </c>
      <c r="V43" s="319">
        <v>4444471.9799999995</v>
      </c>
      <c r="W43" s="319">
        <v>4685447.66</v>
      </c>
      <c r="X43" s="330"/>
      <c r="Y43" s="319" t="s">
        <v>26</v>
      </c>
      <c r="Z43" s="319">
        <v>98580.35</v>
      </c>
      <c r="AA43" s="319">
        <v>178756.65</v>
      </c>
      <c r="AB43" s="319">
        <v>211702.5</v>
      </c>
      <c r="AC43" s="319">
        <v>226265.93</v>
      </c>
      <c r="AD43" s="319">
        <v>254422.85</v>
      </c>
      <c r="AE43" s="319">
        <v>246704</v>
      </c>
      <c r="AF43" s="319">
        <v>246704</v>
      </c>
      <c r="AG43" s="319">
        <v>259901.32</v>
      </c>
      <c r="AH43" s="319">
        <v>202142.28999999998</v>
      </c>
      <c r="AI43" s="319">
        <v>955196.38</v>
      </c>
      <c r="AJ43" s="319">
        <v>225711.21000000002</v>
      </c>
      <c r="AK43" s="319">
        <v>216403.33000000002</v>
      </c>
      <c r="AL43" s="319">
        <v>219677.68</v>
      </c>
      <c r="AM43" s="319">
        <v>257784.49</v>
      </c>
      <c r="AN43" s="319">
        <v>543861.24</v>
      </c>
      <c r="AO43" s="319">
        <v>275848.07</v>
      </c>
      <c r="AP43" s="319"/>
      <c r="AQ43" s="322">
        <v>232311.27999999997</v>
      </c>
      <c r="AR43" s="319">
        <v>269774.42</v>
      </c>
      <c r="AS43" s="319">
        <v>477659.51</v>
      </c>
      <c r="AT43" s="319">
        <v>237987.87</v>
      </c>
      <c r="AU43" s="319">
        <v>266059</v>
      </c>
      <c r="AV43" s="334"/>
      <c r="AW43" s="319" t="s">
        <v>26</v>
      </c>
      <c r="AX43" s="319">
        <v>118296.42</v>
      </c>
      <c r="AY43" s="319">
        <v>139032.95000000001</v>
      </c>
      <c r="AZ43" s="319">
        <v>117612.5</v>
      </c>
      <c r="BA43" s="319">
        <v>123417.78</v>
      </c>
      <c r="BB43" s="319">
        <v>138776.1</v>
      </c>
      <c r="BC43" s="319">
        <v>148022.39999999999</v>
      </c>
      <c r="BD43" s="319">
        <v>131718.5</v>
      </c>
      <c r="BE43" s="319">
        <v>148515.04</v>
      </c>
      <c r="BF43" s="319">
        <v>150039.74000000002</v>
      </c>
      <c r="BG43" s="319">
        <v>145829.41</v>
      </c>
      <c r="BH43" s="319">
        <v>147279.07</v>
      </c>
      <c r="BI43" s="319">
        <v>137705.57</v>
      </c>
      <c r="BJ43" s="319">
        <v>147015.19</v>
      </c>
      <c r="BK43" s="319">
        <v>147341.85999999999</v>
      </c>
      <c r="BL43" s="319">
        <v>150813.16</v>
      </c>
      <c r="BM43" s="319">
        <v>147684.02000000002</v>
      </c>
      <c r="BN43" s="319"/>
      <c r="BO43" s="322">
        <v>152335.87</v>
      </c>
      <c r="BP43" s="319">
        <v>151338.43999999997</v>
      </c>
      <c r="BQ43" s="319">
        <v>140183.88999999998</v>
      </c>
      <c r="BR43" s="319">
        <v>138147.72</v>
      </c>
      <c r="BS43" s="319">
        <v>139700</v>
      </c>
      <c r="BT43" s="334"/>
      <c r="BU43" s="322" t="s">
        <v>26</v>
      </c>
      <c r="BV43" s="322">
        <v>59148.21</v>
      </c>
      <c r="BW43" s="322">
        <v>39723.699999999997</v>
      </c>
      <c r="BX43" s="322">
        <v>70567.5</v>
      </c>
      <c r="BY43" s="322">
        <v>41139.26</v>
      </c>
      <c r="BZ43" s="322">
        <v>92517.4</v>
      </c>
      <c r="CA43" s="322">
        <v>49340.800000000003</v>
      </c>
      <c r="CB43" s="322">
        <v>79031.100000000006</v>
      </c>
      <c r="CC43" s="322">
        <v>37128.76</v>
      </c>
      <c r="CD43" s="322">
        <v>96639.810000000012</v>
      </c>
      <c r="CE43" s="322">
        <v>46771.880000000005</v>
      </c>
      <c r="CF43" s="322">
        <v>295008.14</v>
      </c>
      <c r="CG43" s="322">
        <v>43763.600000000006</v>
      </c>
      <c r="CH43" s="322">
        <v>92851.27</v>
      </c>
      <c r="CI43" s="322">
        <v>41624.15</v>
      </c>
      <c r="CJ43" s="322">
        <v>102448.02</v>
      </c>
      <c r="CK43" s="322">
        <v>54332.7</v>
      </c>
      <c r="CL43" s="322"/>
      <c r="CM43" s="322">
        <v>56034.84</v>
      </c>
      <c r="CN43" s="322">
        <v>120322.35999999999</v>
      </c>
      <c r="CO43" s="322">
        <v>81363.37000000001</v>
      </c>
      <c r="CP43" s="322">
        <v>131038.67000000001</v>
      </c>
      <c r="CQ43" s="322">
        <v>143500</v>
      </c>
      <c r="CR43" s="334"/>
      <c r="CS43" s="322" t="s">
        <v>26</v>
      </c>
      <c r="CT43" s="322">
        <v>118296.42</v>
      </c>
      <c r="CU43" s="322">
        <v>119171.1</v>
      </c>
      <c r="CV43" s="322">
        <v>141135</v>
      </c>
      <c r="CW43" s="322">
        <v>123417.78</v>
      </c>
      <c r="CX43" s="322">
        <v>115646.75</v>
      </c>
      <c r="CY43" s="322">
        <v>123352</v>
      </c>
      <c r="CZ43" s="322">
        <v>184405.9</v>
      </c>
      <c r="DA43" s="322">
        <v>1113862.8</v>
      </c>
      <c r="DB43" s="322">
        <v>144332.63</v>
      </c>
      <c r="DC43" s="322">
        <v>214053.91</v>
      </c>
      <c r="DD43" s="322">
        <v>342837.41</v>
      </c>
      <c r="DE43" s="322">
        <v>232643.83</v>
      </c>
      <c r="DF43" s="322">
        <v>296044.18</v>
      </c>
      <c r="DG43" s="322">
        <v>184100.82</v>
      </c>
      <c r="DH43" s="322">
        <v>146199.696</v>
      </c>
      <c r="DI43" s="322">
        <v>306769.48</v>
      </c>
      <c r="DJ43" s="322"/>
      <c r="DK43" s="322">
        <v>196094.81999999998</v>
      </c>
      <c r="DL43" s="322">
        <v>392759.56</v>
      </c>
      <c r="DM43" s="322">
        <v>367905.48000000004</v>
      </c>
      <c r="DN43" s="322">
        <v>346961.66000000003</v>
      </c>
      <c r="DO43" s="322">
        <v>362000</v>
      </c>
      <c r="DP43" s="334"/>
      <c r="DQ43" s="322" t="s">
        <v>26</v>
      </c>
      <c r="DR43" s="322">
        <v>177444.63</v>
      </c>
      <c r="DS43" s="322">
        <v>198618.5</v>
      </c>
      <c r="DT43" s="322">
        <v>188180</v>
      </c>
      <c r="DU43" s="322">
        <v>226265.93</v>
      </c>
      <c r="DV43" s="322">
        <v>277552.2</v>
      </c>
      <c r="DW43" s="322">
        <v>320715.2</v>
      </c>
      <c r="DX43" s="322">
        <v>342468.1</v>
      </c>
      <c r="DY43" s="322">
        <v>445545.12</v>
      </c>
      <c r="DZ43" s="322">
        <v>453985.32</v>
      </c>
      <c r="EA43" s="322">
        <v>504878.49000000005</v>
      </c>
      <c r="EB43" s="322">
        <v>448782.07999999996</v>
      </c>
      <c r="EC43" s="322">
        <v>568462.39999999979</v>
      </c>
      <c r="ED43" s="322">
        <v>639093.01</v>
      </c>
      <c r="EE43" s="322">
        <v>674119.72</v>
      </c>
      <c r="EF43" s="322">
        <v>793705.71000000008</v>
      </c>
      <c r="EG43" s="322">
        <v>720939.51</v>
      </c>
      <c r="EH43" s="322"/>
      <c r="EI43" s="322">
        <v>766771.42</v>
      </c>
      <c r="EJ43" s="322">
        <v>745169.98999999987</v>
      </c>
      <c r="EK43" s="322">
        <v>792584.86999999988</v>
      </c>
      <c r="EL43" s="322">
        <v>752773.91</v>
      </c>
      <c r="EM43" s="322">
        <v>780000</v>
      </c>
      <c r="EN43" s="334"/>
      <c r="EO43" s="322" t="s">
        <v>26</v>
      </c>
      <c r="EP43" s="322">
        <v>78864.28</v>
      </c>
      <c r="EQ43" s="322">
        <v>79447.399999999994</v>
      </c>
      <c r="ER43" s="322">
        <v>70567.5</v>
      </c>
      <c r="ES43" s="322">
        <v>82278.52</v>
      </c>
      <c r="ET43" s="322">
        <v>92517.4</v>
      </c>
      <c r="EU43" s="322">
        <v>74011.199999999997</v>
      </c>
      <c r="EV43" s="322">
        <v>79031.100000000006</v>
      </c>
      <c r="EW43" s="322">
        <v>74257.52</v>
      </c>
      <c r="EX43" s="322">
        <v>85907.61</v>
      </c>
      <c r="EY43" s="322">
        <v>93500.29</v>
      </c>
      <c r="EZ43" s="322">
        <v>92249.01999999999</v>
      </c>
      <c r="FA43" s="322">
        <v>143893.09</v>
      </c>
      <c r="FB43" s="322">
        <v>131458.56</v>
      </c>
      <c r="FC43" s="322">
        <v>164686.40999999997</v>
      </c>
      <c r="FD43" s="322">
        <v>163045.60999999996</v>
      </c>
      <c r="FE43" s="322">
        <v>165101.84000000003</v>
      </c>
      <c r="FF43" s="322"/>
      <c r="FG43" s="322">
        <v>170109.37</v>
      </c>
      <c r="FH43" s="322">
        <v>177718.87999999998</v>
      </c>
      <c r="FI43" s="322">
        <v>161882.06</v>
      </c>
      <c r="FJ43" s="322">
        <v>159158.51</v>
      </c>
      <c r="FK43" s="322">
        <v>168650</v>
      </c>
      <c r="FL43" s="334"/>
      <c r="FM43" s="322" t="s">
        <v>26</v>
      </c>
      <c r="FN43" s="322">
        <v>0</v>
      </c>
      <c r="FO43" s="322">
        <v>0</v>
      </c>
      <c r="FP43" s="322">
        <v>0</v>
      </c>
      <c r="FQ43" s="322">
        <v>0</v>
      </c>
      <c r="FR43" s="322">
        <v>0</v>
      </c>
      <c r="FS43" s="322">
        <v>0</v>
      </c>
      <c r="FT43" s="322">
        <v>0</v>
      </c>
      <c r="FU43" s="322">
        <v>0</v>
      </c>
      <c r="FV43" s="322">
        <v>0</v>
      </c>
      <c r="FW43" s="322">
        <v>0</v>
      </c>
      <c r="FX43" s="322">
        <v>0</v>
      </c>
      <c r="FY43" s="322">
        <v>0</v>
      </c>
      <c r="FZ43" s="322">
        <v>0</v>
      </c>
      <c r="GA43" s="322">
        <v>0</v>
      </c>
      <c r="GB43" s="322">
        <v>0</v>
      </c>
      <c r="GC43" s="322">
        <v>0</v>
      </c>
      <c r="GD43" s="322"/>
      <c r="GE43" s="322">
        <v>0</v>
      </c>
      <c r="GF43" s="340">
        <v>0</v>
      </c>
      <c r="GG43" s="704">
        <v>0</v>
      </c>
      <c r="GH43" s="704">
        <v>0</v>
      </c>
      <c r="GI43" s="704">
        <v>0</v>
      </c>
      <c r="GJ43" s="334"/>
      <c r="GK43" s="322" t="s">
        <v>26</v>
      </c>
      <c r="GL43" s="322">
        <v>78864.28</v>
      </c>
      <c r="GM43" s="322">
        <v>79447.399999999994</v>
      </c>
      <c r="GN43" s="322">
        <v>70567.5</v>
      </c>
      <c r="GO43" s="322">
        <v>82278.52</v>
      </c>
      <c r="GP43" s="322">
        <v>69388.05</v>
      </c>
      <c r="GQ43" s="322">
        <v>98681.600000000006</v>
      </c>
      <c r="GR43" s="322">
        <v>79031.100000000006</v>
      </c>
      <c r="GS43" s="322">
        <v>74257.52</v>
      </c>
      <c r="GT43" s="322">
        <v>88625.669999999984</v>
      </c>
      <c r="GU43" s="322">
        <v>90771.11</v>
      </c>
      <c r="GV43" s="322">
        <v>93119.319999999992</v>
      </c>
      <c r="GW43" s="322">
        <v>96075.76</v>
      </c>
      <c r="GX43" s="322">
        <v>95752.689999999988</v>
      </c>
      <c r="GY43" s="322">
        <v>98426.49</v>
      </c>
      <c r="GZ43" s="322">
        <v>100296.01999999999</v>
      </c>
      <c r="HA43" s="322">
        <v>99108.809999999983</v>
      </c>
      <c r="HB43" s="322"/>
      <c r="HC43" s="322">
        <v>92653.219999999987</v>
      </c>
      <c r="HD43" s="322">
        <v>97819.819999999992</v>
      </c>
      <c r="HE43" s="322">
        <v>98060.59</v>
      </c>
      <c r="HF43" s="322">
        <v>100681.68000000001</v>
      </c>
      <c r="HG43" s="322">
        <v>104149</v>
      </c>
      <c r="HH43" s="334"/>
      <c r="HI43" s="322" t="s">
        <v>26</v>
      </c>
      <c r="HJ43" s="322">
        <v>19716.07</v>
      </c>
      <c r="HK43" s="322">
        <v>19861.849999999999</v>
      </c>
      <c r="HL43" s="322">
        <v>23522.5</v>
      </c>
      <c r="HM43" s="322">
        <v>20569.63</v>
      </c>
      <c r="HN43" s="322">
        <v>23129.35</v>
      </c>
      <c r="HO43" s="322">
        <v>24670.400000000001</v>
      </c>
      <c r="HP43" s="322">
        <v>26343.7</v>
      </c>
      <c r="HQ43" s="322">
        <v>0</v>
      </c>
      <c r="HR43" s="322">
        <v>12924.03</v>
      </c>
      <c r="HS43" s="322">
        <v>15986.64</v>
      </c>
      <c r="HT43" s="322">
        <v>31572.32</v>
      </c>
      <c r="HU43" s="322">
        <v>65626.679999999993</v>
      </c>
      <c r="HV43" s="322">
        <v>65524.849999999991</v>
      </c>
      <c r="HW43" s="322">
        <v>77119.02</v>
      </c>
      <c r="HX43" s="322">
        <v>76226.400000000009</v>
      </c>
      <c r="HY43" s="322">
        <v>77022.12000000001</v>
      </c>
      <c r="HZ43" s="322"/>
      <c r="IA43" s="322">
        <v>77966.069999999992</v>
      </c>
      <c r="IB43" s="322">
        <v>79475.14</v>
      </c>
      <c r="IC43" s="322">
        <v>67152.240000000005</v>
      </c>
      <c r="ID43" s="322">
        <v>58826.94</v>
      </c>
      <c r="IE43" s="322">
        <v>63200</v>
      </c>
      <c r="IF43" s="334"/>
      <c r="IG43" s="322" t="s">
        <v>26</v>
      </c>
      <c r="IH43" s="322">
        <v>19716.07</v>
      </c>
      <c r="II43" s="322">
        <v>19861.849999999999</v>
      </c>
      <c r="IJ43" s="322">
        <v>47045</v>
      </c>
      <c r="IK43" s="322">
        <v>41139.26</v>
      </c>
      <c r="IL43" s="322">
        <v>46258.7</v>
      </c>
      <c r="IM43" s="322">
        <v>49340.800000000003</v>
      </c>
      <c r="IN43" s="322">
        <v>26343.7</v>
      </c>
      <c r="IO43" s="322">
        <v>37128.76</v>
      </c>
      <c r="IP43" s="322">
        <v>10962.619999999999</v>
      </c>
      <c r="IQ43" s="322">
        <v>50813.960000000006</v>
      </c>
      <c r="IR43" s="322">
        <v>45866.400000000001</v>
      </c>
      <c r="IS43" s="322">
        <v>0</v>
      </c>
      <c r="IT43" s="322">
        <v>0</v>
      </c>
      <c r="IU43" s="322">
        <v>0</v>
      </c>
      <c r="IV43" s="322"/>
      <c r="IW43" s="322"/>
      <c r="IX43" s="322"/>
      <c r="IY43" s="322"/>
      <c r="IZ43" s="322"/>
      <c r="JA43" s="322"/>
      <c r="JB43" s="322"/>
      <c r="JC43" s="322"/>
      <c r="JD43" s="334"/>
      <c r="JE43" s="322" t="s">
        <v>26</v>
      </c>
      <c r="JF43" s="322">
        <v>19716.07</v>
      </c>
      <c r="JG43" s="322">
        <v>0</v>
      </c>
      <c r="JH43" s="322">
        <v>0</v>
      </c>
      <c r="JI43" s="322">
        <v>0</v>
      </c>
      <c r="JJ43" s="322">
        <v>23129.35</v>
      </c>
      <c r="JK43" s="322">
        <v>24670.400000000001</v>
      </c>
      <c r="JL43" s="322">
        <v>0</v>
      </c>
      <c r="JM43" s="322">
        <v>37128.76</v>
      </c>
      <c r="JN43" s="322">
        <v>7335.1799999999994</v>
      </c>
      <c r="JO43" s="322">
        <v>21573.94</v>
      </c>
      <c r="JP43" s="322">
        <v>16859.060000000001</v>
      </c>
      <c r="JQ43" s="322">
        <v>12674.849999999999</v>
      </c>
      <c r="JR43" s="322">
        <v>21344.959999999999</v>
      </c>
      <c r="JS43" s="322">
        <v>19371.450000000004</v>
      </c>
      <c r="JT43" s="322">
        <v>25592.55</v>
      </c>
      <c r="JU43" s="322">
        <v>11273.719999999998</v>
      </c>
      <c r="JV43" s="322"/>
      <c r="JW43" s="322">
        <v>13993.769999999997</v>
      </c>
      <c r="JX43" s="322">
        <v>8998.16</v>
      </c>
      <c r="JY43" s="322">
        <v>16755.04</v>
      </c>
      <c r="JZ43" s="322">
        <v>9610.2199999999993</v>
      </c>
      <c r="KA43" s="322">
        <v>22300</v>
      </c>
      <c r="KB43" s="334"/>
      <c r="KC43" s="322" t="s">
        <v>26</v>
      </c>
      <c r="KD43" s="322">
        <v>19716.07</v>
      </c>
      <c r="KE43" s="322">
        <v>0</v>
      </c>
      <c r="KF43" s="322">
        <v>0</v>
      </c>
      <c r="KG43" s="322">
        <v>20569.63</v>
      </c>
      <c r="KH43" s="322">
        <v>46258.7</v>
      </c>
      <c r="KI43" s="322">
        <v>49340.800000000003</v>
      </c>
      <c r="KJ43" s="322">
        <v>52687.4</v>
      </c>
      <c r="KK43" s="322">
        <v>74257.52</v>
      </c>
      <c r="KL43" s="322">
        <v>114404.12999999999</v>
      </c>
      <c r="KM43" s="322">
        <v>117424.88999999998</v>
      </c>
      <c r="KN43" s="322">
        <v>109445.84</v>
      </c>
      <c r="KO43" s="322">
        <v>123782.55</v>
      </c>
      <c r="KP43" s="322">
        <v>124903.34</v>
      </c>
      <c r="KQ43" s="322">
        <v>130780.74</v>
      </c>
      <c r="KR43" s="322">
        <v>128081.43999999999</v>
      </c>
      <c r="KS43" s="322">
        <v>127853.86999999998</v>
      </c>
      <c r="KT43" s="322"/>
      <c r="KU43" s="322">
        <v>119629.92000000001</v>
      </c>
      <c r="KV43" s="322">
        <v>129080.59999999999</v>
      </c>
      <c r="KW43" s="322">
        <v>127376.94</v>
      </c>
      <c r="KX43" s="322">
        <v>128091.31</v>
      </c>
      <c r="KY43" s="322">
        <v>125836</v>
      </c>
      <c r="KZ43" s="334"/>
      <c r="LA43" s="322" t="s">
        <v>26</v>
      </c>
      <c r="LB43" s="322">
        <v>98580.35</v>
      </c>
      <c r="LC43" s="322">
        <v>158894.79999999999</v>
      </c>
      <c r="LD43" s="322">
        <v>329315</v>
      </c>
      <c r="LE43" s="322">
        <v>82278.52</v>
      </c>
      <c r="LF43" s="322">
        <v>92517.4</v>
      </c>
      <c r="LG43" s="322">
        <v>98681.600000000006</v>
      </c>
      <c r="LH43" s="322">
        <v>158062.20000000001</v>
      </c>
      <c r="LI43" s="322">
        <v>148515.04</v>
      </c>
      <c r="LJ43" s="322">
        <v>87369.07</v>
      </c>
      <c r="LK43" s="322">
        <v>273549.95</v>
      </c>
      <c r="LL43" s="322">
        <v>95730</v>
      </c>
      <c r="LM43" s="322">
        <v>106027.54000000001</v>
      </c>
      <c r="LN43" s="322">
        <v>125852.45999999999</v>
      </c>
      <c r="LO43" s="322">
        <v>136935.45000000001</v>
      </c>
      <c r="LP43" s="322">
        <v>133507.74</v>
      </c>
      <c r="LQ43" s="322">
        <v>109420.8</v>
      </c>
      <c r="LR43" s="322"/>
      <c r="LS43" s="322">
        <v>103081.82</v>
      </c>
      <c r="LT43" s="322">
        <v>109813.41</v>
      </c>
      <c r="LU43" s="322">
        <v>109406.45</v>
      </c>
      <c r="LV43" s="322">
        <v>92295.87</v>
      </c>
      <c r="LW43" s="322">
        <v>108910</v>
      </c>
      <c r="LX43" s="334"/>
      <c r="LY43" s="322" t="s">
        <v>26</v>
      </c>
      <c r="LZ43" s="322">
        <v>414037.47</v>
      </c>
      <c r="MA43" s="322">
        <v>357513.3</v>
      </c>
      <c r="MB43" s="322">
        <v>376360</v>
      </c>
      <c r="MC43" s="322">
        <v>390822.97</v>
      </c>
      <c r="MD43" s="322">
        <v>462587</v>
      </c>
      <c r="ME43" s="322">
        <v>493408</v>
      </c>
      <c r="MF43" s="322">
        <v>500530.3</v>
      </c>
      <c r="MG43" s="322">
        <v>482673.88</v>
      </c>
      <c r="MH43" s="322">
        <v>461692.67999999993</v>
      </c>
      <c r="MI43" s="322">
        <v>646071.82999999996</v>
      </c>
      <c r="MJ43" s="322">
        <v>651509.57000000007</v>
      </c>
      <c r="MK43" s="322">
        <v>612504.83999999985</v>
      </c>
      <c r="ML43" s="322">
        <v>654222.05000000005</v>
      </c>
      <c r="MM43" s="322">
        <v>673544.21000000008</v>
      </c>
      <c r="MN43" s="322">
        <v>695521.59000000008</v>
      </c>
      <c r="MO43" s="322">
        <v>710301.01</v>
      </c>
      <c r="MP43" s="322"/>
      <c r="MQ43" s="322">
        <v>772987.86999999988</v>
      </c>
      <c r="MR43" s="322">
        <v>806117.65</v>
      </c>
      <c r="MS43" s="322">
        <v>753396.44000000006</v>
      </c>
      <c r="MT43" s="322">
        <v>800642.81</v>
      </c>
      <c r="MU43" s="322">
        <v>794863.60999999987</v>
      </c>
      <c r="MV43" s="334"/>
      <c r="MW43" s="322" t="s">
        <v>26</v>
      </c>
      <c r="MX43" s="322">
        <v>177444.63</v>
      </c>
      <c r="MY43" s="322">
        <v>218480.35</v>
      </c>
      <c r="MZ43" s="322">
        <v>258747.5</v>
      </c>
      <c r="NA43" s="322">
        <v>287974.82</v>
      </c>
      <c r="NB43" s="322">
        <v>300681.55</v>
      </c>
      <c r="NC43" s="322">
        <v>370056</v>
      </c>
      <c r="ND43" s="322">
        <v>395155.5</v>
      </c>
      <c r="NE43" s="322">
        <v>408416.36</v>
      </c>
      <c r="NF43" s="322">
        <v>424282.06999999995</v>
      </c>
      <c r="NG43" s="322">
        <v>297046.89999999997</v>
      </c>
      <c r="NH43" s="322">
        <v>374722.39999999997</v>
      </c>
      <c r="NI43" s="322">
        <v>739240.05999999994</v>
      </c>
      <c r="NJ43" s="322">
        <v>949608.75000000012</v>
      </c>
      <c r="NK43" s="322">
        <v>1105105.7699999998</v>
      </c>
      <c r="NL43" s="322">
        <v>1098559.21</v>
      </c>
      <c r="NM43" s="322">
        <v>1073223.8699999999</v>
      </c>
      <c r="NN43" s="322"/>
      <c r="NO43" s="322">
        <v>1134139.1000000003</v>
      </c>
      <c r="NP43" s="322">
        <v>1109923.19</v>
      </c>
      <c r="NQ43" s="322">
        <v>1102199.0899999999</v>
      </c>
      <c r="NR43" s="322">
        <v>923349.24999999977</v>
      </c>
      <c r="NS43" s="322">
        <v>924956.05</v>
      </c>
      <c r="NT43" s="334"/>
      <c r="NU43" s="322" t="s">
        <v>26</v>
      </c>
      <c r="NV43" s="322">
        <v>236592.84</v>
      </c>
      <c r="NW43" s="322">
        <v>139032.95000000001</v>
      </c>
      <c r="NX43" s="322">
        <v>164657.5</v>
      </c>
      <c r="NY43" s="322">
        <v>164557.04</v>
      </c>
      <c r="NZ43" s="322">
        <v>161905.45000000001</v>
      </c>
      <c r="OA43" s="322">
        <v>197363.20000000001</v>
      </c>
      <c r="OB43" s="322">
        <v>184405.9</v>
      </c>
      <c r="OC43" s="322">
        <v>185643.8</v>
      </c>
      <c r="OD43" s="322">
        <v>195987.52999999997</v>
      </c>
      <c r="OE43" s="322">
        <v>201668.62</v>
      </c>
      <c r="OF43" s="322">
        <v>206347.47</v>
      </c>
      <c r="OG43" s="322">
        <v>255708.1</v>
      </c>
      <c r="OH43" s="322">
        <v>255514.19</v>
      </c>
      <c r="OI43" s="322">
        <v>270932.88999999996</v>
      </c>
      <c r="OJ43" s="322">
        <v>275837.51000000007</v>
      </c>
      <c r="OK43" s="322">
        <v>268877.45</v>
      </c>
      <c r="OL43" s="322"/>
      <c r="OM43" s="322">
        <v>274763</v>
      </c>
      <c r="ON43" s="322">
        <v>286246.32999999996</v>
      </c>
      <c r="OO43" s="322">
        <v>302025.88</v>
      </c>
      <c r="OP43" s="322">
        <v>306813.29000000004</v>
      </c>
      <c r="OQ43" s="322">
        <v>301134</v>
      </c>
      <c r="OR43" s="334"/>
      <c r="OS43" s="322" t="s">
        <v>26</v>
      </c>
      <c r="OT43" s="322">
        <v>98580.35</v>
      </c>
      <c r="OU43" s="322">
        <v>139032.95000000001</v>
      </c>
      <c r="OV43" s="322">
        <v>164657.5</v>
      </c>
      <c r="OW43" s="322">
        <v>123417.78</v>
      </c>
      <c r="OX43" s="322">
        <v>92517.4</v>
      </c>
      <c r="OY43" s="322">
        <v>74011.199999999997</v>
      </c>
      <c r="OZ43" s="322">
        <v>79031.100000000006</v>
      </c>
      <c r="PA43" s="322">
        <v>74257.52</v>
      </c>
      <c r="PB43" s="322">
        <v>95200.67</v>
      </c>
      <c r="PC43" s="322">
        <v>79028.95</v>
      </c>
      <c r="PD43" s="322">
        <v>87578.12000000001</v>
      </c>
      <c r="PE43" s="322">
        <v>75628.450000000012</v>
      </c>
      <c r="PF43" s="322">
        <v>91109.999999999985</v>
      </c>
      <c r="PG43" s="322">
        <v>82347.150000000009</v>
      </c>
      <c r="PH43" s="322">
        <v>98044.29</v>
      </c>
      <c r="PI43" s="322">
        <v>85845.12000000001</v>
      </c>
      <c r="PJ43" s="322"/>
      <c r="PK43" s="322">
        <v>170635.37999999998</v>
      </c>
      <c r="PL43" s="322">
        <v>177437.22</v>
      </c>
      <c r="PM43" s="322">
        <v>173994.1</v>
      </c>
      <c r="PN43" s="322">
        <v>175638.67999999996</v>
      </c>
      <c r="PO43" s="322">
        <v>169700</v>
      </c>
      <c r="PP43" s="334"/>
      <c r="PQ43" s="322" t="s">
        <v>26</v>
      </c>
      <c r="PR43" s="322">
        <v>19716.07</v>
      </c>
      <c r="PS43" s="322">
        <v>19861.849999999999</v>
      </c>
      <c r="PT43" s="322">
        <v>23522.5</v>
      </c>
      <c r="PU43" s="322">
        <v>20569.63</v>
      </c>
      <c r="PV43" s="322">
        <v>23129.35</v>
      </c>
      <c r="PW43" s="322">
        <v>24670.400000000001</v>
      </c>
      <c r="PX43" s="322">
        <v>26343.7</v>
      </c>
      <c r="PY43" s="322">
        <v>37128.76</v>
      </c>
      <c r="PZ43" s="322">
        <v>22180.880000000001</v>
      </c>
      <c r="QA43" s="322">
        <v>27597.64</v>
      </c>
      <c r="QB43" s="322">
        <v>31025.94</v>
      </c>
      <c r="QC43" s="322">
        <v>24039.440000000002</v>
      </c>
      <c r="QD43" s="322">
        <v>31397.17</v>
      </c>
      <c r="QE43" s="322">
        <v>32975.200000000004</v>
      </c>
      <c r="QF43" s="322">
        <v>29760.450000000004</v>
      </c>
      <c r="QG43" s="322">
        <v>29786.579999999998</v>
      </c>
      <c r="QH43" s="322"/>
      <c r="QI43" s="322">
        <v>36802.29</v>
      </c>
      <c r="QJ43" s="322">
        <v>41705.259999999995</v>
      </c>
      <c r="QK43" s="322">
        <v>53239.44</v>
      </c>
      <c r="QL43" s="322">
        <v>53006.03</v>
      </c>
      <c r="QM43" s="322">
        <v>51200</v>
      </c>
      <c r="QN43" s="334"/>
      <c r="QO43" s="322" t="s">
        <v>26</v>
      </c>
      <c r="QP43" s="322">
        <v>0</v>
      </c>
      <c r="QQ43" s="322">
        <v>0</v>
      </c>
      <c r="QR43" s="322">
        <v>0</v>
      </c>
      <c r="QS43" s="322">
        <v>0</v>
      </c>
      <c r="QT43" s="322">
        <v>0</v>
      </c>
      <c r="QU43" s="322">
        <v>0</v>
      </c>
      <c r="QV43" s="322">
        <v>0</v>
      </c>
      <c r="QW43" s="322">
        <v>0</v>
      </c>
      <c r="QX43" s="322">
        <v>60314.119999999995</v>
      </c>
      <c r="QY43" s="322">
        <v>0</v>
      </c>
      <c r="QZ43" s="322">
        <v>0</v>
      </c>
      <c r="RA43" s="322">
        <v>0</v>
      </c>
      <c r="RB43" s="322">
        <v>0</v>
      </c>
      <c r="RC43" s="322">
        <v>0</v>
      </c>
      <c r="RD43" s="322">
        <v>0</v>
      </c>
      <c r="RE43" s="322">
        <v>18191.969999999998</v>
      </c>
      <c r="RF43" s="322"/>
      <c r="RG43" s="322">
        <v>21557.5</v>
      </c>
      <c r="RH43" s="322">
        <v>19210.91</v>
      </c>
      <c r="RI43" s="322">
        <v>18939.410000000003</v>
      </c>
      <c r="RJ43" s="322">
        <v>19447.560000000001</v>
      </c>
      <c r="RK43" s="322">
        <v>20785</v>
      </c>
      <c r="RL43" s="334"/>
      <c r="RM43" s="322" t="s">
        <v>26</v>
      </c>
      <c r="RN43" s="322">
        <v>118296.42</v>
      </c>
      <c r="RO43" s="322">
        <v>79447.399999999994</v>
      </c>
      <c r="RP43" s="322">
        <v>94090</v>
      </c>
      <c r="RQ43" s="322">
        <v>0</v>
      </c>
      <c r="RR43" s="322">
        <v>0</v>
      </c>
      <c r="RS43" s="322">
        <v>0</v>
      </c>
      <c r="RT43" s="322">
        <v>26343.7</v>
      </c>
      <c r="RU43" s="322">
        <v>74257.52</v>
      </c>
      <c r="RV43" s="322">
        <v>38638.239999999998</v>
      </c>
      <c r="RW43" s="322">
        <v>0</v>
      </c>
      <c r="RX43" s="322">
        <v>167212.01999999999</v>
      </c>
      <c r="RY43" s="322">
        <v>223756.29</v>
      </c>
      <c r="RZ43" s="322">
        <v>32420.29</v>
      </c>
      <c r="SA43" s="322">
        <v>92181.069999999992</v>
      </c>
      <c r="SB43" s="322">
        <v>98824.98</v>
      </c>
      <c r="SC43" s="322">
        <v>43789.39</v>
      </c>
      <c r="SD43" s="322"/>
      <c r="SE43" s="322">
        <v>11365.4</v>
      </c>
      <c r="SF43" s="322">
        <v>1441.1100000000001</v>
      </c>
      <c r="SG43" s="322">
        <v>21060.84</v>
      </c>
      <c r="SH43" s="322">
        <v>10000</v>
      </c>
      <c r="SI43" s="322">
        <v>15000</v>
      </c>
    </row>
    <row r="44" spans="1:503">
      <c r="A44" s="319" t="s">
        <v>27</v>
      </c>
      <c r="B44" s="319">
        <v>1450745</v>
      </c>
      <c r="C44" s="319">
        <v>1356466</v>
      </c>
      <c r="D44" s="319">
        <v>1376988</v>
      </c>
      <c r="E44" s="319">
        <v>1215780</v>
      </c>
      <c r="F44" s="319">
        <v>1396123</v>
      </c>
      <c r="G44" s="319">
        <v>1439961</v>
      </c>
      <c r="H44" s="319">
        <v>1759775</v>
      </c>
      <c r="I44" s="319">
        <v>1671191</v>
      </c>
      <c r="J44" s="319">
        <v>1833692</v>
      </c>
      <c r="K44" s="319"/>
      <c r="L44" s="319"/>
      <c r="M44" s="319"/>
      <c r="N44" s="319"/>
      <c r="O44" s="319"/>
      <c r="P44" s="319"/>
      <c r="Q44" s="319"/>
      <c r="R44" s="319"/>
      <c r="S44" s="322"/>
      <c r="T44" s="319"/>
      <c r="U44" s="319"/>
      <c r="V44" s="319"/>
      <c r="W44" s="319"/>
      <c r="X44" s="330"/>
      <c r="Y44" s="319" t="s">
        <v>27</v>
      </c>
      <c r="Z44" s="319">
        <v>72537.25</v>
      </c>
      <c r="AA44" s="319">
        <v>67823.3</v>
      </c>
      <c r="AB44" s="319">
        <v>68849.399999999994</v>
      </c>
      <c r="AC44" s="319">
        <v>109420.2</v>
      </c>
      <c r="AD44" s="319">
        <v>111689.84</v>
      </c>
      <c r="AE44" s="319">
        <v>115196.88</v>
      </c>
      <c r="AF44" s="319">
        <v>100797.27</v>
      </c>
      <c r="AG44" s="319">
        <v>116983.37</v>
      </c>
      <c r="AH44" s="319">
        <v>128358.44</v>
      </c>
      <c r="AI44" s="319"/>
      <c r="AJ44" s="319"/>
      <c r="AK44" s="319"/>
      <c r="AL44" s="319"/>
      <c r="AM44" s="319"/>
      <c r="AN44" s="319"/>
      <c r="AO44" s="319"/>
      <c r="AP44" s="319"/>
      <c r="AQ44" s="322"/>
      <c r="AR44" s="319"/>
      <c r="AS44" s="319"/>
      <c r="AT44" s="319"/>
      <c r="AU44" s="319"/>
      <c r="AV44" s="334"/>
      <c r="AW44" s="319" t="s">
        <v>27</v>
      </c>
      <c r="AX44" s="319">
        <v>72537.25</v>
      </c>
      <c r="AY44" s="319">
        <v>94952.62000000001</v>
      </c>
      <c r="AZ44" s="319">
        <v>82619.28</v>
      </c>
      <c r="BA44" s="319">
        <v>97262.400000000009</v>
      </c>
      <c r="BB44" s="319">
        <v>97728.610000000015</v>
      </c>
      <c r="BC44" s="319">
        <v>86397.66</v>
      </c>
      <c r="BD44" s="319">
        <v>123184.25000000001</v>
      </c>
      <c r="BE44" s="319">
        <v>66847.64</v>
      </c>
      <c r="BF44" s="319">
        <v>7276.5555555555547</v>
      </c>
      <c r="BG44" s="319"/>
      <c r="BH44" s="319"/>
      <c r="BI44" s="319"/>
      <c r="BJ44" s="319"/>
      <c r="BK44" s="319"/>
      <c r="BL44" s="319"/>
      <c r="BM44" s="319"/>
      <c r="BN44" s="319"/>
      <c r="BO44" s="322"/>
      <c r="BP44" s="319"/>
      <c r="BQ44" s="319"/>
      <c r="BR44" s="319"/>
      <c r="BS44" s="319"/>
      <c r="BT44" s="334"/>
      <c r="BU44" s="322" t="s">
        <v>27</v>
      </c>
      <c r="BV44" s="322">
        <v>72537.25</v>
      </c>
      <c r="BW44" s="322">
        <v>27129.32</v>
      </c>
      <c r="BX44" s="322">
        <v>82619.28</v>
      </c>
      <c r="BY44" s="322">
        <v>36473.4</v>
      </c>
      <c r="BZ44" s="322">
        <v>83767.38</v>
      </c>
      <c r="CA44" s="322">
        <v>28799.22</v>
      </c>
      <c r="CB44" s="322">
        <v>105586.5</v>
      </c>
      <c r="CC44" s="322">
        <v>33423.82</v>
      </c>
      <c r="CD44" s="322">
        <v>110021.52</v>
      </c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34"/>
      <c r="CS44" s="322" t="s">
        <v>27</v>
      </c>
      <c r="CT44" s="322">
        <v>43522.35</v>
      </c>
      <c r="CU44" s="322">
        <v>54258.64</v>
      </c>
      <c r="CV44" s="322">
        <v>55079.519999999997</v>
      </c>
      <c r="CW44" s="322">
        <v>48631.199999999997</v>
      </c>
      <c r="CX44" s="322">
        <v>41883.69</v>
      </c>
      <c r="CY44" s="322">
        <v>43198.83</v>
      </c>
      <c r="CZ44" s="322">
        <v>70391</v>
      </c>
      <c r="DA44" s="322">
        <v>66847.64</v>
      </c>
      <c r="DB44" s="322">
        <v>91684.6</v>
      </c>
      <c r="DC44" s="322"/>
      <c r="DD44" s="322"/>
      <c r="DE44" s="322"/>
      <c r="DF44" s="322"/>
      <c r="DG44" s="322"/>
      <c r="DH44" s="322"/>
      <c r="DI44" s="322"/>
      <c r="DJ44" s="322"/>
      <c r="DK44" s="322"/>
      <c r="DL44" s="322"/>
      <c r="DM44" s="322"/>
      <c r="DN44" s="322"/>
      <c r="DO44" s="322"/>
      <c r="DP44" s="334"/>
      <c r="DQ44" s="322" t="s">
        <v>27</v>
      </c>
      <c r="DR44" s="322">
        <v>14507.45</v>
      </c>
      <c r="DS44" s="322">
        <v>0</v>
      </c>
      <c r="DT44" s="322">
        <v>0</v>
      </c>
      <c r="DU44" s="322">
        <v>0</v>
      </c>
      <c r="DV44" s="322">
        <v>0</v>
      </c>
      <c r="DW44" s="322">
        <v>0</v>
      </c>
      <c r="DX44" s="322">
        <v>0</v>
      </c>
      <c r="DY44" s="322">
        <v>0</v>
      </c>
      <c r="DZ44" s="322">
        <v>0</v>
      </c>
      <c r="EA44" s="322"/>
      <c r="EB44" s="322"/>
      <c r="EC44" s="322"/>
      <c r="ED44" s="322"/>
      <c r="EE44" s="322"/>
      <c r="EF44" s="322"/>
      <c r="EG44" s="322"/>
      <c r="EH44" s="322"/>
      <c r="EI44" s="322"/>
      <c r="EJ44" s="322"/>
      <c r="EK44" s="322"/>
      <c r="EL44" s="322"/>
      <c r="EM44" s="322"/>
      <c r="EN44" s="334"/>
      <c r="EO44" s="322" t="s">
        <v>27</v>
      </c>
      <c r="EP44" s="322">
        <v>29014.9</v>
      </c>
      <c r="EQ44" s="322">
        <v>27129.32</v>
      </c>
      <c r="ER44" s="322">
        <v>27539.759999999998</v>
      </c>
      <c r="ES44" s="322">
        <v>36473.4</v>
      </c>
      <c r="ET44" s="322">
        <v>41883.69</v>
      </c>
      <c r="EU44" s="322">
        <v>43198.83</v>
      </c>
      <c r="EV44" s="322">
        <v>35195.5</v>
      </c>
      <c r="EW44" s="322">
        <v>33423.82</v>
      </c>
      <c r="EX44" s="322">
        <v>36673.839999999997</v>
      </c>
      <c r="EY44" s="322"/>
      <c r="EZ44" s="322"/>
      <c r="FA44" s="322"/>
      <c r="FB44" s="322"/>
      <c r="FC44" s="322"/>
      <c r="FD44" s="322"/>
      <c r="FE44" s="322"/>
      <c r="FF44" s="322"/>
      <c r="FG44" s="322"/>
      <c r="FH44" s="322"/>
      <c r="FI44" s="322"/>
      <c r="FJ44" s="322"/>
      <c r="FK44" s="322"/>
      <c r="FL44" s="334"/>
      <c r="FM44" s="322" t="s">
        <v>27</v>
      </c>
      <c r="FN44" s="322">
        <v>87044.7</v>
      </c>
      <c r="FO44" s="322">
        <v>94952.62</v>
      </c>
      <c r="FP44" s="322">
        <v>96389.16</v>
      </c>
      <c r="FQ44" s="322">
        <v>97262.399999999994</v>
      </c>
      <c r="FR44" s="322">
        <v>97728.61</v>
      </c>
      <c r="FS44" s="322">
        <v>115196.88</v>
      </c>
      <c r="FT44" s="322">
        <v>140782</v>
      </c>
      <c r="FU44" s="322">
        <v>133695.28</v>
      </c>
      <c r="FV44" s="322">
        <v>128358.44</v>
      </c>
      <c r="FW44" s="322"/>
      <c r="FX44" s="322"/>
      <c r="FY44" s="322"/>
      <c r="FZ44" s="322"/>
      <c r="GA44" s="322"/>
      <c r="GB44" s="322"/>
      <c r="GC44" s="322"/>
      <c r="GD44" s="322"/>
      <c r="GE44" s="322"/>
      <c r="GF44" s="340"/>
      <c r="GG44" s="704"/>
      <c r="GH44" s="704"/>
      <c r="GI44" s="704"/>
      <c r="GJ44" s="334"/>
      <c r="GK44" s="322" t="s">
        <v>27</v>
      </c>
      <c r="GL44" s="322">
        <v>0</v>
      </c>
      <c r="GM44" s="322">
        <v>0</v>
      </c>
      <c r="GN44" s="322">
        <v>0</v>
      </c>
      <c r="GO44" s="322">
        <v>0</v>
      </c>
      <c r="GP44" s="322">
        <v>0</v>
      </c>
      <c r="GQ44" s="322">
        <v>0</v>
      </c>
      <c r="GR44" s="322">
        <v>0</v>
      </c>
      <c r="GS44" s="322">
        <v>0</v>
      </c>
      <c r="GT44" s="322">
        <v>0</v>
      </c>
      <c r="GU44" s="322"/>
      <c r="GV44" s="322"/>
      <c r="GW44" s="322"/>
      <c r="GX44" s="322"/>
      <c r="GY44" s="322"/>
      <c r="GZ44" s="322"/>
      <c r="HA44" s="322"/>
      <c r="HB44" s="322"/>
      <c r="HC44" s="322"/>
      <c r="HD44" s="322"/>
      <c r="HE44" s="322"/>
      <c r="HF44" s="322"/>
      <c r="HG44" s="322"/>
      <c r="HH44" s="334"/>
      <c r="HI44" s="322" t="s">
        <v>27</v>
      </c>
      <c r="HJ44" s="322">
        <v>29014.9</v>
      </c>
      <c r="HK44" s="322">
        <v>40693.980000000003</v>
      </c>
      <c r="HL44" s="322">
        <v>27539.759999999998</v>
      </c>
      <c r="HM44" s="322">
        <v>36473.4</v>
      </c>
      <c r="HN44" s="322">
        <v>41883.69</v>
      </c>
      <c r="HO44" s="322">
        <v>43198.83</v>
      </c>
      <c r="HP44" s="322">
        <v>52793.25</v>
      </c>
      <c r="HQ44" s="322">
        <v>50135.73</v>
      </c>
      <c r="HR44" s="322">
        <v>55010.76</v>
      </c>
      <c r="HS44" s="322"/>
      <c r="HT44" s="322"/>
      <c r="HU44" s="322"/>
      <c r="HV44" s="322"/>
      <c r="HW44" s="322"/>
      <c r="HX44" s="322"/>
      <c r="HY44" s="322"/>
      <c r="HZ44" s="322"/>
      <c r="IA44" s="322"/>
      <c r="IB44" s="322"/>
      <c r="IC44" s="322"/>
      <c r="ID44" s="322"/>
      <c r="IE44" s="322"/>
      <c r="IF44" s="334"/>
      <c r="IG44" s="322" t="s">
        <v>27</v>
      </c>
      <c r="IH44" s="322">
        <v>14507.45</v>
      </c>
      <c r="II44" s="322">
        <v>13564.66</v>
      </c>
      <c r="IJ44" s="322">
        <v>13769.88</v>
      </c>
      <c r="IK44" s="322">
        <v>12157.8</v>
      </c>
      <c r="IL44" s="322">
        <v>0</v>
      </c>
      <c r="IM44" s="322">
        <v>14399.61</v>
      </c>
      <c r="IN44" s="322">
        <v>17597.75</v>
      </c>
      <c r="IO44" s="322">
        <v>16711.91</v>
      </c>
      <c r="IP44" s="322">
        <v>18336.919999999998</v>
      </c>
      <c r="IQ44" s="322"/>
      <c r="IR44" s="322"/>
      <c r="IS44" s="322"/>
      <c r="IT44" s="322"/>
      <c r="IU44" s="322"/>
      <c r="IV44" s="322"/>
      <c r="IW44" s="322"/>
      <c r="IX44" s="322"/>
      <c r="IY44" s="322"/>
      <c r="IZ44" s="322"/>
      <c r="JA44" s="322"/>
      <c r="JB44" s="322"/>
      <c r="JC44" s="322"/>
      <c r="JD44" s="334"/>
      <c r="JE44" s="322" t="s">
        <v>27</v>
      </c>
      <c r="JF44" s="322">
        <v>0</v>
      </c>
      <c r="JG44" s="322">
        <v>0</v>
      </c>
      <c r="JH44" s="322">
        <v>0</v>
      </c>
      <c r="JI44" s="322">
        <v>0</v>
      </c>
      <c r="JJ44" s="322">
        <v>0</v>
      </c>
      <c r="JK44" s="322">
        <v>0</v>
      </c>
      <c r="JL44" s="322">
        <v>0</v>
      </c>
      <c r="JM44" s="322">
        <v>0</v>
      </c>
      <c r="JN44" s="322">
        <v>0</v>
      </c>
      <c r="JO44" s="322"/>
      <c r="JP44" s="322"/>
      <c r="JQ44" s="322"/>
      <c r="JR44" s="322"/>
      <c r="JS44" s="322"/>
      <c r="JT44" s="322"/>
      <c r="JU44" s="322"/>
      <c r="JV44" s="322"/>
      <c r="JW44" s="322"/>
      <c r="JX44" s="322"/>
      <c r="JY44" s="322"/>
      <c r="JZ44" s="322"/>
      <c r="KA44" s="322"/>
      <c r="KB44" s="334"/>
      <c r="KC44" s="322" t="s">
        <v>27</v>
      </c>
      <c r="KD44" s="322">
        <v>14507.45</v>
      </c>
      <c r="KE44" s="322">
        <v>13564.66</v>
      </c>
      <c r="KF44" s="322">
        <v>27539.759999999998</v>
      </c>
      <c r="KG44" s="322">
        <v>24315.599999999999</v>
      </c>
      <c r="KH44" s="322">
        <v>27922.46</v>
      </c>
      <c r="KI44" s="322">
        <v>28799.22</v>
      </c>
      <c r="KJ44" s="322">
        <v>35195.5</v>
      </c>
      <c r="KK44" s="322">
        <v>33423.82</v>
      </c>
      <c r="KL44" s="322">
        <v>36673.839999999997</v>
      </c>
      <c r="KM44" s="322"/>
      <c r="KN44" s="322"/>
      <c r="KO44" s="322"/>
      <c r="KP44" s="322"/>
      <c r="KQ44" s="322"/>
      <c r="KR44" s="322"/>
      <c r="KS44" s="322"/>
      <c r="KT44" s="322"/>
      <c r="KU44" s="322"/>
      <c r="KV44" s="322"/>
      <c r="KW44" s="322"/>
      <c r="KX44" s="322"/>
      <c r="KY44" s="322"/>
      <c r="KZ44" s="334"/>
      <c r="LA44" s="322" t="s">
        <v>27</v>
      </c>
      <c r="LB44" s="322">
        <v>290149</v>
      </c>
      <c r="LC44" s="322">
        <v>339116.5</v>
      </c>
      <c r="LD44" s="322">
        <v>261627.72</v>
      </c>
      <c r="LE44" s="322">
        <v>121578</v>
      </c>
      <c r="LF44" s="322">
        <v>209418.45</v>
      </c>
      <c r="LG44" s="322">
        <v>129596.49</v>
      </c>
      <c r="LH44" s="322">
        <v>246368.5</v>
      </c>
      <c r="LI44" s="322">
        <v>183831.01</v>
      </c>
      <c r="LJ44" s="322">
        <v>293390.71999999997</v>
      </c>
      <c r="LK44" s="322"/>
      <c r="LL44" s="322"/>
      <c r="LM44" s="322"/>
      <c r="LN44" s="322"/>
      <c r="LO44" s="322"/>
      <c r="LP44" s="322"/>
      <c r="LQ44" s="322"/>
      <c r="LR44" s="322"/>
      <c r="LS44" s="322"/>
      <c r="LT44" s="322"/>
      <c r="LU44" s="322"/>
      <c r="LV44" s="322"/>
      <c r="LW44" s="322"/>
      <c r="LX44" s="334"/>
      <c r="LY44" s="322" t="s">
        <v>27</v>
      </c>
      <c r="LZ44" s="322">
        <v>319163.90000000002</v>
      </c>
      <c r="MA44" s="322">
        <v>352681.16</v>
      </c>
      <c r="MB44" s="322">
        <v>302937.36</v>
      </c>
      <c r="MC44" s="322">
        <v>291787.2</v>
      </c>
      <c r="MD44" s="322">
        <v>321108.28999999998</v>
      </c>
      <c r="ME44" s="322">
        <v>345590.64</v>
      </c>
      <c r="MF44" s="322">
        <v>422346</v>
      </c>
      <c r="MG44" s="322">
        <v>417797.75</v>
      </c>
      <c r="MH44" s="322">
        <v>421749.16</v>
      </c>
      <c r="MI44" s="322"/>
      <c r="MJ44" s="322"/>
      <c r="MK44" s="322"/>
      <c r="ML44" s="322"/>
      <c r="MM44" s="322"/>
      <c r="MN44" s="322"/>
      <c r="MO44" s="322"/>
      <c r="MP44" s="322"/>
      <c r="MQ44" s="322"/>
      <c r="MR44" s="322"/>
      <c r="MS44" s="322"/>
      <c r="MT44" s="322"/>
      <c r="MU44" s="322"/>
      <c r="MV44" s="334"/>
      <c r="MW44" s="322" t="s">
        <v>27</v>
      </c>
      <c r="MX44" s="322">
        <v>87044.7</v>
      </c>
      <c r="MY44" s="322">
        <v>81387.960000000006</v>
      </c>
      <c r="MZ44" s="322">
        <v>96389.16</v>
      </c>
      <c r="NA44" s="322">
        <v>121578</v>
      </c>
      <c r="NB44" s="322">
        <v>167534.76</v>
      </c>
      <c r="NC44" s="322">
        <v>172795.32</v>
      </c>
      <c r="ND44" s="322">
        <v>211173</v>
      </c>
      <c r="NE44" s="322">
        <v>200542.92</v>
      </c>
      <c r="NF44" s="322">
        <v>220043.04</v>
      </c>
      <c r="NG44" s="322"/>
      <c r="NH44" s="322"/>
      <c r="NI44" s="322"/>
      <c r="NJ44" s="322"/>
      <c r="NK44" s="322"/>
      <c r="NL44" s="322"/>
      <c r="NM44" s="322"/>
      <c r="NN44" s="322"/>
      <c r="NO44" s="322"/>
      <c r="NP44" s="322"/>
      <c r="NQ44" s="322"/>
      <c r="NR44" s="322"/>
      <c r="NS44" s="322"/>
      <c r="NT44" s="334"/>
      <c r="NU44" s="322" t="s">
        <v>27</v>
      </c>
      <c r="NV44" s="322">
        <v>87044.7</v>
      </c>
      <c r="NW44" s="322">
        <v>81387.960000000006</v>
      </c>
      <c r="NX44" s="322">
        <v>82619.28</v>
      </c>
      <c r="NY44" s="322">
        <v>85104.6</v>
      </c>
      <c r="NZ44" s="322">
        <v>111689.84</v>
      </c>
      <c r="OA44" s="322">
        <v>115196.88</v>
      </c>
      <c r="OB44" s="322">
        <v>123184.25</v>
      </c>
      <c r="OC44" s="322">
        <v>133695.28</v>
      </c>
      <c r="OD44" s="322">
        <v>165032.28</v>
      </c>
      <c r="OE44" s="322"/>
      <c r="OF44" s="322"/>
      <c r="OG44" s="322"/>
      <c r="OH44" s="322"/>
      <c r="OI44" s="322"/>
      <c r="OJ44" s="322"/>
      <c r="OK44" s="322"/>
      <c r="OL44" s="322"/>
      <c r="OM44" s="322"/>
      <c r="ON44" s="322"/>
      <c r="OO44" s="322"/>
      <c r="OP44" s="322"/>
      <c r="OQ44" s="322"/>
      <c r="OR44" s="334"/>
      <c r="OS44" s="322" t="s">
        <v>27</v>
      </c>
      <c r="OT44" s="322">
        <v>43522.35</v>
      </c>
      <c r="OU44" s="322">
        <v>40693.980000000003</v>
      </c>
      <c r="OV44" s="322">
        <v>41309.64</v>
      </c>
      <c r="OW44" s="322">
        <v>24315.599999999999</v>
      </c>
      <c r="OX44" s="322">
        <v>27922.46</v>
      </c>
      <c r="OY44" s="322">
        <v>28799.22</v>
      </c>
      <c r="OZ44" s="322">
        <v>35195.5</v>
      </c>
      <c r="PA44" s="322">
        <v>33423.82</v>
      </c>
      <c r="PB44" s="322">
        <v>36673.839999999997</v>
      </c>
      <c r="PC44" s="322"/>
      <c r="PD44" s="322"/>
      <c r="PE44" s="322"/>
      <c r="PF44" s="322"/>
      <c r="PG44" s="322"/>
      <c r="PH44" s="322"/>
      <c r="PI44" s="322"/>
      <c r="PJ44" s="322"/>
      <c r="PK44" s="322"/>
      <c r="PL44" s="322"/>
      <c r="PM44" s="322"/>
      <c r="PN44" s="322"/>
      <c r="PO44" s="322"/>
      <c r="PP44" s="334"/>
      <c r="PQ44" s="322" t="s">
        <v>27</v>
      </c>
      <c r="PR44" s="322">
        <v>0</v>
      </c>
      <c r="PS44" s="322">
        <v>13564.66</v>
      </c>
      <c r="PT44" s="322">
        <v>13769.88</v>
      </c>
      <c r="PU44" s="322">
        <v>12157.8</v>
      </c>
      <c r="PV44" s="322">
        <v>13961.23</v>
      </c>
      <c r="PW44" s="322">
        <v>14399.61</v>
      </c>
      <c r="PX44" s="322">
        <v>17597.75</v>
      </c>
      <c r="PY44" s="322">
        <v>16711.91</v>
      </c>
      <c r="PZ44" s="322">
        <v>18336.919999999998</v>
      </c>
      <c r="QA44" s="322"/>
      <c r="QB44" s="322"/>
      <c r="QC44" s="322"/>
      <c r="QD44" s="322"/>
      <c r="QE44" s="322"/>
      <c r="QF44" s="322"/>
      <c r="QG44" s="322"/>
      <c r="QH44" s="322"/>
      <c r="QI44" s="322"/>
      <c r="QJ44" s="322"/>
      <c r="QK44" s="322"/>
      <c r="QL44" s="322"/>
      <c r="QM44" s="322"/>
      <c r="QN44" s="334"/>
      <c r="QO44" s="322" t="s">
        <v>27</v>
      </c>
      <c r="QP44" s="322">
        <v>0</v>
      </c>
      <c r="QQ44" s="322">
        <v>0</v>
      </c>
      <c r="QR44" s="322">
        <v>0</v>
      </c>
      <c r="QS44" s="322">
        <v>0</v>
      </c>
      <c r="QT44" s="322">
        <v>0</v>
      </c>
      <c r="QU44" s="322">
        <v>0</v>
      </c>
      <c r="QV44" s="322">
        <v>0</v>
      </c>
      <c r="QW44" s="322">
        <v>0</v>
      </c>
      <c r="QX44" s="322">
        <v>0</v>
      </c>
      <c r="QY44" s="322"/>
      <c r="QZ44" s="322"/>
      <c r="RA44" s="322"/>
      <c r="RB44" s="322"/>
      <c r="RC44" s="322"/>
      <c r="RD44" s="322"/>
      <c r="RE44" s="322"/>
      <c r="RF44" s="322"/>
      <c r="RG44" s="322"/>
      <c r="RH44" s="322"/>
      <c r="RI44" s="322"/>
      <c r="RJ44" s="322"/>
      <c r="RK44" s="322"/>
      <c r="RL44" s="334"/>
      <c r="RM44" s="322" t="s">
        <v>27</v>
      </c>
      <c r="RN44" s="322">
        <v>174089.4</v>
      </c>
      <c r="RO44" s="322">
        <v>13564.66</v>
      </c>
      <c r="RP44" s="322">
        <v>96389.16</v>
      </c>
      <c r="RQ44" s="322">
        <v>60789</v>
      </c>
      <c r="RR44" s="322">
        <v>0</v>
      </c>
      <c r="RS44" s="322">
        <v>115196.88</v>
      </c>
      <c r="RT44" s="322">
        <v>0</v>
      </c>
      <c r="RU44" s="322">
        <v>133695.28</v>
      </c>
      <c r="RV44" s="322">
        <v>0</v>
      </c>
      <c r="RW44" s="322"/>
      <c r="RX44" s="322"/>
      <c r="RY44" s="322"/>
      <c r="RZ44" s="322"/>
      <c r="SA44" s="322"/>
      <c r="SB44" s="322"/>
      <c r="SC44" s="322"/>
      <c r="SD44" s="322"/>
      <c r="SE44" s="322"/>
      <c r="SF44" s="322"/>
      <c r="SG44" s="322"/>
      <c r="SH44" s="322"/>
      <c r="SI44" s="322"/>
    </row>
    <row r="45" spans="1:503">
      <c r="A45" s="319" t="s">
        <v>28</v>
      </c>
      <c r="B45" s="319">
        <v>625637</v>
      </c>
      <c r="C45" s="319">
        <v>763424</v>
      </c>
      <c r="D45" s="319">
        <v>848939</v>
      </c>
      <c r="E45" s="319">
        <v>930019</v>
      </c>
      <c r="F45" s="319">
        <v>937274</v>
      </c>
      <c r="G45" s="319">
        <v>1048902</v>
      </c>
      <c r="H45" s="319">
        <v>1093557</v>
      </c>
      <c r="I45" s="319">
        <v>1046301</v>
      </c>
      <c r="J45" s="319">
        <v>1060480.68</v>
      </c>
      <c r="K45" s="319">
        <v>1797571.82</v>
      </c>
      <c r="L45" s="319">
        <v>1228374.33</v>
      </c>
      <c r="M45" s="319">
        <v>986374.43000000017</v>
      </c>
      <c r="N45" s="319">
        <v>1430238.1099999999</v>
      </c>
      <c r="O45" s="319">
        <v>1355709.9300000002</v>
      </c>
      <c r="P45" s="319">
        <v>1328667.01</v>
      </c>
      <c r="Q45" s="319">
        <v>1131551.1499999999</v>
      </c>
      <c r="R45" s="319">
        <v>1139277.08</v>
      </c>
      <c r="S45" s="322">
        <v>1154639.54</v>
      </c>
      <c r="T45" s="319">
        <v>1213291.2399999998</v>
      </c>
      <c r="U45" s="319">
        <v>1217955.74</v>
      </c>
      <c r="V45" s="319">
        <v>1276727.2399999998</v>
      </c>
      <c r="W45" s="319">
        <v>1414157.02</v>
      </c>
      <c r="X45" s="330"/>
      <c r="Y45" s="319" t="s">
        <v>28</v>
      </c>
      <c r="Z45" s="319">
        <v>37538.22</v>
      </c>
      <c r="AA45" s="319">
        <v>38171.199999999997</v>
      </c>
      <c r="AB45" s="319">
        <v>33957.56</v>
      </c>
      <c r="AC45" s="319">
        <v>46500.95</v>
      </c>
      <c r="AD45" s="319">
        <v>46863.7</v>
      </c>
      <c r="AE45" s="319">
        <v>52445.1</v>
      </c>
      <c r="AF45" s="319">
        <v>41956.08</v>
      </c>
      <c r="AG45" s="319">
        <v>62778.06</v>
      </c>
      <c r="AH45" s="319">
        <v>63447.939999999995</v>
      </c>
      <c r="AI45" s="319">
        <v>68347.839999999997</v>
      </c>
      <c r="AJ45" s="319">
        <v>69949.59</v>
      </c>
      <c r="AK45" s="319">
        <v>70301.210000000006</v>
      </c>
      <c r="AL45" s="319">
        <v>75753.37</v>
      </c>
      <c r="AM45" s="319">
        <v>79863.41</v>
      </c>
      <c r="AN45" s="319">
        <v>78387.409999999989</v>
      </c>
      <c r="AO45" s="319">
        <v>81014.78</v>
      </c>
      <c r="AP45" s="319">
        <v>83674.92</v>
      </c>
      <c r="AQ45" s="322">
        <v>84527.51</v>
      </c>
      <c r="AR45" s="319">
        <v>85699.86</v>
      </c>
      <c r="AS45" s="319">
        <v>88548.47</v>
      </c>
      <c r="AT45" s="319">
        <v>91722.81</v>
      </c>
      <c r="AU45" s="319">
        <v>94811.83</v>
      </c>
      <c r="AV45" s="334"/>
      <c r="AW45" s="319" t="s">
        <v>28</v>
      </c>
      <c r="AX45" s="319">
        <v>50050.96</v>
      </c>
      <c r="AY45" s="319">
        <v>53439.680000000008</v>
      </c>
      <c r="AZ45" s="319">
        <v>59425.73</v>
      </c>
      <c r="BA45" s="319">
        <v>74401.52</v>
      </c>
      <c r="BB45" s="319">
        <v>74981.919999999998</v>
      </c>
      <c r="BC45" s="319">
        <v>62934.119999999995</v>
      </c>
      <c r="BD45" s="319">
        <v>87484.56</v>
      </c>
      <c r="BE45" s="319">
        <v>73241.070000000007</v>
      </c>
      <c r="BF45" s="319">
        <v>78111.14</v>
      </c>
      <c r="BG45" s="319">
        <v>87246.639999999985</v>
      </c>
      <c r="BH45" s="319">
        <v>79692.25</v>
      </c>
      <c r="BI45" s="319">
        <v>85381.3</v>
      </c>
      <c r="BJ45" s="319">
        <v>89566.64</v>
      </c>
      <c r="BK45" s="319">
        <v>90120.239999999991</v>
      </c>
      <c r="BL45" s="319">
        <v>107194.15</v>
      </c>
      <c r="BM45" s="319">
        <v>91445.58</v>
      </c>
      <c r="BN45" s="319">
        <v>107667.39999999998</v>
      </c>
      <c r="BO45" s="322">
        <v>98322.38</v>
      </c>
      <c r="BP45" s="319">
        <v>91513.450000000012</v>
      </c>
      <c r="BQ45" s="319">
        <v>92896.76999999999</v>
      </c>
      <c r="BR45" s="319">
        <v>102352</v>
      </c>
      <c r="BS45" s="319">
        <v>101251.48</v>
      </c>
      <c r="BT45" s="334"/>
      <c r="BU45" s="322" t="s">
        <v>28</v>
      </c>
      <c r="BV45" s="322">
        <v>25025.48</v>
      </c>
      <c r="BW45" s="322">
        <v>0</v>
      </c>
      <c r="BX45" s="322">
        <v>16978.78</v>
      </c>
      <c r="BY45" s="322">
        <v>9300.19</v>
      </c>
      <c r="BZ45" s="322">
        <v>28118.22</v>
      </c>
      <c r="CA45" s="322">
        <v>0</v>
      </c>
      <c r="CB45" s="322">
        <v>21871.14</v>
      </c>
      <c r="CC45" s="322">
        <v>0</v>
      </c>
      <c r="CD45" s="322">
        <v>30613.57</v>
      </c>
      <c r="CE45" s="322">
        <v>8696.0400000000009</v>
      </c>
      <c r="CF45" s="322">
        <v>137655.54999999999</v>
      </c>
      <c r="CG45" s="322">
        <v>11190.89</v>
      </c>
      <c r="CH45" s="322">
        <v>40376.29</v>
      </c>
      <c r="CI45" s="322">
        <v>2677.5299999999997</v>
      </c>
      <c r="CJ45" s="322">
        <v>36030.030000000006</v>
      </c>
      <c r="CK45" s="322">
        <v>9497.2199999999993</v>
      </c>
      <c r="CL45" s="322">
        <v>44032.029999999992</v>
      </c>
      <c r="CM45" s="322">
        <v>2055.7199999999998</v>
      </c>
      <c r="CN45" s="322">
        <v>52017.69</v>
      </c>
      <c r="CO45" s="322">
        <v>26844.86</v>
      </c>
      <c r="CP45" s="322">
        <v>61382.68</v>
      </c>
      <c r="CQ45" s="322">
        <v>12100</v>
      </c>
      <c r="CR45" s="334"/>
      <c r="CS45" s="322" t="s">
        <v>28</v>
      </c>
      <c r="CT45" s="322">
        <v>37538.22</v>
      </c>
      <c r="CU45" s="322">
        <v>38171.199999999997</v>
      </c>
      <c r="CV45" s="322">
        <v>25468.17</v>
      </c>
      <c r="CW45" s="322">
        <v>37200.76</v>
      </c>
      <c r="CX45" s="322">
        <v>74981.919999999998</v>
      </c>
      <c r="CY45" s="322">
        <v>83912.16</v>
      </c>
      <c r="CZ45" s="322">
        <v>65613.42</v>
      </c>
      <c r="DA45" s="322">
        <v>52315.05</v>
      </c>
      <c r="DB45" s="322">
        <v>42066.97</v>
      </c>
      <c r="DC45" s="322">
        <v>736730.91999999993</v>
      </c>
      <c r="DD45" s="322">
        <v>78182.710000000006</v>
      </c>
      <c r="DE45" s="322">
        <v>34405.79</v>
      </c>
      <c r="DF45" s="322">
        <v>65981.39</v>
      </c>
      <c r="DG45" s="322">
        <v>129896.02</v>
      </c>
      <c r="DH45" s="322">
        <v>95712.810000000012</v>
      </c>
      <c r="DI45" s="322">
        <v>91985.320000000022</v>
      </c>
      <c r="DJ45" s="322">
        <v>99480.930000000022</v>
      </c>
      <c r="DK45" s="322">
        <v>73015.39</v>
      </c>
      <c r="DL45" s="322">
        <v>102887.09999999999</v>
      </c>
      <c r="DM45" s="322">
        <v>157748.22999999998</v>
      </c>
      <c r="DN45" s="322">
        <v>68635.210000000006</v>
      </c>
      <c r="DO45" s="322">
        <v>84850</v>
      </c>
      <c r="DP45" s="334"/>
      <c r="DQ45" s="322" t="s">
        <v>28</v>
      </c>
      <c r="DR45" s="322">
        <v>50050.96</v>
      </c>
      <c r="DS45" s="322">
        <v>53439.68</v>
      </c>
      <c r="DT45" s="322">
        <v>59425.73</v>
      </c>
      <c r="DU45" s="322">
        <v>65101.33</v>
      </c>
      <c r="DV45" s="322">
        <v>84354.66</v>
      </c>
      <c r="DW45" s="322">
        <v>52445.1</v>
      </c>
      <c r="DX45" s="322">
        <v>65613.42</v>
      </c>
      <c r="DY45" s="322">
        <v>94167.09</v>
      </c>
      <c r="DZ45" s="322">
        <v>97412.35</v>
      </c>
      <c r="EA45" s="322">
        <v>102026.15999999999</v>
      </c>
      <c r="EB45" s="322">
        <v>96413.700000000012</v>
      </c>
      <c r="EC45" s="322">
        <v>102336.63</v>
      </c>
      <c r="ED45" s="322">
        <v>107128.88</v>
      </c>
      <c r="EE45" s="322">
        <v>119797.85</v>
      </c>
      <c r="EF45" s="322">
        <v>123233.05</v>
      </c>
      <c r="EG45" s="322">
        <v>126069.67000000001</v>
      </c>
      <c r="EH45" s="322">
        <v>133655.41000000003</v>
      </c>
      <c r="EI45" s="322">
        <v>146895.01999999999</v>
      </c>
      <c r="EJ45" s="322">
        <v>161343.85</v>
      </c>
      <c r="EK45" s="322">
        <v>171657.68999999997</v>
      </c>
      <c r="EL45" s="322">
        <v>192706.05999999997</v>
      </c>
      <c r="EM45" s="322">
        <v>212935</v>
      </c>
      <c r="EN45" s="334"/>
      <c r="EO45" s="322" t="s">
        <v>28</v>
      </c>
      <c r="EP45" s="322">
        <v>43794.59</v>
      </c>
      <c r="EQ45" s="322">
        <v>45805.440000000002</v>
      </c>
      <c r="ER45" s="322">
        <v>42446.95</v>
      </c>
      <c r="ES45" s="322">
        <v>37200.76</v>
      </c>
      <c r="ET45" s="322">
        <v>46863.7</v>
      </c>
      <c r="EU45" s="322">
        <v>52445.1</v>
      </c>
      <c r="EV45" s="322">
        <v>54677.85</v>
      </c>
      <c r="EW45" s="322">
        <v>52315.05</v>
      </c>
      <c r="EX45" s="322">
        <v>54149.29</v>
      </c>
      <c r="EY45" s="322">
        <v>52536.51</v>
      </c>
      <c r="EZ45" s="322">
        <v>71224.22</v>
      </c>
      <c r="FA45" s="322">
        <v>65982.13</v>
      </c>
      <c r="FB45" s="322">
        <v>68488.819999999992</v>
      </c>
      <c r="FC45" s="322">
        <v>67159.61</v>
      </c>
      <c r="FD45" s="322">
        <v>67187.27</v>
      </c>
      <c r="FE45" s="322">
        <v>68580.09</v>
      </c>
      <c r="FF45" s="322">
        <v>70381.42</v>
      </c>
      <c r="FG45" s="322">
        <v>68734.150000000009</v>
      </c>
      <c r="FH45" s="322">
        <v>68279.100000000006</v>
      </c>
      <c r="FI45" s="322">
        <v>70914.19</v>
      </c>
      <c r="FJ45" s="322">
        <v>71697.08</v>
      </c>
      <c r="FK45" s="322">
        <v>78054</v>
      </c>
      <c r="FL45" s="334"/>
      <c r="FM45" s="322" t="s">
        <v>28</v>
      </c>
      <c r="FN45" s="322">
        <v>0</v>
      </c>
      <c r="FO45" s="322">
        <v>0</v>
      </c>
      <c r="FP45" s="322">
        <v>0</v>
      </c>
      <c r="FQ45" s="322">
        <v>0</v>
      </c>
      <c r="FR45" s="322">
        <v>0</v>
      </c>
      <c r="FS45" s="322">
        <v>0</v>
      </c>
      <c r="FT45" s="322">
        <v>0</v>
      </c>
      <c r="FU45" s="322">
        <v>0</v>
      </c>
      <c r="FV45" s="322">
        <v>0</v>
      </c>
      <c r="FW45" s="322">
        <v>0</v>
      </c>
      <c r="FX45" s="322">
        <v>0</v>
      </c>
      <c r="FY45" s="322">
        <v>0</v>
      </c>
      <c r="FZ45" s="322">
        <v>0</v>
      </c>
      <c r="GA45" s="322">
        <v>0</v>
      </c>
      <c r="GB45" s="322">
        <v>0</v>
      </c>
      <c r="GC45" s="322">
        <v>0</v>
      </c>
      <c r="GD45" s="322">
        <v>0</v>
      </c>
      <c r="GE45" s="322">
        <v>0</v>
      </c>
      <c r="GF45" s="340">
        <v>0</v>
      </c>
      <c r="GG45" s="704">
        <v>0</v>
      </c>
      <c r="GH45" s="704">
        <v>0</v>
      </c>
      <c r="GI45" s="704">
        <v>0</v>
      </c>
      <c r="GJ45" s="334"/>
      <c r="GK45" s="322" t="s">
        <v>28</v>
      </c>
      <c r="GL45" s="322">
        <v>0</v>
      </c>
      <c r="GM45" s="322">
        <v>0</v>
      </c>
      <c r="GN45" s="322">
        <v>8489.39</v>
      </c>
      <c r="GO45" s="322">
        <v>0</v>
      </c>
      <c r="GP45" s="322">
        <v>0</v>
      </c>
      <c r="GQ45" s="322">
        <v>0</v>
      </c>
      <c r="GR45" s="322">
        <v>0</v>
      </c>
      <c r="GS45" s="322">
        <v>0</v>
      </c>
      <c r="GT45" s="322">
        <v>0</v>
      </c>
      <c r="GU45" s="322">
        <v>0</v>
      </c>
      <c r="GV45" s="322">
        <v>0</v>
      </c>
      <c r="GW45" s="322">
        <v>0</v>
      </c>
      <c r="GX45" s="322">
        <v>0</v>
      </c>
      <c r="GY45" s="322">
        <v>0</v>
      </c>
      <c r="GZ45" s="322">
        <v>0</v>
      </c>
      <c r="HA45" s="322">
        <v>0</v>
      </c>
      <c r="HB45" s="322">
        <v>0</v>
      </c>
      <c r="HC45" s="322">
        <v>0</v>
      </c>
      <c r="HD45" s="322">
        <v>0</v>
      </c>
      <c r="HE45" s="322">
        <v>0</v>
      </c>
      <c r="HF45" s="322">
        <v>0</v>
      </c>
      <c r="HG45" s="322">
        <v>0</v>
      </c>
      <c r="HH45" s="334"/>
      <c r="HI45" s="322" t="s">
        <v>28</v>
      </c>
      <c r="HJ45" s="322">
        <v>6256.37</v>
      </c>
      <c r="HK45" s="322">
        <v>7634.24</v>
      </c>
      <c r="HL45" s="322">
        <v>0</v>
      </c>
      <c r="HM45" s="322">
        <v>9300.19</v>
      </c>
      <c r="HN45" s="322">
        <v>9372.74</v>
      </c>
      <c r="HO45" s="322">
        <v>10489.02</v>
      </c>
      <c r="HP45" s="322">
        <v>10935.57</v>
      </c>
      <c r="HQ45" s="322">
        <v>10463.01</v>
      </c>
      <c r="HR45" s="322">
        <v>8248.630000000001</v>
      </c>
      <c r="HS45" s="322">
        <v>5514.28</v>
      </c>
      <c r="HT45" s="322">
        <v>5560.66</v>
      </c>
      <c r="HU45" s="322">
        <v>5923.07</v>
      </c>
      <c r="HV45" s="322">
        <v>10107.08</v>
      </c>
      <c r="HW45" s="322">
        <v>6153.64</v>
      </c>
      <c r="HX45" s="322">
        <v>14480.85</v>
      </c>
      <c r="HY45" s="322">
        <v>21035.850000000002</v>
      </c>
      <c r="HZ45" s="322">
        <v>16363.09</v>
      </c>
      <c r="IA45" s="322">
        <v>31125.87</v>
      </c>
      <c r="IB45" s="322">
        <v>27762.54</v>
      </c>
      <c r="IC45" s="322">
        <v>22991.25</v>
      </c>
      <c r="ID45" s="322">
        <v>23306.95</v>
      </c>
      <c r="IE45" s="322">
        <v>26050</v>
      </c>
      <c r="IF45" s="334"/>
      <c r="IG45" s="322" t="s">
        <v>28</v>
      </c>
      <c r="IH45" s="322">
        <v>6256.37</v>
      </c>
      <c r="II45" s="322">
        <v>7634.24</v>
      </c>
      <c r="IJ45" s="322">
        <v>8489.39</v>
      </c>
      <c r="IK45" s="322">
        <v>9300.19</v>
      </c>
      <c r="IL45" s="322">
        <v>9372.74</v>
      </c>
      <c r="IM45" s="322">
        <v>10489.02</v>
      </c>
      <c r="IN45" s="322">
        <v>10935.57</v>
      </c>
      <c r="IO45" s="322">
        <v>10463.01</v>
      </c>
      <c r="IP45" s="322">
        <v>0</v>
      </c>
      <c r="IQ45" s="322">
        <v>6996.91</v>
      </c>
      <c r="IR45" s="322">
        <v>5722.2800000000007</v>
      </c>
      <c r="IS45" s="322">
        <v>8835.6299999999992</v>
      </c>
      <c r="IT45" s="322">
        <v>9151.57</v>
      </c>
      <c r="IU45" s="322">
        <v>9579.14</v>
      </c>
      <c r="IV45" s="322"/>
      <c r="IW45" s="322"/>
      <c r="IX45" s="322"/>
      <c r="IY45" s="322"/>
      <c r="IZ45" s="322"/>
      <c r="JA45" s="322"/>
      <c r="JB45" s="322"/>
      <c r="JC45" s="322"/>
      <c r="JD45" s="334"/>
      <c r="JE45" s="322" t="s">
        <v>28</v>
      </c>
      <c r="JF45" s="322">
        <v>12512.74</v>
      </c>
      <c r="JG45" s="322">
        <v>7634.24</v>
      </c>
      <c r="JH45" s="322">
        <v>8489.39</v>
      </c>
      <c r="JI45" s="322">
        <v>18600.38</v>
      </c>
      <c r="JJ45" s="322">
        <v>0</v>
      </c>
      <c r="JK45" s="322">
        <v>10489.02</v>
      </c>
      <c r="JL45" s="322">
        <v>10935.57</v>
      </c>
      <c r="JM45" s="322">
        <v>31389.03</v>
      </c>
      <c r="JN45" s="322">
        <v>19952</v>
      </c>
      <c r="JO45" s="322">
        <v>16520</v>
      </c>
      <c r="JP45" s="322">
        <v>291.81</v>
      </c>
      <c r="JQ45" s="322">
        <v>0</v>
      </c>
      <c r="JR45" s="322">
        <v>1933.67</v>
      </c>
      <c r="JS45" s="322">
        <v>576.07000000000005</v>
      </c>
      <c r="JT45" s="322">
        <v>1066.0999999999999</v>
      </c>
      <c r="JU45" s="322">
        <v>2453.17</v>
      </c>
      <c r="JV45" s="322">
        <v>1828.09</v>
      </c>
      <c r="JW45" s="322">
        <v>1412.42</v>
      </c>
      <c r="JX45" s="322">
        <v>0</v>
      </c>
      <c r="JY45" s="322">
        <v>0</v>
      </c>
      <c r="JZ45" s="322">
        <v>1904.99</v>
      </c>
      <c r="KA45" s="322">
        <v>3000</v>
      </c>
      <c r="KB45" s="334"/>
      <c r="KC45" s="322" t="s">
        <v>28</v>
      </c>
      <c r="KD45" s="322">
        <v>12512.74</v>
      </c>
      <c r="KE45" s="322">
        <v>15268.48</v>
      </c>
      <c r="KF45" s="322">
        <v>16978.78</v>
      </c>
      <c r="KG45" s="322">
        <v>18600.38</v>
      </c>
      <c r="KH45" s="322">
        <v>18745.48</v>
      </c>
      <c r="KI45" s="322">
        <v>31467.06</v>
      </c>
      <c r="KJ45" s="322">
        <v>21871.14</v>
      </c>
      <c r="KK45" s="322">
        <v>31389.03</v>
      </c>
      <c r="KL45" s="322">
        <v>26369.29</v>
      </c>
      <c r="KM45" s="322">
        <v>26208.28</v>
      </c>
      <c r="KN45" s="322">
        <v>26838.71</v>
      </c>
      <c r="KO45" s="322">
        <v>27149.66</v>
      </c>
      <c r="KP45" s="322">
        <v>28164.389999999996</v>
      </c>
      <c r="KQ45" s="322">
        <v>29630.799999999999</v>
      </c>
      <c r="KR45" s="322">
        <v>32850.639999999999</v>
      </c>
      <c r="KS45" s="322">
        <v>33450.28</v>
      </c>
      <c r="KT45" s="322">
        <v>36002.469999999994</v>
      </c>
      <c r="KU45" s="322">
        <v>47138.13</v>
      </c>
      <c r="KV45" s="322">
        <v>47767.729999999996</v>
      </c>
      <c r="KW45" s="322">
        <v>58261.94</v>
      </c>
      <c r="KX45" s="322">
        <v>60885.34</v>
      </c>
      <c r="KY45" s="322">
        <v>63507.32</v>
      </c>
      <c r="KZ45" s="334"/>
      <c r="LA45" s="322" t="s">
        <v>28</v>
      </c>
      <c r="LB45" s="322">
        <v>100101.92</v>
      </c>
      <c r="LC45" s="322">
        <v>267198.40000000002</v>
      </c>
      <c r="LD45" s="322">
        <v>110362.07</v>
      </c>
      <c r="LE45" s="322">
        <v>111602.28</v>
      </c>
      <c r="LF45" s="322">
        <v>206200.28</v>
      </c>
      <c r="LG45" s="322">
        <v>178313.34</v>
      </c>
      <c r="LH45" s="322">
        <v>120291.27</v>
      </c>
      <c r="LI45" s="322">
        <v>198797.19</v>
      </c>
      <c r="LJ45" s="322">
        <v>163125.74</v>
      </c>
      <c r="LK45" s="322">
        <v>255114</v>
      </c>
      <c r="LL45" s="322">
        <v>208803.06</v>
      </c>
      <c r="LM45" s="322">
        <v>136813.52000000002</v>
      </c>
      <c r="LN45" s="322">
        <v>494597.34</v>
      </c>
      <c r="LO45" s="322">
        <v>373785.06000000006</v>
      </c>
      <c r="LP45" s="322">
        <v>308587.21999999997</v>
      </c>
      <c r="LQ45" s="322">
        <v>189430.22</v>
      </c>
      <c r="LR45" s="322">
        <v>142123.96000000002</v>
      </c>
      <c r="LS45" s="322">
        <v>143849.63</v>
      </c>
      <c r="LT45" s="322">
        <v>181705.82</v>
      </c>
      <c r="LU45" s="322">
        <v>154905.37</v>
      </c>
      <c r="LV45" s="322">
        <v>146647.56</v>
      </c>
      <c r="LW45" s="322">
        <v>193661</v>
      </c>
      <c r="LX45" s="334"/>
      <c r="LY45" s="322" t="s">
        <v>28</v>
      </c>
      <c r="LZ45" s="322">
        <v>118871.03</v>
      </c>
      <c r="MA45" s="322">
        <v>106879.36</v>
      </c>
      <c r="MB45" s="322">
        <v>127340.85</v>
      </c>
      <c r="MC45" s="322">
        <v>130202.66</v>
      </c>
      <c r="MD45" s="322">
        <v>178082.06</v>
      </c>
      <c r="ME45" s="322">
        <v>283203.53999999998</v>
      </c>
      <c r="MF45" s="322">
        <v>218711.4</v>
      </c>
      <c r="MG45" s="322">
        <v>209260.2</v>
      </c>
      <c r="MH45" s="322">
        <v>280383.68</v>
      </c>
      <c r="MI45" s="322">
        <v>294684.37</v>
      </c>
      <c r="MJ45" s="322">
        <v>296141.5</v>
      </c>
      <c r="MK45" s="322">
        <v>285474.7900000001</v>
      </c>
      <c r="ML45" s="322">
        <v>272682.88</v>
      </c>
      <c r="MM45" s="322">
        <v>266054.14999999997</v>
      </c>
      <c r="MN45" s="322">
        <v>320006.28999999998</v>
      </c>
      <c r="MO45" s="322">
        <v>261620.01000000004</v>
      </c>
      <c r="MP45" s="322">
        <v>254446.40999999997</v>
      </c>
      <c r="MQ45" s="322">
        <v>283176.71000000002</v>
      </c>
      <c r="MR45" s="322">
        <v>240776.55</v>
      </c>
      <c r="MS45" s="322">
        <v>227589.21000000002</v>
      </c>
      <c r="MT45" s="322">
        <v>298022.44999999995</v>
      </c>
      <c r="MU45" s="322">
        <v>373663.67</v>
      </c>
      <c r="MV45" s="334"/>
      <c r="MW45" s="322" t="s">
        <v>28</v>
      </c>
      <c r="MX45" s="322">
        <v>43794.59</v>
      </c>
      <c r="MY45" s="322">
        <v>38171.199999999997</v>
      </c>
      <c r="MZ45" s="322">
        <v>50936.34</v>
      </c>
      <c r="NA45" s="322">
        <v>65101.33</v>
      </c>
      <c r="NB45" s="322">
        <v>65609.179999999993</v>
      </c>
      <c r="NC45" s="322">
        <v>104890.2</v>
      </c>
      <c r="ND45" s="322">
        <v>142162.41</v>
      </c>
      <c r="NE45" s="322">
        <v>73241.070000000007</v>
      </c>
      <c r="NF45" s="322">
        <v>49208.740000000005</v>
      </c>
      <c r="NG45" s="322">
        <v>0</v>
      </c>
      <c r="NH45" s="322">
        <v>0</v>
      </c>
      <c r="NI45" s="322">
        <v>0</v>
      </c>
      <c r="NJ45" s="322">
        <v>0</v>
      </c>
      <c r="NK45" s="322">
        <v>0</v>
      </c>
      <c r="NL45" s="322">
        <v>0</v>
      </c>
      <c r="NM45" s="322">
        <v>0</v>
      </c>
      <c r="NN45" s="322">
        <v>0</v>
      </c>
      <c r="NO45" s="322">
        <v>0</v>
      </c>
      <c r="NP45" s="322">
        <v>0</v>
      </c>
      <c r="NQ45" s="322">
        <v>0</v>
      </c>
      <c r="NR45" s="322">
        <v>0</v>
      </c>
      <c r="NS45" s="322">
        <v>0</v>
      </c>
      <c r="NT45" s="334"/>
      <c r="NU45" s="322" t="s">
        <v>28</v>
      </c>
      <c r="NV45" s="322">
        <v>43794.59</v>
      </c>
      <c r="NW45" s="322">
        <v>45805.440000000002</v>
      </c>
      <c r="NX45" s="322">
        <v>42446.95</v>
      </c>
      <c r="NY45" s="322">
        <v>55801.14</v>
      </c>
      <c r="NZ45" s="322">
        <v>56236.44</v>
      </c>
      <c r="OA45" s="322">
        <v>52445.1</v>
      </c>
      <c r="OB45" s="322">
        <v>65613.42</v>
      </c>
      <c r="OC45" s="322">
        <v>62778.06</v>
      </c>
      <c r="OD45" s="322">
        <v>59938.439999999995</v>
      </c>
      <c r="OE45" s="322">
        <v>61566.06</v>
      </c>
      <c r="OF45" s="322">
        <v>60888.93</v>
      </c>
      <c r="OG45" s="322">
        <v>68463.319999999992</v>
      </c>
      <c r="OH45" s="322">
        <v>66261.91</v>
      </c>
      <c r="OI45" s="322">
        <v>69299.749999999985</v>
      </c>
      <c r="OJ45" s="322">
        <v>70426.510000000009</v>
      </c>
      <c r="OK45" s="322">
        <v>77965.260000000009</v>
      </c>
      <c r="OL45" s="322">
        <v>74954.77</v>
      </c>
      <c r="OM45" s="322">
        <v>77821.73000000001</v>
      </c>
      <c r="ON45" s="322">
        <v>77248.72</v>
      </c>
      <c r="OO45" s="322">
        <v>74697.600000000006</v>
      </c>
      <c r="OP45" s="322">
        <v>80033.869999999981</v>
      </c>
      <c r="OQ45" s="322">
        <v>85071.319999999992</v>
      </c>
      <c r="OR45" s="334"/>
      <c r="OS45" s="322" t="s">
        <v>28</v>
      </c>
      <c r="OT45" s="322">
        <v>12512.74</v>
      </c>
      <c r="OU45" s="322">
        <v>15268.48</v>
      </c>
      <c r="OV45" s="322">
        <v>16978.78</v>
      </c>
      <c r="OW45" s="322">
        <v>9300.19</v>
      </c>
      <c r="OX45" s="322">
        <v>9372.74</v>
      </c>
      <c r="OY45" s="322">
        <v>10489.02</v>
      </c>
      <c r="OZ45" s="322">
        <v>10935.57</v>
      </c>
      <c r="PA45" s="322">
        <v>10463.01</v>
      </c>
      <c r="PB45" s="322">
        <v>6885.21</v>
      </c>
      <c r="PC45" s="322">
        <v>7790.28</v>
      </c>
      <c r="PD45" s="322">
        <v>8054.69</v>
      </c>
      <c r="PE45" s="322">
        <v>7416.12</v>
      </c>
      <c r="PF45" s="322">
        <v>7741.3</v>
      </c>
      <c r="PG45" s="322">
        <v>7686.52</v>
      </c>
      <c r="PH45" s="322">
        <v>6427.07</v>
      </c>
      <c r="PI45" s="322">
        <v>7938.59</v>
      </c>
      <c r="PJ45" s="322">
        <v>7285.42</v>
      </c>
      <c r="PK45" s="322">
        <v>7746.18</v>
      </c>
      <c r="PL45" s="322">
        <v>10567.9</v>
      </c>
      <c r="PM45" s="322">
        <v>6926.42</v>
      </c>
      <c r="PN45" s="322">
        <v>5792.24</v>
      </c>
      <c r="PO45" s="322">
        <v>9500</v>
      </c>
      <c r="PP45" s="334"/>
      <c r="PQ45" s="322" t="s">
        <v>28</v>
      </c>
      <c r="PR45" s="322">
        <v>6256.37</v>
      </c>
      <c r="PS45" s="322">
        <v>7634.24</v>
      </c>
      <c r="PT45" s="322">
        <v>8489.39</v>
      </c>
      <c r="PU45" s="322">
        <v>9300.19</v>
      </c>
      <c r="PV45" s="322">
        <v>9372.74</v>
      </c>
      <c r="PW45" s="322">
        <v>10489.02</v>
      </c>
      <c r="PX45" s="322">
        <v>10935.57</v>
      </c>
      <c r="PY45" s="322">
        <v>10463.01</v>
      </c>
      <c r="PZ45" s="322">
        <v>11442.15</v>
      </c>
      <c r="QA45" s="322">
        <v>11627.39</v>
      </c>
      <c r="QB45" s="322">
        <v>11096.5</v>
      </c>
      <c r="QC45" s="322">
        <v>10248</v>
      </c>
      <c r="QD45" s="322">
        <v>10177.85</v>
      </c>
      <c r="QE45" s="322">
        <v>12139.369999999999</v>
      </c>
      <c r="QF45" s="322">
        <v>13603.32</v>
      </c>
      <c r="QG45" s="322">
        <v>14673.34</v>
      </c>
      <c r="QH45" s="322">
        <v>16739.48</v>
      </c>
      <c r="QI45" s="322">
        <v>17021.79</v>
      </c>
      <c r="QJ45" s="322">
        <v>15210.93</v>
      </c>
      <c r="QK45" s="322">
        <v>12372.35</v>
      </c>
      <c r="QL45" s="322">
        <v>15126.730000000001</v>
      </c>
      <c r="QM45" s="322">
        <v>20910.400000000001</v>
      </c>
      <c r="QN45" s="334"/>
      <c r="QO45" s="322" t="s">
        <v>28</v>
      </c>
      <c r="QP45" s="322">
        <v>6256.37</v>
      </c>
      <c r="QQ45" s="322">
        <v>7634.24</v>
      </c>
      <c r="QR45" s="322">
        <v>8489.39</v>
      </c>
      <c r="QS45" s="322">
        <v>9300.19</v>
      </c>
      <c r="QT45" s="322">
        <v>18745.48</v>
      </c>
      <c r="QU45" s="322">
        <v>10489.02</v>
      </c>
      <c r="QV45" s="322">
        <v>21871.14</v>
      </c>
      <c r="QW45" s="322">
        <v>10463.01</v>
      </c>
      <c r="QX45" s="322">
        <v>9375.01</v>
      </c>
      <c r="QY45" s="322">
        <v>15966.14</v>
      </c>
      <c r="QZ45" s="322">
        <v>13072.42</v>
      </c>
      <c r="RA45" s="322">
        <v>12050.06</v>
      </c>
      <c r="RB45" s="322">
        <v>10855.81</v>
      </c>
      <c r="RC45" s="322">
        <v>11248.77</v>
      </c>
      <c r="RD45" s="322">
        <v>12474.29</v>
      </c>
      <c r="RE45" s="322">
        <v>14391.77</v>
      </c>
      <c r="RF45" s="322">
        <v>10641.279999999999</v>
      </c>
      <c r="RG45" s="322">
        <v>11796.91</v>
      </c>
      <c r="RH45" s="322">
        <v>9510</v>
      </c>
      <c r="RI45" s="322">
        <v>10601.39</v>
      </c>
      <c r="RJ45" s="322">
        <v>15511.27</v>
      </c>
      <c r="RK45" s="322">
        <v>12791</v>
      </c>
      <c r="RL45" s="334"/>
      <c r="RM45" s="322" t="s">
        <v>28</v>
      </c>
      <c r="RN45" s="322">
        <v>12512.74</v>
      </c>
      <c r="RO45" s="322">
        <v>7634.24</v>
      </c>
      <c r="RP45" s="322">
        <v>203745.36</v>
      </c>
      <c r="RQ45" s="322">
        <v>213904.37</v>
      </c>
      <c r="RR45" s="322">
        <v>0</v>
      </c>
      <c r="RS45" s="322">
        <v>31467.06</v>
      </c>
      <c r="RT45" s="322">
        <v>109355.7</v>
      </c>
      <c r="RU45" s="322">
        <v>52315.05</v>
      </c>
      <c r="RV45" s="322">
        <v>20000</v>
      </c>
      <c r="RW45" s="322">
        <v>0</v>
      </c>
      <c r="RX45" s="322">
        <v>15000</v>
      </c>
      <c r="RY45" s="322">
        <v>0</v>
      </c>
      <c r="RZ45" s="322">
        <v>0</v>
      </c>
      <c r="SA45" s="322">
        <v>40042</v>
      </c>
      <c r="SB45" s="322">
        <v>0</v>
      </c>
      <c r="SC45" s="322">
        <v>0</v>
      </c>
      <c r="SD45" s="322">
        <v>0</v>
      </c>
      <c r="SE45" s="322">
        <v>20000</v>
      </c>
      <c r="SF45" s="322">
        <v>0</v>
      </c>
      <c r="SG45" s="322">
        <v>0</v>
      </c>
      <c r="SH45" s="322">
        <v>0</v>
      </c>
      <c r="SI45" s="322">
        <v>0</v>
      </c>
    </row>
    <row r="46" spans="1:503">
      <c r="A46" s="319" t="s">
        <v>29</v>
      </c>
      <c r="B46" s="319">
        <v>701716</v>
      </c>
      <c r="C46" s="319">
        <v>827881</v>
      </c>
      <c r="D46" s="319">
        <v>899485</v>
      </c>
      <c r="E46" s="319">
        <v>1049885</v>
      </c>
      <c r="F46" s="319">
        <v>944066</v>
      </c>
      <c r="G46" s="319">
        <v>1063513</v>
      </c>
      <c r="H46" s="319">
        <v>1066274</v>
      </c>
      <c r="I46" s="319">
        <v>1065098</v>
      </c>
      <c r="J46" s="319">
        <v>1156560.43</v>
      </c>
      <c r="K46" s="319">
        <v>1161608.1599999999</v>
      </c>
      <c r="L46" s="319">
        <v>1310151.25</v>
      </c>
      <c r="M46" s="319">
        <v>1385264.86</v>
      </c>
      <c r="N46" s="319">
        <v>1447986.5899999999</v>
      </c>
      <c r="O46" s="319">
        <v>1331945.06</v>
      </c>
      <c r="P46" s="319"/>
      <c r="Q46" s="319">
        <v>1149909</v>
      </c>
      <c r="R46" s="319">
        <v>1503196.78</v>
      </c>
      <c r="S46" s="322">
        <v>1412219.62</v>
      </c>
      <c r="T46" s="319"/>
      <c r="U46" s="319"/>
      <c r="V46" s="319"/>
      <c r="W46" s="319"/>
      <c r="X46" s="330"/>
      <c r="Y46" s="319" t="s">
        <v>29</v>
      </c>
      <c r="Z46" s="319">
        <v>42102.96</v>
      </c>
      <c r="AA46" s="319">
        <v>41394.050000000003</v>
      </c>
      <c r="AB46" s="319">
        <v>44974.25</v>
      </c>
      <c r="AC46" s="319">
        <v>62993.1</v>
      </c>
      <c r="AD46" s="319">
        <v>66084.62</v>
      </c>
      <c r="AE46" s="319">
        <v>74445.91</v>
      </c>
      <c r="AF46" s="319">
        <v>74445.91</v>
      </c>
      <c r="AG46" s="319">
        <v>74556.86</v>
      </c>
      <c r="AH46" s="319">
        <v>71980.989999999991</v>
      </c>
      <c r="AI46" s="319">
        <v>49776.33</v>
      </c>
      <c r="AJ46" s="319">
        <v>75936.689999999988</v>
      </c>
      <c r="AK46" s="319">
        <v>76541.34</v>
      </c>
      <c r="AL46" s="319">
        <v>81038.289999999994</v>
      </c>
      <c r="AM46" s="319">
        <v>80453.87999999999</v>
      </c>
      <c r="AN46" s="319"/>
      <c r="AO46" s="319">
        <v>80183</v>
      </c>
      <c r="AP46" s="319">
        <v>80617.25</v>
      </c>
      <c r="AQ46" s="322">
        <v>81757.34</v>
      </c>
      <c r="AR46" s="319"/>
      <c r="AS46" s="319"/>
      <c r="AT46" s="319"/>
      <c r="AU46" s="319"/>
      <c r="AV46" s="334"/>
      <c r="AW46" s="319" t="s">
        <v>29</v>
      </c>
      <c r="AX46" s="319">
        <v>63154.439999999995</v>
      </c>
      <c r="AY46" s="319">
        <v>57951.670000000006</v>
      </c>
      <c r="AZ46" s="319">
        <v>71958.8</v>
      </c>
      <c r="BA46" s="319">
        <v>73491.950000000012</v>
      </c>
      <c r="BB46" s="319">
        <v>75525.279999999999</v>
      </c>
      <c r="BC46" s="319">
        <v>85081.040000000008</v>
      </c>
      <c r="BD46" s="319">
        <v>95964.66</v>
      </c>
      <c r="BE46" s="319">
        <v>85207.84</v>
      </c>
      <c r="BF46" s="319">
        <v>80532.669999999984</v>
      </c>
      <c r="BG46" s="319">
        <v>77316.029999999984</v>
      </c>
      <c r="BH46" s="319">
        <v>86167.2</v>
      </c>
      <c r="BI46" s="319">
        <v>81918.430000000008</v>
      </c>
      <c r="BJ46" s="319">
        <v>108236.14</v>
      </c>
      <c r="BK46" s="319">
        <v>92243.299999999988</v>
      </c>
      <c r="BL46" s="319"/>
      <c r="BM46" s="319">
        <v>81388</v>
      </c>
      <c r="BN46" s="319">
        <v>81646.790000000008</v>
      </c>
      <c r="BO46" s="322">
        <v>82620.320000000007</v>
      </c>
      <c r="BP46" s="319"/>
      <c r="BQ46" s="319"/>
      <c r="BR46" s="319"/>
      <c r="BS46" s="319"/>
      <c r="BT46" s="334"/>
      <c r="BU46" s="322" t="s">
        <v>29</v>
      </c>
      <c r="BV46" s="322">
        <v>35085.800000000003</v>
      </c>
      <c r="BW46" s="322">
        <v>24836.43</v>
      </c>
      <c r="BX46" s="322">
        <v>35979.4</v>
      </c>
      <c r="BY46" s="322">
        <v>20997.7</v>
      </c>
      <c r="BZ46" s="322">
        <v>37762.639999999999</v>
      </c>
      <c r="CA46" s="322">
        <v>31905.39</v>
      </c>
      <c r="CB46" s="322">
        <v>31988.22</v>
      </c>
      <c r="CC46" s="322">
        <v>21301.96</v>
      </c>
      <c r="CD46" s="322">
        <v>43999.960000000006</v>
      </c>
      <c r="CE46" s="322">
        <v>19901.89</v>
      </c>
      <c r="CF46" s="322">
        <v>31200.329999999998</v>
      </c>
      <c r="CG46" s="322">
        <v>9294.9699999999993</v>
      </c>
      <c r="CH46" s="322">
        <v>39821.560000000005</v>
      </c>
      <c r="CI46" s="322">
        <v>20568.949999999997</v>
      </c>
      <c r="CJ46" s="322"/>
      <c r="CK46" s="322">
        <v>12451</v>
      </c>
      <c r="CL46" s="322">
        <v>42904.14</v>
      </c>
      <c r="CM46" s="322">
        <v>13139.470000000001</v>
      </c>
      <c r="CN46" s="322"/>
      <c r="CO46" s="322"/>
      <c r="CP46" s="322"/>
      <c r="CQ46" s="322"/>
      <c r="CR46" s="334"/>
      <c r="CS46" s="322" t="s">
        <v>29</v>
      </c>
      <c r="CT46" s="322">
        <v>28068.639999999999</v>
      </c>
      <c r="CU46" s="322">
        <v>41394.050000000003</v>
      </c>
      <c r="CV46" s="322">
        <v>44974.25</v>
      </c>
      <c r="CW46" s="322">
        <v>157482.75</v>
      </c>
      <c r="CX46" s="322">
        <v>56643.96</v>
      </c>
      <c r="CY46" s="322">
        <v>53175.65</v>
      </c>
      <c r="CZ46" s="322">
        <v>74639.179999999993</v>
      </c>
      <c r="DA46" s="322">
        <v>63905.88</v>
      </c>
      <c r="DB46" s="322">
        <v>178939.66999999998</v>
      </c>
      <c r="DC46" s="322">
        <v>51735.67</v>
      </c>
      <c r="DD46" s="322">
        <v>120345.37</v>
      </c>
      <c r="DE46" s="322">
        <v>64441.209999999992</v>
      </c>
      <c r="DF46" s="322">
        <v>58055.39</v>
      </c>
      <c r="DG46" s="322">
        <v>61188.75</v>
      </c>
      <c r="DH46" s="322"/>
      <c r="DI46" s="322">
        <v>92212</v>
      </c>
      <c r="DJ46" s="322">
        <v>61602.869999999995</v>
      </c>
      <c r="DK46" s="322">
        <v>193885.36</v>
      </c>
      <c r="DL46" s="322"/>
      <c r="DM46" s="322"/>
      <c r="DN46" s="322"/>
      <c r="DO46" s="322"/>
      <c r="DP46" s="334"/>
      <c r="DQ46" s="322" t="s">
        <v>29</v>
      </c>
      <c r="DR46" s="322">
        <v>56137.279999999999</v>
      </c>
      <c r="DS46" s="322">
        <v>66230.48</v>
      </c>
      <c r="DT46" s="322">
        <v>62963.95</v>
      </c>
      <c r="DU46" s="322">
        <v>62993.1</v>
      </c>
      <c r="DV46" s="322">
        <v>66084.62</v>
      </c>
      <c r="DW46" s="322">
        <v>74445.91</v>
      </c>
      <c r="DX46" s="322">
        <v>74639.179999999993</v>
      </c>
      <c r="DY46" s="322">
        <v>95858.82</v>
      </c>
      <c r="DZ46" s="322">
        <v>79620.299999999988</v>
      </c>
      <c r="EA46" s="322">
        <v>91966.85</v>
      </c>
      <c r="EB46" s="322">
        <v>104303.16999999998</v>
      </c>
      <c r="EC46" s="322">
        <v>119571.15000000001</v>
      </c>
      <c r="ED46" s="322">
        <v>127939.76999999999</v>
      </c>
      <c r="EE46" s="322">
        <v>119762.26</v>
      </c>
      <c r="EF46" s="322"/>
      <c r="EG46" s="322">
        <v>111225</v>
      </c>
      <c r="EH46" s="322">
        <v>100750.20999999999</v>
      </c>
      <c r="EI46" s="322">
        <v>111345.76000000001</v>
      </c>
      <c r="EJ46" s="322"/>
      <c r="EK46" s="322"/>
      <c r="EL46" s="322"/>
      <c r="EM46" s="322"/>
      <c r="EN46" s="334"/>
      <c r="EO46" s="322" t="s">
        <v>29</v>
      </c>
      <c r="EP46" s="322">
        <v>42102.96</v>
      </c>
      <c r="EQ46" s="322">
        <v>41394.050000000003</v>
      </c>
      <c r="ER46" s="322">
        <v>44974.25</v>
      </c>
      <c r="ES46" s="322">
        <v>41995.4</v>
      </c>
      <c r="ET46" s="322">
        <v>47203.3</v>
      </c>
      <c r="EU46" s="322">
        <v>53175.65</v>
      </c>
      <c r="EV46" s="322">
        <v>53313.7</v>
      </c>
      <c r="EW46" s="322">
        <v>63905.88</v>
      </c>
      <c r="EX46" s="322">
        <v>57578.18</v>
      </c>
      <c r="EY46" s="322">
        <v>64267.609999999993</v>
      </c>
      <c r="EZ46" s="322">
        <v>65550.38</v>
      </c>
      <c r="FA46" s="322">
        <v>82597.72</v>
      </c>
      <c r="FB46" s="322">
        <v>94067.82</v>
      </c>
      <c r="FC46" s="322">
        <v>87655.88</v>
      </c>
      <c r="FD46" s="322"/>
      <c r="FE46" s="322">
        <v>88239</v>
      </c>
      <c r="FF46" s="322">
        <v>80224.850000000006</v>
      </c>
      <c r="FG46" s="322">
        <v>81216.400000000009</v>
      </c>
      <c r="FH46" s="322"/>
      <c r="FI46" s="322"/>
      <c r="FJ46" s="322"/>
      <c r="FK46" s="322"/>
      <c r="FL46" s="334"/>
      <c r="FM46" s="322" t="s">
        <v>29</v>
      </c>
      <c r="FN46" s="322">
        <v>0</v>
      </c>
      <c r="FO46" s="322">
        <v>0</v>
      </c>
      <c r="FP46" s="322">
        <v>0</v>
      </c>
      <c r="FQ46" s="322">
        <v>0</v>
      </c>
      <c r="FR46" s="322">
        <v>0</v>
      </c>
      <c r="FS46" s="322">
        <v>0</v>
      </c>
      <c r="FT46" s="322">
        <v>0</v>
      </c>
      <c r="FU46" s="322">
        <v>0</v>
      </c>
      <c r="FV46" s="322">
        <v>0</v>
      </c>
      <c r="FW46" s="322">
        <v>0</v>
      </c>
      <c r="FX46" s="322">
        <v>0</v>
      </c>
      <c r="FY46" s="322">
        <v>0</v>
      </c>
      <c r="FZ46" s="322">
        <v>0</v>
      </c>
      <c r="GA46" s="322">
        <v>0</v>
      </c>
      <c r="GB46" s="322"/>
      <c r="GC46" s="322">
        <v>0</v>
      </c>
      <c r="GD46" s="322">
        <v>0</v>
      </c>
      <c r="GE46" s="322">
        <v>0</v>
      </c>
      <c r="GF46" s="340"/>
      <c r="GG46" s="704"/>
      <c r="GH46" s="704"/>
      <c r="GI46" s="704"/>
      <c r="GJ46" s="334"/>
      <c r="GK46" s="322" t="s">
        <v>29</v>
      </c>
      <c r="GL46" s="322">
        <v>0</v>
      </c>
      <c r="GM46" s="322">
        <v>0</v>
      </c>
      <c r="GN46" s="322">
        <v>0</v>
      </c>
      <c r="GO46" s="322">
        <v>0</v>
      </c>
      <c r="GP46" s="322">
        <v>0</v>
      </c>
      <c r="GQ46" s="322">
        <v>0</v>
      </c>
      <c r="GR46" s="322">
        <v>0</v>
      </c>
      <c r="GS46" s="322">
        <v>0</v>
      </c>
      <c r="GT46" s="322">
        <v>0</v>
      </c>
      <c r="GU46" s="322">
        <v>0</v>
      </c>
      <c r="GV46" s="322">
        <v>0</v>
      </c>
      <c r="GW46" s="322">
        <v>0</v>
      </c>
      <c r="GX46" s="322">
        <v>0</v>
      </c>
      <c r="GY46" s="322">
        <v>0</v>
      </c>
      <c r="GZ46" s="322"/>
      <c r="HA46" s="322">
        <v>0</v>
      </c>
      <c r="HB46" s="322">
        <v>0</v>
      </c>
      <c r="HC46" s="322">
        <v>0</v>
      </c>
      <c r="HD46" s="322"/>
      <c r="HE46" s="322"/>
      <c r="HF46" s="322"/>
      <c r="HG46" s="322"/>
      <c r="HH46" s="334"/>
      <c r="HI46" s="322" t="s">
        <v>29</v>
      </c>
      <c r="HJ46" s="322">
        <v>28068.639999999999</v>
      </c>
      <c r="HK46" s="322">
        <v>24836.43</v>
      </c>
      <c r="HL46" s="322">
        <v>26984.55</v>
      </c>
      <c r="HM46" s="322">
        <v>31496.55</v>
      </c>
      <c r="HN46" s="322">
        <v>28321.98</v>
      </c>
      <c r="HO46" s="322">
        <v>31905.39</v>
      </c>
      <c r="HP46" s="322">
        <v>31988.22</v>
      </c>
      <c r="HQ46" s="322">
        <v>21301.96</v>
      </c>
      <c r="HR46" s="322">
        <v>24983.040000000001</v>
      </c>
      <c r="HS46" s="322">
        <v>23990.16</v>
      </c>
      <c r="HT46" s="322">
        <v>31295.540000000005</v>
      </c>
      <c r="HU46" s="322">
        <v>27125.94</v>
      </c>
      <c r="HV46" s="322">
        <v>30678.830000000005</v>
      </c>
      <c r="HW46" s="322">
        <v>27297.89</v>
      </c>
      <c r="HX46" s="322"/>
      <c r="HY46" s="322">
        <v>38178</v>
      </c>
      <c r="HZ46" s="322">
        <v>44659.999999999993</v>
      </c>
      <c r="IA46" s="322">
        <v>44466.39</v>
      </c>
      <c r="IB46" s="322"/>
      <c r="IC46" s="322"/>
      <c r="ID46" s="322"/>
      <c r="IE46" s="322"/>
      <c r="IF46" s="334"/>
      <c r="IG46" s="322" t="s">
        <v>29</v>
      </c>
      <c r="IH46" s="322">
        <v>7017.16</v>
      </c>
      <c r="II46" s="322">
        <v>8278.81</v>
      </c>
      <c r="IJ46" s="322">
        <v>0</v>
      </c>
      <c r="IK46" s="322">
        <v>10498.85</v>
      </c>
      <c r="IL46" s="322">
        <v>9440.66</v>
      </c>
      <c r="IM46" s="322">
        <v>10635.13</v>
      </c>
      <c r="IN46" s="322">
        <v>10662.74</v>
      </c>
      <c r="IO46" s="322">
        <v>10650.98</v>
      </c>
      <c r="IP46" s="322">
        <v>7776.8600000000006</v>
      </c>
      <c r="IQ46" s="322">
        <v>7330.21</v>
      </c>
      <c r="IR46" s="322">
        <v>9889.43</v>
      </c>
      <c r="IS46" s="322">
        <v>7533.0599999999995</v>
      </c>
      <c r="IT46" s="322">
        <v>7508.4400000000005</v>
      </c>
      <c r="IU46" s="322">
        <v>6564.8600000000006</v>
      </c>
      <c r="IV46" s="322"/>
      <c r="IW46" s="322"/>
      <c r="IX46" s="322"/>
      <c r="IY46" s="322"/>
      <c r="IZ46" s="322"/>
      <c r="JA46" s="322"/>
      <c r="JB46" s="322"/>
      <c r="JC46" s="322"/>
      <c r="JD46" s="334"/>
      <c r="JE46" s="322" t="s">
        <v>29</v>
      </c>
      <c r="JF46" s="322">
        <v>7017.16</v>
      </c>
      <c r="JG46" s="322">
        <v>8278.81</v>
      </c>
      <c r="JH46" s="322">
        <v>35979.4</v>
      </c>
      <c r="JI46" s="322">
        <v>10498.85</v>
      </c>
      <c r="JJ46" s="322">
        <v>9440.66</v>
      </c>
      <c r="JK46" s="322">
        <v>10635.13</v>
      </c>
      <c r="JL46" s="322">
        <v>10662.74</v>
      </c>
      <c r="JM46" s="322">
        <v>10650.98</v>
      </c>
      <c r="JN46" s="322">
        <v>5933.8600000000006</v>
      </c>
      <c r="JO46" s="322">
        <v>6924.22</v>
      </c>
      <c r="JP46" s="322">
        <v>6428.82</v>
      </c>
      <c r="JQ46" s="322">
        <v>8887.83</v>
      </c>
      <c r="JR46" s="322">
        <v>8511.7000000000007</v>
      </c>
      <c r="JS46" s="322">
        <v>17486.16</v>
      </c>
      <c r="JT46" s="322"/>
      <c r="JU46" s="322">
        <v>12841</v>
      </c>
      <c r="JV46" s="322">
        <v>8767.5299999999988</v>
      </c>
      <c r="JW46" s="322">
        <v>9411.3499999999985</v>
      </c>
      <c r="JX46" s="322"/>
      <c r="JY46" s="322"/>
      <c r="JZ46" s="322"/>
      <c r="KA46" s="322"/>
      <c r="KB46" s="334"/>
      <c r="KC46" s="322" t="s">
        <v>29</v>
      </c>
      <c r="KD46" s="322">
        <v>14034.32</v>
      </c>
      <c r="KE46" s="322">
        <v>24836.43</v>
      </c>
      <c r="KF46" s="322">
        <v>17989.7</v>
      </c>
      <c r="KG46" s="322">
        <v>20997.7</v>
      </c>
      <c r="KH46" s="322">
        <v>18881.32</v>
      </c>
      <c r="KI46" s="322">
        <v>21270.26</v>
      </c>
      <c r="KJ46" s="322">
        <v>21325.48</v>
      </c>
      <c r="KK46" s="322">
        <v>21301.96</v>
      </c>
      <c r="KL46" s="322">
        <v>22709.94</v>
      </c>
      <c r="KM46" s="322">
        <v>38557.369999999995</v>
      </c>
      <c r="KN46" s="322">
        <v>39920.61</v>
      </c>
      <c r="KO46" s="322">
        <v>39052.859999999993</v>
      </c>
      <c r="KP46" s="322">
        <v>41784.86</v>
      </c>
      <c r="KQ46" s="322">
        <v>40767.94</v>
      </c>
      <c r="KR46" s="322"/>
      <c r="KS46" s="322">
        <v>41448</v>
      </c>
      <c r="KT46" s="322">
        <v>42155.55</v>
      </c>
      <c r="KU46" s="322">
        <v>43753.240000000005</v>
      </c>
      <c r="KV46" s="322"/>
      <c r="KW46" s="322"/>
      <c r="KX46" s="322"/>
      <c r="KY46" s="322"/>
      <c r="KZ46" s="334"/>
      <c r="LA46" s="322" t="s">
        <v>29</v>
      </c>
      <c r="LB46" s="322">
        <v>56137.279999999999</v>
      </c>
      <c r="LC46" s="322">
        <v>49672.86</v>
      </c>
      <c r="LD46" s="322">
        <v>62963.95</v>
      </c>
      <c r="LE46" s="322">
        <v>52494.25</v>
      </c>
      <c r="LF46" s="322">
        <v>66084.62</v>
      </c>
      <c r="LG46" s="322">
        <v>74445.91</v>
      </c>
      <c r="LH46" s="322">
        <v>63976.44</v>
      </c>
      <c r="LI46" s="322">
        <v>53254.9</v>
      </c>
      <c r="LJ46" s="322">
        <v>80841.259999999995</v>
      </c>
      <c r="LK46" s="322">
        <v>204540.31</v>
      </c>
      <c r="LL46" s="322">
        <v>209126.82000000004</v>
      </c>
      <c r="LM46" s="322">
        <v>248943.81</v>
      </c>
      <c r="LN46" s="322">
        <v>209122.97</v>
      </c>
      <c r="LO46" s="322">
        <v>228452.27000000002</v>
      </c>
      <c r="LP46" s="322"/>
      <c r="LQ46" s="322">
        <v>146868</v>
      </c>
      <c r="LR46" s="322">
        <v>480835.95999999996</v>
      </c>
      <c r="LS46" s="322">
        <v>244610.01</v>
      </c>
      <c r="LT46" s="322"/>
      <c r="LU46" s="322"/>
      <c r="LV46" s="322"/>
      <c r="LW46" s="322"/>
      <c r="LX46" s="334"/>
      <c r="LY46" s="322" t="s">
        <v>29</v>
      </c>
      <c r="LZ46" s="322">
        <v>133326.04</v>
      </c>
      <c r="MA46" s="322">
        <v>165576.20000000001</v>
      </c>
      <c r="MB46" s="322">
        <v>179897</v>
      </c>
      <c r="MC46" s="322">
        <v>167981.6</v>
      </c>
      <c r="MD46" s="322">
        <v>179372.54</v>
      </c>
      <c r="ME46" s="322">
        <v>202067.47</v>
      </c>
      <c r="MF46" s="322">
        <v>202592.06</v>
      </c>
      <c r="MG46" s="322">
        <v>202368.62</v>
      </c>
      <c r="MH46" s="322">
        <v>178885.76000000001</v>
      </c>
      <c r="MI46" s="322">
        <v>259777.41999999998</v>
      </c>
      <c r="MJ46" s="322">
        <v>278024.67</v>
      </c>
      <c r="MK46" s="322">
        <v>295550.40999999997</v>
      </c>
      <c r="ML46" s="322">
        <v>360872.73</v>
      </c>
      <c r="MM46" s="322">
        <v>335374.52</v>
      </c>
      <c r="MN46" s="322"/>
      <c r="MO46" s="322">
        <v>328985</v>
      </c>
      <c r="MP46" s="322">
        <v>347894.93</v>
      </c>
      <c r="MQ46" s="322">
        <v>364809.42000000004</v>
      </c>
      <c r="MR46" s="322"/>
      <c r="MS46" s="322"/>
      <c r="MT46" s="322"/>
      <c r="MU46" s="322"/>
      <c r="MV46" s="334"/>
      <c r="MW46" s="322" t="s">
        <v>29</v>
      </c>
      <c r="MX46" s="322">
        <v>77188.759999999995</v>
      </c>
      <c r="MY46" s="322">
        <v>82788.100000000006</v>
      </c>
      <c r="MZ46" s="322">
        <v>80953.649999999994</v>
      </c>
      <c r="NA46" s="322">
        <v>104988.5</v>
      </c>
      <c r="NB46" s="322">
        <v>122728.58</v>
      </c>
      <c r="NC46" s="322">
        <v>127621.56</v>
      </c>
      <c r="ND46" s="322">
        <v>117290.14</v>
      </c>
      <c r="NE46" s="322">
        <v>127811.76</v>
      </c>
      <c r="NF46" s="322">
        <v>110514.52</v>
      </c>
      <c r="NG46" s="322">
        <v>125614.82</v>
      </c>
      <c r="NH46" s="322">
        <v>124018.98</v>
      </c>
      <c r="NI46" s="322">
        <v>135017.88</v>
      </c>
      <c r="NJ46" s="322">
        <v>32437.710000000003</v>
      </c>
      <c r="NK46" s="322">
        <v>169.17</v>
      </c>
      <c r="NL46" s="322"/>
      <c r="NM46" s="322">
        <v>0</v>
      </c>
      <c r="NN46" s="322">
        <v>0</v>
      </c>
      <c r="NO46" s="322">
        <v>0</v>
      </c>
      <c r="NP46" s="322"/>
      <c r="NQ46" s="322"/>
      <c r="NR46" s="322"/>
      <c r="NS46" s="322"/>
      <c r="NT46" s="334"/>
      <c r="NU46" s="322" t="s">
        <v>29</v>
      </c>
      <c r="NV46" s="322">
        <v>49120.12</v>
      </c>
      <c r="NW46" s="322">
        <v>49672.86</v>
      </c>
      <c r="NX46" s="322">
        <v>53969.1</v>
      </c>
      <c r="NY46" s="322">
        <v>73491.95</v>
      </c>
      <c r="NZ46" s="322">
        <v>75525.279999999999</v>
      </c>
      <c r="OA46" s="322">
        <v>74445.91</v>
      </c>
      <c r="OB46" s="322">
        <v>74639.179999999993</v>
      </c>
      <c r="OC46" s="322">
        <v>74556.86</v>
      </c>
      <c r="OD46" s="322">
        <v>73526.53</v>
      </c>
      <c r="OE46" s="322">
        <v>74865.45</v>
      </c>
      <c r="OF46" s="322">
        <v>71790.429999999993</v>
      </c>
      <c r="OG46" s="322">
        <v>75077.62999999999</v>
      </c>
      <c r="OH46" s="322">
        <v>77472.600000000006</v>
      </c>
      <c r="OI46" s="322">
        <v>78091.819999999978</v>
      </c>
      <c r="OJ46" s="322"/>
      <c r="OK46" s="322">
        <v>83916</v>
      </c>
      <c r="OL46" s="322">
        <v>86035.43</v>
      </c>
      <c r="OM46" s="322">
        <v>90792.599999999991</v>
      </c>
      <c r="ON46" s="322"/>
      <c r="OO46" s="322"/>
      <c r="OP46" s="322"/>
      <c r="OQ46" s="322"/>
      <c r="OR46" s="334"/>
      <c r="OS46" s="322" t="s">
        <v>29</v>
      </c>
      <c r="OT46" s="322">
        <v>42102.96</v>
      </c>
      <c r="OU46" s="322">
        <v>99345.72</v>
      </c>
      <c r="OV46" s="322">
        <v>107938.2</v>
      </c>
      <c r="OW46" s="322">
        <v>83990.8</v>
      </c>
      <c r="OX46" s="322">
        <v>56643.96</v>
      </c>
      <c r="OY46" s="322">
        <v>63810.78</v>
      </c>
      <c r="OZ46" s="322">
        <v>63976.44</v>
      </c>
      <c r="PA46" s="322">
        <v>63905.88</v>
      </c>
      <c r="PB46" s="322">
        <v>94104.41</v>
      </c>
      <c r="PC46" s="322">
        <v>50169.94</v>
      </c>
      <c r="PD46" s="322">
        <v>42648.55</v>
      </c>
      <c r="PE46" s="322">
        <v>38093.68</v>
      </c>
      <c r="PF46" s="322">
        <v>16314.58</v>
      </c>
      <c r="PG46" s="322">
        <v>23735.02</v>
      </c>
      <c r="PH46" s="322"/>
      <c r="PI46" s="322">
        <v>17730</v>
      </c>
      <c r="PJ46" s="322">
        <v>29504.510000000002</v>
      </c>
      <c r="PK46" s="322">
        <v>31409.78</v>
      </c>
      <c r="PL46" s="322"/>
      <c r="PM46" s="322"/>
      <c r="PN46" s="322"/>
      <c r="PO46" s="322"/>
      <c r="PP46" s="334"/>
      <c r="PQ46" s="322" t="s">
        <v>29</v>
      </c>
      <c r="PR46" s="322">
        <v>0</v>
      </c>
      <c r="PS46" s="322">
        <v>8278.81</v>
      </c>
      <c r="PT46" s="322">
        <v>8994.85</v>
      </c>
      <c r="PU46" s="322">
        <v>10498.85</v>
      </c>
      <c r="PV46" s="322">
        <v>9440.66</v>
      </c>
      <c r="PW46" s="322">
        <v>10635.13</v>
      </c>
      <c r="PX46" s="322">
        <v>10662.74</v>
      </c>
      <c r="PY46" s="322">
        <v>10650.98</v>
      </c>
      <c r="PZ46" s="322">
        <v>14632.480000000001</v>
      </c>
      <c r="QA46" s="322">
        <v>12001.919999999998</v>
      </c>
      <c r="QB46" s="322">
        <v>12304.26</v>
      </c>
      <c r="QC46" s="322">
        <v>15616.939999999999</v>
      </c>
      <c r="QD46" s="322">
        <v>12866.460000000001</v>
      </c>
      <c r="QE46" s="322">
        <v>14632.390000000001</v>
      </c>
      <c r="QF46" s="322"/>
      <c r="QG46" s="322">
        <v>14245</v>
      </c>
      <c r="QH46" s="322">
        <v>15596.76</v>
      </c>
      <c r="QI46" s="322">
        <v>19002.18</v>
      </c>
      <c r="QJ46" s="322"/>
      <c r="QK46" s="322"/>
      <c r="QL46" s="322"/>
      <c r="QM46" s="322"/>
      <c r="QN46" s="334"/>
      <c r="QO46" s="322" t="s">
        <v>29</v>
      </c>
      <c r="QP46" s="322">
        <v>0</v>
      </c>
      <c r="QQ46" s="322">
        <v>0</v>
      </c>
      <c r="QR46" s="322">
        <v>0</v>
      </c>
      <c r="QS46" s="322">
        <v>0</v>
      </c>
      <c r="QT46" s="322">
        <v>0</v>
      </c>
      <c r="QU46" s="322">
        <v>0</v>
      </c>
      <c r="QV46" s="322">
        <v>0</v>
      </c>
      <c r="QW46" s="322">
        <v>0</v>
      </c>
      <c r="QX46" s="322">
        <v>0</v>
      </c>
      <c r="QY46" s="322">
        <v>0</v>
      </c>
      <c r="QZ46" s="322">
        <v>0</v>
      </c>
      <c r="RA46" s="322">
        <v>0</v>
      </c>
      <c r="RB46" s="322">
        <v>0</v>
      </c>
      <c r="RC46" s="322">
        <v>0</v>
      </c>
      <c r="RD46" s="322"/>
      <c r="RE46" s="322">
        <v>0</v>
      </c>
      <c r="RF46" s="322">
        <v>0</v>
      </c>
      <c r="RG46" s="322">
        <v>0</v>
      </c>
      <c r="RH46" s="322"/>
      <c r="RI46" s="322"/>
      <c r="RJ46" s="322"/>
      <c r="RK46" s="322"/>
      <c r="RL46" s="334"/>
      <c r="RM46" s="322" t="s">
        <v>29</v>
      </c>
      <c r="RN46" s="322">
        <v>21051.48</v>
      </c>
      <c r="RO46" s="322">
        <v>33115.24</v>
      </c>
      <c r="RP46" s="322">
        <v>17989.7</v>
      </c>
      <c r="RQ46" s="322">
        <v>62993.1</v>
      </c>
      <c r="RR46" s="322">
        <v>18881.32</v>
      </c>
      <c r="RS46" s="322">
        <v>63810.78</v>
      </c>
      <c r="RT46" s="322">
        <v>53313.7</v>
      </c>
      <c r="RU46" s="322">
        <v>63905.88</v>
      </c>
      <c r="RV46" s="322">
        <v>30000</v>
      </c>
      <c r="RW46" s="322">
        <v>0</v>
      </c>
      <c r="RX46" s="322">
        <v>1200</v>
      </c>
      <c r="RY46" s="322">
        <v>60000</v>
      </c>
      <c r="RZ46" s="322">
        <v>141256.74</v>
      </c>
      <c r="SA46" s="322">
        <v>97500</v>
      </c>
      <c r="SB46" s="322"/>
      <c r="SC46" s="322">
        <v>0</v>
      </c>
      <c r="SD46" s="322">
        <v>0</v>
      </c>
      <c r="SE46" s="322">
        <v>0</v>
      </c>
      <c r="SF46" s="322"/>
      <c r="SG46" s="322"/>
      <c r="SH46" s="322"/>
      <c r="SI46" s="322"/>
    </row>
    <row r="47" spans="1:503">
      <c r="A47" s="319" t="s">
        <v>30</v>
      </c>
      <c r="B47" s="319">
        <v>762444</v>
      </c>
      <c r="C47" s="319">
        <v>812868</v>
      </c>
      <c r="D47" s="319">
        <v>942438</v>
      </c>
      <c r="E47" s="319">
        <v>787456</v>
      </c>
      <c r="F47" s="319">
        <v>798052</v>
      </c>
      <c r="G47" s="319">
        <v>956273</v>
      </c>
      <c r="H47" s="319">
        <v>923100</v>
      </c>
      <c r="I47" s="319">
        <v>738863</v>
      </c>
      <c r="J47" s="319">
        <v>740431.26</v>
      </c>
      <c r="K47" s="319">
        <v>833812.63</v>
      </c>
      <c r="L47" s="319">
        <v>791370.82000000007</v>
      </c>
      <c r="M47" s="319">
        <v>875771.72</v>
      </c>
      <c r="N47" s="319">
        <v>929274.47</v>
      </c>
      <c r="O47" s="319">
        <v>1101888.3999999999</v>
      </c>
      <c r="P47" s="319">
        <v>849646</v>
      </c>
      <c r="Q47" s="319">
        <v>957491.53</v>
      </c>
      <c r="R47" s="319">
        <v>1528633.94</v>
      </c>
      <c r="S47" s="322">
        <v>1150539.51</v>
      </c>
      <c r="T47" s="319">
        <v>1206236.8699999999</v>
      </c>
      <c r="U47" s="319">
        <v>1155836.81</v>
      </c>
      <c r="V47" s="319">
        <v>1139421.72</v>
      </c>
      <c r="W47" s="319">
        <v>1554051</v>
      </c>
      <c r="X47" s="330"/>
      <c r="Y47" s="319" t="s">
        <v>30</v>
      </c>
      <c r="Z47" s="319">
        <v>45746.64</v>
      </c>
      <c r="AA47" s="319">
        <v>56900.76</v>
      </c>
      <c r="AB47" s="319">
        <v>65970.66</v>
      </c>
      <c r="AC47" s="319">
        <v>70871.039999999994</v>
      </c>
      <c r="AD47" s="319">
        <v>71824.679999999993</v>
      </c>
      <c r="AE47" s="319">
        <v>66939.11</v>
      </c>
      <c r="AF47" s="319">
        <v>76501.84</v>
      </c>
      <c r="AG47" s="319">
        <v>73886.3</v>
      </c>
      <c r="AH47" s="319">
        <v>77715.37</v>
      </c>
      <c r="AI47" s="319">
        <v>79043.429999999993</v>
      </c>
      <c r="AJ47" s="319">
        <v>77954.430000000008</v>
      </c>
      <c r="AK47" s="319">
        <v>80159.76999999999</v>
      </c>
      <c r="AL47" s="319">
        <v>80639.75</v>
      </c>
      <c r="AM47" s="319">
        <v>83679</v>
      </c>
      <c r="AN47" s="319">
        <v>83341.19</v>
      </c>
      <c r="AO47" s="319">
        <v>82632.03</v>
      </c>
      <c r="AP47" s="319">
        <v>82199.03</v>
      </c>
      <c r="AQ47" s="322">
        <v>82454.320000000007</v>
      </c>
      <c r="AR47" s="319">
        <v>81846.87</v>
      </c>
      <c r="AS47" s="319">
        <v>84039.819999999992</v>
      </c>
      <c r="AT47" s="319">
        <v>83420.67</v>
      </c>
      <c r="AU47" s="319">
        <v>87649</v>
      </c>
      <c r="AV47" s="334"/>
      <c r="AW47" s="319" t="s">
        <v>30</v>
      </c>
      <c r="AX47" s="319">
        <v>60995.520000000004</v>
      </c>
      <c r="AY47" s="319">
        <v>56900.76</v>
      </c>
      <c r="AZ47" s="319">
        <v>65970.66</v>
      </c>
      <c r="BA47" s="319">
        <v>62996.480000000003</v>
      </c>
      <c r="BB47" s="319">
        <v>63844.160000000003</v>
      </c>
      <c r="BC47" s="319">
        <v>57376.38</v>
      </c>
      <c r="BD47" s="319">
        <v>64617.000000000007</v>
      </c>
      <c r="BE47" s="319">
        <v>66497.67</v>
      </c>
      <c r="BF47" s="319">
        <v>73867.709999999992</v>
      </c>
      <c r="BG47" s="319">
        <v>70550.12000000001</v>
      </c>
      <c r="BH47" s="319">
        <v>71737.17</v>
      </c>
      <c r="BI47" s="319">
        <v>72491.739999999991</v>
      </c>
      <c r="BJ47" s="319">
        <v>74476.580000000016</v>
      </c>
      <c r="BK47" s="319">
        <v>74993.5</v>
      </c>
      <c r="BL47" s="319">
        <v>74060.040000000008</v>
      </c>
      <c r="BM47" s="319">
        <v>54926.16</v>
      </c>
      <c r="BN47" s="319">
        <v>64661.490000000005</v>
      </c>
      <c r="BO47" s="322">
        <v>67436.560000000012</v>
      </c>
      <c r="BP47" s="319">
        <v>67942.27</v>
      </c>
      <c r="BQ47" s="319">
        <v>69069.36</v>
      </c>
      <c r="BR47" s="319">
        <v>71519.049999999988</v>
      </c>
      <c r="BS47" s="319">
        <v>77238</v>
      </c>
      <c r="BT47" s="334"/>
      <c r="BU47" s="322" t="s">
        <v>30</v>
      </c>
      <c r="BV47" s="322">
        <v>30497.759999999998</v>
      </c>
      <c r="BW47" s="322">
        <v>24386.04</v>
      </c>
      <c r="BX47" s="322">
        <v>37697.519999999997</v>
      </c>
      <c r="BY47" s="322">
        <v>31498.240000000002</v>
      </c>
      <c r="BZ47" s="322">
        <v>47883.12</v>
      </c>
      <c r="CA47" s="322">
        <v>38250.92</v>
      </c>
      <c r="CB47" s="322">
        <v>46155</v>
      </c>
      <c r="CC47" s="322">
        <v>36943.15</v>
      </c>
      <c r="CD47" s="322">
        <v>56381.430000000008</v>
      </c>
      <c r="CE47" s="322">
        <v>28135.86</v>
      </c>
      <c r="CF47" s="322">
        <v>51132.51</v>
      </c>
      <c r="CG47" s="322">
        <v>34602.99</v>
      </c>
      <c r="CH47" s="322">
        <v>69601.279999999999</v>
      </c>
      <c r="CI47" s="322">
        <v>34923.240000000005</v>
      </c>
      <c r="CJ47" s="322">
        <v>58410.25</v>
      </c>
      <c r="CK47" s="322">
        <v>46988.060000000005</v>
      </c>
      <c r="CL47" s="322">
        <v>99908.49</v>
      </c>
      <c r="CM47" s="322">
        <v>44221.42</v>
      </c>
      <c r="CN47" s="322">
        <v>81988.550000000017</v>
      </c>
      <c r="CO47" s="322">
        <v>63849.169999999991</v>
      </c>
      <c r="CP47" s="322">
        <v>116931.14</v>
      </c>
      <c r="CQ47" s="322">
        <v>91830</v>
      </c>
      <c r="CR47" s="334"/>
      <c r="CS47" s="322" t="s">
        <v>30</v>
      </c>
      <c r="CT47" s="322">
        <v>76244.399999999994</v>
      </c>
      <c r="CU47" s="322">
        <v>65029.440000000002</v>
      </c>
      <c r="CV47" s="322">
        <v>94243.8</v>
      </c>
      <c r="CW47" s="322">
        <v>62996.480000000003</v>
      </c>
      <c r="CX47" s="322">
        <v>55863.64</v>
      </c>
      <c r="CY47" s="322">
        <v>66939.11</v>
      </c>
      <c r="CZ47" s="322">
        <v>64617</v>
      </c>
      <c r="DA47" s="322">
        <v>73886.3</v>
      </c>
      <c r="DB47" s="322">
        <v>79403.049999999988</v>
      </c>
      <c r="DC47" s="322">
        <v>104262.37000000001</v>
      </c>
      <c r="DD47" s="322">
        <v>89795.07</v>
      </c>
      <c r="DE47" s="322">
        <v>162011.15999999997</v>
      </c>
      <c r="DF47" s="322">
        <v>106575.00000000001</v>
      </c>
      <c r="DG47" s="322">
        <v>261639.17</v>
      </c>
      <c r="DH47" s="322">
        <v>94832.37</v>
      </c>
      <c r="DI47" s="322">
        <v>88719.339999999982</v>
      </c>
      <c r="DJ47" s="322">
        <v>539666.88</v>
      </c>
      <c r="DK47" s="322">
        <v>129955.03</v>
      </c>
      <c r="DL47" s="322">
        <v>116444.42</v>
      </c>
      <c r="DM47" s="322">
        <v>120073.24999999999</v>
      </c>
      <c r="DN47" s="322">
        <v>206726.53999999998</v>
      </c>
      <c r="DO47" s="322">
        <v>233120</v>
      </c>
      <c r="DP47" s="334"/>
      <c r="DQ47" s="322" t="s">
        <v>30</v>
      </c>
      <c r="DR47" s="322">
        <v>30497.759999999998</v>
      </c>
      <c r="DS47" s="322">
        <v>32514.720000000001</v>
      </c>
      <c r="DT47" s="322">
        <v>37697.519999999997</v>
      </c>
      <c r="DU47" s="322">
        <v>31498.240000000002</v>
      </c>
      <c r="DV47" s="322">
        <v>31922.080000000002</v>
      </c>
      <c r="DW47" s="322">
        <v>38250.92</v>
      </c>
      <c r="DX47" s="322">
        <v>36924</v>
      </c>
      <c r="DY47" s="322">
        <v>0</v>
      </c>
      <c r="DZ47" s="322">
        <v>0</v>
      </c>
      <c r="EA47" s="322">
        <v>0</v>
      </c>
      <c r="EB47" s="322">
        <v>0</v>
      </c>
      <c r="EC47" s="322">
        <v>0</v>
      </c>
      <c r="ED47" s="322">
        <v>0</v>
      </c>
      <c r="EE47" s="322">
        <v>0</v>
      </c>
      <c r="EF47" s="322">
        <v>0</v>
      </c>
      <c r="EG47" s="322">
        <v>0</v>
      </c>
      <c r="EH47" s="322">
        <v>0</v>
      </c>
      <c r="EI47" s="322">
        <v>0</v>
      </c>
      <c r="EJ47" s="322">
        <v>0</v>
      </c>
      <c r="EK47" s="322">
        <v>0</v>
      </c>
      <c r="EL47" s="322">
        <v>0</v>
      </c>
      <c r="EM47" s="322">
        <v>0</v>
      </c>
      <c r="EN47" s="334"/>
      <c r="EO47" s="322" t="s">
        <v>30</v>
      </c>
      <c r="EP47" s="322">
        <v>53371.08</v>
      </c>
      <c r="EQ47" s="322">
        <v>48772.08</v>
      </c>
      <c r="ER47" s="322">
        <v>47121.9</v>
      </c>
      <c r="ES47" s="322">
        <v>55121.919999999998</v>
      </c>
      <c r="ET47" s="322">
        <v>55863.64</v>
      </c>
      <c r="EU47" s="322">
        <v>57376.38</v>
      </c>
      <c r="EV47" s="322">
        <v>55386</v>
      </c>
      <c r="EW47" s="322">
        <v>59109.04</v>
      </c>
      <c r="EX47" s="322">
        <v>64768.979999999996</v>
      </c>
      <c r="EY47" s="322">
        <v>65596.929999999993</v>
      </c>
      <c r="EZ47" s="322">
        <v>69136.89</v>
      </c>
      <c r="FA47" s="322">
        <v>89627.760000000009</v>
      </c>
      <c r="FB47" s="322">
        <v>100204.39000000001</v>
      </c>
      <c r="FC47" s="322">
        <v>103169.49</v>
      </c>
      <c r="FD47" s="322">
        <v>96834.81</v>
      </c>
      <c r="FE47" s="322">
        <v>98934.140000000014</v>
      </c>
      <c r="FF47" s="322">
        <v>102295.97</v>
      </c>
      <c r="FG47" s="322">
        <v>104841.34000000001</v>
      </c>
      <c r="FH47" s="322">
        <v>100319.31999999999</v>
      </c>
      <c r="FI47" s="322">
        <v>103423.25</v>
      </c>
      <c r="FJ47" s="322">
        <v>102650.55</v>
      </c>
      <c r="FK47" s="322">
        <v>114243</v>
      </c>
      <c r="FL47" s="334"/>
      <c r="FM47" s="322" t="s">
        <v>30</v>
      </c>
      <c r="FN47" s="322">
        <v>0</v>
      </c>
      <c r="FO47" s="322">
        <v>0</v>
      </c>
      <c r="FP47" s="322">
        <v>0</v>
      </c>
      <c r="FQ47" s="322">
        <v>0</v>
      </c>
      <c r="FR47" s="322">
        <v>0</v>
      </c>
      <c r="FS47" s="322">
        <v>0</v>
      </c>
      <c r="FT47" s="322">
        <v>0</v>
      </c>
      <c r="FU47" s="322">
        <v>0</v>
      </c>
      <c r="FV47" s="322">
        <v>0</v>
      </c>
      <c r="FW47" s="322">
        <v>0</v>
      </c>
      <c r="FX47" s="322">
        <v>0</v>
      </c>
      <c r="FY47" s="322">
        <v>0</v>
      </c>
      <c r="FZ47" s="322">
        <v>0</v>
      </c>
      <c r="GA47" s="322">
        <v>0</v>
      </c>
      <c r="GB47" s="322">
        <v>0</v>
      </c>
      <c r="GC47" s="322">
        <v>0</v>
      </c>
      <c r="GD47" s="322">
        <v>0</v>
      </c>
      <c r="GE47" s="322">
        <v>0</v>
      </c>
      <c r="GF47" s="340">
        <v>0</v>
      </c>
      <c r="GG47" s="704">
        <v>0</v>
      </c>
      <c r="GH47" s="704">
        <v>0</v>
      </c>
      <c r="GI47" s="704">
        <v>0</v>
      </c>
      <c r="GJ47" s="334"/>
      <c r="GK47" s="322" t="s">
        <v>30</v>
      </c>
      <c r="GL47" s="322">
        <v>7624.44</v>
      </c>
      <c r="GM47" s="322">
        <v>16257.36</v>
      </c>
      <c r="GN47" s="322">
        <v>9424.3799999999992</v>
      </c>
      <c r="GO47" s="322">
        <v>23623.68</v>
      </c>
      <c r="GP47" s="322">
        <v>23941.56</v>
      </c>
      <c r="GQ47" s="322">
        <v>19125.46</v>
      </c>
      <c r="GR47" s="322">
        <v>18462</v>
      </c>
      <c r="GS47" s="322">
        <v>36943.15</v>
      </c>
      <c r="GT47" s="322">
        <v>27113.39</v>
      </c>
      <c r="GU47" s="322">
        <v>22628.29</v>
      </c>
      <c r="GV47" s="322">
        <v>18433.98</v>
      </c>
      <c r="GW47" s="322">
        <v>17445.769999999997</v>
      </c>
      <c r="GX47" s="322">
        <v>26652.420000000002</v>
      </c>
      <c r="GY47" s="322">
        <v>30808.979999999996</v>
      </c>
      <c r="GZ47" s="322">
        <v>33531.33</v>
      </c>
      <c r="HA47" s="322">
        <v>34448.720000000001</v>
      </c>
      <c r="HB47" s="322">
        <v>31881.289999999997</v>
      </c>
      <c r="HC47" s="322">
        <v>38002.07</v>
      </c>
      <c r="HD47" s="322">
        <v>32170.65</v>
      </c>
      <c r="HE47" s="322">
        <v>34863.120000000003</v>
      </c>
      <c r="HF47" s="322">
        <v>37687.01</v>
      </c>
      <c r="HG47" s="322">
        <v>39131</v>
      </c>
      <c r="HH47" s="334"/>
      <c r="HI47" s="322" t="s">
        <v>30</v>
      </c>
      <c r="HJ47" s="322">
        <v>0</v>
      </c>
      <c r="HK47" s="322">
        <v>0</v>
      </c>
      <c r="HL47" s="322">
        <v>0</v>
      </c>
      <c r="HM47" s="322">
        <v>0</v>
      </c>
      <c r="HN47" s="322">
        <v>0</v>
      </c>
      <c r="HO47" s="322">
        <v>0</v>
      </c>
      <c r="HP47" s="322">
        <v>0</v>
      </c>
      <c r="HQ47" s="322">
        <v>0</v>
      </c>
      <c r="HR47" s="322">
        <v>1560.1799999999998</v>
      </c>
      <c r="HS47" s="322">
        <v>0</v>
      </c>
      <c r="HT47" s="322">
        <v>0</v>
      </c>
      <c r="HU47" s="322">
        <v>0</v>
      </c>
      <c r="HV47" s="322">
        <v>0</v>
      </c>
      <c r="HW47" s="322">
        <v>0</v>
      </c>
      <c r="HX47" s="322">
        <v>1287.6999999999998</v>
      </c>
      <c r="HY47" s="322">
        <v>0</v>
      </c>
      <c r="HZ47" s="322">
        <v>0</v>
      </c>
      <c r="IA47" s="322">
        <v>0</v>
      </c>
      <c r="IB47" s="322">
        <v>0</v>
      </c>
      <c r="IC47" s="322">
        <v>0</v>
      </c>
      <c r="ID47" s="322">
        <v>0</v>
      </c>
      <c r="IE47" s="322">
        <v>0</v>
      </c>
      <c r="IF47" s="334"/>
      <c r="IG47" s="322" t="s">
        <v>30</v>
      </c>
      <c r="IH47" s="322">
        <v>7624.44</v>
      </c>
      <c r="II47" s="322">
        <v>8128.68</v>
      </c>
      <c r="IJ47" s="322">
        <v>9424.3799999999992</v>
      </c>
      <c r="IK47" s="322">
        <v>7874.56</v>
      </c>
      <c r="IL47" s="322">
        <v>0</v>
      </c>
      <c r="IM47" s="322">
        <v>0</v>
      </c>
      <c r="IN47" s="322">
        <v>0</v>
      </c>
      <c r="IO47" s="322">
        <v>0</v>
      </c>
      <c r="IP47" s="322">
        <v>0</v>
      </c>
      <c r="IQ47" s="322">
        <v>1798.91</v>
      </c>
      <c r="IR47" s="322">
        <v>1933.19</v>
      </c>
      <c r="IS47" s="322">
        <v>1996.35</v>
      </c>
      <c r="IT47" s="322">
        <v>815.15</v>
      </c>
      <c r="IU47" s="322">
        <v>1011.04</v>
      </c>
      <c r="IV47" s="322"/>
      <c r="IW47" s="322"/>
      <c r="IX47" s="322"/>
      <c r="IY47" s="322"/>
      <c r="IZ47" s="322"/>
      <c r="JA47" s="322"/>
      <c r="JB47" s="322"/>
      <c r="JC47" s="322"/>
      <c r="JD47" s="334"/>
      <c r="JE47" s="322" t="s">
        <v>30</v>
      </c>
      <c r="JF47" s="322">
        <v>7624.44</v>
      </c>
      <c r="JG47" s="322">
        <v>8128.68</v>
      </c>
      <c r="JH47" s="322">
        <v>9424.3799999999992</v>
      </c>
      <c r="JI47" s="322">
        <v>7874.56</v>
      </c>
      <c r="JJ47" s="322">
        <v>7980.52</v>
      </c>
      <c r="JK47" s="322">
        <v>0</v>
      </c>
      <c r="JL47" s="322">
        <v>9231</v>
      </c>
      <c r="JM47" s="322">
        <v>7388.63</v>
      </c>
      <c r="JN47" s="322">
        <v>5072.07</v>
      </c>
      <c r="JO47" s="322">
        <v>6943.5899999999992</v>
      </c>
      <c r="JP47" s="322">
        <v>3567.66</v>
      </c>
      <c r="JQ47" s="322">
        <v>7659.95</v>
      </c>
      <c r="JR47" s="322">
        <v>8407.7900000000009</v>
      </c>
      <c r="JS47" s="322">
        <v>9448.15</v>
      </c>
      <c r="JT47" s="322">
        <v>5069.2700000000004</v>
      </c>
      <c r="JU47" s="322">
        <v>11750.74</v>
      </c>
      <c r="JV47" s="322">
        <v>5728.05</v>
      </c>
      <c r="JW47" s="322">
        <v>11560.619999999999</v>
      </c>
      <c r="JX47" s="322">
        <v>3528.2900000000004</v>
      </c>
      <c r="JY47" s="322">
        <v>6629.74</v>
      </c>
      <c r="JZ47" s="322">
        <v>3847.43</v>
      </c>
      <c r="KA47" s="322">
        <v>11468</v>
      </c>
      <c r="KB47" s="334"/>
      <c r="KC47" s="322" t="s">
        <v>30</v>
      </c>
      <c r="KD47" s="322">
        <v>22873.32</v>
      </c>
      <c r="KE47" s="322">
        <v>24386.04</v>
      </c>
      <c r="KF47" s="322">
        <v>28273.14</v>
      </c>
      <c r="KG47" s="322">
        <v>23623.68</v>
      </c>
      <c r="KH47" s="322">
        <v>47883.12</v>
      </c>
      <c r="KI47" s="322">
        <v>28688.19</v>
      </c>
      <c r="KJ47" s="322">
        <v>27693</v>
      </c>
      <c r="KK47" s="322">
        <v>29554.52</v>
      </c>
      <c r="KL47" s="322">
        <v>28677.920000000002</v>
      </c>
      <c r="KM47" s="322">
        <v>42407.630000000005</v>
      </c>
      <c r="KN47" s="322">
        <v>42872.800000000003</v>
      </c>
      <c r="KO47" s="322">
        <v>44552.109999999993</v>
      </c>
      <c r="KP47" s="322">
        <v>44858.47</v>
      </c>
      <c r="KQ47" s="322">
        <v>49323.46</v>
      </c>
      <c r="KR47" s="322">
        <v>0</v>
      </c>
      <c r="KS47" s="322">
        <v>49069.859999999993</v>
      </c>
      <c r="KT47" s="322">
        <v>48743.049999999996</v>
      </c>
      <c r="KU47" s="322">
        <v>50054.23</v>
      </c>
      <c r="KV47" s="322">
        <v>51079.630000000005</v>
      </c>
      <c r="KW47" s="322">
        <v>48399.799999999996</v>
      </c>
      <c r="KX47" s="322">
        <v>48253.47</v>
      </c>
      <c r="KY47" s="322">
        <v>57954</v>
      </c>
      <c r="KZ47" s="334"/>
      <c r="LA47" s="322" t="s">
        <v>30</v>
      </c>
      <c r="LB47" s="322">
        <v>91493.28</v>
      </c>
      <c r="LC47" s="322">
        <v>121930.2</v>
      </c>
      <c r="LD47" s="322">
        <v>131941.32</v>
      </c>
      <c r="LE47" s="322">
        <v>133867.51999999999</v>
      </c>
      <c r="LF47" s="322">
        <v>127688.32000000001</v>
      </c>
      <c r="LG47" s="322">
        <v>248630.98</v>
      </c>
      <c r="LH47" s="322">
        <v>129234</v>
      </c>
      <c r="LI47" s="322">
        <v>147772.6</v>
      </c>
      <c r="LJ47" s="322">
        <v>116483.02</v>
      </c>
      <c r="LK47" s="322">
        <v>175269.24</v>
      </c>
      <c r="LL47" s="322">
        <v>227159.62000000002</v>
      </c>
      <c r="LM47" s="322">
        <v>210766.92</v>
      </c>
      <c r="LN47" s="322">
        <v>238927.95999999996</v>
      </c>
      <c r="LO47" s="322">
        <v>208297.19</v>
      </c>
      <c r="LP47" s="322">
        <v>194963.89999999997</v>
      </c>
      <c r="LQ47" s="322">
        <v>191623.50000000003</v>
      </c>
      <c r="LR47" s="322">
        <v>185151.37999999995</v>
      </c>
      <c r="LS47" s="322">
        <v>188807.13999999998</v>
      </c>
      <c r="LT47" s="322">
        <v>195259.46999999997</v>
      </c>
      <c r="LU47" s="322">
        <v>207734.02000000002</v>
      </c>
      <c r="LV47" s="322">
        <v>225992.66999999998</v>
      </c>
      <c r="LW47" s="322">
        <v>249525</v>
      </c>
      <c r="LX47" s="334"/>
      <c r="LY47" s="322" t="s">
        <v>30</v>
      </c>
      <c r="LZ47" s="322">
        <v>190611</v>
      </c>
      <c r="MA47" s="322">
        <v>170702.28</v>
      </c>
      <c r="MB47" s="322">
        <v>216760.74</v>
      </c>
      <c r="MC47" s="322">
        <v>141742.07999999999</v>
      </c>
      <c r="MD47" s="322">
        <v>167590.92000000001</v>
      </c>
      <c r="ME47" s="322">
        <v>200817.33</v>
      </c>
      <c r="MF47" s="322">
        <v>193851</v>
      </c>
      <c r="MG47" s="322">
        <v>0</v>
      </c>
      <c r="MH47" s="322">
        <v>0</v>
      </c>
      <c r="MI47" s="322">
        <v>0</v>
      </c>
      <c r="MJ47" s="322">
        <v>0</v>
      </c>
      <c r="MK47" s="322">
        <v>0</v>
      </c>
      <c r="ML47" s="322">
        <v>0</v>
      </c>
      <c r="MM47" s="322">
        <v>0</v>
      </c>
      <c r="MN47" s="322">
        <v>0</v>
      </c>
      <c r="MO47" s="322">
        <v>0</v>
      </c>
      <c r="MP47" s="322">
        <v>0</v>
      </c>
      <c r="MQ47" s="322">
        <v>0</v>
      </c>
      <c r="MR47" s="322">
        <v>0</v>
      </c>
      <c r="MS47" s="322">
        <v>0</v>
      </c>
      <c r="MT47" s="322">
        <v>0</v>
      </c>
      <c r="MU47" s="322">
        <v>0</v>
      </c>
      <c r="MV47" s="334"/>
      <c r="MW47" s="322" t="s">
        <v>30</v>
      </c>
      <c r="MX47" s="322">
        <v>30497.759999999998</v>
      </c>
      <c r="MY47" s="322">
        <v>16257.36</v>
      </c>
      <c r="MZ47" s="322">
        <v>37697.519999999997</v>
      </c>
      <c r="NA47" s="322">
        <v>31498.240000000002</v>
      </c>
      <c r="NB47" s="322">
        <v>23941.56</v>
      </c>
      <c r="NC47" s="322">
        <v>47813.65</v>
      </c>
      <c r="ND47" s="322">
        <v>110772</v>
      </c>
      <c r="NE47" s="322">
        <v>0</v>
      </c>
      <c r="NF47" s="322">
        <v>0</v>
      </c>
      <c r="NG47" s="322">
        <v>0</v>
      </c>
      <c r="NH47" s="322">
        <v>0</v>
      </c>
      <c r="NI47" s="322">
        <v>0</v>
      </c>
      <c r="NJ47" s="322">
        <v>0</v>
      </c>
      <c r="NK47" s="322">
        <v>0</v>
      </c>
      <c r="NL47" s="322">
        <v>0</v>
      </c>
      <c r="NM47" s="322">
        <v>0</v>
      </c>
      <c r="NN47" s="322">
        <v>0</v>
      </c>
      <c r="NO47" s="322">
        <v>0</v>
      </c>
      <c r="NP47" s="322">
        <v>0</v>
      </c>
      <c r="NQ47" s="322">
        <v>0</v>
      </c>
      <c r="NR47" s="322">
        <v>0</v>
      </c>
      <c r="NS47" s="322">
        <v>0</v>
      </c>
      <c r="NT47" s="334"/>
      <c r="NU47" s="322" t="s">
        <v>30</v>
      </c>
      <c r="NV47" s="322">
        <v>68619.960000000006</v>
      </c>
      <c r="NW47" s="322">
        <v>81286.8</v>
      </c>
      <c r="NX47" s="322">
        <v>65970.66</v>
      </c>
      <c r="NY47" s="322">
        <v>55121.919999999998</v>
      </c>
      <c r="NZ47" s="322">
        <v>55863.64</v>
      </c>
      <c r="OA47" s="322">
        <v>57376.38</v>
      </c>
      <c r="OB47" s="322">
        <v>64617</v>
      </c>
      <c r="OC47" s="322">
        <v>81274.929999999993</v>
      </c>
      <c r="OD47" s="322">
        <v>90041.47</v>
      </c>
      <c r="OE47" s="322">
        <v>64970.14</v>
      </c>
      <c r="OF47" s="322">
        <v>67555.42</v>
      </c>
      <c r="OG47" s="322">
        <v>68906.249999999985</v>
      </c>
      <c r="OH47" s="322">
        <v>75091.660000000018</v>
      </c>
      <c r="OI47" s="322">
        <v>72711.66</v>
      </c>
      <c r="OJ47" s="322">
        <v>82506.350000000006</v>
      </c>
      <c r="OK47" s="322">
        <v>92038.409999999989</v>
      </c>
      <c r="OL47" s="322">
        <v>105359.65000000002</v>
      </c>
      <c r="OM47" s="322">
        <v>109936.03</v>
      </c>
      <c r="ON47" s="322">
        <v>100340.48</v>
      </c>
      <c r="OO47" s="322">
        <v>104824.70999999999</v>
      </c>
      <c r="OP47" s="322">
        <v>115233.15</v>
      </c>
      <c r="OQ47" s="322">
        <v>117246</v>
      </c>
      <c r="OR47" s="334"/>
      <c r="OS47" s="322" t="s">
        <v>30</v>
      </c>
      <c r="OT47" s="322">
        <v>30497.759999999998</v>
      </c>
      <c r="OU47" s="322">
        <v>40643.4</v>
      </c>
      <c r="OV47" s="322">
        <v>47121.9</v>
      </c>
      <c r="OW47" s="322">
        <v>31498.240000000002</v>
      </c>
      <c r="OX47" s="322">
        <v>7980.52</v>
      </c>
      <c r="OY47" s="322">
        <v>9562.73</v>
      </c>
      <c r="OZ47" s="322">
        <v>9231</v>
      </c>
      <c r="PA47" s="322">
        <v>14777.26</v>
      </c>
      <c r="PB47" s="322">
        <v>10958.640000000001</v>
      </c>
      <c r="PC47" s="322">
        <v>10073.69</v>
      </c>
      <c r="PD47" s="322">
        <v>9774</v>
      </c>
      <c r="PE47" s="322">
        <v>7798.4000000000005</v>
      </c>
      <c r="PF47" s="322">
        <v>7829.46</v>
      </c>
      <c r="PG47" s="322">
        <v>15499.14</v>
      </c>
      <c r="PH47" s="322">
        <v>4706.33</v>
      </c>
      <c r="PI47" s="322">
        <v>6547.92</v>
      </c>
      <c r="PJ47" s="322">
        <v>10503.2</v>
      </c>
      <c r="PK47" s="322">
        <v>8600.4600000000009</v>
      </c>
      <c r="PL47" s="322">
        <v>10279.469999999999</v>
      </c>
      <c r="PM47" s="322">
        <v>16009.29</v>
      </c>
      <c r="PN47" s="322">
        <v>12494.929999999998</v>
      </c>
      <c r="PO47" s="322">
        <v>48667</v>
      </c>
      <c r="PP47" s="334"/>
      <c r="PQ47" s="322" t="s">
        <v>30</v>
      </c>
      <c r="PR47" s="322">
        <v>0</v>
      </c>
      <c r="PS47" s="322">
        <v>8128.68</v>
      </c>
      <c r="PT47" s="322">
        <v>9424.3799999999992</v>
      </c>
      <c r="PU47" s="322">
        <v>15749.12</v>
      </c>
      <c r="PV47" s="322">
        <v>7980.52</v>
      </c>
      <c r="PW47" s="322">
        <v>19125.46</v>
      </c>
      <c r="PX47" s="322">
        <v>9231</v>
      </c>
      <c r="PY47" s="322">
        <v>14777.26</v>
      </c>
      <c r="PZ47" s="322">
        <v>13328.73</v>
      </c>
      <c r="QA47" s="322">
        <v>13344.039999999999</v>
      </c>
      <c r="QB47" s="322">
        <v>11479.539999999999</v>
      </c>
      <c r="QC47" s="322">
        <v>14708.439999999999</v>
      </c>
      <c r="QD47" s="322">
        <v>18372.48</v>
      </c>
      <c r="QE47" s="322">
        <v>16904.48</v>
      </c>
      <c r="QF47" s="322">
        <v>12964.48</v>
      </c>
      <c r="QG47" s="322">
        <v>16889.48</v>
      </c>
      <c r="QH47" s="322">
        <v>21160.59</v>
      </c>
      <c r="QI47" s="322">
        <v>17315.37</v>
      </c>
      <c r="QJ47" s="322">
        <v>28177.719999999998</v>
      </c>
      <c r="QK47" s="322">
        <v>23416.87</v>
      </c>
      <c r="QL47" s="322">
        <v>23371.52</v>
      </c>
      <c r="QM47" s="322">
        <v>27242</v>
      </c>
      <c r="QN47" s="334"/>
      <c r="QO47" s="322" t="s">
        <v>30</v>
      </c>
      <c r="QP47" s="322">
        <v>0</v>
      </c>
      <c r="QQ47" s="322">
        <v>0</v>
      </c>
      <c r="QR47" s="322">
        <v>0</v>
      </c>
      <c r="QS47" s="322">
        <v>0</v>
      </c>
      <c r="QT47" s="322">
        <v>0</v>
      </c>
      <c r="QU47" s="322">
        <v>0</v>
      </c>
      <c r="QV47" s="322">
        <v>0</v>
      </c>
      <c r="QW47" s="322">
        <v>0</v>
      </c>
      <c r="QX47" s="322">
        <v>0</v>
      </c>
      <c r="QY47" s="322">
        <v>0</v>
      </c>
      <c r="QZ47" s="322">
        <v>0</v>
      </c>
      <c r="RA47" s="322">
        <v>0</v>
      </c>
      <c r="RB47" s="322">
        <v>0</v>
      </c>
      <c r="RC47" s="322">
        <v>0</v>
      </c>
      <c r="RD47" s="322">
        <v>0</v>
      </c>
      <c r="RE47" s="322">
        <v>0</v>
      </c>
      <c r="RF47" s="322">
        <v>0</v>
      </c>
      <c r="RG47" s="322">
        <v>0</v>
      </c>
      <c r="RH47" s="322">
        <v>0</v>
      </c>
      <c r="RI47" s="322">
        <v>0</v>
      </c>
      <c r="RJ47" s="322">
        <v>0</v>
      </c>
      <c r="RK47" s="322">
        <v>0</v>
      </c>
      <c r="RL47" s="334"/>
      <c r="RM47" s="322" t="s">
        <v>30</v>
      </c>
      <c r="RN47" s="322">
        <v>7624.44</v>
      </c>
      <c r="RO47" s="322">
        <v>32514.720000000001</v>
      </c>
      <c r="RP47" s="322">
        <v>28273.14</v>
      </c>
      <c r="RQ47" s="322">
        <v>0</v>
      </c>
      <c r="RR47" s="322">
        <v>0</v>
      </c>
      <c r="RS47" s="322">
        <v>0</v>
      </c>
      <c r="RT47" s="322">
        <v>9231</v>
      </c>
      <c r="RU47" s="322">
        <v>96052.19</v>
      </c>
      <c r="RV47" s="322">
        <v>53059</v>
      </c>
      <c r="RW47" s="322">
        <v>12244</v>
      </c>
      <c r="RX47" s="322">
        <v>47205.88</v>
      </c>
      <c r="RY47" s="322">
        <v>57180.81</v>
      </c>
      <c r="RZ47" s="322">
        <v>74832.08</v>
      </c>
      <c r="SA47" s="322">
        <v>135171.41999999998</v>
      </c>
      <c r="SB47" s="322">
        <v>56474.92</v>
      </c>
      <c r="SC47" s="322">
        <v>158226.79999999999</v>
      </c>
      <c r="SD47" s="322">
        <v>153228.41999999998</v>
      </c>
      <c r="SE47" s="322">
        <v>286352.18</v>
      </c>
      <c r="SF47" s="322">
        <v>300217.08999999997</v>
      </c>
      <c r="SG47" s="322">
        <v>256242.09</v>
      </c>
      <c r="SH47" s="322">
        <v>79487.95</v>
      </c>
      <c r="SI47" s="322">
        <v>298738</v>
      </c>
    </row>
    <row r="48" spans="1:503">
      <c r="A48" s="319" t="s">
        <v>31</v>
      </c>
      <c r="B48" s="319">
        <v>1687991</v>
      </c>
      <c r="C48" s="319">
        <v>1846469</v>
      </c>
      <c r="D48" s="319">
        <v>1842179</v>
      </c>
      <c r="E48" s="319">
        <v>1927676</v>
      </c>
      <c r="F48" s="319">
        <v>2185620</v>
      </c>
      <c r="G48" s="319">
        <v>2213207</v>
      </c>
      <c r="H48" s="319">
        <v>2226460</v>
      </c>
      <c r="I48" s="319">
        <v>2414850</v>
      </c>
      <c r="J48" s="319">
        <v>2173494.7199999997</v>
      </c>
      <c r="K48" s="319">
        <v>2236408.0410000002</v>
      </c>
      <c r="L48" s="319">
        <v>2342328.21</v>
      </c>
      <c r="M48" s="319">
        <v>2414462.4499999997</v>
      </c>
      <c r="N48" s="319">
        <v>2609829.7400000002</v>
      </c>
      <c r="O48" s="319">
        <v>2377624.2599999998</v>
      </c>
      <c r="P48" s="319">
        <v>2545073.6900000004</v>
      </c>
      <c r="Q48" s="319">
        <v>2482330.14</v>
      </c>
      <c r="R48" s="319">
        <v>3028049.61</v>
      </c>
      <c r="S48" s="322">
        <v>2209251.04</v>
      </c>
      <c r="T48" s="319">
        <v>2274094.31</v>
      </c>
      <c r="U48" s="319">
        <v>2416968.4299999997</v>
      </c>
      <c r="V48" s="319">
        <v>2482661.87</v>
      </c>
      <c r="W48" s="319">
        <v>4132243.5300000003</v>
      </c>
      <c r="X48" s="330"/>
      <c r="Y48" s="319" t="s">
        <v>31</v>
      </c>
      <c r="Z48" s="319">
        <v>67519.64</v>
      </c>
      <c r="AA48" s="319">
        <v>55394.07</v>
      </c>
      <c r="AB48" s="319">
        <v>55265.37</v>
      </c>
      <c r="AC48" s="319">
        <v>77107.039999999994</v>
      </c>
      <c r="AD48" s="319">
        <v>87424.8</v>
      </c>
      <c r="AE48" s="319">
        <v>88528.28</v>
      </c>
      <c r="AF48" s="319">
        <v>88528.28</v>
      </c>
      <c r="AG48" s="319">
        <v>96594</v>
      </c>
      <c r="AH48" s="319">
        <v>104966.57999999999</v>
      </c>
      <c r="AI48" s="319">
        <v>109603.33100000001</v>
      </c>
      <c r="AJ48" s="319">
        <v>113741.49</v>
      </c>
      <c r="AK48" s="319">
        <v>114556.13</v>
      </c>
      <c r="AL48" s="319">
        <v>119623.42</v>
      </c>
      <c r="AM48" s="319">
        <v>121443.16</v>
      </c>
      <c r="AN48" s="319">
        <v>124455.43</v>
      </c>
      <c r="AO48" s="319">
        <v>127983.26000000001</v>
      </c>
      <c r="AP48" s="319">
        <v>134656.1</v>
      </c>
      <c r="AQ48" s="322">
        <v>130080.14</v>
      </c>
      <c r="AR48" s="319">
        <v>133078.26</v>
      </c>
      <c r="AS48" s="319">
        <v>133311.54</v>
      </c>
      <c r="AT48" s="319">
        <v>135194.82</v>
      </c>
      <c r="AU48" s="319">
        <v>139852.4</v>
      </c>
      <c r="AV48" s="334"/>
      <c r="AW48" s="319" t="s">
        <v>31</v>
      </c>
      <c r="AX48" s="319">
        <v>67519.64</v>
      </c>
      <c r="AY48" s="319">
        <v>73858.759999999995</v>
      </c>
      <c r="AZ48" s="319">
        <v>73687.16</v>
      </c>
      <c r="BA48" s="319">
        <v>77107.040000000008</v>
      </c>
      <c r="BB48" s="319">
        <v>87424.8</v>
      </c>
      <c r="BC48" s="319">
        <v>88528.28</v>
      </c>
      <c r="BD48" s="319">
        <v>89058.400000000009</v>
      </c>
      <c r="BE48" s="319">
        <v>96594</v>
      </c>
      <c r="BF48" s="319">
        <v>87483.919999999984</v>
      </c>
      <c r="BG48" s="319">
        <v>89624.19</v>
      </c>
      <c r="BH48" s="319">
        <v>93740.02</v>
      </c>
      <c r="BI48" s="319">
        <v>94539.77</v>
      </c>
      <c r="BJ48" s="319">
        <v>97429.47</v>
      </c>
      <c r="BK48" s="319">
        <v>105177.56</v>
      </c>
      <c r="BL48" s="319">
        <v>100760.13</v>
      </c>
      <c r="BM48" s="319">
        <v>138214.41000000003</v>
      </c>
      <c r="BN48" s="319">
        <v>114933.18</v>
      </c>
      <c r="BO48" s="322">
        <v>100726.97999999998</v>
      </c>
      <c r="BP48" s="319">
        <v>92176.18</v>
      </c>
      <c r="BQ48" s="319">
        <v>94818.57</v>
      </c>
      <c r="BR48" s="319">
        <v>97566.73</v>
      </c>
      <c r="BS48" s="319">
        <v>94813.51999999999</v>
      </c>
      <c r="BT48" s="334"/>
      <c r="BU48" s="322" t="s">
        <v>31</v>
      </c>
      <c r="BV48" s="322">
        <v>84399.55</v>
      </c>
      <c r="BW48" s="322">
        <v>55394.07</v>
      </c>
      <c r="BX48" s="322">
        <v>92108.95</v>
      </c>
      <c r="BY48" s="322">
        <v>57830.28</v>
      </c>
      <c r="BZ48" s="322">
        <v>131137.20000000001</v>
      </c>
      <c r="CA48" s="322">
        <v>44264.14</v>
      </c>
      <c r="CB48" s="322">
        <v>111323</v>
      </c>
      <c r="CC48" s="322">
        <v>48297</v>
      </c>
      <c r="CD48" s="322">
        <v>144894.26999999999</v>
      </c>
      <c r="CE48" s="322">
        <v>62845.15</v>
      </c>
      <c r="CF48" s="322">
        <v>129269.36</v>
      </c>
      <c r="CG48" s="322">
        <v>67502.86</v>
      </c>
      <c r="CH48" s="322">
        <v>182917.09000000003</v>
      </c>
      <c r="CI48" s="322">
        <v>74442.429999999993</v>
      </c>
      <c r="CJ48" s="322">
        <v>142775.66</v>
      </c>
      <c r="CK48" s="322">
        <v>57644.78</v>
      </c>
      <c r="CL48" s="322">
        <v>139075.97</v>
      </c>
      <c r="CM48" s="322">
        <v>49474.32</v>
      </c>
      <c r="CN48" s="322">
        <v>100463.29000000001</v>
      </c>
      <c r="CO48" s="322">
        <v>51994.52</v>
      </c>
      <c r="CP48" s="322">
        <v>135394.72999999998</v>
      </c>
      <c r="CQ48" s="322">
        <v>70200</v>
      </c>
      <c r="CR48" s="334"/>
      <c r="CS48" s="322" t="s">
        <v>31</v>
      </c>
      <c r="CT48" s="322">
        <v>168799.1</v>
      </c>
      <c r="CU48" s="322">
        <v>129252.83</v>
      </c>
      <c r="CV48" s="322">
        <v>92108.95</v>
      </c>
      <c r="CW48" s="322">
        <v>77107.039999999994</v>
      </c>
      <c r="CX48" s="322">
        <v>109281</v>
      </c>
      <c r="CY48" s="322">
        <v>110660.35</v>
      </c>
      <c r="CZ48" s="322">
        <v>111323</v>
      </c>
      <c r="DA48" s="322">
        <v>169039.5</v>
      </c>
      <c r="DB48" s="322">
        <v>90105.44</v>
      </c>
      <c r="DC48" s="322">
        <v>116133.06999999999</v>
      </c>
      <c r="DD48" s="322">
        <v>108147.65999999999</v>
      </c>
      <c r="DE48" s="322">
        <v>145876.56999999998</v>
      </c>
      <c r="DF48" s="322">
        <v>123242.20999999999</v>
      </c>
      <c r="DG48" s="322">
        <v>117390.95</v>
      </c>
      <c r="DH48" s="322">
        <v>137782.24</v>
      </c>
      <c r="DI48" s="322">
        <v>124773.38999999998</v>
      </c>
      <c r="DJ48" s="322">
        <v>117777.68</v>
      </c>
      <c r="DK48" s="322">
        <v>128457.69999999998</v>
      </c>
      <c r="DL48" s="322">
        <v>158318.02000000002</v>
      </c>
      <c r="DM48" s="322">
        <v>142454.81</v>
      </c>
      <c r="DN48" s="322">
        <v>156103.98000000001</v>
      </c>
      <c r="DO48" s="322">
        <v>767110.04</v>
      </c>
      <c r="DP48" s="334"/>
      <c r="DQ48" s="322" t="s">
        <v>31</v>
      </c>
      <c r="DR48" s="322">
        <v>84399.55</v>
      </c>
      <c r="DS48" s="322">
        <v>73858.759999999995</v>
      </c>
      <c r="DT48" s="322">
        <v>92108.95</v>
      </c>
      <c r="DU48" s="322">
        <v>134937.32</v>
      </c>
      <c r="DV48" s="322">
        <v>152993.4</v>
      </c>
      <c r="DW48" s="322">
        <v>154924.49</v>
      </c>
      <c r="DX48" s="322">
        <v>178116.8</v>
      </c>
      <c r="DY48" s="322">
        <v>193188</v>
      </c>
      <c r="DZ48" s="322">
        <v>198286.91</v>
      </c>
      <c r="EA48" s="322">
        <v>202906.40000000002</v>
      </c>
      <c r="EB48" s="322">
        <v>180594.82</v>
      </c>
      <c r="EC48" s="322">
        <v>187312.02</v>
      </c>
      <c r="ED48" s="322">
        <v>202591.12</v>
      </c>
      <c r="EE48" s="322">
        <v>207170.1</v>
      </c>
      <c r="EF48" s="322">
        <v>219345.98999999996</v>
      </c>
      <c r="EG48" s="322">
        <v>211256.02000000002</v>
      </c>
      <c r="EH48" s="322">
        <v>180739.05</v>
      </c>
      <c r="EI48" s="322">
        <v>172455.65</v>
      </c>
      <c r="EJ48" s="322">
        <v>212777.04</v>
      </c>
      <c r="EK48" s="322">
        <v>214135.56000000003</v>
      </c>
      <c r="EL48" s="322">
        <v>227780.83000000005</v>
      </c>
      <c r="EM48" s="322">
        <v>269000</v>
      </c>
      <c r="EN48" s="334"/>
      <c r="EO48" s="322" t="s">
        <v>31</v>
      </c>
      <c r="EP48" s="322">
        <v>67519.64</v>
      </c>
      <c r="EQ48" s="322">
        <v>73858.759999999995</v>
      </c>
      <c r="ER48" s="322">
        <v>73687.16</v>
      </c>
      <c r="ES48" s="322">
        <v>77107.039999999994</v>
      </c>
      <c r="ET48" s="322">
        <v>65568.600000000006</v>
      </c>
      <c r="EU48" s="322">
        <v>88528.28</v>
      </c>
      <c r="EV48" s="322">
        <v>89058.4</v>
      </c>
      <c r="EW48" s="322">
        <v>96594</v>
      </c>
      <c r="EX48" s="322">
        <v>87102.24</v>
      </c>
      <c r="EY48" s="322">
        <v>86959.51</v>
      </c>
      <c r="EZ48" s="322">
        <v>88303.15</v>
      </c>
      <c r="FA48" s="322">
        <v>89661.599999999991</v>
      </c>
      <c r="FB48" s="322">
        <v>90221.07</v>
      </c>
      <c r="FC48" s="322">
        <v>90429.489999999991</v>
      </c>
      <c r="FD48" s="322">
        <v>86338</v>
      </c>
      <c r="FE48" s="322">
        <v>92329.25</v>
      </c>
      <c r="FF48" s="322">
        <v>96946.82</v>
      </c>
      <c r="FG48" s="322">
        <v>92000.01</v>
      </c>
      <c r="FH48" s="322">
        <v>92179.830000000016</v>
      </c>
      <c r="FI48" s="322">
        <v>95202.17</v>
      </c>
      <c r="FJ48" s="322">
        <v>94327.239999999991</v>
      </c>
      <c r="FK48" s="322">
        <v>99971.01999999999</v>
      </c>
      <c r="FL48" s="334"/>
      <c r="FM48" s="322" t="s">
        <v>31</v>
      </c>
      <c r="FN48" s="322">
        <v>0</v>
      </c>
      <c r="FO48" s="322">
        <v>0</v>
      </c>
      <c r="FP48" s="322">
        <v>0</v>
      </c>
      <c r="FQ48" s="322">
        <v>0</v>
      </c>
      <c r="FR48" s="322">
        <v>0</v>
      </c>
      <c r="FS48" s="322">
        <v>0</v>
      </c>
      <c r="FT48" s="322">
        <v>0</v>
      </c>
      <c r="FU48" s="322">
        <v>0</v>
      </c>
      <c r="FV48" s="322">
        <v>3311.15</v>
      </c>
      <c r="FW48" s="322">
        <v>7419.42</v>
      </c>
      <c r="FX48" s="322">
        <v>3788.07</v>
      </c>
      <c r="FY48" s="322">
        <v>31145.69</v>
      </c>
      <c r="FZ48" s="322">
        <v>28206.05</v>
      </c>
      <c r="GA48" s="322">
        <v>29672.159999999996</v>
      </c>
      <c r="GB48" s="322">
        <v>17891.14</v>
      </c>
      <c r="GC48" s="322">
        <v>19854.599999999999</v>
      </c>
      <c r="GD48" s="322">
        <v>22204.12</v>
      </c>
      <c r="GE48" s="322">
        <v>27580.25</v>
      </c>
      <c r="GF48" s="340">
        <v>23226.93</v>
      </c>
      <c r="GG48" s="704">
        <v>24091.99</v>
      </c>
      <c r="GH48" s="704">
        <v>22443.48</v>
      </c>
      <c r="GI48" s="704">
        <v>26300</v>
      </c>
      <c r="GJ48" s="334"/>
      <c r="GK48" s="322" t="s">
        <v>31</v>
      </c>
      <c r="GL48" s="322">
        <v>67519.64</v>
      </c>
      <c r="GM48" s="322">
        <v>73858.759999999995</v>
      </c>
      <c r="GN48" s="322">
        <v>55265.37</v>
      </c>
      <c r="GO48" s="322">
        <v>96383.8</v>
      </c>
      <c r="GP48" s="322">
        <v>87424.8</v>
      </c>
      <c r="GQ48" s="322">
        <v>88528.28</v>
      </c>
      <c r="GR48" s="322">
        <v>89058.4</v>
      </c>
      <c r="GS48" s="322">
        <v>120742.5</v>
      </c>
      <c r="GT48" s="322">
        <v>89981.939999999988</v>
      </c>
      <c r="GU48" s="322">
        <v>96595.81</v>
      </c>
      <c r="GV48" s="322">
        <v>104779.56</v>
      </c>
      <c r="GW48" s="322">
        <v>102481.45000000001</v>
      </c>
      <c r="GX48" s="322">
        <v>104544.74</v>
      </c>
      <c r="GY48" s="322">
        <v>116908.32999999999</v>
      </c>
      <c r="GZ48" s="322">
        <v>100853.82</v>
      </c>
      <c r="HA48" s="322">
        <v>106358.91000000002</v>
      </c>
      <c r="HB48" s="322">
        <v>100078.09000000001</v>
      </c>
      <c r="HC48" s="322">
        <v>88285.26</v>
      </c>
      <c r="HD48" s="322">
        <v>96499.36</v>
      </c>
      <c r="HE48" s="322">
        <v>101872.05</v>
      </c>
      <c r="HF48" s="322">
        <v>93702.459999999992</v>
      </c>
      <c r="HG48" s="322">
        <v>116479.51999999999</v>
      </c>
      <c r="HH48" s="334"/>
      <c r="HI48" s="322" t="s">
        <v>31</v>
      </c>
      <c r="HJ48" s="322">
        <v>16879.91</v>
      </c>
      <c r="HK48" s="322">
        <v>18464.689999999999</v>
      </c>
      <c r="HL48" s="322">
        <v>18421.79</v>
      </c>
      <c r="HM48" s="322">
        <v>19276.759999999998</v>
      </c>
      <c r="HN48" s="322">
        <v>21856.2</v>
      </c>
      <c r="HO48" s="322">
        <v>22132.07</v>
      </c>
      <c r="HP48" s="322">
        <v>22264.6</v>
      </c>
      <c r="HQ48" s="322">
        <v>24148.5</v>
      </c>
      <c r="HR48" s="322">
        <v>27285.67</v>
      </c>
      <c r="HS48" s="322">
        <v>28313.61</v>
      </c>
      <c r="HT48" s="322">
        <v>27479.4</v>
      </c>
      <c r="HU48" s="322">
        <v>39180.210000000006</v>
      </c>
      <c r="HV48" s="322">
        <v>41871.339999999997</v>
      </c>
      <c r="HW48" s="322">
        <v>41560.33</v>
      </c>
      <c r="HX48" s="322">
        <v>31817.459999999995</v>
      </c>
      <c r="HY48" s="322">
        <v>29909.27</v>
      </c>
      <c r="HZ48" s="322">
        <v>29345.449999999997</v>
      </c>
      <c r="IA48" s="322">
        <v>28360.73</v>
      </c>
      <c r="IB48" s="322">
        <v>23565.45</v>
      </c>
      <c r="IC48" s="322">
        <v>24872.020000000004</v>
      </c>
      <c r="ID48" s="322">
        <v>24732.75</v>
      </c>
      <c r="IE48" s="322">
        <v>28000</v>
      </c>
      <c r="IF48" s="334"/>
      <c r="IG48" s="322" t="s">
        <v>31</v>
      </c>
      <c r="IH48" s="322">
        <v>16879.91</v>
      </c>
      <c r="II48" s="322">
        <v>18464.689999999999</v>
      </c>
      <c r="IJ48" s="322">
        <v>18421.79</v>
      </c>
      <c r="IK48" s="322">
        <v>19276.759999999998</v>
      </c>
      <c r="IL48" s="322">
        <v>21856.2</v>
      </c>
      <c r="IM48" s="322">
        <v>22132.07</v>
      </c>
      <c r="IN48" s="322">
        <v>22264.6</v>
      </c>
      <c r="IO48" s="322">
        <v>0</v>
      </c>
      <c r="IP48" s="322">
        <v>0</v>
      </c>
      <c r="IQ48" s="322">
        <v>0</v>
      </c>
      <c r="IR48" s="322">
        <v>0</v>
      </c>
      <c r="IS48" s="322">
        <v>0</v>
      </c>
      <c r="IT48" s="322">
        <v>0</v>
      </c>
      <c r="IU48" s="322">
        <v>0</v>
      </c>
      <c r="IV48" s="322"/>
      <c r="IW48" s="322"/>
      <c r="IX48" s="322"/>
      <c r="IY48" s="322"/>
      <c r="IZ48" s="322"/>
      <c r="JA48" s="322"/>
      <c r="JB48" s="322"/>
      <c r="JC48" s="322"/>
      <c r="JD48" s="334"/>
      <c r="JE48" s="322" t="s">
        <v>31</v>
      </c>
      <c r="JF48" s="322">
        <v>50639.73</v>
      </c>
      <c r="JG48" s="322">
        <v>36929.379999999997</v>
      </c>
      <c r="JH48" s="322">
        <v>36843.58</v>
      </c>
      <c r="JI48" s="322">
        <v>38553.519999999997</v>
      </c>
      <c r="JJ48" s="322">
        <v>43712.4</v>
      </c>
      <c r="JK48" s="322">
        <v>44264.14</v>
      </c>
      <c r="JL48" s="322">
        <v>44529.2</v>
      </c>
      <c r="JM48" s="322">
        <v>48297</v>
      </c>
      <c r="JN48" s="322">
        <v>46629.850000000006</v>
      </c>
      <c r="JO48" s="322">
        <v>46981.73</v>
      </c>
      <c r="JP48" s="322">
        <v>64486.349999999991</v>
      </c>
      <c r="JQ48" s="322">
        <v>55224.779999999992</v>
      </c>
      <c r="JR48" s="322">
        <v>58360.29</v>
      </c>
      <c r="JS48" s="322">
        <v>61143.470000000008</v>
      </c>
      <c r="JT48" s="322">
        <v>93150.8</v>
      </c>
      <c r="JU48" s="322">
        <v>103471.98000000003</v>
      </c>
      <c r="JV48" s="322">
        <v>116136.93000000001</v>
      </c>
      <c r="JW48" s="322">
        <v>87229.290000000008</v>
      </c>
      <c r="JX48" s="322">
        <v>95691.73000000001</v>
      </c>
      <c r="JY48" s="322">
        <v>98871.039999999994</v>
      </c>
      <c r="JZ48" s="322">
        <v>95170.700000000026</v>
      </c>
      <c r="KA48" s="322">
        <v>145662.5</v>
      </c>
      <c r="KB48" s="334"/>
      <c r="KC48" s="322" t="s">
        <v>31</v>
      </c>
      <c r="KD48" s="322">
        <v>0</v>
      </c>
      <c r="KE48" s="322">
        <v>0</v>
      </c>
      <c r="KF48" s="322">
        <v>0</v>
      </c>
      <c r="KG48" s="322">
        <v>0</v>
      </c>
      <c r="KH48" s="322">
        <v>0</v>
      </c>
      <c r="KI48" s="322">
        <v>0</v>
      </c>
      <c r="KJ48" s="322">
        <v>0</v>
      </c>
      <c r="KK48" s="322">
        <v>0</v>
      </c>
      <c r="KL48" s="322">
        <v>674.44</v>
      </c>
      <c r="KM48" s="322">
        <v>899.11</v>
      </c>
      <c r="KN48" s="322">
        <v>1406.9099999999999</v>
      </c>
      <c r="KO48" s="322">
        <v>1597.8</v>
      </c>
      <c r="KP48" s="322">
        <v>1641.3600000000001</v>
      </c>
      <c r="KQ48" s="322">
        <v>1860.79</v>
      </c>
      <c r="KR48" s="322">
        <v>1990.8600000000001</v>
      </c>
      <c r="KS48" s="322">
        <v>1953.79</v>
      </c>
      <c r="KT48" s="322">
        <v>5491.32</v>
      </c>
      <c r="KU48" s="322">
        <v>9595.56</v>
      </c>
      <c r="KV48" s="322">
        <v>18037.46</v>
      </c>
      <c r="KW48" s="322">
        <v>31503.260000000002</v>
      </c>
      <c r="KX48" s="322">
        <v>32556.25</v>
      </c>
      <c r="KY48" s="322">
        <v>35300</v>
      </c>
      <c r="KZ48" s="334"/>
      <c r="LA48" s="322" t="s">
        <v>31</v>
      </c>
      <c r="LB48" s="322">
        <v>118159.37</v>
      </c>
      <c r="LC48" s="322">
        <v>166182.21</v>
      </c>
      <c r="LD48" s="322">
        <v>147374.32</v>
      </c>
      <c r="LE48" s="322">
        <v>134937.32</v>
      </c>
      <c r="LF48" s="322">
        <v>196705.8</v>
      </c>
      <c r="LG48" s="322">
        <v>154924.49</v>
      </c>
      <c r="LH48" s="322">
        <v>178116.8</v>
      </c>
      <c r="LI48" s="322">
        <v>193188</v>
      </c>
      <c r="LJ48" s="322">
        <v>177119.18</v>
      </c>
      <c r="LK48" s="322">
        <v>185605.19000000003</v>
      </c>
      <c r="LL48" s="322">
        <v>192936.38</v>
      </c>
      <c r="LM48" s="322">
        <v>186861.40000000002</v>
      </c>
      <c r="LN48" s="322">
        <v>203693.87999999998</v>
      </c>
      <c r="LO48" s="322">
        <v>210503.68999999997</v>
      </c>
      <c r="LP48" s="322">
        <v>347529.65</v>
      </c>
      <c r="LQ48" s="322">
        <v>207723.82000000004</v>
      </c>
      <c r="LR48" s="322">
        <v>728158.27000000014</v>
      </c>
      <c r="LS48" s="322">
        <v>444864.81000000006</v>
      </c>
      <c r="LT48" s="322">
        <v>407196.23</v>
      </c>
      <c r="LU48" s="322">
        <v>428018.96</v>
      </c>
      <c r="LV48" s="322">
        <v>405564.32</v>
      </c>
      <c r="LW48" s="322">
        <v>461303.64</v>
      </c>
      <c r="LX48" s="334"/>
      <c r="LY48" s="322" t="s">
        <v>31</v>
      </c>
      <c r="LZ48" s="322">
        <v>286958.46999999997</v>
      </c>
      <c r="MA48" s="322">
        <v>313899.73</v>
      </c>
      <c r="MB48" s="322">
        <v>276326.84999999998</v>
      </c>
      <c r="MC48" s="322">
        <v>289151.40000000002</v>
      </c>
      <c r="MD48" s="322">
        <v>305986.8</v>
      </c>
      <c r="ME48" s="322">
        <v>354113.12</v>
      </c>
      <c r="MF48" s="322">
        <v>333969</v>
      </c>
      <c r="MG48" s="322">
        <v>386376</v>
      </c>
      <c r="MH48" s="322">
        <v>315702.42999999993</v>
      </c>
      <c r="MI48" s="322">
        <v>332363.20999999996</v>
      </c>
      <c r="MJ48" s="322">
        <v>374104.23</v>
      </c>
      <c r="MK48" s="322">
        <v>368417.91000000003</v>
      </c>
      <c r="ML48" s="322">
        <v>405336.47000000003</v>
      </c>
      <c r="MM48" s="322">
        <v>381968.89</v>
      </c>
      <c r="MN48" s="322">
        <v>427287.73</v>
      </c>
      <c r="MO48" s="322">
        <v>390664.15</v>
      </c>
      <c r="MP48" s="322">
        <v>0</v>
      </c>
      <c r="MQ48" s="322">
        <v>0</v>
      </c>
      <c r="MR48" s="322">
        <v>0</v>
      </c>
      <c r="MS48" s="322">
        <v>0</v>
      </c>
      <c r="MT48" s="322">
        <v>0</v>
      </c>
      <c r="MU48" s="322">
        <v>0</v>
      </c>
      <c r="MV48" s="334"/>
      <c r="MW48" s="322" t="s">
        <v>31</v>
      </c>
      <c r="MX48" s="322">
        <v>135039.28</v>
      </c>
      <c r="MY48" s="322">
        <v>166182.21</v>
      </c>
      <c r="MZ48" s="322">
        <v>147374.32</v>
      </c>
      <c r="NA48" s="322">
        <v>173490.84</v>
      </c>
      <c r="NB48" s="322">
        <v>196705.8</v>
      </c>
      <c r="NC48" s="322">
        <v>243452.77</v>
      </c>
      <c r="ND48" s="322">
        <v>267175.2</v>
      </c>
      <c r="NE48" s="322">
        <v>265633.5</v>
      </c>
      <c r="NF48" s="322">
        <v>208617.03000000003</v>
      </c>
      <c r="NG48" s="322">
        <v>234390.01</v>
      </c>
      <c r="NH48" s="322">
        <v>268640.07999999996</v>
      </c>
      <c r="NI48" s="322">
        <v>297546.74</v>
      </c>
      <c r="NJ48" s="322">
        <v>292308.13000000006</v>
      </c>
      <c r="NK48" s="322">
        <v>164650</v>
      </c>
      <c r="NL48" s="322">
        <v>2063.25</v>
      </c>
      <c r="NM48" s="322">
        <v>0</v>
      </c>
      <c r="NN48" s="322">
        <v>0</v>
      </c>
      <c r="NO48" s="322">
        <v>0</v>
      </c>
      <c r="NP48" s="322">
        <v>0</v>
      </c>
      <c r="NQ48" s="322">
        <v>0</v>
      </c>
      <c r="NR48" s="322">
        <v>0</v>
      </c>
      <c r="NS48" s="322">
        <v>0</v>
      </c>
      <c r="NT48" s="334"/>
      <c r="NU48" s="322" t="s">
        <v>31</v>
      </c>
      <c r="NV48" s="322">
        <v>101279.46</v>
      </c>
      <c r="NW48" s="322">
        <v>110788.14</v>
      </c>
      <c r="NX48" s="322">
        <v>110530.74</v>
      </c>
      <c r="NY48" s="322">
        <v>134937.32</v>
      </c>
      <c r="NZ48" s="322">
        <v>131137.20000000001</v>
      </c>
      <c r="OA48" s="322">
        <v>154924.49</v>
      </c>
      <c r="OB48" s="322">
        <v>155852.20000000001</v>
      </c>
      <c r="OC48" s="322">
        <v>169039.5</v>
      </c>
      <c r="OD48" s="322">
        <v>160352.83999999997</v>
      </c>
      <c r="OE48" s="322">
        <v>159148.91999999998</v>
      </c>
      <c r="OF48" s="322">
        <v>167866.67999999996</v>
      </c>
      <c r="OG48" s="322">
        <v>217417.67</v>
      </c>
      <c r="OH48" s="322">
        <v>229831.52000000002</v>
      </c>
      <c r="OI48" s="322">
        <v>230781.73</v>
      </c>
      <c r="OJ48" s="322">
        <v>248792.53000000003</v>
      </c>
      <c r="OK48" s="322">
        <v>266647.55999999994</v>
      </c>
      <c r="OL48" s="322">
        <v>267972.53000000003</v>
      </c>
      <c r="OM48" s="322">
        <v>284027.3000000001</v>
      </c>
      <c r="ON48" s="322">
        <v>298523.25999999995</v>
      </c>
      <c r="OO48" s="322">
        <v>313604.65999999997</v>
      </c>
      <c r="OP48" s="322">
        <v>315117.11000000004</v>
      </c>
      <c r="OQ48" s="322">
        <v>327729.43</v>
      </c>
      <c r="OR48" s="334"/>
      <c r="OS48" s="322" t="s">
        <v>31</v>
      </c>
      <c r="OT48" s="322">
        <v>219438.83</v>
      </c>
      <c r="OU48" s="322">
        <v>313899.73</v>
      </c>
      <c r="OV48" s="322">
        <v>405279.38</v>
      </c>
      <c r="OW48" s="322">
        <v>385535.2</v>
      </c>
      <c r="OX48" s="322">
        <v>415267.8</v>
      </c>
      <c r="OY48" s="322">
        <v>420509.33</v>
      </c>
      <c r="OZ48" s="322">
        <v>333969</v>
      </c>
      <c r="PA48" s="322">
        <v>338079</v>
      </c>
      <c r="PB48" s="322">
        <v>298429.64999999991</v>
      </c>
      <c r="PC48" s="322">
        <v>327621.19000000006</v>
      </c>
      <c r="PD48" s="322">
        <v>282171.29000000004</v>
      </c>
      <c r="PE48" s="322">
        <v>271094.05</v>
      </c>
      <c r="PF48" s="322">
        <v>290543.74000000005</v>
      </c>
      <c r="PG48" s="322">
        <v>262330.48</v>
      </c>
      <c r="PH48" s="322">
        <v>270771.59999999998</v>
      </c>
      <c r="PI48" s="322">
        <v>273478.58</v>
      </c>
      <c r="PJ48" s="322">
        <v>291678</v>
      </c>
      <c r="PK48" s="322">
        <v>240394.30000000002</v>
      </c>
      <c r="PL48" s="322">
        <v>285622.98000000004</v>
      </c>
      <c r="PM48" s="322">
        <v>280578.83000000007</v>
      </c>
      <c r="PN48" s="322">
        <v>262454.63</v>
      </c>
      <c r="PO48" s="322">
        <v>300423</v>
      </c>
      <c r="PP48" s="334"/>
      <c r="PQ48" s="322" t="s">
        <v>31</v>
      </c>
      <c r="PR48" s="322">
        <v>16879.91</v>
      </c>
      <c r="PS48" s="322">
        <v>18464.689999999999</v>
      </c>
      <c r="PT48" s="322">
        <v>18421.79</v>
      </c>
      <c r="PU48" s="322">
        <v>19276.759999999998</v>
      </c>
      <c r="PV48" s="322">
        <v>21856.2</v>
      </c>
      <c r="PW48" s="322">
        <v>22132.07</v>
      </c>
      <c r="PX48" s="322">
        <v>22264.6</v>
      </c>
      <c r="PY48" s="322">
        <v>24148.5</v>
      </c>
      <c r="PZ48" s="322">
        <v>24598.690000000002</v>
      </c>
      <c r="QA48" s="322">
        <v>31048.190000000002</v>
      </c>
      <c r="QB48" s="322">
        <v>29422.76</v>
      </c>
      <c r="QC48" s="322">
        <v>33071.800000000003</v>
      </c>
      <c r="QD48" s="322">
        <v>25792.839999999997</v>
      </c>
      <c r="QE48" s="322">
        <v>30928.699999999993</v>
      </c>
      <c r="QF48" s="322">
        <v>37280.399999999994</v>
      </c>
      <c r="QG48" s="322">
        <v>37839.880000000005</v>
      </c>
      <c r="QH48" s="322">
        <v>40356.100000000006</v>
      </c>
      <c r="QI48" s="322">
        <v>32218.739999999998</v>
      </c>
      <c r="QJ48" s="322">
        <v>33238.289999999994</v>
      </c>
      <c r="QK48" s="322">
        <v>38138.449999999997</v>
      </c>
      <c r="QL48" s="322">
        <v>40551.839999999997</v>
      </c>
      <c r="QM48" s="322">
        <v>46098.46</v>
      </c>
      <c r="QN48" s="334"/>
      <c r="QO48" s="322" t="s">
        <v>31</v>
      </c>
      <c r="QP48" s="322">
        <v>0</v>
      </c>
      <c r="QQ48" s="322">
        <v>0</v>
      </c>
      <c r="QR48" s="322">
        <v>0</v>
      </c>
      <c r="QS48" s="322">
        <v>0</v>
      </c>
      <c r="QT48" s="322">
        <v>0</v>
      </c>
      <c r="QU48" s="322">
        <v>0</v>
      </c>
      <c r="QV48" s="322">
        <v>0</v>
      </c>
      <c r="QW48" s="322">
        <v>0</v>
      </c>
      <c r="QX48" s="322">
        <v>3500</v>
      </c>
      <c r="QY48" s="322">
        <v>3500</v>
      </c>
      <c r="QZ48" s="322">
        <v>3500</v>
      </c>
      <c r="RA48" s="322">
        <v>3500</v>
      </c>
      <c r="RB48" s="322">
        <v>3500</v>
      </c>
      <c r="RC48" s="322">
        <v>3500</v>
      </c>
      <c r="RD48" s="322">
        <v>3500</v>
      </c>
      <c r="RE48" s="322">
        <v>3500</v>
      </c>
      <c r="RF48" s="322">
        <v>3500</v>
      </c>
      <c r="RG48" s="322">
        <v>3500</v>
      </c>
      <c r="RH48" s="322">
        <v>3500</v>
      </c>
      <c r="RI48" s="322">
        <v>3500</v>
      </c>
      <c r="RJ48" s="322">
        <v>4000</v>
      </c>
      <c r="RK48" s="322">
        <v>4000</v>
      </c>
      <c r="RL48" s="334"/>
      <c r="RM48" s="322" t="s">
        <v>31</v>
      </c>
      <c r="RN48" s="322">
        <v>118159.37</v>
      </c>
      <c r="RO48" s="322">
        <v>147717.51999999999</v>
      </c>
      <c r="RP48" s="322">
        <v>128952.53</v>
      </c>
      <c r="RQ48" s="322">
        <v>115660.56</v>
      </c>
      <c r="RR48" s="322">
        <v>109281</v>
      </c>
      <c r="RS48" s="322">
        <v>110660.35</v>
      </c>
      <c r="RT48" s="322">
        <v>89058.4</v>
      </c>
      <c r="RU48" s="322">
        <v>144891</v>
      </c>
      <c r="RV48" s="322">
        <v>104452.49</v>
      </c>
      <c r="RW48" s="322">
        <v>114450</v>
      </c>
      <c r="RX48" s="322">
        <v>107950</v>
      </c>
      <c r="RY48" s="322">
        <v>107474</v>
      </c>
      <c r="RZ48" s="322">
        <v>108175</v>
      </c>
      <c r="SA48" s="322">
        <v>125762</v>
      </c>
      <c r="SB48" s="322">
        <v>150687</v>
      </c>
      <c r="SC48" s="322">
        <v>288726.49</v>
      </c>
      <c r="SD48" s="322">
        <v>639000</v>
      </c>
      <c r="SE48" s="322">
        <v>290000</v>
      </c>
      <c r="SF48" s="322">
        <v>200000</v>
      </c>
      <c r="SG48" s="322">
        <v>340000</v>
      </c>
      <c r="SH48" s="322">
        <v>340000</v>
      </c>
      <c r="SI48" s="322">
        <v>0</v>
      </c>
    </row>
    <row r="49" spans="1:503">
      <c r="A49" s="319" t="s">
        <v>32</v>
      </c>
      <c r="B49" s="319">
        <v>1064712</v>
      </c>
      <c r="C49" s="319">
        <v>997474</v>
      </c>
      <c r="D49" s="319">
        <v>882027</v>
      </c>
      <c r="E49" s="319">
        <v>1008191</v>
      </c>
      <c r="F49" s="319">
        <v>1037813</v>
      </c>
      <c r="G49" s="319">
        <v>1030652</v>
      </c>
      <c r="H49" s="319">
        <v>1092447</v>
      </c>
      <c r="I49" s="319">
        <v>1131946</v>
      </c>
      <c r="J49" s="319">
        <v>1277264</v>
      </c>
      <c r="K49" s="319">
        <v>1398458</v>
      </c>
      <c r="L49" s="319">
        <v>1472687</v>
      </c>
      <c r="M49" s="319">
        <v>1438192</v>
      </c>
      <c r="N49" s="319">
        <v>1430888</v>
      </c>
      <c r="O49" s="319">
        <v>1263901</v>
      </c>
      <c r="P49" s="319">
        <v>1592841</v>
      </c>
      <c r="Q49" s="319">
        <v>1459651</v>
      </c>
      <c r="R49" s="319">
        <v>1713680</v>
      </c>
      <c r="S49" s="322">
        <v>1480423</v>
      </c>
      <c r="T49" s="319">
        <v>1465803</v>
      </c>
      <c r="U49" s="319">
        <v>1283279</v>
      </c>
      <c r="V49" s="319">
        <v>1263030</v>
      </c>
      <c r="W49" s="319">
        <v>1426957</v>
      </c>
      <c r="X49" s="330"/>
      <c r="Y49" s="319" t="s">
        <v>32</v>
      </c>
      <c r="Z49" s="319">
        <v>42588.480000000003</v>
      </c>
      <c r="AA49" s="319">
        <v>49873.7</v>
      </c>
      <c r="AB49" s="319">
        <v>44101.35</v>
      </c>
      <c r="AC49" s="319">
        <v>70573.37</v>
      </c>
      <c r="AD49" s="319">
        <v>72646.91</v>
      </c>
      <c r="AE49" s="319">
        <v>72145.64</v>
      </c>
      <c r="AF49" s="319">
        <v>72145.64</v>
      </c>
      <c r="AG49" s="319">
        <v>67916.759999999995</v>
      </c>
      <c r="AH49" s="319">
        <v>71153</v>
      </c>
      <c r="AI49" s="319">
        <v>72399</v>
      </c>
      <c r="AJ49" s="319">
        <v>72728</v>
      </c>
      <c r="AK49" s="319">
        <v>72885</v>
      </c>
      <c r="AL49" s="319">
        <v>70756</v>
      </c>
      <c r="AM49" s="319">
        <v>77783</v>
      </c>
      <c r="AN49" s="319">
        <v>77754</v>
      </c>
      <c r="AO49" s="319">
        <v>80159</v>
      </c>
      <c r="AP49" s="319">
        <v>80363</v>
      </c>
      <c r="AQ49" s="322">
        <v>79739</v>
      </c>
      <c r="AR49" s="319">
        <v>80240</v>
      </c>
      <c r="AS49" s="319">
        <v>80376</v>
      </c>
      <c r="AT49" s="319">
        <v>82928</v>
      </c>
      <c r="AU49" s="319">
        <v>81740</v>
      </c>
      <c r="AV49" s="334"/>
      <c r="AW49" s="319" t="s">
        <v>32</v>
      </c>
      <c r="AX49" s="319">
        <v>42588.480000000003</v>
      </c>
      <c r="AY49" s="319">
        <v>49873.700000000004</v>
      </c>
      <c r="AZ49" s="319">
        <v>44101.350000000006</v>
      </c>
      <c r="BA49" s="319">
        <v>50409.55</v>
      </c>
      <c r="BB49" s="319">
        <v>51890.65</v>
      </c>
      <c r="BC49" s="319">
        <v>61839.119999999995</v>
      </c>
      <c r="BD49" s="319">
        <v>54622.350000000006</v>
      </c>
      <c r="BE49" s="319">
        <v>56597.3</v>
      </c>
      <c r="BF49" s="319">
        <v>62604</v>
      </c>
      <c r="BG49" s="319">
        <v>65789</v>
      </c>
      <c r="BH49" s="319">
        <v>66457</v>
      </c>
      <c r="BI49" s="319">
        <v>61505</v>
      </c>
      <c r="BJ49" s="319">
        <v>62898</v>
      </c>
      <c r="BK49" s="319">
        <v>61849</v>
      </c>
      <c r="BL49" s="319">
        <v>63020</v>
      </c>
      <c r="BM49" s="319">
        <v>61906</v>
      </c>
      <c r="BN49" s="319">
        <v>61392</v>
      </c>
      <c r="BO49" s="322">
        <v>73158</v>
      </c>
      <c r="BP49" s="319">
        <v>62214</v>
      </c>
      <c r="BQ49" s="319">
        <v>56949</v>
      </c>
      <c r="BR49" s="319">
        <v>61404</v>
      </c>
      <c r="BS49" s="319">
        <v>68660</v>
      </c>
      <c r="BT49" s="334"/>
      <c r="BU49" s="322" t="s">
        <v>32</v>
      </c>
      <c r="BV49" s="322">
        <v>21294.240000000002</v>
      </c>
      <c r="BW49" s="322">
        <v>9974.74</v>
      </c>
      <c r="BX49" s="322">
        <v>35281.08</v>
      </c>
      <c r="BY49" s="322">
        <v>20163.82</v>
      </c>
      <c r="BZ49" s="322">
        <v>41512.519999999997</v>
      </c>
      <c r="CA49" s="322">
        <v>20613.04</v>
      </c>
      <c r="CB49" s="322">
        <v>43697.88</v>
      </c>
      <c r="CC49" s="322">
        <v>22638.92</v>
      </c>
      <c r="CD49" s="322">
        <v>47159</v>
      </c>
      <c r="CE49" s="322">
        <v>23881</v>
      </c>
      <c r="CF49" s="322">
        <v>48577</v>
      </c>
      <c r="CG49" s="322">
        <v>31025</v>
      </c>
      <c r="CH49" s="322">
        <v>57718</v>
      </c>
      <c r="CI49" s="322">
        <v>31645</v>
      </c>
      <c r="CJ49" s="322">
        <v>61595</v>
      </c>
      <c r="CK49" s="322">
        <v>24884</v>
      </c>
      <c r="CL49" s="322">
        <v>57217</v>
      </c>
      <c r="CM49" s="322">
        <v>29123</v>
      </c>
      <c r="CN49" s="322">
        <v>61570</v>
      </c>
      <c r="CO49" s="322">
        <v>27619</v>
      </c>
      <c r="CP49" s="322">
        <v>54864</v>
      </c>
      <c r="CQ49" s="322">
        <v>48011</v>
      </c>
      <c r="CR49" s="334"/>
      <c r="CS49" s="322" t="s">
        <v>32</v>
      </c>
      <c r="CT49" s="322">
        <v>330060.71999999997</v>
      </c>
      <c r="CU49" s="322">
        <v>129671.62</v>
      </c>
      <c r="CV49" s="322">
        <v>44101.35</v>
      </c>
      <c r="CW49" s="322">
        <v>40327.64</v>
      </c>
      <c r="CX49" s="322">
        <v>41512.519999999997</v>
      </c>
      <c r="CY49" s="322">
        <v>51532.6</v>
      </c>
      <c r="CZ49" s="322">
        <v>65546.820000000007</v>
      </c>
      <c r="DA49" s="322">
        <v>56597.3</v>
      </c>
      <c r="DB49" s="322">
        <v>50573</v>
      </c>
      <c r="DC49" s="322">
        <v>69587</v>
      </c>
      <c r="DD49" s="322">
        <v>99663</v>
      </c>
      <c r="DE49" s="322">
        <v>72497</v>
      </c>
      <c r="DF49" s="322">
        <v>83830</v>
      </c>
      <c r="DG49" s="322">
        <v>84313</v>
      </c>
      <c r="DH49" s="322">
        <v>81754</v>
      </c>
      <c r="DI49" s="322">
        <v>166428</v>
      </c>
      <c r="DJ49" s="322">
        <v>87330</v>
      </c>
      <c r="DK49" s="322">
        <v>96878</v>
      </c>
      <c r="DL49" s="322">
        <v>96919</v>
      </c>
      <c r="DM49" s="322">
        <v>136152</v>
      </c>
      <c r="DN49" s="322">
        <v>116793</v>
      </c>
      <c r="DO49" s="322">
        <v>160504</v>
      </c>
      <c r="DP49" s="334"/>
      <c r="DQ49" s="322" t="s">
        <v>32</v>
      </c>
      <c r="DR49" s="322">
        <v>42588.480000000003</v>
      </c>
      <c r="DS49" s="322">
        <v>49873.7</v>
      </c>
      <c r="DT49" s="322">
        <v>44101.35</v>
      </c>
      <c r="DU49" s="322">
        <v>60491.46</v>
      </c>
      <c r="DV49" s="322">
        <v>62268.78</v>
      </c>
      <c r="DW49" s="322">
        <v>82452.160000000003</v>
      </c>
      <c r="DX49" s="322">
        <v>87395.76</v>
      </c>
      <c r="DY49" s="322">
        <v>101875.14</v>
      </c>
      <c r="DZ49" s="322">
        <v>112540</v>
      </c>
      <c r="EA49" s="322">
        <v>119637</v>
      </c>
      <c r="EB49" s="322">
        <v>129104</v>
      </c>
      <c r="EC49" s="322">
        <v>125619</v>
      </c>
      <c r="ED49" s="322">
        <v>118472</v>
      </c>
      <c r="EE49" s="322">
        <v>122796</v>
      </c>
      <c r="EF49" s="322">
        <v>130947</v>
      </c>
      <c r="EG49" s="322">
        <v>128289</v>
      </c>
      <c r="EH49" s="322">
        <v>129531</v>
      </c>
      <c r="EI49" s="322">
        <v>128253</v>
      </c>
      <c r="EJ49" s="322">
        <v>109278</v>
      </c>
      <c r="EK49" s="322">
        <v>46867</v>
      </c>
      <c r="EL49" s="322">
        <v>54711</v>
      </c>
      <c r="EM49" s="322">
        <v>66800</v>
      </c>
      <c r="EN49" s="334"/>
      <c r="EO49" s="322" t="s">
        <v>32</v>
      </c>
      <c r="EP49" s="322">
        <v>21294.240000000002</v>
      </c>
      <c r="EQ49" s="322">
        <v>19949.48</v>
      </c>
      <c r="ER49" s="322">
        <v>17640.54</v>
      </c>
      <c r="ES49" s="322">
        <v>30245.73</v>
      </c>
      <c r="ET49" s="322">
        <v>20756.259999999998</v>
      </c>
      <c r="EU49" s="322">
        <v>30919.56</v>
      </c>
      <c r="EV49" s="322">
        <v>21848.94</v>
      </c>
      <c r="EW49" s="322">
        <v>22638.92</v>
      </c>
      <c r="EX49" s="322">
        <v>25956</v>
      </c>
      <c r="EY49" s="322">
        <v>26453</v>
      </c>
      <c r="EZ49" s="322">
        <v>27103</v>
      </c>
      <c r="FA49" s="322">
        <v>35472</v>
      </c>
      <c r="FB49" s="322">
        <v>35642</v>
      </c>
      <c r="FC49" s="322">
        <v>35634</v>
      </c>
      <c r="FD49" s="322">
        <v>35598</v>
      </c>
      <c r="FE49" s="322">
        <v>39937</v>
      </c>
      <c r="FF49" s="322">
        <v>39428</v>
      </c>
      <c r="FG49" s="322">
        <v>42153</v>
      </c>
      <c r="FH49" s="322">
        <v>41276</v>
      </c>
      <c r="FI49" s="322">
        <v>38638</v>
      </c>
      <c r="FJ49" s="322">
        <v>41112</v>
      </c>
      <c r="FK49" s="322">
        <v>40550</v>
      </c>
      <c r="FL49" s="334"/>
      <c r="FM49" s="322" t="s">
        <v>32</v>
      </c>
      <c r="FN49" s="322">
        <v>42588.480000000003</v>
      </c>
      <c r="FO49" s="322">
        <v>49873.7</v>
      </c>
      <c r="FP49" s="322">
        <v>52921.62</v>
      </c>
      <c r="FQ49" s="322">
        <v>60491.46</v>
      </c>
      <c r="FR49" s="322">
        <v>62268.78</v>
      </c>
      <c r="FS49" s="322">
        <v>61839.12</v>
      </c>
      <c r="FT49" s="322">
        <v>65546.820000000007</v>
      </c>
      <c r="FU49" s="322">
        <v>67916.759999999995</v>
      </c>
      <c r="FV49" s="322">
        <v>67828</v>
      </c>
      <c r="FW49" s="322">
        <v>68179</v>
      </c>
      <c r="FX49" s="322">
        <v>69408</v>
      </c>
      <c r="FY49" s="322">
        <v>72735</v>
      </c>
      <c r="FZ49" s="322">
        <v>75173</v>
      </c>
      <c r="GA49" s="322">
        <v>62223</v>
      </c>
      <c r="GB49" s="322">
        <v>75371</v>
      </c>
      <c r="GC49" s="322">
        <v>82274</v>
      </c>
      <c r="GD49" s="322">
        <v>80623</v>
      </c>
      <c r="GE49" s="322">
        <v>81690</v>
      </c>
      <c r="GF49" s="340">
        <v>82844</v>
      </c>
      <c r="GG49" s="704">
        <v>82081</v>
      </c>
      <c r="GH49" s="704">
        <v>80255</v>
      </c>
      <c r="GI49" s="704">
        <v>83280</v>
      </c>
      <c r="GJ49" s="334"/>
      <c r="GK49" s="322" t="s">
        <v>32</v>
      </c>
      <c r="GL49" s="322">
        <v>0</v>
      </c>
      <c r="GM49" s="322">
        <v>19949.48</v>
      </c>
      <c r="GN49" s="322">
        <v>26460.81</v>
      </c>
      <c r="GO49" s="322">
        <v>20163.82</v>
      </c>
      <c r="GP49" s="322">
        <v>20756.259999999998</v>
      </c>
      <c r="GQ49" s="322">
        <v>20613.04</v>
      </c>
      <c r="GR49" s="322">
        <v>21848.94</v>
      </c>
      <c r="GS49" s="322">
        <v>22638.92</v>
      </c>
      <c r="GT49" s="322">
        <v>26261</v>
      </c>
      <c r="GU49" s="322">
        <v>26487</v>
      </c>
      <c r="GV49" s="322">
        <v>28482</v>
      </c>
      <c r="GW49" s="322">
        <v>29073</v>
      </c>
      <c r="GX49" s="322">
        <v>28405</v>
      </c>
      <c r="GY49" s="322">
        <v>16244</v>
      </c>
      <c r="GZ49" s="322">
        <v>28176</v>
      </c>
      <c r="HA49" s="322">
        <v>44371</v>
      </c>
      <c r="HB49" s="322">
        <v>43139</v>
      </c>
      <c r="HC49" s="322">
        <v>44460</v>
      </c>
      <c r="HD49" s="322">
        <v>44391</v>
      </c>
      <c r="HE49" s="322">
        <v>43496</v>
      </c>
      <c r="HF49" s="322">
        <v>50316</v>
      </c>
      <c r="HG49" s="322">
        <v>56954</v>
      </c>
      <c r="HH49" s="334"/>
      <c r="HI49" s="322" t="s">
        <v>32</v>
      </c>
      <c r="HJ49" s="322">
        <v>21294.240000000002</v>
      </c>
      <c r="HK49" s="322">
        <v>0</v>
      </c>
      <c r="HL49" s="322">
        <v>0</v>
      </c>
      <c r="HM49" s="322">
        <v>0</v>
      </c>
      <c r="HN49" s="322">
        <v>0</v>
      </c>
      <c r="HO49" s="322">
        <v>0</v>
      </c>
      <c r="HP49" s="322">
        <v>0</v>
      </c>
      <c r="HQ49" s="322">
        <v>0</v>
      </c>
      <c r="HR49" s="322">
        <v>0</v>
      </c>
      <c r="HS49" s="322">
        <v>0</v>
      </c>
      <c r="HT49" s="322">
        <v>0</v>
      </c>
      <c r="HU49" s="322">
        <v>0</v>
      </c>
      <c r="HV49" s="322">
        <v>0</v>
      </c>
      <c r="HW49" s="322">
        <v>0</v>
      </c>
      <c r="HX49" s="322">
        <v>0</v>
      </c>
      <c r="HY49" s="322">
        <v>6479</v>
      </c>
      <c r="HZ49" s="322">
        <v>5352</v>
      </c>
      <c r="IA49" s="322">
        <v>6734</v>
      </c>
      <c r="IB49" s="322">
        <v>6303</v>
      </c>
      <c r="IC49" s="322">
        <v>4985</v>
      </c>
      <c r="ID49" s="322">
        <v>4020</v>
      </c>
      <c r="IE49" s="322">
        <v>10500</v>
      </c>
      <c r="IF49" s="334"/>
      <c r="IG49" s="322" t="s">
        <v>32</v>
      </c>
      <c r="IH49" s="322">
        <v>0</v>
      </c>
      <c r="II49" s="322">
        <v>0</v>
      </c>
      <c r="IJ49" s="322">
        <v>0</v>
      </c>
      <c r="IK49" s="322">
        <v>0</v>
      </c>
      <c r="IL49" s="322">
        <v>0</v>
      </c>
      <c r="IM49" s="322">
        <v>0</v>
      </c>
      <c r="IN49" s="322">
        <v>0</v>
      </c>
      <c r="IO49" s="322">
        <v>0</v>
      </c>
      <c r="IP49" s="322">
        <v>0</v>
      </c>
      <c r="IQ49" s="322">
        <v>2929</v>
      </c>
      <c r="IR49" s="322">
        <v>5189</v>
      </c>
      <c r="IS49" s="322">
        <v>9602</v>
      </c>
      <c r="IT49" s="322">
        <v>10872</v>
      </c>
      <c r="IU49" s="322">
        <v>6965</v>
      </c>
      <c r="IV49" s="322"/>
      <c r="IW49" s="322"/>
      <c r="IX49" s="322"/>
      <c r="IY49" s="322"/>
      <c r="IZ49" s="322"/>
      <c r="JA49" s="322"/>
      <c r="JB49" s="322"/>
      <c r="JC49" s="322"/>
      <c r="JD49" s="334"/>
      <c r="JE49" s="322" t="s">
        <v>32</v>
      </c>
      <c r="JF49" s="322">
        <v>10647.12</v>
      </c>
      <c r="JG49" s="322">
        <v>9974.74</v>
      </c>
      <c r="JH49" s="322">
        <v>8820.27</v>
      </c>
      <c r="JI49" s="322">
        <v>10081.91</v>
      </c>
      <c r="JJ49" s="322">
        <v>10378.129999999999</v>
      </c>
      <c r="JK49" s="322">
        <v>0</v>
      </c>
      <c r="JL49" s="322">
        <v>0</v>
      </c>
      <c r="JM49" s="322">
        <v>0</v>
      </c>
      <c r="JN49" s="322">
        <v>9864</v>
      </c>
      <c r="JO49" s="322">
        <v>11307</v>
      </c>
      <c r="JP49" s="322">
        <v>10920</v>
      </c>
      <c r="JQ49" s="322">
        <v>8251</v>
      </c>
      <c r="JR49" s="322">
        <v>2127</v>
      </c>
      <c r="JS49" s="322">
        <v>6943</v>
      </c>
      <c r="JT49" s="322">
        <v>11253</v>
      </c>
      <c r="JU49" s="322">
        <v>5766</v>
      </c>
      <c r="JV49" s="322">
        <v>10821</v>
      </c>
      <c r="JW49" s="322">
        <v>4387</v>
      </c>
      <c r="JX49" s="322">
        <v>7558</v>
      </c>
      <c r="JY49" s="322">
        <v>5858</v>
      </c>
      <c r="JZ49" s="322">
        <v>929</v>
      </c>
      <c r="KA49" s="322">
        <v>15009</v>
      </c>
      <c r="KB49" s="334"/>
      <c r="KC49" s="322" t="s">
        <v>32</v>
      </c>
      <c r="KD49" s="322">
        <v>0</v>
      </c>
      <c r="KE49" s="322">
        <v>9974.74</v>
      </c>
      <c r="KF49" s="322">
        <v>8820.27</v>
      </c>
      <c r="KG49" s="322">
        <v>20163.82</v>
      </c>
      <c r="KH49" s="322">
        <v>20756.259999999998</v>
      </c>
      <c r="KI49" s="322">
        <v>20613.04</v>
      </c>
      <c r="KJ49" s="322">
        <v>21848.94</v>
      </c>
      <c r="KK49" s="322">
        <v>22638.92</v>
      </c>
      <c r="KL49" s="322">
        <v>17155</v>
      </c>
      <c r="KM49" s="322">
        <v>22652</v>
      </c>
      <c r="KN49" s="322">
        <v>23576</v>
      </c>
      <c r="KO49" s="322">
        <v>23448</v>
      </c>
      <c r="KP49" s="322">
        <v>23728</v>
      </c>
      <c r="KQ49" s="322">
        <v>21878</v>
      </c>
      <c r="KR49" s="322">
        <v>22823</v>
      </c>
      <c r="KS49" s="322">
        <v>23196</v>
      </c>
      <c r="KT49" s="322">
        <v>22775</v>
      </c>
      <c r="KU49" s="322">
        <v>19145</v>
      </c>
      <c r="KV49" s="322">
        <v>27120</v>
      </c>
      <c r="KW49" s="322">
        <v>21233</v>
      </c>
      <c r="KX49" s="322">
        <v>22023</v>
      </c>
      <c r="KY49" s="322">
        <v>24700</v>
      </c>
      <c r="KZ49" s="334"/>
      <c r="LA49" s="322" t="s">
        <v>32</v>
      </c>
      <c r="LB49" s="322">
        <v>74529.84</v>
      </c>
      <c r="LC49" s="322">
        <v>89772.66</v>
      </c>
      <c r="LD49" s="322">
        <v>88202.7</v>
      </c>
      <c r="LE49" s="322">
        <v>110901.01</v>
      </c>
      <c r="LF49" s="322">
        <v>103781.3</v>
      </c>
      <c r="LG49" s="322">
        <v>113371.72</v>
      </c>
      <c r="LH49" s="322">
        <v>131093.64000000001</v>
      </c>
      <c r="LI49" s="322">
        <v>147152.98000000001</v>
      </c>
      <c r="LJ49" s="322">
        <v>135398</v>
      </c>
      <c r="LK49" s="322">
        <v>206963</v>
      </c>
      <c r="LL49" s="322">
        <v>109626</v>
      </c>
      <c r="LM49" s="322">
        <v>109767</v>
      </c>
      <c r="LN49" s="322">
        <v>106071</v>
      </c>
      <c r="LO49" s="322">
        <v>95657</v>
      </c>
      <c r="LP49" s="322">
        <v>216680</v>
      </c>
      <c r="LQ49" s="322">
        <v>113069</v>
      </c>
      <c r="LR49" s="322">
        <v>131561</v>
      </c>
      <c r="LS49" s="322">
        <v>123855</v>
      </c>
      <c r="LT49" s="322">
        <v>130600</v>
      </c>
      <c r="LU49" s="322">
        <v>176694</v>
      </c>
      <c r="LV49" s="322">
        <v>183662</v>
      </c>
      <c r="LW49" s="322">
        <v>188818</v>
      </c>
      <c r="LX49" s="334"/>
      <c r="LY49" s="322" t="s">
        <v>32</v>
      </c>
      <c r="LZ49" s="322">
        <v>287472.24</v>
      </c>
      <c r="MA49" s="322">
        <v>319191.67999999999</v>
      </c>
      <c r="MB49" s="322">
        <v>317529.71999999997</v>
      </c>
      <c r="MC49" s="322">
        <v>373030.67</v>
      </c>
      <c r="MD49" s="322">
        <v>383990.81</v>
      </c>
      <c r="ME49" s="322">
        <v>340115.16</v>
      </c>
      <c r="MF49" s="322">
        <v>360507.51</v>
      </c>
      <c r="MG49" s="322">
        <v>384861.64</v>
      </c>
      <c r="MH49" s="322">
        <v>393155</v>
      </c>
      <c r="MI49" s="322">
        <v>415627</v>
      </c>
      <c r="MJ49" s="322">
        <v>452651</v>
      </c>
      <c r="MK49" s="322">
        <v>497346</v>
      </c>
      <c r="ML49" s="322">
        <v>535909</v>
      </c>
      <c r="MM49" s="322">
        <v>444984</v>
      </c>
      <c r="MN49" s="322">
        <v>482500</v>
      </c>
      <c r="MO49" s="322">
        <v>511090</v>
      </c>
      <c r="MP49" s="322">
        <v>572919</v>
      </c>
      <c r="MQ49" s="322">
        <v>578566</v>
      </c>
      <c r="MR49" s="322">
        <v>512283</v>
      </c>
      <c r="MS49" s="322">
        <v>0</v>
      </c>
      <c r="MT49" s="322">
        <v>0</v>
      </c>
      <c r="MU49" s="322">
        <v>0</v>
      </c>
      <c r="MV49" s="334"/>
      <c r="MW49" s="322" t="s">
        <v>32</v>
      </c>
      <c r="MX49" s="322">
        <v>31941.360000000001</v>
      </c>
      <c r="MY49" s="322">
        <v>39898.959999999999</v>
      </c>
      <c r="MZ49" s="322">
        <v>44101.35</v>
      </c>
      <c r="NA49" s="322">
        <v>50409.55</v>
      </c>
      <c r="NB49" s="322">
        <v>41512.519999999997</v>
      </c>
      <c r="NC49" s="322">
        <v>30919.56</v>
      </c>
      <c r="ND49" s="322">
        <v>21848.94</v>
      </c>
      <c r="NE49" s="322">
        <v>33958.379999999997</v>
      </c>
      <c r="NF49" s="322">
        <v>42095</v>
      </c>
      <c r="NG49" s="322">
        <v>38788</v>
      </c>
      <c r="NH49" s="322">
        <v>34323</v>
      </c>
      <c r="NI49" s="322">
        <v>32472</v>
      </c>
      <c r="NJ49" s="322">
        <v>36859</v>
      </c>
      <c r="NK49" s="322">
        <v>45915</v>
      </c>
      <c r="NL49" s="322">
        <v>39720</v>
      </c>
      <c r="NM49" s="322">
        <v>38522</v>
      </c>
      <c r="NN49" s="322">
        <v>41824</v>
      </c>
      <c r="NO49" s="322">
        <v>26637</v>
      </c>
      <c r="NP49" s="322">
        <v>31263</v>
      </c>
      <c r="NQ49" s="322">
        <v>35656</v>
      </c>
      <c r="NR49" s="322">
        <v>46267</v>
      </c>
      <c r="NS49" s="322">
        <v>62000</v>
      </c>
      <c r="NT49" s="334"/>
      <c r="NU49" s="322" t="s">
        <v>32</v>
      </c>
      <c r="NV49" s="322">
        <v>42588.480000000003</v>
      </c>
      <c r="NW49" s="322">
        <v>49873.7</v>
      </c>
      <c r="NX49" s="322">
        <v>44101.35</v>
      </c>
      <c r="NY49" s="322">
        <v>60491.46</v>
      </c>
      <c r="NZ49" s="322">
        <v>62268.78</v>
      </c>
      <c r="OA49" s="322">
        <v>72145.64</v>
      </c>
      <c r="OB49" s="322">
        <v>65546.820000000007</v>
      </c>
      <c r="OC49" s="322">
        <v>67916.759999999995</v>
      </c>
      <c r="OD49" s="322">
        <v>66521</v>
      </c>
      <c r="OE49" s="322">
        <v>66863</v>
      </c>
      <c r="OF49" s="322">
        <v>69222</v>
      </c>
      <c r="OG49" s="322">
        <v>67860</v>
      </c>
      <c r="OH49" s="322">
        <v>69216</v>
      </c>
      <c r="OI49" s="322">
        <v>69028</v>
      </c>
      <c r="OJ49" s="322">
        <v>70628</v>
      </c>
      <c r="OK49" s="322">
        <v>74602</v>
      </c>
      <c r="OL49" s="322">
        <v>77817</v>
      </c>
      <c r="OM49" s="322">
        <v>78035</v>
      </c>
      <c r="ON49" s="322">
        <v>75110</v>
      </c>
      <c r="OO49" s="322">
        <v>75563</v>
      </c>
      <c r="OP49" s="322">
        <v>76948</v>
      </c>
      <c r="OQ49" s="322">
        <v>84901</v>
      </c>
      <c r="OR49" s="334"/>
      <c r="OS49" s="322" t="s">
        <v>32</v>
      </c>
      <c r="OT49" s="322">
        <v>21294.240000000002</v>
      </c>
      <c r="OU49" s="322">
        <v>29924.22</v>
      </c>
      <c r="OV49" s="322">
        <v>17640.54</v>
      </c>
      <c r="OW49" s="322">
        <v>10081.91</v>
      </c>
      <c r="OX49" s="322">
        <v>10378.129999999999</v>
      </c>
      <c r="OY49" s="322">
        <v>10306.52</v>
      </c>
      <c r="OZ49" s="322">
        <v>10924.47</v>
      </c>
      <c r="PA49" s="322">
        <v>11319.46</v>
      </c>
      <c r="PB49" s="322">
        <v>5970</v>
      </c>
      <c r="PC49" s="322">
        <v>12126</v>
      </c>
      <c r="PD49" s="322">
        <v>13724</v>
      </c>
      <c r="PE49" s="322">
        <v>14544</v>
      </c>
      <c r="PF49" s="322">
        <v>16082</v>
      </c>
      <c r="PG49" s="322">
        <v>18396</v>
      </c>
      <c r="PH49" s="322">
        <v>18674</v>
      </c>
      <c r="PI49" s="322">
        <v>16465</v>
      </c>
      <c r="PJ49" s="322">
        <v>17926</v>
      </c>
      <c r="PK49" s="322">
        <v>19165</v>
      </c>
      <c r="PL49" s="322">
        <v>22846</v>
      </c>
      <c r="PM49" s="322">
        <v>22143</v>
      </c>
      <c r="PN49" s="322">
        <v>22073</v>
      </c>
      <c r="PO49" s="322">
        <v>25130</v>
      </c>
      <c r="PP49" s="334"/>
      <c r="PQ49" s="322" t="s">
        <v>32</v>
      </c>
      <c r="PR49" s="322">
        <v>0</v>
      </c>
      <c r="PS49" s="322">
        <v>9974.74</v>
      </c>
      <c r="PT49" s="322">
        <v>8820.27</v>
      </c>
      <c r="PU49" s="322">
        <v>10081.91</v>
      </c>
      <c r="PV49" s="322">
        <v>10378.129999999999</v>
      </c>
      <c r="PW49" s="322">
        <v>10306.52</v>
      </c>
      <c r="PX49" s="322">
        <v>10924.47</v>
      </c>
      <c r="PY49" s="322">
        <v>11319.46</v>
      </c>
      <c r="PZ49" s="322">
        <v>13654</v>
      </c>
      <c r="QA49" s="322">
        <v>10488</v>
      </c>
      <c r="QB49" s="322">
        <v>13934</v>
      </c>
      <c r="QC49" s="322">
        <v>12457</v>
      </c>
      <c r="QD49" s="322">
        <v>16164</v>
      </c>
      <c r="QE49" s="322">
        <v>12191</v>
      </c>
      <c r="QF49" s="322">
        <v>13557</v>
      </c>
      <c r="QG49" s="322">
        <v>15214</v>
      </c>
      <c r="QH49" s="322">
        <v>16611</v>
      </c>
      <c r="QI49" s="322">
        <v>14745</v>
      </c>
      <c r="QJ49" s="322">
        <v>13088</v>
      </c>
      <c r="QK49" s="322">
        <v>15969</v>
      </c>
      <c r="QL49" s="322">
        <v>13714</v>
      </c>
      <c r="QM49" s="322">
        <v>25600</v>
      </c>
      <c r="QN49" s="334"/>
      <c r="QO49" s="322" t="s">
        <v>32</v>
      </c>
      <c r="QP49" s="322">
        <v>0</v>
      </c>
      <c r="QQ49" s="322">
        <v>0</v>
      </c>
      <c r="QR49" s="322">
        <v>0</v>
      </c>
      <c r="QS49" s="322">
        <v>0</v>
      </c>
      <c r="QT49" s="322">
        <v>0</v>
      </c>
      <c r="QU49" s="322">
        <v>0</v>
      </c>
      <c r="QV49" s="322">
        <v>0</v>
      </c>
      <c r="QW49" s="322">
        <v>0</v>
      </c>
      <c r="QX49" s="322">
        <v>0</v>
      </c>
      <c r="QY49" s="322">
        <v>0</v>
      </c>
      <c r="QZ49" s="322">
        <v>0</v>
      </c>
      <c r="RA49" s="322">
        <v>0</v>
      </c>
      <c r="RB49" s="322">
        <v>0</v>
      </c>
      <c r="RC49" s="322">
        <v>0</v>
      </c>
      <c r="RD49" s="322">
        <v>0</v>
      </c>
      <c r="RE49" s="322">
        <v>0</v>
      </c>
      <c r="RF49" s="322">
        <v>0</v>
      </c>
      <c r="RG49" s="322">
        <v>0</v>
      </c>
      <c r="RH49" s="322">
        <v>0</v>
      </c>
      <c r="RI49" s="322">
        <v>0</v>
      </c>
      <c r="RJ49" s="322">
        <v>0</v>
      </c>
      <c r="RK49" s="322">
        <v>0</v>
      </c>
      <c r="RL49" s="334"/>
      <c r="RM49" s="322" t="s">
        <v>32</v>
      </c>
      <c r="RN49" s="322">
        <v>31941.360000000001</v>
      </c>
      <c r="RO49" s="322">
        <v>59848.44</v>
      </c>
      <c r="RP49" s="322">
        <v>35281.08</v>
      </c>
      <c r="RQ49" s="322">
        <v>10081.91</v>
      </c>
      <c r="RR49" s="322">
        <v>20756.259999999998</v>
      </c>
      <c r="RS49" s="322">
        <v>30919.56</v>
      </c>
      <c r="RT49" s="322">
        <v>32773.410000000003</v>
      </c>
      <c r="RU49" s="322">
        <v>33958.379999999997</v>
      </c>
      <c r="RV49" s="322">
        <v>35583</v>
      </c>
      <c r="RW49" s="322">
        <v>138303</v>
      </c>
      <c r="RX49" s="322">
        <v>198000</v>
      </c>
      <c r="RY49" s="322">
        <v>148000</v>
      </c>
      <c r="RZ49" s="322">
        <v>69555</v>
      </c>
      <c r="SA49" s="322">
        <v>35083</v>
      </c>
      <c r="SB49" s="322">
        <v>162791</v>
      </c>
      <c r="SC49" s="322">
        <v>27000</v>
      </c>
      <c r="SD49" s="322">
        <v>237051</v>
      </c>
      <c r="SE49" s="322">
        <v>33700</v>
      </c>
      <c r="SF49" s="322">
        <v>35900</v>
      </c>
      <c r="SG49" s="322">
        <v>325000</v>
      </c>
      <c r="SH49" s="322">
        <v>351011</v>
      </c>
      <c r="SI49" s="322">
        <v>340000</v>
      </c>
    </row>
    <row r="50" spans="1:503">
      <c r="A50" s="319" t="s">
        <v>33</v>
      </c>
      <c r="B50" s="319">
        <v>740271</v>
      </c>
      <c r="C50" s="319">
        <v>810914</v>
      </c>
      <c r="D50" s="319">
        <v>882429</v>
      </c>
      <c r="E50" s="319">
        <v>851219</v>
      </c>
      <c r="F50" s="319">
        <v>917527</v>
      </c>
      <c r="G50" s="319">
        <v>923276</v>
      </c>
      <c r="H50" s="319">
        <v>1021985</v>
      </c>
      <c r="I50" s="319">
        <v>1037597</v>
      </c>
      <c r="J50" s="319">
        <v>1181751.8700000001</v>
      </c>
      <c r="K50" s="319">
        <v>1235766.06</v>
      </c>
      <c r="L50" s="319">
        <v>1313311.56</v>
      </c>
      <c r="M50" s="319">
        <v>1275163.1499999999</v>
      </c>
      <c r="N50" s="319">
        <v>1498378.3900000001</v>
      </c>
      <c r="O50" s="319">
        <v>1498539.27</v>
      </c>
      <c r="P50" s="319">
        <v>1537888.67</v>
      </c>
      <c r="Q50" s="319">
        <v>1356815.74</v>
      </c>
      <c r="R50" s="319">
        <v>1446883.23</v>
      </c>
      <c r="S50" s="322">
        <v>1544834.67</v>
      </c>
      <c r="T50" s="319">
        <v>1523990.2199999997</v>
      </c>
      <c r="U50" s="319">
        <v>1552591.77</v>
      </c>
      <c r="V50" s="319">
        <v>1503079.3200000003</v>
      </c>
      <c r="W50" s="319">
        <v>1882420</v>
      </c>
      <c r="X50" s="330"/>
      <c r="Y50" s="319" t="s">
        <v>33</v>
      </c>
      <c r="Z50" s="319">
        <v>0</v>
      </c>
      <c r="AA50" s="319">
        <v>0</v>
      </c>
      <c r="AB50" s="319">
        <v>44121.45</v>
      </c>
      <c r="AC50" s="319">
        <v>59585.33</v>
      </c>
      <c r="AD50" s="319">
        <v>64226.89</v>
      </c>
      <c r="AE50" s="319">
        <v>73862.080000000002</v>
      </c>
      <c r="AF50" s="319">
        <v>64629.32</v>
      </c>
      <c r="AG50" s="319">
        <v>72631.789999999994</v>
      </c>
      <c r="AH50" s="319">
        <v>71338.959999999992</v>
      </c>
      <c r="AI50" s="319">
        <v>68048.41</v>
      </c>
      <c r="AJ50" s="319">
        <v>67582.86</v>
      </c>
      <c r="AK50" s="319">
        <v>70509.08</v>
      </c>
      <c r="AL50" s="319">
        <v>72011.19</v>
      </c>
      <c r="AM50" s="319">
        <v>73042.760000000009</v>
      </c>
      <c r="AN50" s="319">
        <v>76848.97</v>
      </c>
      <c r="AO50" s="319">
        <v>74807.420000000013</v>
      </c>
      <c r="AP50" s="319">
        <v>81161.709999999992</v>
      </c>
      <c r="AQ50" s="322">
        <v>80376.13</v>
      </c>
      <c r="AR50" s="319">
        <v>79408.090000000011</v>
      </c>
      <c r="AS50" s="319">
        <v>80479.039999999994</v>
      </c>
      <c r="AT50" s="319">
        <v>80352.150000000009</v>
      </c>
      <c r="AU50" s="319">
        <v>87200</v>
      </c>
      <c r="AV50" s="334"/>
      <c r="AW50" s="319" t="s">
        <v>33</v>
      </c>
      <c r="AX50" s="319">
        <v>66624.39</v>
      </c>
      <c r="AY50" s="319">
        <v>64873.120000000003</v>
      </c>
      <c r="AZ50" s="319">
        <v>61770.030000000006</v>
      </c>
      <c r="BA50" s="319">
        <v>68097.52</v>
      </c>
      <c r="BB50" s="319">
        <v>73402.16</v>
      </c>
      <c r="BC50" s="319">
        <v>73862.080000000002</v>
      </c>
      <c r="BD50" s="319">
        <v>71538.950000000012</v>
      </c>
      <c r="BE50" s="319">
        <v>72631.790000000008</v>
      </c>
      <c r="BF50" s="319">
        <v>78106.040000000008</v>
      </c>
      <c r="BG50" s="319">
        <v>89127.38</v>
      </c>
      <c r="BH50" s="319">
        <v>86890.909999999974</v>
      </c>
      <c r="BI50" s="319">
        <v>89241.79</v>
      </c>
      <c r="BJ50" s="319">
        <v>83936.680000000008</v>
      </c>
      <c r="BK50" s="319">
        <v>95704.55</v>
      </c>
      <c r="BL50" s="319">
        <v>93928.86</v>
      </c>
      <c r="BM50" s="319">
        <v>91997.079999999987</v>
      </c>
      <c r="BN50" s="319">
        <v>98197.98</v>
      </c>
      <c r="BO50" s="322">
        <v>98597.23</v>
      </c>
      <c r="BP50" s="319">
        <v>101619.64999999998</v>
      </c>
      <c r="BQ50" s="319">
        <v>102056.55000000002</v>
      </c>
      <c r="BR50" s="319">
        <v>104409.70000000001</v>
      </c>
      <c r="BS50" s="319">
        <v>117000</v>
      </c>
      <c r="BT50" s="334"/>
      <c r="BU50" s="322" t="s">
        <v>33</v>
      </c>
      <c r="BV50" s="322">
        <v>0</v>
      </c>
      <c r="BW50" s="322">
        <v>16218.28</v>
      </c>
      <c r="BX50" s="322">
        <v>17648.580000000002</v>
      </c>
      <c r="BY50" s="322">
        <v>8512.19</v>
      </c>
      <c r="BZ50" s="322">
        <v>36701.08</v>
      </c>
      <c r="CA50" s="322">
        <v>9232.76</v>
      </c>
      <c r="CB50" s="322">
        <v>20439.7</v>
      </c>
      <c r="CC50" s="322">
        <v>20751.939999999999</v>
      </c>
      <c r="CD50" s="322">
        <v>49292.020000000004</v>
      </c>
      <c r="CE50" s="322">
        <v>33264.03</v>
      </c>
      <c r="CF50" s="322">
        <v>45192.350000000006</v>
      </c>
      <c r="CG50" s="322">
        <v>24662.400000000001</v>
      </c>
      <c r="CH50" s="322">
        <v>61660</v>
      </c>
      <c r="CI50" s="322">
        <v>30504.14</v>
      </c>
      <c r="CJ50" s="322">
        <v>44360.36</v>
      </c>
      <c r="CK50" s="322">
        <v>20784.670000000002</v>
      </c>
      <c r="CL50" s="322">
        <v>50705.74</v>
      </c>
      <c r="CM50" s="322">
        <v>15796.720000000001</v>
      </c>
      <c r="CN50" s="322">
        <v>51038.659999999996</v>
      </c>
      <c r="CO50" s="322">
        <v>44730.009999999995</v>
      </c>
      <c r="CP50" s="322">
        <v>67362.559999999998</v>
      </c>
      <c r="CQ50" s="322">
        <v>66000</v>
      </c>
      <c r="CR50" s="334"/>
      <c r="CS50" s="322" t="s">
        <v>33</v>
      </c>
      <c r="CT50" s="322">
        <v>37013.550000000003</v>
      </c>
      <c r="CU50" s="322">
        <v>40545.699999999997</v>
      </c>
      <c r="CV50" s="322">
        <v>61770.03</v>
      </c>
      <c r="CW50" s="322">
        <v>25536.57</v>
      </c>
      <c r="CX50" s="322">
        <v>36701.08</v>
      </c>
      <c r="CY50" s="322">
        <v>46163.8</v>
      </c>
      <c r="CZ50" s="322">
        <v>40879.4</v>
      </c>
      <c r="DA50" s="322">
        <v>41503.879999999997</v>
      </c>
      <c r="DB50" s="322">
        <v>45759.14</v>
      </c>
      <c r="DC50" s="322">
        <v>35654.14</v>
      </c>
      <c r="DD50" s="322">
        <v>33231.71</v>
      </c>
      <c r="DE50" s="322">
        <v>29973.4</v>
      </c>
      <c r="DF50" s="322">
        <v>45183.97</v>
      </c>
      <c r="DG50" s="322">
        <v>52198.45</v>
      </c>
      <c r="DH50" s="322">
        <v>187255.37</v>
      </c>
      <c r="DI50" s="322">
        <v>49011.549999999996</v>
      </c>
      <c r="DJ50" s="322">
        <v>59890.369999999995</v>
      </c>
      <c r="DK50" s="322">
        <v>67644.98000000001</v>
      </c>
      <c r="DL50" s="322">
        <v>53710.9</v>
      </c>
      <c r="DM50" s="322">
        <v>58556.19</v>
      </c>
      <c r="DN50" s="322">
        <v>58240.15</v>
      </c>
      <c r="DO50" s="322">
        <v>78050</v>
      </c>
      <c r="DP50" s="334"/>
      <c r="DQ50" s="322" t="s">
        <v>33</v>
      </c>
      <c r="DR50" s="322">
        <v>103637.94</v>
      </c>
      <c r="DS50" s="322">
        <v>121637.1</v>
      </c>
      <c r="DT50" s="322">
        <v>123540.06</v>
      </c>
      <c r="DU50" s="322">
        <v>119170.66</v>
      </c>
      <c r="DV50" s="322">
        <v>137629.04999999999</v>
      </c>
      <c r="DW50" s="322">
        <v>147724.16</v>
      </c>
      <c r="DX50" s="322">
        <v>194177.15</v>
      </c>
      <c r="DY50" s="322">
        <v>186767.46</v>
      </c>
      <c r="DZ50" s="322">
        <v>213578.39</v>
      </c>
      <c r="EA50" s="322">
        <v>214308.32</v>
      </c>
      <c r="EB50" s="322">
        <v>208519.88999999998</v>
      </c>
      <c r="EC50" s="322">
        <v>232239.13000000003</v>
      </c>
      <c r="ED50" s="322">
        <v>219869.75</v>
      </c>
      <c r="EE50" s="322">
        <v>221381.61</v>
      </c>
      <c r="EF50" s="322">
        <v>222100.65999999997</v>
      </c>
      <c r="EG50" s="322">
        <v>201819.51999999999</v>
      </c>
      <c r="EH50" s="322">
        <v>237546.33</v>
      </c>
      <c r="EI50" s="322">
        <v>247534.31</v>
      </c>
      <c r="EJ50" s="322">
        <v>240360.25</v>
      </c>
      <c r="EK50" s="322">
        <v>250167.38</v>
      </c>
      <c r="EL50" s="322">
        <v>231281.99</v>
      </c>
      <c r="EM50" s="322">
        <v>285500</v>
      </c>
      <c r="EN50" s="334"/>
      <c r="EO50" s="322" t="s">
        <v>33</v>
      </c>
      <c r="EP50" s="322">
        <v>14805.42</v>
      </c>
      <c r="EQ50" s="322">
        <v>16218.28</v>
      </c>
      <c r="ER50" s="322">
        <v>17648.580000000002</v>
      </c>
      <c r="ES50" s="322">
        <v>25536.57</v>
      </c>
      <c r="ET50" s="322">
        <v>18350.54</v>
      </c>
      <c r="EU50" s="322">
        <v>18465.52</v>
      </c>
      <c r="EV50" s="322">
        <v>20439.7</v>
      </c>
      <c r="EW50" s="322">
        <v>31127.91</v>
      </c>
      <c r="EX50" s="322">
        <v>33590.400000000001</v>
      </c>
      <c r="EY50" s="322">
        <v>33385.479999999996</v>
      </c>
      <c r="EZ50" s="322">
        <v>33895.1</v>
      </c>
      <c r="FA50" s="322">
        <v>37490.590000000004</v>
      </c>
      <c r="FB50" s="322">
        <v>37010.969999999994</v>
      </c>
      <c r="FC50" s="322">
        <v>36965.939999999995</v>
      </c>
      <c r="FD50" s="322">
        <v>38125.370000000003</v>
      </c>
      <c r="FE50" s="322">
        <v>38365.389999999992</v>
      </c>
      <c r="FF50" s="322">
        <v>40171.609999999993</v>
      </c>
      <c r="FG50" s="322">
        <v>40477.47</v>
      </c>
      <c r="FH50" s="322">
        <v>40569.579999999994</v>
      </c>
      <c r="FI50" s="322">
        <v>41596.9</v>
      </c>
      <c r="FJ50" s="322">
        <v>40353.380000000005</v>
      </c>
      <c r="FK50" s="322">
        <v>44000</v>
      </c>
      <c r="FL50" s="334"/>
      <c r="FM50" s="322" t="s">
        <v>33</v>
      </c>
      <c r="FN50" s="322">
        <v>44416.26</v>
      </c>
      <c r="FO50" s="322">
        <v>48654.84</v>
      </c>
      <c r="FP50" s="322">
        <v>44121.45</v>
      </c>
      <c r="FQ50" s="322">
        <v>51073.14</v>
      </c>
      <c r="FR50" s="322">
        <v>55051.62</v>
      </c>
      <c r="FS50" s="322">
        <v>55396.56</v>
      </c>
      <c r="FT50" s="322">
        <v>61319.1</v>
      </c>
      <c r="FU50" s="322">
        <v>62255.82</v>
      </c>
      <c r="FV50" s="322">
        <v>59743.3</v>
      </c>
      <c r="FW50" s="322">
        <v>60321.88</v>
      </c>
      <c r="FX50" s="322">
        <v>60719.450000000004</v>
      </c>
      <c r="FY50" s="322">
        <v>60755.4</v>
      </c>
      <c r="FZ50" s="322">
        <v>63164.710000000006</v>
      </c>
      <c r="GA50" s="322">
        <v>62891.979999999989</v>
      </c>
      <c r="GB50" s="322">
        <v>63298.650000000009</v>
      </c>
      <c r="GC50" s="322">
        <v>62634.749999999985</v>
      </c>
      <c r="GD50" s="322">
        <v>62312.41</v>
      </c>
      <c r="GE50" s="322">
        <v>64002.51</v>
      </c>
      <c r="GF50" s="340">
        <v>65589.100000000006</v>
      </c>
      <c r="GG50" s="704">
        <v>66305.33</v>
      </c>
      <c r="GH50" s="704">
        <v>64915.600000000006</v>
      </c>
      <c r="GI50" s="704">
        <v>73280</v>
      </c>
      <c r="GJ50" s="334"/>
      <c r="GK50" s="322" t="s">
        <v>33</v>
      </c>
      <c r="GL50" s="322">
        <v>0</v>
      </c>
      <c r="GM50" s="322">
        <v>0</v>
      </c>
      <c r="GN50" s="322">
        <v>0</v>
      </c>
      <c r="GO50" s="322">
        <v>0</v>
      </c>
      <c r="GP50" s="322">
        <v>0</v>
      </c>
      <c r="GQ50" s="322">
        <v>0</v>
      </c>
      <c r="GR50" s="322">
        <v>0</v>
      </c>
      <c r="GS50" s="322">
        <v>0</v>
      </c>
      <c r="GT50" s="322">
        <v>1554.83</v>
      </c>
      <c r="GU50" s="322">
        <v>1298.1399999999999</v>
      </c>
      <c r="GV50" s="322">
        <v>1675.5</v>
      </c>
      <c r="GW50" s="322">
        <v>17304.73</v>
      </c>
      <c r="GX50" s="322">
        <v>19410.86</v>
      </c>
      <c r="GY50" s="322">
        <v>19974.099999999999</v>
      </c>
      <c r="GZ50" s="322">
        <v>19279.649999999998</v>
      </c>
      <c r="HA50" s="322">
        <v>19578.219999999998</v>
      </c>
      <c r="HB50" s="322">
        <v>16931.53</v>
      </c>
      <c r="HC50" s="322">
        <v>15630.54</v>
      </c>
      <c r="HD50" s="322">
        <v>21063.43</v>
      </c>
      <c r="HE50" s="322">
        <v>22345.1</v>
      </c>
      <c r="HF50" s="322">
        <v>21259.86</v>
      </c>
      <c r="HG50" s="322">
        <v>26860</v>
      </c>
      <c r="HH50" s="334"/>
      <c r="HI50" s="322" t="s">
        <v>33</v>
      </c>
      <c r="HJ50" s="322">
        <v>0</v>
      </c>
      <c r="HK50" s="322">
        <v>0</v>
      </c>
      <c r="HL50" s="322">
        <v>0</v>
      </c>
      <c r="HM50" s="322">
        <v>0</v>
      </c>
      <c r="HN50" s="322">
        <v>0</v>
      </c>
      <c r="HO50" s="322">
        <v>0</v>
      </c>
      <c r="HP50" s="322">
        <v>0</v>
      </c>
      <c r="HQ50" s="322">
        <v>0</v>
      </c>
      <c r="HR50" s="322">
        <v>0</v>
      </c>
      <c r="HS50" s="322">
        <v>0</v>
      </c>
      <c r="HT50" s="322">
        <v>0</v>
      </c>
      <c r="HU50" s="322">
        <v>0</v>
      </c>
      <c r="HV50" s="322">
        <v>0</v>
      </c>
      <c r="HW50" s="322">
        <v>0</v>
      </c>
      <c r="HX50" s="322">
        <v>3598.7200000000003</v>
      </c>
      <c r="HY50" s="322">
        <v>2167.5899999999997</v>
      </c>
      <c r="HZ50" s="322">
        <v>4185.3900000000003</v>
      </c>
      <c r="IA50" s="322">
        <v>5056.7700000000004</v>
      </c>
      <c r="IB50" s="322">
        <v>10194.279999999999</v>
      </c>
      <c r="IC50" s="322">
        <v>3971.66</v>
      </c>
      <c r="ID50" s="322">
        <v>3980.42</v>
      </c>
      <c r="IE50" s="322">
        <v>12000</v>
      </c>
      <c r="IF50" s="334"/>
      <c r="IG50" s="322" t="s">
        <v>33</v>
      </c>
      <c r="IH50" s="322">
        <v>7402.71</v>
      </c>
      <c r="II50" s="322">
        <v>8109.14</v>
      </c>
      <c r="IJ50" s="322">
        <v>8824.2900000000009</v>
      </c>
      <c r="IK50" s="322">
        <v>8512.19</v>
      </c>
      <c r="IL50" s="322">
        <v>0</v>
      </c>
      <c r="IM50" s="322">
        <v>9232.76</v>
      </c>
      <c r="IN50" s="322">
        <v>0</v>
      </c>
      <c r="IO50" s="322">
        <v>10375.969999999999</v>
      </c>
      <c r="IP50" s="322">
        <v>3600.95</v>
      </c>
      <c r="IQ50" s="322">
        <v>4174.26</v>
      </c>
      <c r="IR50" s="322">
        <v>4960.33</v>
      </c>
      <c r="IS50" s="322">
        <v>6747.3700000000008</v>
      </c>
      <c r="IT50" s="322">
        <v>4073.13</v>
      </c>
      <c r="IU50" s="322">
        <v>6912.29</v>
      </c>
      <c r="IV50" s="322"/>
      <c r="IW50" s="322"/>
      <c r="IX50" s="322"/>
      <c r="IY50" s="322"/>
      <c r="IZ50" s="322"/>
      <c r="JA50" s="322"/>
      <c r="JB50" s="322"/>
      <c r="JC50" s="322"/>
      <c r="JD50" s="334"/>
      <c r="JE50" s="322" t="s">
        <v>33</v>
      </c>
      <c r="JF50" s="322">
        <v>0</v>
      </c>
      <c r="JG50" s="322">
        <v>0</v>
      </c>
      <c r="JH50" s="322">
        <v>0</v>
      </c>
      <c r="JI50" s="322">
        <v>0</v>
      </c>
      <c r="JJ50" s="322">
        <v>0</v>
      </c>
      <c r="JK50" s="322">
        <v>0</v>
      </c>
      <c r="JL50" s="322">
        <v>0</v>
      </c>
      <c r="JM50" s="322">
        <v>0</v>
      </c>
      <c r="JN50" s="322">
        <v>612.83000000000004</v>
      </c>
      <c r="JO50" s="322">
        <v>1259.2700000000002</v>
      </c>
      <c r="JP50" s="322">
        <v>2186.7000000000003</v>
      </c>
      <c r="JQ50" s="322">
        <v>198.57</v>
      </c>
      <c r="JR50" s="322">
        <v>2043.21</v>
      </c>
      <c r="JS50" s="322">
        <v>1147.8600000000001</v>
      </c>
      <c r="JT50" s="322">
        <v>9.1499999999999986</v>
      </c>
      <c r="JU50" s="322">
        <v>86.1</v>
      </c>
      <c r="JV50" s="322">
        <v>-8.1</v>
      </c>
      <c r="JW50" s="322">
        <v>1016.32</v>
      </c>
      <c r="JX50" s="322">
        <v>3127.09</v>
      </c>
      <c r="JY50" s="322">
        <v>1066.5899999999999</v>
      </c>
      <c r="JZ50" s="322">
        <v>496.52</v>
      </c>
      <c r="KA50" s="322">
        <v>10900</v>
      </c>
      <c r="KB50" s="334"/>
      <c r="KC50" s="322" t="s">
        <v>33</v>
      </c>
      <c r="KD50" s="322">
        <v>7402.71</v>
      </c>
      <c r="KE50" s="322">
        <v>8109.14</v>
      </c>
      <c r="KF50" s="322">
        <v>8824.2900000000009</v>
      </c>
      <c r="KG50" s="322">
        <v>8512.19</v>
      </c>
      <c r="KH50" s="322">
        <v>9175.27</v>
      </c>
      <c r="KI50" s="322">
        <v>9232.76</v>
      </c>
      <c r="KJ50" s="322">
        <v>10219.85</v>
      </c>
      <c r="KK50" s="322">
        <v>10375.969999999999</v>
      </c>
      <c r="KL50" s="322">
        <v>12927.23</v>
      </c>
      <c r="KM50" s="322">
        <v>14697.83</v>
      </c>
      <c r="KN50" s="322">
        <v>14764.630000000001</v>
      </c>
      <c r="KO50" s="322">
        <v>14575.750000000002</v>
      </c>
      <c r="KP50" s="322">
        <v>15092.919999999998</v>
      </c>
      <c r="KQ50" s="322">
        <v>21798.979999999996</v>
      </c>
      <c r="KR50" s="322">
        <v>21753.11</v>
      </c>
      <c r="KS50" s="322">
        <v>22162.000000000004</v>
      </c>
      <c r="KT50" s="322">
        <v>22128.93</v>
      </c>
      <c r="KU50" s="322">
        <v>22794.829999999998</v>
      </c>
      <c r="KV50" s="322">
        <v>23201.85</v>
      </c>
      <c r="KW50" s="322">
        <v>23605.85</v>
      </c>
      <c r="KX50" s="322">
        <v>23907.190000000002</v>
      </c>
      <c r="KY50" s="322">
        <v>29000</v>
      </c>
      <c r="KZ50" s="334"/>
      <c r="LA50" s="322" t="s">
        <v>33</v>
      </c>
      <c r="LB50" s="322">
        <v>96235.23</v>
      </c>
      <c r="LC50" s="322">
        <v>97309.68</v>
      </c>
      <c r="LD50" s="322">
        <v>105891.48</v>
      </c>
      <c r="LE50" s="322">
        <v>153219.42000000001</v>
      </c>
      <c r="LF50" s="322">
        <v>192680.67</v>
      </c>
      <c r="LG50" s="322">
        <v>193887.96</v>
      </c>
      <c r="LH50" s="322">
        <v>214616.85</v>
      </c>
      <c r="LI50" s="322">
        <v>197143.43</v>
      </c>
      <c r="LJ50" s="322">
        <v>259903.53999999998</v>
      </c>
      <c r="LK50" s="322">
        <v>313868.58</v>
      </c>
      <c r="LL50" s="322">
        <v>306111.83999999997</v>
      </c>
      <c r="LM50" s="322">
        <v>282886.43999999994</v>
      </c>
      <c r="LN50" s="322">
        <v>419432.55000000005</v>
      </c>
      <c r="LO50" s="322">
        <v>443539.15</v>
      </c>
      <c r="LP50" s="322">
        <v>331980.36000000004</v>
      </c>
      <c r="LQ50" s="322">
        <v>291342.96000000002</v>
      </c>
      <c r="LR50" s="322">
        <v>268167.62</v>
      </c>
      <c r="LS50" s="322">
        <v>297806.03000000003</v>
      </c>
      <c r="LT50" s="322">
        <v>286525.96999999997</v>
      </c>
      <c r="LU50" s="322">
        <v>309916.24000000005</v>
      </c>
      <c r="LV50" s="322">
        <v>279764.12</v>
      </c>
      <c r="LW50" s="322">
        <v>350450</v>
      </c>
      <c r="LX50" s="334"/>
      <c r="LY50" s="322" t="s">
        <v>33</v>
      </c>
      <c r="LZ50" s="322">
        <v>140651.49</v>
      </c>
      <c r="MA50" s="322">
        <v>137855.38</v>
      </c>
      <c r="MB50" s="322">
        <v>132364.35</v>
      </c>
      <c r="MC50" s="322">
        <v>136195.04</v>
      </c>
      <c r="MD50" s="322">
        <v>137629.04999999999</v>
      </c>
      <c r="ME50" s="322">
        <v>138491.4</v>
      </c>
      <c r="MF50" s="322">
        <v>143077.9</v>
      </c>
      <c r="MG50" s="322">
        <v>155639.54999999999</v>
      </c>
      <c r="MH50" s="322">
        <v>180072.2</v>
      </c>
      <c r="MI50" s="322">
        <v>174411.81</v>
      </c>
      <c r="MJ50" s="322">
        <v>196855.45</v>
      </c>
      <c r="MK50" s="322">
        <v>159616.26000000004</v>
      </c>
      <c r="ML50" s="322">
        <v>198457.02999999997</v>
      </c>
      <c r="MM50" s="322">
        <v>180055.61000000002</v>
      </c>
      <c r="MN50" s="322">
        <v>189210.76</v>
      </c>
      <c r="MO50" s="322">
        <v>208657.26</v>
      </c>
      <c r="MP50" s="322">
        <v>214253.92</v>
      </c>
      <c r="MQ50" s="322">
        <v>266537.57</v>
      </c>
      <c r="MR50" s="322">
        <v>223907.35</v>
      </c>
      <c r="MS50" s="322">
        <v>198653.22999999998</v>
      </c>
      <c r="MT50" s="322">
        <v>191751.77</v>
      </c>
      <c r="MU50" s="322">
        <v>227150</v>
      </c>
      <c r="MV50" s="334"/>
      <c r="MW50" s="322" t="s">
        <v>33</v>
      </c>
      <c r="MX50" s="322">
        <v>51818.97</v>
      </c>
      <c r="MY50" s="322">
        <v>64873.120000000003</v>
      </c>
      <c r="MZ50" s="322">
        <v>79418.61</v>
      </c>
      <c r="NA50" s="322">
        <v>76609.710000000006</v>
      </c>
      <c r="NB50" s="322">
        <v>73402.16</v>
      </c>
      <c r="NC50" s="322">
        <v>64629.32</v>
      </c>
      <c r="ND50" s="322">
        <v>81758.8</v>
      </c>
      <c r="NE50" s="322">
        <v>83007.759999999995</v>
      </c>
      <c r="NF50" s="322">
        <v>78567.41</v>
      </c>
      <c r="NG50" s="322">
        <v>94350.869999999981</v>
      </c>
      <c r="NH50" s="322">
        <v>152730</v>
      </c>
      <c r="NI50" s="322">
        <v>148762.36000000002</v>
      </c>
      <c r="NJ50" s="322">
        <v>154655.49</v>
      </c>
      <c r="NK50" s="322">
        <v>147905.9</v>
      </c>
      <c r="NL50" s="322">
        <v>135843.91000000003</v>
      </c>
      <c r="NM50" s="322">
        <v>166747.70000000001</v>
      </c>
      <c r="NN50" s="322">
        <v>169570.65000000002</v>
      </c>
      <c r="NO50" s="322">
        <v>196477.92</v>
      </c>
      <c r="NP50" s="322">
        <v>190263.86999999997</v>
      </c>
      <c r="NQ50" s="322">
        <v>199699.38999999998</v>
      </c>
      <c r="NR50" s="322">
        <v>211870.72999999998</v>
      </c>
      <c r="NS50" s="322">
        <v>274000</v>
      </c>
      <c r="NT50" s="334"/>
      <c r="NU50" s="322" t="s">
        <v>33</v>
      </c>
      <c r="NV50" s="322">
        <v>51818.97</v>
      </c>
      <c r="NW50" s="322">
        <v>48654.84</v>
      </c>
      <c r="NX50" s="322">
        <v>44121.45</v>
      </c>
      <c r="NY50" s="322">
        <v>59585.33</v>
      </c>
      <c r="NZ50" s="322">
        <v>55051.62</v>
      </c>
      <c r="OA50" s="322">
        <v>55396.56</v>
      </c>
      <c r="OB50" s="322">
        <v>61319.1</v>
      </c>
      <c r="OC50" s="322">
        <v>62255.82</v>
      </c>
      <c r="OD50" s="322">
        <v>63293.299999999996</v>
      </c>
      <c r="OE50" s="322">
        <v>67576.31</v>
      </c>
      <c r="OF50" s="322">
        <v>65950.880000000005</v>
      </c>
      <c r="OG50" s="322">
        <v>67579.950000000012</v>
      </c>
      <c r="OH50" s="322">
        <v>68345.189999999988</v>
      </c>
      <c r="OI50" s="322">
        <v>68479.509999999995</v>
      </c>
      <c r="OJ50" s="322">
        <v>70426.099999999991</v>
      </c>
      <c r="OK50" s="322">
        <v>70518.540000000008</v>
      </c>
      <c r="OL50" s="322">
        <v>74021.2</v>
      </c>
      <c r="OM50" s="322">
        <v>81783.56</v>
      </c>
      <c r="ON50" s="322">
        <v>78452.570000000007</v>
      </c>
      <c r="OO50" s="322">
        <v>78717.960000000006</v>
      </c>
      <c r="OP50" s="322">
        <v>80083.8</v>
      </c>
      <c r="OQ50" s="322">
        <v>96200</v>
      </c>
      <c r="OR50" s="334"/>
      <c r="OS50" s="322" t="s">
        <v>33</v>
      </c>
      <c r="OT50" s="322">
        <v>44416.26</v>
      </c>
      <c r="OU50" s="322">
        <v>48654.84</v>
      </c>
      <c r="OV50" s="322">
        <v>44121.45</v>
      </c>
      <c r="OW50" s="322">
        <v>34048.76</v>
      </c>
      <c r="OX50" s="322">
        <v>9175.27</v>
      </c>
      <c r="OY50" s="322">
        <v>9232.76</v>
      </c>
      <c r="OZ50" s="322">
        <v>10219.85</v>
      </c>
      <c r="PA50" s="322">
        <v>10375.969999999999</v>
      </c>
      <c r="PB50" s="322">
        <v>6928.68</v>
      </c>
      <c r="PC50" s="322">
        <v>8119.95</v>
      </c>
      <c r="PD50" s="322">
        <v>7731.51</v>
      </c>
      <c r="PE50" s="322">
        <v>7466.32</v>
      </c>
      <c r="PF50" s="322">
        <v>7521.39</v>
      </c>
      <c r="PG50" s="322">
        <v>7401.52</v>
      </c>
      <c r="PH50" s="322">
        <v>6447.67</v>
      </c>
      <c r="PI50" s="322">
        <v>7644.08</v>
      </c>
      <c r="PJ50" s="322">
        <v>6951.8</v>
      </c>
      <c r="PK50" s="322">
        <v>7548.16</v>
      </c>
      <c r="PL50" s="322">
        <v>9400.36</v>
      </c>
      <c r="PM50" s="322">
        <v>7533.67</v>
      </c>
      <c r="PN50" s="322">
        <v>7545.5900000000011</v>
      </c>
      <c r="PO50" s="322">
        <v>12980</v>
      </c>
      <c r="PP50" s="334"/>
      <c r="PQ50" s="322" t="s">
        <v>33</v>
      </c>
      <c r="PR50" s="322">
        <v>0</v>
      </c>
      <c r="PS50" s="322">
        <v>8109.14</v>
      </c>
      <c r="PT50" s="322">
        <v>8824.2900000000009</v>
      </c>
      <c r="PU50" s="322">
        <v>8512.19</v>
      </c>
      <c r="PV50" s="322">
        <v>9175.27</v>
      </c>
      <c r="PW50" s="322">
        <v>9232.76</v>
      </c>
      <c r="PX50" s="322">
        <v>10219.85</v>
      </c>
      <c r="PY50" s="322">
        <v>10375.969999999999</v>
      </c>
      <c r="PZ50" s="322">
        <v>8132.32</v>
      </c>
      <c r="QA50" s="322">
        <v>8025</v>
      </c>
      <c r="QB50" s="322">
        <v>10912.45</v>
      </c>
      <c r="QC50" s="322">
        <v>11403.61</v>
      </c>
      <c r="QD50" s="322">
        <v>9722.6200000000008</v>
      </c>
      <c r="QE50" s="322">
        <v>13884.919999999998</v>
      </c>
      <c r="QF50" s="322">
        <v>17031.88</v>
      </c>
      <c r="QG50" s="322">
        <v>10568.460000000001</v>
      </c>
      <c r="QH50" s="322">
        <v>13647.03</v>
      </c>
      <c r="QI50" s="322">
        <v>19296.570000000003</v>
      </c>
      <c r="QJ50" s="322">
        <v>28281.66</v>
      </c>
      <c r="QK50" s="322">
        <v>13667.56</v>
      </c>
      <c r="QL50" s="322">
        <v>16984.080000000002</v>
      </c>
      <c r="QM50" s="322">
        <v>25150</v>
      </c>
      <c r="QN50" s="334"/>
      <c r="QO50" s="322" t="s">
        <v>33</v>
      </c>
      <c r="QP50" s="322">
        <v>66624.39</v>
      </c>
      <c r="QQ50" s="322">
        <v>72982.259999999995</v>
      </c>
      <c r="QR50" s="322">
        <v>70594.320000000007</v>
      </c>
      <c r="QS50" s="322">
        <v>0</v>
      </c>
      <c r="QT50" s="322">
        <v>0</v>
      </c>
      <c r="QU50" s="322">
        <v>0</v>
      </c>
      <c r="QV50" s="322">
        <v>0</v>
      </c>
      <c r="QW50" s="322">
        <v>0</v>
      </c>
      <c r="QX50" s="322">
        <v>4151.3099999999995</v>
      </c>
      <c r="QY50" s="322">
        <v>4150</v>
      </c>
      <c r="QZ50" s="322">
        <v>4400</v>
      </c>
      <c r="RA50" s="322">
        <v>4750</v>
      </c>
      <c r="RB50" s="322">
        <v>5350</v>
      </c>
      <c r="RC50" s="322">
        <v>5750</v>
      </c>
      <c r="RD50" s="322">
        <v>5750</v>
      </c>
      <c r="RE50" s="322">
        <v>5750</v>
      </c>
      <c r="RF50" s="322">
        <v>5750</v>
      </c>
      <c r="RG50" s="322">
        <v>6750</v>
      </c>
      <c r="RH50" s="322">
        <v>6750</v>
      </c>
      <c r="RI50" s="322">
        <v>6750</v>
      </c>
      <c r="RJ50" s="322">
        <v>7000</v>
      </c>
      <c r="RK50" s="322">
        <v>7000</v>
      </c>
      <c r="RL50" s="334"/>
      <c r="RM50" s="322" t="s">
        <v>33</v>
      </c>
      <c r="RN50" s="322">
        <v>7402.71</v>
      </c>
      <c r="RO50" s="322">
        <v>8109.14</v>
      </c>
      <c r="RP50" s="322">
        <v>8824.2900000000009</v>
      </c>
      <c r="RQ50" s="322">
        <v>8512.19</v>
      </c>
      <c r="RR50" s="322">
        <v>9175.27</v>
      </c>
      <c r="RS50" s="322">
        <v>9232.76</v>
      </c>
      <c r="RT50" s="322">
        <v>10219.85</v>
      </c>
      <c r="RU50" s="322">
        <v>10375.969999999999</v>
      </c>
      <c r="RV50" s="322">
        <v>10599.02</v>
      </c>
      <c r="RW50" s="322">
        <v>9724.4</v>
      </c>
      <c r="RX50" s="322">
        <v>9000</v>
      </c>
      <c r="RY50" s="322">
        <v>9000</v>
      </c>
      <c r="RZ50" s="322">
        <v>11436.73</v>
      </c>
      <c r="SA50" s="322">
        <v>9000</v>
      </c>
      <c r="SB50" s="322">
        <v>10639.119999999999</v>
      </c>
      <c r="SC50" s="322">
        <v>12172.45</v>
      </c>
      <c r="SD50" s="322">
        <v>21297.11</v>
      </c>
      <c r="SE50" s="322">
        <v>9707.0499999999993</v>
      </c>
      <c r="SF50" s="322">
        <v>10525.56</v>
      </c>
      <c r="SG50" s="322">
        <v>42773.120000000003</v>
      </c>
      <c r="SH50" s="322">
        <v>11519.71</v>
      </c>
      <c r="SI50" s="322">
        <v>9700</v>
      </c>
    </row>
    <row r="51" spans="1:503">
      <c r="A51" s="319" t="s">
        <v>34</v>
      </c>
      <c r="B51" s="319">
        <v>1009686</v>
      </c>
      <c r="C51" s="319">
        <v>924562</v>
      </c>
      <c r="D51" s="319">
        <v>1041552</v>
      </c>
      <c r="E51" s="319">
        <v>984058</v>
      </c>
      <c r="F51" s="319">
        <v>1101220</v>
      </c>
      <c r="G51" s="319">
        <v>1004265</v>
      </c>
      <c r="H51" s="319">
        <v>1022737</v>
      </c>
      <c r="I51" s="319">
        <v>937470</v>
      </c>
      <c r="J51" s="319">
        <v>957696.21</v>
      </c>
      <c r="K51" s="319">
        <v>945079.7699999999</v>
      </c>
      <c r="L51" s="319">
        <v>1283116.18</v>
      </c>
      <c r="M51" s="319">
        <v>1150853.8500000001</v>
      </c>
      <c r="N51" s="319">
        <v>1166678.8</v>
      </c>
      <c r="O51" s="319">
        <v>1050667.73</v>
      </c>
      <c r="P51" s="319"/>
      <c r="Q51" s="319">
        <v>1011569.73</v>
      </c>
      <c r="R51" s="319">
        <v>1139812.6299999999</v>
      </c>
      <c r="S51" s="322">
        <v>1163092.1900000002</v>
      </c>
      <c r="T51" s="319">
        <v>1318517.32</v>
      </c>
      <c r="U51" s="319">
        <v>1296437.8289999999</v>
      </c>
      <c r="V51" s="319">
        <v>1498054.9499999997</v>
      </c>
      <c r="W51" s="319">
        <v>1924088.89</v>
      </c>
      <c r="X51" s="330"/>
      <c r="Y51" s="319" t="s">
        <v>34</v>
      </c>
      <c r="Z51" s="319">
        <v>50484.3</v>
      </c>
      <c r="AA51" s="319">
        <v>55473.72</v>
      </c>
      <c r="AB51" s="319">
        <v>52077.599999999999</v>
      </c>
      <c r="AC51" s="319">
        <v>68884.06</v>
      </c>
      <c r="AD51" s="319">
        <v>77085.399999999994</v>
      </c>
      <c r="AE51" s="319">
        <v>70298.55</v>
      </c>
      <c r="AF51" s="319">
        <v>70298.55</v>
      </c>
      <c r="AG51" s="319">
        <v>74997.600000000006</v>
      </c>
      <c r="AH51" s="319">
        <v>74877.650000000009</v>
      </c>
      <c r="AI51" s="319">
        <v>78123.859999999986</v>
      </c>
      <c r="AJ51" s="319">
        <v>78697.609999999971</v>
      </c>
      <c r="AK51" s="319">
        <v>78227.600000000006</v>
      </c>
      <c r="AL51" s="319">
        <v>83310.05</v>
      </c>
      <c r="AM51" s="319">
        <v>79504.05</v>
      </c>
      <c r="AN51" s="319"/>
      <c r="AO51" s="319">
        <v>80933.710000000006</v>
      </c>
      <c r="AP51" s="319">
        <v>81993.48000000001</v>
      </c>
      <c r="AQ51" s="322">
        <v>82365.180000000008</v>
      </c>
      <c r="AR51" s="319">
        <v>82258.8</v>
      </c>
      <c r="AS51" s="319">
        <v>85712.56</v>
      </c>
      <c r="AT51" s="319">
        <v>84654.559999999983</v>
      </c>
      <c r="AU51" s="319">
        <v>92851</v>
      </c>
      <c r="AV51" s="334"/>
      <c r="AW51" s="319" t="s">
        <v>34</v>
      </c>
      <c r="AX51" s="319">
        <v>60581.159999999996</v>
      </c>
      <c r="AY51" s="319">
        <v>46228.100000000006</v>
      </c>
      <c r="AZ51" s="319">
        <v>52077.600000000006</v>
      </c>
      <c r="BA51" s="319">
        <v>59043.479999999996</v>
      </c>
      <c r="BB51" s="319">
        <v>55061</v>
      </c>
      <c r="BC51" s="319">
        <v>50213.25</v>
      </c>
      <c r="BD51" s="319">
        <v>51136.850000000006</v>
      </c>
      <c r="BE51" s="319">
        <v>56248.2</v>
      </c>
      <c r="BF51" s="319">
        <v>54950.65</v>
      </c>
      <c r="BG51" s="319">
        <v>58192.149999999994</v>
      </c>
      <c r="BH51" s="319">
        <v>59119.71</v>
      </c>
      <c r="BI51" s="319">
        <v>57904.86</v>
      </c>
      <c r="BJ51" s="319">
        <v>60130.97</v>
      </c>
      <c r="BK51" s="319">
        <v>60530.55</v>
      </c>
      <c r="BL51" s="319"/>
      <c r="BM51" s="319">
        <v>62704.649999999994</v>
      </c>
      <c r="BN51" s="319">
        <v>79842.540000000008</v>
      </c>
      <c r="BO51" s="322">
        <v>80744.3</v>
      </c>
      <c r="BP51" s="319">
        <v>81905.14999999998</v>
      </c>
      <c r="BQ51" s="319">
        <v>85586.940000000017</v>
      </c>
      <c r="BR51" s="319">
        <v>92193.08</v>
      </c>
      <c r="BS51" s="319">
        <v>97775</v>
      </c>
      <c r="BT51" s="334"/>
      <c r="BU51" s="322" t="s">
        <v>34</v>
      </c>
      <c r="BV51" s="322">
        <v>20193.72</v>
      </c>
      <c r="BW51" s="322">
        <v>9245.6200000000008</v>
      </c>
      <c r="BX51" s="322">
        <v>20831.04</v>
      </c>
      <c r="BY51" s="322">
        <v>19681.16</v>
      </c>
      <c r="BZ51" s="322">
        <v>33036.6</v>
      </c>
      <c r="CA51" s="322">
        <v>10042.65</v>
      </c>
      <c r="CB51" s="322">
        <v>30682.11</v>
      </c>
      <c r="CC51" s="322">
        <v>9374.7000000000007</v>
      </c>
      <c r="CD51" s="322">
        <v>37722.090000000004</v>
      </c>
      <c r="CE51" s="322">
        <v>15396.82</v>
      </c>
      <c r="CF51" s="322">
        <v>134761.74</v>
      </c>
      <c r="CG51" s="322">
        <v>29741.459999999995</v>
      </c>
      <c r="CH51" s="322">
        <v>64774.11</v>
      </c>
      <c r="CI51" s="322">
        <v>34618.659999999996</v>
      </c>
      <c r="CJ51" s="322"/>
      <c r="CK51" s="322">
        <v>28103.890000000003</v>
      </c>
      <c r="CL51" s="322">
        <v>79088.09</v>
      </c>
      <c r="CM51" s="322">
        <v>22109.919999999998</v>
      </c>
      <c r="CN51" s="322">
        <v>57329.090000000004</v>
      </c>
      <c r="CO51" s="322">
        <v>38711.120000000003</v>
      </c>
      <c r="CP51" s="322">
        <v>96948.72</v>
      </c>
      <c r="CQ51" s="322">
        <v>44979</v>
      </c>
      <c r="CR51" s="334"/>
      <c r="CS51" s="322" t="s">
        <v>34</v>
      </c>
      <c r="CT51" s="322">
        <v>40387.440000000002</v>
      </c>
      <c r="CU51" s="322">
        <v>46228.1</v>
      </c>
      <c r="CV51" s="322">
        <v>41662.080000000002</v>
      </c>
      <c r="CW51" s="322">
        <v>49202.9</v>
      </c>
      <c r="CX51" s="322">
        <v>55061</v>
      </c>
      <c r="CY51" s="322">
        <v>100426.5</v>
      </c>
      <c r="CZ51" s="322">
        <v>153410.54999999999</v>
      </c>
      <c r="DA51" s="322">
        <v>131245.79999999999</v>
      </c>
      <c r="DB51" s="322">
        <v>56612.25</v>
      </c>
      <c r="DC51" s="322">
        <v>54462.979999999996</v>
      </c>
      <c r="DD51" s="322">
        <v>65306.270000000004</v>
      </c>
      <c r="DE51" s="322">
        <v>61208.98</v>
      </c>
      <c r="DF51" s="322">
        <v>80431.23000000001</v>
      </c>
      <c r="DG51" s="322">
        <v>61962.879999999997</v>
      </c>
      <c r="DH51" s="322"/>
      <c r="DI51" s="322">
        <v>60193.289999999994</v>
      </c>
      <c r="DJ51" s="322">
        <v>58717.120000000003</v>
      </c>
      <c r="DK51" s="322">
        <v>59950.340000000004</v>
      </c>
      <c r="DL51" s="322">
        <v>60545.58</v>
      </c>
      <c r="DM51" s="322">
        <v>54861.77</v>
      </c>
      <c r="DN51" s="322">
        <v>56286.76</v>
      </c>
      <c r="DO51" s="322">
        <v>71137</v>
      </c>
      <c r="DP51" s="334"/>
      <c r="DQ51" s="322" t="s">
        <v>34</v>
      </c>
      <c r="DR51" s="322">
        <v>50484.3</v>
      </c>
      <c r="DS51" s="322">
        <v>36982.480000000003</v>
      </c>
      <c r="DT51" s="322">
        <v>52077.599999999999</v>
      </c>
      <c r="DU51" s="322">
        <v>59043.48</v>
      </c>
      <c r="DV51" s="322">
        <v>66073.2</v>
      </c>
      <c r="DW51" s="322">
        <v>70298.55</v>
      </c>
      <c r="DX51" s="322">
        <v>81818.960000000006</v>
      </c>
      <c r="DY51" s="322">
        <v>65622.899999999994</v>
      </c>
      <c r="DZ51" s="322">
        <v>62156.74</v>
      </c>
      <c r="EA51" s="322">
        <v>71171.190000000017</v>
      </c>
      <c r="EB51" s="322">
        <v>71055.75</v>
      </c>
      <c r="EC51" s="322">
        <v>123245.54</v>
      </c>
      <c r="ED51" s="322">
        <v>97449.14</v>
      </c>
      <c r="EE51" s="322">
        <v>80950.8</v>
      </c>
      <c r="EF51" s="322"/>
      <c r="EG51" s="322">
        <v>90037.180000000008</v>
      </c>
      <c r="EH51" s="322">
        <v>98835.44</v>
      </c>
      <c r="EI51" s="322">
        <v>109802</v>
      </c>
      <c r="EJ51" s="322">
        <v>129434.40999999999</v>
      </c>
      <c r="EK51" s="322">
        <v>118871.19</v>
      </c>
      <c r="EL51" s="322">
        <v>120332.06</v>
      </c>
      <c r="EM51" s="322">
        <v>149600</v>
      </c>
      <c r="EN51" s="334"/>
      <c r="EO51" s="322" t="s">
        <v>34</v>
      </c>
      <c r="EP51" s="322">
        <v>20193.72</v>
      </c>
      <c r="EQ51" s="322">
        <v>18491.240000000002</v>
      </c>
      <c r="ER51" s="322">
        <v>20831.04</v>
      </c>
      <c r="ES51" s="322">
        <v>29521.74</v>
      </c>
      <c r="ET51" s="322">
        <v>22024.400000000001</v>
      </c>
      <c r="EU51" s="322">
        <v>30127.95</v>
      </c>
      <c r="EV51" s="322">
        <v>30682.11</v>
      </c>
      <c r="EW51" s="322">
        <v>28124.1</v>
      </c>
      <c r="EX51" s="322">
        <v>27722.690000000002</v>
      </c>
      <c r="EY51" s="322">
        <v>28094.81</v>
      </c>
      <c r="EZ51" s="322">
        <v>27813.25</v>
      </c>
      <c r="FA51" s="322">
        <v>38309.26</v>
      </c>
      <c r="FB51" s="322">
        <v>37352.92</v>
      </c>
      <c r="FC51" s="322">
        <v>37384.01</v>
      </c>
      <c r="FD51" s="322"/>
      <c r="FE51" s="322">
        <v>39729.460000000006</v>
      </c>
      <c r="FF51" s="322">
        <v>39707.51</v>
      </c>
      <c r="FG51" s="322">
        <v>41008.32</v>
      </c>
      <c r="FH51" s="322">
        <v>40304.58</v>
      </c>
      <c r="FI51" s="322">
        <v>41171.368999999999</v>
      </c>
      <c r="FJ51" s="322">
        <v>41025.43</v>
      </c>
      <c r="FK51" s="322">
        <v>42021</v>
      </c>
      <c r="FL51" s="334"/>
      <c r="FM51" s="322" t="s">
        <v>34</v>
      </c>
      <c r="FN51" s="322">
        <v>70678.02</v>
      </c>
      <c r="FO51" s="322">
        <v>55473.72</v>
      </c>
      <c r="FP51" s="322">
        <v>52077.599999999999</v>
      </c>
      <c r="FQ51" s="322">
        <v>59043.48</v>
      </c>
      <c r="FR51" s="322">
        <v>66073.2</v>
      </c>
      <c r="FS51" s="322">
        <v>60255.9</v>
      </c>
      <c r="FT51" s="322">
        <v>61364.22</v>
      </c>
      <c r="FU51" s="322">
        <v>65622.899999999994</v>
      </c>
      <c r="FV51" s="322">
        <v>62794.01</v>
      </c>
      <c r="FW51" s="322">
        <v>62821.59</v>
      </c>
      <c r="FX51" s="322">
        <v>64429.820000000007</v>
      </c>
      <c r="FY51" s="322">
        <v>63414.04</v>
      </c>
      <c r="FZ51" s="322">
        <v>66148.38</v>
      </c>
      <c r="GA51" s="322">
        <v>65850.319999999992</v>
      </c>
      <c r="GB51" s="322"/>
      <c r="GC51" s="322">
        <v>71103.63</v>
      </c>
      <c r="GD51" s="322">
        <v>69506.2</v>
      </c>
      <c r="GE51" s="322">
        <v>72019.710000000006</v>
      </c>
      <c r="GF51" s="340">
        <v>69768.789999999994</v>
      </c>
      <c r="GG51" s="704">
        <v>73392.489999999991</v>
      </c>
      <c r="GH51" s="704">
        <v>73785.7</v>
      </c>
      <c r="GI51" s="704">
        <v>79122</v>
      </c>
      <c r="GJ51" s="334"/>
      <c r="GK51" s="322" t="s">
        <v>34</v>
      </c>
      <c r="GL51" s="322">
        <v>20193.72</v>
      </c>
      <c r="GM51" s="322">
        <v>9245.6200000000008</v>
      </c>
      <c r="GN51" s="322">
        <v>10415.52</v>
      </c>
      <c r="GO51" s="322">
        <v>9840.58</v>
      </c>
      <c r="GP51" s="322">
        <v>11012.2</v>
      </c>
      <c r="GQ51" s="322">
        <v>10042.65</v>
      </c>
      <c r="GR51" s="322">
        <v>10227.370000000001</v>
      </c>
      <c r="GS51" s="322">
        <v>9374.7000000000007</v>
      </c>
      <c r="GT51" s="322">
        <v>15696.529999999999</v>
      </c>
      <c r="GU51" s="322">
        <v>15668.48</v>
      </c>
      <c r="GV51" s="322">
        <v>19941.670000000002</v>
      </c>
      <c r="GW51" s="322">
        <v>17333.79</v>
      </c>
      <c r="GX51" s="322">
        <v>19313.410000000003</v>
      </c>
      <c r="GY51" s="322">
        <v>18299.82</v>
      </c>
      <c r="GZ51" s="322"/>
      <c r="HA51" s="322">
        <v>19391.72</v>
      </c>
      <c r="HB51" s="322">
        <v>26863.119999999999</v>
      </c>
      <c r="HC51" s="322">
        <v>29320.59</v>
      </c>
      <c r="HD51" s="322">
        <v>30916.100000000002</v>
      </c>
      <c r="HE51" s="322">
        <v>29925.989999999998</v>
      </c>
      <c r="HF51" s="322">
        <v>31989.39</v>
      </c>
      <c r="HG51" s="322">
        <v>40522</v>
      </c>
      <c r="HH51" s="334"/>
      <c r="HI51" s="322" t="s">
        <v>34</v>
      </c>
      <c r="HJ51" s="322">
        <v>0</v>
      </c>
      <c r="HK51" s="322">
        <v>9245.6200000000008</v>
      </c>
      <c r="HL51" s="322">
        <v>10415.52</v>
      </c>
      <c r="HM51" s="322">
        <v>0</v>
      </c>
      <c r="HN51" s="322">
        <v>11012.2</v>
      </c>
      <c r="HO51" s="322">
        <v>10042.65</v>
      </c>
      <c r="HP51" s="322">
        <v>0</v>
      </c>
      <c r="HQ51" s="322">
        <v>0</v>
      </c>
      <c r="HR51" s="322">
        <v>1491.9900000000002</v>
      </c>
      <c r="HS51" s="322">
        <v>5582.08</v>
      </c>
      <c r="HT51" s="322">
        <v>3828.19</v>
      </c>
      <c r="HU51" s="322">
        <v>3556.31</v>
      </c>
      <c r="HV51" s="322">
        <v>1346.1899999999998</v>
      </c>
      <c r="HW51" s="322">
        <v>3705.8</v>
      </c>
      <c r="HX51" s="322"/>
      <c r="HY51" s="322">
        <v>12763.329999999998</v>
      </c>
      <c r="HZ51" s="322">
        <v>6732.9000000000005</v>
      </c>
      <c r="IA51" s="322">
        <v>9196.3700000000008</v>
      </c>
      <c r="IB51" s="322">
        <v>9921.32</v>
      </c>
      <c r="IC51" s="322">
        <v>6423.51</v>
      </c>
      <c r="ID51" s="322">
        <v>4149.1000000000004</v>
      </c>
      <c r="IE51" s="322">
        <v>25200</v>
      </c>
      <c r="IF51" s="334"/>
      <c r="IG51" s="322" t="s">
        <v>34</v>
      </c>
      <c r="IH51" s="322">
        <v>20193.72</v>
      </c>
      <c r="II51" s="322">
        <v>18491.240000000002</v>
      </c>
      <c r="IJ51" s="322">
        <v>10415.52</v>
      </c>
      <c r="IK51" s="322">
        <v>19681.16</v>
      </c>
      <c r="IL51" s="322">
        <v>22024.400000000001</v>
      </c>
      <c r="IM51" s="322">
        <v>20085.3</v>
      </c>
      <c r="IN51" s="322">
        <v>10227.370000000001</v>
      </c>
      <c r="IO51" s="322">
        <v>18749.400000000001</v>
      </c>
      <c r="IP51" s="322">
        <v>14743.7</v>
      </c>
      <c r="IQ51" s="322">
        <v>17475.699999999997</v>
      </c>
      <c r="IR51" s="322">
        <v>17739.429999999997</v>
      </c>
      <c r="IS51" s="322">
        <v>17002.71</v>
      </c>
      <c r="IT51" s="322">
        <v>15941.359999999999</v>
      </c>
      <c r="IU51" s="322">
        <v>14741.45</v>
      </c>
      <c r="IV51" s="322"/>
      <c r="IW51" s="322"/>
      <c r="IX51" s="322"/>
      <c r="IY51" s="322"/>
      <c r="IZ51" s="322"/>
      <c r="JA51" s="322"/>
      <c r="JB51" s="322"/>
      <c r="JC51" s="322"/>
      <c r="JD51" s="334"/>
      <c r="JE51" s="322" t="s">
        <v>34</v>
      </c>
      <c r="JF51" s="322">
        <v>10096.86</v>
      </c>
      <c r="JG51" s="322">
        <v>36982.480000000003</v>
      </c>
      <c r="JH51" s="322">
        <v>41662.080000000002</v>
      </c>
      <c r="JI51" s="322">
        <v>9840.58</v>
      </c>
      <c r="JJ51" s="322">
        <v>11012.2</v>
      </c>
      <c r="JK51" s="322">
        <v>30127.95</v>
      </c>
      <c r="JL51" s="322">
        <v>40909.480000000003</v>
      </c>
      <c r="JM51" s="322">
        <v>9374.7000000000007</v>
      </c>
      <c r="JN51" s="322">
        <v>13960.669999999998</v>
      </c>
      <c r="JO51" s="322">
        <v>19090.62</v>
      </c>
      <c r="JP51" s="322">
        <v>19760.79</v>
      </c>
      <c r="JQ51" s="322">
        <v>12542.21</v>
      </c>
      <c r="JR51" s="322">
        <v>11122.5</v>
      </c>
      <c r="JS51" s="322">
        <v>9107.92</v>
      </c>
      <c r="JT51" s="322"/>
      <c r="JU51" s="322">
        <v>3251.04</v>
      </c>
      <c r="JV51" s="322">
        <v>3124.5500000000006</v>
      </c>
      <c r="JW51" s="322">
        <v>3753.78</v>
      </c>
      <c r="JX51" s="322">
        <v>5846.6500000000005</v>
      </c>
      <c r="JY51" s="322">
        <v>6137.01</v>
      </c>
      <c r="JZ51" s="322">
        <v>5710.5199999999995</v>
      </c>
      <c r="KA51" s="322">
        <v>32670</v>
      </c>
      <c r="KB51" s="334"/>
      <c r="KC51" s="322" t="s">
        <v>34</v>
      </c>
      <c r="KD51" s="322">
        <v>10096.86</v>
      </c>
      <c r="KE51" s="322">
        <v>9245.6200000000008</v>
      </c>
      <c r="KF51" s="322">
        <v>10415.52</v>
      </c>
      <c r="KG51" s="322">
        <v>19681.16</v>
      </c>
      <c r="KH51" s="322">
        <v>11012.2</v>
      </c>
      <c r="KI51" s="322">
        <v>40170.6</v>
      </c>
      <c r="KJ51" s="322">
        <v>40909.480000000003</v>
      </c>
      <c r="KK51" s="322">
        <v>37498.800000000003</v>
      </c>
      <c r="KL51" s="322">
        <v>36493.939999999995</v>
      </c>
      <c r="KM51" s="322">
        <v>45749.579999999994</v>
      </c>
      <c r="KN51" s="322">
        <v>50160.079999999994</v>
      </c>
      <c r="KO51" s="322">
        <v>56312.82</v>
      </c>
      <c r="KP51" s="322">
        <v>55336.119999999988</v>
      </c>
      <c r="KQ51" s="322">
        <v>57677.700000000004</v>
      </c>
      <c r="KR51" s="322"/>
      <c r="KS51" s="322">
        <v>56750.45</v>
      </c>
      <c r="KT51" s="322">
        <v>63427.91</v>
      </c>
      <c r="KU51" s="322">
        <v>63436.31</v>
      </c>
      <c r="KV51" s="322">
        <v>63019.14</v>
      </c>
      <c r="KW51" s="322">
        <v>65557.08</v>
      </c>
      <c r="KX51" s="322">
        <v>68267.89</v>
      </c>
      <c r="KY51" s="322">
        <v>73166</v>
      </c>
      <c r="KZ51" s="334"/>
      <c r="LA51" s="322" t="s">
        <v>34</v>
      </c>
      <c r="LB51" s="322">
        <v>242324.64</v>
      </c>
      <c r="LC51" s="322">
        <v>147929.92000000001</v>
      </c>
      <c r="LD51" s="322">
        <v>208310.39999999999</v>
      </c>
      <c r="LE51" s="322">
        <v>206652.18</v>
      </c>
      <c r="LF51" s="322">
        <v>209231.8</v>
      </c>
      <c r="LG51" s="322">
        <v>60255.9</v>
      </c>
      <c r="LH51" s="322">
        <v>51136.85</v>
      </c>
      <c r="LI51" s="322">
        <v>93747</v>
      </c>
      <c r="LJ51" s="322">
        <v>187214.56</v>
      </c>
      <c r="LK51" s="322">
        <v>165606.84999999998</v>
      </c>
      <c r="LL51" s="322">
        <v>339713.07</v>
      </c>
      <c r="LM51" s="322">
        <v>140417.26999999999</v>
      </c>
      <c r="LN51" s="322">
        <v>123765.63</v>
      </c>
      <c r="LO51" s="322">
        <v>114875.78</v>
      </c>
      <c r="LP51" s="322"/>
      <c r="LQ51" s="322">
        <v>69854.210000000006</v>
      </c>
      <c r="LR51" s="322">
        <v>78909.900000000009</v>
      </c>
      <c r="LS51" s="322">
        <v>123803.86</v>
      </c>
      <c r="LT51" s="322">
        <v>161844.97</v>
      </c>
      <c r="LU51" s="322">
        <v>110073.84</v>
      </c>
      <c r="LV51" s="322">
        <v>158196.22999999998</v>
      </c>
      <c r="LW51" s="322">
        <v>372225.18</v>
      </c>
      <c r="LX51" s="334"/>
      <c r="LY51" s="322" t="s">
        <v>34</v>
      </c>
      <c r="LZ51" s="322">
        <v>0</v>
      </c>
      <c r="MA51" s="322">
        <v>0</v>
      </c>
      <c r="MB51" s="322">
        <v>0</v>
      </c>
      <c r="MC51" s="322">
        <v>0</v>
      </c>
      <c r="MD51" s="322">
        <v>0</v>
      </c>
      <c r="ME51" s="322">
        <v>0</v>
      </c>
      <c r="MF51" s="322">
        <v>0</v>
      </c>
      <c r="MG51" s="322">
        <v>0</v>
      </c>
      <c r="MH51" s="322">
        <v>0</v>
      </c>
      <c r="MI51" s="322">
        <v>0</v>
      </c>
      <c r="MJ51" s="322">
        <v>0</v>
      </c>
      <c r="MK51" s="322">
        <v>0</v>
      </c>
      <c r="ML51" s="322">
        <v>0</v>
      </c>
      <c r="MM51" s="322">
        <v>0</v>
      </c>
      <c r="MN51" s="322"/>
      <c r="MO51" s="322">
        <v>0</v>
      </c>
      <c r="MP51" s="322">
        <v>0</v>
      </c>
      <c r="MQ51" s="322">
        <v>0</v>
      </c>
      <c r="MR51" s="322">
        <v>0</v>
      </c>
      <c r="MS51" s="322">
        <v>5992.19</v>
      </c>
      <c r="MT51" s="322">
        <v>0</v>
      </c>
      <c r="MU51" s="322">
        <v>5000</v>
      </c>
      <c r="MV51" s="334"/>
      <c r="MW51" s="322" t="s">
        <v>34</v>
      </c>
      <c r="MX51" s="322">
        <v>0</v>
      </c>
      <c r="MY51" s="322">
        <v>0</v>
      </c>
      <c r="MZ51" s="322">
        <v>0</v>
      </c>
      <c r="NA51" s="322">
        <v>0</v>
      </c>
      <c r="NB51" s="322">
        <v>0</v>
      </c>
      <c r="NC51" s="322">
        <v>0</v>
      </c>
      <c r="ND51" s="322">
        <v>0</v>
      </c>
      <c r="NE51" s="322">
        <v>0</v>
      </c>
      <c r="NF51" s="322">
        <v>0</v>
      </c>
      <c r="NG51" s="322">
        <v>0</v>
      </c>
      <c r="NH51" s="322">
        <v>0</v>
      </c>
      <c r="NI51" s="322">
        <v>0</v>
      </c>
      <c r="NJ51" s="322">
        <v>0</v>
      </c>
      <c r="NK51" s="322">
        <v>0</v>
      </c>
      <c r="NL51" s="322"/>
      <c r="NM51" s="322">
        <v>0</v>
      </c>
      <c r="NN51" s="322">
        <v>0</v>
      </c>
      <c r="NO51" s="322">
        <v>0</v>
      </c>
      <c r="NP51" s="322">
        <v>0</v>
      </c>
      <c r="NQ51" s="322">
        <v>0</v>
      </c>
      <c r="NR51" s="322">
        <v>0</v>
      </c>
      <c r="NS51" s="322">
        <v>0</v>
      </c>
      <c r="NT51" s="334"/>
      <c r="NU51" s="322" t="s">
        <v>34</v>
      </c>
      <c r="NV51" s="322">
        <v>60581.16</v>
      </c>
      <c r="NW51" s="322">
        <v>73964.960000000006</v>
      </c>
      <c r="NX51" s="322">
        <v>62493.120000000003</v>
      </c>
      <c r="NY51" s="322">
        <v>78724.639999999999</v>
      </c>
      <c r="NZ51" s="322">
        <v>77085.399999999994</v>
      </c>
      <c r="OA51" s="322">
        <v>80341.2</v>
      </c>
      <c r="OB51" s="322">
        <v>71591.59</v>
      </c>
      <c r="OC51" s="322">
        <v>74997.600000000006</v>
      </c>
      <c r="OD51" s="322">
        <v>70404.240000000005</v>
      </c>
      <c r="OE51" s="322">
        <v>71182.849999999991</v>
      </c>
      <c r="OF51" s="322">
        <v>75141.31</v>
      </c>
      <c r="OG51" s="322">
        <v>76348.67</v>
      </c>
      <c r="OH51" s="322">
        <v>74987.600000000006</v>
      </c>
      <c r="OI51" s="322">
        <v>74475.099999999991</v>
      </c>
      <c r="OJ51" s="322"/>
      <c r="OK51" s="322">
        <v>76083.810000000012</v>
      </c>
      <c r="OL51" s="322">
        <v>77475.19</v>
      </c>
      <c r="OM51" s="322">
        <v>78054.11</v>
      </c>
      <c r="ON51" s="322">
        <v>77989.440000000002</v>
      </c>
      <c r="OO51" s="322">
        <v>78432.12</v>
      </c>
      <c r="OP51" s="322">
        <v>91911.12000000001</v>
      </c>
      <c r="OQ51" s="322">
        <v>99646</v>
      </c>
      <c r="OR51" s="334"/>
      <c r="OS51" s="322" t="s">
        <v>34</v>
      </c>
      <c r="OT51" s="322">
        <v>80774.880000000005</v>
      </c>
      <c r="OU51" s="322">
        <v>110947.44</v>
      </c>
      <c r="OV51" s="322">
        <v>93739.68</v>
      </c>
      <c r="OW51" s="322">
        <v>78724.639999999999</v>
      </c>
      <c r="OX51" s="322">
        <v>66073.2</v>
      </c>
      <c r="OY51" s="322">
        <v>50213.25</v>
      </c>
      <c r="OZ51" s="322">
        <v>61364.22</v>
      </c>
      <c r="PA51" s="322">
        <v>65622.899999999994</v>
      </c>
      <c r="PB51" s="322">
        <v>49872.36</v>
      </c>
      <c r="PC51" s="322">
        <v>47617.02</v>
      </c>
      <c r="PD51" s="322">
        <v>65549.710000000006</v>
      </c>
      <c r="PE51" s="322">
        <v>50646.22</v>
      </c>
      <c r="PF51" s="322">
        <v>46557.02</v>
      </c>
      <c r="PG51" s="322">
        <v>62147.46</v>
      </c>
      <c r="PH51" s="322"/>
      <c r="PI51" s="322">
        <v>55637.63</v>
      </c>
      <c r="PJ51" s="322">
        <v>67483.490000000005</v>
      </c>
      <c r="PK51" s="322">
        <v>64250.6</v>
      </c>
      <c r="PL51" s="322">
        <v>64462.64</v>
      </c>
      <c r="PM51" s="322">
        <v>50855.41</v>
      </c>
      <c r="PN51" s="322">
        <v>61567.83</v>
      </c>
      <c r="PO51" s="322">
        <v>67638.77</v>
      </c>
      <c r="PP51" s="334"/>
      <c r="PQ51" s="322" t="s">
        <v>34</v>
      </c>
      <c r="PR51" s="322">
        <v>10096.86</v>
      </c>
      <c r="PS51" s="322">
        <v>9245.6200000000008</v>
      </c>
      <c r="PT51" s="322">
        <v>10415.52</v>
      </c>
      <c r="PU51" s="322">
        <v>9840.58</v>
      </c>
      <c r="PV51" s="322">
        <v>11012.2</v>
      </c>
      <c r="PW51" s="322">
        <v>10042.65</v>
      </c>
      <c r="PX51" s="322">
        <v>10227.370000000001</v>
      </c>
      <c r="PY51" s="322">
        <v>9374.7000000000007</v>
      </c>
      <c r="PZ51" s="322">
        <v>10983</v>
      </c>
      <c r="QA51" s="322">
        <v>11465.230000000001</v>
      </c>
      <c r="QB51" s="322">
        <v>10547.359999999999</v>
      </c>
      <c r="QC51" s="322">
        <v>13247.359999999999</v>
      </c>
      <c r="QD51" s="322">
        <v>11847.359999999999</v>
      </c>
      <c r="QE51" s="322">
        <v>12858.880000000001</v>
      </c>
      <c r="QF51" s="322"/>
      <c r="QG51" s="322">
        <v>13212.32</v>
      </c>
      <c r="QH51" s="322">
        <v>12964.92</v>
      </c>
      <c r="QI51" s="322">
        <v>13729.68</v>
      </c>
      <c r="QJ51" s="322">
        <v>14705.230000000001</v>
      </c>
      <c r="QK51" s="322">
        <v>17413.64</v>
      </c>
      <c r="QL51" s="322">
        <v>14528.63</v>
      </c>
      <c r="QM51" s="322">
        <v>22200</v>
      </c>
      <c r="QN51" s="334"/>
      <c r="QO51" s="322" t="s">
        <v>34</v>
      </c>
      <c r="QP51" s="322">
        <v>100968.6</v>
      </c>
      <c r="QQ51" s="322">
        <v>101701.82</v>
      </c>
      <c r="QR51" s="322">
        <v>156232.79999999999</v>
      </c>
      <c r="QS51" s="322">
        <v>157449.28</v>
      </c>
      <c r="QT51" s="322">
        <v>165183</v>
      </c>
      <c r="QU51" s="322">
        <v>180767.7</v>
      </c>
      <c r="QV51" s="322">
        <v>173865.29</v>
      </c>
      <c r="QW51" s="322">
        <v>187494</v>
      </c>
      <c r="QX51" s="322">
        <v>178872.13999999998</v>
      </c>
      <c r="QY51" s="322">
        <v>177377.95999999996</v>
      </c>
      <c r="QZ51" s="322">
        <v>179550.41999999998</v>
      </c>
      <c r="RA51" s="322">
        <v>178287.75000000003</v>
      </c>
      <c r="RB51" s="322">
        <v>181461.81000000003</v>
      </c>
      <c r="RC51" s="322">
        <v>182301.55000000002</v>
      </c>
      <c r="RD51" s="322"/>
      <c r="RE51" s="322">
        <v>182210.70999999996</v>
      </c>
      <c r="RF51" s="322">
        <v>181840.26999999996</v>
      </c>
      <c r="RG51" s="322">
        <v>197901.58000000005</v>
      </c>
      <c r="RH51" s="322">
        <v>186852.37</v>
      </c>
      <c r="RI51" s="322">
        <v>193418.43999999997</v>
      </c>
      <c r="RJ51" s="322">
        <v>205916.16999999995</v>
      </c>
      <c r="RK51" s="322">
        <v>245242.94</v>
      </c>
      <c r="RL51" s="349" t="s">
        <v>94</v>
      </c>
      <c r="RM51" s="322" t="s">
        <v>34</v>
      </c>
      <c r="RN51" s="322">
        <v>141356.04</v>
      </c>
      <c r="RO51" s="322">
        <v>129438.68</v>
      </c>
      <c r="RP51" s="322">
        <v>135401.76</v>
      </c>
      <c r="RQ51" s="322">
        <v>49202.9</v>
      </c>
      <c r="RR51" s="322">
        <v>132146.4</v>
      </c>
      <c r="RS51" s="322">
        <v>120511.8</v>
      </c>
      <c r="RT51" s="322">
        <v>71591.59</v>
      </c>
      <c r="RU51" s="322">
        <v>0</v>
      </c>
      <c r="RV51" s="322">
        <v>0</v>
      </c>
      <c r="RW51" s="322">
        <v>0</v>
      </c>
      <c r="RX51" s="322">
        <v>0</v>
      </c>
      <c r="RY51" s="322">
        <v>133107</v>
      </c>
      <c r="RZ51" s="322">
        <v>135403</v>
      </c>
      <c r="SA51" s="322">
        <v>79675</v>
      </c>
      <c r="SB51" s="322"/>
      <c r="SC51" s="322">
        <v>87008.7</v>
      </c>
      <c r="SD51" s="322">
        <v>111300</v>
      </c>
      <c r="SE51" s="322">
        <v>111600</v>
      </c>
      <c r="SF51" s="322">
        <v>178130.26</v>
      </c>
      <c r="SG51" s="322">
        <v>222930.06</v>
      </c>
      <c r="SH51" s="322">
        <v>290591.76</v>
      </c>
      <c r="SI51" s="322">
        <v>308093</v>
      </c>
    </row>
    <row r="52" spans="1:503">
      <c r="A52" s="319" t="s">
        <v>35</v>
      </c>
      <c r="B52" s="319">
        <v>2264570</v>
      </c>
      <c r="C52" s="319">
        <v>2258593</v>
      </c>
      <c r="D52" s="319">
        <v>2511365</v>
      </c>
      <c r="E52" s="319">
        <v>2666634</v>
      </c>
      <c r="F52" s="319">
        <v>2698525</v>
      </c>
      <c r="G52" s="319">
        <v>2664917</v>
      </c>
      <c r="H52" s="319">
        <v>2849641</v>
      </c>
      <c r="I52" s="319">
        <v>2902007</v>
      </c>
      <c r="J52" s="319">
        <v>3040121.4899999998</v>
      </c>
      <c r="K52" s="319">
        <v>3212210.2800000003</v>
      </c>
      <c r="L52" s="319">
        <v>3493963.5</v>
      </c>
      <c r="M52" s="319">
        <v>3532123.9799999995</v>
      </c>
      <c r="N52" s="319">
        <v>3797969.41</v>
      </c>
      <c r="O52" s="319">
        <v>3440356.67</v>
      </c>
      <c r="P52" s="319">
        <v>3581008.12</v>
      </c>
      <c r="Q52" s="319">
        <v>3554230.29</v>
      </c>
      <c r="R52" s="319">
        <v>3743217.17</v>
      </c>
      <c r="S52" s="322">
        <v>3498974.5300000003</v>
      </c>
      <c r="T52" s="319">
        <v>3759978.52</v>
      </c>
      <c r="U52" s="319">
        <v>3843285.11</v>
      </c>
      <c r="V52" s="319">
        <v>3841399.5599999996</v>
      </c>
      <c r="W52" s="319">
        <v>4155319.7</v>
      </c>
      <c r="X52" s="330"/>
      <c r="Y52" s="319" t="s">
        <v>35</v>
      </c>
      <c r="Z52" s="319">
        <v>67937.100000000006</v>
      </c>
      <c r="AA52" s="319">
        <v>67757.789999999994</v>
      </c>
      <c r="AB52" s="319">
        <v>75340.95</v>
      </c>
      <c r="AC52" s="319">
        <v>79999.02</v>
      </c>
      <c r="AD52" s="319">
        <v>80955.75</v>
      </c>
      <c r="AE52" s="319">
        <v>106596.68</v>
      </c>
      <c r="AF52" s="319">
        <v>79947.509999999995</v>
      </c>
      <c r="AG52" s="319">
        <v>87060.21</v>
      </c>
      <c r="AH52" s="319">
        <v>100519.4</v>
      </c>
      <c r="AI52" s="319">
        <v>101698.62</v>
      </c>
      <c r="AJ52" s="319">
        <v>102503.38</v>
      </c>
      <c r="AK52" s="319">
        <v>102620.95</v>
      </c>
      <c r="AL52" s="319">
        <v>107623.70999999999</v>
      </c>
      <c r="AM52" s="319">
        <v>109344.70999999999</v>
      </c>
      <c r="AN52" s="319">
        <v>108295.26</v>
      </c>
      <c r="AO52" s="319">
        <v>105988.78</v>
      </c>
      <c r="AP52" s="319">
        <v>113294.64</v>
      </c>
      <c r="AQ52" s="322">
        <v>113980.45</v>
      </c>
      <c r="AR52" s="319">
        <v>119124.96</v>
      </c>
      <c r="AS52" s="319">
        <v>117184.76999999999</v>
      </c>
      <c r="AT52" s="319">
        <v>114124.74</v>
      </c>
      <c r="AU52" s="319">
        <v>116727.73</v>
      </c>
      <c r="AV52" s="334"/>
      <c r="AW52" s="319" t="s">
        <v>35</v>
      </c>
      <c r="AX52" s="319">
        <v>67937.099999999991</v>
      </c>
      <c r="AY52" s="319">
        <v>67757.789999999994</v>
      </c>
      <c r="AZ52" s="319">
        <v>75340.95</v>
      </c>
      <c r="BA52" s="319">
        <v>79999.02</v>
      </c>
      <c r="BB52" s="319">
        <v>80955.75</v>
      </c>
      <c r="BC52" s="319">
        <v>106596.68000000001</v>
      </c>
      <c r="BD52" s="319">
        <v>85489.23</v>
      </c>
      <c r="BE52" s="319">
        <v>116080.28</v>
      </c>
      <c r="BF52" s="319">
        <v>100414.97</v>
      </c>
      <c r="BG52" s="319">
        <v>110457.45</v>
      </c>
      <c r="BH52" s="319">
        <v>106511.84</v>
      </c>
      <c r="BI52" s="319">
        <v>110474.49</v>
      </c>
      <c r="BJ52" s="319">
        <v>132917.61000000002</v>
      </c>
      <c r="BK52" s="319">
        <v>133104.64000000001</v>
      </c>
      <c r="BL52" s="319">
        <v>143758.17000000001</v>
      </c>
      <c r="BM52" s="319">
        <v>136124.79999999999</v>
      </c>
      <c r="BN52" s="319">
        <v>144708.62</v>
      </c>
      <c r="BO52" s="322">
        <v>154990.70000000001</v>
      </c>
      <c r="BP52" s="319">
        <v>148915.16999999998</v>
      </c>
      <c r="BQ52" s="319">
        <v>151771.97</v>
      </c>
      <c r="BR52" s="319">
        <v>149667.71999999997</v>
      </c>
      <c r="BS52" s="319">
        <v>169685.82</v>
      </c>
      <c r="BT52" s="334"/>
      <c r="BU52" s="322" t="s">
        <v>35</v>
      </c>
      <c r="BV52" s="322">
        <v>90582.8</v>
      </c>
      <c r="BW52" s="322">
        <v>45171.86</v>
      </c>
      <c r="BX52" s="322">
        <v>75340.95</v>
      </c>
      <c r="BY52" s="322">
        <v>53332.68</v>
      </c>
      <c r="BZ52" s="322">
        <v>107941</v>
      </c>
      <c r="CA52" s="322">
        <v>53298.34</v>
      </c>
      <c r="CB52" s="322">
        <v>85489.23</v>
      </c>
      <c r="CC52" s="322">
        <v>58040.14</v>
      </c>
      <c r="CD52" s="322">
        <v>120062.16</v>
      </c>
      <c r="CE52" s="322">
        <v>56751.380000000005</v>
      </c>
      <c r="CF52" s="322">
        <v>136530.87</v>
      </c>
      <c r="CG52" s="322">
        <v>64422.79</v>
      </c>
      <c r="CH52" s="322">
        <v>160418.37</v>
      </c>
      <c r="CI52" s="322">
        <v>56002.73</v>
      </c>
      <c r="CJ52" s="322">
        <v>126539.62</v>
      </c>
      <c r="CK52" s="322">
        <v>71556.31</v>
      </c>
      <c r="CL52" s="322">
        <v>175885.14</v>
      </c>
      <c r="CM52" s="322">
        <v>53774.33</v>
      </c>
      <c r="CN52" s="322">
        <v>158457.79</v>
      </c>
      <c r="CO52" s="322">
        <v>82327.19</v>
      </c>
      <c r="CP52" s="322">
        <v>194951.77999999997</v>
      </c>
      <c r="CQ52" s="322">
        <v>107000</v>
      </c>
      <c r="CR52" s="334"/>
      <c r="CS52" s="322" t="s">
        <v>35</v>
      </c>
      <c r="CT52" s="322">
        <v>67937.100000000006</v>
      </c>
      <c r="CU52" s="322">
        <v>67757.789999999994</v>
      </c>
      <c r="CV52" s="322">
        <v>50227.3</v>
      </c>
      <c r="CW52" s="322">
        <v>53332.68</v>
      </c>
      <c r="CX52" s="322">
        <v>80955.75</v>
      </c>
      <c r="CY52" s="322">
        <v>106596.68</v>
      </c>
      <c r="CZ52" s="322">
        <v>85489.23</v>
      </c>
      <c r="DA52" s="322">
        <v>87060.21</v>
      </c>
      <c r="DB52" s="322">
        <v>71139.429999999993</v>
      </c>
      <c r="DC52" s="322">
        <v>89956.900000000009</v>
      </c>
      <c r="DD52" s="322">
        <v>81403.41</v>
      </c>
      <c r="DE52" s="322">
        <v>84292.08</v>
      </c>
      <c r="DF52" s="322">
        <v>86014.310000000012</v>
      </c>
      <c r="DG52" s="322">
        <v>79919.5</v>
      </c>
      <c r="DH52" s="322">
        <v>95125.49</v>
      </c>
      <c r="DI52" s="322">
        <v>113443.59999999999</v>
      </c>
      <c r="DJ52" s="322">
        <v>89301.99</v>
      </c>
      <c r="DK52" s="322">
        <v>80957.460000000006</v>
      </c>
      <c r="DL52" s="322">
        <v>119532.12000000001</v>
      </c>
      <c r="DM52" s="322">
        <v>203083.51999999999</v>
      </c>
      <c r="DN52" s="322">
        <v>84793.11</v>
      </c>
      <c r="DO52" s="322">
        <v>110000</v>
      </c>
      <c r="DP52" s="334"/>
      <c r="DQ52" s="322" t="s">
        <v>35</v>
      </c>
      <c r="DR52" s="322">
        <v>226457</v>
      </c>
      <c r="DS52" s="322">
        <v>271031.15999999997</v>
      </c>
      <c r="DT52" s="322">
        <v>276250.15000000002</v>
      </c>
      <c r="DU52" s="322">
        <v>293329.74</v>
      </c>
      <c r="DV52" s="322">
        <v>350808.25</v>
      </c>
      <c r="DW52" s="322">
        <v>239842.53</v>
      </c>
      <c r="DX52" s="322">
        <v>227971.28</v>
      </c>
      <c r="DY52" s="322">
        <v>261180.63</v>
      </c>
      <c r="DZ52" s="322">
        <v>288209.71999999997</v>
      </c>
      <c r="EA52" s="322">
        <v>314273.28000000003</v>
      </c>
      <c r="EB52" s="322">
        <v>337592.61000000004</v>
      </c>
      <c r="EC52" s="322">
        <v>339695.48</v>
      </c>
      <c r="ED52" s="322">
        <v>377120.42000000004</v>
      </c>
      <c r="EE52" s="322">
        <v>372352.54000000004</v>
      </c>
      <c r="EF52" s="322">
        <v>365137.97000000003</v>
      </c>
      <c r="EG52" s="322">
        <v>381343.75999999995</v>
      </c>
      <c r="EH52" s="322">
        <v>408007.63</v>
      </c>
      <c r="EI52" s="322">
        <v>414499.61000000004</v>
      </c>
      <c r="EJ52" s="322">
        <v>403949.61</v>
      </c>
      <c r="EK52" s="322">
        <v>422974.35</v>
      </c>
      <c r="EL52" s="322">
        <v>417064.86999999994</v>
      </c>
      <c r="EM52" s="322">
        <v>456160</v>
      </c>
      <c r="EN52" s="334"/>
      <c r="EO52" s="322" t="s">
        <v>35</v>
      </c>
      <c r="EP52" s="322">
        <v>22645.7</v>
      </c>
      <c r="EQ52" s="322">
        <v>45171.86</v>
      </c>
      <c r="ER52" s="322">
        <v>25113.65</v>
      </c>
      <c r="ES52" s="322">
        <v>53332.68</v>
      </c>
      <c r="ET52" s="322">
        <v>53970.5</v>
      </c>
      <c r="EU52" s="322">
        <v>53298.34</v>
      </c>
      <c r="EV52" s="322">
        <v>56992.82</v>
      </c>
      <c r="EW52" s="322">
        <v>58040.14</v>
      </c>
      <c r="EX52" s="322">
        <v>61263.57</v>
      </c>
      <c r="EY52" s="322">
        <v>63838.85</v>
      </c>
      <c r="EZ52" s="322">
        <v>63443.28</v>
      </c>
      <c r="FA52" s="322">
        <v>54841.32</v>
      </c>
      <c r="FB52" s="322">
        <v>51673.930000000008</v>
      </c>
      <c r="FC52" s="322">
        <v>52949.94</v>
      </c>
      <c r="FD52" s="322">
        <v>55271.110000000008</v>
      </c>
      <c r="FE52" s="322">
        <v>55349.72</v>
      </c>
      <c r="FF52" s="322">
        <v>56351.360000000001</v>
      </c>
      <c r="FG52" s="322">
        <v>58146.010000000009</v>
      </c>
      <c r="FH52" s="322">
        <v>59737.84</v>
      </c>
      <c r="FI52" s="322">
        <v>62812.320000000007</v>
      </c>
      <c r="FJ52" s="322">
        <v>60227.900000000009</v>
      </c>
      <c r="FK52" s="322">
        <v>70085.820000000007</v>
      </c>
      <c r="FL52" s="334"/>
      <c r="FM52" s="322" t="s">
        <v>35</v>
      </c>
      <c r="FN52" s="322">
        <v>90582.8</v>
      </c>
      <c r="FO52" s="322">
        <v>112929.65</v>
      </c>
      <c r="FP52" s="322">
        <v>100454.6</v>
      </c>
      <c r="FQ52" s="322">
        <v>106665.36</v>
      </c>
      <c r="FR52" s="322">
        <v>107941</v>
      </c>
      <c r="FS52" s="322">
        <v>133245.85</v>
      </c>
      <c r="FT52" s="322">
        <v>142482.04999999999</v>
      </c>
      <c r="FU52" s="322">
        <v>145100.35</v>
      </c>
      <c r="FV52" s="322">
        <v>141576.21000000002</v>
      </c>
      <c r="FW52" s="322">
        <v>152553.01999999999</v>
      </c>
      <c r="FX52" s="322">
        <v>153976.29999999999</v>
      </c>
      <c r="FY52" s="322">
        <v>158593.13</v>
      </c>
      <c r="FZ52" s="322">
        <v>179039.27</v>
      </c>
      <c r="GA52" s="322">
        <v>186702.95</v>
      </c>
      <c r="GB52" s="322">
        <v>181377.65000000002</v>
      </c>
      <c r="GC52" s="322">
        <v>194751.18</v>
      </c>
      <c r="GD52" s="322">
        <v>187972.43000000002</v>
      </c>
      <c r="GE52" s="322">
        <v>197999.64000000004</v>
      </c>
      <c r="GF52" s="340">
        <v>188985.34</v>
      </c>
      <c r="GG52" s="704">
        <v>198691.80999999997</v>
      </c>
      <c r="GH52" s="704">
        <v>192660.15000000002</v>
      </c>
      <c r="GI52" s="704">
        <v>216606.78</v>
      </c>
      <c r="GJ52" s="334"/>
      <c r="GK52" s="322" t="s">
        <v>35</v>
      </c>
      <c r="GL52" s="322">
        <v>45291.4</v>
      </c>
      <c r="GM52" s="322">
        <v>45171.86</v>
      </c>
      <c r="GN52" s="322">
        <v>50227.3</v>
      </c>
      <c r="GO52" s="322">
        <v>79999.02</v>
      </c>
      <c r="GP52" s="322">
        <v>80955.75</v>
      </c>
      <c r="GQ52" s="322">
        <v>79947.509999999995</v>
      </c>
      <c r="GR52" s="322">
        <v>85489.23</v>
      </c>
      <c r="GS52" s="322">
        <v>58040.14</v>
      </c>
      <c r="GT52" s="322">
        <v>53621</v>
      </c>
      <c r="GU52" s="322">
        <v>76892.03</v>
      </c>
      <c r="GV52" s="322">
        <v>61778.34</v>
      </c>
      <c r="GW52" s="322">
        <v>65316.97</v>
      </c>
      <c r="GX52" s="322">
        <v>67844.149999999994</v>
      </c>
      <c r="GY52" s="322">
        <v>67150.5</v>
      </c>
      <c r="GZ52" s="322">
        <v>62844.069999999992</v>
      </c>
      <c r="HA52" s="322">
        <v>81899.130000000019</v>
      </c>
      <c r="HB52" s="322">
        <v>86977.279999999999</v>
      </c>
      <c r="HC52" s="322">
        <v>83866.95</v>
      </c>
      <c r="HD52" s="322">
        <v>86389.63</v>
      </c>
      <c r="HE52" s="322">
        <v>89438.14</v>
      </c>
      <c r="HF52" s="322">
        <v>90686.46</v>
      </c>
      <c r="HG52" s="322">
        <v>93705.82</v>
      </c>
      <c r="HH52" s="334"/>
      <c r="HI52" s="322" t="s">
        <v>35</v>
      </c>
      <c r="HJ52" s="322">
        <v>45291.4</v>
      </c>
      <c r="HK52" s="322">
        <v>22585.93</v>
      </c>
      <c r="HL52" s="322">
        <v>25113.65</v>
      </c>
      <c r="HM52" s="322">
        <v>26666.34</v>
      </c>
      <c r="HN52" s="322">
        <v>26985.25</v>
      </c>
      <c r="HO52" s="322">
        <v>26649.17</v>
      </c>
      <c r="HP52" s="322">
        <v>28496.41</v>
      </c>
      <c r="HQ52" s="322">
        <v>29020.07</v>
      </c>
      <c r="HR52" s="322">
        <v>15721.239999999998</v>
      </c>
      <c r="HS52" s="322">
        <v>14314.69</v>
      </c>
      <c r="HT52" s="322">
        <v>15839.640000000001</v>
      </c>
      <c r="HU52" s="322">
        <v>16883.899999999998</v>
      </c>
      <c r="HV52" s="322">
        <v>20479.240000000002</v>
      </c>
      <c r="HW52" s="322">
        <v>20616.02</v>
      </c>
      <c r="HX52" s="322">
        <v>35946.340000000004</v>
      </c>
      <c r="HY52" s="322">
        <v>39806.270000000004</v>
      </c>
      <c r="HZ52" s="322">
        <v>35264.699999999997</v>
      </c>
      <c r="IA52" s="322">
        <v>34427.870000000003</v>
      </c>
      <c r="IB52" s="322">
        <v>41711.869999999995</v>
      </c>
      <c r="IC52" s="322">
        <v>34472.83</v>
      </c>
      <c r="ID52" s="322">
        <v>21766.02</v>
      </c>
      <c r="IE52" s="322">
        <v>62800</v>
      </c>
      <c r="IF52" s="334"/>
      <c r="IG52" s="322" t="s">
        <v>35</v>
      </c>
      <c r="IH52" s="322">
        <v>22645.7</v>
      </c>
      <c r="II52" s="322">
        <v>22585.93</v>
      </c>
      <c r="IJ52" s="322">
        <v>25113.65</v>
      </c>
      <c r="IK52" s="322">
        <v>26666.34</v>
      </c>
      <c r="IL52" s="322">
        <v>26985.25</v>
      </c>
      <c r="IM52" s="322">
        <v>26649.17</v>
      </c>
      <c r="IN52" s="322">
        <v>0</v>
      </c>
      <c r="IO52" s="322">
        <v>29020.07</v>
      </c>
      <c r="IP52" s="322">
        <v>17872.93</v>
      </c>
      <c r="IQ52" s="322">
        <v>17434.14</v>
      </c>
      <c r="IR52" s="322">
        <v>12403.51</v>
      </c>
      <c r="IS52" s="322">
        <v>11585.18</v>
      </c>
      <c r="IT52" s="322">
        <v>15001.269999999999</v>
      </c>
      <c r="IU52" s="322">
        <v>14443.990000000002</v>
      </c>
      <c r="IV52" s="322"/>
      <c r="IW52" s="322"/>
      <c r="IX52" s="322"/>
      <c r="IY52" s="322"/>
      <c r="IZ52" s="322"/>
      <c r="JA52" s="322"/>
      <c r="JB52" s="322"/>
      <c r="JC52" s="322"/>
      <c r="JD52" s="334"/>
      <c r="JE52" s="322" t="s">
        <v>35</v>
      </c>
      <c r="JF52" s="322">
        <v>22645.7</v>
      </c>
      <c r="JG52" s="322">
        <v>22585.93</v>
      </c>
      <c r="JH52" s="322">
        <v>0</v>
      </c>
      <c r="JI52" s="322">
        <v>0</v>
      </c>
      <c r="JJ52" s="322">
        <v>0</v>
      </c>
      <c r="JK52" s="322">
        <v>0</v>
      </c>
      <c r="JL52" s="322">
        <v>0</v>
      </c>
      <c r="JM52" s="322">
        <v>0</v>
      </c>
      <c r="JN52" s="322">
        <v>3790.91</v>
      </c>
      <c r="JO52" s="322">
        <v>5493.8</v>
      </c>
      <c r="JP52" s="322">
        <v>5242.99</v>
      </c>
      <c r="JQ52" s="322">
        <v>4143.8</v>
      </c>
      <c r="JR52" s="322">
        <v>4458.1400000000003</v>
      </c>
      <c r="JS52" s="322">
        <v>5029.21</v>
      </c>
      <c r="JT52" s="322">
        <v>5574.1200000000008</v>
      </c>
      <c r="JU52" s="322">
        <v>5903.21</v>
      </c>
      <c r="JV52" s="322">
        <v>5285.2799999999988</v>
      </c>
      <c r="JW52" s="322">
        <v>5072.3</v>
      </c>
      <c r="JX52" s="322">
        <v>5671.8099999999995</v>
      </c>
      <c r="JY52" s="322">
        <v>3570.8599999999997</v>
      </c>
      <c r="JZ52" s="322">
        <v>10474.84</v>
      </c>
      <c r="KA52" s="322">
        <v>21000</v>
      </c>
      <c r="KB52" s="334"/>
      <c r="KC52" s="322" t="s">
        <v>35</v>
      </c>
      <c r="KD52" s="322">
        <v>22645.7</v>
      </c>
      <c r="KE52" s="322">
        <v>22585.93</v>
      </c>
      <c r="KF52" s="322">
        <v>25113.65</v>
      </c>
      <c r="KG52" s="322">
        <v>26666.34</v>
      </c>
      <c r="KH52" s="322">
        <v>26985.25</v>
      </c>
      <c r="KI52" s="322">
        <v>53298.34</v>
      </c>
      <c r="KJ52" s="322">
        <v>56992.82</v>
      </c>
      <c r="KK52" s="322">
        <v>58040.14</v>
      </c>
      <c r="KL52" s="322">
        <v>50840.590000000004</v>
      </c>
      <c r="KM52" s="322">
        <v>52427.099999999991</v>
      </c>
      <c r="KN52" s="322">
        <v>50924.33</v>
      </c>
      <c r="KO52" s="322">
        <v>51977.130000000005</v>
      </c>
      <c r="KP52" s="322">
        <v>55068.01</v>
      </c>
      <c r="KQ52" s="322">
        <v>55026.729999999996</v>
      </c>
      <c r="KR52" s="322">
        <v>52471.25</v>
      </c>
      <c r="KS52" s="322">
        <v>51547.32</v>
      </c>
      <c r="KT52" s="322">
        <v>54670.75</v>
      </c>
      <c r="KU52" s="322">
        <v>64581.840000000004</v>
      </c>
      <c r="KV52" s="322">
        <v>72756.100000000006</v>
      </c>
      <c r="KW52" s="322">
        <v>76401.87000000001</v>
      </c>
      <c r="KX52" s="322">
        <v>78524.58</v>
      </c>
      <c r="KY52" s="322">
        <v>90400.22</v>
      </c>
      <c r="KZ52" s="334"/>
      <c r="LA52" s="322" t="s">
        <v>35</v>
      </c>
      <c r="LB52" s="322">
        <v>543496.80000000005</v>
      </c>
      <c r="LC52" s="322">
        <v>496890.46</v>
      </c>
      <c r="LD52" s="322">
        <v>728295.85</v>
      </c>
      <c r="LE52" s="322">
        <v>719991.18</v>
      </c>
      <c r="LF52" s="322">
        <v>620660.75</v>
      </c>
      <c r="LG52" s="322">
        <v>479685.06</v>
      </c>
      <c r="LH52" s="322">
        <v>569928.19999999995</v>
      </c>
      <c r="LI52" s="322">
        <v>522361.26</v>
      </c>
      <c r="LJ52" s="322">
        <v>609914.17999999993</v>
      </c>
      <c r="LK52" s="322">
        <v>793747.01</v>
      </c>
      <c r="LL52" s="322">
        <v>939215.03</v>
      </c>
      <c r="LM52" s="322">
        <v>961421.21999999986</v>
      </c>
      <c r="LN52" s="322">
        <v>949987.85000000009</v>
      </c>
      <c r="LO52" s="322">
        <v>785101.86</v>
      </c>
      <c r="LP52" s="322">
        <v>850267.63</v>
      </c>
      <c r="LQ52" s="322">
        <v>808613.69999999984</v>
      </c>
      <c r="LR52" s="322">
        <v>827332.57000000007</v>
      </c>
      <c r="LS52" s="322">
        <v>685041.39000000013</v>
      </c>
      <c r="LT52" s="322">
        <v>794460.85</v>
      </c>
      <c r="LU52" s="322">
        <v>826804.48</v>
      </c>
      <c r="LV52" s="322">
        <v>832309.39</v>
      </c>
      <c r="LW52" s="322">
        <v>844123.64000000013</v>
      </c>
      <c r="LX52" s="334"/>
      <c r="LY52" s="322" t="s">
        <v>35</v>
      </c>
      <c r="LZ52" s="322">
        <v>407622.6</v>
      </c>
      <c r="MA52" s="322">
        <v>451718.6</v>
      </c>
      <c r="MB52" s="322">
        <v>426932.05</v>
      </c>
      <c r="MC52" s="322">
        <v>479994.12</v>
      </c>
      <c r="MD52" s="322">
        <v>458749.25</v>
      </c>
      <c r="ME52" s="322">
        <v>0</v>
      </c>
      <c r="MF52" s="322">
        <v>0</v>
      </c>
      <c r="MG52" s="322">
        <v>0</v>
      </c>
      <c r="MH52" s="322">
        <v>0</v>
      </c>
      <c r="MI52" s="322">
        <v>0</v>
      </c>
      <c r="MJ52" s="322">
        <v>0</v>
      </c>
      <c r="MK52" s="322">
        <v>0</v>
      </c>
      <c r="ML52" s="322">
        <v>0</v>
      </c>
      <c r="MM52" s="322">
        <v>0</v>
      </c>
      <c r="MN52" s="322">
        <v>0</v>
      </c>
      <c r="MO52" s="322">
        <v>0</v>
      </c>
      <c r="MP52" s="322">
        <v>0</v>
      </c>
      <c r="MQ52" s="322">
        <v>0</v>
      </c>
      <c r="MR52" s="322">
        <v>0</v>
      </c>
      <c r="MS52" s="322">
        <v>0</v>
      </c>
      <c r="MT52" s="322">
        <v>0</v>
      </c>
      <c r="MU52" s="322">
        <v>0</v>
      </c>
      <c r="MV52" s="334"/>
      <c r="MW52" s="322" t="s">
        <v>35</v>
      </c>
      <c r="MX52" s="322">
        <v>113228.5</v>
      </c>
      <c r="MY52" s="322">
        <v>112929.65</v>
      </c>
      <c r="MZ52" s="322">
        <v>125568.25</v>
      </c>
      <c r="NA52" s="322">
        <v>133331.70000000001</v>
      </c>
      <c r="NB52" s="322">
        <v>161911.5</v>
      </c>
      <c r="NC52" s="322">
        <v>0</v>
      </c>
      <c r="ND52" s="322">
        <v>0</v>
      </c>
      <c r="NE52" s="322">
        <v>0</v>
      </c>
      <c r="NF52" s="322">
        <v>0</v>
      </c>
      <c r="NG52" s="322">
        <v>0</v>
      </c>
      <c r="NH52" s="322">
        <v>0</v>
      </c>
      <c r="NI52" s="322">
        <v>0</v>
      </c>
      <c r="NJ52" s="322">
        <v>0</v>
      </c>
      <c r="NK52" s="322">
        <v>0</v>
      </c>
      <c r="NL52" s="322">
        <v>0</v>
      </c>
      <c r="NM52" s="322">
        <v>0</v>
      </c>
      <c r="NN52" s="322">
        <v>0</v>
      </c>
      <c r="NO52" s="322">
        <v>0</v>
      </c>
      <c r="NP52" s="322">
        <v>0</v>
      </c>
      <c r="NQ52" s="322">
        <v>0</v>
      </c>
      <c r="NR52" s="322">
        <v>0</v>
      </c>
      <c r="NS52" s="322">
        <v>0</v>
      </c>
      <c r="NT52" s="334"/>
      <c r="NU52" s="322" t="s">
        <v>35</v>
      </c>
      <c r="NV52" s="322">
        <v>135874.20000000001</v>
      </c>
      <c r="NW52" s="322">
        <v>112929.65</v>
      </c>
      <c r="NX52" s="322">
        <v>125568.25</v>
      </c>
      <c r="NY52" s="322">
        <v>133331.70000000001</v>
      </c>
      <c r="NZ52" s="322">
        <v>134926.25</v>
      </c>
      <c r="OA52" s="322">
        <v>159895.01999999999</v>
      </c>
      <c r="OB52" s="322">
        <v>170978.46</v>
      </c>
      <c r="OC52" s="322">
        <v>203140.49</v>
      </c>
      <c r="OD52" s="322">
        <v>220144.12</v>
      </c>
      <c r="OE52" s="322">
        <v>232065.16</v>
      </c>
      <c r="OF52" s="322">
        <v>238375.12</v>
      </c>
      <c r="OG52" s="322">
        <v>250428.45</v>
      </c>
      <c r="OH52" s="322">
        <v>276985.77</v>
      </c>
      <c r="OI52" s="322">
        <v>267326.52</v>
      </c>
      <c r="OJ52" s="322">
        <v>263294.93</v>
      </c>
      <c r="OK52" s="322">
        <v>260255.06</v>
      </c>
      <c r="OL52" s="322">
        <v>291381.52</v>
      </c>
      <c r="OM52" s="322">
        <v>300142.02</v>
      </c>
      <c r="ON52" s="322">
        <v>309118.37000000005</v>
      </c>
      <c r="OO52" s="322">
        <v>309763.01</v>
      </c>
      <c r="OP52" s="322">
        <v>326559.86999999994</v>
      </c>
      <c r="OQ52" s="322">
        <v>368337.27</v>
      </c>
      <c r="OR52" s="334"/>
      <c r="OS52" s="322" t="s">
        <v>35</v>
      </c>
      <c r="OT52" s="322">
        <v>158519.9</v>
      </c>
      <c r="OU52" s="322">
        <v>158101.51</v>
      </c>
      <c r="OV52" s="322">
        <v>175795.55</v>
      </c>
      <c r="OW52" s="322">
        <v>159998.04</v>
      </c>
      <c r="OX52" s="322">
        <v>134926.25</v>
      </c>
      <c r="OY52" s="322">
        <v>133245.85</v>
      </c>
      <c r="OZ52" s="322">
        <v>170978.46</v>
      </c>
      <c r="PA52" s="322">
        <v>174120.42</v>
      </c>
      <c r="PB52" s="322">
        <v>182268.26999999996</v>
      </c>
      <c r="PC52" s="322">
        <v>174141.45</v>
      </c>
      <c r="PD52" s="322">
        <v>196795.83</v>
      </c>
      <c r="PE52" s="322">
        <v>210721.15</v>
      </c>
      <c r="PF52" s="322">
        <v>220211.47000000003</v>
      </c>
      <c r="PG52" s="322">
        <v>217947.5</v>
      </c>
      <c r="PH52" s="322">
        <v>221072.12</v>
      </c>
      <c r="PI52" s="322">
        <v>225738.6</v>
      </c>
      <c r="PJ52" s="322">
        <v>225127.06</v>
      </c>
      <c r="PK52" s="322">
        <v>234163.12</v>
      </c>
      <c r="PL52" s="322">
        <v>233010.58999999997</v>
      </c>
      <c r="PM52" s="322">
        <v>245554.03000000003</v>
      </c>
      <c r="PN52" s="322">
        <v>246498.25000000006</v>
      </c>
      <c r="PO52" s="322">
        <v>262776.06999999995</v>
      </c>
      <c r="PP52" s="334"/>
      <c r="PQ52" s="322" t="s">
        <v>35</v>
      </c>
      <c r="PR52" s="322">
        <v>22645.7</v>
      </c>
      <c r="PS52" s="322">
        <v>22585.93</v>
      </c>
      <c r="PT52" s="322">
        <v>25113.65</v>
      </c>
      <c r="PU52" s="322">
        <v>26666.34</v>
      </c>
      <c r="PV52" s="322">
        <v>26985.25</v>
      </c>
      <c r="PW52" s="322">
        <v>26649.17</v>
      </c>
      <c r="PX52" s="322">
        <v>28496.41</v>
      </c>
      <c r="PY52" s="322">
        <v>29020.07</v>
      </c>
      <c r="PZ52" s="322">
        <v>27189.29</v>
      </c>
      <c r="QA52" s="322">
        <v>29773.56</v>
      </c>
      <c r="QB52" s="322">
        <v>29082.98</v>
      </c>
      <c r="QC52" s="322">
        <v>19106.169999999998</v>
      </c>
      <c r="QD52" s="322">
        <v>36979.959999999992</v>
      </c>
      <c r="QE52" s="322">
        <v>35885.129999999997</v>
      </c>
      <c r="QF52" s="322">
        <v>24280.389999999996</v>
      </c>
      <c r="QG52" s="322">
        <v>33775.520000000004</v>
      </c>
      <c r="QH52" s="322">
        <v>34982.99</v>
      </c>
      <c r="QI52" s="322">
        <v>26630.329999999994</v>
      </c>
      <c r="QJ52" s="322">
        <v>29055.86</v>
      </c>
      <c r="QK52" s="322">
        <v>23235.25</v>
      </c>
      <c r="QL52" s="322">
        <v>27989.370000000003</v>
      </c>
      <c r="QM52" s="322">
        <v>41020.520000000004</v>
      </c>
      <c r="QN52" s="334"/>
      <c r="QO52" s="322" t="s">
        <v>35</v>
      </c>
      <c r="QP52" s="322">
        <v>45291.4</v>
      </c>
      <c r="QQ52" s="322">
        <v>22585.93</v>
      </c>
      <c r="QR52" s="322">
        <v>25113.65</v>
      </c>
      <c r="QS52" s="322">
        <v>53332.68</v>
      </c>
      <c r="QT52" s="322">
        <v>53970.5</v>
      </c>
      <c r="QU52" s="322">
        <v>0</v>
      </c>
      <c r="QV52" s="322">
        <v>0</v>
      </c>
      <c r="QW52" s="322">
        <v>0</v>
      </c>
      <c r="QX52" s="322">
        <v>525</v>
      </c>
      <c r="QY52" s="322">
        <v>1050</v>
      </c>
      <c r="QZ52" s="322">
        <v>1050</v>
      </c>
      <c r="RA52" s="322">
        <v>525</v>
      </c>
      <c r="RB52" s="322">
        <v>525</v>
      </c>
      <c r="RC52" s="322">
        <v>0</v>
      </c>
      <c r="RD52" s="322">
        <v>1800</v>
      </c>
      <c r="RE52" s="322">
        <v>4200</v>
      </c>
      <c r="RF52" s="322">
        <v>2910</v>
      </c>
      <c r="RG52" s="322">
        <v>2400</v>
      </c>
      <c r="RH52" s="322">
        <v>800</v>
      </c>
      <c r="RI52" s="322">
        <v>1595</v>
      </c>
      <c r="RJ52" s="322">
        <v>4800</v>
      </c>
      <c r="RK52" s="322">
        <v>5000</v>
      </c>
      <c r="RL52" s="334"/>
      <c r="RM52" s="322" t="s">
        <v>35</v>
      </c>
      <c r="RN52" s="322">
        <v>45291.4</v>
      </c>
      <c r="RO52" s="322">
        <v>67757.789999999994</v>
      </c>
      <c r="RP52" s="322">
        <v>75340.95</v>
      </c>
      <c r="RQ52" s="322">
        <v>79999.02</v>
      </c>
      <c r="RR52" s="322">
        <v>80955.75</v>
      </c>
      <c r="RS52" s="322">
        <v>879422.61</v>
      </c>
      <c r="RT52" s="322">
        <v>968877.94</v>
      </c>
      <c r="RU52" s="322">
        <v>986682.38</v>
      </c>
      <c r="RV52" s="322">
        <v>975048.5</v>
      </c>
      <c r="RW52" s="322">
        <v>925341.84</v>
      </c>
      <c r="RX52" s="322">
        <v>961294.04</v>
      </c>
      <c r="RY52" s="322">
        <v>1025074.77</v>
      </c>
      <c r="RZ52" s="322">
        <v>1055620.93</v>
      </c>
      <c r="SA52" s="322">
        <v>981452.2</v>
      </c>
      <c r="SB52" s="322">
        <v>987952</v>
      </c>
      <c r="SC52" s="322">
        <v>983933.33</v>
      </c>
      <c r="SD52" s="322">
        <v>1003763.21</v>
      </c>
      <c r="SE52" s="322">
        <v>988300.51</v>
      </c>
      <c r="SF52" s="322">
        <v>988300.61</v>
      </c>
      <c r="SG52" s="322">
        <v>993603.71000000008</v>
      </c>
      <c r="SH52" s="322">
        <v>988300.51</v>
      </c>
      <c r="SI52" s="322">
        <v>989890.01</v>
      </c>
    </row>
    <row r="53" spans="1:503">
      <c r="A53" s="319" t="s">
        <v>36</v>
      </c>
      <c r="B53" s="319">
        <v>947180</v>
      </c>
      <c r="C53" s="319">
        <v>1113857</v>
      </c>
      <c r="D53" s="319">
        <v>1131243</v>
      </c>
      <c r="E53" s="319">
        <v>1161542</v>
      </c>
      <c r="F53" s="319">
        <v>1204349</v>
      </c>
      <c r="G53" s="319">
        <v>1265496</v>
      </c>
      <c r="H53" s="319">
        <v>1341252</v>
      </c>
      <c r="I53" s="319">
        <v>1389439</v>
      </c>
      <c r="J53" s="319">
        <v>1509113.1600000001</v>
      </c>
      <c r="K53" s="319">
        <v>1690039.2400000002</v>
      </c>
      <c r="L53" s="319">
        <v>1591922.9500000002</v>
      </c>
      <c r="M53" s="319">
        <v>1611837.34</v>
      </c>
      <c r="N53" s="319">
        <v>1656741.1199999999</v>
      </c>
      <c r="O53" s="319">
        <v>1778921.6099999999</v>
      </c>
      <c r="P53" s="319">
        <v>1848500.6</v>
      </c>
      <c r="Q53" s="319">
        <v>1709200.02</v>
      </c>
      <c r="R53" s="319">
        <v>1696537.48</v>
      </c>
      <c r="S53" s="322">
        <v>1849401.2800000003</v>
      </c>
      <c r="T53" s="319">
        <v>1846656.0900000003</v>
      </c>
      <c r="U53" s="319">
        <v>1731325.15</v>
      </c>
      <c r="V53" s="319">
        <v>1769075.78</v>
      </c>
      <c r="W53" s="319">
        <v>1790682</v>
      </c>
      <c r="X53" s="330"/>
      <c r="Y53" s="319" t="s">
        <v>36</v>
      </c>
      <c r="Z53" s="319">
        <v>47359</v>
      </c>
      <c r="AA53" s="319">
        <v>44554.28</v>
      </c>
      <c r="AB53" s="319">
        <v>45249.72</v>
      </c>
      <c r="AC53" s="319">
        <v>69692.52</v>
      </c>
      <c r="AD53" s="319">
        <v>72260.94</v>
      </c>
      <c r="AE53" s="319">
        <v>75929.759999999995</v>
      </c>
      <c r="AF53" s="319">
        <v>75929.759999999995</v>
      </c>
      <c r="AG53" s="319">
        <v>83366.34</v>
      </c>
      <c r="AH53" s="319">
        <v>85318.06</v>
      </c>
      <c r="AI53" s="319">
        <v>92603.63</v>
      </c>
      <c r="AJ53" s="319">
        <v>93385.12999999999</v>
      </c>
      <c r="AK53" s="319">
        <v>103269.42</v>
      </c>
      <c r="AL53" s="319">
        <v>80542.719999999987</v>
      </c>
      <c r="AM53" s="319">
        <v>83632.86</v>
      </c>
      <c r="AN53" s="319">
        <v>82685.62</v>
      </c>
      <c r="AO53" s="319">
        <v>82835.17</v>
      </c>
      <c r="AP53" s="319">
        <v>82565.459999999992</v>
      </c>
      <c r="AQ53" s="322">
        <v>81200.039999999994</v>
      </c>
      <c r="AR53" s="319">
        <v>85211.319999999992</v>
      </c>
      <c r="AS53" s="319">
        <v>84169.919999999998</v>
      </c>
      <c r="AT53" s="319">
        <v>85523.909999999989</v>
      </c>
      <c r="AU53" s="319">
        <v>84170</v>
      </c>
      <c r="AV53" s="334"/>
      <c r="AW53" s="319" t="s">
        <v>36</v>
      </c>
      <c r="AX53" s="319">
        <v>56830.799999999996</v>
      </c>
      <c r="AY53" s="319">
        <v>55692.850000000006</v>
      </c>
      <c r="AZ53" s="319">
        <v>67874.58</v>
      </c>
      <c r="BA53" s="319">
        <v>81307.94</v>
      </c>
      <c r="BB53" s="319">
        <v>72260.94</v>
      </c>
      <c r="BC53" s="319">
        <v>75929.759999999995</v>
      </c>
      <c r="BD53" s="319">
        <v>80475.12</v>
      </c>
      <c r="BE53" s="319">
        <v>83366.34</v>
      </c>
      <c r="BF53" s="319">
        <v>89464.489999999991</v>
      </c>
      <c r="BG53" s="319">
        <v>66930.679999999993</v>
      </c>
      <c r="BH53" s="319">
        <v>90072.609999999986</v>
      </c>
      <c r="BI53" s="319">
        <v>70900.62000000001</v>
      </c>
      <c r="BJ53" s="319">
        <v>78839.03</v>
      </c>
      <c r="BK53" s="319">
        <v>82973.72</v>
      </c>
      <c r="BL53" s="319">
        <v>84939.540000000008</v>
      </c>
      <c r="BM53" s="319">
        <v>85772.5</v>
      </c>
      <c r="BN53" s="319">
        <v>86629.59</v>
      </c>
      <c r="BO53" s="322">
        <v>85620.909999999989</v>
      </c>
      <c r="BP53" s="319">
        <v>89389.19</v>
      </c>
      <c r="BQ53" s="319">
        <v>90735.709999999992</v>
      </c>
      <c r="BR53" s="319">
        <v>90986.69</v>
      </c>
      <c r="BS53" s="319">
        <v>92406</v>
      </c>
      <c r="BT53" s="334"/>
      <c r="BU53" s="322" t="s">
        <v>36</v>
      </c>
      <c r="BV53" s="322">
        <v>37887.199999999997</v>
      </c>
      <c r="BW53" s="322">
        <v>11138.57</v>
      </c>
      <c r="BX53" s="322">
        <v>33937.29</v>
      </c>
      <c r="BY53" s="322">
        <v>0</v>
      </c>
      <c r="BZ53" s="322">
        <v>24086.98</v>
      </c>
      <c r="CA53" s="322">
        <v>0</v>
      </c>
      <c r="CB53" s="322">
        <v>26825.040000000001</v>
      </c>
      <c r="CC53" s="322">
        <v>0</v>
      </c>
      <c r="CD53" s="322">
        <v>21217.089999999997</v>
      </c>
      <c r="CE53" s="322">
        <v>5990.92</v>
      </c>
      <c r="CF53" s="322">
        <v>26307.859999999997</v>
      </c>
      <c r="CG53" s="322">
        <v>7439.85</v>
      </c>
      <c r="CH53" s="322">
        <v>36663.24</v>
      </c>
      <c r="CI53" s="322">
        <v>2232</v>
      </c>
      <c r="CJ53" s="322">
        <v>32748.880000000001</v>
      </c>
      <c r="CK53" s="322">
        <v>3478.81</v>
      </c>
      <c r="CL53" s="322">
        <v>30989.680000000004</v>
      </c>
      <c r="CM53" s="322">
        <v>1569.45</v>
      </c>
      <c r="CN53" s="322">
        <v>29972.839999999997</v>
      </c>
      <c r="CO53" s="322">
        <v>0</v>
      </c>
      <c r="CP53" s="322">
        <v>44714.6</v>
      </c>
      <c r="CQ53" s="322">
        <v>24900</v>
      </c>
      <c r="CR53" s="334"/>
      <c r="CS53" s="322" t="s">
        <v>36</v>
      </c>
      <c r="CT53" s="322">
        <v>56830.8</v>
      </c>
      <c r="CU53" s="322">
        <v>66831.42</v>
      </c>
      <c r="CV53" s="322">
        <v>67874.58</v>
      </c>
      <c r="CW53" s="322">
        <v>46461.68</v>
      </c>
      <c r="CX53" s="322">
        <v>72260.94</v>
      </c>
      <c r="CY53" s="322">
        <v>63274.8</v>
      </c>
      <c r="CZ53" s="322">
        <v>67062.600000000006</v>
      </c>
      <c r="DA53" s="322">
        <v>69471.95</v>
      </c>
      <c r="DB53" s="322">
        <v>81562.05</v>
      </c>
      <c r="DC53" s="322">
        <v>154331.18</v>
      </c>
      <c r="DD53" s="322">
        <v>144711.11000000002</v>
      </c>
      <c r="DE53" s="322">
        <v>129198.73999999999</v>
      </c>
      <c r="DF53" s="322">
        <v>147723.91999999998</v>
      </c>
      <c r="DG53" s="322">
        <v>156499.78999999998</v>
      </c>
      <c r="DH53" s="322">
        <v>99971.9</v>
      </c>
      <c r="DI53" s="322">
        <v>79119.679999999993</v>
      </c>
      <c r="DJ53" s="322">
        <v>77944.59</v>
      </c>
      <c r="DK53" s="322">
        <v>93070.56</v>
      </c>
      <c r="DL53" s="322">
        <v>142909.16</v>
      </c>
      <c r="DM53" s="322">
        <v>120892.16999999998</v>
      </c>
      <c r="DN53" s="322">
        <v>132180.35000000003</v>
      </c>
      <c r="DO53" s="322">
        <v>140400</v>
      </c>
      <c r="DP53" s="334"/>
      <c r="DQ53" s="322" t="s">
        <v>36</v>
      </c>
      <c r="DR53" s="322">
        <v>94718</v>
      </c>
      <c r="DS53" s="322">
        <v>89108.56</v>
      </c>
      <c r="DT53" s="322">
        <v>101811.87</v>
      </c>
      <c r="DU53" s="322">
        <v>127769.62</v>
      </c>
      <c r="DV53" s="322">
        <v>156565.37</v>
      </c>
      <c r="DW53" s="322">
        <v>164514.48000000001</v>
      </c>
      <c r="DX53" s="322">
        <v>174362.76</v>
      </c>
      <c r="DY53" s="322">
        <v>194521.46</v>
      </c>
      <c r="DZ53" s="322">
        <v>187301.68000000002</v>
      </c>
      <c r="EA53" s="322">
        <v>174760.63</v>
      </c>
      <c r="EB53" s="322">
        <v>179214.22</v>
      </c>
      <c r="EC53" s="322">
        <v>187877.63</v>
      </c>
      <c r="ED53" s="322">
        <v>194311.33</v>
      </c>
      <c r="EE53" s="322">
        <v>221651.90999999997</v>
      </c>
      <c r="EF53" s="322">
        <v>248648.30999999997</v>
      </c>
      <c r="EG53" s="322">
        <v>186738.01</v>
      </c>
      <c r="EH53" s="322">
        <v>161087.60999999999</v>
      </c>
      <c r="EI53" s="322">
        <v>168892.13</v>
      </c>
      <c r="EJ53" s="322">
        <v>177371.65000000002</v>
      </c>
      <c r="EK53" s="322">
        <v>183655.65</v>
      </c>
      <c r="EL53" s="322">
        <v>222209.04000000004</v>
      </c>
      <c r="EM53" s="322">
        <v>248244</v>
      </c>
      <c r="EN53" s="334"/>
      <c r="EO53" s="322" t="s">
        <v>36</v>
      </c>
      <c r="EP53" s="322">
        <v>18943.599999999999</v>
      </c>
      <c r="EQ53" s="322">
        <v>22277.14</v>
      </c>
      <c r="ER53" s="322">
        <v>22624.86</v>
      </c>
      <c r="ES53" s="322">
        <v>34846.26</v>
      </c>
      <c r="ET53" s="322">
        <v>36130.47</v>
      </c>
      <c r="EU53" s="322">
        <v>25309.919999999998</v>
      </c>
      <c r="EV53" s="322">
        <v>26825.040000000001</v>
      </c>
      <c r="EW53" s="322">
        <v>27788.78</v>
      </c>
      <c r="EX53" s="322">
        <v>30150.46</v>
      </c>
      <c r="EY53" s="322">
        <v>32590.18</v>
      </c>
      <c r="EZ53" s="322">
        <v>30058.149999999998</v>
      </c>
      <c r="FA53" s="322">
        <v>40846.28</v>
      </c>
      <c r="FB53" s="322">
        <v>41184.829999999994</v>
      </c>
      <c r="FC53" s="322">
        <v>41254.770000000004</v>
      </c>
      <c r="FD53" s="322">
        <v>40849.120000000003</v>
      </c>
      <c r="FE53" s="322">
        <v>41098.749999999993</v>
      </c>
      <c r="FF53" s="322">
        <v>41095.409999999996</v>
      </c>
      <c r="FG53" s="322">
        <v>40798.6</v>
      </c>
      <c r="FH53" s="322">
        <v>45698.02</v>
      </c>
      <c r="FI53" s="322">
        <v>45746.42</v>
      </c>
      <c r="FJ53" s="322">
        <v>43553.439999999995</v>
      </c>
      <c r="FK53" s="322">
        <v>44400</v>
      </c>
      <c r="FL53" s="334"/>
      <c r="FM53" s="322" t="s">
        <v>36</v>
      </c>
      <c r="FN53" s="322">
        <v>56830.8</v>
      </c>
      <c r="FO53" s="322">
        <v>55692.85</v>
      </c>
      <c r="FP53" s="322">
        <v>56562.15</v>
      </c>
      <c r="FQ53" s="322">
        <v>69692.52</v>
      </c>
      <c r="FR53" s="322">
        <v>72260.94</v>
      </c>
      <c r="FS53" s="322">
        <v>63274.8</v>
      </c>
      <c r="FT53" s="322">
        <v>80475.12</v>
      </c>
      <c r="FU53" s="322">
        <v>69471.95</v>
      </c>
      <c r="FV53" s="322">
        <v>78760.39</v>
      </c>
      <c r="FW53" s="322">
        <v>70982.13</v>
      </c>
      <c r="FX53" s="322">
        <v>75074.62999999999</v>
      </c>
      <c r="FY53" s="322">
        <v>73365.97</v>
      </c>
      <c r="FZ53" s="322">
        <v>73841.290000000008</v>
      </c>
      <c r="GA53" s="322">
        <v>73833.16</v>
      </c>
      <c r="GB53" s="322">
        <v>74202.569999999992</v>
      </c>
      <c r="GC53" s="322">
        <v>74582.920000000013</v>
      </c>
      <c r="GD53" s="322">
        <v>71596.23</v>
      </c>
      <c r="GE53" s="322">
        <v>71100.36</v>
      </c>
      <c r="GF53" s="340">
        <v>74696.170000000013</v>
      </c>
      <c r="GG53" s="704">
        <v>68858.460000000006</v>
      </c>
      <c r="GH53" s="704">
        <v>67846.14</v>
      </c>
      <c r="GI53" s="704">
        <v>68889</v>
      </c>
      <c r="GJ53" s="334"/>
      <c r="GK53" s="322" t="s">
        <v>36</v>
      </c>
      <c r="GL53" s="322">
        <v>0</v>
      </c>
      <c r="GM53" s="322">
        <v>0</v>
      </c>
      <c r="GN53" s="322">
        <v>0</v>
      </c>
      <c r="GO53" s="322">
        <v>0</v>
      </c>
      <c r="GP53" s="322">
        <v>0</v>
      </c>
      <c r="GQ53" s="322">
        <v>0</v>
      </c>
      <c r="GR53" s="322">
        <v>0</v>
      </c>
      <c r="GS53" s="322">
        <v>0</v>
      </c>
      <c r="GT53" s="322">
        <v>0</v>
      </c>
      <c r="GU53" s="322">
        <v>0</v>
      </c>
      <c r="GV53" s="322">
        <v>0</v>
      </c>
      <c r="GW53" s="322">
        <v>0</v>
      </c>
      <c r="GX53" s="322">
        <v>0</v>
      </c>
      <c r="GY53" s="322">
        <v>48911.85</v>
      </c>
      <c r="GZ53" s="322">
        <v>44346.36</v>
      </c>
      <c r="HA53" s="322">
        <v>44650.54</v>
      </c>
      <c r="HB53" s="322">
        <v>46049.36</v>
      </c>
      <c r="HC53" s="322">
        <v>47346.3</v>
      </c>
      <c r="HD53" s="322">
        <v>49496.65</v>
      </c>
      <c r="HE53" s="322">
        <v>50863.31</v>
      </c>
      <c r="HF53" s="322">
        <v>51269.04</v>
      </c>
      <c r="HG53" s="322">
        <v>51800</v>
      </c>
      <c r="HH53" s="334"/>
      <c r="HI53" s="322" t="s">
        <v>36</v>
      </c>
      <c r="HJ53" s="322">
        <v>18943.599999999999</v>
      </c>
      <c r="HK53" s="322">
        <v>22277.14</v>
      </c>
      <c r="HL53" s="322">
        <v>22624.86</v>
      </c>
      <c r="HM53" s="322">
        <v>23230.84</v>
      </c>
      <c r="HN53" s="322">
        <v>24086.98</v>
      </c>
      <c r="HO53" s="322">
        <v>25309.919999999998</v>
      </c>
      <c r="HP53" s="322">
        <v>26825.040000000001</v>
      </c>
      <c r="HQ53" s="322">
        <v>27788.78</v>
      </c>
      <c r="HR53" s="322">
        <v>27711.33</v>
      </c>
      <c r="HS53" s="322">
        <v>31258.010000000002</v>
      </c>
      <c r="HT53" s="322">
        <v>30170.7</v>
      </c>
      <c r="HU53" s="322">
        <v>31287.63</v>
      </c>
      <c r="HV53" s="322">
        <v>25850.6</v>
      </c>
      <c r="HW53" s="322">
        <v>0</v>
      </c>
      <c r="HX53" s="322">
        <v>8723.7099999999991</v>
      </c>
      <c r="HY53" s="322">
        <v>8674.7699999999986</v>
      </c>
      <c r="HZ53" s="322">
        <v>8376.34</v>
      </c>
      <c r="IA53" s="322">
        <v>11683.619999999999</v>
      </c>
      <c r="IB53" s="322">
        <v>10104.9</v>
      </c>
      <c r="IC53" s="322">
        <v>7926.3600000000006</v>
      </c>
      <c r="ID53" s="322">
        <v>4986.13</v>
      </c>
      <c r="IE53" s="322">
        <v>7110</v>
      </c>
      <c r="IF53" s="334"/>
      <c r="IG53" s="322" t="s">
        <v>36</v>
      </c>
      <c r="IH53" s="322">
        <v>18943.599999999999</v>
      </c>
      <c r="II53" s="322">
        <v>22277.14</v>
      </c>
      <c r="IJ53" s="322">
        <v>11312.43</v>
      </c>
      <c r="IK53" s="322">
        <v>23230.84</v>
      </c>
      <c r="IL53" s="322">
        <v>24086.98</v>
      </c>
      <c r="IM53" s="322">
        <v>12654.96</v>
      </c>
      <c r="IN53" s="322">
        <v>0</v>
      </c>
      <c r="IO53" s="322">
        <v>0</v>
      </c>
      <c r="IP53" s="322">
        <v>4437.66</v>
      </c>
      <c r="IQ53" s="322">
        <v>3210.38</v>
      </c>
      <c r="IR53" s="322">
        <v>4038.48</v>
      </c>
      <c r="IS53" s="322">
        <v>6666.3200000000006</v>
      </c>
      <c r="IT53" s="322">
        <v>3839.94</v>
      </c>
      <c r="IU53" s="322">
        <v>7019.87</v>
      </c>
      <c r="IV53" s="322"/>
      <c r="IW53" s="322"/>
      <c r="IX53" s="322"/>
      <c r="IY53" s="322"/>
      <c r="IZ53" s="322"/>
      <c r="JA53" s="322"/>
      <c r="JB53" s="322"/>
      <c r="JC53" s="322"/>
      <c r="JD53" s="334"/>
      <c r="JE53" s="322" t="s">
        <v>36</v>
      </c>
      <c r="JF53" s="322">
        <v>9471.7999999999993</v>
      </c>
      <c r="JG53" s="322">
        <v>11138.57</v>
      </c>
      <c r="JH53" s="322">
        <v>11312.43</v>
      </c>
      <c r="JI53" s="322">
        <v>11615.42</v>
      </c>
      <c r="JJ53" s="322">
        <v>12043.49</v>
      </c>
      <c r="JK53" s="322">
        <v>0</v>
      </c>
      <c r="JL53" s="322">
        <v>13412.52</v>
      </c>
      <c r="JM53" s="322">
        <v>13894.39</v>
      </c>
      <c r="JN53" s="322">
        <v>8036.29</v>
      </c>
      <c r="JO53" s="322">
        <v>8408.85</v>
      </c>
      <c r="JP53" s="322">
        <v>8176.15</v>
      </c>
      <c r="JQ53" s="322">
        <v>9642.510000000002</v>
      </c>
      <c r="JR53" s="322">
        <v>7990.1100000000006</v>
      </c>
      <c r="JS53" s="322">
        <v>9048.2300000000014</v>
      </c>
      <c r="JT53" s="322">
        <v>12495.99</v>
      </c>
      <c r="JU53" s="322">
        <v>10152.89</v>
      </c>
      <c r="JV53" s="322">
        <v>9393.5499999999993</v>
      </c>
      <c r="JW53" s="322">
        <v>9166.8599999999988</v>
      </c>
      <c r="JX53" s="322">
        <v>10578.170000000002</v>
      </c>
      <c r="JY53" s="322">
        <v>7495.77</v>
      </c>
      <c r="JZ53" s="322">
        <v>12887.810000000001</v>
      </c>
      <c r="KA53" s="322">
        <v>14758</v>
      </c>
      <c r="KB53" s="334"/>
      <c r="KC53" s="322" t="s">
        <v>36</v>
      </c>
      <c r="KD53" s="322">
        <v>9471.7999999999993</v>
      </c>
      <c r="KE53" s="322">
        <v>0</v>
      </c>
      <c r="KF53" s="322">
        <v>22624.86</v>
      </c>
      <c r="KG53" s="322">
        <v>11615.42</v>
      </c>
      <c r="KH53" s="322">
        <v>12043.49</v>
      </c>
      <c r="KI53" s="322">
        <v>37964.879999999997</v>
      </c>
      <c r="KJ53" s="322">
        <v>40237.56</v>
      </c>
      <c r="KK53" s="322">
        <v>55577.56</v>
      </c>
      <c r="KL53" s="322">
        <v>42414.86</v>
      </c>
      <c r="KM53" s="322">
        <v>47672.359999999993</v>
      </c>
      <c r="KN53" s="322">
        <v>51050.86</v>
      </c>
      <c r="KO53" s="322">
        <v>43364.590000000004</v>
      </c>
      <c r="KP53" s="322">
        <v>42887.839999999997</v>
      </c>
      <c r="KQ53" s="322">
        <v>42447.49</v>
      </c>
      <c r="KR53" s="322">
        <v>42367.42</v>
      </c>
      <c r="KS53" s="322">
        <v>41750.17</v>
      </c>
      <c r="KT53" s="322">
        <v>43477.37</v>
      </c>
      <c r="KU53" s="322">
        <v>42472.69</v>
      </c>
      <c r="KV53" s="322">
        <v>44076.36</v>
      </c>
      <c r="KW53" s="322">
        <v>44275.61</v>
      </c>
      <c r="KX53" s="322">
        <v>44046.630000000005</v>
      </c>
      <c r="KY53" s="322">
        <v>47100</v>
      </c>
      <c r="KZ53" s="334"/>
      <c r="LA53" s="322" t="s">
        <v>36</v>
      </c>
      <c r="LB53" s="322">
        <v>85246.2</v>
      </c>
      <c r="LC53" s="322">
        <v>167078.54999999999</v>
      </c>
      <c r="LD53" s="322">
        <v>203623.74</v>
      </c>
      <c r="LE53" s="322">
        <v>92923.36</v>
      </c>
      <c r="LF53" s="322">
        <v>84304.43</v>
      </c>
      <c r="LG53" s="322">
        <v>151859.51999999999</v>
      </c>
      <c r="LH53" s="322">
        <v>134125.20000000001</v>
      </c>
      <c r="LI53" s="322">
        <v>97260.73</v>
      </c>
      <c r="LJ53" s="322">
        <v>183996.83000000002</v>
      </c>
      <c r="LK53" s="322">
        <v>390889.57999999996</v>
      </c>
      <c r="LL53" s="322">
        <v>224469.67</v>
      </c>
      <c r="LM53" s="322">
        <v>248791.79</v>
      </c>
      <c r="LN53" s="322">
        <v>223983.64</v>
      </c>
      <c r="LO53" s="322">
        <v>267651.03000000003</v>
      </c>
      <c r="LP53" s="322">
        <v>349179.26</v>
      </c>
      <c r="LQ53" s="322">
        <v>435888.55000000005</v>
      </c>
      <c r="LR53" s="322">
        <v>380145.45</v>
      </c>
      <c r="LS53" s="322">
        <v>473724.43</v>
      </c>
      <c r="LT53" s="322">
        <v>362414.03</v>
      </c>
      <c r="LU53" s="322">
        <v>258138.62</v>
      </c>
      <c r="LV53" s="322">
        <v>111096.58</v>
      </c>
      <c r="LW53" s="322">
        <v>111760</v>
      </c>
      <c r="LX53" s="334"/>
      <c r="LY53" s="322" t="s">
        <v>36</v>
      </c>
      <c r="LZ53" s="322">
        <v>293625.8</v>
      </c>
      <c r="MA53" s="322">
        <v>389849.95</v>
      </c>
      <c r="MB53" s="322">
        <v>294123.18</v>
      </c>
      <c r="MC53" s="322">
        <v>383308.86</v>
      </c>
      <c r="MD53" s="322">
        <v>373348.19</v>
      </c>
      <c r="ME53" s="322">
        <v>379648.8</v>
      </c>
      <c r="MF53" s="322">
        <v>388963.08</v>
      </c>
      <c r="MG53" s="322">
        <v>444620.48</v>
      </c>
      <c r="MH53" s="322">
        <v>438657.83000000007</v>
      </c>
      <c r="MI53" s="322">
        <v>374435.53000000009</v>
      </c>
      <c r="MJ53" s="322">
        <v>409985.01000000007</v>
      </c>
      <c r="MK53" s="322">
        <v>386367.52999999997</v>
      </c>
      <c r="ML53" s="322">
        <v>436038.75</v>
      </c>
      <c r="MM53" s="322">
        <v>494280.82999999996</v>
      </c>
      <c r="MN53" s="322">
        <v>377981.30000000005</v>
      </c>
      <c r="MO53" s="322">
        <v>332332.09000000003</v>
      </c>
      <c r="MP53" s="322">
        <v>360842.49</v>
      </c>
      <c r="MQ53" s="322">
        <v>401601.58999999997</v>
      </c>
      <c r="MR53" s="322">
        <v>385435</v>
      </c>
      <c r="MS53" s="322">
        <v>410640.74999999994</v>
      </c>
      <c r="MT53" s="322">
        <v>466432.71</v>
      </c>
      <c r="MU53" s="322">
        <v>429580</v>
      </c>
      <c r="MV53" s="334"/>
      <c r="MW53" s="322" t="s">
        <v>36</v>
      </c>
      <c r="MX53" s="322">
        <v>28415.4</v>
      </c>
      <c r="MY53" s="322">
        <v>55692.85</v>
      </c>
      <c r="MZ53" s="322">
        <v>45249.72</v>
      </c>
      <c r="NA53" s="322">
        <v>58077.1</v>
      </c>
      <c r="NB53" s="322">
        <v>48173.96</v>
      </c>
      <c r="NC53" s="322">
        <v>50619.839999999997</v>
      </c>
      <c r="ND53" s="322">
        <v>93887.64</v>
      </c>
      <c r="NE53" s="322">
        <v>69471.95</v>
      </c>
      <c r="NF53" s="322">
        <v>77166.469999999987</v>
      </c>
      <c r="NG53" s="322">
        <v>87746.14</v>
      </c>
      <c r="NH53" s="322">
        <v>93533.47</v>
      </c>
      <c r="NI53" s="322">
        <v>96481.08</v>
      </c>
      <c r="NJ53" s="322">
        <v>120505.62999999999</v>
      </c>
      <c r="NK53" s="322">
        <v>104568.37999999999</v>
      </c>
      <c r="NL53" s="322">
        <v>193800.42</v>
      </c>
      <c r="NM53" s="322">
        <v>140664.05000000002</v>
      </c>
      <c r="NN53" s="322">
        <v>145258</v>
      </c>
      <c r="NO53" s="322">
        <v>164537.84999999998</v>
      </c>
      <c r="NP53" s="322">
        <v>179085.00000000003</v>
      </c>
      <c r="NQ53" s="322">
        <v>184717.59000000005</v>
      </c>
      <c r="NR53" s="322">
        <v>208428.17999999996</v>
      </c>
      <c r="NS53" s="322">
        <v>219370</v>
      </c>
      <c r="NT53" s="334"/>
      <c r="NU53" s="322" t="s">
        <v>36</v>
      </c>
      <c r="NV53" s="322">
        <v>66302.600000000006</v>
      </c>
      <c r="NW53" s="322">
        <v>55692.85</v>
      </c>
      <c r="NX53" s="322">
        <v>67874.58</v>
      </c>
      <c r="NY53" s="322">
        <v>81307.94</v>
      </c>
      <c r="NZ53" s="322">
        <v>84304.43</v>
      </c>
      <c r="OA53" s="322">
        <v>88584.72</v>
      </c>
      <c r="OB53" s="322">
        <v>80475.12</v>
      </c>
      <c r="OC53" s="322">
        <v>97260.73</v>
      </c>
      <c r="OD53" s="322">
        <v>92787.860000000015</v>
      </c>
      <c r="OE53" s="322">
        <v>95995.180000000008</v>
      </c>
      <c r="OF53" s="322">
        <v>75320.36</v>
      </c>
      <c r="OG53" s="322">
        <v>89019.08</v>
      </c>
      <c r="OH53" s="322">
        <v>83959.65</v>
      </c>
      <c r="OI53" s="322">
        <v>91618.109999999986</v>
      </c>
      <c r="OJ53" s="322">
        <v>88395.790000000008</v>
      </c>
      <c r="OK53" s="322">
        <v>95267.64</v>
      </c>
      <c r="OL53" s="322">
        <v>97214.23000000001</v>
      </c>
      <c r="OM53" s="322">
        <v>96303.25</v>
      </c>
      <c r="ON53" s="322">
        <v>96406.35</v>
      </c>
      <c r="OO53" s="322">
        <v>99105.00999999998</v>
      </c>
      <c r="OP53" s="322">
        <v>116530.79000000001</v>
      </c>
      <c r="OQ53" s="322">
        <v>143560</v>
      </c>
      <c r="OR53" s="334"/>
      <c r="OS53" s="322" t="s">
        <v>36</v>
      </c>
      <c r="OT53" s="322">
        <v>37887.199999999997</v>
      </c>
      <c r="OU53" s="322">
        <v>33415.71</v>
      </c>
      <c r="OV53" s="322">
        <v>45249.72</v>
      </c>
      <c r="OW53" s="322">
        <v>23230.84</v>
      </c>
      <c r="OX53" s="322">
        <v>24086.98</v>
      </c>
      <c r="OY53" s="322">
        <v>25309.919999999998</v>
      </c>
      <c r="OZ53" s="322">
        <v>13412.52</v>
      </c>
      <c r="PA53" s="322">
        <v>27788.78</v>
      </c>
      <c r="PB53" s="322">
        <v>23376.91</v>
      </c>
      <c r="PC53" s="322">
        <v>28201.75</v>
      </c>
      <c r="PD53" s="322">
        <v>31396</v>
      </c>
      <c r="PE53" s="322">
        <v>31753</v>
      </c>
      <c r="PF53" s="322">
        <v>32220</v>
      </c>
      <c r="PG53" s="322">
        <v>34544</v>
      </c>
      <c r="PH53" s="322">
        <v>35372</v>
      </c>
      <c r="PI53" s="322">
        <v>33378</v>
      </c>
      <c r="PJ53" s="322">
        <v>31696</v>
      </c>
      <c r="PK53" s="322">
        <v>35604</v>
      </c>
      <c r="PL53" s="322">
        <v>36567</v>
      </c>
      <c r="PM53" s="322">
        <v>34287</v>
      </c>
      <c r="PN53" s="322">
        <v>39157.040000000001</v>
      </c>
      <c r="PO53" s="322">
        <v>34131</v>
      </c>
      <c r="PP53" s="334"/>
      <c r="PQ53" s="322" t="s">
        <v>36</v>
      </c>
      <c r="PR53" s="322">
        <v>9471.7999999999993</v>
      </c>
      <c r="PS53" s="322">
        <v>11138.57</v>
      </c>
      <c r="PT53" s="322">
        <v>11312.43</v>
      </c>
      <c r="PU53" s="322">
        <v>11615.42</v>
      </c>
      <c r="PV53" s="322">
        <v>12043.49</v>
      </c>
      <c r="PW53" s="322">
        <v>12654.96</v>
      </c>
      <c r="PX53" s="322">
        <v>13412.52</v>
      </c>
      <c r="PY53" s="322">
        <v>13894.39</v>
      </c>
      <c r="PZ53" s="322">
        <v>11468.789999999999</v>
      </c>
      <c r="QA53" s="322">
        <v>13032.11</v>
      </c>
      <c r="QB53" s="322">
        <v>12958.539999999999</v>
      </c>
      <c r="QC53" s="322">
        <v>13193.300000000001</v>
      </c>
      <c r="QD53" s="322">
        <v>13234.6</v>
      </c>
      <c r="QE53" s="322">
        <v>14526.61</v>
      </c>
      <c r="QF53" s="322">
        <v>13542.66</v>
      </c>
      <c r="QG53" s="322">
        <v>12815.48</v>
      </c>
      <c r="QH53" s="322">
        <v>12818.12</v>
      </c>
      <c r="QI53" s="322">
        <v>12307.64</v>
      </c>
      <c r="QJ53" s="322">
        <v>14808.28</v>
      </c>
      <c r="QK53" s="322">
        <v>14874.42</v>
      </c>
      <c r="QL53" s="322">
        <v>14814.7</v>
      </c>
      <c r="QM53" s="322">
        <v>15689</v>
      </c>
      <c r="QN53" s="334"/>
      <c r="QO53" s="322" t="s">
        <v>36</v>
      </c>
      <c r="QP53" s="322">
        <v>0</v>
      </c>
      <c r="QQ53" s="322">
        <v>0</v>
      </c>
      <c r="QR53" s="322">
        <v>0</v>
      </c>
      <c r="QS53" s="322">
        <v>0</v>
      </c>
      <c r="QT53" s="322">
        <v>0</v>
      </c>
      <c r="QU53" s="322">
        <v>0</v>
      </c>
      <c r="QV53" s="322">
        <v>0</v>
      </c>
      <c r="QW53" s="322">
        <v>0</v>
      </c>
      <c r="QX53" s="322">
        <v>0</v>
      </c>
      <c r="QY53" s="322">
        <v>0</v>
      </c>
      <c r="QZ53" s="322">
        <v>0</v>
      </c>
      <c r="RA53" s="322">
        <v>0</v>
      </c>
      <c r="RB53" s="322">
        <v>0</v>
      </c>
      <c r="RC53" s="322">
        <v>0</v>
      </c>
      <c r="RD53" s="322">
        <v>0</v>
      </c>
      <c r="RE53" s="322">
        <v>0</v>
      </c>
      <c r="RF53" s="322">
        <v>0</v>
      </c>
      <c r="RG53" s="322">
        <v>0</v>
      </c>
      <c r="RH53" s="322">
        <v>0</v>
      </c>
      <c r="RI53" s="322">
        <v>0</v>
      </c>
      <c r="RJ53" s="322">
        <v>0</v>
      </c>
      <c r="RK53" s="322">
        <v>0</v>
      </c>
      <c r="RL53" s="334"/>
      <c r="RM53" s="322" t="s">
        <v>36</v>
      </c>
      <c r="RN53" s="322">
        <v>0</v>
      </c>
      <c r="RO53" s="322">
        <v>0</v>
      </c>
      <c r="RP53" s="322">
        <v>0</v>
      </c>
      <c r="RQ53" s="322">
        <v>11615.42</v>
      </c>
      <c r="RR53" s="322">
        <v>0</v>
      </c>
      <c r="RS53" s="322">
        <v>12654.96</v>
      </c>
      <c r="RT53" s="322">
        <v>0</v>
      </c>
      <c r="RU53" s="322">
        <v>13894.39</v>
      </c>
      <c r="RV53" s="322">
        <v>25284.11</v>
      </c>
      <c r="RW53" s="322">
        <v>11000</v>
      </c>
      <c r="RX53" s="322">
        <v>12000</v>
      </c>
      <c r="RY53" s="322">
        <v>42372</v>
      </c>
      <c r="RZ53" s="322">
        <v>13124</v>
      </c>
      <c r="SA53" s="322">
        <v>2227</v>
      </c>
      <c r="SB53" s="322">
        <v>12297</v>
      </c>
      <c r="SC53" s="322">
        <v>0</v>
      </c>
      <c r="SD53" s="322">
        <v>9358</v>
      </c>
      <c r="SE53" s="322">
        <v>12401</v>
      </c>
      <c r="SF53" s="322">
        <v>12436</v>
      </c>
      <c r="SG53" s="322">
        <v>12398</v>
      </c>
      <c r="SH53" s="322">
        <v>12412</v>
      </c>
      <c r="SI53" s="322">
        <v>12415</v>
      </c>
    </row>
    <row r="54" spans="1:503">
      <c r="A54" s="319" t="s">
        <v>37</v>
      </c>
      <c r="B54" s="319">
        <v>449402</v>
      </c>
      <c r="C54" s="319">
        <v>522763</v>
      </c>
      <c r="D54" s="319">
        <v>501102</v>
      </c>
      <c r="E54" s="319">
        <v>447588</v>
      </c>
      <c r="F54" s="319">
        <v>474042</v>
      </c>
      <c r="G54" s="319">
        <v>478515</v>
      </c>
      <c r="H54" s="319">
        <v>534211</v>
      </c>
      <c r="I54" s="319">
        <v>583269</v>
      </c>
      <c r="J54" s="319">
        <v>687023.43</v>
      </c>
      <c r="K54" s="319">
        <v>638469.48</v>
      </c>
      <c r="L54" s="319">
        <v>717257.09</v>
      </c>
      <c r="M54" s="319">
        <v>718297.98</v>
      </c>
      <c r="N54" s="319">
        <v>738924.32000000007</v>
      </c>
      <c r="O54" s="319">
        <v>690882.86</v>
      </c>
      <c r="P54" s="319">
        <v>751456.88000000012</v>
      </c>
      <c r="Q54" s="319">
        <v>671771.96</v>
      </c>
      <c r="R54" s="319">
        <v>707775.09</v>
      </c>
      <c r="S54" s="322">
        <v>712221.48</v>
      </c>
      <c r="T54" s="319">
        <v>774967.45</v>
      </c>
      <c r="U54" s="319">
        <v>702683.58000000007</v>
      </c>
      <c r="V54" s="319">
        <v>812644.76</v>
      </c>
      <c r="W54" s="319">
        <v>930655.67</v>
      </c>
      <c r="X54" s="330"/>
      <c r="Y54" s="319" t="s">
        <v>37</v>
      </c>
      <c r="Z54" s="319">
        <v>13482.06</v>
      </c>
      <c r="AA54" s="319">
        <v>36593.410000000003</v>
      </c>
      <c r="AB54" s="319">
        <v>35077.14</v>
      </c>
      <c r="AC54" s="319">
        <v>40282.92</v>
      </c>
      <c r="AD54" s="319">
        <v>42663.78</v>
      </c>
      <c r="AE54" s="319">
        <v>47851.5</v>
      </c>
      <c r="AF54" s="319">
        <v>47851.5</v>
      </c>
      <c r="AG54" s="319">
        <v>58326.9</v>
      </c>
      <c r="AH54" s="319">
        <v>54921.53</v>
      </c>
      <c r="AI54" s="319">
        <v>72856.78</v>
      </c>
      <c r="AJ54" s="319">
        <v>78607.67</v>
      </c>
      <c r="AK54" s="319">
        <v>75203.710000000006</v>
      </c>
      <c r="AL54" s="319">
        <v>75368.290000000008</v>
      </c>
      <c r="AM54" s="319">
        <v>75426.179999999993</v>
      </c>
      <c r="AN54" s="319">
        <v>74578.02</v>
      </c>
      <c r="AO54" s="319">
        <v>74380.12</v>
      </c>
      <c r="AP54" s="319">
        <v>80917.579999999987</v>
      </c>
      <c r="AQ54" s="322">
        <v>80693.840000000011</v>
      </c>
      <c r="AR54" s="319">
        <v>74003.95</v>
      </c>
      <c r="AS54" s="319">
        <v>82354.900000000009</v>
      </c>
      <c r="AT54" s="319">
        <v>79178.560000000012</v>
      </c>
      <c r="AU54" s="319">
        <v>98984.72</v>
      </c>
      <c r="AV54" s="334"/>
      <c r="AW54" s="319" t="s">
        <v>37</v>
      </c>
      <c r="AX54" s="319">
        <v>26964.12</v>
      </c>
      <c r="AY54" s="319">
        <v>41821.040000000001</v>
      </c>
      <c r="AZ54" s="319">
        <v>40088.160000000003</v>
      </c>
      <c r="BA54" s="319">
        <v>44758.8</v>
      </c>
      <c r="BB54" s="319">
        <v>42663.78</v>
      </c>
      <c r="BC54" s="319">
        <v>43066.35</v>
      </c>
      <c r="BD54" s="319">
        <v>42736.88</v>
      </c>
      <c r="BE54" s="319">
        <v>52494.21</v>
      </c>
      <c r="BF54" s="319">
        <v>51288.75</v>
      </c>
      <c r="BG54" s="319">
        <v>53636.710000000006</v>
      </c>
      <c r="BH54" s="319">
        <v>75532.47</v>
      </c>
      <c r="BI54" s="319">
        <v>56038.92</v>
      </c>
      <c r="BJ54" s="319">
        <v>52935.28</v>
      </c>
      <c r="BK54" s="319">
        <v>58894.630000000005</v>
      </c>
      <c r="BL54" s="319">
        <v>57110.060000000005</v>
      </c>
      <c r="BM54" s="319">
        <v>57049.909999999996</v>
      </c>
      <c r="BN54" s="319">
        <v>60902.98</v>
      </c>
      <c r="BO54" s="322">
        <v>58488.880000000012</v>
      </c>
      <c r="BP54" s="319">
        <v>58971.960000000006</v>
      </c>
      <c r="BQ54" s="319">
        <v>63775.040000000001</v>
      </c>
      <c r="BR54" s="319">
        <v>63886.740000000005</v>
      </c>
      <c r="BS54" s="319">
        <v>65814.92</v>
      </c>
      <c r="BT54" s="334"/>
      <c r="BU54" s="322" t="s">
        <v>37</v>
      </c>
      <c r="BV54" s="322">
        <v>13482.06</v>
      </c>
      <c r="BW54" s="322">
        <v>0</v>
      </c>
      <c r="BX54" s="322">
        <v>10022.040000000001</v>
      </c>
      <c r="BY54" s="322">
        <v>0</v>
      </c>
      <c r="BZ54" s="322">
        <v>14221.26</v>
      </c>
      <c r="CA54" s="322">
        <v>4785.1499999999996</v>
      </c>
      <c r="CB54" s="322">
        <v>16026.33</v>
      </c>
      <c r="CC54" s="322">
        <v>0</v>
      </c>
      <c r="CD54" s="322">
        <v>14826.5</v>
      </c>
      <c r="CE54" s="322">
        <v>0</v>
      </c>
      <c r="CF54" s="322">
        <v>18835.36</v>
      </c>
      <c r="CG54" s="322">
        <v>0</v>
      </c>
      <c r="CH54" s="322">
        <v>29407.84</v>
      </c>
      <c r="CI54" s="322">
        <v>2621.93</v>
      </c>
      <c r="CJ54" s="322">
        <v>17770.14</v>
      </c>
      <c r="CK54" s="322">
        <v>3482.56</v>
      </c>
      <c r="CL54" s="322">
        <v>29889.21</v>
      </c>
      <c r="CM54" s="322">
        <v>8169</v>
      </c>
      <c r="CN54" s="322">
        <v>40318.639999999999</v>
      </c>
      <c r="CO54" s="322">
        <v>11901.46</v>
      </c>
      <c r="CP54" s="322">
        <v>35237.520000000004</v>
      </c>
      <c r="CQ54" s="322">
        <v>9695</v>
      </c>
      <c r="CR54" s="334"/>
      <c r="CS54" s="322" t="s">
        <v>37</v>
      </c>
      <c r="CT54" s="322">
        <v>49434.22</v>
      </c>
      <c r="CU54" s="322">
        <v>57503.93</v>
      </c>
      <c r="CV54" s="322">
        <v>50110.2</v>
      </c>
      <c r="CW54" s="322">
        <v>49234.68</v>
      </c>
      <c r="CX54" s="322">
        <v>66365.88</v>
      </c>
      <c r="CY54" s="322">
        <v>66992.100000000006</v>
      </c>
      <c r="CZ54" s="322">
        <v>69447.429999999993</v>
      </c>
      <c r="DA54" s="322">
        <v>93323.04</v>
      </c>
      <c r="DB54" s="322">
        <v>122363.07</v>
      </c>
      <c r="DC54" s="322">
        <v>91991.47</v>
      </c>
      <c r="DD54" s="322">
        <v>89893.450000000012</v>
      </c>
      <c r="DE54" s="322">
        <v>90551.959999999977</v>
      </c>
      <c r="DF54" s="322">
        <v>100163.25000000001</v>
      </c>
      <c r="DG54" s="322">
        <v>66173.349999999991</v>
      </c>
      <c r="DH54" s="322">
        <v>64917.729999999996</v>
      </c>
      <c r="DI54" s="322">
        <v>56173.270000000004</v>
      </c>
      <c r="DJ54" s="322">
        <v>58136.740000000005</v>
      </c>
      <c r="DK54" s="322">
        <v>61484.899999999994</v>
      </c>
      <c r="DL54" s="322">
        <v>60911.060000000005</v>
      </c>
      <c r="DM54" s="322">
        <v>71172.81</v>
      </c>
      <c r="DN54" s="322">
        <v>62424.94000000001</v>
      </c>
      <c r="DO54" s="322">
        <v>77610</v>
      </c>
      <c r="DP54" s="334"/>
      <c r="DQ54" s="322" t="s">
        <v>37</v>
      </c>
      <c r="DR54" s="322">
        <v>31458.14</v>
      </c>
      <c r="DS54" s="322">
        <v>31365.78</v>
      </c>
      <c r="DT54" s="322">
        <v>35077.14</v>
      </c>
      <c r="DU54" s="322">
        <v>31331.16</v>
      </c>
      <c r="DV54" s="322">
        <v>37923.360000000001</v>
      </c>
      <c r="DW54" s="322">
        <v>52636.65</v>
      </c>
      <c r="DX54" s="322">
        <v>53421.1</v>
      </c>
      <c r="DY54" s="322">
        <v>46661.52</v>
      </c>
      <c r="DZ54" s="322">
        <v>60209.009999999995</v>
      </c>
      <c r="EA54" s="322">
        <v>91530.99</v>
      </c>
      <c r="EB54" s="322">
        <v>102280.4</v>
      </c>
      <c r="EC54" s="322">
        <v>83999.77</v>
      </c>
      <c r="ED54" s="322">
        <v>78633.609999999986</v>
      </c>
      <c r="EE54" s="322">
        <v>78410.3</v>
      </c>
      <c r="EF54" s="322">
        <v>116996.97</v>
      </c>
      <c r="EG54" s="322">
        <v>116302.84</v>
      </c>
      <c r="EH54" s="322">
        <v>71102</v>
      </c>
      <c r="EI54" s="322">
        <v>80622.8</v>
      </c>
      <c r="EJ54" s="322">
        <v>76868.7</v>
      </c>
      <c r="EK54" s="322">
        <v>35782</v>
      </c>
      <c r="EL54" s="322">
        <v>30227.88</v>
      </c>
      <c r="EM54" s="322">
        <v>34797.160000000003</v>
      </c>
      <c r="EN54" s="334"/>
      <c r="EO54" s="322" t="s">
        <v>37</v>
      </c>
      <c r="EP54" s="322">
        <v>13482.06</v>
      </c>
      <c r="EQ54" s="322">
        <v>15682.89</v>
      </c>
      <c r="ER54" s="322">
        <v>15033.06</v>
      </c>
      <c r="ES54" s="322">
        <v>17903.52</v>
      </c>
      <c r="ET54" s="322">
        <v>18961.68</v>
      </c>
      <c r="EU54" s="322">
        <v>19140.599999999999</v>
      </c>
      <c r="EV54" s="322">
        <v>21368.44</v>
      </c>
      <c r="EW54" s="322">
        <v>23330.76</v>
      </c>
      <c r="EX54" s="322">
        <v>23560.010000000002</v>
      </c>
      <c r="EY54" s="322">
        <v>25514.5</v>
      </c>
      <c r="EZ54" s="322">
        <v>27345.030000000002</v>
      </c>
      <c r="FA54" s="322">
        <v>33551.659999999996</v>
      </c>
      <c r="FB54" s="322">
        <v>34515.69</v>
      </c>
      <c r="FC54" s="322">
        <v>36469.96</v>
      </c>
      <c r="FD54" s="322">
        <v>34887.17</v>
      </c>
      <c r="FE54" s="322">
        <v>35816.68</v>
      </c>
      <c r="FF54" s="322">
        <v>35473.230000000003</v>
      </c>
      <c r="FG54" s="322">
        <v>35998.47</v>
      </c>
      <c r="FH54" s="322">
        <v>35460.25</v>
      </c>
      <c r="FI54" s="322">
        <v>38946.400000000001</v>
      </c>
      <c r="FJ54" s="322">
        <v>37556.729999999996</v>
      </c>
      <c r="FK54" s="322">
        <v>38500</v>
      </c>
      <c r="FL54" s="334"/>
      <c r="FM54" s="322" t="s">
        <v>37</v>
      </c>
      <c r="FN54" s="322">
        <v>40446.18</v>
      </c>
      <c r="FO54" s="322">
        <v>41821.040000000001</v>
      </c>
      <c r="FP54" s="322">
        <v>45099.18</v>
      </c>
      <c r="FQ54" s="322">
        <v>44758.8</v>
      </c>
      <c r="FR54" s="322">
        <v>47404.2</v>
      </c>
      <c r="FS54" s="322">
        <v>47851.5</v>
      </c>
      <c r="FT54" s="322">
        <v>48078.99</v>
      </c>
      <c r="FU54" s="322">
        <v>52494.21</v>
      </c>
      <c r="FV54" s="322">
        <v>50940.160000000003</v>
      </c>
      <c r="FW54" s="322">
        <v>52809.73000000001</v>
      </c>
      <c r="FX54" s="322">
        <v>54411.830000000009</v>
      </c>
      <c r="FY54" s="322">
        <v>56983.570000000007</v>
      </c>
      <c r="FZ54" s="322">
        <v>57869.53</v>
      </c>
      <c r="GA54" s="322">
        <v>58479.81</v>
      </c>
      <c r="GB54" s="322">
        <v>59864.430000000015</v>
      </c>
      <c r="GC54" s="322">
        <v>61668.89</v>
      </c>
      <c r="GD54" s="322">
        <v>62684.950000000004</v>
      </c>
      <c r="GE54" s="322">
        <v>62539.22</v>
      </c>
      <c r="GF54" s="340">
        <v>63413.360000000008</v>
      </c>
      <c r="GG54" s="704">
        <v>66543.25</v>
      </c>
      <c r="GH54" s="704">
        <v>67510.080000000002</v>
      </c>
      <c r="GI54" s="704">
        <v>68539.61</v>
      </c>
      <c r="GJ54" s="334"/>
      <c r="GK54" s="322" t="s">
        <v>37</v>
      </c>
      <c r="GL54" s="322">
        <v>13482.06</v>
      </c>
      <c r="GM54" s="322">
        <v>15682.89</v>
      </c>
      <c r="GN54" s="322">
        <v>10022.040000000001</v>
      </c>
      <c r="GO54" s="322">
        <v>13427.64</v>
      </c>
      <c r="GP54" s="322">
        <v>14221.26</v>
      </c>
      <c r="GQ54" s="322">
        <v>14355.45</v>
      </c>
      <c r="GR54" s="322">
        <v>10684.22</v>
      </c>
      <c r="GS54" s="322">
        <v>11665.38</v>
      </c>
      <c r="GT54" s="322">
        <v>12823.080000000002</v>
      </c>
      <c r="GU54" s="322">
        <v>0</v>
      </c>
      <c r="GV54" s="322">
        <v>0</v>
      </c>
      <c r="GW54" s="322">
        <v>37993.55999999999</v>
      </c>
      <c r="GX54" s="322">
        <v>40594.770000000004</v>
      </c>
      <c r="GY54" s="322">
        <v>43254.85</v>
      </c>
      <c r="GZ54" s="322">
        <v>44214.85</v>
      </c>
      <c r="HA54" s="322">
        <v>39273.33</v>
      </c>
      <c r="HB54" s="322">
        <v>39822.71</v>
      </c>
      <c r="HC54" s="322">
        <v>39073.53</v>
      </c>
      <c r="HD54" s="322">
        <v>40048.959999999999</v>
      </c>
      <c r="HE54" s="322">
        <v>42217.520000000004</v>
      </c>
      <c r="HF54" s="322">
        <v>42121.100000000006</v>
      </c>
      <c r="HG54" s="322">
        <v>43500</v>
      </c>
      <c r="HH54" s="334"/>
      <c r="HI54" s="322" t="s">
        <v>37</v>
      </c>
      <c r="HJ54" s="322">
        <v>0</v>
      </c>
      <c r="HK54" s="322">
        <v>0</v>
      </c>
      <c r="HL54" s="322">
        <v>0</v>
      </c>
      <c r="HM54" s="322">
        <v>0</v>
      </c>
      <c r="HN54" s="322">
        <v>0</v>
      </c>
      <c r="HO54" s="322">
        <v>0</v>
      </c>
      <c r="HP54" s="322">
        <v>0</v>
      </c>
      <c r="HQ54" s="322">
        <v>0</v>
      </c>
      <c r="HR54" s="322">
        <v>0</v>
      </c>
      <c r="HS54" s="322">
        <v>16568.66</v>
      </c>
      <c r="HT54" s="322">
        <v>18004.099999999999</v>
      </c>
      <c r="HU54" s="322">
        <v>10418.39</v>
      </c>
      <c r="HV54" s="322">
        <v>10915.67</v>
      </c>
      <c r="HW54" s="322">
        <v>8680.5299999999988</v>
      </c>
      <c r="HX54" s="322">
        <v>10423.25</v>
      </c>
      <c r="HY54" s="322">
        <v>13920.480000000001</v>
      </c>
      <c r="HZ54" s="322">
        <v>13880.04</v>
      </c>
      <c r="IA54" s="322">
        <v>13674.54</v>
      </c>
      <c r="IB54" s="322">
        <v>24024.34</v>
      </c>
      <c r="IC54" s="322">
        <v>12176.19</v>
      </c>
      <c r="ID54" s="322">
        <v>11561</v>
      </c>
      <c r="IE54" s="322">
        <v>18700</v>
      </c>
      <c r="IF54" s="334"/>
      <c r="IG54" s="322" t="s">
        <v>37</v>
      </c>
      <c r="IH54" s="322">
        <v>4494.0200000000004</v>
      </c>
      <c r="II54" s="322">
        <v>0</v>
      </c>
      <c r="IJ54" s="322">
        <v>0</v>
      </c>
      <c r="IK54" s="322">
        <v>0</v>
      </c>
      <c r="IL54" s="322">
        <v>0</v>
      </c>
      <c r="IM54" s="322">
        <v>0</v>
      </c>
      <c r="IN54" s="322">
        <v>5342.11</v>
      </c>
      <c r="IO54" s="322">
        <v>0</v>
      </c>
      <c r="IP54" s="322">
        <v>2229.17</v>
      </c>
      <c r="IQ54" s="322">
        <v>2536.0699999999997</v>
      </c>
      <c r="IR54" s="322">
        <v>0</v>
      </c>
      <c r="IS54" s="322">
        <v>0</v>
      </c>
      <c r="IT54" s="322">
        <v>0</v>
      </c>
      <c r="IU54" s="322">
        <v>0</v>
      </c>
      <c r="IV54" s="322"/>
      <c r="IW54" s="322"/>
      <c r="IX54" s="322"/>
      <c r="IY54" s="322"/>
      <c r="IZ54" s="322"/>
      <c r="JA54" s="322"/>
      <c r="JB54" s="322"/>
      <c r="JC54" s="322"/>
      <c r="JD54" s="334"/>
      <c r="JE54" s="322" t="s">
        <v>37</v>
      </c>
      <c r="JF54" s="322">
        <v>4494.0200000000004</v>
      </c>
      <c r="JG54" s="322">
        <v>0</v>
      </c>
      <c r="JH54" s="322">
        <v>0</v>
      </c>
      <c r="JI54" s="322">
        <v>0</v>
      </c>
      <c r="JJ54" s="322">
        <v>0</v>
      </c>
      <c r="JK54" s="322">
        <v>0</v>
      </c>
      <c r="JL54" s="322">
        <v>0</v>
      </c>
      <c r="JM54" s="322">
        <v>0</v>
      </c>
      <c r="JN54" s="322">
        <v>664.51</v>
      </c>
      <c r="JO54" s="322">
        <v>251.45999999999998</v>
      </c>
      <c r="JP54" s="322">
        <v>111.52000000000001</v>
      </c>
      <c r="JQ54" s="322">
        <v>775.36999999999989</v>
      </c>
      <c r="JR54" s="322">
        <v>493.98</v>
      </c>
      <c r="JS54" s="322">
        <v>790.75</v>
      </c>
      <c r="JT54" s="322">
        <v>479.76</v>
      </c>
      <c r="JU54" s="322">
        <v>613.74</v>
      </c>
      <c r="JV54" s="322">
        <v>592.17999999999995</v>
      </c>
      <c r="JW54" s="322">
        <v>459.17</v>
      </c>
      <c r="JX54" s="322">
        <v>293.39</v>
      </c>
      <c r="JY54" s="322">
        <v>0</v>
      </c>
      <c r="JZ54" s="322">
        <v>0</v>
      </c>
      <c r="KA54" s="322">
        <v>0</v>
      </c>
      <c r="KB54" s="334"/>
      <c r="KC54" s="322" t="s">
        <v>37</v>
      </c>
      <c r="KD54" s="322">
        <v>13482.06</v>
      </c>
      <c r="KE54" s="322">
        <v>15682.89</v>
      </c>
      <c r="KF54" s="322">
        <v>15033.06</v>
      </c>
      <c r="KG54" s="322">
        <v>22379.4</v>
      </c>
      <c r="KH54" s="322">
        <v>23702.1</v>
      </c>
      <c r="KI54" s="322">
        <v>33496.050000000003</v>
      </c>
      <c r="KJ54" s="322">
        <v>32052.66</v>
      </c>
      <c r="KK54" s="322">
        <v>23330.76</v>
      </c>
      <c r="KL54" s="322">
        <v>21633.399999999998</v>
      </c>
      <c r="KM54" s="322">
        <v>31478.86</v>
      </c>
      <c r="KN54" s="322">
        <v>21863.07</v>
      </c>
      <c r="KO54" s="322">
        <v>22063.41</v>
      </c>
      <c r="KP54" s="322">
        <v>23056.45</v>
      </c>
      <c r="KQ54" s="322">
        <v>22826.74</v>
      </c>
      <c r="KR54" s="322">
        <v>22625.370000000003</v>
      </c>
      <c r="KS54" s="322">
        <v>22752.15</v>
      </c>
      <c r="KT54" s="322">
        <v>22469.100000000002</v>
      </c>
      <c r="KU54" s="322">
        <v>15748.65</v>
      </c>
      <c r="KV54" s="322">
        <v>16376.199999999999</v>
      </c>
      <c r="KW54" s="322">
        <v>18149.12</v>
      </c>
      <c r="KX54" s="322">
        <v>18194.5</v>
      </c>
      <c r="KY54" s="322">
        <v>19037.5</v>
      </c>
      <c r="KZ54" s="334"/>
      <c r="LA54" s="322" t="s">
        <v>37</v>
      </c>
      <c r="LB54" s="322">
        <v>35952.160000000003</v>
      </c>
      <c r="LC54" s="322">
        <v>47048.67</v>
      </c>
      <c r="LD54" s="322">
        <v>35077.14</v>
      </c>
      <c r="LE54" s="322">
        <v>31331.16</v>
      </c>
      <c r="LF54" s="322">
        <v>61625.46</v>
      </c>
      <c r="LG54" s="322">
        <v>57421.8</v>
      </c>
      <c r="LH54" s="322">
        <v>48078.99</v>
      </c>
      <c r="LI54" s="322">
        <v>58326.9</v>
      </c>
      <c r="LJ54" s="322">
        <v>50509.91</v>
      </c>
      <c r="LK54" s="322">
        <v>45683.7</v>
      </c>
      <c r="LL54" s="322">
        <v>64035.75</v>
      </c>
      <c r="LM54" s="322">
        <v>56450.65</v>
      </c>
      <c r="LN54" s="322">
        <v>56132.170000000006</v>
      </c>
      <c r="LO54" s="322">
        <v>58371.9</v>
      </c>
      <c r="LP54" s="322">
        <v>54228.42</v>
      </c>
      <c r="LQ54" s="322">
        <v>35218.439999999995</v>
      </c>
      <c r="LR54" s="322">
        <v>45410.229999999996</v>
      </c>
      <c r="LS54" s="322">
        <v>62543.390000000007</v>
      </c>
      <c r="LT54" s="322">
        <v>87537.989999999991</v>
      </c>
      <c r="LU54" s="322">
        <v>92293.17</v>
      </c>
      <c r="LV54" s="322">
        <v>127349.98</v>
      </c>
      <c r="LW54" s="322">
        <v>138339.85</v>
      </c>
      <c r="LX54" s="334"/>
      <c r="LY54" s="322" t="s">
        <v>37</v>
      </c>
      <c r="LZ54" s="322">
        <v>62916.28</v>
      </c>
      <c r="MA54" s="322">
        <v>73186.820000000007</v>
      </c>
      <c r="MB54" s="322">
        <v>75165.3</v>
      </c>
      <c r="MC54" s="322">
        <v>0</v>
      </c>
      <c r="MD54" s="322">
        <v>0</v>
      </c>
      <c r="ME54" s="322">
        <v>0</v>
      </c>
      <c r="MF54" s="322">
        <v>0</v>
      </c>
      <c r="MG54" s="322">
        <v>0</v>
      </c>
      <c r="MH54" s="322">
        <v>0</v>
      </c>
      <c r="MI54" s="322">
        <v>0</v>
      </c>
      <c r="MJ54" s="322">
        <v>0</v>
      </c>
      <c r="MK54" s="322">
        <v>0</v>
      </c>
      <c r="ML54" s="322">
        <v>0</v>
      </c>
      <c r="MM54" s="322">
        <v>0</v>
      </c>
      <c r="MN54" s="322">
        <v>0</v>
      </c>
      <c r="MO54" s="322">
        <v>0</v>
      </c>
      <c r="MP54" s="322">
        <v>0</v>
      </c>
      <c r="MQ54" s="322">
        <v>0</v>
      </c>
      <c r="MR54" s="322">
        <v>0</v>
      </c>
      <c r="MS54" s="322">
        <v>0</v>
      </c>
      <c r="MT54" s="322">
        <v>12157.16</v>
      </c>
      <c r="MU54" s="322">
        <v>23000</v>
      </c>
      <c r="MV54" s="334"/>
      <c r="MW54" s="322" t="s">
        <v>37</v>
      </c>
      <c r="MX54" s="322">
        <v>31458.14</v>
      </c>
      <c r="MY54" s="322">
        <v>36593.410000000003</v>
      </c>
      <c r="MZ54" s="322">
        <v>40088.160000000003</v>
      </c>
      <c r="NA54" s="322">
        <v>0</v>
      </c>
      <c r="NB54" s="322">
        <v>0</v>
      </c>
      <c r="NC54" s="322">
        <v>0</v>
      </c>
      <c r="ND54" s="322">
        <v>0</v>
      </c>
      <c r="NE54" s="322">
        <v>0</v>
      </c>
      <c r="NF54" s="322">
        <v>0</v>
      </c>
      <c r="NG54" s="322">
        <v>0</v>
      </c>
      <c r="NH54" s="322">
        <v>0</v>
      </c>
      <c r="NI54" s="322">
        <v>0</v>
      </c>
      <c r="NJ54" s="322">
        <v>0</v>
      </c>
      <c r="NK54" s="322">
        <v>0</v>
      </c>
      <c r="NL54" s="322">
        <v>0</v>
      </c>
      <c r="NM54" s="322">
        <v>0</v>
      </c>
      <c r="NN54" s="322">
        <v>0</v>
      </c>
      <c r="NO54" s="322">
        <v>0</v>
      </c>
      <c r="NP54" s="322">
        <v>0</v>
      </c>
      <c r="NQ54" s="322">
        <v>0</v>
      </c>
      <c r="NR54" s="322">
        <v>51003.199999999997</v>
      </c>
      <c r="NS54" s="322">
        <v>30000</v>
      </c>
      <c r="NT54" s="334"/>
      <c r="NU54" s="322" t="s">
        <v>37</v>
      </c>
      <c r="NV54" s="322">
        <v>40446.18</v>
      </c>
      <c r="NW54" s="322">
        <v>41821.040000000001</v>
      </c>
      <c r="NX54" s="322">
        <v>40088.160000000003</v>
      </c>
      <c r="NY54" s="322">
        <v>44758.8</v>
      </c>
      <c r="NZ54" s="322">
        <v>47404.2</v>
      </c>
      <c r="OA54" s="322">
        <v>47851.5</v>
      </c>
      <c r="OB54" s="322">
        <v>48078.99</v>
      </c>
      <c r="OC54" s="322">
        <v>58326.9</v>
      </c>
      <c r="OD54" s="322">
        <v>55941.1</v>
      </c>
      <c r="OE54" s="322">
        <v>58002.879999999997</v>
      </c>
      <c r="OF54" s="322">
        <v>59437.74</v>
      </c>
      <c r="OG54" s="322">
        <v>61637.34</v>
      </c>
      <c r="OH54" s="322">
        <v>62928.51</v>
      </c>
      <c r="OI54" s="322">
        <v>62748.509999999987</v>
      </c>
      <c r="OJ54" s="322">
        <v>63265.57</v>
      </c>
      <c r="OK54" s="322">
        <v>68486.37999999999</v>
      </c>
      <c r="OL54" s="322">
        <v>66920.479999999996</v>
      </c>
      <c r="OM54" s="322">
        <v>71457.939999999988</v>
      </c>
      <c r="ON54" s="322">
        <v>67511.759999999995</v>
      </c>
      <c r="OO54" s="322">
        <v>73607.709999999992</v>
      </c>
      <c r="OP54" s="322">
        <v>73433.81</v>
      </c>
      <c r="OQ54" s="322">
        <v>86138.93</v>
      </c>
      <c r="OR54" s="334"/>
      <c r="OS54" s="322" t="s">
        <v>37</v>
      </c>
      <c r="OT54" s="322">
        <v>40446.18</v>
      </c>
      <c r="OU54" s="322">
        <v>52276.3</v>
      </c>
      <c r="OV54" s="322">
        <v>40088.160000000003</v>
      </c>
      <c r="OW54" s="322">
        <v>35807.040000000001</v>
      </c>
      <c r="OX54" s="322">
        <v>23702.1</v>
      </c>
      <c r="OY54" s="322">
        <v>23925.75</v>
      </c>
      <c r="OZ54" s="322">
        <v>26710.55</v>
      </c>
      <c r="PA54" s="322">
        <v>34996.14</v>
      </c>
      <c r="PB54" s="322">
        <v>25732.81</v>
      </c>
      <c r="PC54" s="322">
        <v>28443.510000000002</v>
      </c>
      <c r="PD54" s="322">
        <v>22134.1</v>
      </c>
      <c r="PE54" s="322">
        <v>18505.5</v>
      </c>
      <c r="PF54" s="322">
        <v>14694.9</v>
      </c>
      <c r="PG54" s="322">
        <v>21024.5</v>
      </c>
      <c r="PH54" s="322">
        <v>18506</v>
      </c>
      <c r="PI54" s="322">
        <v>21900</v>
      </c>
      <c r="PJ54" s="322">
        <v>20680</v>
      </c>
      <c r="PK54" s="322">
        <v>20680</v>
      </c>
      <c r="PL54" s="322">
        <v>19646</v>
      </c>
      <c r="PM54" s="322">
        <v>18207.169999999998</v>
      </c>
      <c r="PN54" s="322">
        <v>18207.169999999998</v>
      </c>
      <c r="PO54" s="322">
        <v>18207.169999999998</v>
      </c>
      <c r="PP54" s="334"/>
      <c r="PQ54" s="322" t="s">
        <v>37</v>
      </c>
      <c r="PR54" s="322">
        <v>0</v>
      </c>
      <c r="PS54" s="322">
        <v>5227.63</v>
      </c>
      <c r="PT54" s="322">
        <v>5011.0200000000004</v>
      </c>
      <c r="PU54" s="322">
        <v>4475.88</v>
      </c>
      <c r="PV54" s="322">
        <v>4740.42</v>
      </c>
      <c r="PW54" s="322">
        <v>4785.1499999999996</v>
      </c>
      <c r="PX54" s="322">
        <v>5342.11</v>
      </c>
      <c r="PY54" s="322">
        <v>11665.38</v>
      </c>
      <c r="PZ54" s="322">
        <v>6880.42</v>
      </c>
      <c r="QA54" s="322">
        <v>10057.81</v>
      </c>
      <c r="QB54" s="322">
        <v>11764.6</v>
      </c>
      <c r="QC54" s="322">
        <v>13160.37</v>
      </c>
      <c r="QD54" s="322">
        <v>12428.140000000001</v>
      </c>
      <c r="QE54" s="322">
        <v>12416</v>
      </c>
      <c r="QF54" s="322">
        <v>12333.5</v>
      </c>
      <c r="QG54" s="322">
        <v>11033.169999999998</v>
      </c>
      <c r="QH54" s="322">
        <v>11060.66</v>
      </c>
      <c r="QI54" s="322">
        <v>12258.560000000001</v>
      </c>
      <c r="QJ54" s="322">
        <v>11904.34</v>
      </c>
      <c r="QK54" s="322">
        <v>10936.31</v>
      </c>
      <c r="QL54" s="322">
        <v>11286.91</v>
      </c>
      <c r="QM54" s="322">
        <v>17217.54</v>
      </c>
      <c r="QN54" s="334"/>
      <c r="QO54" s="322" t="s">
        <v>37</v>
      </c>
      <c r="QP54" s="322">
        <v>0</v>
      </c>
      <c r="QQ54" s="322">
        <v>0</v>
      </c>
      <c r="QR54" s="322">
        <v>0</v>
      </c>
      <c r="QS54" s="322">
        <v>0</v>
      </c>
      <c r="QT54" s="322">
        <v>0</v>
      </c>
      <c r="QU54" s="322">
        <v>0</v>
      </c>
      <c r="QV54" s="322">
        <v>0</v>
      </c>
      <c r="QW54" s="322">
        <v>0</v>
      </c>
      <c r="QX54" s="322">
        <v>0</v>
      </c>
      <c r="QY54" s="322">
        <v>0</v>
      </c>
      <c r="QZ54" s="322">
        <v>0</v>
      </c>
      <c r="RA54" s="322">
        <v>0</v>
      </c>
      <c r="RB54" s="322">
        <v>0</v>
      </c>
      <c r="RC54" s="322">
        <v>0</v>
      </c>
      <c r="RD54" s="322">
        <v>0</v>
      </c>
      <c r="RE54" s="322">
        <v>0</v>
      </c>
      <c r="RF54" s="322">
        <v>0</v>
      </c>
      <c r="RG54" s="322">
        <v>1200</v>
      </c>
      <c r="RH54" s="322">
        <v>6210</v>
      </c>
      <c r="RI54" s="322">
        <v>5710</v>
      </c>
      <c r="RJ54" s="322">
        <v>6210</v>
      </c>
      <c r="RK54" s="322">
        <v>1200</v>
      </c>
      <c r="RL54" s="334"/>
      <c r="RM54" s="322" t="s">
        <v>37</v>
      </c>
      <c r="RN54" s="322">
        <v>13482.06</v>
      </c>
      <c r="RO54" s="322">
        <v>10455.26</v>
      </c>
      <c r="RP54" s="322">
        <v>10022.040000000001</v>
      </c>
      <c r="RQ54" s="322">
        <v>67138.2</v>
      </c>
      <c r="RR54" s="322">
        <v>28442.52</v>
      </c>
      <c r="RS54" s="322">
        <v>14355.45</v>
      </c>
      <c r="RT54" s="322">
        <v>53421.1</v>
      </c>
      <c r="RU54" s="322">
        <v>58326.9</v>
      </c>
      <c r="RV54" s="322">
        <v>125000</v>
      </c>
      <c r="RW54" s="322">
        <v>57106.35</v>
      </c>
      <c r="RX54" s="322">
        <v>65500</v>
      </c>
      <c r="RY54" s="322">
        <v>100963.8</v>
      </c>
      <c r="RZ54" s="322">
        <v>79748.34</v>
      </c>
      <c r="SA54" s="322">
        <v>84292.92</v>
      </c>
      <c r="SB54" s="322">
        <v>99255.64</v>
      </c>
      <c r="SC54" s="322">
        <v>53700</v>
      </c>
      <c r="SD54" s="322">
        <v>87833</v>
      </c>
      <c r="SE54" s="322">
        <v>87128.59</v>
      </c>
      <c r="SF54" s="322">
        <v>91466.55</v>
      </c>
      <c r="SG54" s="322">
        <v>51522.03</v>
      </c>
      <c r="SH54" s="322">
        <v>65097.48</v>
      </c>
      <c r="SI54" s="322">
        <v>116578.57</v>
      </c>
    </row>
    <row r="55" spans="1:503">
      <c r="A55" s="319" t="s">
        <v>38</v>
      </c>
      <c r="B55" s="319">
        <v>2607469</v>
      </c>
      <c r="C55" s="319">
        <v>2331402</v>
      </c>
      <c r="D55" s="319">
        <v>2582537</v>
      </c>
      <c r="E55" s="319">
        <v>2743813</v>
      </c>
      <c r="F55" s="319">
        <v>3318451</v>
      </c>
      <c r="G55" s="319">
        <v>3356987</v>
      </c>
      <c r="H55" s="319">
        <v>3405809</v>
      </c>
      <c r="I55" s="319">
        <v>3602492</v>
      </c>
      <c r="J55" s="319">
        <v>3685405.8499999996</v>
      </c>
      <c r="K55" s="319">
        <v>4215903.47</v>
      </c>
      <c r="L55" s="319">
        <v>4373665.4400000004</v>
      </c>
      <c r="M55" s="319">
        <v>4414372.83</v>
      </c>
      <c r="N55" s="319">
        <v>5081206.5</v>
      </c>
      <c r="O55" s="319">
        <v>4798392.2699999996</v>
      </c>
      <c r="P55" s="319">
        <v>4743047.16</v>
      </c>
      <c r="Q55" s="319">
        <v>4661619.4700000007</v>
      </c>
      <c r="R55" s="319">
        <v>4707348.7810000004</v>
      </c>
      <c r="S55" s="322">
        <v>4829719.5</v>
      </c>
      <c r="T55" s="319">
        <v>4949031.97</v>
      </c>
      <c r="U55" s="319"/>
      <c r="V55" s="319"/>
      <c r="W55" s="319"/>
      <c r="X55" s="330"/>
      <c r="Y55" s="319" t="s">
        <v>38</v>
      </c>
      <c r="Z55" s="319">
        <v>78224.070000000007</v>
      </c>
      <c r="AA55" s="319">
        <v>93256.08</v>
      </c>
      <c r="AB55" s="319">
        <v>77476.11</v>
      </c>
      <c r="AC55" s="319">
        <v>109752.52</v>
      </c>
      <c r="AD55" s="319">
        <v>99553.53</v>
      </c>
      <c r="AE55" s="319">
        <v>100709.61</v>
      </c>
      <c r="AF55" s="319">
        <v>100709.61</v>
      </c>
      <c r="AG55" s="319">
        <v>108074.76</v>
      </c>
      <c r="AH55" s="319">
        <v>104596.82</v>
      </c>
      <c r="AI55" s="319">
        <v>108726.57999999999</v>
      </c>
      <c r="AJ55" s="319">
        <v>109436.11</v>
      </c>
      <c r="AK55" s="319">
        <v>108945.05999999998</v>
      </c>
      <c r="AL55" s="319">
        <v>110198.71999999999</v>
      </c>
      <c r="AM55" s="319">
        <v>113469.63</v>
      </c>
      <c r="AN55" s="319">
        <v>112547.34000000001</v>
      </c>
      <c r="AO55" s="319">
        <v>112727.03999999999</v>
      </c>
      <c r="AP55" s="319">
        <v>116773.7</v>
      </c>
      <c r="AQ55" s="322">
        <v>114763.88</v>
      </c>
      <c r="AR55" s="319">
        <v>115257.26000000001</v>
      </c>
      <c r="AS55" s="319"/>
      <c r="AT55" s="319"/>
      <c r="AU55" s="319"/>
      <c r="AV55" s="334"/>
      <c r="AW55" s="319" t="s">
        <v>38</v>
      </c>
      <c r="AX55" s="319">
        <v>78224.069999999992</v>
      </c>
      <c r="AY55" s="319">
        <v>93256.08</v>
      </c>
      <c r="AZ55" s="319">
        <v>77476.11</v>
      </c>
      <c r="BA55" s="319">
        <v>109752.52</v>
      </c>
      <c r="BB55" s="319">
        <v>99553.53</v>
      </c>
      <c r="BC55" s="319">
        <v>134279.48000000001</v>
      </c>
      <c r="BD55" s="319">
        <v>102174.26999999999</v>
      </c>
      <c r="BE55" s="319">
        <v>108074.76</v>
      </c>
      <c r="BF55" s="319">
        <v>105568.15</v>
      </c>
      <c r="BG55" s="319">
        <v>111489.37000000001</v>
      </c>
      <c r="BH55" s="319">
        <v>108328.51999999999</v>
      </c>
      <c r="BI55" s="319">
        <v>116815.88999999998</v>
      </c>
      <c r="BJ55" s="319">
        <v>120238.66999999998</v>
      </c>
      <c r="BK55" s="319">
        <v>115864.3</v>
      </c>
      <c r="BL55" s="319">
        <v>115532.23000000003</v>
      </c>
      <c r="BM55" s="319">
        <v>114630.71</v>
      </c>
      <c r="BN55" s="319">
        <v>116077.46999999999</v>
      </c>
      <c r="BO55" s="322">
        <v>120049.33999999998</v>
      </c>
      <c r="BP55" s="319">
        <v>115893.1</v>
      </c>
      <c r="BQ55" s="319"/>
      <c r="BR55" s="319"/>
      <c r="BS55" s="319"/>
      <c r="BT55" s="334"/>
      <c r="BU55" s="322" t="s">
        <v>38</v>
      </c>
      <c r="BV55" s="322">
        <v>52149.38</v>
      </c>
      <c r="BW55" s="322">
        <v>23314.02</v>
      </c>
      <c r="BX55" s="322">
        <v>51650.74</v>
      </c>
      <c r="BY55" s="322">
        <v>27438.13</v>
      </c>
      <c r="BZ55" s="322">
        <v>66369.02</v>
      </c>
      <c r="CA55" s="322">
        <v>33569.870000000003</v>
      </c>
      <c r="CB55" s="322">
        <v>68116.179999999993</v>
      </c>
      <c r="CC55" s="322">
        <v>36024.92</v>
      </c>
      <c r="CD55" s="322">
        <v>95714.97</v>
      </c>
      <c r="CE55" s="322">
        <v>24897.71</v>
      </c>
      <c r="CF55" s="322">
        <v>95263.08</v>
      </c>
      <c r="CG55" s="322">
        <v>28453.97</v>
      </c>
      <c r="CH55" s="322">
        <v>126307.79000000001</v>
      </c>
      <c r="CI55" s="322">
        <v>26057.200000000001</v>
      </c>
      <c r="CJ55" s="322">
        <v>104142.97</v>
      </c>
      <c r="CK55" s="322">
        <v>39371.480000000003</v>
      </c>
      <c r="CL55" s="322">
        <v>127605.40100000001</v>
      </c>
      <c r="CM55" s="322">
        <v>23039.78</v>
      </c>
      <c r="CN55" s="322">
        <v>103960.32999999999</v>
      </c>
      <c r="CO55" s="322"/>
      <c r="CP55" s="322"/>
      <c r="CQ55" s="322"/>
      <c r="CR55" s="334"/>
      <c r="CS55" s="322" t="s">
        <v>38</v>
      </c>
      <c r="CT55" s="322">
        <v>208597.52</v>
      </c>
      <c r="CU55" s="322">
        <v>163198.14000000001</v>
      </c>
      <c r="CV55" s="322">
        <v>387380.55</v>
      </c>
      <c r="CW55" s="322">
        <v>439010.08</v>
      </c>
      <c r="CX55" s="322">
        <v>431398.63</v>
      </c>
      <c r="CY55" s="322">
        <v>469978.18</v>
      </c>
      <c r="CZ55" s="322">
        <v>442755.17</v>
      </c>
      <c r="DA55" s="322">
        <v>396274.12</v>
      </c>
      <c r="DB55" s="322">
        <v>358628.68000000005</v>
      </c>
      <c r="DC55" s="322">
        <v>606152.06999999995</v>
      </c>
      <c r="DD55" s="322">
        <v>596248.03</v>
      </c>
      <c r="DE55" s="322">
        <v>604699.87</v>
      </c>
      <c r="DF55" s="322">
        <v>664380.13</v>
      </c>
      <c r="DG55" s="322">
        <v>674837.09000000008</v>
      </c>
      <c r="DH55" s="322">
        <v>783034.55999999994</v>
      </c>
      <c r="DI55" s="322">
        <v>763027.03000000014</v>
      </c>
      <c r="DJ55" s="322">
        <v>640641.94000000006</v>
      </c>
      <c r="DK55" s="322">
        <v>857723.57000000007</v>
      </c>
      <c r="DL55" s="322">
        <v>859395.66999999993</v>
      </c>
      <c r="DM55" s="322"/>
      <c r="DN55" s="322"/>
      <c r="DO55" s="322"/>
      <c r="DP55" s="334"/>
      <c r="DQ55" s="322" t="s">
        <v>38</v>
      </c>
      <c r="DR55" s="322">
        <v>156448.14000000001</v>
      </c>
      <c r="DS55" s="322">
        <v>69942.06</v>
      </c>
      <c r="DT55" s="322">
        <v>77476.11</v>
      </c>
      <c r="DU55" s="322">
        <v>82314.39</v>
      </c>
      <c r="DV55" s="322">
        <v>66369.02</v>
      </c>
      <c r="DW55" s="322">
        <v>134279.48000000001</v>
      </c>
      <c r="DX55" s="322">
        <v>136232.35999999999</v>
      </c>
      <c r="DY55" s="322">
        <v>360249.2</v>
      </c>
      <c r="DZ55" s="322">
        <v>344074.49</v>
      </c>
      <c r="EA55" s="322">
        <v>425149.29</v>
      </c>
      <c r="EB55" s="322">
        <v>449577.58999999997</v>
      </c>
      <c r="EC55" s="322">
        <v>456827.04000000004</v>
      </c>
      <c r="ED55" s="322">
        <v>460746.43999999994</v>
      </c>
      <c r="EE55" s="322">
        <v>495569.88</v>
      </c>
      <c r="EF55" s="322">
        <v>464079.96</v>
      </c>
      <c r="EG55" s="322">
        <v>591950.12</v>
      </c>
      <c r="EH55" s="322">
        <v>477678.45999999996</v>
      </c>
      <c r="EI55" s="322">
        <v>489818.01</v>
      </c>
      <c r="EJ55" s="322">
        <v>557251.1</v>
      </c>
      <c r="EK55" s="322"/>
      <c r="EL55" s="322"/>
      <c r="EM55" s="322"/>
      <c r="EN55" s="334"/>
      <c r="EO55" s="322" t="s">
        <v>38</v>
      </c>
      <c r="EP55" s="322">
        <v>26074.69</v>
      </c>
      <c r="EQ55" s="322">
        <v>23314.02</v>
      </c>
      <c r="ER55" s="322">
        <v>25825.37</v>
      </c>
      <c r="ES55" s="322">
        <v>54876.26</v>
      </c>
      <c r="ET55" s="322">
        <v>33184.51</v>
      </c>
      <c r="EU55" s="322">
        <v>33569.870000000003</v>
      </c>
      <c r="EV55" s="322">
        <v>34058.089999999997</v>
      </c>
      <c r="EW55" s="322">
        <v>72049.84</v>
      </c>
      <c r="EX55" s="322">
        <v>58196.94</v>
      </c>
      <c r="EY55" s="322">
        <v>56310.939999999995</v>
      </c>
      <c r="EZ55" s="322">
        <v>56558.47</v>
      </c>
      <c r="FA55" s="322">
        <v>57870.78</v>
      </c>
      <c r="FB55" s="322">
        <v>58529.189999999995</v>
      </c>
      <c r="FC55" s="322">
        <v>58045.159999999996</v>
      </c>
      <c r="FD55" s="322">
        <v>57987.199999999997</v>
      </c>
      <c r="FE55" s="322">
        <v>58743.1</v>
      </c>
      <c r="FF55" s="322">
        <v>63632.78</v>
      </c>
      <c r="FG55" s="322">
        <v>60844.159999999996</v>
      </c>
      <c r="FH55" s="322">
        <v>61463.899999999994</v>
      </c>
      <c r="FI55" s="322"/>
      <c r="FJ55" s="322"/>
      <c r="FK55" s="322"/>
      <c r="FL55" s="334"/>
      <c r="FM55" s="322" t="s">
        <v>38</v>
      </c>
      <c r="FN55" s="322">
        <v>78224.070000000007</v>
      </c>
      <c r="FO55" s="322">
        <v>69942.06</v>
      </c>
      <c r="FP55" s="322">
        <v>77476.11</v>
      </c>
      <c r="FQ55" s="322">
        <v>82314.39</v>
      </c>
      <c r="FR55" s="322">
        <v>99553.53</v>
      </c>
      <c r="FS55" s="322">
        <v>100709.61</v>
      </c>
      <c r="FT55" s="322">
        <v>102174.27</v>
      </c>
      <c r="FU55" s="322">
        <v>108074.76</v>
      </c>
      <c r="FV55" s="322">
        <v>89319.93</v>
      </c>
      <c r="FW55" s="322">
        <v>96435.950000000012</v>
      </c>
      <c r="FX55" s="322">
        <v>96810.61</v>
      </c>
      <c r="FY55" s="322">
        <v>95404.590000000011</v>
      </c>
      <c r="FZ55" s="322">
        <v>96757.939999999988</v>
      </c>
      <c r="GA55" s="322">
        <v>97649.49</v>
      </c>
      <c r="GB55" s="322">
        <v>98279.819999999992</v>
      </c>
      <c r="GC55" s="322">
        <v>98912.909999999989</v>
      </c>
      <c r="GD55" s="322">
        <v>101194.71999999999</v>
      </c>
      <c r="GE55" s="322">
        <v>100499.73</v>
      </c>
      <c r="GF55" s="340">
        <v>103669.16999999998</v>
      </c>
      <c r="GG55" s="704"/>
      <c r="GH55" s="704"/>
      <c r="GI55" s="704"/>
      <c r="GJ55" s="334"/>
      <c r="GK55" s="322" t="s">
        <v>38</v>
      </c>
      <c r="GL55" s="322">
        <v>52149.38</v>
      </c>
      <c r="GM55" s="322">
        <v>46628.04</v>
      </c>
      <c r="GN55" s="322">
        <v>51650.74</v>
      </c>
      <c r="GO55" s="322">
        <v>54876.26</v>
      </c>
      <c r="GP55" s="322">
        <v>66369.02</v>
      </c>
      <c r="GQ55" s="322">
        <v>67139.740000000005</v>
      </c>
      <c r="GR55" s="322">
        <v>68116.179999999993</v>
      </c>
      <c r="GS55" s="322">
        <v>108074.76</v>
      </c>
      <c r="GT55" s="322">
        <v>99765.83</v>
      </c>
      <c r="GU55" s="322">
        <v>107039.08</v>
      </c>
      <c r="GV55" s="322">
        <v>112002.62</v>
      </c>
      <c r="GW55" s="322">
        <v>114537.00000000001</v>
      </c>
      <c r="GX55" s="322">
        <v>116469.84999999999</v>
      </c>
      <c r="GY55" s="322">
        <v>111399.54000000001</v>
      </c>
      <c r="GZ55" s="322">
        <v>111559.49000000002</v>
      </c>
      <c r="HA55" s="322">
        <v>110552.87</v>
      </c>
      <c r="HB55" s="322">
        <v>112626.58</v>
      </c>
      <c r="HC55" s="322">
        <v>112900.97</v>
      </c>
      <c r="HD55" s="322">
        <v>112049.26999999999</v>
      </c>
      <c r="HE55" s="322"/>
      <c r="HF55" s="322"/>
      <c r="HG55" s="322"/>
      <c r="HH55" s="334"/>
      <c r="HI55" s="322" t="s">
        <v>38</v>
      </c>
      <c r="HJ55" s="322">
        <v>26074.69</v>
      </c>
      <c r="HK55" s="322">
        <v>23314.02</v>
      </c>
      <c r="HL55" s="322">
        <v>51650.74</v>
      </c>
      <c r="HM55" s="322">
        <v>27438.13</v>
      </c>
      <c r="HN55" s="322">
        <v>33184.51</v>
      </c>
      <c r="HO55" s="322">
        <v>33569.870000000003</v>
      </c>
      <c r="HP55" s="322">
        <v>34058.089999999997</v>
      </c>
      <c r="HQ55" s="322">
        <v>36024.92</v>
      </c>
      <c r="HR55" s="322">
        <v>47600.71</v>
      </c>
      <c r="HS55" s="322">
        <v>45207.53</v>
      </c>
      <c r="HT55" s="322">
        <v>48082.389999999992</v>
      </c>
      <c r="HU55" s="322">
        <v>49827.13</v>
      </c>
      <c r="HV55" s="322">
        <v>51682.07</v>
      </c>
      <c r="HW55" s="322">
        <v>52918.02</v>
      </c>
      <c r="HX55" s="322">
        <v>52590.68</v>
      </c>
      <c r="HY55" s="322">
        <v>53580.35</v>
      </c>
      <c r="HZ55" s="322">
        <v>49920.21</v>
      </c>
      <c r="IA55" s="322">
        <v>31764.42</v>
      </c>
      <c r="IB55" s="322">
        <v>50386.299999999996</v>
      </c>
      <c r="IC55" s="322"/>
      <c r="ID55" s="322"/>
      <c r="IE55" s="322"/>
      <c r="IF55" s="334"/>
      <c r="IG55" s="322" t="s">
        <v>38</v>
      </c>
      <c r="IH55" s="322">
        <v>26074.69</v>
      </c>
      <c r="II55" s="322">
        <v>0</v>
      </c>
      <c r="IJ55" s="322">
        <v>0</v>
      </c>
      <c r="IK55" s="322">
        <v>0</v>
      </c>
      <c r="IL55" s="322">
        <v>0</v>
      </c>
      <c r="IM55" s="322">
        <v>0</v>
      </c>
      <c r="IN55" s="322">
        <v>0</v>
      </c>
      <c r="IO55" s="322">
        <v>0</v>
      </c>
      <c r="IP55" s="322">
        <v>10332.09</v>
      </c>
      <c r="IQ55" s="322">
        <v>13588.289999999999</v>
      </c>
      <c r="IR55" s="322">
        <v>14039.61</v>
      </c>
      <c r="IS55" s="322">
        <v>13987.65</v>
      </c>
      <c r="IT55" s="322">
        <v>13742.759999999998</v>
      </c>
      <c r="IU55" s="322">
        <v>10652.71</v>
      </c>
      <c r="IV55" s="322"/>
      <c r="IW55" s="322"/>
      <c r="IX55" s="322"/>
      <c r="IY55" s="322"/>
      <c r="IZ55" s="322"/>
      <c r="JA55" s="322"/>
      <c r="JB55" s="322"/>
      <c r="JC55" s="322"/>
      <c r="JD55" s="334"/>
      <c r="JE55" s="322" t="s">
        <v>38</v>
      </c>
      <c r="JF55" s="322">
        <v>26074.69</v>
      </c>
      <c r="JG55" s="322">
        <v>0</v>
      </c>
      <c r="JH55" s="322">
        <v>0</v>
      </c>
      <c r="JI55" s="322">
        <v>27438.13</v>
      </c>
      <c r="JJ55" s="322">
        <v>33184.51</v>
      </c>
      <c r="JK55" s="322">
        <v>33569.870000000003</v>
      </c>
      <c r="JL55" s="322">
        <v>34058.089999999997</v>
      </c>
      <c r="JM55" s="322">
        <v>0</v>
      </c>
      <c r="JN55" s="322">
        <v>13556.83</v>
      </c>
      <c r="JO55" s="322">
        <v>66462.17</v>
      </c>
      <c r="JP55" s="322">
        <v>72745.37</v>
      </c>
      <c r="JQ55" s="322">
        <v>28106.76</v>
      </c>
      <c r="JR55" s="322">
        <v>44138.53</v>
      </c>
      <c r="JS55" s="322">
        <v>31116.510000000002</v>
      </c>
      <c r="JT55" s="322">
        <v>113158.06</v>
      </c>
      <c r="JU55" s="322">
        <v>117477.20000000001</v>
      </c>
      <c r="JV55" s="322">
        <v>142976.41</v>
      </c>
      <c r="JW55" s="322">
        <v>155213.17000000001</v>
      </c>
      <c r="JX55" s="322">
        <v>128745.62000000001</v>
      </c>
      <c r="JY55" s="322"/>
      <c r="JZ55" s="322"/>
      <c r="KA55" s="322"/>
      <c r="KB55" s="334"/>
      <c r="KC55" s="322" t="s">
        <v>38</v>
      </c>
      <c r="KD55" s="322">
        <v>26074.69</v>
      </c>
      <c r="KE55" s="322">
        <v>46628.04</v>
      </c>
      <c r="KF55" s="322">
        <v>51650.74</v>
      </c>
      <c r="KG55" s="322">
        <v>27438.13</v>
      </c>
      <c r="KH55" s="322">
        <v>66369.02</v>
      </c>
      <c r="KI55" s="322">
        <v>67139.740000000005</v>
      </c>
      <c r="KJ55" s="322">
        <v>68116.179999999993</v>
      </c>
      <c r="KK55" s="322">
        <v>72049.84</v>
      </c>
      <c r="KL55" s="322">
        <v>72445.149999999994</v>
      </c>
      <c r="KM55" s="322">
        <v>75325.06</v>
      </c>
      <c r="KN55" s="322">
        <v>82999.89</v>
      </c>
      <c r="KO55" s="322">
        <v>85310.82</v>
      </c>
      <c r="KP55" s="322">
        <v>89494.3</v>
      </c>
      <c r="KQ55" s="322">
        <v>97630.3</v>
      </c>
      <c r="KR55" s="322">
        <v>98478.709999999992</v>
      </c>
      <c r="KS55" s="322">
        <v>98225.47</v>
      </c>
      <c r="KT55" s="322">
        <v>103050.29000000001</v>
      </c>
      <c r="KU55" s="322">
        <v>103973.22</v>
      </c>
      <c r="KV55" s="322">
        <v>105249.94</v>
      </c>
      <c r="KW55" s="322"/>
      <c r="KX55" s="322"/>
      <c r="KY55" s="322"/>
      <c r="KZ55" s="334"/>
      <c r="LA55" s="322" t="s">
        <v>38</v>
      </c>
      <c r="LB55" s="322">
        <v>443269.73</v>
      </c>
      <c r="LC55" s="322">
        <v>233140.2</v>
      </c>
      <c r="LD55" s="322">
        <v>284079.07</v>
      </c>
      <c r="LE55" s="322">
        <v>219505.04</v>
      </c>
      <c r="LF55" s="322">
        <v>464583.14</v>
      </c>
      <c r="LG55" s="322">
        <v>402838.44</v>
      </c>
      <c r="LH55" s="322">
        <v>476813.26</v>
      </c>
      <c r="LI55" s="322">
        <v>504348.88</v>
      </c>
      <c r="LJ55" s="322">
        <v>244129.11</v>
      </c>
      <c r="LK55" s="322">
        <v>390982.19</v>
      </c>
      <c r="LL55" s="322">
        <v>353019.05999999994</v>
      </c>
      <c r="LM55" s="322">
        <v>402777.98999999993</v>
      </c>
      <c r="LN55" s="322">
        <v>369651.22</v>
      </c>
      <c r="LO55" s="322">
        <v>328801.59999999998</v>
      </c>
      <c r="LP55" s="322">
        <v>438120.08</v>
      </c>
      <c r="LQ55" s="322">
        <v>386506.05</v>
      </c>
      <c r="LR55" s="322">
        <v>402303.58</v>
      </c>
      <c r="LS55" s="322">
        <v>424274.10000000003</v>
      </c>
      <c r="LT55" s="322">
        <v>297068.15000000002</v>
      </c>
      <c r="LU55" s="322"/>
      <c r="LV55" s="322"/>
      <c r="LW55" s="322"/>
      <c r="LX55" s="334"/>
      <c r="LY55" s="322" t="s">
        <v>38</v>
      </c>
      <c r="LZ55" s="322">
        <v>312896.28000000003</v>
      </c>
      <c r="MA55" s="322">
        <v>396338.34</v>
      </c>
      <c r="MB55" s="322">
        <v>387380.55</v>
      </c>
      <c r="MC55" s="322">
        <v>384133.82</v>
      </c>
      <c r="MD55" s="322">
        <v>398214.12</v>
      </c>
      <c r="ME55" s="322">
        <v>402838.44</v>
      </c>
      <c r="MF55" s="322">
        <v>408697.08</v>
      </c>
      <c r="MG55" s="322">
        <v>432299.04</v>
      </c>
      <c r="MH55" s="322">
        <v>437312.55999999994</v>
      </c>
      <c r="MI55" s="322">
        <v>528677.52</v>
      </c>
      <c r="MJ55" s="322">
        <v>581635.19000000006</v>
      </c>
      <c r="MK55" s="322">
        <v>674830.55</v>
      </c>
      <c r="ML55" s="322">
        <v>707914.77</v>
      </c>
      <c r="MM55" s="322">
        <v>725861.4499999996</v>
      </c>
      <c r="MN55" s="322">
        <v>736784.9</v>
      </c>
      <c r="MO55" s="322">
        <v>752841.56</v>
      </c>
      <c r="MP55" s="322">
        <v>759394.94000000006</v>
      </c>
      <c r="MQ55" s="322">
        <v>812318.26</v>
      </c>
      <c r="MR55" s="322">
        <v>808278.0199999999</v>
      </c>
      <c r="MS55" s="322"/>
      <c r="MT55" s="322"/>
      <c r="MU55" s="322"/>
      <c r="MV55" s="334"/>
      <c r="MW55" s="322" t="s">
        <v>38</v>
      </c>
      <c r="MX55" s="322">
        <v>156448.14000000001</v>
      </c>
      <c r="MY55" s="322">
        <v>256454.22</v>
      </c>
      <c r="MZ55" s="322">
        <v>387380.55</v>
      </c>
      <c r="NA55" s="322">
        <v>439010.08</v>
      </c>
      <c r="NB55" s="322">
        <v>497767.65</v>
      </c>
      <c r="NC55" s="322">
        <v>537117.92000000004</v>
      </c>
      <c r="ND55" s="322">
        <v>578987.53</v>
      </c>
      <c r="NE55" s="322">
        <v>612423.64</v>
      </c>
      <c r="NF55" s="322">
        <v>610279.6100000001</v>
      </c>
      <c r="NG55" s="322">
        <v>691489.32000000007</v>
      </c>
      <c r="NH55" s="322">
        <v>703943.47</v>
      </c>
      <c r="NI55" s="322">
        <v>718313.69000000006</v>
      </c>
      <c r="NJ55" s="322">
        <v>705751.61</v>
      </c>
      <c r="NK55" s="322">
        <v>743775.94</v>
      </c>
      <c r="NL55" s="322">
        <v>741879.22000000009</v>
      </c>
      <c r="NM55" s="322">
        <v>739749.1399999999</v>
      </c>
      <c r="NN55" s="322">
        <v>736143.46</v>
      </c>
      <c r="NO55" s="322">
        <v>754100.79</v>
      </c>
      <c r="NP55" s="322">
        <v>728083.63</v>
      </c>
      <c r="NQ55" s="322"/>
      <c r="NR55" s="322"/>
      <c r="NS55" s="322"/>
      <c r="NT55" s="334"/>
      <c r="NU55" s="322" t="s">
        <v>38</v>
      </c>
      <c r="NV55" s="322">
        <v>156448.14000000001</v>
      </c>
      <c r="NW55" s="322">
        <v>163198.14000000001</v>
      </c>
      <c r="NX55" s="322">
        <v>154952.22</v>
      </c>
      <c r="NY55" s="322">
        <v>192066.91</v>
      </c>
      <c r="NZ55" s="322">
        <v>199107.06</v>
      </c>
      <c r="OA55" s="322">
        <v>201419.22</v>
      </c>
      <c r="OB55" s="322">
        <v>204348.54</v>
      </c>
      <c r="OC55" s="322">
        <v>216149.52</v>
      </c>
      <c r="OD55" s="322">
        <v>211614.69999999998</v>
      </c>
      <c r="OE55" s="322">
        <v>220287.85</v>
      </c>
      <c r="OF55" s="322">
        <v>227033.18999999997</v>
      </c>
      <c r="OG55" s="322">
        <v>233886.35</v>
      </c>
      <c r="OH55" s="322">
        <v>255194.44000000006</v>
      </c>
      <c r="OI55" s="322">
        <v>270707.81</v>
      </c>
      <c r="OJ55" s="322">
        <v>277485.94</v>
      </c>
      <c r="OK55" s="322">
        <v>291914.59000000003</v>
      </c>
      <c r="OL55" s="322">
        <v>322137.59000000003</v>
      </c>
      <c r="OM55" s="322">
        <v>328059.23</v>
      </c>
      <c r="ON55" s="322">
        <v>329843.11000000004</v>
      </c>
      <c r="OO55" s="322"/>
      <c r="OP55" s="322"/>
      <c r="OQ55" s="322"/>
      <c r="OR55" s="334"/>
      <c r="OS55" s="322" t="s">
        <v>38</v>
      </c>
      <c r="OT55" s="322">
        <v>104298.76</v>
      </c>
      <c r="OU55" s="322">
        <v>116570.1</v>
      </c>
      <c r="OV55" s="322">
        <v>154952.22</v>
      </c>
      <c r="OW55" s="322">
        <v>109752.52</v>
      </c>
      <c r="OX55" s="322">
        <v>66369.02</v>
      </c>
      <c r="OY55" s="322">
        <v>33569.870000000003</v>
      </c>
      <c r="OZ55" s="322">
        <v>34058.089999999997</v>
      </c>
      <c r="PA55" s="322">
        <v>72049.84</v>
      </c>
      <c r="PB55" s="322">
        <v>56719.95</v>
      </c>
      <c r="PC55" s="322">
        <v>81910.25</v>
      </c>
      <c r="PD55" s="322">
        <v>86417.22</v>
      </c>
      <c r="PE55" s="322">
        <v>89644.43</v>
      </c>
      <c r="PF55" s="322">
        <v>55749.07</v>
      </c>
      <c r="PG55" s="322">
        <v>89158.42</v>
      </c>
      <c r="PH55" s="322">
        <v>0</v>
      </c>
      <c r="PI55" s="322">
        <v>0</v>
      </c>
      <c r="PJ55" s="322">
        <v>0</v>
      </c>
      <c r="PK55" s="322">
        <v>0</v>
      </c>
      <c r="PL55" s="322">
        <v>0</v>
      </c>
      <c r="PM55" s="322"/>
      <c r="PN55" s="322"/>
      <c r="PO55" s="322"/>
      <c r="PP55" s="334"/>
      <c r="PQ55" s="322" t="s">
        <v>38</v>
      </c>
      <c r="PR55" s="322">
        <v>26074.69</v>
      </c>
      <c r="PS55" s="322">
        <v>23314.02</v>
      </c>
      <c r="PT55" s="322">
        <v>0</v>
      </c>
      <c r="PU55" s="322">
        <v>0</v>
      </c>
      <c r="PV55" s="322">
        <v>33184.51</v>
      </c>
      <c r="PW55" s="322">
        <v>33569.870000000003</v>
      </c>
      <c r="PX55" s="322">
        <v>34058.089999999997</v>
      </c>
      <c r="PY55" s="322">
        <v>36024.92</v>
      </c>
      <c r="PZ55" s="322">
        <v>23815.5</v>
      </c>
      <c r="QA55" s="322">
        <v>26800</v>
      </c>
      <c r="QB55" s="322">
        <v>27525.02</v>
      </c>
      <c r="QC55" s="322">
        <v>24642.47</v>
      </c>
      <c r="QD55" s="322">
        <v>25908.999999999993</v>
      </c>
      <c r="QE55" s="322">
        <v>24235.79</v>
      </c>
      <c r="QF55" s="322">
        <v>24099.999999999996</v>
      </c>
      <c r="QG55" s="322">
        <v>22132.730000000003</v>
      </c>
      <c r="QH55" s="322">
        <v>22239.489999999994</v>
      </c>
      <c r="QI55" s="322">
        <v>24488.419999999995</v>
      </c>
      <c r="QJ55" s="322">
        <v>22213.619999999995</v>
      </c>
      <c r="QK55" s="322"/>
      <c r="QL55" s="322"/>
      <c r="QM55" s="322"/>
      <c r="QN55" s="334"/>
      <c r="QO55" s="322" t="s">
        <v>38</v>
      </c>
      <c r="QP55" s="322">
        <v>0</v>
      </c>
      <c r="QQ55" s="322">
        <v>0</v>
      </c>
      <c r="QR55" s="322">
        <v>0</v>
      </c>
      <c r="QS55" s="322">
        <v>0</v>
      </c>
      <c r="QT55" s="322">
        <v>0</v>
      </c>
      <c r="QU55" s="322">
        <v>0</v>
      </c>
      <c r="QV55" s="322">
        <v>0</v>
      </c>
      <c r="QW55" s="322">
        <v>0</v>
      </c>
      <c r="QX55" s="322">
        <v>290.64</v>
      </c>
      <c r="QY55" s="322">
        <v>1217.9000000000001</v>
      </c>
      <c r="QZ55" s="322">
        <v>2000</v>
      </c>
      <c r="RA55" s="322">
        <v>9490.7900000000009</v>
      </c>
      <c r="RB55" s="322">
        <v>8350</v>
      </c>
      <c r="RC55" s="322">
        <v>25217.09</v>
      </c>
      <c r="RD55" s="322">
        <v>13286</v>
      </c>
      <c r="RE55" s="322">
        <v>9277.119999999999</v>
      </c>
      <c r="RF55" s="322">
        <v>12951.76</v>
      </c>
      <c r="RG55" s="322">
        <v>15888.45</v>
      </c>
      <c r="RH55" s="322">
        <v>15905.26</v>
      </c>
      <c r="RI55" s="322"/>
      <c r="RJ55" s="322"/>
      <c r="RK55" s="322"/>
      <c r="RL55" s="334"/>
      <c r="RM55" s="322" t="s">
        <v>38</v>
      </c>
      <c r="RN55" s="322">
        <v>573643.18000000005</v>
      </c>
      <c r="RO55" s="322">
        <v>489594.42</v>
      </c>
      <c r="RP55" s="322">
        <v>284079.07</v>
      </c>
      <c r="RQ55" s="322">
        <v>356695.69</v>
      </c>
      <c r="RR55" s="322">
        <v>564136.67000000004</v>
      </c>
      <c r="RS55" s="322">
        <v>537117.92000000004</v>
      </c>
      <c r="RT55" s="322">
        <v>476813.26</v>
      </c>
      <c r="RU55" s="322">
        <v>324224.28000000003</v>
      </c>
      <c r="RV55" s="322">
        <v>349000</v>
      </c>
      <c r="RW55" s="322">
        <v>300000</v>
      </c>
      <c r="RX55" s="322">
        <v>550000</v>
      </c>
      <c r="RY55" s="322">
        <v>500000</v>
      </c>
      <c r="RZ55" s="322">
        <v>1000000</v>
      </c>
      <c r="SA55" s="322">
        <v>705424.34</v>
      </c>
      <c r="SB55" s="322">
        <v>400000</v>
      </c>
      <c r="SC55" s="322">
        <v>300000</v>
      </c>
      <c r="SD55" s="322">
        <v>400000</v>
      </c>
      <c r="SE55" s="322">
        <v>300000</v>
      </c>
      <c r="SF55" s="322">
        <v>434318.51999999996</v>
      </c>
      <c r="SG55" s="322"/>
      <c r="SH55" s="322"/>
      <c r="SI55" s="322"/>
    </row>
    <row r="56" spans="1:503">
      <c r="A56" s="319" t="s">
        <v>39</v>
      </c>
      <c r="B56" s="319">
        <v>2060113</v>
      </c>
      <c r="C56" s="319">
        <v>2205726</v>
      </c>
      <c r="D56" s="319">
        <v>2371988</v>
      </c>
      <c r="E56" s="319">
        <v>2619591</v>
      </c>
      <c r="F56" s="319">
        <v>2704441</v>
      </c>
      <c r="G56" s="319">
        <v>2818073</v>
      </c>
      <c r="H56" s="319">
        <v>3148874</v>
      </c>
      <c r="I56" s="319">
        <v>3337967</v>
      </c>
      <c r="J56" s="319">
        <v>3345270.4299999997</v>
      </c>
      <c r="K56" s="319">
        <v>3809365.23</v>
      </c>
      <c r="L56" s="319">
        <v>4172057.0600000005</v>
      </c>
      <c r="M56" s="319">
        <v>3896216.04</v>
      </c>
      <c r="N56" s="319">
        <v>4333088.6300000008</v>
      </c>
      <c r="O56" s="319">
        <v>4089558.6999999997</v>
      </c>
      <c r="P56" s="319">
        <v>4800792.1999999993</v>
      </c>
      <c r="Q56" s="319">
        <v>4026023.6500000004</v>
      </c>
      <c r="R56" s="319">
        <v>4106610.13</v>
      </c>
      <c r="S56" s="322">
        <v>4075161.94</v>
      </c>
      <c r="T56" s="319">
        <v>4365689.24</v>
      </c>
      <c r="U56" s="319">
        <v>4517517.99</v>
      </c>
      <c r="V56" s="319">
        <v>4749653.51</v>
      </c>
      <c r="W56" s="319">
        <v>4747753.84</v>
      </c>
      <c r="X56" s="330"/>
      <c r="Y56" s="319" t="s">
        <v>39</v>
      </c>
      <c r="Z56" s="319">
        <v>144207.91</v>
      </c>
      <c r="AA56" s="319">
        <v>132343.56</v>
      </c>
      <c r="AB56" s="319">
        <v>189759.04</v>
      </c>
      <c r="AC56" s="319">
        <v>157175.46</v>
      </c>
      <c r="AD56" s="319">
        <v>162266.46</v>
      </c>
      <c r="AE56" s="319">
        <v>169084.38</v>
      </c>
      <c r="AF56" s="319">
        <v>140903.65</v>
      </c>
      <c r="AG56" s="319">
        <v>133518.68</v>
      </c>
      <c r="AH56" s="319">
        <v>177823.63999999998</v>
      </c>
      <c r="AI56" s="319">
        <v>166997.33000000002</v>
      </c>
      <c r="AJ56" s="319">
        <v>181307.88</v>
      </c>
      <c r="AK56" s="319">
        <v>167489.85</v>
      </c>
      <c r="AL56" s="319">
        <v>168399.13</v>
      </c>
      <c r="AM56" s="319">
        <v>187078.82</v>
      </c>
      <c r="AN56" s="319">
        <v>294629.64</v>
      </c>
      <c r="AO56" s="319">
        <v>193357.6</v>
      </c>
      <c r="AP56" s="319">
        <v>203693.71</v>
      </c>
      <c r="AQ56" s="322">
        <v>256002.97000000003</v>
      </c>
      <c r="AR56" s="319">
        <v>270886.98</v>
      </c>
      <c r="AS56" s="319">
        <v>313590.78000000003</v>
      </c>
      <c r="AT56" s="319">
        <v>252826.14</v>
      </c>
      <c r="AU56" s="319">
        <v>189718.76</v>
      </c>
      <c r="AV56" s="334"/>
      <c r="AW56" s="319" t="s">
        <v>39</v>
      </c>
      <c r="AX56" s="319">
        <v>61803.39</v>
      </c>
      <c r="AY56" s="319">
        <v>66171.78</v>
      </c>
      <c r="AZ56" s="319">
        <v>71159.64</v>
      </c>
      <c r="BA56" s="319">
        <v>78587.73</v>
      </c>
      <c r="BB56" s="319">
        <v>81133.23</v>
      </c>
      <c r="BC56" s="319">
        <v>84542.19</v>
      </c>
      <c r="BD56" s="319">
        <v>94466.22</v>
      </c>
      <c r="BE56" s="319">
        <v>66759.34</v>
      </c>
      <c r="BF56" s="319">
        <v>80791.849999999991</v>
      </c>
      <c r="BG56" s="319">
        <v>87099.439999999988</v>
      </c>
      <c r="BH56" s="319">
        <v>92707.810000000012</v>
      </c>
      <c r="BI56" s="319">
        <v>94441.83</v>
      </c>
      <c r="BJ56" s="319">
        <v>96735.84</v>
      </c>
      <c r="BK56" s="319">
        <v>93826.999999999985</v>
      </c>
      <c r="BL56" s="319">
        <v>96478.67</v>
      </c>
      <c r="BM56" s="319">
        <v>92547.23</v>
      </c>
      <c r="BN56" s="319">
        <v>93518.319999999992</v>
      </c>
      <c r="BO56" s="322">
        <v>95653.98</v>
      </c>
      <c r="BP56" s="319">
        <v>97439.8</v>
      </c>
      <c r="BQ56" s="319">
        <v>99930.85</v>
      </c>
      <c r="BR56" s="319">
        <v>102696.46999999999</v>
      </c>
      <c r="BS56" s="319">
        <v>99974.5</v>
      </c>
      <c r="BT56" s="334"/>
      <c r="BU56" s="322" t="s">
        <v>39</v>
      </c>
      <c r="BV56" s="322">
        <v>82404.52</v>
      </c>
      <c r="BW56" s="322">
        <v>44114.52</v>
      </c>
      <c r="BX56" s="322">
        <v>94879.52</v>
      </c>
      <c r="BY56" s="322">
        <v>52391.82</v>
      </c>
      <c r="BZ56" s="322">
        <v>81133.23</v>
      </c>
      <c r="CA56" s="322">
        <v>28180.73</v>
      </c>
      <c r="CB56" s="322">
        <v>94466.22</v>
      </c>
      <c r="CC56" s="322">
        <v>33379.67</v>
      </c>
      <c r="CD56" s="322">
        <v>115869.45</v>
      </c>
      <c r="CE56" s="322">
        <v>127849.79999999999</v>
      </c>
      <c r="CF56" s="322">
        <v>282251.58</v>
      </c>
      <c r="CG56" s="322">
        <v>65355.13</v>
      </c>
      <c r="CH56" s="322">
        <v>176402.92000000004</v>
      </c>
      <c r="CI56" s="322">
        <v>68671.929999999993</v>
      </c>
      <c r="CJ56" s="322">
        <v>138044.16999999998</v>
      </c>
      <c r="CK56" s="322">
        <v>63363.79</v>
      </c>
      <c r="CL56" s="322">
        <v>164260.97999999998</v>
      </c>
      <c r="CM56" s="322">
        <v>87890.920000000013</v>
      </c>
      <c r="CN56" s="322">
        <v>132492.69</v>
      </c>
      <c r="CO56" s="322">
        <v>70765.8</v>
      </c>
      <c r="CP56" s="322">
        <v>173708</v>
      </c>
      <c r="CQ56" s="322">
        <v>81200</v>
      </c>
      <c r="CR56" s="334"/>
      <c r="CS56" s="322" t="s">
        <v>39</v>
      </c>
      <c r="CT56" s="322">
        <v>61803.39</v>
      </c>
      <c r="CU56" s="322">
        <v>88229.04</v>
      </c>
      <c r="CV56" s="322">
        <v>94879.52</v>
      </c>
      <c r="CW56" s="322">
        <v>209567.28</v>
      </c>
      <c r="CX56" s="322">
        <v>108177.64</v>
      </c>
      <c r="CY56" s="322">
        <v>112722.92</v>
      </c>
      <c r="CZ56" s="322">
        <v>157443.70000000001</v>
      </c>
      <c r="DA56" s="322">
        <v>100139.01</v>
      </c>
      <c r="DB56" s="322">
        <v>80059.189999999988</v>
      </c>
      <c r="DC56" s="322">
        <v>128797.45999999998</v>
      </c>
      <c r="DD56" s="322">
        <v>93101.41</v>
      </c>
      <c r="DE56" s="322">
        <v>145319.32</v>
      </c>
      <c r="DF56" s="322">
        <v>106696.49</v>
      </c>
      <c r="DG56" s="322">
        <v>104349.87999999999</v>
      </c>
      <c r="DH56" s="322">
        <v>87585.77</v>
      </c>
      <c r="DI56" s="322">
        <v>101608.06</v>
      </c>
      <c r="DJ56" s="322">
        <v>86125.51</v>
      </c>
      <c r="DK56" s="322">
        <v>86038.2</v>
      </c>
      <c r="DL56" s="322">
        <v>86513.410000000018</v>
      </c>
      <c r="DM56" s="322">
        <v>86925.47</v>
      </c>
      <c r="DN56" s="322">
        <v>84588.37</v>
      </c>
      <c r="DO56" s="322">
        <v>59992</v>
      </c>
      <c r="DP56" s="334"/>
      <c r="DQ56" s="322" t="s">
        <v>39</v>
      </c>
      <c r="DR56" s="322">
        <v>164809.04</v>
      </c>
      <c r="DS56" s="322">
        <v>176458.08</v>
      </c>
      <c r="DT56" s="322">
        <v>189759.04</v>
      </c>
      <c r="DU56" s="322">
        <v>209567.28</v>
      </c>
      <c r="DV56" s="322">
        <v>216355.28</v>
      </c>
      <c r="DW56" s="322">
        <v>253626.57</v>
      </c>
      <c r="DX56" s="322">
        <v>251909.92</v>
      </c>
      <c r="DY56" s="322">
        <v>267037.36</v>
      </c>
      <c r="DZ56" s="322">
        <v>261300.36000000002</v>
      </c>
      <c r="EA56" s="322">
        <v>352009.81</v>
      </c>
      <c r="EB56" s="322">
        <v>420810.98000000004</v>
      </c>
      <c r="EC56" s="322">
        <v>442956.58999999997</v>
      </c>
      <c r="ED56" s="322">
        <v>464548.63</v>
      </c>
      <c r="EE56" s="322">
        <v>480297.65</v>
      </c>
      <c r="EF56" s="322">
        <v>491956.26</v>
      </c>
      <c r="EG56" s="322">
        <v>527864.05000000005</v>
      </c>
      <c r="EH56" s="322">
        <v>515841.09999999992</v>
      </c>
      <c r="EI56" s="322">
        <v>534206.39</v>
      </c>
      <c r="EJ56" s="322">
        <v>541309.49</v>
      </c>
      <c r="EK56" s="322">
        <v>575715.43999999994</v>
      </c>
      <c r="EL56" s="322">
        <v>625982.84000000008</v>
      </c>
      <c r="EM56" s="322">
        <v>653304.92000000004</v>
      </c>
      <c r="EN56" s="334"/>
      <c r="EO56" s="322" t="s">
        <v>39</v>
      </c>
      <c r="EP56" s="322">
        <v>20601.13</v>
      </c>
      <c r="EQ56" s="322">
        <v>22057.26</v>
      </c>
      <c r="ER56" s="322">
        <v>23719.88</v>
      </c>
      <c r="ES56" s="322">
        <v>26195.91</v>
      </c>
      <c r="ET56" s="322">
        <v>27044.41</v>
      </c>
      <c r="EU56" s="322">
        <v>28180.73</v>
      </c>
      <c r="EV56" s="322">
        <v>31488.74</v>
      </c>
      <c r="EW56" s="322">
        <v>33379.67</v>
      </c>
      <c r="EX56" s="322">
        <v>33466.409999999996</v>
      </c>
      <c r="EY56" s="322">
        <v>34520.670000000006</v>
      </c>
      <c r="EZ56" s="322">
        <v>34671.769999999997</v>
      </c>
      <c r="FA56" s="322">
        <v>47651.74</v>
      </c>
      <c r="FB56" s="322">
        <v>48206.600000000006</v>
      </c>
      <c r="FC56" s="322">
        <v>48331.74</v>
      </c>
      <c r="FD56" s="322">
        <v>49543.99</v>
      </c>
      <c r="FE56" s="322">
        <v>48955.38</v>
      </c>
      <c r="FF56" s="322">
        <v>49214.37</v>
      </c>
      <c r="FG56" s="322">
        <v>49779.28</v>
      </c>
      <c r="FH56" s="322">
        <v>49536.75</v>
      </c>
      <c r="FI56" s="322">
        <v>50088.420000000006</v>
      </c>
      <c r="FJ56" s="322">
        <v>51097.09</v>
      </c>
      <c r="FK56" s="322">
        <v>51820.5</v>
      </c>
      <c r="FL56" s="334"/>
      <c r="FM56" s="322" t="s">
        <v>39</v>
      </c>
      <c r="FN56" s="322">
        <v>61803.39</v>
      </c>
      <c r="FO56" s="322">
        <v>66171.78</v>
      </c>
      <c r="FP56" s="322">
        <v>71159.64</v>
      </c>
      <c r="FQ56" s="322">
        <v>78587.73</v>
      </c>
      <c r="FR56" s="322">
        <v>81133.23</v>
      </c>
      <c r="FS56" s="322">
        <v>84542.19</v>
      </c>
      <c r="FT56" s="322">
        <v>94466.22</v>
      </c>
      <c r="FU56" s="322">
        <v>66759.34</v>
      </c>
      <c r="FV56" s="322">
        <v>82208.87</v>
      </c>
      <c r="FW56" s="322">
        <v>81337.83</v>
      </c>
      <c r="FX56" s="322">
        <v>85106.47</v>
      </c>
      <c r="FY56" s="322">
        <v>85625.969999999987</v>
      </c>
      <c r="FZ56" s="322">
        <v>84282.14</v>
      </c>
      <c r="GA56" s="322">
        <v>83991.09</v>
      </c>
      <c r="GB56" s="322">
        <v>86757.41</v>
      </c>
      <c r="GC56" s="322">
        <v>86456.790000000008</v>
      </c>
      <c r="GD56" s="322">
        <v>90019.97</v>
      </c>
      <c r="GE56" s="322">
        <v>85857.89</v>
      </c>
      <c r="GF56" s="340">
        <v>88534.819999999992</v>
      </c>
      <c r="GG56" s="704">
        <v>88858.78</v>
      </c>
      <c r="GH56" s="704">
        <v>92210.37</v>
      </c>
      <c r="GI56" s="704">
        <v>89828.5</v>
      </c>
      <c r="GJ56" s="334"/>
      <c r="GK56" s="322" t="s">
        <v>39</v>
      </c>
      <c r="GL56" s="322">
        <v>61803.39</v>
      </c>
      <c r="GM56" s="322">
        <v>66171.78</v>
      </c>
      <c r="GN56" s="322">
        <v>71159.64</v>
      </c>
      <c r="GO56" s="322">
        <v>78587.73</v>
      </c>
      <c r="GP56" s="322">
        <v>81133.23</v>
      </c>
      <c r="GQ56" s="322">
        <v>84542.19</v>
      </c>
      <c r="GR56" s="322">
        <v>94466.22</v>
      </c>
      <c r="GS56" s="322">
        <v>66759.34</v>
      </c>
      <c r="GT56" s="322">
        <v>82124.239999999991</v>
      </c>
      <c r="GU56" s="322">
        <v>83313.17</v>
      </c>
      <c r="GV56" s="322">
        <v>85796.26999999999</v>
      </c>
      <c r="GW56" s="322">
        <v>88712.33</v>
      </c>
      <c r="GX56" s="322">
        <v>91695.66</v>
      </c>
      <c r="GY56" s="322">
        <v>90686.88</v>
      </c>
      <c r="GZ56" s="322">
        <v>91600.13</v>
      </c>
      <c r="HA56" s="322">
        <v>92022.97</v>
      </c>
      <c r="HB56" s="322">
        <v>92908.59</v>
      </c>
      <c r="HC56" s="322">
        <v>91345.84</v>
      </c>
      <c r="HD56" s="322">
        <v>93447.83</v>
      </c>
      <c r="HE56" s="322">
        <v>88559.6</v>
      </c>
      <c r="HF56" s="322">
        <v>91132.7</v>
      </c>
      <c r="HG56" s="322">
        <v>92740.5</v>
      </c>
      <c r="HH56" s="334"/>
      <c r="HI56" s="322" t="s">
        <v>39</v>
      </c>
      <c r="HJ56" s="322">
        <v>20601.13</v>
      </c>
      <c r="HK56" s="322">
        <v>22057.26</v>
      </c>
      <c r="HL56" s="322">
        <v>23719.88</v>
      </c>
      <c r="HM56" s="322">
        <v>0</v>
      </c>
      <c r="HN56" s="322">
        <v>0</v>
      </c>
      <c r="HO56" s="322">
        <v>0</v>
      </c>
      <c r="HP56" s="322">
        <v>31488.74</v>
      </c>
      <c r="HQ56" s="322">
        <v>0</v>
      </c>
      <c r="HR56" s="322">
        <v>15556.07</v>
      </c>
      <c r="HS56" s="322">
        <v>23941.200000000001</v>
      </c>
      <c r="HT56" s="322">
        <v>22475.899999999998</v>
      </c>
      <c r="HU56" s="322">
        <v>22610.080000000002</v>
      </c>
      <c r="HV56" s="322">
        <v>59197.799999999996</v>
      </c>
      <c r="HW56" s="322">
        <v>57825.31</v>
      </c>
      <c r="HX56" s="322">
        <v>54734.3</v>
      </c>
      <c r="HY56" s="322">
        <v>54003.64</v>
      </c>
      <c r="HZ56" s="322">
        <v>55285.32</v>
      </c>
      <c r="IA56" s="322">
        <v>45938.2</v>
      </c>
      <c r="IB56" s="322">
        <v>46349.599999999999</v>
      </c>
      <c r="IC56" s="322">
        <v>45600.78</v>
      </c>
      <c r="ID56" s="322">
        <v>48283.44</v>
      </c>
      <c r="IE56" s="322">
        <v>27000</v>
      </c>
      <c r="IF56" s="334"/>
      <c r="IG56" s="322" t="s">
        <v>39</v>
      </c>
      <c r="IH56" s="322">
        <v>20601.13</v>
      </c>
      <c r="II56" s="322">
        <v>22057.26</v>
      </c>
      <c r="IJ56" s="322">
        <v>23719.88</v>
      </c>
      <c r="IK56" s="322">
        <v>26195.91</v>
      </c>
      <c r="IL56" s="322">
        <v>27044.41</v>
      </c>
      <c r="IM56" s="322">
        <v>28180.73</v>
      </c>
      <c r="IN56" s="322">
        <v>31488.74</v>
      </c>
      <c r="IO56" s="322">
        <v>33379.67</v>
      </c>
      <c r="IP56" s="322">
        <v>34623.729999999996</v>
      </c>
      <c r="IQ56" s="322">
        <v>41274.1</v>
      </c>
      <c r="IR56" s="322">
        <v>38966.210000000006</v>
      </c>
      <c r="IS56" s="322">
        <v>37670.9</v>
      </c>
      <c r="IT56" s="322">
        <v>0</v>
      </c>
      <c r="IU56" s="322">
        <v>0</v>
      </c>
      <c r="IV56" s="322"/>
      <c r="IW56" s="322"/>
      <c r="IX56" s="322"/>
      <c r="IY56" s="322"/>
      <c r="IZ56" s="322"/>
      <c r="JA56" s="322"/>
      <c r="JB56" s="322"/>
      <c r="JC56" s="322"/>
      <c r="JD56" s="334"/>
      <c r="JE56" s="322" t="s">
        <v>39</v>
      </c>
      <c r="JF56" s="322">
        <v>41202.26</v>
      </c>
      <c r="JG56" s="322">
        <v>44114.52</v>
      </c>
      <c r="JH56" s="322">
        <v>23719.88</v>
      </c>
      <c r="JI56" s="322">
        <v>26195.91</v>
      </c>
      <c r="JJ56" s="322">
        <v>27044.41</v>
      </c>
      <c r="JK56" s="322">
        <v>28180.73</v>
      </c>
      <c r="JL56" s="322">
        <v>31488.74</v>
      </c>
      <c r="JM56" s="322">
        <v>33379.67</v>
      </c>
      <c r="JN56" s="322">
        <v>25685.910000000003</v>
      </c>
      <c r="JO56" s="322">
        <v>23380.92</v>
      </c>
      <c r="JP56" s="322">
        <v>33825.109999999993</v>
      </c>
      <c r="JQ56" s="322">
        <v>25156.29</v>
      </c>
      <c r="JR56" s="322">
        <v>34432.18</v>
      </c>
      <c r="JS56" s="322">
        <v>34584.299999999996</v>
      </c>
      <c r="JT56" s="322">
        <v>34675.700000000004</v>
      </c>
      <c r="JU56" s="322">
        <v>19659</v>
      </c>
      <c r="JV56" s="322">
        <v>27536.54</v>
      </c>
      <c r="JW56" s="322">
        <v>25865.449999999997</v>
      </c>
      <c r="JX56" s="322">
        <v>32433.08</v>
      </c>
      <c r="JY56" s="322">
        <v>27653.59</v>
      </c>
      <c r="JZ56" s="322">
        <v>49420.58</v>
      </c>
      <c r="KA56" s="322">
        <v>132059</v>
      </c>
      <c r="KB56" s="334"/>
      <c r="KC56" s="322" t="s">
        <v>39</v>
      </c>
      <c r="KD56" s="322">
        <v>20601.13</v>
      </c>
      <c r="KE56" s="322">
        <v>22057.26</v>
      </c>
      <c r="KF56" s="322">
        <v>23719.88</v>
      </c>
      <c r="KG56" s="322">
        <v>26195.91</v>
      </c>
      <c r="KH56" s="322">
        <v>54088.82</v>
      </c>
      <c r="KI56" s="322">
        <v>56361.46</v>
      </c>
      <c r="KJ56" s="322">
        <v>62977.48</v>
      </c>
      <c r="KK56" s="322">
        <v>66759.34</v>
      </c>
      <c r="KL56" s="322">
        <v>60767.02</v>
      </c>
      <c r="KM56" s="322">
        <v>62471.5</v>
      </c>
      <c r="KN56" s="322">
        <v>63197.94</v>
      </c>
      <c r="KO56" s="322">
        <v>63284.85</v>
      </c>
      <c r="KP56" s="322">
        <v>64078.37</v>
      </c>
      <c r="KQ56" s="322">
        <v>67244.290000000008</v>
      </c>
      <c r="KR56" s="322">
        <v>67601.240000000005</v>
      </c>
      <c r="KS56" s="322">
        <v>67787.5</v>
      </c>
      <c r="KT56" s="322">
        <v>68087.150000000009</v>
      </c>
      <c r="KU56" s="322">
        <v>69175.86</v>
      </c>
      <c r="KV56" s="322">
        <v>70141.86</v>
      </c>
      <c r="KW56" s="322">
        <v>71146.149999999994</v>
      </c>
      <c r="KX56" s="322">
        <v>74103.23</v>
      </c>
      <c r="KY56" s="322">
        <v>74959.5</v>
      </c>
      <c r="KZ56" s="334"/>
      <c r="LA56" s="322" t="s">
        <v>39</v>
      </c>
      <c r="LB56" s="322">
        <v>61803.39</v>
      </c>
      <c r="LC56" s="322">
        <v>176458.08</v>
      </c>
      <c r="LD56" s="322">
        <v>118599.4</v>
      </c>
      <c r="LE56" s="322">
        <v>183371.37</v>
      </c>
      <c r="LF56" s="322">
        <v>243399.69</v>
      </c>
      <c r="LG56" s="322">
        <v>225445.84</v>
      </c>
      <c r="LH56" s="322">
        <v>157443.70000000001</v>
      </c>
      <c r="LI56" s="322">
        <v>267037.36</v>
      </c>
      <c r="LJ56" s="322">
        <v>255907.84999999998</v>
      </c>
      <c r="LK56" s="322">
        <v>260835.24999999994</v>
      </c>
      <c r="LL56" s="322">
        <v>297601.19</v>
      </c>
      <c r="LM56" s="322">
        <v>327334.31999999995</v>
      </c>
      <c r="LN56" s="322">
        <v>516257.94000000006</v>
      </c>
      <c r="LO56" s="322">
        <v>295356.53999999998</v>
      </c>
      <c r="LP56" s="322">
        <v>454685.68</v>
      </c>
      <c r="LQ56" s="322">
        <v>466290.11</v>
      </c>
      <c r="LR56" s="322">
        <v>445550.74</v>
      </c>
      <c r="LS56" s="322">
        <v>423628</v>
      </c>
      <c r="LT56" s="322">
        <v>452912.75</v>
      </c>
      <c r="LU56" s="322">
        <v>415287.32</v>
      </c>
      <c r="LV56" s="322">
        <v>433710.57</v>
      </c>
      <c r="LW56" s="322">
        <v>450054.14</v>
      </c>
      <c r="LX56" s="334"/>
      <c r="LY56" s="322" t="s">
        <v>39</v>
      </c>
      <c r="LZ56" s="322">
        <v>473825.99</v>
      </c>
      <c r="MA56" s="322">
        <v>507316.98</v>
      </c>
      <c r="MB56" s="322">
        <v>521837.36</v>
      </c>
      <c r="MC56" s="322">
        <v>576310.02</v>
      </c>
      <c r="MD56" s="322">
        <v>649065.84</v>
      </c>
      <c r="ME56" s="322">
        <v>760879.71</v>
      </c>
      <c r="MF56" s="322">
        <v>818707.24</v>
      </c>
      <c r="MG56" s="322">
        <v>734352.74</v>
      </c>
      <c r="MH56" s="322">
        <v>734954.78</v>
      </c>
      <c r="MI56" s="322">
        <v>882690.1399999999</v>
      </c>
      <c r="MJ56" s="322">
        <v>850350.99999999988</v>
      </c>
      <c r="MK56" s="322">
        <v>907548.63000000012</v>
      </c>
      <c r="ML56" s="322">
        <v>893178.79999999993</v>
      </c>
      <c r="MM56" s="322">
        <v>847172.96000000008</v>
      </c>
      <c r="MN56" s="322">
        <v>726825.49999999988</v>
      </c>
      <c r="MO56" s="322">
        <v>798094.40000000026</v>
      </c>
      <c r="MP56" s="322">
        <v>769920.50000000023</v>
      </c>
      <c r="MQ56" s="322">
        <v>741239.46</v>
      </c>
      <c r="MR56" s="322">
        <v>761903.78</v>
      </c>
      <c r="MS56" s="322">
        <v>775733.96000000008</v>
      </c>
      <c r="MT56" s="322">
        <v>763254.44000000006</v>
      </c>
      <c r="MU56" s="322">
        <v>719997</v>
      </c>
      <c r="MV56" s="334"/>
      <c r="MW56" s="322" t="s">
        <v>39</v>
      </c>
      <c r="MX56" s="322">
        <v>185410.17</v>
      </c>
      <c r="MY56" s="322">
        <v>198515.34</v>
      </c>
      <c r="MZ56" s="322">
        <v>213478.92</v>
      </c>
      <c r="NA56" s="322">
        <v>235763.19</v>
      </c>
      <c r="NB56" s="322">
        <v>216355.28</v>
      </c>
      <c r="NC56" s="322">
        <v>225445.84</v>
      </c>
      <c r="ND56" s="322">
        <v>314887.40000000002</v>
      </c>
      <c r="NE56" s="322">
        <v>333796.7</v>
      </c>
      <c r="NF56" s="322">
        <v>349981.75</v>
      </c>
      <c r="NG56" s="322">
        <v>474254.07999999996</v>
      </c>
      <c r="NH56" s="322">
        <v>405379.71</v>
      </c>
      <c r="NI56" s="322">
        <v>417091.59</v>
      </c>
      <c r="NJ56" s="322">
        <v>477551.4800000001</v>
      </c>
      <c r="NK56" s="322">
        <v>593348.66999999993</v>
      </c>
      <c r="NL56" s="322">
        <v>498857.00999999995</v>
      </c>
      <c r="NM56" s="322">
        <v>444972.03</v>
      </c>
      <c r="NN56" s="322">
        <v>458007.14999999997</v>
      </c>
      <c r="NO56" s="322">
        <v>472578.59</v>
      </c>
      <c r="NP56" s="322">
        <v>532205.79</v>
      </c>
      <c r="NQ56" s="322">
        <v>706033.01000000013</v>
      </c>
      <c r="NR56" s="322">
        <v>859314.5</v>
      </c>
      <c r="NS56" s="322">
        <v>790791.12</v>
      </c>
      <c r="NT56" s="334"/>
      <c r="NU56" s="322" t="s">
        <v>39</v>
      </c>
      <c r="NV56" s="322">
        <v>206011.3</v>
      </c>
      <c r="NW56" s="322">
        <v>154400.82</v>
      </c>
      <c r="NX56" s="322">
        <v>166039.16</v>
      </c>
      <c r="NY56" s="322">
        <v>209567.28</v>
      </c>
      <c r="NZ56" s="322">
        <v>216355.28</v>
      </c>
      <c r="OA56" s="322">
        <v>225445.84</v>
      </c>
      <c r="OB56" s="322">
        <v>220421.18</v>
      </c>
      <c r="OC56" s="322">
        <v>233657.69</v>
      </c>
      <c r="OD56" s="322">
        <v>222293.52</v>
      </c>
      <c r="OE56" s="322">
        <v>237654.75</v>
      </c>
      <c r="OF56" s="322">
        <v>252717.62</v>
      </c>
      <c r="OG56" s="322">
        <v>264793.99</v>
      </c>
      <c r="OH56" s="322">
        <v>276992.43</v>
      </c>
      <c r="OI56" s="322">
        <v>301149.15999999997</v>
      </c>
      <c r="OJ56" s="322">
        <v>298814.78000000003</v>
      </c>
      <c r="OK56" s="322">
        <v>296967.36</v>
      </c>
      <c r="OL56" s="322">
        <v>308084.42000000004</v>
      </c>
      <c r="OM56" s="322">
        <v>309631.30999999994</v>
      </c>
      <c r="ON56" s="322">
        <v>327696.89</v>
      </c>
      <c r="OO56" s="322">
        <v>342794.78</v>
      </c>
      <c r="OP56" s="322">
        <v>364108.98000000004</v>
      </c>
      <c r="OQ56" s="322">
        <v>353707</v>
      </c>
      <c r="OR56" s="334"/>
      <c r="OS56" s="322" t="s">
        <v>39</v>
      </c>
      <c r="OT56" s="322">
        <v>82404.52</v>
      </c>
      <c r="OU56" s="322">
        <v>88229.04</v>
      </c>
      <c r="OV56" s="322">
        <v>118599.4</v>
      </c>
      <c r="OW56" s="322">
        <v>78587.73</v>
      </c>
      <c r="OX56" s="322">
        <v>54088.82</v>
      </c>
      <c r="OY56" s="322">
        <v>56361.46</v>
      </c>
      <c r="OZ56" s="322">
        <v>62977.48</v>
      </c>
      <c r="PA56" s="322">
        <v>66759.34</v>
      </c>
      <c r="PB56" s="322">
        <v>91251.67</v>
      </c>
      <c r="PC56" s="322">
        <v>121520.68</v>
      </c>
      <c r="PD56" s="322">
        <v>126016.21999999999</v>
      </c>
      <c r="PE56" s="322">
        <v>127687.6</v>
      </c>
      <c r="PF56" s="322">
        <v>119586.65</v>
      </c>
      <c r="PG56" s="322">
        <v>119752.99999999999</v>
      </c>
      <c r="PH56" s="322">
        <v>121588.64000000001</v>
      </c>
      <c r="PI56" s="322">
        <v>104757.55</v>
      </c>
      <c r="PJ56" s="322">
        <v>95611.57</v>
      </c>
      <c r="PK56" s="322">
        <v>98816.889999999985</v>
      </c>
      <c r="PL56" s="322">
        <v>109546.98999999999</v>
      </c>
      <c r="PM56" s="322">
        <v>113731.14999999998</v>
      </c>
      <c r="PN56" s="322">
        <v>121231.04999999999</v>
      </c>
      <c r="PO56" s="322">
        <v>128785</v>
      </c>
      <c r="PP56" s="334"/>
      <c r="PQ56" s="322" t="s">
        <v>39</v>
      </c>
      <c r="PR56" s="322">
        <v>20601.13</v>
      </c>
      <c r="PS56" s="322">
        <v>22057.26</v>
      </c>
      <c r="PT56" s="322">
        <v>23719.88</v>
      </c>
      <c r="PU56" s="322">
        <v>26195.91</v>
      </c>
      <c r="PV56" s="322">
        <v>27044.41</v>
      </c>
      <c r="PW56" s="322">
        <v>28180.73</v>
      </c>
      <c r="PX56" s="322">
        <v>31488.74</v>
      </c>
      <c r="PY56" s="322">
        <v>33379.67</v>
      </c>
      <c r="PZ56" s="322">
        <v>34420.04</v>
      </c>
      <c r="QA56" s="322">
        <v>26163.13</v>
      </c>
      <c r="QB56" s="322">
        <v>28407.78</v>
      </c>
      <c r="QC56" s="322">
        <v>29964.36</v>
      </c>
      <c r="QD56" s="322">
        <v>32000.7</v>
      </c>
      <c r="QE56" s="322">
        <v>34804.400000000001</v>
      </c>
      <c r="QF56" s="322">
        <v>38213.99</v>
      </c>
      <c r="QG56" s="322">
        <v>31154.51</v>
      </c>
      <c r="QH56" s="322">
        <v>33252.800000000003</v>
      </c>
      <c r="QI56" s="322">
        <v>32112.739999999998</v>
      </c>
      <c r="QJ56" s="322">
        <v>33420.5</v>
      </c>
      <c r="QK56" s="322">
        <v>31503.599999999999</v>
      </c>
      <c r="QL56" s="322">
        <v>40807.33</v>
      </c>
      <c r="QM56" s="322">
        <v>38139.4</v>
      </c>
      <c r="QN56" s="334"/>
      <c r="QO56" s="322" t="s">
        <v>39</v>
      </c>
      <c r="QP56" s="322">
        <v>267814.69</v>
      </c>
      <c r="QQ56" s="322">
        <v>286744.38</v>
      </c>
      <c r="QR56" s="322">
        <v>308358.44</v>
      </c>
      <c r="QS56" s="322">
        <v>340546.83</v>
      </c>
      <c r="QT56" s="322">
        <v>351577.33</v>
      </c>
      <c r="QU56" s="322">
        <v>338168.76</v>
      </c>
      <c r="QV56" s="322">
        <v>409353.62</v>
      </c>
      <c r="QW56" s="322">
        <v>400556.04</v>
      </c>
      <c r="QX56" s="322">
        <v>386181.7699999999</v>
      </c>
      <c r="QY56" s="322">
        <v>393021.22</v>
      </c>
      <c r="QZ56" s="322">
        <v>449364.21000000008</v>
      </c>
      <c r="RA56" s="322">
        <v>490520.67</v>
      </c>
      <c r="RB56" s="322">
        <v>572844.86999999988</v>
      </c>
      <c r="RC56" s="322">
        <v>531085.07999999996</v>
      </c>
      <c r="RD56" s="322">
        <v>568199.32000000007</v>
      </c>
      <c r="RE56" s="322">
        <v>486161.68</v>
      </c>
      <c r="RF56" s="322">
        <v>492191.39</v>
      </c>
      <c r="RG56" s="322">
        <v>511899.97</v>
      </c>
      <c r="RH56" s="322">
        <v>451416.23000000004</v>
      </c>
      <c r="RI56" s="322">
        <v>466098.51</v>
      </c>
      <c r="RJ56" s="322">
        <v>481177.41000000003</v>
      </c>
      <c r="RK56" s="322">
        <v>524650</v>
      </c>
      <c r="RL56" s="349" t="s">
        <v>94</v>
      </c>
      <c r="RM56" s="322" t="s">
        <v>39</v>
      </c>
      <c r="RN56" s="322">
        <v>0</v>
      </c>
      <c r="RO56" s="322">
        <v>0</v>
      </c>
      <c r="RP56" s="322">
        <v>0</v>
      </c>
      <c r="RQ56" s="322">
        <v>0</v>
      </c>
      <c r="RR56" s="322">
        <v>0</v>
      </c>
      <c r="RS56" s="322">
        <v>0</v>
      </c>
      <c r="RT56" s="322">
        <v>0</v>
      </c>
      <c r="RU56" s="322">
        <v>367176.37</v>
      </c>
      <c r="RV56" s="322">
        <v>220002.31</v>
      </c>
      <c r="RW56" s="322">
        <v>200232.75</v>
      </c>
      <c r="RX56" s="322">
        <v>328000</v>
      </c>
      <c r="RY56" s="322">
        <v>45000</v>
      </c>
      <c r="RZ56" s="322">
        <v>50000</v>
      </c>
      <c r="SA56" s="322">
        <v>50000</v>
      </c>
      <c r="SB56" s="322">
        <v>600000</v>
      </c>
      <c r="SC56" s="322">
        <v>50000</v>
      </c>
      <c r="SD56" s="322">
        <v>57500</v>
      </c>
      <c r="SE56" s="322">
        <v>57500</v>
      </c>
      <c r="SF56" s="322">
        <v>187500</v>
      </c>
      <c r="SG56" s="322">
        <v>147500</v>
      </c>
      <c r="SH56" s="322">
        <v>40000</v>
      </c>
      <c r="SI56" s="322">
        <v>51500</v>
      </c>
    </row>
    <row r="57" spans="1:503">
      <c r="A57" s="319" t="s">
        <v>40</v>
      </c>
      <c r="B57" s="319">
        <v>988648</v>
      </c>
      <c r="C57" s="319">
        <v>948933</v>
      </c>
      <c r="D57" s="319">
        <v>1024139</v>
      </c>
      <c r="E57" s="319">
        <v>1069869</v>
      </c>
      <c r="F57" s="319">
        <v>1073571</v>
      </c>
      <c r="G57" s="319">
        <v>1120326</v>
      </c>
      <c r="H57" s="319">
        <v>1274371</v>
      </c>
      <c r="I57" s="319">
        <v>1523096</v>
      </c>
      <c r="J57" s="319">
        <v>1373248.8800000001</v>
      </c>
      <c r="K57" s="319">
        <v>1349887.6600000001</v>
      </c>
      <c r="L57" s="319">
        <v>1388360.56</v>
      </c>
      <c r="M57" s="319">
        <v>1443556.47</v>
      </c>
      <c r="N57" s="319">
        <v>1453916.7800000003</v>
      </c>
      <c r="O57" s="319">
        <v>1612450.8600000003</v>
      </c>
      <c r="P57" s="319">
        <v>1552409.757</v>
      </c>
      <c r="Q57" s="319">
        <v>1627894.4899999998</v>
      </c>
      <c r="R57" s="319">
        <v>1686344.6099999999</v>
      </c>
      <c r="S57" s="322">
        <v>1668238.9699999997</v>
      </c>
      <c r="T57" s="319">
        <v>1646295.35</v>
      </c>
      <c r="U57" s="319">
        <v>1623743.6500000001</v>
      </c>
      <c r="V57" s="319">
        <v>1781972.16</v>
      </c>
      <c r="W57" s="319">
        <v>2363333.8199999998</v>
      </c>
      <c r="X57" s="330"/>
      <c r="Y57" s="319" t="s">
        <v>40</v>
      </c>
      <c r="Z57" s="319">
        <v>59318.879999999997</v>
      </c>
      <c r="AA57" s="319">
        <v>47446.65</v>
      </c>
      <c r="AB57" s="319">
        <v>51206.95</v>
      </c>
      <c r="AC57" s="319">
        <v>74890.83</v>
      </c>
      <c r="AD57" s="319">
        <v>75149.97</v>
      </c>
      <c r="AE57" s="319">
        <v>78422.820000000007</v>
      </c>
      <c r="AF57" s="319">
        <v>67219.56</v>
      </c>
      <c r="AG57" s="319">
        <v>76154.8</v>
      </c>
      <c r="AH57" s="319">
        <v>78274.890000000014</v>
      </c>
      <c r="AI57" s="319">
        <v>77802.5</v>
      </c>
      <c r="AJ57" s="319">
        <v>78337.78</v>
      </c>
      <c r="AK57" s="319">
        <v>79383.69</v>
      </c>
      <c r="AL57" s="319">
        <v>80960.509999999995</v>
      </c>
      <c r="AM57" s="319">
        <v>84023.16</v>
      </c>
      <c r="AN57" s="319">
        <v>88733.38</v>
      </c>
      <c r="AO57" s="319">
        <v>92214.569999999992</v>
      </c>
      <c r="AP57" s="319">
        <v>93188.569999999992</v>
      </c>
      <c r="AQ57" s="322">
        <v>94819.95</v>
      </c>
      <c r="AR57" s="319">
        <v>96901.14</v>
      </c>
      <c r="AS57" s="319">
        <v>97686.81</v>
      </c>
      <c r="AT57" s="319">
        <v>98986.209999999992</v>
      </c>
      <c r="AU57" s="319">
        <v>100334.14</v>
      </c>
      <c r="AV57" s="334"/>
      <c r="AW57" s="319" t="s">
        <v>40</v>
      </c>
      <c r="AX57" s="319">
        <v>49432.4</v>
      </c>
      <c r="AY57" s="319">
        <v>47446.65</v>
      </c>
      <c r="AZ57" s="319">
        <v>51206.950000000004</v>
      </c>
      <c r="BA57" s="319">
        <v>53493.450000000004</v>
      </c>
      <c r="BB57" s="319">
        <v>53678.55</v>
      </c>
      <c r="BC57" s="319">
        <v>56016.3</v>
      </c>
      <c r="BD57" s="319">
        <v>50974.840000000004</v>
      </c>
      <c r="BE57" s="319">
        <v>60923.840000000004</v>
      </c>
      <c r="BF57" s="319">
        <v>58065.08</v>
      </c>
      <c r="BG57" s="319">
        <v>60749.239999999991</v>
      </c>
      <c r="BH57" s="319">
        <v>59605.69</v>
      </c>
      <c r="BI57" s="319">
        <v>61104.520000000004</v>
      </c>
      <c r="BJ57" s="319">
        <v>61623.960000000006</v>
      </c>
      <c r="BK57" s="319">
        <v>63561.79</v>
      </c>
      <c r="BL57" s="319">
        <v>65409.83</v>
      </c>
      <c r="BM57" s="319">
        <v>68807.239999999991</v>
      </c>
      <c r="BN57" s="319">
        <v>69137.500000000015</v>
      </c>
      <c r="BO57" s="322">
        <v>72522.319999999992</v>
      </c>
      <c r="BP57" s="319">
        <v>70552.97</v>
      </c>
      <c r="BQ57" s="319">
        <v>77423.799999999988</v>
      </c>
      <c r="BR57" s="319">
        <v>77112.87</v>
      </c>
      <c r="BS57" s="319">
        <v>88980.48000000001</v>
      </c>
      <c r="BT57" s="334"/>
      <c r="BU57" s="322" t="s">
        <v>40</v>
      </c>
      <c r="BV57" s="322">
        <v>19772.96</v>
      </c>
      <c r="BW57" s="322">
        <v>9489.33</v>
      </c>
      <c r="BX57" s="322">
        <v>20482.78</v>
      </c>
      <c r="BY57" s="322">
        <v>21397.38</v>
      </c>
      <c r="BZ57" s="322">
        <v>21471.42</v>
      </c>
      <c r="CA57" s="322">
        <v>0</v>
      </c>
      <c r="CB57" s="322">
        <v>25487.42</v>
      </c>
      <c r="CC57" s="322">
        <v>15230.96</v>
      </c>
      <c r="CD57" s="322">
        <v>35322.57</v>
      </c>
      <c r="CE57" s="322">
        <v>6859.82</v>
      </c>
      <c r="CF57" s="322">
        <v>36561.210000000006</v>
      </c>
      <c r="CG57" s="322">
        <v>6696.19</v>
      </c>
      <c r="CH57" s="322">
        <v>35703.460000000006</v>
      </c>
      <c r="CI57" s="322">
        <v>11111.650000000001</v>
      </c>
      <c r="CJ57" s="322">
        <v>30893.68</v>
      </c>
      <c r="CK57" s="322">
        <v>6232.67</v>
      </c>
      <c r="CL57" s="322">
        <v>41402.439999999995</v>
      </c>
      <c r="CM57" s="322">
        <v>16372.24</v>
      </c>
      <c r="CN57" s="322">
        <v>36885.229999999996</v>
      </c>
      <c r="CO57" s="322">
        <v>10697.599999999999</v>
      </c>
      <c r="CP57" s="322">
        <v>54281.69</v>
      </c>
      <c r="CQ57" s="322">
        <v>14150</v>
      </c>
      <c r="CR57" s="334"/>
      <c r="CS57" s="322" t="s">
        <v>40</v>
      </c>
      <c r="CT57" s="322">
        <v>29659.439999999999</v>
      </c>
      <c r="CU57" s="322">
        <v>37957.32</v>
      </c>
      <c r="CV57" s="322">
        <v>30724.17</v>
      </c>
      <c r="CW57" s="322">
        <v>32096.07</v>
      </c>
      <c r="CX57" s="322">
        <v>32207.13</v>
      </c>
      <c r="CY57" s="322">
        <v>33609.78</v>
      </c>
      <c r="CZ57" s="322">
        <v>50974.84</v>
      </c>
      <c r="DA57" s="322">
        <v>45692.88</v>
      </c>
      <c r="DB57" s="322">
        <v>47782.03</v>
      </c>
      <c r="DC57" s="322">
        <v>49293.89</v>
      </c>
      <c r="DD57" s="322">
        <v>64720.57</v>
      </c>
      <c r="DE57" s="322">
        <v>81544.389999999985</v>
      </c>
      <c r="DF57" s="322">
        <v>64938.49</v>
      </c>
      <c r="DG57" s="322">
        <v>62562.09</v>
      </c>
      <c r="DH57" s="322">
        <v>55203.27</v>
      </c>
      <c r="DI57" s="322">
        <v>52526.35</v>
      </c>
      <c r="DJ57" s="322">
        <v>62038.42</v>
      </c>
      <c r="DK57" s="322">
        <v>170887.69999999998</v>
      </c>
      <c r="DL57" s="322">
        <v>63060.37</v>
      </c>
      <c r="DM57" s="322">
        <v>101279.06</v>
      </c>
      <c r="DN57" s="322">
        <v>75432.58</v>
      </c>
      <c r="DO57" s="322">
        <v>219768</v>
      </c>
      <c r="DP57" s="334"/>
      <c r="DQ57" s="322" t="s">
        <v>40</v>
      </c>
      <c r="DR57" s="322">
        <v>108751.28</v>
      </c>
      <c r="DS57" s="322">
        <v>113871.96</v>
      </c>
      <c r="DT57" s="322">
        <v>112655.29</v>
      </c>
      <c r="DU57" s="322">
        <v>64192.14</v>
      </c>
      <c r="DV57" s="322">
        <v>75149.97</v>
      </c>
      <c r="DW57" s="322">
        <v>100829.34</v>
      </c>
      <c r="DX57" s="322">
        <v>89205.97</v>
      </c>
      <c r="DY57" s="322">
        <v>106616.72</v>
      </c>
      <c r="DZ57" s="322">
        <v>116232.16</v>
      </c>
      <c r="EA57" s="322">
        <v>112727.02</v>
      </c>
      <c r="EB57" s="322">
        <v>125699.78000000001</v>
      </c>
      <c r="EC57" s="322">
        <v>126373.58</v>
      </c>
      <c r="ED57" s="322">
        <v>148039.79</v>
      </c>
      <c r="EE57" s="322">
        <v>154375.14000000004</v>
      </c>
      <c r="EF57" s="322">
        <v>160365.01</v>
      </c>
      <c r="EG57" s="322">
        <v>181645.34</v>
      </c>
      <c r="EH57" s="322">
        <v>192449.47</v>
      </c>
      <c r="EI57" s="322">
        <v>183844.58</v>
      </c>
      <c r="EJ57" s="322">
        <v>188987.68999999997</v>
      </c>
      <c r="EK57" s="322">
        <v>194261.62</v>
      </c>
      <c r="EL57" s="322">
        <v>200857.42</v>
      </c>
      <c r="EM57" s="322">
        <v>225150</v>
      </c>
      <c r="EN57" s="334"/>
      <c r="EO57" s="322" t="s">
        <v>40</v>
      </c>
      <c r="EP57" s="322">
        <v>19772.96</v>
      </c>
      <c r="EQ57" s="322">
        <v>18978.66</v>
      </c>
      <c r="ER57" s="322">
        <v>20482.78</v>
      </c>
      <c r="ES57" s="322">
        <v>32096.07</v>
      </c>
      <c r="ET57" s="322">
        <v>32207.13</v>
      </c>
      <c r="EU57" s="322">
        <v>22406.52</v>
      </c>
      <c r="EV57" s="322">
        <v>25487.42</v>
      </c>
      <c r="EW57" s="322">
        <v>30461.919999999998</v>
      </c>
      <c r="EX57" s="322">
        <v>29453.530000000002</v>
      </c>
      <c r="EY57" s="322">
        <v>29759.890000000003</v>
      </c>
      <c r="EZ57" s="322">
        <v>31208.33</v>
      </c>
      <c r="FA57" s="322">
        <v>31769.020000000004</v>
      </c>
      <c r="FB57" s="322">
        <v>33922.449999999997</v>
      </c>
      <c r="FC57" s="322">
        <v>30055.73</v>
      </c>
      <c r="FD57" s="322">
        <v>44162.05</v>
      </c>
      <c r="FE57" s="322">
        <v>44244.2</v>
      </c>
      <c r="FF57" s="322">
        <v>45590.999999999993</v>
      </c>
      <c r="FG57" s="322">
        <v>46717.510000000009</v>
      </c>
      <c r="FH57" s="322">
        <v>47136.659999999996</v>
      </c>
      <c r="FI57" s="322">
        <v>50662.27</v>
      </c>
      <c r="FJ57" s="322">
        <v>49767.92</v>
      </c>
      <c r="FK57" s="322">
        <v>51915.48</v>
      </c>
      <c r="FL57" s="334"/>
      <c r="FM57" s="322" t="s">
        <v>40</v>
      </c>
      <c r="FN57" s="322">
        <v>49432.4</v>
      </c>
      <c r="FO57" s="322">
        <v>56935.98</v>
      </c>
      <c r="FP57" s="322">
        <v>51206.95</v>
      </c>
      <c r="FQ57" s="322">
        <v>64192.14</v>
      </c>
      <c r="FR57" s="322">
        <v>64414.26</v>
      </c>
      <c r="FS57" s="322">
        <v>67219.56</v>
      </c>
      <c r="FT57" s="322">
        <v>63718.55</v>
      </c>
      <c r="FU57" s="322">
        <v>60923.839999999997</v>
      </c>
      <c r="FV57" s="322">
        <v>64847.880000000005</v>
      </c>
      <c r="FW57" s="322">
        <v>66968.91</v>
      </c>
      <c r="FX57" s="322">
        <v>67919.609999999986</v>
      </c>
      <c r="FY57" s="322">
        <v>69594.12000000001</v>
      </c>
      <c r="FZ57" s="322">
        <v>72380.81</v>
      </c>
      <c r="GA57" s="322">
        <v>72913.88</v>
      </c>
      <c r="GB57" s="322">
        <v>76007.136999999988</v>
      </c>
      <c r="GC57" s="322">
        <v>77900.449999999983</v>
      </c>
      <c r="GD57" s="322">
        <v>79673.839999999982</v>
      </c>
      <c r="GE57" s="322">
        <v>76768.450000000012</v>
      </c>
      <c r="GF57" s="340">
        <v>77457.290000000008</v>
      </c>
      <c r="GG57" s="704">
        <v>81227.319999999992</v>
      </c>
      <c r="GH57" s="704">
        <v>83340.800000000003</v>
      </c>
      <c r="GI57" s="704">
        <v>84804.48000000001</v>
      </c>
      <c r="GJ57" s="334"/>
      <c r="GK57" s="322" t="s">
        <v>40</v>
      </c>
      <c r="GL57" s="322">
        <v>19772.96</v>
      </c>
      <c r="GM57" s="322">
        <v>28467.99</v>
      </c>
      <c r="GN57" s="322">
        <v>40965.56</v>
      </c>
      <c r="GO57" s="322">
        <v>32096.07</v>
      </c>
      <c r="GP57" s="322">
        <v>32207.13</v>
      </c>
      <c r="GQ57" s="322">
        <v>33609.78</v>
      </c>
      <c r="GR57" s="322">
        <v>25487.42</v>
      </c>
      <c r="GS57" s="322">
        <v>30461.919999999998</v>
      </c>
      <c r="GT57" s="322">
        <v>31059.42</v>
      </c>
      <c r="GU57" s="322">
        <v>51504.679999999993</v>
      </c>
      <c r="GV57" s="322">
        <v>49842.11</v>
      </c>
      <c r="GW57" s="322">
        <v>49634.83</v>
      </c>
      <c r="GX57" s="322">
        <v>50313.880000000005</v>
      </c>
      <c r="GY57" s="322">
        <v>58735.18</v>
      </c>
      <c r="GZ57" s="322">
        <v>54985.450000000004</v>
      </c>
      <c r="HA57" s="322">
        <v>60516.30000000001</v>
      </c>
      <c r="HB57" s="322">
        <v>61667.01</v>
      </c>
      <c r="HC57" s="322">
        <v>62791.85</v>
      </c>
      <c r="HD57" s="322">
        <v>63948.66</v>
      </c>
      <c r="HE57" s="322">
        <v>66817.650000000009</v>
      </c>
      <c r="HF57" s="322">
        <v>66374.509999999995</v>
      </c>
      <c r="HG57" s="322">
        <v>71199.48000000001</v>
      </c>
      <c r="HH57" s="334"/>
      <c r="HI57" s="322" t="s">
        <v>40</v>
      </c>
      <c r="HJ57" s="322">
        <v>9886.48</v>
      </c>
      <c r="HK57" s="322">
        <v>9489.33</v>
      </c>
      <c r="HL57" s="322">
        <v>10241.39</v>
      </c>
      <c r="HM57" s="322">
        <v>10698.69</v>
      </c>
      <c r="HN57" s="322">
        <v>10735.71</v>
      </c>
      <c r="HO57" s="322">
        <v>11203.26</v>
      </c>
      <c r="HP57" s="322">
        <v>12743.71</v>
      </c>
      <c r="HQ57" s="322">
        <v>15230.96</v>
      </c>
      <c r="HR57" s="322">
        <v>20874.43</v>
      </c>
      <c r="HS57" s="322">
        <v>20316.920000000002</v>
      </c>
      <c r="HT57" s="322">
        <v>20453.41</v>
      </c>
      <c r="HU57" s="322">
        <v>16399.23</v>
      </c>
      <c r="HV57" s="322">
        <v>16462.89</v>
      </c>
      <c r="HW57" s="322">
        <v>19911.64</v>
      </c>
      <c r="HX57" s="322">
        <v>17487.629999999997</v>
      </c>
      <c r="HY57" s="322">
        <v>16996.68</v>
      </c>
      <c r="HZ57" s="322">
        <v>18633.73</v>
      </c>
      <c r="IA57" s="322">
        <v>17148.39</v>
      </c>
      <c r="IB57" s="322">
        <v>19081.34</v>
      </c>
      <c r="IC57" s="322">
        <v>17806.670000000002</v>
      </c>
      <c r="ID57" s="322">
        <v>15401.36</v>
      </c>
      <c r="IE57" s="322">
        <v>23000</v>
      </c>
      <c r="IF57" s="334"/>
      <c r="IG57" s="322" t="s">
        <v>40</v>
      </c>
      <c r="IH57" s="322">
        <v>9886.48</v>
      </c>
      <c r="II57" s="322">
        <v>9489.33</v>
      </c>
      <c r="IJ57" s="322">
        <v>10241.39</v>
      </c>
      <c r="IK57" s="322">
        <v>10698.69</v>
      </c>
      <c r="IL57" s="322">
        <v>10735.71</v>
      </c>
      <c r="IM57" s="322">
        <v>11203.26</v>
      </c>
      <c r="IN57" s="322">
        <v>12743.71</v>
      </c>
      <c r="IO57" s="322">
        <v>15230.96</v>
      </c>
      <c r="IP57" s="322">
        <v>379.12</v>
      </c>
      <c r="IQ57" s="322">
        <v>769.37</v>
      </c>
      <c r="IR57" s="322">
        <v>310.82</v>
      </c>
      <c r="IS57" s="322">
        <v>1891.73</v>
      </c>
      <c r="IT57" s="322">
        <v>2174.8000000000002</v>
      </c>
      <c r="IU57" s="322">
        <v>551.20000000000005</v>
      </c>
      <c r="IV57" s="322"/>
      <c r="IW57" s="322"/>
      <c r="IX57" s="322"/>
      <c r="IY57" s="322"/>
      <c r="IZ57" s="322"/>
      <c r="JA57" s="322"/>
      <c r="JB57" s="322"/>
      <c r="JC57" s="322"/>
      <c r="JD57" s="334"/>
      <c r="JE57" s="322" t="s">
        <v>40</v>
      </c>
      <c r="JF57" s="322">
        <v>9886.48</v>
      </c>
      <c r="JG57" s="322">
        <v>18978.66</v>
      </c>
      <c r="JH57" s="322">
        <v>20482.78</v>
      </c>
      <c r="JI57" s="322">
        <v>0</v>
      </c>
      <c r="JJ57" s="322">
        <v>0</v>
      </c>
      <c r="JK57" s="322">
        <v>0</v>
      </c>
      <c r="JL57" s="322">
        <v>0</v>
      </c>
      <c r="JM57" s="322">
        <v>0</v>
      </c>
      <c r="JN57" s="322">
        <v>9564.84</v>
      </c>
      <c r="JO57" s="322">
        <v>2415.41</v>
      </c>
      <c r="JP57" s="322">
        <v>6848.0299999999988</v>
      </c>
      <c r="JQ57" s="322">
        <v>5002.6000000000004</v>
      </c>
      <c r="JR57" s="322">
        <v>3581.12</v>
      </c>
      <c r="JS57" s="322">
        <v>8536.6699999999983</v>
      </c>
      <c r="JT57" s="322">
        <v>3558.26</v>
      </c>
      <c r="JU57" s="322">
        <v>1680.5199999999998</v>
      </c>
      <c r="JV57" s="322">
        <v>5716.4000000000005</v>
      </c>
      <c r="JW57" s="322">
        <v>9109.1200000000008</v>
      </c>
      <c r="JX57" s="322">
        <v>5243.14</v>
      </c>
      <c r="JY57" s="322">
        <v>0</v>
      </c>
      <c r="JZ57" s="322">
        <v>0</v>
      </c>
      <c r="KA57" s="322">
        <v>0</v>
      </c>
      <c r="KB57" s="334"/>
      <c r="KC57" s="322" t="s">
        <v>40</v>
      </c>
      <c r="KD57" s="322">
        <v>9886.48</v>
      </c>
      <c r="KE57" s="322">
        <v>18978.66</v>
      </c>
      <c r="KF57" s="322">
        <v>20482.78</v>
      </c>
      <c r="KG57" s="322">
        <v>21397.38</v>
      </c>
      <c r="KH57" s="322">
        <v>21471.42</v>
      </c>
      <c r="KI57" s="322">
        <v>44813.04</v>
      </c>
      <c r="KJ57" s="322">
        <v>38231.129999999997</v>
      </c>
      <c r="KK57" s="322">
        <v>45692.88</v>
      </c>
      <c r="KL57" s="322">
        <v>42723.49</v>
      </c>
      <c r="KM57" s="322">
        <v>41766.720000000001</v>
      </c>
      <c r="KN57" s="322">
        <v>41638.37000000001</v>
      </c>
      <c r="KO57" s="322">
        <v>41863.9</v>
      </c>
      <c r="KP57" s="322">
        <v>43236.040000000008</v>
      </c>
      <c r="KQ57" s="322">
        <v>48537.47</v>
      </c>
      <c r="KR57" s="322">
        <v>47574.31</v>
      </c>
      <c r="KS57" s="322">
        <v>45139.08</v>
      </c>
      <c r="KT57" s="322">
        <v>47338.17</v>
      </c>
      <c r="KU57" s="322">
        <v>47672.57</v>
      </c>
      <c r="KV57" s="322">
        <v>49223.979999999996</v>
      </c>
      <c r="KW57" s="322">
        <v>49570.30999999999</v>
      </c>
      <c r="KX57" s="322">
        <v>50210.650000000009</v>
      </c>
      <c r="KY57" s="322">
        <v>56965.13</v>
      </c>
      <c r="KZ57" s="334"/>
      <c r="LA57" s="322" t="s">
        <v>40</v>
      </c>
      <c r="LB57" s="322">
        <v>217502.56</v>
      </c>
      <c r="LC57" s="322">
        <v>208765.26</v>
      </c>
      <c r="LD57" s="322">
        <v>245793.36</v>
      </c>
      <c r="LE57" s="322">
        <v>235371.18</v>
      </c>
      <c r="LF57" s="322">
        <v>268392.75</v>
      </c>
      <c r="LG57" s="322">
        <v>246471.72</v>
      </c>
      <c r="LH57" s="322">
        <v>280361.62</v>
      </c>
      <c r="LI57" s="322">
        <v>258926.32</v>
      </c>
      <c r="LJ57" s="322">
        <v>251542.83</v>
      </c>
      <c r="LK57" s="322">
        <v>238677.38</v>
      </c>
      <c r="LL57" s="322">
        <v>254170.03</v>
      </c>
      <c r="LM57" s="322">
        <v>336109.77</v>
      </c>
      <c r="LN57" s="322">
        <v>298921.63</v>
      </c>
      <c r="LO57" s="322">
        <v>271389.35000000003</v>
      </c>
      <c r="LP57" s="322">
        <v>365360.94</v>
      </c>
      <c r="LQ57" s="322">
        <v>431875.56</v>
      </c>
      <c r="LR57" s="322">
        <v>415526.91</v>
      </c>
      <c r="LS57" s="322">
        <v>300540.23</v>
      </c>
      <c r="LT57" s="322">
        <v>343450.3</v>
      </c>
      <c r="LU57" s="322">
        <v>246131.35</v>
      </c>
      <c r="LV57" s="322">
        <v>276304.54000000004</v>
      </c>
      <c r="LW57" s="322">
        <v>435405.98</v>
      </c>
      <c r="LX57" s="334"/>
      <c r="LY57" s="322" t="s">
        <v>40</v>
      </c>
      <c r="LZ57" s="322">
        <v>128524.24</v>
      </c>
      <c r="MA57" s="322">
        <v>123361.29</v>
      </c>
      <c r="MB57" s="322">
        <v>153620.85</v>
      </c>
      <c r="MC57" s="322">
        <v>0</v>
      </c>
      <c r="MD57" s="322">
        <v>0</v>
      </c>
      <c r="ME57" s="322">
        <v>0</v>
      </c>
      <c r="MF57" s="322">
        <v>0</v>
      </c>
      <c r="MG57" s="322">
        <v>0</v>
      </c>
      <c r="MH57" s="322">
        <v>0</v>
      </c>
      <c r="MI57" s="322">
        <v>0</v>
      </c>
      <c r="MJ57" s="322">
        <v>0</v>
      </c>
      <c r="MK57" s="322">
        <v>0</v>
      </c>
      <c r="ML57" s="322">
        <v>0</v>
      </c>
      <c r="MM57" s="322">
        <v>0</v>
      </c>
      <c r="MN57" s="322">
        <v>0</v>
      </c>
      <c r="MO57" s="322">
        <v>0</v>
      </c>
      <c r="MP57" s="322">
        <v>0</v>
      </c>
      <c r="MQ57" s="322">
        <v>0</v>
      </c>
      <c r="MR57" s="322">
        <v>0</v>
      </c>
      <c r="MS57" s="322">
        <v>0</v>
      </c>
      <c r="MT57" s="322">
        <v>0</v>
      </c>
      <c r="MU57" s="322">
        <v>0</v>
      </c>
      <c r="MV57" s="334"/>
      <c r="MW57" s="322" t="s">
        <v>40</v>
      </c>
      <c r="MX57" s="322">
        <v>49432.4</v>
      </c>
      <c r="MY57" s="322">
        <v>0</v>
      </c>
      <c r="MZ57" s="322">
        <v>0</v>
      </c>
      <c r="NA57" s="322">
        <v>0</v>
      </c>
      <c r="NB57" s="322">
        <v>0</v>
      </c>
      <c r="NC57" s="322">
        <v>0</v>
      </c>
      <c r="ND57" s="322">
        <v>0</v>
      </c>
      <c r="NE57" s="322">
        <v>0</v>
      </c>
      <c r="NF57" s="322">
        <v>0</v>
      </c>
      <c r="NG57" s="322">
        <v>0</v>
      </c>
      <c r="NH57" s="322">
        <v>0</v>
      </c>
      <c r="NI57" s="322">
        <v>0</v>
      </c>
      <c r="NJ57" s="322">
        <v>0</v>
      </c>
      <c r="NK57" s="322">
        <v>0</v>
      </c>
      <c r="NL57" s="322">
        <v>0</v>
      </c>
      <c r="NM57" s="322">
        <v>0</v>
      </c>
      <c r="NN57" s="322">
        <v>0</v>
      </c>
      <c r="NO57" s="322">
        <v>0</v>
      </c>
      <c r="NP57" s="322">
        <v>0</v>
      </c>
      <c r="NQ57" s="322">
        <v>0</v>
      </c>
      <c r="NR57" s="322">
        <v>0</v>
      </c>
      <c r="NS57" s="322">
        <v>0</v>
      </c>
      <c r="NT57" s="334"/>
      <c r="NU57" s="322" t="s">
        <v>40</v>
      </c>
      <c r="NV57" s="322">
        <v>59318.879999999997</v>
      </c>
      <c r="NW57" s="322">
        <v>47446.65</v>
      </c>
      <c r="NX57" s="322">
        <v>51206.95</v>
      </c>
      <c r="NY57" s="322">
        <v>74890.83</v>
      </c>
      <c r="NZ57" s="322">
        <v>64414.26</v>
      </c>
      <c r="OA57" s="322">
        <v>67219.56</v>
      </c>
      <c r="OB57" s="322">
        <v>89205.97</v>
      </c>
      <c r="OC57" s="322">
        <v>60923.839999999997</v>
      </c>
      <c r="OD57" s="322">
        <v>70330.899999999994</v>
      </c>
      <c r="OE57" s="322">
        <v>75857.350000000006</v>
      </c>
      <c r="OF57" s="322">
        <v>75861.570000000007</v>
      </c>
      <c r="OG57" s="322">
        <v>78117.87</v>
      </c>
      <c r="OH57" s="322">
        <v>76473.240000000005</v>
      </c>
      <c r="OI57" s="322">
        <v>76742.649999999994</v>
      </c>
      <c r="OJ57" s="322">
        <v>77383.150000000009</v>
      </c>
      <c r="OK57" s="322">
        <v>81069.790000000008</v>
      </c>
      <c r="OL57" s="322">
        <v>80603.19</v>
      </c>
      <c r="OM57" s="322">
        <v>82549.730000000025</v>
      </c>
      <c r="ON57" s="322">
        <v>103295.87999999999</v>
      </c>
      <c r="OO57" s="322">
        <v>113451.31000000001</v>
      </c>
      <c r="OP57" s="322">
        <v>117219.45999999999</v>
      </c>
      <c r="OQ57" s="322">
        <v>137650</v>
      </c>
      <c r="OR57" s="334"/>
      <c r="OS57" s="322" t="s">
        <v>40</v>
      </c>
      <c r="OT57" s="322">
        <v>88978.32</v>
      </c>
      <c r="OU57" s="322">
        <v>104382.63</v>
      </c>
      <c r="OV57" s="322">
        <v>102413.9</v>
      </c>
      <c r="OW57" s="322">
        <v>85589.52</v>
      </c>
      <c r="OX57" s="322">
        <v>64414.26</v>
      </c>
      <c r="OY57" s="322">
        <v>67219.56</v>
      </c>
      <c r="OZ57" s="322">
        <v>76462.259999999995</v>
      </c>
      <c r="PA57" s="322">
        <v>76154.8</v>
      </c>
      <c r="PB57" s="322">
        <v>78270.64</v>
      </c>
      <c r="PC57" s="322">
        <v>74597.919999999998</v>
      </c>
      <c r="PD57" s="322">
        <v>58157.159999999996</v>
      </c>
      <c r="PE57" s="322">
        <v>50092.36</v>
      </c>
      <c r="PF57" s="322">
        <v>41618.78</v>
      </c>
      <c r="PG57" s="322">
        <v>56293.19</v>
      </c>
      <c r="PH57" s="322">
        <v>50321.18</v>
      </c>
      <c r="PI57" s="322">
        <v>57732.39</v>
      </c>
      <c r="PJ57" s="322">
        <v>56749.46</v>
      </c>
      <c r="PK57" s="322">
        <v>55459.5</v>
      </c>
      <c r="PL57" s="322">
        <v>52796.95</v>
      </c>
      <c r="PM57" s="322">
        <v>45369.31</v>
      </c>
      <c r="PN57" s="322">
        <v>45007.289999999994</v>
      </c>
      <c r="PO57" s="322">
        <v>45007.289999999994</v>
      </c>
      <c r="PP57" s="334"/>
      <c r="PQ57" s="322" t="s">
        <v>40</v>
      </c>
      <c r="PR57" s="322">
        <v>9886.48</v>
      </c>
      <c r="PS57" s="322">
        <v>9489.33</v>
      </c>
      <c r="PT57" s="322">
        <v>10241.39</v>
      </c>
      <c r="PU57" s="322">
        <v>10698.69</v>
      </c>
      <c r="PV57" s="322">
        <v>10735.71</v>
      </c>
      <c r="PW57" s="322">
        <v>11203.26</v>
      </c>
      <c r="PX57" s="322">
        <v>12743.71</v>
      </c>
      <c r="PY57" s="322">
        <v>15230.96</v>
      </c>
      <c r="PZ57" s="322">
        <v>11385.220000000001</v>
      </c>
      <c r="QA57" s="322">
        <v>13581.689999999999</v>
      </c>
      <c r="QB57" s="322">
        <v>17831.09</v>
      </c>
      <c r="QC57" s="322">
        <v>11232.570000000002</v>
      </c>
      <c r="QD57" s="322">
        <v>15564.93</v>
      </c>
      <c r="QE57" s="322">
        <v>16637.55</v>
      </c>
      <c r="QF57" s="322">
        <v>17812.48</v>
      </c>
      <c r="QG57" s="322">
        <v>13493.35</v>
      </c>
      <c r="QH57" s="322">
        <v>15211.350000000002</v>
      </c>
      <c r="QI57" s="322">
        <v>20178.61</v>
      </c>
      <c r="QJ57" s="322">
        <v>15773.75</v>
      </c>
      <c r="QK57" s="322">
        <v>18858.579999999998</v>
      </c>
      <c r="QL57" s="322">
        <v>19174.860000000004</v>
      </c>
      <c r="QM57" s="322">
        <v>26503.360000000001</v>
      </c>
      <c r="QN57" s="334"/>
      <c r="QO57" s="322" t="s">
        <v>40</v>
      </c>
      <c r="QP57" s="322">
        <v>9886.48</v>
      </c>
      <c r="QQ57" s="322">
        <v>9489.33</v>
      </c>
      <c r="QR57" s="322">
        <v>0</v>
      </c>
      <c r="QS57" s="322">
        <v>0</v>
      </c>
      <c r="QT57" s="322">
        <v>0</v>
      </c>
      <c r="QU57" s="322">
        <v>0</v>
      </c>
      <c r="QV57" s="322">
        <v>25487.42</v>
      </c>
      <c r="QW57" s="322">
        <v>289388.24</v>
      </c>
      <c r="QX57" s="322">
        <v>95264.5</v>
      </c>
      <c r="QY57" s="322">
        <v>110772.8</v>
      </c>
      <c r="QZ57" s="322">
        <v>3575</v>
      </c>
      <c r="RA57" s="322">
        <v>0</v>
      </c>
      <c r="RB57" s="322">
        <v>0</v>
      </c>
      <c r="RC57" s="322">
        <v>34061.599999999999</v>
      </c>
      <c r="RD57" s="322">
        <v>0</v>
      </c>
      <c r="RE57" s="322">
        <v>0</v>
      </c>
      <c r="RF57" s="322">
        <v>5250.15</v>
      </c>
      <c r="RG57" s="322">
        <v>7356.22</v>
      </c>
      <c r="RH57" s="322">
        <v>0</v>
      </c>
      <c r="RI57" s="322">
        <v>0</v>
      </c>
      <c r="RJ57" s="322">
        <v>0</v>
      </c>
      <c r="RK57" s="322">
        <v>0</v>
      </c>
      <c r="RL57" s="334"/>
      <c r="RM57" s="322" t="s">
        <v>40</v>
      </c>
      <c r="RN57" s="322">
        <v>29659.439999999999</v>
      </c>
      <c r="RO57" s="322">
        <v>28467.99</v>
      </c>
      <c r="RP57" s="322">
        <v>20482.78</v>
      </c>
      <c r="RQ57" s="322">
        <v>246069.87</v>
      </c>
      <c r="RR57" s="322">
        <v>236185.62</v>
      </c>
      <c r="RS57" s="322">
        <v>268878.24</v>
      </c>
      <c r="RT57" s="322">
        <v>318592.75</v>
      </c>
      <c r="RU57" s="322">
        <v>319850.15999999997</v>
      </c>
      <c r="RV57" s="322">
        <v>331480.46000000002</v>
      </c>
      <c r="RW57" s="322">
        <v>315466.15000000002</v>
      </c>
      <c r="RX57" s="322">
        <v>385620</v>
      </c>
      <c r="RY57" s="322">
        <v>396746.1</v>
      </c>
      <c r="RZ57" s="322">
        <v>408000</v>
      </c>
      <c r="SA57" s="322">
        <v>517450.92000000004</v>
      </c>
      <c r="SB57" s="322">
        <v>377152</v>
      </c>
      <c r="SC57" s="322">
        <v>395820</v>
      </c>
      <c r="SD57" s="322">
        <v>396167</v>
      </c>
      <c r="SE57" s="322">
        <v>403500</v>
      </c>
      <c r="SF57" s="322">
        <v>412500</v>
      </c>
      <c r="SG57" s="322">
        <v>452499.99</v>
      </c>
      <c r="SH57" s="322">
        <v>502500</v>
      </c>
      <c r="SI57" s="322">
        <v>432500</v>
      </c>
    </row>
    <row r="58" spans="1:503">
      <c r="A58" s="319" t="s">
        <v>41</v>
      </c>
      <c r="B58" s="319">
        <v>933071</v>
      </c>
      <c r="C58" s="319">
        <v>869916</v>
      </c>
      <c r="D58" s="319">
        <v>1043476</v>
      </c>
      <c r="E58" s="319">
        <v>1011164</v>
      </c>
      <c r="F58" s="319">
        <v>1113373</v>
      </c>
      <c r="G58" s="319">
        <v>1187397</v>
      </c>
      <c r="H58" s="319">
        <v>1223627</v>
      </c>
      <c r="I58" s="319">
        <v>1218177</v>
      </c>
      <c r="J58" s="319">
        <v>1244101.8199999998</v>
      </c>
      <c r="K58" s="319">
        <v>1288321.6400000001</v>
      </c>
      <c r="L58" s="319">
        <v>1270612.01</v>
      </c>
      <c r="M58" s="319">
        <v>1342863.1</v>
      </c>
      <c r="N58" s="319">
        <v>1459038.76</v>
      </c>
      <c r="O58" s="319">
        <v>1454485.25</v>
      </c>
      <c r="P58" s="319">
        <v>1521789.54</v>
      </c>
      <c r="Q58" s="319">
        <v>1458912.5100000002</v>
      </c>
      <c r="R58" s="319">
        <v>1549836.4000000001</v>
      </c>
      <c r="S58" s="322">
        <v>1577758.54</v>
      </c>
      <c r="T58" s="319">
        <v>1722511.5199999998</v>
      </c>
      <c r="U58" s="319">
        <v>1725088.88</v>
      </c>
      <c r="V58" s="319">
        <v>1974747.0999999999</v>
      </c>
      <c r="W58" s="319">
        <v>2859447</v>
      </c>
      <c r="X58" s="330"/>
      <c r="Y58" s="319" t="s">
        <v>41</v>
      </c>
      <c r="Z58" s="319">
        <v>55984.26</v>
      </c>
      <c r="AA58" s="319">
        <v>52194.96</v>
      </c>
      <c r="AB58" s="319">
        <v>62608.56</v>
      </c>
      <c r="AC58" s="319">
        <v>60669.84</v>
      </c>
      <c r="AD58" s="319">
        <v>66802.38</v>
      </c>
      <c r="AE58" s="319">
        <v>71243.820000000007</v>
      </c>
      <c r="AF58" s="319">
        <v>71243.820000000007</v>
      </c>
      <c r="AG58" s="319">
        <v>73090.62</v>
      </c>
      <c r="AH58" s="319">
        <v>76244.45</v>
      </c>
      <c r="AI58" s="319">
        <v>76603.540000000008</v>
      </c>
      <c r="AJ58" s="319">
        <v>77828.02</v>
      </c>
      <c r="AK58" s="319">
        <v>77334.73</v>
      </c>
      <c r="AL58" s="319">
        <v>79410.89999999998</v>
      </c>
      <c r="AM58" s="319">
        <v>78562.759999999995</v>
      </c>
      <c r="AN58" s="319">
        <v>78049.899999999994</v>
      </c>
      <c r="AO58" s="319">
        <v>80509.38</v>
      </c>
      <c r="AP58" s="319">
        <v>84428.800000000003</v>
      </c>
      <c r="AQ58" s="322">
        <v>87716.53</v>
      </c>
      <c r="AR58" s="319">
        <v>135201.82</v>
      </c>
      <c r="AS58" s="319">
        <v>90639.75</v>
      </c>
      <c r="AT58" s="319">
        <v>88014.94</v>
      </c>
      <c r="AU58" s="319">
        <v>159200</v>
      </c>
      <c r="AV58" s="334"/>
      <c r="AW58" s="319" t="s">
        <v>41</v>
      </c>
      <c r="AX58" s="319">
        <v>65314.970000000008</v>
      </c>
      <c r="AY58" s="319">
        <v>69593.279999999999</v>
      </c>
      <c r="AZ58" s="319">
        <v>73043.320000000007</v>
      </c>
      <c r="BA58" s="319">
        <v>60669.84</v>
      </c>
      <c r="BB58" s="319">
        <v>66802.38</v>
      </c>
      <c r="BC58" s="319">
        <v>71243.819999999992</v>
      </c>
      <c r="BD58" s="319">
        <v>61181.350000000006</v>
      </c>
      <c r="BE58" s="319">
        <v>60908.850000000006</v>
      </c>
      <c r="BF58" s="319">
        <v>68883.759999999995</v>
      </c>
      <c r="BG58" s="319">
        <v>72283.099999999991</v>
      </c>
      <c r="BH58" s="319">
        <v>73024.63</v>
      </c>
      <c r="BI58" s="319">
        <v>71945</v>
      </c>
      <c r="BJ58" s="319">
        <v>78962.919999999984</v>
      </c>
      <c r="BK58" s="319">
        <v>80381.39</v>
      </c>
      <c r="BL58" s="319">
        <v>77543.300000000017</v>
      </c>
      <c r="BM58" s="319">
        <v>84045.610000000015</v>
      </c>
      <c r="BN58" s="319">
        <v>82012.760000000009</v>
      </c>
      <c r="BO58" s="322">
        <v>80984.84</v>
      </c>
      <c r="BP58" s="319">
        <v>88727.890000000014</v>
      </c>
      <c r="BQ58" s="319">
        <v>83600.53</v>
      </c>
      <c r="BR58" s="319">
        <v>90344.23000000001</v>
      </c>
      <c r="BS58" s="319">
        <v>105200</v>
      </c>
      <c r="BT58" s="334"/>
      <c r="BU58" s="322" t="s">
        <v>41</v>
      </c>
      <c r="BV58" s="322">
        <v>46653.55</v>
      </c>
      <c r="BW58" s="322">
        <v>17398.32</v>
      </c>
      <c r="BX58" s="322">
        <v>52173.8</v>
      </c>
      <c r="BY58" s="322">
        <v>20223.28</v>
      </c>
      <c r="BZ58" s="322">
        <v>89069.84</v>
      </c>
      <c r="CA58" s="322">
        <v>59369.85</v>
      </c>
      <c r="CB58" s="322">
        <v>73417.62</v>
      </c>
      <c r="CC58" s="322">
        <v>24363.54</v>
      </c>
      <c r="CD58" s="322">
        <v>92538.489999999991</v>
      </c>
      <c r="CE58" s="322">
        <v>23050.57</v>
      </c>
      <c r="CF58" s="322">
        <v>72715.529999999984</v>
      </c>
      <c r="CG58" s="322">
        <v>27635.559999999998</v>
      </c>
      <c r="CH58" s="322">
        <v>94109.390000000014</v>
      </c>
      <c r="CI58" s="322">
        <v>31731.23</v>
      </c>
      <c r="CJ58" s="322">
        <v>76870.69</v>
      </c>
      <c r="CK58" s="322">
        <v>33938.81</v>
      </c>
      <c r="CL58" s="322">
        <v>129979.90000000001</v>
      </c>
      <c r="CM58" s="322">
        <v>60128.380000000005</v>
      </c>
      <c r="CN58" s="322">
        <v>103505.38</v>
      </c>
      <c r="CO58" s="322">
        <v>44774.869999999995</v>
      </c>
      <c r="CP58" s="322">
        <v>108696.3</v>
      </c>
      <c r="CQ58" s="322">
        <v>100400</v>
      </c>
      <c r="CR58" s="334"/>
      <c r="CS58" s="322" t="s">
        <v>41</v>
      </c>
      <c r="CT58" s="322">
        <v>65314.97</v>
      </c>
      <c r="CU58" s="322">
        <v>34796.639999999999</v>
      </c>
      <c r="CV58" s="322">
        <v>52173.8</v>
      </c>
      <c r="CW58" s="322">
        <v>60669.84</v>
      </c>
      <c r="CX58" s="322">
        <v>77936.11</v>
      </c>
      <c r="CY58" s="322">
        <v>106865.73</v>
      </c>
      <c r="CZ58" s="322">
        <v>85653.89</v>
      </c>
      <c r="DA58" s="322">
        <v>73090.62</v>
      </c>
      <c r="DB58" s="322">
        <v>93165.379999999976</v>
      </c>
      <c r="DC58" s="322">
        <v>119318.43</v>
      </c>
      <c r="DD58" s="322">
        <v>64139.75</v>
      </c>
      <c r="DE58" s="322">
        <v>152059</v>
      </c>
      <c r="DF58" s="322">
        <v>111817.75000000001</v>
      </c>
      <c r="DG58" s="322">
        <v>140994.49</v>
      </c>
      <c r="DH58" s="322">
        <v>148594.91999999998</v>
      </c>
      <c r="DI58" s="322">
        <v>65892.37</v>
      </c>
      <c r="DJ58" s="322">
        <v>69471.760000000009</v>
      </c>
      <c r="DK58" s="322">
        <v>88686.12999999999</v>
      </c>
      <c r="DL58" s="322">
        <v>94398.399999999994</v>
      </c>
      <c r="DM58" s="322">
        <v>94980.560000000012</v>
      </c>
      <c r="DN58" s="322">
        <v>103226.65</v>
      </c>
      <c r="DO58" s="322">
        <v>223100</v>
      </c>
      <c r="DP58" s="334"/>
      <c r="DQ58" s="322" t="s">
        <v>41</v>
      </c>
      <c r="DR58" s="322">
        <v>46653.55</v>
      </c>
      <c r="DS58" s="322">
        <v>43495.8</v>
      </c>
      <c r="DT58" s="322">
        <v>62608.56</v>
      </c>
      <c r="DU58" s="322">
        <v>70781.48</v>
      </c>
      <c r="DV58" s="322">
        <v>89069.84</v>
      </c>
      <c r="DW58" s="322">
        <v>94991.76</v>
      </c>
      <c r="DX58" s="322">
        <v>97890.16</v>
      </c>
      <c r="DY58" s="322">
        <v>97454.16</v>
      </c>
      <c r="DZ58" s="322">
        <v>126615.21</v>
      </c>
      <c r="EA58" s="322">
        <v>126013.29</v>
      </c>
      <c r="EB58" s="322">
        <v>126020.33</v>
      </c>
      <c r="EC58" s="322">
        <v>127968.15000000002</v>
      </c>
      <c r="ED58" s="322">
        <v>140984.62</v>
      </c>
      <c r="EE58" s="322">
        <v>145051.08000000002</v>
      </c>
      <c r="EF58" s="322">
        <v>157698.92000000001</v>
      </c>
      <c r="EG58" s="322">
        <v>140988.19</v>
      </c>
      <c r="EH58" s="322">
        <v>146926.06</v>
      </c>
      <c r="EI58" s="322">
        <v>147191.4</v>
      </c>
      <c r="EJ58" s="322">
        <v>157768.43</v>
      </c>
      <c r="EK58" s="322">
        <v>159242.41</v>
      </c>
      <c r="EL58" s="322">
        <v>191892.05</v>
      </c>
      <c r="EM58" s="322">
        <v>212000</v>
      </c>
      <c r="EN58" s="334"/>
      <c r="EO58" s="322" t="s">
        <v>41</v>
      </c>
      <c r="EP58" s="322">
        <v>55984.26</v>
      </c>
      <c r="EQ58" s="322">
        <v>52194.96</v>
      </c>
      <c r="ER58" s="322">
        <v>52173.8</v>
      </c>
      <c r="ES58" s="322">
        <v>60669.84</v>
      </c>
      <c r="ET58" s="322">
        <v>55668.65</v>
      </c>
      <c r="EU58" s="322">
        <v>59369.85</v>
      </c>
      <c r="EV58" s="322">
        <v>61181.35</v>
      </c>
      <c r="EW58" s="322">
        <v>60908.85</v>
      </c>
      <c r="EX58" s="322">
        <v>60065.560000000005</v>
      </c>
      <c r="EY58" s="322">
        <v>62374.87</v>
      </c>
      <c r="EZ58" s="322">
        <v>0</v>
      </c>
      <c r="FA58" s="322">
        <v>0</v>
      </c>
      <c r="FB58" s="322">
        <v>0</v>
      </c>
      <c r="FC58" s="322">
        <v>0</v>
      </c>
      <c r="FD58" s="322">
        <v>0</v>
      </c>
      <c r="FE58" s="322">
        <v>0</v>
      </c>
      <c r="FF58" s="322">
        <v>0</v>
      </c>
      <c r="FG58" s="322">
        <v>0</v>
      </c>
      <c r="FH58" s="322">
        <v>0</v>
      </c>
      <c r="FI58" s="322">
        <v>0</v>
      </c>
      <c r="FJ58" s="322">
        <v>0</v>
      </c>
      <c r="FK58" s="322">
        <v>0</v>
      </c>
      <c r="FL58" s="334"/>
      <c r="FM58" s="322" t="s">
        <v>41</v>
      </c>
      <c r="FN58" s="322">
        <v>0</v>
      </c>
      <c r="FO58" s="322">
        <v>0</v>
      </c>
      <c r="FP58" s="322">
        <v>0</v>
      </c>
      <c r="FQ58" s="322">
        <v>0</v>
      </c>
      <c r="FR58" s="322">
        <v>0</v>
      </c>
      <c r="FS58" s="322">
        <v>0</v>
      </c>
      <c r="FT58" s="322">
        <v>0</v>
      </c>
      <c r="FU58" s="322">
        <v>0</v>
      </c>
      <c r="FV58" s="322">
        <v>0</v>
      </c>
      <c r="FW58" s="322">
        <v>0</v>
      </c>
      <c r="FX58" s="322">
        <v>62229.99</v>
      </c>
      <c r="FY58" s="322">
        <v>67516.73</v>
      </c>
      <c r="FZ58" s="322">
        <v>62152.81</v>
      </c>
      <c r="GA58" s="322">
        <v>67602.23000000001</v>
      </c>
      <c r="GB58" s="322">
        <v>63557.850000000006</v>
      </c>
      <c r="GC58" s="322">
        <v>64634.51</v>
      </c>
      <c r="GD58" s="322">
        <v>62616.569999999992</v>
      </c>
      <c r="GE58" s="322">
        <v>64666.11</v>
      </c>
      <c r="GF58" s="340">
        <v>64541.829999999994</v>
      </c>
      <c r="GG58" s="704">
        <v>67313.390000000014</v>
      </c>
      <c r="GH58" s="704">
        <v>66820.930000000008</v>
      </c>
      <c r="GI58" s="704">
        <v>72227</v>
      </c>
      <c r="GJ58" s="334"/>
      <c r="GK58" s="322" t="s">
        <v>41</v>
      </c>
      <c r="GL58" s="322">
        <v>46653.55</v>
      </c>
      <c r="GM58" s="322">
        <v>43495.8</v>
      </c>
      <c r="GN58" s="322">
        <v>41739.040000000001</v>
      </c>
      <c r="GO58" s="322">
        <v>30334.92</v>
      </c>
      <c r="GP58" s="322">
        <v>44534.92</v>
      </c>
      <c r="GQ58" s="322">
        <v>35621.910000000003</v>
      </c>
      <c r="GR58" s="322">
        <v>36708.81</v>
      </c>
      <c r="GS58" s="322">
        <v>36545.31</v>
      </c>
      <c r="GT58" s="322">
        <v>40945.289999999994</v>
      </c>
      <c r="GU58" s="322">
        <v>57266.590000000004</v>
      </c>
      <c r="GV58" s="322">
        <v>60203.37</v>
      </c>
      <c r="GW58" s="322">
        <v>66476.53</v>
      </c>
      <c r="GX58" s="322">
        <v>66778.789999999994</v>
      </c>
      <c r="GY58" s="322">
        <v>67851.289999999994</v>
      </c>
      <c r="GZ58" s="322">
        <v>68175.599999999991</v>
      </c>
      <c r="HA58" s="322">
        <v>70437.400000000009</v>
      </c>
      <c r="HB58" s="322">
        <v>74275.7</v>
      </c>
      <c r="HC58" s="322">
        <v>75776.22</v>
      </c>
      <c r="HD58" s="322">
        <v>76561.86</v>
      </c>
      <c r="HE58" s="322">
        <v>79205.100000000006</v>
      </c>
      <c r="HF58" s="322">
        <v>79961.899999999994</v>
      </c>
      <c r="HG58" s="322">
        <v>82510</v>
      </c>
      <c r="HH58" s="334"/>
      <c r="HI58" s="322" t="s">
        <v>41</v>
      </c>
      <c r="HJ58" s="322">
        <v>9330.7099999999991</v>
      </c>
      <c r="HK58" s="322">
        <v>17398.32</v>
      </c>
      <c r="HL58" s="322">
        <v>20869.52</v>
      </c>
      <c r="HM58" s="322">
        <v>10111.64</v>
      </c>
      <c r="HN58" s="322">
        <v>11133.73</v>
      </c>
      <c r="HO58" s="322">
        <v>11873.97</v>
      </c>
      <c r="HP58" s="322">
        <v>24472.54</v>
      </c>
      <c r="HQ58" s="322">
        <v>24363.54</v>
      </c>
      <c r="HR58" s="322">
        <v>22207.03</v>
      </c>
      <c r="HS58" s="322">
        <v>23512.79</v>
      </c>
      <c r="HT58" s="322">
        <v>23781.88</v>
      </c>
      <c r="HU58" s="322">
        <v>29903.08</v>
      </c>
      <c r="HV58" s="322">
        <v>29444.14</v>
      </c>
      <c r="HW58" s="322">
        <v>28128.299999999996</v>
      </c>
      <c r="HX58" s="322">
        <v>30961.82</v>
      </c>
      <c r="HY58" s="322">
        <v>34405.06</v>
      </c>
      <c r="HZ58" s="322">
        <v>34336.53</v>
      </c>
      <c r="IA58" s="322">
        <v>48626.81</v>
      </c>
      <c r="IB58" s="322">
        <v>30893.550000000003</v>
      </c>
      <c r="IC58" s="322">
        <v>31213.18</v>
      </c>
      <c r="ID58" s="322">
        <v>30019.109999999997</v>
      </c>
      <c r="IE58" s="322">
        <v>44500</v>
      </c>
      <c r="IF58" s="334"/>
      <c r="IG58" s="322" t="s">
        <v>41</v>
      </c>
      <c r="IH58" s="322">
        <v>9330.7099999999991</v>
      </c>
      <c r="II58" s="322">
        <v>17398.32</v>
      </c>
      <c r="IJ58" s="322">
        <v>10434.76</v>
      </c>
      <c r="IK58" s="322">
        <v>10111.64</v>
      </c>
      <c r="IL58" s="322">
        <v>11133.73</v>
      </c>
      <c r="IM58" s="322">
        <v>11873.97</v>
      </c>
      <c r="IN58" s="322">
        <v>0</v>
      </c>
      <c r="IO58" s="322">
        <v>0</v>
      </c>
      <c r="IP58" s="322">
        <v>0</v>
      </c>
      <c r="IQ58" s="322">
        <v>0</v>
      </c>
      <c r="IR58" s="322">
        <v>0</v>
      </c>
      <c r="IS58" s="322">
        <v>0</v>
      </c>
      <c r="IT58" s="322">
        <v>0</v>
      </c>
      <c r="IU58" s="322">
        <v>0</v>
      </c>
      <c r="IV58" s="322"/>
      <c r="IW58" s="322"/>
      <c r="IX58" s="322"/>
      <c r="IY58" s="322"/>
      <c r="IZ58" s="322"/>
      <c r="JA58" s="322"/>
      <c r="JB58" s="322"/>
      <c r="JC58" s="322"/>
      <c r="JD58" s="334"/>
      <c r="JE58" s="322" t="s">
        <v>41</v>
      </c>
      <c r="JF58" s="322">
        <v>9330.7099999999991</v>
      </c>
      <c r="JG58" s="322">
        <v>8699.16</v>
      </c>
      <c r="JH58" s="322">
        <v>20869.52</v>
      </c>
      <c r="JI58" s="322">
        <v>20223.28</v>
      </c>
      <c r="JJ58" s="322">
        <v>11133.73</v>
      </c>
      <c r="JK58" s="322">
        <v>23747.94</v>
      </c>
      <c r="JL58" s="322">
        <v>24472.54</v>
      </c>
      <c r="JM58" s="322">
        <v>24363.54</v>
      </c>
      <c r="JN58" s="322">
        <v>32379.35</v>
      </c>
      <c r="JO58" s="322">
        <v>24077.499999999996</v>
      </c>
      <c r="JP58" s="322">
        <v>26191.9</v>
      </c>
      <c r="JQ58" s="322">
        <v>23313.15</v>
      </c>
      <c r="JR58" s="322">
        <v>16056.43</v>
      </c>
      <c r="JS58" s="322">
        <v>17821.059999999998</v>
      </c>
      <c r="JT58" s="322">
        <v>20080.669999999998</v>
      </c>
      <c r="JU58" s="322">
        <v>24633.83</v>
      </c>
      <c r="JV58" s="322">
        <v>29414.5</v>
      </c>
      <c r="JW58" s="322">
        <v>29738.799999999999</v>
      </c>
      <c r="JX58" s="322">
        <v>44275.780000000006</v>
      </c>
      <c r="JY58" s="322">
        <v>63395.67</v>
      </c>
      <c r="JZ58" s="322">
        <v>67175.64</v>
      </c>
      <c r="KA58" s="322">
        <v>76750</v>
      </c>
      <c r="KB58" s="334"/>
      <c r="KC58" s="322" t="s">
        <v>41</v>
      </c>
      <c r="KD58" s="322">
        <v>9330.7099999999991</v>
      </c>
      <c r="KE58" s="322">
        <v>8699.16</v>
      </c>
      <c r="KF58" s="322">
        <v>20869.52</v>
      </c>
      <c r="KG58" s="322">
        <v>20223.28</v>
      </c>
      <c r="KH58" s="322">
        <v>22267.46</v>
      </c>
      <c r="KI58" s="322">
        <v>35621.910000000003</v>
      </c>
      <c r="KJ58" s="322">
        <v>24472.54</v>
      </c>
      <c r="KK58" s="322">
        <v>24363.54</v>
      </c>
      <c r="KL58" s="322">
        <v>24387.86</v>
      </c>
      <c r="KM58" s="322">
        <v>24737.29</v>
      </c>
      <c r="KN58" s="322">
        <v>25065.63</v>
      </c>
      <c r="KO58" s="322">
        <v>24887.25</v>
      </c>
      <c r="KP58" s="322">
        <v>24898.84</v>
      </c>
      <c r="KQ58" s="322">
        <v>26154.22</v>
      </c>
      <c r="KR58" s="322">
        <v>23796</v>
      </c>
      <c r="KS58" s="322">
        <v>26365.68</v>
      </c>
      <c r="KT58" s="322">
        <v>27117.29</v>
      </c>
      <c r="KU58" s="322">
        <v>27398.620000000003</v>
      </c>
      <c r="KV58" s="322">
        <v>27388.530000000002</v>
      </c>
      <c r="KW58" s="322">
        <v>28288.120000000003</v>
      </c>
      <c r="KX58" s="322">
        <v>28989.740000000005</v>
      </c>
      <c r="KY58" s="322">
        <v>31500</v>
      </c>
      <c r="KZ58" s="334"/>
      <c r="LA58" s="322" t="s">
        <v>41</v>
      </c>
      <c r="LB58" s="322">
        <v>65314.97</v>
      </c>
      <c r="LC58" s="322">
        <v>86991.6</v>
      </c>
      <c r="LD58" s="322">
        <v>125217.12</v>
      </c>
      <c r="LE58" s="322">
        <v>80893.119999999995</v>
      </c>
      <c r="LF58" s="322">
        <v>111337.3</v>
      </c>
      <c r="LG58" s="322">
        <v>178109.55</v>
      </c>
      <c r="LH58" s="322">
        <v>122362.7</v>
      </c>
      <c r="LI58" s="322">
        <v>133999.47</v>
      </c>
      <c r="LJ58" s="322">
        <v>78232.33</v>
      </c>
      <c r="LK58" s="322">
        <v>156111.14000000001</v>
      </c>
      <c r="LL58" s="322">
        <v>124007.31999999999</v>
      </c>
      <c r="LM58" s="322">
        <v>137645.90000000002</v>
      </c>
      <c r="LN58" s="322">
        <v>158694.30000000002</v>
      </c>
      <c r="LO58" s="322">
        <v>198229.4</v>
      </c>
      <c r="LP58" s="322">
        <v>179541.65000000002</v>
      </c>
      <c r="LQ58" s="322">
        <v>192687.29</v>
      </c>
      <c r="LR58" s="322">
        <v>182320.57</v>
      </c>
      <c r="LS58" s="322">
        <v>208219.53</v>
      </c>
      <c r="LT58" s="322">
        <v>174206.16999999998</v>
      </c>
      <c r="LU58" s="322">
        <v>204435.57</v>
      </c>
      <c r="LV58" s="322">
        <v>251237.94</v>
      </c>
      <c r="LW58" s="322">
        <v>335940</v>
      </c>
      <c r="LX58" s="334"/>
      <c r="LY58" s="322" t="s">
        <v>41</v>
      </c>
      <c r="LZ58" s="322">
        <v>186614.2</v>
      </c>
      <c r="MA58" s="322">
        <v>182682.36</v>
      </c>
      <c r="MB58" s="322">
        <v>219129.96</v>
      </c>
      <c r="MC58" s="322">
        <v>232567.72</v>
      </c>
      <c r="MD58" s="322">
        <v>222674.6</v>
      </c>
      <c r="ME58" s="322">
        <v>225605.43</v>
      </c>
      <c r="MF58" s="322">
        <v>232489.13</v>
      </c>
      <c r="MG58" s="322">
        <v>243635.4</v>
      </c>
      <c r="MH58" s="322">
        <v>246613.84999999998</v>
      </c>
      <c r="MI58" s="322">
        <v>246827.77000000002</v>
      </c>
      <c r="MJ58" s="322">
        <v>240821.01</v>
      </c>
      <c r="MK58" s="322">
        <v>253122.8</v>
      </c>
      <c r="ML58" s="322">
        <v>264282.99</v>
      </c>
      <c r="MM58" s="322">
        <v>269781.2</v>
      </c>
      <c r="MN58" s="322">
        <v>275486.07999999996</v>
      </c>
      <c r="MO58" s="322">
        <v>298196.68</v>
      </c>
      <c r="MP58" s="322">
        <v>310771.81999999995</v>
      </c>
      <c r="MQ58" s="322">
        <v>323908.64999999997</v>
      </c>
      <c r="MR58" s="322">
        <v>330226.19</v>
      </c>
      <c r="MS58" s="322">
        <v>384990.08999999997</v>
      </c>
      <c r="MT58" s="322">
        <v>432303.08999999997</v>
      </c>
      <c r="MU58" s="322">
        <v>454627</v>
      </c>
      <c r="MV58" s="334"/>
      <c r="MW58" s="322" t="s">
        <v>41</v>
      </c>
      <c r="MX58" s="322">
        <v>121299.23</v>
      </c>
      <c r="MY58" s="322">
        <v>95690.76</v>
      </c>
      <c r="MZ58" s="322">
        <v>73043.320000000007</v>
      </c>
      <c r="NA58" s="322">
        <v>111228.04</v>
      </c>
      <c r="NB58" s="322">
        <v>111337.3</v>
      </c>
      <c r="NC58" s="322">
        <v>94991.76</v>
      </c>
      <c r="ND58" s="322">
        <v>171307.78</v>
      </c>
      <c r="NE58" s="322">
        <v>170544.78</v>
      </c>
      <c r="NF58" s="322">
        <v>133300.32</v>
      </c>
      <c r="NG58" s="322">
        <v>86943.21</v>
      </c>
      <c r="NH58" s="322">
        <v>113851.23</v>
      </c>
      <c r="NI58" s="322">
        <v>88796.59</v>
      </c>
      <c r="NJ58" s="322">
        <v>117946.62</v>
      </c>
      <c r="NK58" s="322">
        <v>116445.03</v>
      </c>
      <c r="NL58" s="322">
        <v>135207.24</v>
      </c>
      <c r="NM58" s="322">
        <v>142855.24000000002</v>
      </c>
      <c r="NN58" s="322">
        <v>98543.3</v>
      </c>
      <c r="NO58" s="322">
        <v>99525.07</v>
      </c>
      <c r="NP58" s="322">
        <v>145951.71</v>
      </c>
      <c r="NQ58" s="322">
        <v>172223.84</v>
      </c>
      <c r="NR58" s="322">
        <v>198000.31</v>
      </c>
      <c r="NS58" s="322">
        <v>240000</v>
      </c>
      <c r="NT58" s="334"/>
      <c r="NU58" s="322" t="s">
        <v>41</v>
      </c>
      <c r="NV58" s="322">
        <v>65314.97</v>
      </c>
      <c r="NW58" s="322">
        <v>52194.96</v>
      </c>
      <c r="NX58" s="322">
        <v>62608.56</v>
      </c>
      <c r="NY58" s="322">
        <v>70781.48</v>
      </c>
      <c r="NZ58" s="322">
        <v>66802.38</v>
      </c>
      <c r="OA58" s="322">
        <v>59369.85</v>
      </c>
      <c r="OB58" s="322">
        <v>73417.62</v>
      </c>
      <c r="OC58" s="322">
        <v>109635.93</v>
      </c>
      <c r="OD58" s="322">
        <v>103188.90999999999</v>
      </c>
      <c r="OE58" s="322">
        <v>130662.19999999998</v>
      </c>
      <c r="OF58" s="322">
        <v>127882.96</v>
      </c>
      <c r="OG58" s="322">
        <v>120769.16</v>
      </c>
      <c r="OH58" s="322">
        <v>124317.29</v>
      </c>
      <c r="OI58" s="322">
        <v>126812.61</v>
      </c>
      <c r="OJ58" s="322">
        <v>120580.59999999999</v>
      </c>
      <c r="OK58" s="322">
        <v>129555.87</v>
      </c>
      <c r="OL58" s="322">
        <v>142693.08000000002</v>
      </c>
      <c r="OM58" s="322">
        <v>150786.60999999999</v>
      </c>
      <c r="ON58" s="322">
        <v>150826.43999999997</v>
      </c>
      <c r="OO58" s="322">
        <v>148118.91999999998</v>
      </c>
      <c r="OP58" s="322">
        <v>146467.06</v>
      </c>
      <c r="OQ58" s="322">
        <v>169408</v>
      </c>
      <c r="OR58" s="334"/>
      <c r="OS58" s="322" t="s">
        <v>41</v>
      </c>
      <c r="OT58" s="322">
        <v>65314.97</v>
      </c>
      <c r="OU58" s="322">
        <v>78292.44</v>
      </c>
      <c r="OV58" s="322">
        <v>83478.080000000002</v>
      </c>
      <c r="OW58" s="322">
        <v>60669.84</v>
      </c>
      <c r="OX58" s="322">
        <v>33401.19</v>
      </c>
      <c r="OY58" s="322">
        <v>35621.910000000003</v>
      </c>
      <c r="OZ58" s="322">
        <v>48945.08</v>
      </c>
      <c r="PA58" s="322">
        <v>48727.08</v>
      </c>
      <c r="PB58" s="322">
        <v>28623.16</v>
      </c>
      <c r="PC58" s="322">
        <v>35281.729999999996</v>
      </c>
      <c r="PD58" s="322">
        <v>38153.5</v>
      </c>
      <c r="PE58" s="322">
        <v>60463.46</v>
      </c>
      <c r="PF58" s="322">
        <v>46855.869999999995</v>
      </c>
      <c r="PG58" s="322">
        <v>42496.79</v>
      </c>
      <c r="PH58" s="322">
        <v>47952.36</v>
      </c>
      <c r="PI58" s="322">
        <v>51271.79</v>
      </c>
      <c r="PJ58" s="322">
        <v>53005.569999999992</v>
      </c>
      <c r="PK58" s="322">
        <v>51865.149999999994</v>
      </c>
      <c r="PL58" s="322">
        <v>73341.05</v>
      </c>
      <c r="PM58" s="322">
        <v>47186.95</v>
      </c>
      <c r="PN58" s="322">
        <v>57796.28</v>
      </c>
      <c r="PO58" s="322">
        <v>86150</v>
      </c>
      <c r="PP58" s="334"/>
      <c r="PQ58" s="322" t="s">
        <v>41</v>
      </c>
      <c r="PR58" s="322">
        <v>9330.7099999999991</v>
      </c>
      <c r="PS58" s="322">
        <v>8699.16</v>
      </c>
      <c r="PT58" s="322">
        <v>10434.76</v>
      </c>
      <c r="PU58" s="322">
        <v>10111.64</v>
      </c>
      <c r="PV58" s="322">
        <v>11133.73</v>
      </c>
      <c r="PW58" s="322">
        <v>11873.97</v>
      </c>
      <c r="PX58" s="322">
        <v>12236.27</v>
      </c>
      <c r="PY58" s="322">
        <v>12181.77</v>
      </c>
      <c r="PZ58" s="322">
        <v>16410.870000000003</v>
      </c>
      <c r="QA58" s="322">
        <v>22957.62</v>
      </c>
      <c r="QB58" s="322">
        <v>14394.959999999997</v>
      </c>
      <c r="QC58" s="322">
        <v>12726.010000000002</v>
      </c>
      <c r="QD58" s="322">
        <v>16983.73</v>
      </c>
      <c r="QE58" s="322">
        <v>14142.17</v>
      </c>
      <c r="QF58" s="322">
        <v>15691.939999999999</v>
      </c>
      <c r="QG58" s="322">
        <v>16194.800000000001</v>
      </c>
      <c r="QH58" s="322">
        <v>19411.690000000002</v>
      </c>
      <c r="QI58" s="322">
        <v>16279.4</v>
      </c>
      <c r="QJ58" s="322">
        <v>22196.490000000005</v>
      </c>
      <c r="QK58" s="322">
        <v>17195.780000000002</v>
      </c>
      <c r="QL58" s="322">
        <v>23413.949999999997</v>
      </c>
      <c r="QM58" s="322">
        <v>25935</v>
      </c>
      <c r="QN58" s="334"/>
      <c r="QO58" s="322" t="s">
        <v>41</v>
      </c>
      <c r="QP58" s="322">
        <v>0</v>
      </c>
      <c r="QQ58" s="322">
        <v>0</v>
      </c>
      <c r="QR58" s="322">
        <v>0</v>
      </c>
      <c r="QS58" s="322">
        <v>0</v>
      </c>
      <c r="QT58" s="322">
        <v>0</v>
      </c>
      <c r="QU58" s="322">
        <v>0</v>
      </c>
      <c r="QV58" s="322">
        <v>0</v>
      </c>
      <c r="QW58" s="322">
        <v>0</v>
      </c>
      <c r="QX58" s="322">
        <v>300</v>
      </c>
      <c r="QY58" s="322">
        <v>300</v>
      </c>
      <c r="QZ58" s="322">
        <v>300</v>
      </c>
      <c r="RA58" s="322">
        <v>300</v>
      </c>
      <c r="RB58" s="322">
        <v>1900</v>
      </c>
      <c r="RC58" s="322">
        <v>2300</v>
      </c>
      <c r="RD58" s="322">
        <v>2000</v>
      </c>
      <c r="RE58" s="322">
        <v>2300</v>
      </c>
      <c r="RF58" s="322">
        <v>2500</v>
      </c>
      <c r="RG58" s="322">
        <v>2500</v>
      </c>
      <c r="RH58" s="322">
        <v>2500</v>
      </c>
      <c r="RI58" s="322">
        <v>0</v>
      </c>
      <c r="RJ58" s="322">
        <v>2000</v>
      </c>
      <c r="RK58" s="322">
        <v>3000</v>
      </c>
      <c r="RL58" s="334"/>
      <c r="RM58" s="322" t="s">
        <v>41</v>
      </c>
      <c r="RN58" s="322">
        <v>0</v>
      </c>
      <c r="RO58" s="322">
        <v>0</v>
      </c>
      <c r="RP58" s="322">
        <v>0</v>
      </c>
      <c r="RQ58" s="322">
        <v>20223.28</v>
      </c>
      <c r="RR58" s="322">
        <v>11133.73</v>
      </c>
      <c r="RS58" s="322">
        <v>0</v>
      </c>
      <c r="RT58" s="322">
        <v>0</v>
      </c>
      <c r="RU58" s="322">
        <v>0</v>
      </c>
      <c r="RV58" s="322">
        <v>0</v>
      </c>
      <c r="RW58" s="322">
        <v>0</v>
      </c>
      <c r="RX58" s="322">
        <v>0</v>
      </c>
      <c r="RY58" s="322">
        <v>0</v>
      </c>
      <c r="RZ58" s="322">
        <v>0</v>
      </c>
      <c r="SA58" s="322">
        <v>0</v>
      </c>
      <c r="SB58" s="322">
        <v>0</v>
      </c>
      <c r="SC58" s="322">
        <v>0</v>
      </c>
      <c r="SD58" s="322">
        <v>10.5</v>
      </c>
      <c r="SE58" s="322">
        <v>13760.29</v>
      </c>
      <c r="SF58" s="322">
        <v>0</v>
      </c>
      <c r="SG58" s="322">
        <v>8284.15</v>
      </c>
      <c r="SH58" s="322">
        <v>8386.98</v>
      </c>
      <c r="SI58" s="322">
        <v>37000</v>
      </c>
    </row>
    <row r="59" spans="1:503">
      <c r="A59" s="319" t="s">
        <v>42</v>
      </c>
      <c r="B59" s="319">
        <v>1343705</v>
      </c>
      <c r="C59" s="319">
        <v>1342141</v>
      </c>
      <c r="D59" s="319">
        <v>1543815</v>
      </c>
      <c r="E59" s="319">
        <v>1556572</v>
      </c>
      <c r="F59" s="319">
        <v>1500921</v>
      </c>
      <c r="G59" s="319">
        <v>1591031</v>
      </c>
      <c r="H59" s="319">
        <v>1468433</v>
      </c>
      <c r="I59" s="319">
        <v>1531665</v>
      </c>
      <c r="J59" s="319">
        <v>1550161</v>
      </c>
      <c r="K59" s="319">
        <v>1544775</v>
      </c>
      <c r="L59" s="319">
        <v>1539692</v>
      </c>
      <c r="M59" s="319">
        <v>1590975</v>
      </c>
      <c r="N59" s="319">
        <v>2115979</v>
      </c>
      <c r="O59" s="319">
        <v>1751107</v>
      </c>
      <c r="P59" s="319">
        <v>2137316</v>
      </c>
      <c r="Q59" s="319">
        <v>1969638</v>
      </c>
      <c r="R59" s="319">
        <v>2011417</v>
      </c>
      <c r="S59" s="322"/>
      <c r="T59" s="319"/>
      <c r="U59" s="319">
        <v>2560035</v>
      </c>
      <c r="V59" s="319">
        <v>2227238</v>
      </c>
      <c r="W59" s="319">
        <v>2475476</v>
      </c>
      <c r="X59" s="330"/>
      <c r="Y59" s="319" t="s">
        <v>42</v>
      </c>
      <c r="Z59" s="319">
        <v>53748.2</v>
      </c>
      <c r="AA59" s="319">
        <v>67107.05</v>
      </c>
      <c r="AB59" s="319">
        <v>61752.6</v>
      </c>
      <c r="AC59" s="319">
        <v>93394.32</v>
      </c>
      <c r="AD59" s="319">
        <v>60036.84</v>
      </c>
      <c r="AE59" s="319">
        <v>63641.24</v>
      </c>
      <c r="AF59" s="319">
        <v>79551.55</v>
      </c>
      <c r="AG59" s="319">
        <v>91899.9</v>
      </c>
      <c r="AH59" s="319">
        <v>79902</v>
      </c>
      <c r="AI59" s="319">
        <v>118430</v>
      </c>
      <c r="AJ59" s="319">
        <v>120789</v>
      </c>
      <c r="AK59" s="319">
        <v>121110</v>
      </c>
      <c r="AL59" s="319">
        <v>145813</v>
      </c>
      <c r="AM59" s="319">
        <v>142028</v>
      </c>
      <c r="AN59" s="319">
        <v>148491</v>
      </c>
      <c r="AO59" s="319">
        <v>146037</v>
      </c>
      <c r="AP59" s="319">
        <v>146595</v>
      </c>
      <c r="AQ59" s="322"/>
      <c r="AR59" s="319"/>
      <c r="AS59" s="319">
        <v>161588</v>
      </c>
      <c r="AT59" s="319">
        <v>160792</v>
      </c>
      <c r="AU59" s="319">
        <v>150697</v>
      </c>
      <c r="AV59" s="334"/>
      <c r="AW59" s="319" t="s">
        <v>42</v>
      </c>
      <c r="AX59" s="319">
        <v>53748.200000000004</v>
      </c>
      <c r="AY59" s="319">
        <v>53685.64</v>
      </c>
      <c r="AZ59" s="319">
        <v>61752.6</v>
      </c>
      <c r="BA59" s="319">
        <v>77828.600000000006</v>
      </c>
      <c r="BB59" s="319">
        <v>75046.05</v>
      </c>
      <c r="BC59" s="319">
        <v>79551.55</v>
      </c>
      <c r="BD59" s="319">
        <v>73421.650000000009</v>
      </c>
      <c r="BE59" s="319">
        <v>91899.9</v>
      </c>
      <c r="BF59" s="319">
        <v>97771</v>
      </c>
      <c r="BG59" s="319">
        <v>84967</v>
      </c>
      <c r="BH59" s="319">
        <v>85516</v>
      </c>
      <c r="BI59" s="319">
        <v>83738</v>
      </c>
      <c r="BJ59" s="319">
        <v>98570</v>
      </c>
      <c r="BK59" s="319">
        <v>121448</v>
      </c>
      <c r="BL59" s="319">
        <v>106689</v>
      </c>
      <c r="BM59" s="319">
        <v>120457</v>
      </c>
      <c r="BN59" s="319">
        <v>105753</v>
      </c>
      <c r="BO59" s="322"/>
      <c r="BP59" s="319"/>
      <c r="BQ59" s="319">
        <v>110032</v>
      </c>
      <c r="BR59" s="319">
        <v>114565</v>
      </c>
      <c r="BS59" s="319">
        <v>122186</v>
      </c>
      <c r="BT59" s="334"/>
      <c r="BU59" s="322" t="s">
        <v>42</v>
      </c>
      <c r="BV59" s="322">
        <v>80622.3</v>
      </c>
      <c r="BW59" s="322">
        <v>26842.82</v>
      </c>
      <c r="BX59" s="322">
        <v>61752.6</v>
      </c>
      <c r="BY59" s="322">
        <v>31131.439999999999</v>
      </c>
      <c r="BZ59" s="322">
        <v>75046.05</v>
      </c>
      <c r="CA59" s="322">
        <v>31820.62</v>
      </c>
      <c r="CB59" s="322">
        <v>88105.98</v>
      </c>
      <c r="CC59" s="322">
        <v>45949.95</v>
      </c>
      <c r="CD59" s="322">
        <v>101446</v>
      </c>
      <c r="CE59" s="322">
        <v>65527</v>
      </c>
      <c r="CF59" s="322">
        <v>124555</v>
      </c>
      <c r="CG59" s="322">
        <v>81393</v>
      </c>
      <c r="CH59" s="322">
        <v>149084</v>
      </c>
      <c r="CI59" s="322">
        <v>66547</v>
      </c>
      <c r="CJ59" s="322">
        <v>137210</v>
      </c>
      <c r="CK59" s="322">
        <v>59934</v>
      </c>
      <c r="CL59" s="322">
        <v>151123</v>
      </c>
      <c r="CM59" s="322"/>
      <c r="CN59" s="322"/>
      <c r="CO59" s="322">
        <v>59375</v>
      </c>
      <c r="CP59" s="322">
        <v>105225</v>
      </c>
      <c r="CQ59" s="322">
        <v>79931</v>
      </c>
      <c r="CR59" s="334"/>
      <c r="CS59" s="322" t="s">
        <v>42</v>
      </c>
      <c r="CT59" s="322">
        <v>214992.8</v>
      </c>
      <c r="CU59" s="322">
        <v>80528.460000000006</v>
      </c>
      <c r="CV59" s="322">
        <v>92628.9</v>
      </c>
      <c r="CW59" s="322">
        <v>77828.600000000006</v>
      </c>
      <c r="CX59" s="322">
        <v>90055.26</v>
      </c>
      <c r="CY59" s="322">
        <v>79551.55</v>
      </c>
      <c r="CZ59" s="322">
        <v>88105.98</v>
      </c>
      <c r="DA59" s="322">
        <v>91899.9</v>
      </c>
      <c r="DB59" s="322">
        <v>104919</v>
      </c>
      <c r="DC59" s="322">
        <v>193412</v>
      </c>
      <c r="DD59" s="322">
        <v>139439</v>
      </c>
      <c r="DE59" s="322">
        <v>120306</v>
      </c>
      <c r="DF59" s="322">
        <v>129133</v>
      </c>
      <c r="DG59" s="322">
        <v>125735</v>
      </c>
      <c r="DH59" s="322">
        <v>153351</v>
      </c>
      <c r="DI59" s="322">
        <v>148569</v>
      </c>
      <c r="DJ59" s="322">
        <v>166561</v>
      </c>
      <c r="DK59" s="322"/>
      <c r="DL59" s="322"/>
      <c r="DM59" s="322">
        <v>140526</v>
      </c>
      <c r="DN59" s="322">
        <v>151456</v>
      </c>
      <c r="DO59" s="322">
        <v>172180</v>
      </c>
      <c r="DP59" s="334"/>
      <c r="DQ59" s="322" t="s">
        <v>42</v>
      </c>
      <c r="DR59" s="322">
        <v>134370.5</v>
      </c>
      <c r="DS59" s="322">
        <v>174478.33</v>
      </c>
      <c r="DT59" s="322">
        <v>200695.95</v>
      </c>
      <c r="DU59" s="322">
        <v>217920.08</v>
      </c>
      <c r="DV59" s="322">
        <v>225138.15</v>
      </c>
      <c r="DW59" s="322">
        <v>95461.86</v>
      </c>
      <c r="DX59" s="322">
        <v>14684.33</v>
      </c>
      <c r="DY59" s="322">
        <v>15316.65</v>
      </c>
      <c r="DZ59" s="322">
        <v>21405</v>
      </c>
      <c r="EA59" s="322">
        <v>3937</v>
      </c>
      <c r="EB59" s="322">
        <v>8575</v>
      </c>
      <c r="EC59" s="322">
        <v>9842</v>
      </c>
      <c r="ED59" s="322">
        <v>110029</v>
      </c>
      <c r="EE59" s="322">
        <v>6064</v>
      </c>
      <c r="EF59" s="322">
        <v>111898</v>
      </c>
      <c r="EG59" s="322">
        <v>110935</v>
      </c>
      <c r="EH59" s="322">
        <v>10309</v>
      </c>
      <c r="EI59" s="322"/>
      <c r="EJ59" s="322"/>
      <c r="EK59" s="322">
        <v>10135</v>
      </c>
      <c r="EL59" s="322">
        <v>11409</v>
      </c>
      <c r="EM59" s="322">
        <v>12700</v>
      </c>
      <c r="EN59" s="334"/>
      <c r="EO59" s="322" t="s">
        <v>42</v>
      </c>
      <c r="EP59" s="322">
        <v>0</v>
      </c>
      <c r="EQ59" s="322">
        <v>53685.64</v>
      </c>
      <c r="ER59" s="322">
        <v>46314.45</v>
      </c>
      <c r="ES59" s="322">
        <v>46697.16</v>
      </c>
      <c r="ET59" s="322">
        <v>60036.84</v>
      </c>
      <c r="EU59" s="322">
        <v>63641.24</v>
      </c>
      <c r="EV59" s="322">
        <v>73421.649999999994</v>
      </c>
      <c r="EW59" s="322">
        <v>76583.25</v>
      </c>
      <c r="EX59" s="322">
        <v>76323</v>
      </c>
      <c r="EY59" s="322">
        <v>78836</v>
      </c>
      <c r="EZ59" s="322">
        <v>82971</v>
      </c>
      <c r="FA59" s="322">
        <v>106494</v>
      </c>
      <c r="FB59" s="322">
        <v>125262</v>
      </c>
      <c r="FC59" s="322">
        <v>116953</v>
      </c>
      <c r="FD59" s="322">
        <v>109880</v>
      </c>
      <c r="FE59" s="322">
        <v>129849</v>
      </c>
      <c r="FF59" s="322">
        <v>127143</v>
      </c>
      <c r="FG59" s="322"/>
      <c r="FH59" s="322"/>
      <c r="FI59" s="322">
        <v>471378</v>
      </c>
      <c r="FJ59" s="322">
        <v>148909</v>
      </c>
      <c r="FK59" s="322">
        <v>151401</v>
      </c>
      <c r="FL59" s="334"/>
      <c r="FM59" s="322" t="s">
        <v>42</v>
      </c>
      <c r="FN59" s="322">
        <v>53748.2</v>
      </c>
      <c r="FO59" s="322">
        <v>0</v>
      </c>
      <c r="FP59" s="322">
        <v>0</v>
      </c>
      <c r="FQ59" s="322">
        <v>0</v>
      </c>
      <c r="FR59" s="322">
        <v>0</v>
      </c>
      <c r="FS59" s="322">
        <v>0</v>
      </c>
      <c r="FT59" s="322">
        <v>0</v>
      </c>
      <c r="FU59" s="322">
        <v>0</v>
      </c>
      <c r="FV59" s="322">
        <v>0</v>
      </c>
      <c r="FW59" s="322">
        <v>0</v>
      </c>
      <c r="FX59" s="322">
        <v>0</v>
      </c>
      <c r="FY59" s="322">
        <v>0</v>
      </c>
      <c r="FZ59" s="322">
        <v>0</v>
      </c>
      <c r="GA59" s="322">
        <v>0</v>
      </c>
      <c r="GB59" s="322">
        <v>0</v>
      </c>
      <c r="GC59" s="322">
        <v>0</v>
      </c>
      <c r="GD59" s="322">
        <v>0</v>
      </c>
      <c r="GE59" s="322"/>
      <c r="GF59" s="340"/>
      <c r="GG59" s="704">
        <v>0</v>
      </c>
      <c r="GH59" s="704">
        <v>0</v>
      </c>
      <c r="GI59" s="704">
        <v>0</v>
      </c>
      <c r="GJ59" s="334"/>
      <c r="GK59" s="322" t="s">
        <v>42</v>
      </c>
      <c r="GL59" s="322">
        <v>26874.1</v>
      </c>
      <c r="GM59" s="322">
        <v>40264.230000000003</v>
      </c>
      <c r="GN59" s="322">
        <v>30876.3</v>
      </c>
      <c r="GO59" s="322">
        <v>31131.439999999999</v>
      </c>
      <c r="GP59" s="322">
        <v>30018.42</v>
      </c>
      <c r="GQ59" s="322">
        <v>47730.93</v>
      </c>
      <c r="GR59" s="322">
        <v>44052.99</v>
      </c>
      <c r="GS59" s="322">
        <v>30633.3</v>
      </c>
      <c r="GT59" s="322">
        <v>39030</v>
      </c>
      <c r="GU59" s="322">
        <v>69653</v>
      </c>
      <c r="GV59" s="322">
        <v>67864</v>
      </c>
      <c r="GW59" s="322">
        <v>71331</v>
      </c>
      <c r="GX59" s="322">
        <v>80536</v>
      </c>
      <c r="GY59" s="322">
        <v>80520</v>
      </c>
      <c r="GZ59" s="322">
        <v>81158</v>
      </c>
      <c r="HA59" s="322">
        <v>86731</v>
      </c>
      <c r="HB59" s="322">
        <v>103200</v>
      </c>
      <c r="HC59" s="322"/>
      <c r="HD59" s="322"/>
      <c r="HE59" s="322">
        <v>101086</v>
      </c>
      <c r="HF59" s="322">
        <v>102950</v>
      </c>
      <c r="HG59" s="322">
        <v>114494</v>
      </c>
      <c r="HH59" s="334"/>
      <c r="HI59" s="322" t="s">
        <v>42</v>
      </c>
      <c r="HJ59" s="322">
        <v>13437.05</v>
      </c>
      <c r="HK59" s="322">
        <v>13421.41</v>
      </c>
      <c r="HL59" s="322">
        <v>15438.15</v>
      </c>
      <c r="HM59" s="322">
        <v>15565.72</v>
      </c>
      <c r="HN59" s="322">
        <v>15009.21</v>
      </c>
      <c r="HO59" s="322">
        <v>15910.31</v>
      </c>
      <c r="HP59" s="322">
        <v>14684.33</v>
      </c>
      <c r="HQ59" s="322">
        <v>15316.65</v>
      </c>
      <c r="HR59" s="322">
        <v>5251</v>
      </c>
      <c r="HS59" s="322">
        <v>5717</v>
      </c>
      <c r="HT59" s="322">
        <v>12108</v>
      </c>
      <c r="HU59" s="322">
        <v>9523</v>
      </c>
      <c r="HV59" s="322">
        <v>8399</v>
      </c>
      <c r="HW59" s="322">
        <v>22649</v>
      </c>
      <c r="HX59" s="322">
        <v>22504</v>
      </c>
      <c r="HY59" s="322">
        <v>23452</v>
      </c>
      <c r="HZ59" s="322">
        <v>20419</v>
      </c>
      <c r="IA59" s="322"/>
      <c r="IB59" s="322"/>
      <c r="IC59" s="322">
        <v>15481</v>
      </c>
      <c r="ID59" s="322">
        <v>18602</v>
      </c>
      <c r="IE59" s="322">
        <v>25160</v>
      </c>
      <c r="IF59" s="334"/>
      <c r="IG59" s="322" t="s">
        <v>42</v>
      </c>
      <c r="IH59" s="322">
        <v>13437.05</v>
      </c>
      <c r="II59" s="322">
        <v>13421.41</v>
      </c>
      <c r="IJ59" s="322">
        <v>15438.15</v>
      </c>
      <c r="IK59" s="322">
        <v>15565.72</v>
      </c>
      <c r="IL59" s="322">
        <v>15009.21</v>
      </c>
      <c r="IM59" s="322">
        <v>15910.31</v>
      </c>
      <c r="IN59" s="322">
        <v>14684.33</v>
      </c>
      <c r="IO59" s="322">
        <v>15316.65</v>
      </c>
      <c r="IP59" s="322">
        <v>8982</v>
      </c>
      <c r="IQ59" s="322">
        <v>20800</v>
      </c>
      <c r="IR59" s="322">
        <v>11767</v>
      </c>
      <c r="IS59" s="322">
        <v>19679</v>
      </c>
      <c r="IT59" s="322">
        <v>15618</v>
      </c>
      <c r="IU59" s="322">
        <v>0</v>
      </c>
      <c r="IV59" s="322"/>
      <c r="IW59" s="322"/>
      <c r="IX59" s="322"/>
      <c r="IY59" s="322"/>
      <c r="IZ59" s="322"/>
      <c r="JA59" s="322"/>
      <c r="JB59" s="322"/>
      <c r="JC59" s="322"/>
      <c r="JD59" s="334"/>
      <c r="JE59" s="322" t="s">
        <v>42</v>
      </c>
      <c r="JF59" s="322">
        <v>0</v>
      </c>
      <c r="JG59" s="322">
        <v>0</v>
      </c>
      <c r="JH59" s="322">
        <v>0</v>
      </c>
      <c r="JI59" s="322">
        <v>0</v>
      </c>
      <c r="JJ59" s="322">
        <v>0</v>
      </c>
      <c r="JK59" s="322">
        <v>0</v>
      </c>
      <c r="JL59" s="322">
        <v>0</v>
      </c>
      <c r="JM59" s="322">
        <v>0</v>
      </c>
      <c r="JN59" s="322">
        <v>5698</v>
      </c>
      <c r="JO59" s="322">
        <v>10343</v>
      </c>
      <c r="JP59" s="322">
        <v>4468</v>
      </c>
      <c r="JQ59" s="322">
        <v>6180</v>
      </c>
      <c r="JR59" s="322">
        <v>9176</v>
      </c>
      <c r="JS59" s="322">
        <v>13016</v>
      </c>
      <c r="JT59" s="322">
        <v>11441</v>
      </c>
      <c r="JU59" s="322">
        <v>10078</v>
      </c>
      <c r="JV59" s="322">
        <v>14452</v>
      </c>
      <c r="JW59" s="322"/>
      <c r="JX59" s="322"/>
      <c r="JY59" s="322">
        <v>9839</v>
      </c>
      <c r="JZ59" s="322">
        <v>8618</v>
      </c>
      <c r="KA59" s="322">
        <v>15100</v>
      </c>
      <c r="KB59" s="334"/>
      <c r="KC59" s="322" t="s">
        <v>42</v>
      </c>
      <c r="KD59" s="322">
        <v>13437.05</v>
      </c>
      <c r="KE59" s="322">
        <v>13421.41</v>
      </c>
      <c r="KF59" s="322">
        <v>15438.15</v>
      </c>
      <c r="KG59" s="322">
        <v>31131.439999999999</v>
      </c>
      <c r="KH59" s="322">
        <v>30018.42</v>
      </c>
      <c r="KI59" s="322">
        <v>47730.93</v>
      </c>
      <c r="KJ59" s="322">
        <v>58737.32</v>
      </c>
      <c r="KK59" s="322">
        <v>61266.6</v>
      </c>
      <c r="KL59" s="322">
        <v>59101</v>
      </c>
      <c r="KM59" s="322">
        <v>56351</v>
      </c>
      <c r="KN59" s="322">
        <v>58928</v>
      </c>
      <c r="KO59" s="322">
        <v>62651</v>
      </c>
      <c r="KP59" s="322">
        <v>67058</v>
      </c>
      <c r="KQ59" s="322">
        <v>66936</v>
      </c>
      <c r="KR59" s="322">
        <v>68317</v>
      </c>
      <c r="KS59" s="322">
        <v>75183</v>
      </c>
      <c r="KT59" s="322">
        <v>79313</v>
      </c>
      <c r="KU59" s="322"/>
      <c r="KV59" s="322"/>
      <c r="KW59" s="322">
        <v>100706</v>
      </c>
      <c r="KX59" s="322">
        <v>102864</v>
      </c>
      <c r="KY59" s="322">
        <v>107408</v>
      </c>
      <c r="KZ59" s="334"/>
      <c r="LA59" s="322" t="s">
        <v>42</v>
      </c>
      <c r="LB59" s="322">
        <v>134370.5</v>
      </c>
      <c r="LC59" s="322">
        <v>93949.87</v>
      </c>
      <c r="LD59" s="322">
        <v>123505.2</v>
      </c>
      <c r="LE59" s="322">
        <v>62262.879999999997</v>
      </c>
      <c r="LF59" s="322">
        <v>45027.63</v>
      </c>
      <c r="LG59" s="322">
        <v>238654.65</v>
      </c>
      <c r="LH59" s="322">
        <v>73421.649999999994</v>
      </c>
      <c r="LI59" s="322">
        <v>91899.9</v>
      </c>
      <c r="LJ59" s="322">
        <v>76001</v>
      </c>
      <c r="LK59" s="322">
        <v>95418</v>
      </c>
      <c r="LL59" s="322">
        <v>91589</v>
      </c>
      <c r="LM59" s="322">
        <v>136316</v>
      </c>
      <c r="LN59" s="322">
        <v>148604</v>
      </c>
      <c r="LO59" s="322">
        <v>142655</v>
      </c>
      <c r="LP59" s="322">
        <v>141360</v>
      </c>
      <c r="LQ59" s="322">
        <v>158687</v>
      </c>
      <c r="LR59" s="322">
        <v>137627</v>
      </c>
      <c r="LS59" s="322"/>
      <c r="LT59" s="322"/>
      <c r="LU59" s="322">
        <v>160086</v>
      </c>
      <c r="LV59" s="322">
        <v>142571</v>
      </c>
      <c r="LW59" s="322">
        <v>153586</v>
      </c>
      <c r="LX59" s="334"/>
      <c r="LY59" s="322" t="s">
        <v>42</v>
      </c>
      <c r="LZ59" s="322">
        <v>161244.6</v>
      </c>
      <c r="MA59" s="322">
        <v>241585.38</v>
      </c>
      <c r="MB59" s="322">
        <v>277886.7</v>
      </c>
      <c r="MC59" s="322">
        <v>295748.68</v>
      </c>
      <c r="MD59" s="322">
        <v>285174.99</v>
      </c>
      <c r="ME59" s="322">
        <v>286385.58</v>
      </c>
      <c r="MF59" s="322">
        <v>323055.26</v>
      </c>
      <c r="MG59" s="322">
        <v>352282.95</v>
      </c>
      <c r="MH59" s="322">
        <v>276166</v>
      </c>
      <c r="MI59" s="322">
        <v>306874</v>
      </c>
      <c r="MJ59" s="322">
        <v>291032</v>
      </c>
      <c r="MK59" s="322">
        <v>311606</v>
      </c>
      <c r="ML59" s="322">
        <v>382053</v>
      </c>
      <c r="MM59" s="322">
        <v>359704</v>
      </c>
      <c r="MN59" s="322">
        <v>360772</v>
      </c>
      <c r="MO59" s="322">
        <v>378047</v>
      </c>
      <c r="MP59" s="322">
        <v>354185</v>
      </c>
      <c r="MQ59" s="322"/>
      <c r="MR59" s="322"/>
      <c r="MS59" s="322">
        <v>382390</v>
      </c>
      <c r="MT59" s="322">
        <v>468987</v>
      </c>
      <c r="MU59" s="322">
        <v>490175</v>
      </c>
      <c r="MV59" s="334"/>
      <c r="MW59" s="322" t="s">
        <v>42</v>
      </c>
      <c r="MX59" s="322">
        <v>282178.05</v>
      </c>
      <c r="MY59" s="322">
        <v>335535.25</v>
      </c>
      <c r="MZ59" s="322">
        <v>370515.6</v>
      </c>
      <c r="NA59" s="322">
        <v>389143</v>
      </c>
      <c r="NB59" s="322">
        <v>345211.83</v>
      </c>
      <c r="NC59" s="322">
        <v>381847.44</v>
      </c>
      <c r="ND59" s="322">
        <v>381792.58</v>
      </c>
      <c r="NE59" s="322">
        <v>398232.9</v>
      </c>
      <c r="NF59" s="322">
        <v>368764</v>
      </c>
      <c r="NG59" s="322">
        <v>292345</v>
      </c>
      <c r="NH59" s="322">
        <v>304271</v>
      </c>
      <c r="NI59" s="322">
        <v>259123</v>
      </c>
      <c r="NJ59" s="322">
        <v>388701</v>
      </c>
      <c r="NK59" s="322">
        <v>306376</v>
      </c>
      <c r="NL59" s="322">
        <v>325052</v>
      </c>
      <c r="NM59" s="322">
        <v>289169</v>
      </c>
      <c r="NN59" s="322">
        <v>312998</v>
      </c>
      <c r="NO59" s="322"/>
      <c r="NP59" s="322"/>
      <c r="NQ59" s="322">
        <v>457530</v>
      </c>
      <c r="NR59" s="322">
        <v>369100</v>
      </c>
      <c r="NS59" s="322">
        <v>460000</v>
      </c>
      <c r="NT59" s="334"/>
      <c r="NU59" s="322" t="s">
        <v>42</v>
      </c>
      <c r="NV59" s="322">
        <v>53748.2</v>
      </c>
      <c r="NW59" s="322">
        <v>53685.64</v>
      </c>
      <c r="NX59" s="322">
        <v>61752.6</v>
      </c>
      <c r="NY59" s="322">
        <v>77828.600000000006</v>
      </c>
      <c r="NZ59" s="322">
        <v>75046.05</v>
      </c>
      <c r="OA59" s="322">
        <v>79551.55</v>
      </c>
      <c r="OB59" s="322">
        <v>88105.98</v>
      </c>
      <c r="OC59" s="322">
        <v>91899.9</v>
      </c>
      <c r="OD59" s="322">
        <v>93269</v>
      </c>
      <c r="OE59" s="322">
        <v>88508</v>
      </c>
      <c r="OF59" s="322">
        <v>93480</v>
      </c>
      <c r="OG59" s="322">
        <v>94950</v>
      </c>
      <c r="OH59" s="322">
        <v>102227</v>
      </c>
      <c r="OI59" s="322">
        <v>105158</v>
      </c>
      <c r="OJ59" s="322">
        <v>107586</v>
      </c>
      <c r="OK59" s="322">
        <v>120614</v>
      </c>
      <c r="OL59" s="322">
        <v>123462</v>
      </c>
      <c r="OM59" s="322"/>
      <c r="ON59" s="322"/>
      <c r="OO59" s="322">
        <v>128997</v>
      </c>
      <c r="OP59" s="322">
        <v>135980</v>
      </c>
      <c r="OQ59" s="322">
        <v>144703</v>
      </c>
      <c r="OR59" s="334"/>
      <c r="OS59" s="322" t="s">
        <v>42</v>
      </c>
      <c r="OT59" s="322">
        <v>26874.1</v>
      </c>
      <c r="OU59" s="322">
        <v>53685.64</v>
      </c>
      <c r="OV59" s="322">
        <v>61752.6</v>
      </c>
      <c r="OW59" s="322">
        <v>62262.879999999997</v>
      </c>
      <c r="OX59" s="322">
        <v>45027.63</v>
      </c>
      <c r="OY59" s="322">
        <v>47730.93</v>
      </c>
      <c r="OZ59" s="322">
        <v>29368.66</v>
      </c>
      <c r="PA59" s="322">
        <v>30633.3</v>
      </c>
      <c r="PB59" s="322">
        <v>30310</v>
      </c>
      <c r="PC59" s="322">
        <v>33316</v>
      </c>
      <c r="PD59" s="322">
        <v>32096</v>
      </c>
      <c r="PE59" s="322">
        <v>44409</v>
      </c>
      <c r="PF59" s="322">
        <v>43832</v>
      </c>
      <c r="PG59" s="322">
        <v>48683</v>
      </c>
      <c r="PH59" s="322">
        <v>43222</v>
      </c>
      <c r="PI59" s="322">
        <v>56311</v>
      </c>
      <c r="PJ59" s="322">
        <v>83695</v>
      </c>
      <c r="PK59" s="322"/>
      <c r="PL59" s="322"/>
      <c r="PM59" s="322">
        <v>141753</v>
      </c>
      <c r="PN59" s="322">
        <v>155018</v>
      </c>
      <c r="PO59" s="322">
        <v>165900</v>
      </c>
      <c r="PP59" s="334"/>
      <c r="PQ59" s="322" t="s">
        <v>42</v>
      </c>
      <c r="PR59" s="322">
        <v>13437.05</v>
      </c>
      <c r="PS59" s="322">
        <v>13421.41</v>
      </c>
      <c r="PT59" s="322">
        <v>15438.15</v>
      </c>
      <c r="PU59" s="322">
        <v>15565.72</v>
      </c>
      <c r="PV59" s="322">
        <v>15009.21</v>
      </c>
      <c r="PW59" s="322">
        <v>15910.31</v>
      </c>
      <c r="PX59" s="322">
        <v>29368.66</v>
      </c>
      <c r="PY59" s="322">
        <v>30633.3</v>
      </c>
      <c r="PZ59" s="322">
        <v>26438</v>
      </c>
      <c r="QA59" s="322">
        <v>0</v>
      </c>
      <c r="QB59" s="322">
        <v>0</v>
      </c>
      <c r="QC59" s="322">
        <v>0</v>
      </c>
      <c r="QD59" s="322">
        <v>0</v>
      </c>
      <c r="QE59" s="322">
        <v>0</v>
      </c>
      <c r="QF59" s="322">
        <v>0</v>
      </c>
      <c r="QG59" s="322">
        <v>0</v>
      </c>
      <c r="QH59" s="322">
        <v>0</v>
      </c>
      <c r="QI59" s="322"/>
      <c r="QJ59" s="322"/>
      <c r="QK59" s="322">
        <v>0</v>
      </c>
      <c r="QL59" s="322">
        <v>0</v>
      </c>
      <c r="QM59" s="322">
        <v>0</v>
      </c>
      <c r="QN59" s="334"/>
      <c r="QO59" s="322" t="s">
        <v>42</v>
      </c>
      <c r="QP59" s="322">
        <v>0</v>
      </c>
      <c r="QQ59" s="322">
        <v>0</v>
      </c>
      <c r="QR59" s="322">
        <v>0</v>
      </c>
      <c r="QS59" s="322">
        <v>0</v>
      </c>
      <c r="QT59" s="322">
        <v>0</v>
      </c>
      <c r="QU59" s="322">
        <v>0</v>
      </c>
      <c r="QV59" s="322">
        <v>0</v>
      </c>
      <c r="QW59" s="322">
        <v>0</v>
      </c>
      <c r="QX59" s="322">
        <v>2755</v>
      </c>
      <c r="QY59" s="322">
        <v>7741</v>
      </c>
      <c r="QZ59" s="322">
        <v>10244</v>
      </c>
      <c r="RA59" s="322">
        <v>5204</v>
      </c>
      <c r="RB59" s="322">
        <v>13884</v>
      </c>
      <c r="RC59" s="322">
        <v>6458</v>
      </c>
      <c r="RD59" s="322">
        <v>20088</v>
      </c>
      <c r="RE59" s="322">
        <v>25867</v>
      </c>
      <c r="RF59" s="322">
        <v>46810</v>
      </c>
      <c r="RG59" s="322"/>
      <c r="RH59" s="322"/>
      <c r="RI59" s="322">
        <v>5000</v>
      </c>
      <c r="RJ59" s="322">
        <v>6845</v>
      </c>
      <c r="RK59" s="322">
        <v>9250</v>
      </c>
      <c r="RL59" s="334"/>
      <c r="RM59" s="322" t="s">
        <v>42</v>
      </c>
      <c r="RN59" s="322">
        <v>13437.05</v>
      </c>
      <c r="RO59" s="322">
        <v>13421.41</v>
      </c>
      <c r="RP59" s="322">
        <v>30876.3</v>
      </c>
      <c r="RQ59" s="322">
        <v>15565.72</v>
      </c>
      <c r="RR59" s="322">
        <v>15009.21</v>
      </c>
      <c r="RS59" s="322">
        <v>0</v>
      </c>
      <c r="RT59" s="322">
        <v>0</v>
      </c>
      <c r="RU59" s="322">
        <v>0</v>
      </c>
      <c r="RV59" s="322">
        <v>72925</v>
      </c>
      <c r="RW59" s="322">
        <v>12600</v>
      </c>
      <c r="RX59" s="322">
        <v>0</v>
      </c>
      <c r="RY59" s="322">
        <v>1030</v>
      </c>
      <c r="RZ59" s="322">
        <v>98000</v>
      </c>
      <c r="SA59" s="322">
        <v>20177</v>
      </c>
      <c r="SB59" s="322">
        <v>0</v>
      </c>
      <c r="SC59" s="322">
        <v>0</v>
      </c>
      <c r="SD59" s="322">
        <v>27772</v>
      </c>
      <c r="SE59" s="322"/>
      <c r="SF59" s="322"/>
      <c r="SG59" s="322">
        <v>42473</v>
      </c>
      <c r="SH59" s="322">
        <v>23347</v>
      </c>
      <c r="SI59" s="322">
        <v>30605</v>
      </c>
    </row>
    <row r="60" spans="1:503">
      <c r="A60" s="319" t="s">
        <v>43</v>
      </c>
      <c r="B60" s="319">
        <v>1214449</v>
      </c>
      <c r="C60" s="319">
        <v>1238191</v>
      </c>
      <c r="D60" s="319">
        <v>1375011</v>
      </c>
      <c r="E60" s="319">
        <v>1321992</v>
      </c>
      <c r="F60" s="319">
        <v>1698079</v>
      </c>
      <c r="G60" s="319">
        <v>1453960</v>
      </c>
      <c r="H60" s="319">
        <v>1551075</v>
      </c>
      <c r="I60" s="319">
        <v>1555224</v>
      </c>
      <c r="J60" s="319">
        <v>1560512.58</v>
      </c>
      <c r="K60" s="319">
        <v>1580960.0999999999</v>
      </c>
      <c r="L60" s="319">
        <v>1568170.8900000001</v>
      </c>
      <c r="M60" s="319">
        <v>1659182.1700000002</v>
      </c>
      <c r="N60" s="319">
        <v>1827459.31</v>
      </c>
      <c r="O60" s="319">
        <v>1718254.69</v>
      </c>
      <c r="P60" s="319"/>
      <c r="Q60" s="319"/>
      <c r="R60" s="319"/>
      <c r="S60" s="322"/>
      <c r="T60" s="319"/>
      <c r="U60" s="319"/>
      <c r="V60" s="319"/>
      <c r="W60" s="319"/>
      <c r="X60" s="330"/>
      <c r="Y60" s="319" t="s">
        <v>43</v>
      </c>
      <c r="Z60" s="319">
        <v>60722.45</v>
      </c>
      <c r="AA60" s="319">
        <v>61909.55</v>
      </c>
      <c r="AB60" s="319">
        <v>68750.55</v>
      </c>
      <c r="AC60" s="319">
        <v>79319.520000000004</v>
      </c>
      <c r="AD60" s="319">
        <v>84903.95</v>
      </c>
      <c r="AE60" s="319">
        <v>87237.6</v>
      </c>
      <c r="AF60" s="319">
        <v>87237.6</v>
      </c>
      <c r="AG60" s="319">
        <v>93313.44</v>
      </c>
      <c r="AH60" s="319">
        <v>86097.680000000008</v>
      </c>
      <c r="AI60" s="319">
        <v>85969.72</v>
      </c>
      <c r="AJ60" s="319">
        <v>86824.029999999984</v>
      </c>
      <c r="AK60" s="319">
        <v>88656.849999999991</v>
      </c>
      <c r="AL60" s="319">
        <v>90449.249999999985</v>
      </c>
      <c r="AM60" s="319">
        <v>92025.750000000015</v>
      </c>
      <c r="AN60" s="319"/>
      <c r="AO60" s="319"/>
      <c r="AP60" s="319"/>
      <c r="AQ60" s="322"/>
      <c r="AR60" s="319"/>
      <c r="AS60" s="319"/>
      <c r="AT60" s="319"/>
      <c r="AU60" s="319"/>
      <c r="AV60" s="334"/>
      <c r="AW60" s="319" t="s">
        <v>43</v>
      </c>
      <c r="AX60" s="319">
        <v>60722.450000000004</v>
      </c>
      <c r="AY60" s="319">
        <v>61909.55</v>
      </c>
      <c r="AZ60" s="319">
        <v>55000.44</v>
      </c>
      <c r="BA60" s="319">
        <v>66099.600000000006</v>
      </c>
      <c r="BB60" s="319">
        <v>67923.16</v>
      </c>
      <c r="BC60" s="319">
        <v>72698</v>
      </c>
      <c r="BD60" s="319">
        <v>77553.75</v>
      </c>
      <c r="BE60" s="319">
        <v>77761.2</v>
      </c>
      <c r="BF60" s="319">
        <v>73916.72</v>
      </c>
      <c r="BG60" s="319">
        <v>75572.73</v>
      </c>
      <c r="BH60" s="319">
        <v>76119.8</v>
      </c>
      <c r="BI60" s="319">
        <v>77591.399999999994</v>
      </c>
      <c r="BJ60" s="319">
        <v>79282.700000000012</v>
      </c>
      <c r="BK60" s="319">
        <v>81139.050000000017</v>
      </c>
      <c r="BL60" s="319"/>
      <c r="BM60" s="319"/>
      <c r="BN60" s="319"/>
      <c r="BO60" s="322"/>
      <c r="BP60" s="319"/>
      <c r="BQ60" s="319"/>
      <c r="BR60" s="319"/>
      <c r="BS60" s="319"/>
      <c r="BT60" s="334"/>
      <c r="BU60" s="322" t="s">
        <v>43</v>
      </c>
      <c r="BV60" s="322">
        <v>36433.47</v>
      </c>
      <c r="BW60" s="322">
        <v>12381.91</v>
      </c>
      <c r="BX60" s="322">
        <v>41250.33</v>
      </c>
      <c r="BY60" s="322">
        <v>13219.92</v>
      </c>
      <c r="BZ60" s="322">
        <v>50942.37</v>
      </c>
      <c r="CA60" s="322">
        <v>14539.6</v>
      </c>
      <c r="CB60" s="322">
        <v>46532.25</v>
      </c>
      <c r="CC60" s="322">
        <v>15552.24</v>
      </c>
      <c r="CD60" s="322">
        <v>47644.87</v>
      </c>
      <c r="CE60" s="322">
        <v>28325.690000000006</v>
      </c>
      <c r="CF60" s="322">
        <v>51735.05</v>
      </c>
      <c r="CG60" s="322">
        <v>19253.010000000002</v>
      </c>
      <c r="CH60" s="322">
        <v>61228.820000000007</v>
      </c>
      <c r="CI60" s="322">
        <v>26660.339999999997</v>
      </c>
      <c r="CJ60" s="322"/>
      <c r="CK60" s="322"/>
      <c r="CL60" s="322"/>
      <c r="CM60" s="322"/>
      <c r="CN60" s="322"/>
      <c r="CO60" s="322"/>
      <c r="CP60" s="322"/>
      <c r="CQ60" s="322"/>
      <c r="CR60" s="334"/>
      <c r="CS60" s="322" t="s">
        <v>43</v>
      </c>
      <c r="CT60" s="322">
        <v>85011.43</v>
      </c>
      <c r="CU60" s="322">
        <v>86673.37</v>
      </c>
      <c r="CV60" s="322">
        <v>82500.66</v>
      </c>
      <c r="CW60" s="322">
        <v>79319.520000000004</v>
      </c>
      <c r="CX60" s="322">
        <v>67923.16</v>
      </c>
      <c r="CY60" s="322">
        <v>116316.8</v>
      </c>
      <c r="CZ60" s="322">
        <v>77553.75</v>
      </c>
      <c r="DA60" s="322">
        <v>77761.2</v>
      </c>
      <c r="DB60" s="322">
        <v>84267.74</v>
      </c>
      <c r="DC60" s="322">
        <v>86137.34</v>
      </c>
      <c r="DD60" s="322">
        <v>99189.77</v>
      </c>
      <c r="DE60" s="322">
        <v>101722.87</v>
      </c>
      <c r="DF60" s="322">
        <v>88915.8</v>
      </c>
      <c r="DG60" s="322">
        <v>95887.51999999999</v>
      </c>
      <c r="DH60" s="322"/>
      <c r="DI60" s="322"/>
      <c r="DJ60" s="322"/>
      <c r="DK60" s="322"/>
      <c r="DL60" s="322"/>
      <c r="DM60" s="322"/>
      <c r="DN60" s="322"/>
      <c r="DO60" s="322"/>
      <c r="DP60" s="334"/>
      <c r="DQ60" s="322" t="s">
        <v>43</v>
      </c>
      <c r="DR60" s="322">
        <v>145733.88</v>
      </c>
      <c r="DS60" s="322">
        <v>160964.82999999999</v>
      </c>
      <c r="DT60" s="322">
        <v>178751.43</v>
      </c>
      <c r="DU60" s="322">
        <v>171858.96</v>
      </c>
      <c r="DV60" s="322">
        <v>186788.69</v>
      </c>
      <c r="DW60" s="322">
        <v>189014.8</v>
      </c>
      <c r="DX60" s="322">
        <v>201639.75</v>
      </c>
      <c r="DY60" s="322">
        <v>202179.12</v>
      </c>
      <c r="DZ60" s="322">
        <v>222728.93999999997</v>
      </c>
      <c r="EA60" s="322">
        <v>225635.27</v>
      </c>
      <c r="EB60" s="322">
        <v>229958.46999999997</v>
      </c>
      <c r="EC60" s="322">
        <v>239997.49</v>
      </c>
      <c r="ED60" s="322">
        <v>240698.91999999998</v>
      </c>
      <c r="EE60" s="322">
        <v>268251.18</v>
      </c>
      <c r="EF60" s="322"/>
      <c r="EG60" s="322"/>
      <c r="EH60" s="322"/>
      <c r="EI60" s="322"/>
      <c r="EJ60" s="322"/>
      <c r="EK60" s="322"/>
      <c r="EL60" s="322"/>
      <c r="EM60" s="322"/>
      <c r="EN60" s="334"/>
      <c r="EO60" s="322" t="s">
        <v>43</v>
      </c>
      <c r="EP60" s="322">
        <v>24288.98</v>
      </c>
      <c r="EQ60" s="322">
        <v>24763.82</v>
      </c>
      <c r="ER60" s="322">
        <v>27500.22</v>
      </c>
      <c r="ES60" s="322">
        <v>26439.84</v>
      </c>
      <c r="ET60" s="322">
        <v>33961.58</v>
      </c>
      <c r="EU60" s="322">
        <v>29079.200000000001</v>
      </c>
      <c r="EV60" s="322">
        <v>31021.5</v>
      </c>
      <c r="EW60" s="322">
        <v>46656.72</v>
      </c>
      <c r="EX60" s="322">
        <v>41238.86</v>
      </c>
      <c r="EY60" s="322">
        <v>40852.120000000003</v>
      </c>
      <c r="EZ60" s="322">
        <v>41359.08</v>
      </c>
      <c r="FA60" s="322">
        <v>41140.53</v>
      </c>
      <c r="FB60" s="322">
        <v>49889.72</v>
      </c>
      <c r="FC60" s="322">
        <v>45291.78</v>
      </c>
      <c r="FD60" s="322"/>
      <c r="FE60" s="322"/>
      <c r="FF60" s="322"/>
      <c r="FG60" s="322"/>
      <c r="FH60" s="322"/>
      <c r="FI60" s="322"/>
      <c r="FJ60" s="322"/>
      <c r="FK60" s="322"/>
      <c r="FL60" s="334"/>
      <c r="FM60" s="322" t="s">
        <v>43</v>
      </c>
      <c r="FN60" s="322">
        <v>60722.45</v>
      </c>
      <c r="FO60" s="322">
        <v>61909.55</v>
      </c>
      <c r="FP60" s="322">
        <v>55000.44</v>
      </c>
      <c r="FQ60" s="322">
        <v>66099.600000000006</v>
      </c>
      <c r="FR60" s="322">
        <v>67923.16</v>
      </c>
      <c r="FS60" s="322">
        <v>58158.400000000001</v>
      </c>
      <c r="FT60" s="322">
        <v>62043</v>
      </c>
      <c r="FU60" s="322">
        <v>62208.959999999999</v>
      </c>
      <c r="FV60" s="322">
        <v>65696.72</v>
      </c>
      <c r="FW60" s="322">
        <v>62995.06</v>
      </c>
      <c r="FX60" s="322">
        <v>62235.59</v>
      </c>
      <c r="FY60" s="322">
        <v>63264.429999999993</v>
      </c>
      <c r="FZ60" s="322">
        <v>65130.719999999994</v>
      </c>
      <c r="GA60" s="322">
        <v>67685.740000000005</v>
      </c>
      <c r="GB60" s="322"/>
      <c r="GC60" s="322"/>
      <c r="GD60" s="322"/>
      <c r="GE60" s="322"/>
      <c r="GF60" s="340"/>
      <c r="GG60" s="704"/>
      <c r="GH60" s="704"/>
      <c r="GI60" s="704"/>
      <c r="GJ60" s="334"/>
      <c r="GK60" s="322" t="s">
        <v>43</v>
      </c>
      <c r="GL60" s="322">
        <v>48577.96</v>
      </c>
      <c r="GM60" s="322">
        <v>24763.82</v>
      </c>
      <c r="GN60" s="322">
        <v>27500.22</v>
      </c>
      <c r="GO60" s="322">
        <v>26439.84</v>
      </c>
      <c r="GP60" s="322">
        <v>33961.58</v>
      </c>
      <c r="GQ60" s="322">
        <v>29079.200000000001</v>
      </c>
      <c r="GR60" s="322">
        <v>31021.5</v>
      </c>
      <c r="GS60" s="322">
        <v>31104.48</v>
      </c>
      <c r="GT60" s="322">
        <v>26751.08</v>
      </c>
      <c r="GU60" s="322">
        <v>28268.57</v>
      </c>
      <c r="GV60" s="322">
        <v>29994.639999999999</v>
      </c>
      <c r="GW60" s="322">
        <v>29743.07</v>
      </c>
      <c r="GX60" s="322">
        <v>30419.64</v>
      </c>
      <c r="GY60" s="322">
        <v>62060.58</v>
      </c>
      <c r="GZ60" s="322"/>
      <c r="HA60" s="322"/>
      <c r="HB60" s="322"/>
      <c r="HC60" s="322"/>
      <c r="HD60" s="322"/>
      <c r="HE60" s="322"/>
      <c r="HF60" s="322"/>
      <c r="HG60" s="322"/>
      <c r="HH60" s="334"/>
      <c r="HI60" s="322" t="s">
        <v>43</v>
      </c>
      <c r="HJ60" s="322">
        <v>12144.49</v>
      </c>
      <c r="HK60" s="322">
        <v>12381.91</v>
      </c>
      <c r="HL60" s="322">
        <v>13750.11</v>
      </c>
      <c r="HM60" s="322">
        <v>13219.92</v>
      </c>
      <c r="HN60" s="322">
        <v>0</v>
      </c>
      <c r="HO60" s="322">
        <v>0</v>
      </c>
      <c r="HP60" s="322">
        <v>15510.75</v>
      </c>
      <c r="HQ60" s="322">
        <v>0</v>
      </c>
      <c r="HR60" s="322">
        <v>8028.47</v>
      </c>
      <c r="HS60" s="322">
        <v>8172.18</v>
      </c>
      <c r="HT60" s="322">
        <v>9313.89</v>
      </c>
      <c r="HU60" s="322">
        <v>9559.89</v>
      </c>
      <c r="HV60" s="322">
        <v>7684.7800000000007</v>
      </c>
      <c r="HW60" s="322">
        <v>7357.7000000000007</v>
      </c>
      <c r="HX60" s="322"/>
      <c r="HY60" s="322"/>
      <c r="HZ60" s="322"/>
      <c r="IA60" s="322"/>
      <c r="IB60" s="322"/>
      <c r="IC60" s="322"/>
      <c r="ID60" s="322"/>
      <c r="IE60" s="322"/>
      <c r="IF60" s="334"/>
      <c r="IG60" s="322" t="s">
        <v>43</v>
      </c>
      <c r="IH60" s="322">
        <v>12144.49</v>
      </c>
      <c r="II60" s="322">
        <v>12381.91</v>
      </c>
      <c r="IJ60" s="322">
        <v>13750.11</v>
      </c>
      <c r="IK60" s="322">
        <v>13219.92</v>
      </c>
      <c r="IL60" s="322">
        <v>0</v>
      </c>
      <c r="IM60" s="322">
        <v>0</v>
      </c>
      <c r="IN60" s="322">
        <v>0</v>
      </c>
      <c r="IO60" s="322">
        <v>0</v>
      </c>
      <c r="IP60" s="322">
        <v>5802.01</v>
      </c>
      <c r="IQ60" s="322">
        <v>4713.47</v>
      </c>
      <c r="IR60" s="322">
        <v>4805.12</v>
      </c>
      <c r="IS60" s="322">
        <v>5122.32</v>
      </c>
      <c r="IT60" s="322">
        <v>4668.08</v>
      </c>
      <c r="IU60" s="322">
        <v>4799.5700000000006</v>
      </c>
      <c r="IV60" s="322"/>
      <c r="IW60" s="322"/>
      <c r="IX60" s="322"/>
      <c r="IY60" s="322"/>
      <c r="IZ60" s="322"/>
      <c r="JA60" s="322"/>
      <c r="JB60" s="322"/>
      <c r="JC60" s="322"/>
      <c r="JD60" s="334"/>
      <c r="JE60" s="322" t="s">
        <v>43</v>
      </c>
      <c r="JF60" s="322">
        <v>12144.49</v>
      </c>
      <c r="JG60" s="322">
        <v>12381.91</v>
      </c>
      <c r="JH60" s="322">
        <v>0</v>
      </c>
      <c r="JI60" s="322">
        <v>13219.92</v>
      </c>
      <c r="JJ60" s="322">
        <v>0</v>
      </c>
      <c r="JK60" s="322">
        <v>0</v>
      </c>
      <c r="JL60" s="322">
        <v>0</v>
      </c>
      <c r="JM60" s="322">
        <v>15552.24</v>
      </c>
      <c r="JN60" s="322">
        <v>28446.05</v>
      </c>
      <c r="JO60" s="322">
        <v>29214.400000000001</v>
      </c>
      <c r="JP60" s="322">
        <v>24593.19</v>
      </c>
      <c r="JQ60" s="322">
        <v>30049.09</v>
      </c>
      <c r="JR60" s="322">
        <v>28337.050000000003</v>
      </c>
      <c r="JS60" s="322">
        <v>31940.559999999998</v>
      </c>
      <c r="JT60" s="322"/>
      <c r="JU60" s="322"/>
      <c r="JV60" s="322"/>
      <c r="JW60" s="322"/>
      <c r="JX60" s="322"/>
      <c r="JY60" s="322"/>
      <c r="JZ60" s="322"/>
      <c r="KA60" s="322"/>
      <c r="KB60" s="334"/>
      <c r="KC60" s="322" t="s">
        <v>43</v>
      </c>
      <c r="KD60" s="322">
        <v>36433.47</v>
      </c>
      <c r="KE60" s="322">
        <v>37145.730000000003</v>
      </c>
      <c r="KF60" s="322">
        <v>27500.22</v>
      </c>
      <c r="KG60" s="322">
        <v>26439.84</v>
      </c>
      <c r="KH60" s="322">
        <v>33961.58</v>
      </c>
      <c r="KI60" s="322">
        <v>43618.8</v>
      </c>
      <c r="KJ60" s="322">
        <v>46532.25</v>
      </c>
      <c r="KK60" s="322">
        <v>46656.72</v>
      </c>
      <c r="KL60" s="322">
        <v>40841.26</v>
      </c>
      <c r="KM60" s="322">
        <v>43926.539999999994</v>
      </c>
      <c r="KN60" s="322">
        <v>48339.58</v>
      </c>
      <c r="KO60" s="322">
        <v>50777.04</v>
      </c>
      <c r="KP60" s="322">
        <v>50676.25</v>
      </c>
      <c r="KQ60" s="322">
        <v>50731.229999999996</v>
      </c>
      <c r="KR60" s="322"/>
      <c r="KS60" s="322"/>
      <c r="KT60" s="322"/>
      <c r="KU60" s="322"/>
      <c r="KV60" s="322"/>
      <c r="KW60" s="322"/>
      <c r="KX60" s="322"/>
      <c r="KY60" s="322"/>
      <c r="KZ60" s="334"/>
      <c r="LA60" s="322" t="s">
        <v>43</v>
      </c>
      <c r="LB60" s="322">
        <v>85011.43</v>
      </c>
      <c r="LC60" s="322">
        <v>99055.28</v>
      </c>
      <c r="LD60" s="322">
        <v>137501.1</v>
      </c>
      <c r="LE60" s="322">
        <v>92539.44</v>
      </c>
      <c r="LF60" s="322">
        <v>543385.28</v>
      </c>
      <c r="LG60" s="322">
        <v>203554.4</v>
      </c>
      <c r="LH60" s="322">
        <v>139596.75</v>
      </c>
      <c r="LI60" s="322">
        <v>155522.4</v>
      </c>
      <c r="LJ60" s="322">
        <v>115696.25999999998</v>
      </c>
      <c r="LK60" s="322">
        <v>165252.46999999997</v>
      </c>
      <c r="LL60" s="322">
        <v>153871.43000000002</v>
      </c>
      <c r="LM60" s="322">
        <v>151940.95000000001</v>
      </c>
      <c r="LN60" s="322">
        <v>143160.41</v>
      </c>
      <c r="LO60" s="322">
        <v>156401.38999999996</v>
      </c>
      <c r="LP60" s="322"/>
      <c r="LQ60" s="322"/>
      <c r="LR60" s="322"/>
      <c r="LS60" s="322"/>
      <c r="LT60" s="322"/>
      <c r="LU60" s="322"/>
      <c r="LV60" s="322"/>
      <c r="LW60" s="322"/>
      <c r="LX60" s="334"/>
      <c r="LY60" s="322" t="s">
        <v>43</v>
      </c>
      <c r="LZ60" s="322">
        <v>170022.86</v>
      </c>
      <c r="MA60" s="322">
        <v>185728.65</v>
      </c>
      <c r="MB60" s="322">
        <v>206251.65</v>
      </c>
      <c r="MC60" s="322">
        <v>317278.08000000002</v>
      </c>
      <c r="MD60" s="322">
        <v>322635.01</v>
      </c>
      <c r="ME60" s="322">
        <v>348950.4</v>
      </c>
      <c r="MF60" s="322">
        <v>356747.25</v>
      </c>
      <c r="MG60" s="322">
        <v>357701.52</v>
      </c>
      <c r="MH60" s="322">
        <v>378279.94999999995</v>
      </c>
      <c r="MI60" s="322">
        <v>391240.35</v>
      </c>
      <c r="MJ60" s="322">
        <v>397750.12999999995</v>
      </c>
      <c r="MK60" s="322">
        <v>459158.0400000001</v>
      </c>
      <c r="ML60" s="322">
        <v>446568.81</v>
      </c>
      <c r="MM60" s="322">
        <v>460881.04999999993</v>
      </c>
      <c r="MN60" s="322"/>
      <c r="MO60" s="322"/>
      <c r="MP60" s="322"/>
      <c r="MQ60" s="322"/>
      <c r="MR60" s="322"/>
      <c r="MS60" s="322"/>
      <c r="MT60" s="322"/>
      <c r="MU60" s="322"/>
      <c r="MV60" s="334"/>
      <c r="MW60" s="322" t="s">
        <v>43</v>
      </c>
      <c r="MX60" s="322">
        <v>133589.39000000001</v>
      </c>
      <c r="MY60" s="322">
        <v>123819.1</v>
      </c>
      <c r="MZ60" s="322">
        <v>165001.32</v>
      </c>
      <c r="NA60" s="322">
        <v>66099.600000000006</v>
      </c>
      <c r="NB60" s="322">
        <v>67923.16</v>
      </c>
      <c r="NC60" s="322">
        <v>58158.400000000001</v>
      </c>
      <c r="ND60" s="322">
        <v>170618.25</v>
      </c>
      <c r="NE60" s="322">
        <v>155522.4</v>
      </c>
      <c r="NF60" s="322">
        <v>134490.32</v>
      </c>
      <c r="NG60" s="322">
        <v>110591.34</v>
      </c>
      <c r="NH60" s="322">
        <v>73703.73000000001</v>
      </c>
      <c r="NI60" s="322">
        <v>69336</v>
      </c>
      <c r="NJ60" s="322">
        <v>58930.46</v>
      </c>
      <c r="NK60" s="322">
        <v>47330.38</v>
      </c>
      <c r="NL60" s="322"/>
      <c r="NM60" s="322"/>
      <c r="NN60" s="322"/>
      <c r="NO60" s="322"/>
      <c r="NP60" s="322"/>
      <c r="NQ60" s="322"/>
      <c r="NR60" s="322"/>
      <c r="NS60" s="322"/>
      <c r="NT60" s="334"/>
      <c r="NU60" s="322" t="s">
        <v>43</v>
      </c>
      <c r="NV60" s="322">
        <v>85011.43</v>
      </c>
      <c r="NW60" s="322">
        <v>99055.28</v>
      </c>
      <c r="NX60" s="322">
        <v>96250.77</v>
      </c>
      <c r="NY60" s="322">
        <v>92539.44</v>
      </c>
      <c r="NZ60" s="322">
        <v>84903.95</v>
      </c>
      <c r="OA60" s="322">
        <v>101777.2</v>
      </c>
      <c r="OB60" s="322">
        <v>108575.25</v>
      </c>
      <c r="OC60" s="322">
        <v>108865.68</v>
      </c>
      <c r="OD60" s="322">
        <v>101398.84</v>
      </c>
      <c r="OE60" s="322">
        <v>105808.75</v>
      </c>
      <c r="OF60" s="322">
        <v>109061.34</v>
      </c>
      <c r="OG60" s="322">
        <v>108541.95</v>
      </c>
      <c r="OH60" s="322">
        <v>111562.27</v>
      </c>
      <c r="OI60" s="322">
        <v>116139.01</v>
      </c>
      <c r="OJ60" s="322"/>
      <c r="OK60" s="322"/>
      <c r="OL60" s="322"/>
      <c r="OM60" s="322"/>
      <c r="ON60" s="322"/>
      <c r="OO60" s="322"/>
      <c r="OP60" s="322"/>
      <c r="OQ60" s="322"/>
      <c r="OR60" s="334"/>
      <c r="OS60" s="322" t="s">
        <v>43</v>
      </c>
      <c r="OT60" s="322">
        <v>121444.9</v>
      </c>
      <c r="OU60" s="322">
        <v>123819.1</v>
      </c>
      <c r="OV60" s="322">
        <v>137501.1</v>
      </c>
      <c r="OW60" s="322">
        <v>118979.28</v>
      </c>
      <c r="OX60" s="322">
        <v>50942.37</v>
      </c>
      <c r="OY60" s="322">
        <v>72698</v>
      </c>
      <c r="OZ60" s="322">
        <v>62043</v>
      </c>
      <c r="PA60" s="322">
        <v>77761.2</v>
      </c>
      <c r="PB60" s="322">
        <v>56691.97</v>
      </c>
      <c r="PC60" s="322">
        <v>64938.320000000007</v>
      </c>
      <c r="PD60" s="322">
        <v>52960.23</v>
      </c>
      <c r="PE60" s="322">
        <v>67514.41</v>
      </c>
      <c r="PF60" s="322">
        <v>53757.07</v>
      </c>
      <c r="PG60" s="322">
        <v>62212.380000000005</v>
      </c>
      <c r="PH60" s="322"/>
      <c r="PI60" s="322"/>
      <c r="PJ60" s="322"/>
      <c r="PK60" s="322"/>
      <c r="PL60" s="322"/>
      <c r="PM60" s="322"/>
      <c r="PN60" s="322"/>
      <c r="PO60" s="322"/>
      <c r="PP60" s="334"/>
      <c r="PQ60" s="322" t="s">
        <v>43</v>
      </c>
      <c r="PR60" s="322">
        <v>0</v>
      </c>
      <c r="PS60" s="322">
        <v>12381.91</v>
      </c>
      <c r="PT60" s="322">
        <v>13750.11</v>
      </c>
      <c r="PU60" s="322">
        <v>13219.92</v>
      </c>
      <c r="PV60" s="322">
        <v>0</v>
      </c>
      <c r="PW60" s="322">
        <v>14539.6</v>
      </c>
      <c r="PX60" s="322">
        <v>15510.75</v>
      </c>
      <c r="PY60" s="322">
        <v>15552.24</v>
      </c>
      <c r="PZ60" s="322">
        <v>18018.78</v>
      </c>
      <c r="QA60" s="322">
        <v>17387.650000000001</v>
      </c>
      <c r="QB60" s="322">
        <v>13039.62</v>
      </c>
      <c r="QC60" s="322">
        <v>21700.03</v>
      </c>
      <c r="QD60" s="322">
        <v>20235.54</v>
      </c>
      <c r="QE60" s="322">
        <v>19972.949999999997</v>
      </c>
      <c r="QF60" s="322"/>
      <c r="QG60" s="322"/>
      <c r="QH60" s="322"/>
      <c r="QI60" s="322"/>
      <c r="QJ60" s="322"/>
      <c r="QK60" s="322"/>
      <c r="QL60" s="322"/>
      <c r="QM60" s="322"/>
      <c r="QN60" s="334"/>
      <c r="QO60" s="322" t="s">
        <v>43</v>
      </c>
      <c r="QP60" s="322">
        <v>12144.49</v>
      </c>
      <c r="QQ60" s="322">
        <v>12381.91</v>
      </c>
      <c r="QR60" s="322">
        <v>13750.11</v>
      </c>
      <c r="QS60" s="322">
        <v>13219.92</v>
      </c>
      <c r="QT60" s="322">
        <v>0</v>
      </c>
      <c r="QU60" s="322">
        <v>0</v>
      </c>
      <c r="QV60" s="322">
        <v>15510.75</v>
      </c>
      <c r="QW60" s="322">
        <v>15552.24</v>
      </c>
      <c r="QX60" s="322">
        <v>13976.06</v>
      </c>
      <c r="QY60" s="322">
        <v>5958.13</v>
      </c>
      <c r="QZ60" s="322">
        <v>3316.2</v>
      </c>
      <c r="RA60" s="322">
        <v>1112.8</v>
      </c>
      <c r="RB60" s="322">
        <v>1863.02</v>
      </c>
      <c r="RC60" s="322">
        <v>1355.1</v>
      </c>
      <c r="RD60" s="322"/>
      <c r="RE60" s="322"/>
      <c r="RF60" s="322"/>
      <c r="RG60" s="322"/>
      <c r="RH60" s="322"/>
      <c r="RI60" s="322"/>
      <c r="RJ60" s="322"/>
      <c r="RK60" s="322"/>
      <c r="RL60" s="334"/>
      <c r="RM60" s="322" t="s">
        <v>43</v>
      </c>
      <c r="RN60" s="322">
        <v>12144.49</v>
      </c>
      <c r="RO60" s="322">
        <v>12381.91</v>
      </c>
      <c r="RP60" s="322">
        <v>13750.11</v>
      </c>
      <c r="RQ60" s="322">
        <v>13219.92</v>
      </c>
      <c r="RR60" s="322">
        <v>0</v>
      </c>
      <c r="RS60" s="322">
        <v>14539.6</v>
      </c>
      <c r="RT60" s="322">
        <v>0</v>
      </c>
      <c r="RU60" s="322">
        <v>0</v>
      </c>
      <c r="RV60" s="322">
        <v>10500</v>
      </c>
      <c r="RW60" s="322">
        <v>0</v>
      </c>
      <c r="RX60" s="322">
        <v>0</v>
      </c>
      <c r="RY60" s="322">
        <v>23000</v>
      </c>
      <c r="RZ60" s="322">
        <v>194000</v>
      </c>
      <c r="SA60" s="322">
        <v>20131.43</v>
      </c>
      <c r="SB60" s="322"/>
      <c r="SC60" s="322"/>
      <c r="SD60" s="322"/>
      <c r="SE60" s="322"/>
      <c r="SF60" s="322"/>
      <c r="SG60" s="322"/>
      <c r="SH60" s="322"/>
      <c r="SI60" s="322"/>
    </row>
    <row r="61" spans="1:503">
      <c r="A61" s="319" t="s">
        <v>44</v>
      </c>
      <c r="B61" s="319">
        <v>955766</v>
      </c>
      <c r="C61" s="319">
        <v>1000821</v>
      </c>
      <c r="D61" s="319">
        <v>1121796</v>
      </c>
      <c r="E61" s="319">
        <v>1092336</v>
      </c>
      <c r="F61" s="319">
        <v>1187158</v>
      </c>
      <c r="G61" s="319">
        <v>1108965</v>
      </c>
      <c r="H61" s="319">
        <v>1211137</v>
      </c>
      <c r="I61" s="319">
        <v>1025434</v>
      </c>
      <c r="J61" s="319">
        <v>1168211.52</v>
      </c>
      <c r="K61" s="319">
        <v>887370.93000000017</v>
      </c>
      <c r="L61" s="319">
        <v>1407267.1400000001</v>
      </c>
      <c r="M61" s="319">
        <v>1124669.6100000001</v>
      </c>
      <c r="N61" s="319">
        <v>1178674.9600000002</v>
      </c>
      <c r="O61" s="319">
        <v>1135809.25</v>
      </c>
      <c r="P61" s="319"/>
      <c r="Q61" s="319">
        <v>1107979.28</v>
      </c>
      <c r="R61" s="319"/>
      <c r="S61" s="322"/>
      <c r="T61" s="319">
        <v>1316905.7</v>
      </c>
      <c r="U61" s="319"/>
      <c r="V61" s="319"/>
      <c r="W61" s="319"/>
      <c r="X61" s="330"/>
      <c r="Y61" s="319" t="s">
        <v>44</v>
      </c>
      <c r="Z61" s="319">
        <v>47788.3</v>
      </c>
      <c r="AA61" s="319">
        <v>50041.05</v>
      </c>
      <c r="AB61" s="319">
        <v>44871.839999999997</v>
      </c>
      <c r="AC61" s="319">
        <v>65540.160000000003</v>
      </c>
      <c r="AD61" s="319">
        <v>59357.9</v>
      </c>
      <c r="AE61" s="319">
        <v>66537.899999999994</v>
      </c>
      <c r="AF61" s="319">
        <v>55448.25</v>
      </c>
      <c r="AG61" s="319">
        <v>61526.04</v>
      </c>
      <c r="AH61" s="319">
        <v>64908.659999999996</v>
      </c>
      <c r="AI61" s="319">
        <v>70686.62</v>
      </c>
      <c r="AJ61" s="319">
        <v>71835.22</v>
      </c>
      <c r="AK61" s="319">
        <v>78728.509999999995</v>
      </c>
      <c r="AL61" s="319">
        <v>75149.05</v>
      </c>
      <c r="AM61" s="319">
        <v>80680.670000000013</v>
      </c>
      <c r="AN61" s="319"/>
      <c r="AO61" s="319">
        <v>80608.509999999995</v>
      </c>
      <c r="AP61" s="319"/>
      <c r="AQ61" s="322"/>
      <c r="AR61" s="319">
        <v>83315.350000000006</v>
      </c>
      <c r="AS61" s="319"/>
      <c r="AT61" s="319"/>
      <c r="AU61" s="319"/>
      <c r="AV61" s="334"/>
      <c r="AW61" s="319" t="s">
        <v>44</v>
      </c>
      <c r="AX61" s="319">
        <v>57345.96</v>
      </c>
      <c r="AY61" s="319">
        <v>50041.05</v>
      </c>
      <c r="AZ61" s="319">
        <v>56089.8</v>
      </c>
      <c r="BA61" s="319">
        <v>65540.160000000003</v>
      </c>
      <c r="BB61" s="319">
        <v>71229.48</v>
      </c>
      <c r="BC61" s="319">
        <v>66537.899999999994</v>
      </c>
      <c r="BD61" s="319">
        <v>60556.850000000006</v>
      </c>
      <c r="BE61" s="319">
        <v>61526.04</v>
      </c>
      <c r="BF61" s="319">
        <v>63315.549999999996</v>
      </c>
      <c r="BG61" s="319">
        <v>65684.08</v>
      </c>
      <c r="BH61" s="319">
        <v>71837.87999999999</v>
      </c>
      <c r="BI61" s="319">
        <v>73810.399999999994</v>
      </c>
      <c r="BJ61" s="319">
        <v>75354.200000000012</v>
      </c>
      <c r="BK61" s="319">
        <v>73051.899999999994</v>
      </c>
      <c r="BL61" s="319"/>
      <c r="BM61" s="319">
        <v>70457.98000000001</v>
      </c>
      <c r="BN61" s="319"/>
      <c r="BO61" s="322"/>
      <c r="BP61" s="319">
        <v>84112.5</v>
      </c>
      <c r="BQ61" s="319"/>
      <c r="BR61" s="319"/>
      <c r="BS61" s="319"/>
      <c r="BT61" s="334"/>
      <c r="BU61" s="322" t="s">
        <v>44</v>
      </c>
      <c r="BV61" s="322">
        <v>57345.96</v>
      </c>
      <c r="BW61" s="322">
        <v>30024.63</v>
      </c>
      <c r="BX61" s="322">
        <v>56089.8</v>
      </c>
      <c r="BY61" s="322">
        <v>21846.720000000001</v>
      </c>
      <c r="BZ61" s="322">
        <v>59357.9</v>
      </c>
      <c r="CA61" s="322">
        <v>33268.949999999997</v>
      </c>
      <c r="CB61" s="322">
        <v>48445.48</v>
      </c>
      <c r="CC61" s="322">
        <v>30763.02</v>
      </c>
      <c r="CD61" s="322">
        <v>70623.14</v>
      </c>
      <c r="CE61" s="322">
        <v>23335.48</v>
      </c>
      <c r="CF61" s="322">
        <v>81831.72</v>
      </c>
      <c r="CG61" s="322">
        <v>35857.760000000002</v>
      </c>
      <c r="CH61" s="322">
        <v>104076.88999999998</v>
      </c>
      <c r="CI61" s="322">
        <v>31839.66</v>
      </c>
      <c r="CJ61" s="322"/>
      <c r="CK61" s="322">
        <v>31467.32</v>
      </c>
      <c r="CL61" s="322"/>
      <c r="CM61" s="322"/>
      <c r="CN61" s="322">
        <v>56560.240000000005</v>
      </c>
      <c r="CO61" s="322"/>
      <c r="CP61" s="322"/>
      <c r="CQ61" s="322"/>
      <c r="CR61" s="334"/>
      <c r="CS61" s="322" t="s">
        <v>44</v>
      </c>
      <c r="CT61" s="322">
        <v>57345.96</v>
      </c>
      <c r="CU61" s="322">
        <v>40032.839999999997</v>
      </c>
      <c r="CV61" s="322">
        <v>67307.759999999995</v>
      </c>
      <c r="CW61" s="322">
        <v>65540.160000000003</v>
      </c>
      <c r="CX61" s="322">
        <v>71229.48</v>
      </c>
      <c r="CY61" s="322">
        <v>55448.25</v>
      </c>
      <c r="CZ61" s="322">
        <v>109002.33</v>
      </c>
      <c r="DA61" s="322">
        <v>61526.04</v>
      </c>
      <c r="DB61" s="322">
        <v>79853.399999999994</v>
      </c>
      <c r="DC61" s="322">
        <v>95823.39</v>
      </c>
      <c r="DD61" s="322">
        <v>97534.849999999991</v>
      </c>
      <c r="DE61" s="322">
        <v>116761.95</v>
      </c>
      <c r="DF61" s="322">
        <v>111345.76</v>
      </c>
      <c r="DG61" s="322">
        <v>167990.15</v>
      </c>
      <c r="DH61" s="322"/>
      <c r="DI61" s="322">
        <v>223218.86999999997</v>
      </c>
      <c r="DJ61" s="322"/>
      <c r="DK61" s="322"/>
      <c r="DL61" s="322">
        <v>246288.35</v>
      </c>
      <c r="DM61" s="322"/>
      <c r="DN61" s="322"/>
      <c r="DO61" s="322"/>
      <c r="DP61" s="334"/>
      <c r="DQ61" s="322" t="s">
        <v>44</v>
      </c>
      <c r="DR61" s="322">
        <v>76461.279999999999</v>
      </c>
      <c r="DS61" s="322">
        <v>90073.89</v>
      </c>
      <c r="DT61" s="322">
        <v>100961.64</v>
      </c>
      <c r="DU61" s="322">
        <v>120156.96</v>
      </c>
      <c r="DV61" s="322">
        <v>118715.8</v>
      </c>
      <c r="DW61" s="322">
        <v>144165.45000000001</v>
      </c>
      <c r="DX61" s="322">
        <v>133225.07</v>
      </c>
      <c r="DY61" s="322">
        <v>102543.4</v>
      </c>
      <c r="DZ61" s="322">
        <v>106818.93000000001</v>
      </c>
      <c r="EA61" s="322">
        <v>106993.88999999998</v>
      </c>
      <c r="EB61" s="322">
        <v>113628.95</v>
      </c>
      <c r="EC61" s="322">
        <v>132859.77000000002</v>
      </c>
      <c r="ED61" s="322">
        <v>172136.48</v>
      </c>
      <c r="EE61" s="322">
        <v>139796.59</v>
      </c>
      <c r="EF61" s="322"/>
      <c r="EG61" s="322">
        <v>166227.23000000001</v>
      </c>
      <c r="EH61" s="322"/>
      <c r="EI61" s="322"/>
      <c r="EJ61" s="322">
        <v>172033.81000000003</v>
      </c>
      <c r="EK61" s="322"/>
      <c r="EL61" s="322"/>
      <c r="EM61" s="322"/>
      <c r="EN61" s="334"/>
      <c r="EO61" s="322" t="s">
        <v>44</v>
      </c>
      <c r="EP61" s="322">
        <v>19115.32</v>
      </c>
      <c r="EQ61" s="322">
        <v>20016.419999999998</v>
      </c>
      <c r="ER61" s="322">
        <v>22435.919999999998</v>
      </c>
      <c r="ES61" s="322">
        <v>21846.720000000001</v>
      </c>
      <c r="ET61" s="322">
        <v>23743.16</v>
      </c>
      <c r="EU61" s="322">
        <v>22179.3</v>
      </c>
      <c r="EV61" s="322">
        <v>24222.74</v>
      </c>
      <c r="EW61" s="322">
        <v>30763.02</v>
      </c>
      <c r="EX61" s="322">
        <v>32979.14</v>
      </c>
      <c r="EY61" s="322">
        <v>32299.63</v>
      </c>
      <c r="EZ61" s="322">
        <v>34318.869999999995</v>
      </c>
      <c r="FA61" s="322">
        <v>41260.379999999997</v>
      </c>
      <c r="FB61" s="322">
        <v>40796.44</v>
      </c>
      <c r="FC61" s="322">
        <v>40023.85</v>
      </c>
      <c r="FD61" s="322"/>
      <c r="FE61" s="322">
        <v>43291.12</v>
      </c>
      <c r="FF61" s="322"/>
      <c r="FG61" s="322"/>
      <c r="FH61" s="322">
        <v>42986.740000000005</v>
      </c>
      <c r="FI61" s="322"/>
      <c r="FJ61" s="322"/>
      <c r="FK61" s="322"/>
      <c r="FL61" s="334"/>
      <c r="FM61" s="322" t="s">
        <v>44</v>
      </c>
      <c r="FN61" s="322">
        <v>57345.96</v>
      </c>
      <c r="FO61" s="322">
        <v>50041.05</v>
      </c>
      <c r="FP61" s="322">
        <v>56089.8</v>
      </c>
      <c r="FQ61" s="322">
        <v>54616.800000000003</v>
      </c>
      <c r="FR61" s="322">
        <v>59357.9</v>
      </c>
      <c r="FS61" s="322">
        <v>55448.25</v>
      </c>
      <c r="FT61" s="322">
        <v>60556.85</v>
      </c>
      <c r="FU61" s="322">
        <v>61526.04</v>
      </c>
      <c r="FV61" s="322">
        <v>61649.479999999996</v>
      </c>
      <c r="FW61" s="322">
        <v>61778.49</v>
      </c>
      <c r="FX61" s="322">
        <v>66917.899999999994</v>
      </c>
      <c r="FY61" s="322">
        <v>73006.459999999992</v>
      </c>
      <c r="FZ61" s="322">
        <v>75966.460000000006</v>
      </c>
      <c r="GA61" s="322">
        <v>75046.329999999987</v>
      </c>
      <c r="GB61" s="322"/>
      <c r="GC61" s="322">
        <v>66718.829999999987</v>
      </c>
      <c r="GD61" s="322"/>
      <c r="GE61" s="322"/>
      <c r="GF61" s="340">
        <v>69225.22</v>
      </c>
      <c r="GG61" s="704"/>
      <c r="GH61" s="704"/>
      <c r="GI61" s="704"/>
      <c r="GJ61" s="334"/>
      <c r="GK61" s="322" t="s">
        <v>44</v>
      </c>
      <c r="GL61" s="322">
        <v>0</v>
      </c>
      <c r="GM61" s="322">
        <v>0</v>
      </c>
      <c r="GN61" s="322">
        <v>0</v>
      </c>
      <c r="GO61" s="322">
        <v>0</v>
      </c>
      <c r="GP61" s="322">
        <v>0</v>
      </c>
      <c r="GQ61" s="322">
        <v>0</v>
      </c>
      <c r="GR61" s="322">
        <v>0</v>
      </c>
      <c r="GS61" s="322">
        <v>41017.360000000001</v>
      </c>
      <c r="GT61" s="322">
        <v>50454.11</v>
      </c>
      <c r="GU61" s="322">
        <v>47291.11</v>
      </c>
      <c r="GV61" s="322">
        <v>51548.770000000004</v>
      </c>
      <c r="GW61" s="322">
        <v>72094.48000000001</v>
      </c>
      <c r="GX61" s="322">
        <v>75778.159999999989</v>
      </c>
      <c r="GY61" s="322">
        <v>78313.97</v>
      </c>
      <c r="GZ61" s="322"/>
      <c r="HA61" s="322">
        <v>74025.840000000011</v>
      </c>
      <c r="HB61" s="322"/>
      <c r="HC61" s="322"/>
      <c r="HD61" s="322">
        <v>80693.87</v>
      </c>
      <c r="HE61" s="322"/>
      <c r="HF61" s="322"/>
      <c r="HG61" s="322"/>
      <c r="HH61" s="334"/>
      <c r="HI61" s="322" t="s">
        <v>44</v>
      </c>
      <c r="HJ61" s="322">
        <v>19115.32</v>
      </c>
      <c r="HK61" s="322">
        <v>20016.419999999998</v>
      </c>
      <c r="HL61" s="322">
        <v>22435.919999999998</v>
      </c>
      <c r="HM61" s="322">
        <v>21846.720000000001</v>
      </c>
      <c r="HN61" s="322">
        <v>47486.32</v>
      </c>
      <c r="HO61" s="322">
        <v>22179.3</v>
      </c>
      <c r="HP61" s="322">
        <v>24222.74</v>
      </c>
      <c r="HQ61" s="322">
        <v>10254.34</v>
      </c>
      <c r="HR61" s="322">
        <v>12361.7</v>
      </c>
      <c r="HS61" s="322">
        <v>27329</v>
      </c>
      <c r="HT61" s="322">
        <v>34247.83</v>
      </c>
      <c r="HU61" s="322">
        <v>30350.079999999998</v>
      </c>
      <c r="HV61" s="322">
        <v>31020.489999999998</v>
      </c>
      <c r="HW61" s="322">
        <v>29817.779999999992</v>
      </c>
      <c r="HX61" s="322"/>
      <c r="HY61" s="322">
        <v>31310.449999999997</v>
      </c>
      <c r="HZ61" s="322"/>
      <c r="IA61" s="322"/>
      <c r="IB61" s="322">
        <v>39108.25</v>
      </c>
      <c r="IC61" s="322"/>
      <c r="ID61" s="322"/>
      <c r="IE61" s="322"/>
      <c r="IF61" s="334"/>
      <c r="IG61" s="322" t="s">
        <v>44</v>
      </c>
      <c r="IH61" s="322">
        <v>9557.66</v>
      </c>
      <c r="II61" s="322">
        <v>10008.209999999999</v>
      </c>
      <c r="IJ61" s="322">
        <v>11217.96</v>
      </c>
      <c r="IK61" s="322">
        <v>10923.36</v>
      </c>
      <c r="IL61" s="322">
        <v>11871.58</v>
      </c>
      <c r="IM61" s="322">
        <v>11089.65</v>
      </c>
      <c r="IN61" s="322">
        <v>12111.37</v>
      </c>
      <c r="IO61" s="322">
        <v>10254.34</v>
      </c>
      <c r="IP61" s="322">
        <v>14159.11</v>
      </c>
      <c r="IQ61" s="322">
        <v>0</v>
      </c>
      <c r="IR61" s="322">
        <v>0</v>
      </c>
      <c r="IS61" s="322">
        <v>0</v>
      </c>
      <c r="IT61" s="322">
        <v>0</v>
      </c>
      <c r="IU61" s="322">
        <v>0</v>
      </c>
      <c r="IV61" s="322"/>
      <c r="IW61" s="322"/>
      <c r="IX61" s="322"/>
      <c r="IY61" s="322"/>
      <c r="IZ61" s="322"/>
      <c r="JA61" s="322"/>
      <c r="JB61" s="322"/>
      <c r="JC61" s="322"/>
      <c r="JD61" s="334"/>
      <c r="JE61" s="322" t="s">
        <v>44</v>
      </c>
      <c r="JF61" s="322">
        <v>0</v>
      </c>
      <c r="JG61" s="322">
        <v>0</v>
      </c>
      <c r="JH61" s="322">
        <v>0</v>
      </c>
      <c r="JI61" s="322">
        <v>0</v>
      </c>
      <c r="JJ61" s="322">
        <v>0</v>
      </c>
      <c r="JK61" s="322">
        <v>11089.65</v>
      </c>
      <c r="JL61" s="322">
        <v>0</v>
      </c>
      <c r="JM61" s="322">
        <v>0</v>
      </c>
      <c r="JN61" s="322">
        <v>5724.54</v>
      </c>
      <c r="JO61" s="322">
        <v>5611.07</v>
      </c>
      <c r="JP61" s="322">
        <v>6918.42</v>
      </c>
      <c r="JQ61" s="322">
        <v>8175.12</v>
      </c>
      <c r="JR61" s="322">
        <v>5191.08</v>
      </c>
      <c r="JS61" s="322">
        <v>3980.19</v>
      </c>
      <c r="JT61" s="322"/>
      <c r="JU61" s="322">
        <v>6624.77</v>
      </c>
      <c r="JV61" s="322"/>
      <c r="JW61" s="322"/>
      <c r="JX61" s="322">
        <v>5300</v>
      </c>
      <c r="JY61" s="322"/>
      <c r="JZ61" s="322"/>
      <c r="KA61" s="322"/>
      <c r="KB61" s="334"/>
      <c r="KC61" s="322" t="s">
        <v>44</v>
      </c>
      <c r="KD61" s="322">
        <v>0</v>
      </c>
      <c r="KE61" s="322">
        <v>10008.209999999999</v>
      </c>
      <c r="KF61" s="322">
        <v>11217.96</v>
      </c>
      <c r="KG61" s="322">
        <v>10923.36</v>
      </c>
      <c r="KH61" s="322">
        <v>11871.58</v>
      </c>
      <c r="KI61" s="322">
        <v>11089.65</v>
      </c>
      <c r="KJ61" s="322">
        <v>12111.37</v>
      </c>
      <c r="KK61" s="322">
        <v>10254.34</v>
      </c>
      <c r="KL61" s="322">
        <v>15066.25</v>
      </c>
      <c r="KM61" s="322">
        <v>15552.59</v>
      </c>
      <c r="KN61" s="322">
        <v>15458.23</v>
      </c>
      <c r="KO61" s="322">
        <v>15795.47</v>
      </c>
      <c r="KP61" s="322">
        <v>15595.95</v>
      </c>
      <c r="KQ61" s="322">
        <v>18300.54</v>
      </c>
      <c r="KR61" s="322"/>
      <c r="KS61" s="322">
        <v>17644.150000000001</v>
      </c>
      <c r="KT61" s="322"/>
      <c r="KU61" s="322"/>
      <c r="KV61" s="322">
        <v>26594.309999999998</v>
      </c>
      <c r="KW61" s="322"/>
      <c r="KX61" s="322"/>
      <c r="KY61" s="322"/>
      <c r="KZ61" s="334"/>
      <c r="LA61" s="322" t="s">
        <v>44</v>
      </c>
      <c r="LB61" s="322">
        <v>124249.58</v>
      </c>
      <c r="LC61" s="322">
        <v>130106.73</v>
      </c>
      <c r="LD61" s="322">
        <v>112179.6</v>
      </c>
      <c r="LE61" s="322">
        <v>218467.20000000001</v>
      </c>
      <c r="LF61" s="322">
        <v>284917.92</v>
      </c>
      <c r="LG61" s="322">
        <v>155255.1</v>
      </c>
      <c r="LH61" s="322">
        <v>351229.73</v>
      </c>
      <c r="LI61" s="322">
        <v>451190.96</v>
      </c>
      <c r="LJ61" s="322">
        <v>406730.89</v>
      </c>
      <c r="LK61" s="322">
        <v>241053.59000000005</v>
      </c>
      <c r="LL61" s="322">
        <v>320528.87000000005</v>
      </c>
      <c r="LM61" s="322">
        <v>190406.63</v>
      </c>
      <c r="LN61" s="322">
        <v>162284.26</v>
      </c>
      <c r="LO61" s="322">
        <v>160231.53000000003</v>
      </c>
      <c r="LP61" s="322"/>
      <c r="LQ61" s="322">
        <v>1010.5</v>
      </c>
      <c r="LR61" s="322"/>
      <c r="LS61" s="322"/>
      <c r="LT61" s="322">
        <v>3091.32</v>
      </c>
      <c r="LU61" s="322"/>
      <c r="LV61" s="322"/>
      <c r="LW61" s="322"/>
      <c r="LX61" s="334"/>
      <c r="LY61" s="322" t="s">
        <v>44</v>
      </c>
      <c r="LZ61" s="322">
        <v>229383.84</v>
      </c>
      <c r="MA61" s="322">
        <v>230188.83</v>
      </c>
      <c r="MB61" s="322">
        <v>280449</v>
      </c>
      <c r="MC61" s="322">
        <v>207543.84</v>
      </c>
      <c r="MD61" s="322">
        <v>213688.44</v>
      </c>
      <c r="ME61" s="322">
        <v>221793</v>
      </c>
      <c r="MF61" s="322">
        <v>0</v>
      </c>
      <c r="MG61" s="322">
        <v>0</v>
      </c>
      <c r="MH61" s="322">
        <v>0</v>
      </c>
      <c r="MI61" s="322">
        <v>0</v>
      </c>
      <c r="MJ61" s="322">
        <v>0</v>
      </c>
      <c r="MK61" s="322">
        <v>0</v>
      </c>
      <c r="ML61" s="322">
        <v>0</v>
      </c>
      <c r="MM61" s="322">
        <v>0</v>
      </c>
      <c r="MN61" s="322"/>
      <c r="MO61" s="322">
        <v>0</v>
      </c>
      <c r="MP61" s="322"/>
      <c r="MQ61" s="322"/>
      <c r="MR61" s="322">
        <v>0</v>
      </c>
      <c r="MS61" s="322"/>
      <c r="MT61" s="322"/>
      <c r="MU61" s="322"/>
      <c r="MV61" s="334"/>
      <c r="MW61" s="322" t="s">
        <v>44</v>
      </c>
      <c r="MX61" s="322">
        <v>47788.3</v>
      </c>
      <c r="MY61" s="322">
        <v>80065.679999999993</v>
      </c>
      <c r="MZ61" s="322">
        <v>100961.64</v>
      </c>
      <c r="NA61" s="322">
        <v>87386.880000000005</v>
      </c>
      <c r="NB61" s="322">
        <v>71229.48</v>
      </c>
      <c r="NC61" s="322">
        <v>66537.899999999994</v>
      </c>
      <c r="ND61" s="322">
        <v>0</v>
      </c>
      <c r="NE61" s="322">
        <v>0</v>
      </c>
      <c r="NF61" s="322">
        <v>0</v>
      </c>
      <c r="NG61" s="322">
        <v>0</v>
      </c>
      <c r="NH61" s="322">
        <v>0</v>
      </c>
      <c r="NI61" s="322">
        <v>0</v>
      </c>
      <c r="NJ61" s="322">
        <v>0</v>
      </c>
      <c r="NK61" s="322">
        <v>0</v>
      </c>
      <c r="NL61" s="322"/>
      <c r="NM61" s="322">
        <v>0</v>
      </c>
      <c r="NN61" s="322"/>
      <c r="NO61" s="322"/>
      <c r="NP61" s="322">
        <v>0</v>
      </c>
      <c r="NQ61" s="322"/>
      <c r="NR61" s="322"/>
      <c r="NS61" s="322"/>
      <c r="NT61" s="334"/>
      <c r="NU61" s="322" t="s">
        <v>44</v>
      </c>
      <c r="NV61" s="322">
        <v>47788.3</v>
      </c>
      <c r="NW61" s="322">
        <v>50041.05</v>
      </c>
      <c r="NX61" s="322">
        <v>44871.839999999997</v>
      </c>
      <c r="NY61" s="322">
        <v>65540.160000000003</v>
      </c>
      <c r="NZ61" s="322">
        <v>59357.9</v>
      </c>
      <c r="OA61" s="322">
        <v>66537.899999999994</v>
      </c>
      <c r="OB61" s="322">
        <v>60556.85</v>
      </c>
      <c r="OC61" s="322">
        <v>71780.38</v>
      </c>
      <c r="OD61" s="322">
        <v>72397.039999999994</v>
      </c>
      <c r="OE61" s="322">
        <v>72397.039999999994</v>
      </c>
      <c r="OF61" s="322">
        <v>73456.19</v>
      </c>
      <c r="OG61" s="322">
        <v>105103.09999999999</v>
      </c>
      <c r="OH61" s="322">
        <v>103250.84000000001</v>
      </c>
      <c r="OI61" s="322">
        <v>127102.72</v>
      </c>
      <c r="OJ61" s="322"/>
      <c r="OK61" s="322">
        <v>123585.18000000001</v>
      </c>
      <c r="OL61" s="322"/>
      <c r="OM61" s="322"/>
      <c r="ON61" s="322">
        <v>142578.88</v>
      </c>
      <c r="OO61" s="322"/>
      <c r="OP61" s="322"/>
      <c r="OQ61" s="322"/>
      <c r="OR61" s="334"/>
      <c r="OS61" s="322" t="s">
        <v>44</v>
      </c>
      <c r="OT61" s="322">
        <v>66903.62</v>
      </c>
      <c r="OU61" s="322">
        <v>70057.47</v>
      </c>
      <c r="OV61" s="322">
        <v>67307.759999999995</v>
      </c>
      <c r="OW61" s="322">
        <v>43693.440000000002</v>
      </c>
      <c r="OX61" s="322">
        <v>11871.58</v>
      </c>
      <c r="OY61" s="322">
        <v>22179.3</v>
      </c>
      <c r="OZ61" s="322">
        <v>0</v>
      </c>
      <c r="PA61" s="322">
        <v>0</v>
      </c>
      <c r="PB61" s="322">
        <v>0</v>
      </c>
      <c r="PC61" s="322">
        <v>0</v>
      </c>
      <c r="PD61" s="322">
        <v>0</v>
      </c>
      <c r="PE61" s="322">
        <v>0</v>
      </c>
      <c r="PF61" s="322">
        <v>0</v>
      </c>
      <c r="PG61" s="322">
        <v>0</v>
      </c>
      <c r="PH61" s="322"/>
      <c r="PI61" s="322">
        <v>0</v>
      </c>
      <c r="PJ61" s="322"/>
      <c r="PK61" s="322"/>
      <c r="PL61" s="322">
        <v>0</v>
      </c>
      <c r="PM61" s="322"/>
      <c r="PN61" s="322"/>
      <c r="PO61" s="322"/>
      <c r="PP61" s="334"/>
      <c r="PQ61" s="322" t="s">
        <v>44</v>
      </c>
      <c r="PR61" s="322">
        <v>9557.66</v>
      </c>
      <c r="PS61" s="322">
        <v>10008.209999999999</v>
      </c>
      <c r="PT61" s="322">
        <v>11217.96</v>
      </c>
      <c r="PU61" s="322">
        <v>10923.36</v>
      </c>
      <c r="PV61" s="322">
        <v>11871.58</v>
      </c>
      <c r="PW61" s="322">
        <v>22179.3</v>
      </c>
      <c r="PX61" s="322">
        <v>12111.37</v>
      </c>
      <c r="PY61" s="322">
        <v>20508.68</v>
      </c>
      <c r="PZ61" s="322">
        <v>20342.240000000002</v>
      </c>
      <c r="QA61" s="322">
        <v>21534.949999999997</v>
      </c>
      <c r="QB61" s="322">
        <v>33289.949999999997</v>
      </c>
      <c r="QC61" s="322">
        <v>25246.09</v>
      </c>
      <c r="QD61" s="322">
        <v>30728.899999999998</v>
      </c>
      <c r="QE61" s="322">
        <v>29617.370000000003</v>
      </c>
      <c r="QF61" s="322"/>
      <c r="QG61" s="322">
        <v>32814.86</v>
      </c>
      <c r="QH61" s="322"/>
      <c r="QI61" s="322"/>
      <c r="QJ61" s="322">
        <v>30016.859999999997</v>
      </c>
      <c r="QK61" s="322"/>
      <c r="QL61" s="322"/>
      <c r="QM61" s="322"/>
      <c r="QN61" s="334"/>
      <c r="QO61" s="322" t="s">
        <v>44</v>
      </c>
      <c r="QP61" s="322">
        <v>0</v>
      </c>
      <c r="QQ61" s="322">
        <v>0</v>
      </c>
      <c r="QR61" s="322">
        <v>0</v>
      </c>
      <c r="QS61" s="322">
        <v>0</v>
      </c>
      <c r="QT61" s="322">
        <v>0</v>
      </c>
      <c r="QU61" s="322">
        <v>0</v>
      </c>
      <c r="QV61" s="322">
        <v>0</v>
      </c>
      <c r="QW61" s="322">
        <v>0</v>
      </c>
      <c r="QX61" s="322">
        <v>0</v>
      </c>
      <c r="QY61" s="322">
        <v>0</v>
      </c>
      <c r="QZ61" s="322">
        <v>0</v>
      </c>
      <c r="RA61" s="322">
        <v>0</v>
      </c>
      <c r="RB61" s="322">
        <v>0</v>
      </c>
      <c r="RC61" s="322">
        <v>0</v>
      </c>
      <c r="RD61" s="322"/>
      <c r="RE61" s="322">
        <v>0</v>
      </c>
      <c r="RF61" s="322"/>
      <c r="RG61" s="322"/>
      <c r="RH61" s="322">
        <v>0</v>
      </c>
      <c r="RI61" s="322"/>
      <c r="RJ61" s="322"/>
      <c r="RK61" s="322"/>
      <c r="RL61" s="334"/>
      <c r="RM61" s="322" t="s">
        <v>44</v>
      </c>
      <c r="RN61" s="322">
        <v>28672.98</v>
      </c>
      <c r="RO61" s="322">
        <v>60049.26</v>
      </c>
      <c r="RP61" s="322">
        <v>56089.8</v>
      </c>
      <c r="RQ61" s="322">
        <v>0</v>
      </c>
      <c r="RR61" s="322">
        <v>0</v>
      </c>
      <c r="RS61" s="322">
        <v>55448.25</v>
      </c>
      <c r="RT61" s="322">
        <v>242227.4</v>
      </c>
      <c r="RU61" s="322">
        <v>0</v>
      </c>
      <c r="RV61" s="322">
        <v>0</v>
      </c>
      <c r="RW61" s="322">
        <v>0</v>
      </c>
      <c r="RX61" s="322">
        <v>333913.49</v>
      </c>
      <c r="RY61" s="322">
        <v>125213.41</v>
      </c>
      <c r="RZ61" s="322">
        <v>100000</v>
      </c>
      <c r="SA61" s="322">
        <v>80016</v>
      </c>
      <c r="SB61" s="322"/>
      <c r="SC61" s="322">
        <v>138973.67000000001</v>
      </c>
      <c r="SD61" s="322"/>
      <c r="SE61" s="322"/>
      <c r="SF61" s="322">
        <v>235000</v>
      </c>
      <c r="SG61" s="322"/>
      <c r="SH61" s="322"/>
      <c r="SI61" s="322"/>
    </row>
    <row r="62" spans="1:503">
      <c r="A62" s="319" t="s">
        <v>45</v>
      </c>
      <c r="B62" s="319">
        <v>803865</v>
      </c>
      <c r="C62" s="319">
        <v>796941</v>
      </c>
      <c r="D62" s="319">
        <v>856415</v>
      </c>
      <c r="E62" s="319">
        <v>851027</v>
      </c>
      <c r="F62" s="319">
        <v>1025100</v>
      </c>
      <c r="G62" s="319">
        <v>1080281</v>
      </c>
      <c r="H62" s="319">
        <v>1087165</v>
      </c>
      <c r="I62" s="319">
        <v>964747</v>
      </c>
      <c r="J62" s="319">
        <v>1269419</v>
      </c>
      <c r="K62" s="319">
        <v>1272774</v>
      </c>
      <c r="L62" s="319">
        <v>1221547</v>
      </c>
      <c r="M62" s="319">
        <v>1212963</v>
      </c>
      <c r="N62" s="319">
        <v>1150992</v>
      </c>
      <c r="O62" s="319">
        <v>1161208</v>
      </c>
      <c r="P62" s="319">
        <v>1087726</v>
      </c>
      <c r="Q62" s="319">
        <v>992852</v>
      </c>
      <c r="R62" s="319"/>
      <c r="S62" s="322"/>
      <c r="T62" s="319"/>
      <c r="U62" s="319"/>
      <c r="V62" s="319"/>
      <c r="W62" s="319"/>
      <c r="X62" s="330"/>
      <c r="Y62" s="319" t="s">
        <v>45</v>
      </c>
      <c r="Z62" s="319">
        <v>40193.25</v>
      </c>
      <c r="AA62" s="319">
        <v>39847.050000000003</v>
      </c>
      <c r="AB62" s="319">
        <v>51384.9</v>
      </c>
      <c r="AC62" s="319">
        <v>51061.62</v>
      </c>
      <c r="AD62" s="319">
        <v>51255</v>
      </c>
      <c r="AE62" s="319">
        <v>54014.05</v>
      </c>
      <c r="AF62" s="319">
        <v>54014.05</v>
      </c>
      <c r="AG62" s="319">
        <v>57884.82</v>
      </c>
      <c r="AH62" s="319">
        <v>60764</v>
      </c>
      <c r="AI62" s="319">
        <v>71665</v>
      </c>
      <c r="AJ62" s="319">
        <v>71237</v>
      </c>
      <c r="AK62" s="319">
        <v>73790</v>
      </c>
      <c r="AL62" s="319">
        <v>76410</v>
      </c>
      <c r="AM62" s="319">
        <v>75871</v>
      </c>
      <c r="AN62" s="319">
        <v>74693</v>
      </c>
      <c r="AO62" s="319">
        <v>76100</v>
      </c>
      <c r="AP62" s="319"/>
      <c r="AQ62" s="322"/>
      <c r="AR62" s="319"/>
      <c r="AS62" s="319"/>
      <c r="AT62" s="319"/>
      <c r="AU62" s="319"/>
      <c r="AV62" s="334"/>
      <c r="AW62" s="319" t="s">
        <v>45</v>
      </c>
      <c r="AX62" s="319">
        <v>40193.25</v>
      </c>
      <c r="AY62" s="319">
        <v>47816.46</v>
      </c>
      <c r="AZ62" s="319">
        <v>51384.9</v>
      </c>
      <c r="BA62" s="319">
        <v>51061.619999999995</v>
      </c>
      <c r="BB62" s="319">
        <v>51255</v>
      </c>
      <c r="BC62" s="319">
        <v>54014.05</v>
      </c>
      <c r="BD62" s="319">
        <v>54358.25</v>
      </c>
      <c r="BE62" s="319">
        <v>48237.350000000006</v>
      </c>
      <c r="BF62" s="319">
        <v>59228</v>
      </c>
      <c r="BG62" s="319">
        <v>60709</v>
      </c>
      <c r="BH62" s="319">
        <v>62119</v>
      </c>
      <c r="BI62" s="319">
        <v>64838</v>
      </c>
      <c r="BJ62" s="319">
        <v>67067</v>
      </c>
      <c r="BK62" s="319">
        <v>68303</v>
      </c>
      <c r="BL62" s="319">
        <v>85400</v>
      </c>
      <c r="BM62" s="319">
        <v>80832</v>
      </c>
      <c r="BN62" s="319"/>
      <c r="BO62" s="322"/>
      <c r="BP62" s="319"/>
      <c r="BQ62" s="319"/>
      <c r="BR62" s="319"/>
      <c r="BS62" s="319"/>
      <c r="BT62" s="334"/>
      <c r="BU62" s="322" t="s">
        <v>45</v>
      </c>
      <c r="BV62" s="322">
        <v>32154.6</v>
      </c>
      <c r="BW62" s="322">
        <v>15938.82</v>
      </c>
      <c r="BX62" s="322">
        <v>34256.6</v>
      </c>
      <c r="BY62" s="322">
        <v>8510.27</v>
      </c>
      <c r="BZ62" s="322">
        <v>51255</v>
      </c>
      <c r="CA62" s="322">
        <v>21605.62</v>
      </c>
      <c r="CB62" s="322">
        <v>43486.6</v>
      </c>
      <c r="CC62" s="322">
        <v>19294.939999999999</v>
      </c>
      <c r="CD62" s="322">
        <v>48090</v>
      </c>
      <c r="CE62" s="322">
        <v>19563</v>
      </c>
      <c r="CF62" s="322">
        <v>72547</v>
      </c>
      <c r="CG62" s="322">
        <v>26887</v>
      </c>
      <c r="CH62" s="322">
        <v>86735</v>
      </c>
      <c r="CI62" s="322">
        <v>29798</v>
      </c>
      <c r="CJ62" s="322">
        <v>69734</v>
      </c>
      <c r="CK62" s="322">
        <v>33526</v>
      </c>
      <c r="CL62" s="322"/>
      <c r="CM62" s="322"/>
      <c r="CN62" s="322"/>
      <c r="CO62" s="322"/>
      <c r="CP62" s="322"/>
      <c r="CQ62" s="322"/>
      <c r="CR62" s="334"/>
      <c r="CS62" s="322" t="s">
        <v>45</v>
      </c>
      <c r="CT62" s="322">
        <v>40193.25</v>
      </c>
      <c r="CU62" s="322">
        <v>39847.050000000003</v>
      </c>
      <c r="CV62" s="322">
        <v>34256.6</v>
      </c>
      <c r="CW62" s="322">
        <v>42551.35</v>
      </c>
      <c r="CX62" s="322">
        <v>51255</v>
      </c>
      <c r="CY62" s="322">
        <v>54014.05</v>
      </c>
      <c r="CZ62" s="322">
        <v>76101.55</v>
      </c>
      <c r="DA62" s="322">
        <v>57884.82</v>
      </c>
      <c r="DB62" s="322">
        <v>66606</v>
      </c>
      <c r="DC62" s="322">
        <v>60301</v>
      </c>
      <c r="DD62" s="322">
        <v>78310</v>
      </c>
      <c r="DE62" s="322">
        <v>57335</v>
      </c>
      <c r="DF62" s="322">
        <v>56103</v>
      </c>
      <c r="DG62" s="322">
        <v>53734</v>
      </c>
      <c r="DH62" s="322">
        <v>71636</v>
      </c>
      <c r="DI62" s="322">
        <v>70309</v>
      </c>
      <c r="DJ62" s="322"/>
      <c r="DK62" s="322"/>
      <c r="DL62" s="322"/>
      <c r="DM62" s="322"/>
      <c r="DN62" s="322"/>
      <c r="DO62" s="322"/>
      <c r="DP62" s="334"/>
      <c r="DQ62" s="322" t="s">
        <v>45</v>
      </c>
      <c r="DR62" s="322">
        <v>0</v>
      </c>
      <c r="DS62" s="322">
        <v>79694.100000000006</v>
      </c>
      <c r="DT62" s="322">
        <v>77077.350000000006</v>
      </c>
      <c r="DU62" s="322">
        <v>76592.429999999993</v>
      </c>
      <c r="DV62" s="322">
        <v>92259</v>
      </c>
      <c r="DW62" s="322">
        <v>97225.29</v>
      </c>
      <c r="DX62" s="322">
        <v>130459.8</v>
      </c>
      <c r="DY62" s="322">
        <v>125417.11</v>
      </c>
      <c r="DZ62" s="322">
        <v>137569</v>
      </c>
      <c r="EA62" s="322">
        <v>148868</v>
      </c>
      <c r="EB62" s="322">
        <v>112375</v>
      </c>
      <c r="EC62" s="322">
        <v>103199</v>
      </c>
      <c r="ED62" s="322">
        <v>83890</v>
      </c>
      <c r="EE62" s="322">
        <v>93061</v>
      </c>
      <c r="EF62" s="322">
        <v>63109</v>
      </c>
      <c r="EG62" s="322">
        <v>56929</v>
      </c>
      <c r="EH62" s="322"/>
      <c r="EI62" s="322"/>
      <c r="EJ62" s="322"/>
      <c r="EK62" s="322"/>
      <c r="EL62" s="322"/>
      <c r="EM62" s="322"/>
      <c r="EN62" s="334"/>
      <c r="EO62" s="322" t="s">
        <v>45</v>
      </c>
      <c r="EP62" s="322">
        <v>16077.3</v>
      </c>
      <c r="EQ62" s="322">
        <v>15938.82</v>
      </c>
      <c r="ER62" s="322">
        <v>17128.3</v>
      </c>
      <c r="ES62" s="322">
        <v>25530.81</v>
      </c>
      <c r="ET62" s="322">
        <v>20502</v>
      </c>
      <c r="EU62" s="322">
        <v>21605.62</v>
      </c>
      <c r="EV62" s="322">
        <v>21743.3</v>
      </c>
      <c r="EW62" s="322">
        <v>28942.41</v>
      </c>
      <c r="EX62" s="322">
        <v>25140</v>
      </c>
      <c r="EY62" s="322">
        <v>29225</v>
      </c>
      <c r="EZ62" s="322">
        <v>27861</v>
      </c>
      <c r="FA62" s="322">
        <v>39720</v>
      </c>
      <c r="FB62" s="322">
        <v>40392</v>
      </c>
      <c r="FC62" s="322">
        <v>40502</v>
      </c>
      <c r="FD62" s="322">
        <v>39700</v>
      </c>
      <c r="FE62" s="322">
        <v>41058</v>
      </c>
      <c r="FF62" s="322"/>
      <c r="FG62" s="322"/>
      <c r="FH62" s="322"/>
      <c r="FI62" s="322"/>
      <c r="FJ62" s="322"/>
      <c r="FK62" s="322"/>
      <c r="FL62" s="334"/>
      <c r="FM62" s="322" t="s">
        <v>45</v>
      </c>
      <c r="FN62" s="322">
        <v>48231.9</v>
      </c>
      <c r="FO62" s="322">
        <v>47816.46</v>
      </c>
      <c r="FP62" s="322">
        <v>51384.9</v>
      </c>
      <c r="FQ62" s="322">
        <v>76592.429999999993</v>
      </c>
      <c r="FR62" s="322">
        <v>61506</v>
      </c>
      <c r="FS62" s="322">
        <v>54014.05</v>
      </c>
      <c r="FT62" s="322">
        <v>65229.9</v>
      </c>
      <c r="FU62" s="322">
        <v>57884.82</v>
      </c>
      <c r="FV62" s="322">
        <v>63052</v>
      </c>
      <c r="FW62" s="322">
        <v>62638</v>
      </c>
      <c r="FX62" s="322">
        <v>66365</v>
      </c>
      <c r="FY62" s="322">
        <v>69401</v>
      </c>
      <c r="FZ62" s="322">
        <v>65449</v>
      </c>
      <c r="GA62" s="322">
        <v>67502</v>
      </c>
      <c r="GB62" s="322">
        <v>74474</v>
      </c>
      <c r="GC62" s="322">
        <v>73810</v>
      </c>
      <c r="GD62" s="322"/>
      <c r="GE62" s="322"/>
      <c r="GF62" s="340"/>
      <c r="GG62" s="704"/>
      <c r="GH62" s="704"/>
      <c r="GI62" s="704"/>
      <c r="GJ62" s="334"/>
      <c r="GK62" s="322" t="s">
        <v>45</v>
      </c>
      <c r="GL62" s="322">
        <v>0</v>
      </c>
      <c r="GM62" s="322">
        <v>0</v>
      </c>
      <c r="GN62" s="322">
        <v>0</v>
      </c>
      <c r="GO62" s="322">
        <v>0</v>
      </c>
      <c r="GP62" s="322">
        <v>0</v>
      </c>
      <c r="GQ62" s="322">
        <v>0</v>
      </c>
      <c r="GR62" s="322">
        <v>0</v>
      </c>
      <c r="GS62" s="322">
        <v>0</v>
      </c>
      <c r="GT62" s="322">
        <v>0</v>
      </c>
      <c r="GU62" s="322">
        <v>0</v>
      </c>
      <c r="GV62" s="322">
        <v>0</v>
      </c>
      <c r="GW62" s="322">
        <v>0</v>
      </c>
      <c r="GX62" s="322">
        <v>0</v>
      </c>
      <c r="GY62" s="322">
        <v>0</v>
      </c>
      <c r="GZ62" s="322">
        <v>0</v>
      </c>
      <c r="HA62" s="322">
        <v>0</v>
      </c>
      <c r="HB62" s="322"/>
      <c r="HC62" s="322"/>
      <c r="HD62" s="322"/>
      <c r="HE62" s="322"/>
      <c r="HF62" s="322"/>
      <c r="HG62" s="322"/>
      <c r="HH62" s="334"/>
      <c r="HI62" s="322" t="s">
        <v>45</v>
      </c>
      <c r="HJ62" s="322">
        <v>16077.3</v>
      </c>
      <c r="HK62" s="322">
        <v>15938.82</v>
      </c>
      <c r="HL62" s="322">
        <v>17128.3</v>
      </c>
      <c r="HM62" s="322">
        <v>17020.54</v>
      </c>
      <c r="HN62" s="322">
        <v>20502</v>
      </c>
      <c r="HO62" s="322">
        <v>21605.62</v>
      </c>
      <c r="HP62" s="322">
        <v>21743.3</v>
      </c>
      <c r="HQ62" s="322">
        <v>19294.939999999999</v>
      </c>
      <c r="HR62" s="322">
        <v>24494</v>
      </c>
      <c r="HS62" s="322">
        <v>25933</v>
      </c>
      <c r="HT62" s="322">
        <v>26069</v>
      </c>
      <c r="HU62" s="322">
        <v>27428</v>
      </c>
      <c r="HV62" s="322">
        <v>29912</v>
      </c>
      <c r="HW62" s="322">
        <v>27551</v>
      </c>
      <c r="HX62" s="322">
        <v>33120</v>
      </c>
      <c r="HY62" s="322">
        <v>36273</v>
      </c>
      <c r="HZ62" s="322"/>
      <c r="IA62" s="322"/>
      <c r="IB62" s="322"/>
      <c r="IC62" s="322"/>
      <c r="ID62" s="322"/>
      <c r="IE62" s="322"/>
      <c r="IF62" s="334"/>
      <c r="IG62" s="322" t="s">
        <v>45</v>
      </c>
      <c r="IH62" s="322">
        <v>8038.65</v>
      </c>
      <c r="II62" s="322">
        <v>7969.41</v>
      </c>
      <c r="IJ62" s="322">
        <v>8564.15</v>
      </c>
      <c r="IK62" s="322">
        <v>8510.27</v>
      </c>
      <c r="IL62" s="322">
        <v>10251</v>
      </c>
      <c r="IM62" s="322">
        <v>10802.81</v>
      </c>
      <c r="IN62" s="322">
        <v>10871.65</v>
      </c>
      <c r="IO62" s="322">
        <v>9647.4699999999993</v>
      </c>
      <c r="IP62" s="322">
        <v>7921</v>
      </c>
      <c r="IQ62" s="322">
        <v>5504</v>
      </c>
      <c r="IR62" s="322">
        <v>6706</v>
      </c>
      <c r="IS62" s="322">
        <v>8886</v>
      </c>
      <c r="IT62" s="322">
        <v>9137</v>
      </c>
      <c r="IU62" s="322">
        <v>5594</v>
      </c>
      <c r="IV62" s="322"/>
      <c r="IW62" s="322"/>
      <c r="IX62" s="322"/>
      <c r="IY62" s="322"/>
      <c r="IZ62" s="322"/>
      <c r="JA62" s="322"/>
      <c r="JB62" s="322"/>
      <c r="JC62" s="322"/>
      <c r="JD62" s="334"/>
      <c r="JE62" s="322" t="s">
        <v>45</v>
      </c>
      <c r="JF62" s="322">
        <v>8038.65</v>
      </c>
      <c r="JG62" s="322">
        <v>0</v>
      </c>
      <c r="JH62" s="322">
        <v>0</v>
      </c>
      <c r="JI62" s="322">
        <v>8510.27</v>
      </c>
      <c r="JJ62" s="322">
        <v>10251</v>
      </c>
      <c r="JK62" s="322">
        <v>10802.81</v>
      </c>
      <c r="JL62" s="322">
        <v>0</v>
      </c>
      <c r="JM62" s="322">
        <v>0</v>
      </c>
      <c r="JN62" s="322">
        <v>7051</v>
      </c>
      <c r="JO62" s="322">
        <v>12346</v>
      </c>
      <c r="JP62" s="322">
        <v>11839</v>
      </c>
      <c r="JQ62" s="322">
        <v>8657</v>
      </c>
      <c r="JR62" s="322">
        <v>5552</v>
      </c>
      <c r="JS62" s="322">
        <v>24607</v>
      </c>
      <c r="JT62" s="322">
        <v>17174</v>
      </c>
      <c r="JU62" s="322">
        <v>12910</v>
      </c>
      <c r="JV62" s="322"/>
      <c r="JW62" s="322"/>
      <c r="JX62" s="322"/>
      <c r="JY62" s="322"/>
      <c r="JZ62" s="322"/>
      <c r="KA62" s="322"/>
      <c r="KB62" s="334"/>
      <c r="KC62" s="322" t="s">
        <v>45</v>
      </c>
      <c r="KD62" s="322">
        <v>8038.65</v>
      </c>
      <c r="KE62" s="322">
        <v>7969.41</v>
      </c>
      <c r="KF62" s="322">
        <v>8564.15</v>
      </c>
      <c r="KG62" s="322">
        <v>8510.27</v>
      </c>
      <c r="KH62" s="322">
        <v>10251</v>
      </c>
      <c r="KI62" s="322">
        <v>21605.62</v>
      </c>
      <c r="KJ62" s="322">
        <v>10871.65</v>
      </c>
      <c r="KK62" s="322">
        <v>19294.939999999999</v>
      </c>
      <c r="KL62" s="322">
        <v>17247</v>
      </c>
      <c r="KM62" s="322">
        <v>22486</v>
      </c>
      <c r="KN62" s="322">
        <v>22352</v>
      </c>
      <c r="KO62" s="322">
        <v>23581</v>
      </c>
      <c r="KP62" s="322">
        <v>25889</v>
      </c>
      <c r="KQ62" s="322">
        <v>27716</v>
      </c>
      <c r="KR62" s="322">
        <v>30118</v>
      </c>
      <c r="KS62" s="322">
        <v>30696</v>
      </c>
      <c r="KT62" s="322"/>
      <c r="KU62" s="322"/>
      <c r="KV62" s="322"/>
      <c r="KW62" s="322"/>
      <c r="KX62" s="322"/>
      <c r="KY62" s="322"/>
      <c r="KZ62" s="334"/>
      <c r="LA62" s="322" t="s">
        <v>45</v>
      </c>
      <c r="LB62" s="322">
        <v>200966.25</v>
      </c>
      <c r="LC62" s="322">
        <v>103602.33</v>
      </c>
      <c r="LD62" s="322">
        <v>119898.1</v>
      </c>
      <c r="LE62" s="322">
        <v>127654.05</v>
      </c>
      <c r="LF62" s="322">
        <v>143514</v>
      </c>
      <c r="LG62" s="322">
        <v>226859.01</v>
      </c>
      <c r="LH62" s="322">
        <v>152203.1</v>
      </c>
      <c r="LI62" s="322">
        <v>192949.4</v>
      </c>
      <c r="LJ62" s="322">
        <v>442294</v>
      </c>
      <c r="LK62" s="322">
        <v>210446</v>
      </c>
      <c r="LL62" s="322">
        <v>175216</v>
      </c>
      <c r="LM62" s="322">
        <v>190677</v>
      </c>
      <c r="LN62" s="322">
        <v>198345</v>
      </c>
      <c r="LO62" s="322">
        <v>160142</v>
      </c>
      <c r="LP62" s="322">
        <v>144961</v>
      </c>
      <c r="LQ62" s="322">
        <v>128094</v>
      </c>
      <c r="LR62" s="322"/>
      <c r="LS62" s="322"/>
      <c r="LT62" s="322"/>
      <c r="LU62" s="322"/>
      <c r="LV62" s="322"/>
      <c r="LW62" s="322"/>
      <c r="LX62" s="334"/>
      <c r="LY62" s="322" t="s">
        <v>45</v>
      </c>
      <c r="LZ62" s="322">
        <v>160773</v>
      </c>
      <c r="MA62" s="322">
        <v>167357.60999999999</v>
      </c>
      <c r="MB62" s="322">
        <v>171283</v>
      </c>
      <c r="MC62" s="322">
        <v>161695.13</v>
      </c>
      <c r="MD62" s="322">
        <v>235773</v>
      </c>
      <c r="ME62" s="322">
        <v>172844.96</v>
      </c>
      <c r="MF62" s="322">
        <v>184818.05</v>
      </c>
      <c r="MG62" s="322">
        <v>106122.17</v>
      </c>
      <c r="MH62" s="322">
        <v>86145</v>
      </c>
      <c r="MI62" s="322">
        <v>141567</v>
      </c>
      <c r="MJ62" s="322">
        <v>99323</v>
      </c>
      <c r="MK62" s="322">
        <v>116397</v>
      </c>
      <c r="ML62" s="322">
        <v>121748</v>
      </c>
      <c r="MM62" s="322">
        <v>148330</v>
      </c>
      <c r="MN62" s="322">
        <v>49867</v>
      </c>
      <c r="MO62" s="322">
        <v>40267</v>
      </c>
      <c r="MP62" s="322"/>
      <c r="MQ62" s="322"/>
      <c r="MR62" s="322"/>
      <c r="MS62" s="322"/>
      <c r="MT62" s="322"/>
      <c r="MU62" s="322"/>
      <c r="MV62" s="334"/>
      <c r="MW62" s="322" t="s">
        <v>45</v>
      </c>
      <c r="MX62" s="322">
        <v>64309.2</v>
      </c>
      <c r="MY62" s="322">
        <v>95632.92</v>
      </c>
      <c r="MZ62" s="322">
        <v>111333.95</v>
      </c>
      <c r="NA62" s="322">
        <v>102123.24</v>
      </c>
      <c r="NB62" s="322">
        <v>123012</v>
      </c>
      <c r="NC62" s="322">
        <v>140436.53</v>
      </c>
      <c r="ND62" s="322">
        <v>141331.45000000001</v>
      </c>
      <c r="NE62" s="322">
        <v>115769.64</v>
      </c>
      <c r="NF62" s="322">
        <v>127595</v>
      </c>
      <c r="NG62" s="322">
        <v>134295</v>
      </c>
      <c r="NH62" s="322">
        <v>135934</v>
      </c>
      <c r="NI62" s="322">
        <v>147740</v>
      </c>
      <c r="NJ62" s="322">
        <v>110023</v>
      </c>
      <c r="NK62" s="322">
        <v>123668</v>
      </c>
      <c r="NL62" s="322">
        <v>0</v>
      </c>
      <c r="NM62" s="322">
        <v>0</v>
      </c>
      <c r="NN62" s="322"/>
      <c r="NO62" s="322"/>
      <c r="NP62" s="322"/>
      <c r="NQ62" s="322"/>
      <c r="NR62" s="322"/>
      <c r="NS62" s="322"/>
      <c r="NT62" s="334"/>
      <c r="NU62" s="322" t="s">
        <v>45</v>
      </c>
      <c r="NV62" s="322">
        <v>40193.25</v>
      </c>
      <c r="NW62" s="322">
        <v>39847.050000000003</v>
      </c>
      <c r="NX62" s="322">
        <v>42820.75</v>
      </c>
      <c r="NY62" s="322">
        <v>51061.62</v>
      </c>
      <c r="NZ62" s="322">
        <v>51255</v>
      </c>
      <c r="OA62" s="322">
        <v>54014.05</v>
      </c>
      <c r="OB62" s="322">
        <v>54358.25</v>
      </c>
      <c r="OC62" s="322">
        <v>67532.289999999994</v>
      </c>
      <c r="OD62" s="322">
        <v>61874</v>
      </c>
      <c r="OE62" s="322">
        <v>68192</v>
      </c>
      <c r="OF62" s="322">
        <v>80350</v>
      </c>
      <c r="OG62" s="322">
        <v>77864</v>
      </c>
      <c r="OH62" s="322">
        <v>82989</v>
      </c>
      <c r="OI62" s="322">
        <v>88354</v>
      </c>
      <c r="OJ62" s="322">
        <v>85135</v>
      </c>
      <c r="OK62" s="322">
        <v>85679</v>
      </c>
      <c r="OL62" s="322"/>
      <c r="OM62" s="322"/>
      <c r="ON62" s="322"/>
      <c r="OO62" s="322"/>
      <c r="OP62" s="322"/>
      <c r="OQ62" s="322"/>
      <c r="OR62" s="334"/>
      <c r="OS62" s="322" t="s">
        <v>45</v>
      </c>
      <c r="OT62" s="322">
        <v>16077.3</v>
      </c>
      <c r="OU62" s="322">
        <v>31877.64</v>
      </c>
      <c r="OV62" s="322">
        <v>25692.45</v>
      </c>
      <c r="OW62" s="322">
        <v>17020.54</v>
      </c>
      <c r="OX62" s="322">
        <v>20502</v>
      </c>
      <c r="OY62" s="322">
        <v>21605.62</v>
      </c>
      <c r="OZ62" s="322">
        <v>21743.3</v>
      </c>
      <c r="PA62" s="322">
        <v>19294.939999999999</v>
      </c>
      <c r="PB62" s="322">
        <v>18660</v>
      </c>
      <c r="PC62" s="322">
        <v>21626</v>
      </c>
      <c r="PD62" s="322">
        <v>45998</v>
      </c>
      <c r="PE62" s="322">
        <v>21671</v>
      </c>
      <c r="PF62" s="322">
        <v>19406</v>
      </c>
      <c r="PG62" s="322">
        <v>28818</v>
      </c>
      <c r="PH62" s="322">
        <v>24468</v>
      </c>
      <c r="PI62" s="322">
        <v>27968</v>
      </c>
      <c r="PJ62" s="322"/>
      <c r="PK62" s="322"/>
      <c r="PL62" s="322"/>
      <c r="PM62" s="322"/>
      <c r="PN62" s="322"/>
      <c r="PO62" s="322"/>
      <c r="PP62" s="334"/>
      <c r="PQ62" s="322" t="s">
        <v>45</v>
      </c>
      <c r="PR62" s="322">
        <v>8038.65</v>
      </c>
      <c r="PS62" s="322">
        <v>7969.41</v>
      </c>
      <c r="PT62" s="322">
        <v>8564.15</v>
      </c>
      <c r="PU62" s="322">
        <v>8510.27</v>
      </c>
      <c r="PV62" s="322">
        <v>10251</v>
      </c>
      <c r="PW62" s="322">
        <v>10802.81</v>
      </c>
      <c r="PX62" s="322">
        <v>10871.65</v>
      </c>
      <c r="PY62" s="322">
        <v>9647.4699999999993</v>
      </c>
      <c r="PZ62" s="322">
        <v>9004</v>
      </c>
      <c r="QA62" s="322">
        <v>15652</v>
      </c>
      <c r="QB62" s="322">
        <v>16929</v>
      </c>
      <c r="QC62" s="322">
        <v>14849</v>
      </c>
      <c r="QD62" s="322">
        <v>12494</v>
      </c>
      <c r="QE62" s="322">
        <v>15263</v>
      </c>
      <c r="QF62" s="322">
        <v>17360</v>
      </c>
      <c r="QG62" s="322">
        <v>17701</v>
      </c>
      <c r="QH62" s="322"/>
      <c r="QI62" s="322"/>
      <c r="QJ62" s="322"/>
      <c r="QK62" s="322"/>
      <c r="QL62" s="322"/>
      <c r="QM62" s="322"/>
      <c r="QN62" s="334"/>
      <c r="QO62" s="322" t="s">
        <v>45</v>
      </c>
      <c r="QP62" s="322">
        <v>8038.65</v>
      </c>
      <c r="QQ62" s="322">
        <v>7969.41</v>
      </c>
      <c r="QR62" s="322">
        <v>8564.15</v>
      </c>
      <c r="QS62" s="322">
        <v>8510.27</v>
      </c>
      <c r="QT62" s="322">
        <v>10251</v>
      </c>
      <c r="QU62" s="322">
        <v>10802.81</v>
      </c>
      <c r="QV62" s="322">
        <v>10871.65</v>
      </c>
      <c r="QW62" s="322">
        <v>9647.4699999999993</v>
      </c>
      <c r="QX62" s="322">
        <v>6685</v>
      </c>
      <c r="QY62" s="322">
        <v>8518</v>
      </c>
      <c r="QZ62" s="322">
        <v>10017</v>
      </c>
      <c r="RA62" s="322">
        <v>10623</v>
      </c>
      <c r="RB62" s="322">
        <v>9790</v>
      </c>
      <c r="RC62" s="322">
        <v>12488</v>
      </c>
      <c r="RD62" s="322">
        <v>13201</v>
      </c>
      <c r="RE62" s="322">
        <v>15781</v>
      </c>
      <c r="RF62" s="322"/>
      <c r="RG62" s="322"/>
      <c r="RH62" s="322"/>
      <c r="RI62" s="322"/>
      <c r="RJ62" s="322"/>
      <c r="RK62" s="322"/>
      <c r="RL62" s="334"/>
      <c r="RM62" s="322" t="s">
        <v>45</v>
      </c>
      <c r="RN62" s="322">
        <v>48231.9</v>
      </c>
      <c r="RO62" s="322">
        <v>23908.23</v>
      </c>
      <c r="RP62" s="322">
        <v>17128.3</v>
      </c>
      <c r="RQ62" s="322">
        <v>0</v>
      </c>
      <c r="RR62" s="322">
        <v>0</v>
      </c>
      <c r="RS62" s="322">
        <v>21605.62</v>
      </c>
      <c r="RT62" s="322">
        <v>21743.3</v>
      </c>
      <c r="RU62" s="322">
        <v>0</v>
      </c>
      <c r="RV62" s="322">
        <v>0</v>
      </c>
      <c r="RW62" s="322">
        <v>153240</v>
      </c>
      <c r="RX62" s="322">
        <v>100000</v>
      </c>
      <c r="RY62" s="322">
        <v>129420</v>
      </c>
      <c r="RZ62" s="322">
        <v>49661</v>
      </c>
      <c r="SA62" s="322">
        <v>69906</v>
      </c>
      <c r="SB62" s="322">
        <v>193576</v>
      </c>
      <c r="SC62" s="322">
        <v>164919</v>
      </c>
      <c r="SD62" s="322"/>
      <c r="SE62" s="322"/>
      <c r="SF62" s="322"/>
      <c r="SG62" s="322"/>
      <c r="SH62" s="322"/>
      <c r="SI62" s="322"/>
    </row>
    <row r="63" spans="1:503">
      <c r="A63" s="319" t="s">
        <v>46</v>
      </c>
      <c r="B63" s="319">
        <v>2826519</v>
      </c>
      <c r="C63" s="319">
        <v>2894961</v>
      </c>
      <c r="D63" s="319">
        <v>2995516</v>
      </c>
      <c r="E63" s="319">
        <v>2995913</v>
      </c>
      <c r="F63" s="319">
        <v>3281363</v>
      </c>
      <c r="G63" s="319">
        <v>3472870</v>
      </c>
      <c r="H63" s="319">
        <v>3351598</v>
      </c>
      <c r="I63" s="319">
        <v>4089325</v>
      </c>
      <c r="J63" s="319">
        <v>4114110.209999999</v>
      </c>
      <c r="K63" s="319">
        <v>4209986.45</v>
      </c>
      <c r="L63" s="319">
        <v>4328638.51</v>
      </c>
      <c r="M63" s="319">
        <v>4659341.13</v>
      </c>
      <c r="N63" s="319">
        <v>5246188.129999999</v>
      </c>
      <c r="O63" s="319"/>
      <c r="P63" s="319"/>
      <c r="Q63" s="319"/>
      <c r="R63" s="319"/>
      <c r="S63" s="322"/>
      <c r="T63" s="319"/>
      <c r="U63" s="319"/>
      <c r="V63" s="319"/>
      <c r="W63" s="319"/>
      <c r="X63" s="330"/>
      <c r="Y63" s="319" t="s">
        <v>46</v>
      </c>
      <c r="Z63" s="319">
        <v>113060.76</v>
      </c>
      <c r="AA63" s="319">
        <v>86848.83</v>
      </c>
      <c r="AB63" s="319">
        <v>89865.48</v>
      </c>
      <c r="AC63" s="319">
        <v>89877.39</v>
      </c>
      <c r="AD63" s="319">
        <v>98440.89</v>
      </c>
      <c r="AE63" s="319">
        <v>104186.1</v>
      </c>
      <c r="AF63" s="319">
        <v>138914.79999999999</v>
      </c>
      <c r="AG63" s="319">
        <v>122679.75</v>
      </c>
      <c r="AH63" s="319">
        <v>142082.88999999998</v>
      </c>
      <c r="AI63" s="319">
        <v>150506.87999999998</v>
      </c>
      <c r="AJ63" s="319">
        <v>158988.87999999998</v>
      </c>
      <c r="AK63" s="319">
        <v>164718.03</v>
      </c>
      <c r="AL63" s="319">
        <v>175701.68</v>
      </c>
      <c r="AM63" s="319"/>
      <c r="AN63" s="319"/>
      <c r="AO63" s="319"/>
      <c r="AP63" s="319"/>
      <c r="AQ63" s="322"/>
      <c r="AR63" s="319"/>
      <c r="AS63" s="319"/>
      <c r="AT63" s="319"/>
      <c r="AU63" s="319"/>
      <c r="AV63" s="334"/>
      <c r="AW63" s="319" t="s">
        <v>46</v>
      </c>
      <c r="AX63" s="319">
        <v>113060.76000000001</v>
      </c>
      <c r="AY63" s="319">
        <v>115798.44</v>
      </c>
      <c r="AZ63" s="319">
        <v>119820.64</v>
      </c>
      <c r="BA63" s="319">
        <v>149795.65</v>
      </c>
      <c r="BB63" s="319">
        <v>164068.15000000002</v>
      </c>
      <c r="BC63" s="319">
        <v>173643.5</v>
      </c>
      <c r="BD63" s="319">
        <v>167579.90000000002</v>
      </c>
      <c r="BE63" s="319">
        <v>204466.25</v>
      </c>
      <c r="BF63" s="319">
        <v>189327.13999999998</v>
      </c>
      <c r="BG63" s="319">
        <v>188767.55000000002</v>
      </c>
      <c r="BH63" s="319">
        <v>204109.3</v>
      </c>
      <c r="BI63" s="319">
        <v>216816.62</v>
      </c>
      <c r="BJ63" s="319">
        <v>226759.45</v>
      </c>
      <c r="BK63" s="319"/>
      <c r="BL63" s="319"/>
      <c r="BM63" s="319"/>
      <c r="BN63" s="319"/>
      <c r="BO63" s="322"/>
      <c r="BP63" s="319"/>
      <c r="BQ63" s="319"/>
      <c r="BR63" s="319"/>
      <c r="BS63" s="319"/>
      <c r="BT63" s="334"/>
      <c r="BU63" s="322" t="s">
        <v>46</v>
      </c>
      <c r="BV63" s="322">
        <v>84795.57</v>
      </c>
      <c r="BW63" s="322">
        <v>57899.22</v>
      </c>
      <c r="BX63" s="322">
        <v>89865.48</v>
      </c>
      <c r="BY63" s="322">
        <v>59918.26</v>
      </c>
      <c r="BZ63" s="322">
        <v>131254.51999999999</v>
      </c>
      <c r="CA63" s="322">
        <v>69457.399999999994</v>
      </c>
      <c r="CB63" s="322">
        <v>100547.94</v>
      </c>
      <c r="CC63" s="322">
        <v>81786.5</v>
      </c>
      <c r="CD63" s="322">
        <v>240365.95</v>
      </c>
      <c r="CE63" s="322">
        <v>109395.55</v>
      </c>
      <c r="CF63" s="322">
        <v>142061.35</v>
      </c>
      <c r="CG63" s="322">
        <v>95005.79</v>
      </c>
      <c r="CH63" s="322">
        <v>180665.66</v>
      </c>
      <c r="CI63" s="322"/>
      <c r="CJ63" s="322"/>
      <c r="CK63" s="322"/>
      <c r="CL63" s="322"/>
      <c r="CM63" s="322"/>
      <c r="CN63" s="322"/>
      <c r="CO63" s="322"/>
      <c r="CP63" s="322"/>
      <c r="CQ63" s="322"/>
      <c r="CR63" s="334"/>
      <c r="CS63" s="322" t="s">
        <v>46</v>
      </c>
      <c r="CT63" s="322">
        <v>141325.95000000001</v>
      </c>
      <c r="CU63" s="322">
        <v>115798.44</v>
      </c>
      <c r="CV63" s="322">
        <v>119820.64</v>
      </c>
      <c r="CW63" s="322">
        <v>119836.52</v>
      </c>
      <c r="CX63" s="322">
        <v>131254.51999999999</v>
      </c>
      <c r="CY63" s="322">
        <v>138914.79999999999</v>
      </c>
      <c r="CZ63" s="322">
        <v>134063.92000000001</v>
      </c>
      <c r="DA63" s="322">
        <v>163573</v>
      </c>
      <c r="DB63" s="322">
        <v>155767.79</v>
      </c>
      <c r="DC63" s="322">
        <v>174097.79</v>
      </c>
      <c r="DD63" s="322">
        <v>166166.52000000002</v>
      </c>
      <c r="DE63" s="322">
        <v>173195.75</v>
      </c>
      <c r="DF63" s="322">
        <v>289449.15999999997</v>
      </c>
      <c r="DG63" s="322"/>
      <c r="DH63" s="322"/>
      <c r="DI63" s="322"/>
      <c r="DJ63" s="322"/>
      <c r="DK63" s="322"/>
      <c r="DL63" s="322"/>
      <c r="DM63" s="322"/>
      <c r="DN63" s="322"/>
      <c r="DO63" s="322"/>
      <c r="DP63" s="334"/>
      <c r="DQ63" s="322" t="s">
        <v>46</v>
      </c>
      <c r="DR63" s="322">
        <v>0</v>
      </c>
      <c r="DS63" s="322">
        <v>0</v>
      </c>
      <c r="DT63" s="322">
        <v>0</v>
      </c>
      <c r="DU63" s="322">
        <v>0</v>
      </c>
      <c r="DV63" s="322">
        <v>0</v>
      </c>
      <c r="DW63" s="322">
        <v>0</v>
      </c>
      <c r="DX63" s="322">
        <v>0</v>
      </c>
      <c r="DY63" s="322">
        <v>0</v>
      </c>
      <c r="DZ63" s="322">
        <v>10023.099999999999</v>
      </c>
      <c r="EA63" s="322">
        <v>18185.57</v>
      </c>
      <c r="EB63" s="322">
        <v>110222.5</v>
      </c>
      <c r="EC63" s="322">
        <v>49592.15</v>
      </c>
      <c r="ED63" s="322">
        <v>37971.39</v>
      </c>
      <c r="EE63" s="322"/>
      <c r="EF63" s="322"/>
      <c r="EG63" s="322"/>
      <c r="EH63" s="322"/>
      <c r="EI63" s="322"/>
      <c r="EJ63" s="322"/>
      <c r="EK63" s="322"/>
      <c r="EL63" s="322"/>
      <c r="EM63" s="322"/>
      <c r="EN63" s="334"/>
      <c r="EO63" s="322" t="s">
        <v>46</v>
      </c>
      <c r="EP63" s="322">
        <v>28265.19</v>
      </c>
      <c r="EQ63" s="322">
        <v>28949.61</v>
      </c>
      <c r="ER63" s="322">
        <v>29955.16</v>
      </c>
      <c r="ES63" s="322">
        <v>29959.13</v>
      </c>
      <c r="ET63" s="322">
        <v>32813.629999999997</v>
      </c>
      <c r="EU63" s="322">
        <v>34728.699999999997</v>
      </c>
      <c r="EV63" s="322">
        <v>33515.980000000003</v>
      </c>
      <c r="EW63" s="322">
        <v>40893.25</v>
      </c>
      <c r="EX63" s="322">
        <v>52110.170000000006</v>
      </c>
      <c r="EY63" s="322">
        <v>53468.47</v>
      </c>
      <c r="EZ63" s="322">
        <v>55155.3</v>
      </c>
      <c r="FA63" s="322">
        <v>75517.210000000006</v>
      </c>
      <c r="FB63" s="322">
        <v>82036.450000000012</v>
      </c>
      <c r="FC63" s="322"/>
      <c r="FD63" s="322"/>
      <c r="FE63" s="322"/>
      <c r="FF63" s="322"/>
      <c r="FG63" s="322"/>
      <c r="FH63" s="322"/>
      <c r="FI63" s="322"/>
      <c r="FJ63" s="322"/>
      <c r="FK63" s="322"/>
      <c r="FL63" s="334"/>
      <c r="FM63" s="322" t="s">
        <v>46</v>
      </c>
      <c r="FN63" s="322">
        <v>169591.14</v>
      </c>
      <c r="FO63" s="322">
        <v>173697.66</v>
      </c>
      <c r="FP63" s="322">
        <v>149775.79999999999</v>
      </c>
      <c r="FQ63" s="322">
        <v>179754.78</v>
      </c>
      <c r="FR63" s="322">
        <v>164068.15</v>
      </c>
      <c r="FS63" s="322">
        <v>173643.5</v>
      </c>
      <c r="FT63" s="322">
        <v>167579.9</v>
      </c>
      <c r="FU63" s="322">
        <v>204466.25</v>
      </c>
      <c r="FV63" s="322">
        <v>200363.84</v>
      </c>
      <c r="FW63" s="322">
        <v>211961.09000000003</v>
      </c>
      <c r="FX63" s="322">
        <v>225082.28999999998</v>
      </c>
      <c r="FY63" s="322">
        <v>227454.74</v>
      </c>
      <c r="FZ63" s="322">
        <v>234684.19000000003</v>
      </c>
      <c r="GA63" s="322"/>
      <c r="GB63" s="322"/>
      <c r="GC63" s="322"/>
      <c r="GD63" s="322"/>
      <c r="GE63" s="322"/>
      <c r="GF63" s="340"/>
      <c r="GG63" s="704"/>
      <c r="GH63" s="704"/>
      <c r="GI63" s="704"/>
      <c r="GJ63" s="334"/>
      <c r="GK63" s="322" t="s">
        <v>46</v>
      </c>
      <c r="GL63" s="322">
        <v>56530.38</v>
      </c>
      <c r="GM63" s="322">
        <v>57899.22</v>
      </c>
      <c r="GN63" s="322">
        <v>59910.32</v>
      </c>
      <c r="GO63" s="322">
        <v>89877.39</v>
      </c>
      <c r="GP63" s="322">
        <v>65627.259999999995</v>
      </c>
      <c r="GQ63" s="322">
        <v>104186.1</v>
      </c>
      <c r="GR63" s="322">
        <v>67031.960000000006</v>
      </c>
      <c r="GS63" s="322">
        <v>81786.5</v>
      </c>
      <c r="GT63" s="322">
        <v>79450.679999999993</v>
      </c>
      <c r="GU63" s="322">
        <v>83233.95</v>
      </c>
      <c r="GV63" s="322">
        <v>96596.450000000012</v>
      </c>
      <c r="GW63" s="322">
        <v>176082.84999999998</v>
      </c>
      <c r="GX63" s="322">
        <v>194006.18</v>
      </c>
      <c r="GY63" s="322"/>
      <c r="GZ63" s="322"/>
      <c r="HA63" s="322"/>
      <c r="HB63" s="322"/>
      <c r="HC63" s="322"/>
      <c r="HD63" s="322"/>
      <c r="HE63" s="322"/>
      <c r="HF63" s="322"/>
      <c r="HG63" s="322"/>
      <c r="HH63" s="334"/>
      <c r="HI63" s="322" t="s">
        <v>46</v>
      </c>
      <c r="HJ63" s="322">
        <v>28265.19</v>
      </c>
      <c r="HK63" s="322">
        <v>0</v>
      </c>
      <c r="HL63" s="322">
        <v>0</v>
      </c>
      <c r="HM63" s="322">
        <v>29959.13</v>
      </c>
      <c r="HN63" s="322">
        <v>32813.629999999997</v>
      </c>
      <c r="HO63" s="322">
        <v>34728.699999999997</v>
      </c>
      <c r="HP63" s="322">
        <v>0</v>
      </c>
      <c r="HQ63" s="322">
        <v>0</v>
      </c>
      <c r="HR63" s="322">
        <v>11848.92</v>
      </c>
      <c r="HS63" s="322">
        <v>17326.169999999998</v>
      </c>
      <c r="HT63" s="322">
        <v>18905.45</v>
      </c>
      <c r="HU63" s="322">
        <v>25892.190000000002</v>
      </c>
      <c r="HV63" s="322">
        <v>30083.88</v>
      </c>
      <c r="HW63" s="322"/>
      <c r="HX63" s="322"/>
      <c r="HY63" s="322"/>
      <c r="HZ63" s="322"/>
      <c r="IA63" s="322"/>
      <c r="IB63" s="322"/>
      <c r="IC63" s="322"/>
      <c r="ID63" s="322"/>
      <c r="IE63" s="322"/>
      <c r="IF63" s="334"/>
      <c r="IG63" s="322" t="s">
        <v>46</v>
      </c>
      <c r="IH63" s="322">
        <v>28265.19</v>
      </c>
      <c r="II63" s="322">
        <v>28949.61</v>
      </c>
      <c r="IJ63" s="322">
        <v>59910.32</v>
      </c>
      <c r="IK63" s="322">
        <v>59918.26</v>
      </c>
      <c r="IL63" s="322">
        <v>65627.259999999995</v>
      </c>
      <c r="IM63" s="322">
        <v>69457.399999999994</v>
      </c>
      <c r="IN63" s="322">
        <v>67031.960000000006</v>
      </c>
      <c r="IO63" s="322">
        <v>81786.5</v>
      </c>
      <c r="IP63" s="322">
        <v>5706.62</v>
      </c>
      <c r="IQ63" s="322">
        <v>55611.94</v>
      </c>
      <c r="IR63" s="322">
        <v>9314.17</v>
      </c>
      <c r="IS63" s="322">
        <v>11222.3</v>
      </c>
      <c r="IT63" s="322">
        <v>9287.6899999999987</v>
      </c>
      <c r="IU63" s="322"/>
      <c r="IV63" s="322"/>
      <c r="IW63" s="322"/>
      <c r="IX63" s="322"/>
      <c r="IY63" s="322"/>
      <c r="IZ63" s="322"/>
      <c r="JA63" s="322"/>
      <c r="JB63" s="322"/>
      <c r="JC63" s="322"/>
      <c r="JD63" s="334"/>
      <c r="JE63" s="322" t="s">
        <v>46</v>
      </c>
      <c r="JF63" s="322">
        <v>28265.19</v>
      </c>
      <c r="JG63" s="322">
        <v>28949.61</v>
      </c>
      <c r="JH63" s="322">
        <v>29955.16</v>
      </c>
      <c r="JI63" s="322">
        <v>0</v>
      </c>
      <c r="JJ63" s="322">
        <v>32813.629999999997</v>
      </c>
      <c r="JK63" s="322">
        <v>34728.699999999997</v>
      </c>
      <c r="JL63" s="322">
        <v>33515.980000000003</v>
      </c>
      <c r="JM63" s="322">
        <v>0</v>
      </c>
      <c r="JN63" s="322">
        <v>19892.669999999998</v>
      </c>
      <c r="JO63" s="322">
        <v>25638.32</v>
      </c>
      <c r="JP63" s="322">
        <v>40678.11</v>
      </c>
      <c r="JQ63" s="322">
        <v>30164.760000000002</v>
      </c>
      <c r="JR63" s="322">
        <v>38284.17</v>
      </c>
      <c r="JS63" s="322"/>
      <c r="JT63" s="322"/>
      <c r="JU63" s="322"/>
      <c r="JV63" s="322"/>
      <c r="JW63" s="322"/>
      <c r="JX63" s="322"/>
      <c r="JY63" s="322"/>
      <c r="JZ63" s="322"/>
      <c r="KA63" s="322"/>
      <c r="KB63" s="334"/>
      <c r="KC63" s="322" t="s">
        <v>46</v>
      </c>
      <c r="KD63" s="322">
        <v>28265.19</v>
      </c>
      <c r="KE63" s="322">
        <v>28949.61</v>
      </c>
      <c r="KF63" s="322">
        <v>59910.32</v>
      </c>
      <c r="KG63" s="322">
        <v>89877.39</v>
      </c>
      <c r="KH63" s="322">
        <v>98440.89</v>
      </c>
      <c r="KI63" s="322">
        <v>138914.79999999999</v>
      </c>
      <c r="KJ63" s="322">
        <v>100547.94</v>
      </c>
      <c r="KK63" s="322">
        <v>122679.75</v>
      </c>
      <c r="KL63" s="322">
        <v>149037.09000000003</v>
      </c>
      <c r="KM63" s="322">
        <v>151988.06</v>
      </c>
      <c r="KN63" s="322">
        <v>155372.91</v>
      </c>
      <c r="KO63" s="322">
        <v>156258.49</v>
      </c>
      <c r="KP63" s="322">
        <v>171772.21000000002</v>
      </c>
      <c r="KQ63" s="322"/>
      <c r="KR63" s="322"/>
      <c r="KS63" s="322"/>
      <c r="KT63" s="322"/>
      <c r="KU63" s="322"/>
      <c r="KV63" s="322"/>
      <c r="KW63" s="322"/>
      <c r="KX63" s="322"/>
      <c r="KY63" s="322"/>
      <c r="KZ63" s="334"/>
      <c r="LA63" s="322" t="s">
        <v>46</v>
      </c>
      <c r="LB63" s="322">
        <v>282651.90000000002</v>
      </c>
      <c r="LC63" s="322">
        <v>289496.09999999998</v>
      </c>
      <c r="LD63" s="322">
        <v>269596.44</v>
      </c>
      <c r="LE63" s="322">
        <v>329550.43</v>
      </c>
      <c r="LF63" s="322">
        <v>262509.03999999998</v>
      </c>
      <c r="LG63" s="322">
        <v>243100.9</v>
      </c>
      <c r="LH63" s="322">
        <v>335159.8</v>
      </c>
      <c r="LI63" s="322">
        <v>531612.25</v>
      </c>
      <c r="LJ63" s="322">
        <v>365033.48000000004</v>
      </c>
      <c r="LK63" s="322">
        <v>393882.18</v>
      </c>
      <c r="LL63" s="322">
        <v>400693.29000000004</v>
      </c>
      <c r="LM63" s="322">
        <v>682225.3</v>
      </c>
      <c r="LN63" s="322">
        <v>764905.13</v>
      </c>
      <c r="LO63" s="322"/>
      <c r="LP63" s="322"/>
      <c r="LQ63" s="322"/>
      <c r="LR63" s="322"/>
      <c r="LS63" s="322"/>
      <c r="LT63" s="322"/>
      <c r="LU63" s="322"/>
      <c r="LV63" s="322"/>
      <c r="LW63" s="322"/>
      <c r="LX63" s="334"/>
      <c r="LY63" s="322" t="s">
        <v>46</v>
      </c>
      <c r="LZ63" s="322">
        <v>367447.47</v>
      </c>
      <c r="MA63" s="322">
        <v>376344.93</v>
      </c>
      <c r="MB63" s="322">
        <v>389417.08</v>
      </c>
      <c r="MC63" s="322">
        <v>329550.43</v>
      </c>
      <c r="MD63" s="322">
        <v>328136.3</v>
      </c>
      <c r="ME63" s="322">
        <v>451473.1</v>
      </c>
      <c r="MF63" s="322">
        <v>435707.74</v>
      </c>
      <c r="MG63" s="322">
        <v>654292</v>
      </c>
      <c r="MH63" s="322">
        <v>491334.45999999996</v>
      </c>
      <c r="MI63" s="322">
        <v>545367.05000000005</v>
      </c>
      <c r="MJ63" s="322">
        <v>569809.7699999999</v>
      </c>
      <c r="MK63" s="322">
        <v>580273.52</v>
      </c>
      <c r="ML63" s="322">
        <v>634089.38999999978</v>
      </c>
      <c r="MM63" s="322"/>
      <c r="MN63" s="322"/>
      <c r="MO63" s="322"/>
      <c r="MP63" s="322"/>
      <c r="MQ63" s="322"/>
      <c r="MR63" s="322"/>
      <c r="MS63" s="322"/>
      <c r="MT63" s="322"/>
      <c r="MU63" s="322"/>
      <c r="MV63" s="334"/>
      <c r="MW63" s="322" t="s">
        <v>46</v>
      </c>
      <c r="MX63" s="322">
        <v>989281.65</v>
      </c>
      <c r="MY63" s="322">
        <v>1042185.96</v>
      </c>
      <c r="MZ63" s="322">
        <v>1048430.6</v>
      </c>
      <c r="NA63" s="322">
        <v>1048569.55</v>
      </c>
      <c r="NB63" s="322">
        <v>1082849.79</v>
      </c>
      <c r="NC63" s="322">
        <v>1215504.5</v>
      </c>
      <c r="ND63" s="322">
        <v>1173059.3</v>
      </c>
      <c r="NE63" s="322">
        <v>1308584</v>
      </c>
      <c r="NF63" s="322">
        <v>1430536.7799999998</v>
      </c>
      <c r="NG63" s="322">
        <v>1559126.78</v>
      </c>
      <c r="NH63" s="322">
        <v>1542146.87</v>
      </c>
      <c r="NI63" s="322">
        <v>1570093.8300000003</v>
      </c>
      <c r="NJ63" s="322">
        <v>1689770.4200000002</v>
      </c>
      <c r="NK63" s="322"/>
      <c r="NL63" s="322"/>
      <c r="NM63" s="322"/>
      <c r="NN63" s="322"/>
      <c r="NO63" s="322"/>
      <c r="NP63" s="322"/>
      <c r="NQ63" s="322"/>
      <c r="NR63" s="322"/>
      <c r="NS63" s="322"/>
      <c r="NT63" s="334"/>
      <c r="NU63" s="322" t="s">
        <v>46</v>
      </c>
      <c r="NV63" s="322">
        <v>169591.14</v>
      </c>
      <c r="NW63" s="322">
        <v>173697.66</v>
      </c>
      <c r="NX63" s="322">
        <v>209686.12</v>
      </c>
      <c r="NY63" s="322">
        <v>239673.04</v>
      </c>
      <c r="NZ63" s="322">
        <v>262509.03999999998</v>
      </c>
      <c r="OA63" s="322">
        <v>277829.59999999998</v>
      </c>
      <c r="OB63" s="322">
        <v>268127.84000000003</v>
      </c>
      <c r="OC63" s="322">
        <v>286252.75</v>
      </c>
      <c r="OD63" s="322">
        <v>280361.67000000004</v>
      </c>
      <c r="OE63" s="322">
        <v>261086.38</v>
      </c>
      <c r="OF63" s="322">
        <v>255226.61</v>
      </c>
      <c r="OG63" s="322">
        <v>280340.78999999998</v>
      </c>
      <c r="OH63" s="322">
        <v>287543.44</v>
      </c>
      <c r="OI63" s="322"/>
      <c r="OJ63" s="322"/>
      <c r="OK63" s="322"/>
      <c r="OL63" s="322"/>
      <c r="OM63" s="322"/>
      <c r="ON63" s="322"/>
      <c r="OO63" s="322"/>
      <c r="OP63" s="322"/>
      <c r="OQ63" s="322"/>
      <c r="OR63" s="334"/>
      <c r="OS63" s="322" t="s">
        <v>46</v>
      </c>
      <c r="OT63" s="322">
        <v>169591.14</v>
      </c>
      <c r="OU63" s="322">
        <v>173697.66</v>
      </c>
      <c r="OV63" s="322">
        <v>209686.12</v>
      </c>
      <c r="OW63" s="322">
        <v>119836.52</v>
      </c>
      <c r="OX63" s="322">
        <v>65627.259999999995</v>
      </c>
      <c r="OY63" s="322">
        <v>69457.399999999994</v>
      </c>
      <c r="OZ63" s="322">
        <v>100547.94</v>
      </c>
      <c r="PA63" s="322">
        <v>122679.75</v>
      </c>
      <c r="PB63" s="322">
        <v>120939.46</v>
      </c>
      <c r="PC63" s="322">
        <v>123124.58</v>
      </c>
      <c r="PD63" s="322">
        <v>130051.29999999999</v>
      </c>
      <c r="PE63" s="322">
        <v>94833.279999999999</v>
      </c>
      <c r="PF63" s="322">
        <v>101765.25</v>
      </c>
      <c r="PG63" s="322"/>
      <c r="PH63" s="322"/>
      <c r="PI63" s="322"/>
      <c r="PJ63" s="322"/>
      <c r="PK63" s="322"/>
      <c r="PL63" s="322"/>
      <c r="PM63" s="322"/>
      <c r="PN63" s="322"/>
      <c r="PO63" s="322"/>
      <c r="PP63" s="334"/>
      <c r="PQ63" s="322" t="s">
        <v>46</v>
      </c>
      <c r="PR63" s="322">
        <v>28265.19</v>
      </c>
      <c r="PS63" s="322">
        <v>28949.61</v>
      </c>
      <c r="PT63" s="322">
        <v>29955.16</v>
      </c>
      <c r="PU63" s="322">
        <v>29959.13</v>
      </c>
      <c r="PV63" s="322">
        <v>32813.629999999997</v>
      </c>
      <c r="PW63" s="322">
        <v>34728.699999999997</v>
      </c>
      <c r="PX63" s="322">
        <v>33515.980000000003</v>
      </c>
      <c r="PY63" s="322">
        <v>40893.25</v>
      </c>
      <c r="PZ63" s="322">
        <v>71108.36</v>
      </c>
      <c r="QA63" s="322">
        <v>64414.9</v>
      </c>
      <c r="QB63" s="322">
        <v>37879.590000000004</v>
      </c>
      <c r="QC63" s="322">
        <v>49653.53</v>
      </c>
      <c r="QD63" s="322">
        <v>55412.39</v>
      </c>
      <c r="QE63" s="322"/>
      <c r="QF63" s="805"/>
      <c r="QG63" s="322"/>
      <c r="QH63" s="322"/>
      <c r="QI63" s="322"/>
      <c r="QJ63" s="322"/>
      <c r="QK63" s="322"/>
      <c r="QL63" s="322"/>
      <c r="QM63" s="322"/>
      <c r="QN63" s="334"/>
      <c r="QO63" s="322" t="s">
        <v>46</v>
      </c>
      <c r="QP63" s="322">
        <v>0</v>
      </c>
      <c r="QQ63" s="322">
        <v>0</v>
      </c>
      <c r="QR63" s="322">
        <v>0</v>
      </c>
      <c r="QS63" s="322">
        <v>0</v>
      </c>
      <c r="QT63" s="322">
        <v>0</v>
      </c>
      <c r="QU63" s="322">
        <v>0</v>
      </c>
      <c r="QV63" s="322">
        <v>0</v>
      </c>
      <c r="QW63" s="322">
        <v>0</v>
      </c>
      <c r="QX63" s="322">
        <v>2984.98</v>
      </c>
      <c r="QY63" s="322">
        <v>2803.24</v>
      </c>
      <c r="QZ63" s="322">
        <v>1333.71</v>
      </c>
      <c r="RA63" s="322">
        <v>0</v>
      </c>
      <c r="RB63" s="322">
        <v>0</v>
      </c>
      <c r="RC63" s="322"/>
      <c r="RD63" s="322"/>
      <c r="RE63" s="322"/>
      <c r="RF63" s="322"/>
      <c r="RG63" s="322"/>
      <c r="RH63" s="322"/>
      <c r="RI63" s="322"/>
      <c r="RJ63" s="322"/>
      <c r="RK63" s="322"/>
      <c r="RL63" s="334"/>
      <c r="RM63" s="322" t="s">
        <v>46</v>
      </c>
      <c r="RN63" s="322">
        <v>0</v>
      </c>
      <c r="RO63" s="322">
        <v>86848.83</v>
      </c>
      <c r="RP63" s="322">
        <v>29955.16</v>
      </c>
      <c r="RQ63" s="322">
        <v>0</v>
      </c>
      <c r="RR63" s="322">
        <v>229695.41</v>
      </c>
      <c r="RS63" s="322">
        <v>104186.1</v>
      </c>
      <c r="RT63" s="322">
        <v>0</v>
      </c>
      <c r="RU63" s="322">
        <v>40893.25</v>
      </c>
      <c r="RV63" s="322">
        <v>38631.5</v>
      </c>
      <c r="RW63" s="322">
        <v>20000</v>
      </c>
      <c r="RX63" s="322">
        <v>8844.14</v>
      </c>
      <c r="RY63" s="322">
        <v>0</v>
      </c>
      <c r="RZ63" s="322">
        <v>42000</v>
      </c>
      <c r="SA63" s="322"/>
      <c r="SB63" s="322"/>
      <c r="SC63" s="322"/>
      <c r="SD63" s="322"/>
      <c r="SE63" s="322"/>
      <c r="SF63" s="322"/>
      <c r="SG63" s="322"/>
      <c r="SH63" s="322"/>
      <c r="SI63" s="322"/>
    </row>
    <row r="64" spans="1:503">
      <c r="A64" s="319" t="s">
        <v>47</v>
      </c>
      <c r="B64" s="319">
        <v>1135423</v>
      </c>
      <c r="C64" s="319">
        <v>1229907</v>
      </c>
      <c r="D64" s="319">
        <v>1838255</v>
      </c>
      <c r="E64" s="319">
        <v>1436305</v>
      </c>
      <c r="F64" s="319">
        <v>1593997</v>
      </c>
      <c r="G64" s="319">
        <v>1661618</v>
      </c>
      <c r="H64" s="319">
        <v>1709952</v>
      </c>
      <c r="I64" s="319">
        <v>940242</v>
      </c>
      <c r="J64" s="319">
        <v>1256075.6600000001</v>
      </c>
      <c r="K64" s="319">
        <v>1509718.6400000001</v>
      </c>
      <c r="L64" s="319">
        <v>1646178.46</v>
      </c>
      <c r="M64" s="319">
        <v>2019774.3599999999</v>
      </c>
      <c r="N64" s="319">
        <v>2110915.2399999998</v>
      </c>
      <c r="O64" s="319">
        <v>1787932.81</v>
      </c>
      <c r="P64" s="319">
        <v>1937429.62</v>
      </c>
      <c r="Q64" s="319">
        <v>1487954.1800000002</v>
      </c>
      <c r="R64" s="319">
        <v>1813019.93</v>
      </c>
      <c r="S64" s="322">
        <v>1374140.7</v>
      </c>
      <c r="T64" s="319">
        <v>1521903.58</v>
      </c>
      <c r="U64" s="319">
        <v>1806209.2599999998</v>
      </c>
      <c r="V64" s="319">
        <v>2379504.2799999998</v>
      </c>
      <c r="W64" s="319">
        <v>2421755</v>
      </c>
      <c r="X64" s="330"/>
      <c r="Y64" s="319" t="s">
        <v>47</v>
      </c>
      <c r="Z64" s="319">
        <v>45416.92</v>
      </c>
      <c r="AA64" s="319">
        <v>49196.28</v>
      </c>
      <c r="AB64" s="319">
        <v>55147.65</v>
      </c>
      <c r="AC64" s="319">
        <v>57452.2</v>
      </c>
      <c r="AD64" s="319">
        <v>63759.88</v>
      </c>
      <c r="AE64" s="319">
        <v>83080.899999999994</v>
      </c>
      <c r="AF64" s="319">
        <v>83080.899999999994</v>
      </c>
      <c r="AG64" s="319">
        <v>75219.360000000001</v>
      </c>
      <c r="AH64" s="319">
        <v>87649.459999999992</v>
      </c>
      <c r="AI64" s="319">
        <v>89178.62999999999</v>
      </c>
      <c r="AJ64" s="319">
        <v>87980.329999999987</v>
      </c>
      <c r="AK64" s="319">
        <v>95019.89</v>
      </c>
      <c r="AL64" s="319">
        <v>98796.139999999985</v>
      </c>
      <c r="AM64" s="319">
        <v>100303.33999999998</v>
      </c>
      <c r="AN64" s="319">
        <v>119247.54999999999</v>
      </c>
      <c r="AO64" s="319">
        <v>90780.28</v>
      </c>
      <c r="AP64" s="319">
        <v>91931.58</v>
      </c>
      <c r="AQ64" s="322">
        <v>92428.459999999992</v>
      </c>
      <c r="AR64" s="319">
        <v>92802.880000000005</v>
      </c>
      <c r="AS64" s="319">
        <v>93191.529999999984</v>
      </c>
      <c r="AT64" s="319">
        <v>92745.64</v>
      </c>
      <c r="AU64" s="319">
        <v>98790</v>
      </c>
      <c r="AV64" s="334"/>
      <c r="AW64" s="319" t="s">
        <v>47</v>
      </c>
      <c r="AX64" s="319">
        <v>56771.15</v>
      </c>
      <c r="AY64" s="319">
        <v>61495.350000000006</v>
      </c>
      <c r="AZ64" s="319">
        <v>73530.2</v>
      </c>
      <c r="BA64" s="319">
        <v>71815.25</v>
      </c>
      <c r="BB64" s="319">
        <v>79699.850000000006</v>
      </c>
      <c r="BC64" s="319">
        <v>83080.900000000009</v>
      </c>
      <c r="BD64" s="319">
        <v>85497.600000000006</v>
      </c>
      <c r="BE64" s="319">
        <v>84621.78</v>
      </c>
      <c r="BF64" s="319">
        <v>104205.79</v>
      </c>
      <c r="BG64" s="319">
        <v>107304.93999999999</v>
      </c>
      <c r="BH64" s="319">
        <v>112232.51000000001</v>
      </c>
      <c r="BI64" s="319">
        <v>108374.59</v>
      </c>
      <c r="BJ64" s="319">
        <v>124726.07</v>
      </c>
      <c r="BK64" s="319">
        <v>112561.01999999999</v>
      </c>
      <c r="BL64" s="319">
        <v>113227.59</v>
      </c>
      <c r="BM64" s="319">
        <v>112243.74999999999</v>
      </c>
      <c r="BN64" s="319">
        <v>109405.78000000001</v>
      </c>
      <c r="BO64" s="322">
        <v>113042.54999999997</v>
      </c>
      <c r="BP64" s="319">
        <v>126712.46999999999</v>
      </c>
      <c r="BQ64" s="319">
        <v>121314.65999999999</v>
      </c>
      <c r="BR64" s="319">
        <v>119798.38</v>
      </c>
      <c r="BS64" s="319">
        <v>133000</v>
      </c>
      <c r="BT64" s="334"/>
      <c r="BU64" s="322" t="s">
        <v>47</v>
      </c>
      <c r="BV64" s="322">
        <v>45416.92</v>
      </c>
      <c r="BW64" s="322">
        <v>24598.14</v>
      </c>
      <c r="BX64" s="322">
        <v>36765.1</v>
      </c>
      <c r="BY64" s="322">
        <v>28726.1</v>
      </c>
      <c r="BZ64" s="322">
        <v>63759.88</v>
      </c>
      <c r="CA64" s="322">
        <v>33232.36</v>
      </c>
      <c r="CB64" s="322">
        <v>68398.080000000002</v>
      </c>
      <c r="CC64" s="322">
        <v>37609.68</v>
      </c>
      <c r="CD64" s="322">
        <v>160197.45000000001</v>
      </c>
      <c r="CE64" s="322">
        <v>68129.600000000006</v>
      </c>
      <c r="CF64" s="322">
        <v>92931.23</v>
      </c>
      <c r="CG64" s="322">
        <v>71020.240000000005</v>
      </c>
      <c r="CH64" s="322">
        <v>169415.84000000003</v>
      </c>
      <c r="CI64" s="322">
        <v>125848.77999999998</v>
      </c>
      <c r="CJ64" s="322">
        <v>143438.73000000001</v>
      </c>
      <c r="CK64" s="322">
        <v>74726.090000000011</v>
      </c>
      <c r="CL64" s="322">
        <v>174741.45</v>
      </c>
      <c r="CM64" s="322">
        <v>77394.03</v>
      </c>
      <c r="CN64" s="322">
        <v>152947.18</v>
      </c>
      <c r="CO64" s="322">
        <v>86830.23000000001</v>
      </c>
      <c r="CP64" s="322">
        <v>156455.85999999999</v>
      </c>
      <c r="CQ64" s="322">
        <v>112900</v>
      </c>
      <c r="CR64" s="334"/>
      <c r="CS64" s="322" t="s">
        <v>47</v>
      </c>
      <c r="CT64" s="322">
        <v>56771.15</v>
      </c>
      <c r="CU64" s="322">
        <v>73794.42</v>
      </c>
      <c r="CV64" s="322">
        <v>110295.3</v>
      </c>
      <c r="CW64" s="322">
        <v>71815.25</v>
      </c>
      <c r="CX64" s="322">
        <v>63759.88</v>
      </c>
      <c r="CY64" s="322">
        <v>66464.72</v>
      </c>
      <c r="CZ64" s="322">
        <v>68398.080000000002</v>
      </c>
      <c r="DA64" s="322">
        <v>103426.62</v>
      </c>
      <c r="DB64" s="322">
        <v>85394.82</v>
      </c>
      <c r="DC64" s="322">
        <v>105667.95</v>
      </c>
      <c r="DD64" s="322">
        <v>104160.79000000001</v>
      </c>
      <c r="DE64" s="322">
        <v>131700.44</v>
      </c>
      <c r="DF64" s="322">
        <v>152393.31</v>
      </c>
      <c r="DG64" s="322">
        <v>142334.92000000001</v>
      </c>
      <c r="DH64" s="322">
        <v>202308.13</v>
      </c>
      <c r="DI64" s="322">
        <v>227476.44999999998</v>
      </c>
      <c r="DJ64" s="322">
        <v>213373.71999999997</v>
      </c>
      <c r="DK64" s="322">
        <v>223786.44999999998</v>
      </c>
      <c r="DL64" s="322">
        <v>154997.62</v>
      </c>
      <c r="DM64" s="322">
        <v>271152.32999999996</v>
      </c>
      <c r="DN64" s="322">
        <v>1040450.61</v>
      </c>
      <c r="DO64" s="322">
        <v>919500</v>
      </c>
      <c r="DP64" s="334"/>
      <c r="DQ64" s="322" t="s">
        <v>47</v>
      </c>
      <c r="DR64" s="322">
        <v>102188.07</v>
      </c>
      <c r="DS64" s="322">
        <v>110691.63</v>
      </c>
      <c r="DT64" s="322">
        <v>110295.3</v>
      </c>
      <c r="DU64" s="322">
        <v>129267.45</v>
      </c>
      <c r="DV64" s="322">
        <v>143459.73000000001</v>
      </c>
      <c r="DW64" s="322">
        <v>132929.44</v>
      </c>
      <c r="DX64" s="322">
        <v>153895.67999999999</v>
      </c>
      <c r="DY64" s="322">
        <v>56414.52</v>
      </c>
      <c r="DZ64" s="322">
        <v>61582.939999999995</v>
      </c>
      <c r="EA64" s="322">
        <v>61499.830000000009</v>
      </c>
      <c r="EB64" s="322">
        <v>68956.41</v>
      </c>
      <c r="EC64" s="322">
        <v>66459.429999999993</v>
      </c>
      <c r="ED64" s="322">
        <v>90857.61</v>
      </c>
      <c r="EE64" s="322">
        <v>87229.170000000013</v>
      </c>
      <c r="EF64" s="322">
        <v>97431.42</v>
      </c>
      <c r="EG64" s="322">
        <v>97176.840000000011</v>
      </c>
      <c r="EH64" s="322">
        <v>95619.390000000014</v>
      </c>
      <c r="EI64" s="322">
        <v>94839.319999999992</v>
      </c>
      <c r="EJ64" s="322">
        <v>86488.929999999978</v>
      </c>
      <c r="EK64" s="322">
        <v>91070.779999999984</v>
      </c>
      <c r="EL64" s="322">
        <v>92343.09</v>
      </c>
      <c r="EM64" s="322">
        <v>111610</v>
      </c>
      <c r="EN64" s="334"/>
      <c r="EO64" s="322" t="s">
        <v>47</v>
      </c>
      <c r="EP64" s="322">
        <v>22708.46</v>
      </c>
      <c r="EQ64" s="322">
        <v>24598.14</v>
      </c>
      <c r="ER64" s="322">
        <v>18382.55</v>
      </c>
      <c r="ES64" s="322">
        <v>28726.1</v>
      </c>
      <c r="ET64" s="322">
        <v>31879.94</v>
      </c>
      <c r="EU64" s="322">
        <v>33232.36</v>
      </c>
      <c r="EV64" s="322">
        <v>34199.040000000001</v>
      </c>
      <c r="EW64" s="322">
        <v>28207.26</v>
      </c>
      <c r="EX64" s="322">
        <v>31861.989999999998</v>
      </c>
      <c r="EY64" s="322">
        <v>32505.120000000003</v>
      </c>
      <c r="EZ64" s="322">
        <v>31766.880000000001</v>
      </c>
      <c r="FA64" s="322">
        <v>46490.490000000005</v>
      </c>
      <c r="FB64" s="322">
        <v>45434.03</v>
      </c>
      <c r="FC64" s="322">
        <v>44947.6</v>
      </c>
      <c r="FD64" s="322">
        <v>46379.78</v>
      </c>
      <c r="FE64" s="322">
        <v>44231.07</v>
      </c>
      <c r="FF64" s="322">
        <v>44933.42</v>
      </c>
      <c r="FG64" s="322">
        <v>44925.91</v>
      </c>
      <c r="FH64" s="322">
        <v>46231.930000000008</v>
      </c>
      <c r="FI64" s="322">
        <v>45601.069999999992</v>
      </c>
      <c r="FJ64" s="322">
        <v>45273.53</v>
      </c>
      <c r="FK64" s="322">
        <v>47400</v>
      </c>
      <c r="FL64" s="334"/>
      <c r="FM64" s="322" t="s">
        <v>47</v>
      </c>
      <c r="FN64" s="322">
        <v>68125.38</v>
      </c>
      <c r="FO64" s="322">
        <v>61495.35</v>
      </c>
      <c r="FP64" s="322">
        <v>73530.2</v>
      </c>
      <c r="FQ64" s="322">
        <v>71815.25</v>
      </c>
      <c r="FR64" s="322">
        <v>79699.850000000006</v>
      </c>
      <c r="FS64" s="322">
        <v>83080.899999999994</v>
      </c>
      <c r="FT64" s="322">
        <v>85497.600000000006</v>
      </c>
      <c r="FU64" s="322">
        <v>94024.2</v>
      </c>
      <c r="FV64" s="322">
        <v>104358.09</v>
      </c>
      <c r="FW64" s="322">
        <v>107967.79000000002</v>
      </c>
      <c r="FX64" s="322">
        <v>113703.45</v>
      </c>
      <c r="FY64" s="322">
        <v>117333.52</v>
      </c>
      <c r="FZ64" s="322">
        <v>103487.74</v>
      </c>
      <c r="GA64" s="322">
        <v>100313.81999999999</v>
      </c>
      <c r="GB64" s="322">
        <v>105931.79</v>
      </c>
      <c r="GC64" s="322">
        <v>115524.39</v>
      </c>
      <c r="GD64" s="322">
        <v>105406.67</v>
      </c>
      <c r="GE64" s="322">
        <v>109809.21</v>
      </c>
      <c r="GF64" s="340">
        <v>109598.96</v>
      </c>
      <c r="GG64" s="704">
        <v>120392.13999999998</v>
      </c>
      <c r="GH64" s="704">
        <v>136005.45000000001</v>
      </c>
      <c r="GI64" s="704">
        <v>140000</v>
      </c>
      <c r="GJ64" s="334"/>
      <c r="GK64" s="322" t="s">
        <v>47</v>
      </c>
      <c r="GL64" s="322">
        <v>22708.46</v>
      </c>
      <c r="GM64" s="322">
        <v>24598.14</v>
      </c>
      <c r="GN64" s="322">
        <v>36765.1</v>
      </c>
      <c r="GO64" s="322">
        <v>28726.1</v>
      </c>
      <c r="GP64" s="322">
        <v>31879.94</v>
      </c>
      <c r="GQ64" s="322">
        <v>33232.36</v>
      </c>
      <c r="GR64" s="322">
        <v>34199.040000000001</v>
      </c>
      <c r="GS64" s="322">
        <v>37609.68</v>
      </c>
      <c r="GT64" s="322">
        <v>41252.449999999997</v>
      </c>
      <c r="GU64" s="322">
        <v>69550.090000000011</v>
      </c>
      <c r="GV64" s="322">
        <v>76787.260000000009</v>
      </c>
      <c r="GW64" s="322">
        <v>89311.17</v>
      </c>
      <c r="GX64" s="322">
        <v>87512.69</v>
      </c>
      <c r="GY64" s="322">
        <v>76754.349999999991</v>
      </c>
      <c r="GZ64" s="322">
        <v>78505.440000000002</v>
      </c>
      <c r="HA64" s="322">
        <v>88432.26</v>
      </c>
      <c r="HB64" s="322">
        <v>87756.87</v>
      </c>
      <c r="HC64" s="322">
        <v>87829.840000000011</v>
      </c>
      <c r="HD64" s="322">
        <v>86055.77</v>
      </c>
      <c r="HE64" s="322">
        <v>80239.060000000012</v>
      </c>
      <c r="HF64" s="322">
        <v>79618.75999999998</v>
      </c>
      <c r="HG64" s="322">
        <v>85600</v>
      </c>
      <c r="HH64" s="334"/>
      <c r="HI64" s="322" t="s">
        <v>47</v>
      </c>
      <c r="HJ64" s="322">
        <v>34062.69</v>
      </c>
      <c r="HK64" s="322">
        <v>24598.14</v>
      </c>
      <c r="HL64" s="322">
        <v>18382.55</v>
      </c>
      <c r="HM64" s="322">
        <v>14363.05</v>
      </c>
      <c r="HN64" s="322">
        <v>15939.97</v>
      </c>
      <c r="HO64" s="322">
        <v>16616.18</v>
      </c>
      <c r="HP64" s="322">
        <v>17099.52</v>
      </c>
      <c r="HQ64" s="322">
        <v>0</v>
      </c>
      <c r="HR64" s="322">
        <v>0</v>
      </c>
      <c r="HS64" s="322">
        <v>0</v>
      </c>
      <c r="HT64" s="322">
        <v>0</v>
      </c>
      <c r="HU64" s="322">
        <v>0</v>
      </c>
      <c r="HV64" s="322">
        <v>0</v>
      </c>
      <c r="HW64" s="322">
        <v>0</v>
      </c>
      <c r="HX64" s="322">
        <v>0</v>
      </c>
      <c r="HY64" s="322">
        <v>0</v>
      </c>
      <c r="HZ64" s="322">
        <v>0</v>
      </c>
      <c r="IA64" s="322">
        <v>0</v>
      </c>
      <c r="IB64" s="322">
        <v>0</v>
      </c>
      <c r="IC64" s="322">
        <v>0</v>
      </c>
      <c r="ID64" s="322">
        <v>0</v>
      </c>
      <c r="IE64" s="322">
        <v>0</v>
      </c>
      <c r="IF64" s="334"/>
      <c r="IG64" s="322" t="s">
        <v>47</v>
      </c>
      <c r="IH64" s="322">
        <v>11354.23</v>
      </c>
      <c r="II64" s="322">
        <v>12299.07</v>
      </c>
      <c r="IJ64" s="322">
        <v>0</v>
      </c>
      <c r="IK64" s="322">
        <v>0</v>
      </c>
      <c r="IL64" s="322">
        <v>0</v>
      </c>
      <c r="IM64" s="322">
        <v>0</v>
      </c>
      <c r="IN64" s="322">
        <v>0</v>
      </c>
      <c r="IO64" s="322">
        <v>0</v>
      </c>
      <c r="IP64" s="322">
        <v>0</v>
      </c>
      <c r="IQ64" s="322">
        <v>0</v>
      </c>
      <c r="IR64" s="322">
        <v>0</v>
      </c>
      <c r="IS64" s="322">
        <v>0</v>
      </c>
      <c r="IT64" s="322">
        <v>0</v>
      </c>
      <c r="IU64" s="322">
        <v>0</v>
      </c>
      <c r="IV64" s="322"/>
      <c r="IW64" s="322"/>
      <c r="IX64" s="322"/>
      <c r="IY64" s="322"/>
      <c r="IZ64" s="322"/>
      <c r="JA64" s="322"/>
      <c r="JB64" s="322"/>
      <c r="JC64" s="322"/>
      <c r="JD64" s="334"/>
      <c r="JE64" s="322" t="s">
        <v>47</v>
      </c>
      <c r="JF64" s="322">
        <v>0</v>
      </c>
      <c r="JG64" s="322">
        <v>12299.07</v>
      </c>
      <c r="JH64" s="322">
        <v>18382.55</v>
      </c>
      <c r="JI64" s="322">
        <v>14363.05</v>
      </c>
      <c r="JJ64" s="322">
        <v>0</v>
      </c>
      <c r="JK64" s="322">
        <v>16616.18</v>
      </c>
      <c r="JL64" s="322">
        <v>17099.52</v>
      </c>
      <c r="JM64" s="322">
        <v>0</v>
      </c>
      <c r="JN64" s="322">
        <v>0</v>
      </c>
      <c r="JO64" s="322">
        <v>0</v>
      </c>
      <c r="JP64" s="322">
        <v>0</v>
      </c>
      <c r="JQ64" s="322">
        <v>0</v>
      </c>
      <c r="JR64" s="322">
        <v>0</v>
      </c>
      <c r="JS64" s="322">
        <v>0</v>
      </c>
      <c r="JT64" s="322">
        <v>0</v>
      </c>
      <c r="JU64" s="322">
        <v>0</v>
      </c>
      <c r="JV64" s="322">
        <v>0</v>
      </c>
      <c r="JW64" s="322">
        <v>0</v>
      </c>
      <c r="JX64" s="322">
        <v>0</v>
      </c>
      <c r="JY64" s="322">
        <v>0</v>
      </c>
      <c r="JZ64" s="322">
        <v>0</v>
      </c>
      <c r="KA64" s="322">
        <v>0</v>
      </c>
      <c r="KB64" s="334"/>
      <c r="KC64" s="322" t="s">
        <v>47</v>
      </c>
      <c r="KD64" s="322">
        <v>0</v>
      </c>
      <c r="KE64" s="322">
        <v>0</v>
      </c>
      <c r="KF64" s="322">
        <v>0</v>
      </c>
      <c r="KG64" s="322">
        <v>0</v>
      </c>
      <c r="KH64" s="322">
        <v>0</v>
      </c>
      <c r="KI64" s="322">
        <v>49848.54</v>
      </c>
      <c r="KJ64" s="322">
        <v>51298.559999999998</v>
      </c>
      <c r="KK64" s="322">
        <v>47012.1</v>
      </c>
      <c r="KL64" s="322">
        <v>46155.760000000009</v>
      </c>
      <c r="KM64" s="322">
        <v>52501.360000000008</v>
      </c>
      <c r="KN64" s="322">
        <v>70492.680000000008</v>
      </c>
      <c r="KO64" s="322">
        <v>77180.83</v>
      </c>
      <c r="KP64" s="322">
        <v>78418.509999999995</v>
      </c>
      <c r="KQ64" s="322">
        <v>77575.149999999994</v>
      </c>
      <c r="KR64" s="322">
        <v>78087.509999999995</v>
      </c>
      <c r="KS64" s="322">
        <v>78371.69</v>
      </c>
      <c r="KT64" s="322">
        <v>78341.13</v>
      </c>
      <c r="KU64" s="322">
        <v>73084.570000000007</v>
      </c>
      <c r="KV64" s="322">
        <v>72429.16</v>
      </c>
      <c r="KW64" s="322">
        <v>73027.5</v>
      </c>
      <c r="KX64" s="322">
        <v>77087.929999999993</v>
      </c>
      <c r="KY64" s="322">
        <v>81250</v>
      </c>
      <c r="KZ64" s="334"/>
      <c r="LA64" s="322" t="s">
        <v>47</v>
      </c>
      <c r="LB64" s="322">
        <v>113542.3</v>
      </c>
      <c r="LC64" s="322">
        <v>110691.63</v>
      </c>
      <c r="LD64" s="322">
        <v>551476.5</v>
      </c>
      <c r="LE64" s="322">
        <v>157993.54999999999</v>
      </c>
      <c r="LF64" s="322">
        <v>350679.34</v>
      </c>
      <c r="LG64" s="322">
        <v>199394.16</v>
      </c>
      <c r="LH64" s="322">
        <v>222293.76000000001</v>
      </c>
      <c r="LI64" s="322">
        <v>225658.08</v>
      </c>
      <c r="LJ64" s="322">
        <v>195891.91</v>
      </c>
      <c r="LK64" s="322">
        <v>237513.33</v>
      </c>
      <c r="LL64" s="322">
        <v>243456.81</v>
      </c>
      <c r="LM64" s="322">
        <v>268099.11</v>
      </c>
      <c r="LN64" s="322">
        <v>305946.40000000002</v>
      </c>
      <c r="LO64" s="322">
        <v>256297.21</v>
      </c>
      <c r="LP64" s="322">
        <v>257175.88</v>
      </c>
      <c r="LQ64" s="322">
        <v>214091.34999999998</v>
      </c>
      <c r="LR64" s="322">
        <v>244369.4</v>
      </c>
      <c r="LS64" s="322">
        <v>199472.12</v>
      </c>
      <c r="LT64" s="322">
        <v>348751.62</v>
      </c>
      <c r="LU64" s="322">
        <v>561279.41999999993</v>
      </c>
      <c r="LV64" s="322">
        <v>212581.13999999998</v>
      </c>
      <c r="LW64" s="322">
        <v>247295</v>
      </c>
      <c r="LX64" s="334"/>
      <c r="LY64" s="322" t="s">
        <v>47</v>
      </c>
      <c r="LZ64" s="322">
        <v>204376.14</v>
      </c>
      <c r="MA64" s="322">
        <v>245981.4</v>
      </c>
      <c r="MB64" s="322">
        <v>275738.25</v>
      </c>
      <c r="MC64" s="322">
        <v>287261</v>
      </c>
      <c r="MD64" s="322">
        <v>223159.58</v>
      </c>
      <c r="ME64" s="322">
        <v>299091.24</v>
      </c>
      <c r="MF64" s="322">
        <v>307791.35999999999</v>
      </c>
      <c r="MG64" s="322">
        <v>0</v>
      </c>
      <c r="MH64" s="322">
        <v>0</v>
      </c>
      <c r="MI64" s="322">
        <v>0</v>
      </c>
      <c r="MJ64" s="322">
        <v>0</v>
      </c>
      <c r="MK64" s="322">
        <v>0</v>
      </c>
      <c r="ML64" s="322">
        <v>0</v>
      </c>
      <c r="MM64" s="322">
        <v>0</v>
      </c>
      <c r="MN64" s="322">
        <v>0</v>
      </c>
      <c r="MO64" s="322">
        <v>0</v>
      </c>
      <c r="MP64" s="322">
        <v>0</v>
      </c>
      <c r="MQ64" s="322">
        <v>0</v>
      </c>
      <c r="MR64" s="322">
        <v>0</v>
      </c>
      <c r="MS64" s="322">
        <v>0</v>
      </c>
      <c r="MT64" s="322">
        <v>0</v>
      </c>
      <c r="MU64" s="322">
        <v>0</v>
      </c>
      <c r="MV64" s="334"/>
      <c r="MW64" s="322" t="s">
        <v>47</v>
      </c>
      <c r="MX64" s="322">
        <v>147604.99</v>
      </c>
      <c r="MY64" s="322">
        <v>159887.91</v>
      </c>
      <c r="MZ64" s="322">
        <v>202208.05</v>
      </c>
      <c r="NA64" s="322">
        <v>215445.75</v>
      </c>
      <c r="NB64" s="322">
        <v>223159.58</v>
      </c>
      <c r="NC64" s="322">
        <v>282475.06</v>
      </c>
      <c r="ND64" s="322">
        <v>239393.28</v>
      </c>
      <c r="NE64" s="322">
        <v>0</v>
      </c>
      <c r="NF64" s="322">
        <v>0</v>
      </c>
      <c r="NG64" s="322">
        <v>0</v>
      </c>
      <c r="NH64" s="322">
        <v>0</v>
      </c>
      <c r="NI64" s="322">
        <v>0</v>
      </c>
      <c r="NJ64" s="322">
        <v>0</v>
      </c>
      <c r="NK64" s="322">
        <v>0</v>
      </c>
      <c r="NL64" s="322">
        <v>0</v>
      </c>
      <c r="NM64" s="322">
        <v>0</v>
      </c>
      <c r="NN64" s="322">
        <v>0</v>
      </c>
      <c r="NO64" s="322">
        <v>0</v>
      </c>
      <c r="NP64" s="322">
        <v>0</v>
      </c>
      <c r="NQ64" s="322">
        <v>0</v>
      </c>
      <c r="NR64" s="322">
        <v>0</v>
      </c>
      <c r="NS64" s="322">
        <v>0</v>
      </c>
      <c r="NT64" s="334"/>
      <c r="NU64" s="322" t="s">
        <v>47</v>
      </c>
      <c r="NV64" s="322">
        <v>124896.53</v>
      </c>
      <c r="NW64" s="322">
        <v>122990.7</v>
      </c>
      <c r="NX64" s="322">
        <v>147060.4</v>
      </c>
      <c r="NY64" s="322">
        <v>172356.6</v>
      </c>
      <c r="NZ64" s="322">
        <v>159399.70000000001</v>
      </c>
      <c r="OA64" s="322">
        <v>182777.98</v>
      </c>
      <c r="OB64" s="322">
        <v>170995.20000000001</v>
      </c>
      <c r="OC64" s="322">
        <v>0</v>
      </c>
      <c r="OD64" s="322">
        <v>0</v>
      </c>
      <c r="OE64" s="322">
        <v>0</v>
      </c>
      <c r="OF64" s="322">
        <v>0</v>
      </c>
      <c r="OG64" s="322">
        <v>0</v>
      </c>
      <c r="OH64" s="322">
        <v>0</v>
      </c>
      <c r="OI64" s="322">
        <v>0</v>
      </c>
      <c r="OJ64" s="322">
        <v>0</v>
      </c>
      <c r="OK64" s="322">
        <v>0</v>
      </c>
      <c r="OL64" s="322">
        <v>0</v>
      </c>
      <c r="OM64" s="322">
        <v>0</v>
      </c>
      <c r="ON64" s="322">
        <v>0</v>
      </c>
      <c r="OO64" s="322">
        <v>0</v>
      </c>
      <c r="OP64" s="322">
        <v>0</v>
      </c>
      <c r="OQ64" s="322">
        <v>0</v>
      </c>
      <c r="OR64" s="334"/>
      <c r="OS64" s="322" t="s">
        <v>47</v>
      </c>
      <c r="OT64" s="322">
        <v>34062.69</v>
      </c>
      <c r="OU64" s="322">
        <v>36897.21</v>
      </c>
      <c r="OV64" s="322">
        <v>36765.1</v>
      </c>
      <c r="OW64" s="322">
        <v>28726.1</v>
      </c>
      <c r="OX64" s="322">
        <v>15939.97</v>
      </c>
      <c r="OY64" s="322">
        <v>16616.18</v>
      </c>
      <c r="OZ64" s="322">
        <v>17099.52</v>
      </c>
      <c r="PA64" s="322">
        <v>0</v>
      </c>
      <c r="PB64" s="322">
        <v>0</v>
      </c>
      <c r="PC64" s="322">
        <v>0</v>
      </c>
      <c r="PD64" s="322">
        <v>0</v>
      </c>
      <c r="PE64" s="322">
        <v>0</v>
      </c>
      <c r="PF64" s="322">
        <v>0</v>
      </c>
      <c r="PG64" s="322">
        <v>0</v>
      </c>
      <c r="PH64" s="322">
        <v>0</v>
      </c>
      <c r="PI64" s="322">
        <v>0</v>
      </c>
      <c r="PJ64" s="322">
        <v>0</v>
      </c>
      <c r="PK64" s="322">
        <v>0</v>
      </c>
      <c r="PL64" s="322">
        <v>0</v>
      </c>
      <c r="PM64" s="322">
        <v>0</v>
      </c>
      <c r="PN64" s="322">
        <v>0</v>
      </c>
      <c r="PO64" s="322">
        <v>0</v>
      </c>
      <c r="PP64" s="334"/>
      <c r="PQ64" s="322" t="s">
        <v>47</v>
      </c>
      <c r="PR64" s="322">
        <v>11354.23</v>
      </c>
      <c r="PS64" s="322">
        <v>12299.07</v>
      </c>
      <c r="PT64" s="322">
        <v>18382.55</v>
      </c>
      <c r="PU64" s="322">
        <v>14363.05</v>
      </c>
      <c r="PV64" s="322">
        <v>15939.97</v>
      </c>
      <c r="PW64" s="322">
        <v>16616.18</v>
      </c>
      <c r="PX64" s="322">
        <v>17099.52</v>
      </c>
      <c r="PY64" s="322">
        <v>0</v>
      </c>
      <c r="PZ64" s="322">
        <v>0</v>
      </c>
      <c r="QA64" s="322">
        <v>0</v>
      </c>
      <c r="QB64" s="322">
        <v>0</v>
      </c>
      <c r="QC64" s="322">
        <v>0</v>
      </c>
      <c r="QD64" s="322">
        <v>0</v>
      </c>
      <c r="QE64" s="322">
        <v>0</v>
      </c>
      <c r="QF64" s="322">
        <v>0</v>
      </c>
      <c r="QG64" s="322">
        <v>0</v>
      </c>
      <c r="QH64" s="322">
        <v>0</v>
      </c>
      <c r="QI64" s="322">
        <v>0</v>
      </c>
      <c r="QJ64" s="322">
        <v>0</v>
      </c>
      <c r="QK64" s="322">
        <v>0</v>
      </c>
      <c r="QL64" s="322">
        <v>0</v>
      </c>
      <c r="QM64" s="322">
        <v>0</v>
      </c>
      <c r="QN64" s="334"/>
      <c r="QO64" s="322" t="s">
        <v>47</v>
      </c>
      <c r="QP64" s="322">
        <v>0</v>
      </c>
      <c r="QQ64" s="322">
        <v>0</v>
      </c>
      <c r="QR64" s="322">
        <v>0</v>
      </c>
      <c r="QS64" s="322">
        <v>0</v>
      </c>
      <c r="QT64" s="322">
        <v>0</v>
      </c>
      <c r="QU64" s="322">
        <v>0</v>
      </c>
      <c r="QV64" s="322">
        <v>0</v>
      </c>
      <c r="QW64" s="322">
        <v>0</v>
      </c>
      <c r="QX64" s="322">
        <v>0</v>
      </c>
      <c r="QY64" s="322">
        <v>0</v>
      </c>
      <c r="QZ64" s="322">
        <v>15031.17</v>
      </c>
      <c r="RA64" s="322">
        <v>9894.65</v>
      </c>
      <c r="RB64" s="322">
        <v>21478.2</v>
      </c>
      <c r="RC64" s="322">
        <v>21117.45</v>
      </c>
      <c r="RD64" s="322">
        <v>20495.8</v>
      </c>
      <c r="RE64" s="322">
        <v>34595.020000000004</v>
      </c>
      <c r="RF64" s="322">
        <v>29140.520000000004</v>
      </c>
      <c r="RG64" s="322">
        <v>18461.570000000003</v>
      </c>
      <c r="RH64" s="322">
        <v>9887.06</v>
      </c>
      <c r="RI64" s="322">
        <v>12060.630000000001</v>
      </c>
      <c r="RJ64" s="322">
        <v>7004.75</v>
      </c>
      <c r="RK64" s="322">
        <v>19910</v>
      </c>
      <c r="RL64" s="334"/>
      <c r="RM64" s="322" t="s">
        <v>47</v>
      </c>
      <c r="RN64" s="322">
        <v>34062.69</v>
      </c>
      <c r="RO64" s="322">
        <v>61495.35</v>
      </c>
      <c r="RP64" s="322">
        <v>55147.65</v>
      </c>
      <c r="RQ64" s="322">
        <v>43089.15</v>
      </c>
      <c r="RR64" s="322">
        <v>31879.94</v>
      </c>
      <c r="RS64" s="322">
        <v>33232.36</v>
      </c>
      <c r="RT64" s="322">
        <v>34199.040000000001</v>
      </c>
      <c r="RU64" s="322">
        <v>150438.72</v>
      </c>
      <c r="RV64" s="322">
        <v>335000</v>
      </c>
      <c r="RW64" s="322">
        <v>565000</v>
      </c>
      <c r="RX64" s="322">
        <v>586278.93999999994</v>
      </c>
      <c r="RY64" s="322">
        <v>851040</v>
      </c>
      <c r="RZ64" s="322">
        <v>765880.2</v>
      </c>
      <c r="SA64" s="322">
        <v>602650</v>
      </c>
      <c r="SB64" s="322">
        <v>560000</v>
      </c>
      <c r="SC64" s="322">
        <v>283589.29000000004</v>
      </c>
      <c r="SD64" s="322">
        <v>538000</v>
      </c>
      <c r="SE64" s="322">
        <v>225000</v>
      </c>
      <c r="SF64" s="322">
        <v>235000</v>
      </c>
      <c r="SG64" s="322">
        <v>250049.91</v>
      </c>
      <c r="SH64" s="322">
        <v>287000</v>
      </c>
      <c r="SI64" s="322">
        <v>367000</v>
      </c>
    </row>
    <row r="65" spans="1:503">
      <c r="A65" s="319" t="s">
        <v>48</v>
      </c>
      <c r="B65" s="319">
        <v>498814</v>
      </c>
      <c r="C65" s="319">
        <v>516691</v>
      </c>
      <c r="D65" s="319">
        <v>557357</v>
      </c>
      <c r="E65" s="319">
        <v>539683</v>
      </c>
      <c r="F65" s="319">
        <v>606797</v>
      </c>
      <c r="G65" s="319">
        <v>706995</v>
      </c>
      <c r="H65" s="319">
        <v>656993</v>
      </c>
      <c r="I65" s="319">
        <v>652071</v>
      </c>
      <c r="J65" s="319">
        <v>628641.3600000001</v>
      </c>
      <c r="K65" s="319">
        <v>561345.59000000008</v>
      </c>
      <c r="L65" s="319">
        <v>589962.82000000007</v>
      </c>
      <c r="M65" s="319">
        <v>640355.78</v>
      </c>
      <c r="N65" s="319">
        <v>710306.91999999993</v>
      </c>
      <c r="O65" s="319">
        <v>801645.61</v>
      </c>
      <c r="P65" s="319">
        <v>748105.57000000007</v>
      </c>
      <c r="Q65" s="319">
        <v>739238.55</v>
      </c>
      <c r="R65" s="319">
        <v>743341.1100000001</v>
      </c>
      <c r="S65" s="322">
        <v>711664.86</v>
      </c>
      <c r="T65" s="319">
        <v>751441.94</v>
      </c>
      <c r="U65" s="319">
        <v>775180.78</v>
      </c>
      <c r="V65" s="319">
        <v>862910.22</v>
      </c>
      <c r="W65" s="319">
        <v>1031196.53</v>
      </c>
      <c r="X65" s="330"/>
      <c r="Y65" s="319" t="s">
        <v>48</v>
      </c>
      <c r="Z65" s="319">
        <v>39905.120000000003</v>
      </c>
      <c r="AA65" s="319">
        <v>36168.370000000003</v>
      </c>
      <c r="AB65" s="319">
        <v>39014.99</v>
      </c>
      <c r="AC65" s="319">
        <v>59365.13</v>
      </c>
      <c r="AD65" s="319">
        <v>60679.7</v>
      </c>
      <c r="AE65" s="319">
        <v>56559.6</v>
      </c>
      <c r="AF65" s="319">
        <v>63629.55</v>
      </c>
      <c r="AG65" s="319">
        <v>58686.39</v>
      </c>
      <c r="AH65" s="319">
        <v>59024</v>
      </c>
      <c r="AI65" s="319">
        <v>63050</v>
      </c>
      <c r="AJ65" s="319">
        <v>63175</v>
      </c>
      <c r="AK65" s="319">
        <v>66709.56</v>
      </c>
      <c r="AL65" s="319">
        <v>66766.25</v>
      </c>
      <c r="AM65" s="319">
        <v>67306.710000000006</v>
      </c>
      <c r="AN65" s="319">
        <v>67288.2</v>
      </c>
      <c r="AO65" s="319">
        <v>67370.3</v>
      </c>
      <c r="AP65" s="319">
        <v>67862.539999999994</v>
      </c>
      <c r="AQ65" s="322">
        <v>71639.239999999991</v>
      </c>
      <c r="AR65" s="319">
        <v>74683.490000000005</v>
      </c>
      <c r="AS65" s="319">
        <v>70728.930000000008</v>
      </c>
      <c r="AT65" s="319">
        <v>79475.56</v>
      </c>
      <c r="AU65" s="319">
        <v>82466.02</v>
      </c>
      <c r="AV65" s="334"/>
      <c r="AW65" s="319" t="s">
        <v>48</v>
      </c>
      <c r="AX65" s="319">
        <v>39905.120000000003</v>
      </c>
      <c r="AY65" s="319">
        <v>41335.279999999999</v>
      </c>
      <c r="AZ65" s="319">
        <v>44588.56</v>
      </c>
      <c r="BA65" s="319">
        <v>48571.47</v>
      </c>
      <c r="BB65" s="319">
        <v>48543.76</v>
      </c>
      <c r="BC65" s="319">
        <v>49489.65</v>
      </c>
      <c r="BD65" s="319">
        <v>52559.44</v>
      </c>
      <c r="BE65" s="319">
        <v>58686.39</v>
      </c>
      <c r="BF65" s="319">
        <v>49621.45</v>
      </c>
      <c r="BG65" s="319">
        <v>51676.17</v>
      </c>
      <c r="BH65" s="319">
        <v>63147</v>
      </c>
      <c r="BI65" s="319">
        <v>78143.299999999988</v>
      </c>
      <c r="BJ65" s="319">
        <v>91977.599999999991</v>
      </c>
      <c r="BK65" s="319">
        <v>118171.21999999999</v>
      </c>
      <c r="BL65" s="319">
        <v>91223.66</v>
      </c>
      <c r="BM65" s="319">
        <v>90824.26</v>
      </c>
      <c r="BN65" s="319">
        <v>89845.670000000013</v>
      </c>
      <c r="BO65" s="322">
        <v>84234.770000000019</v>
      </c>
      <c r="BP65" s="319">
        <v>87625.23</v>
      </c>
      <c r="BQ65" s="319">
        <v>86551.849999999991</v>
      </c>
      <c r="BR65" s="319">
        <v>93617.95</v>
      </c>
      <c r="BS65" s="319">
        <v>107115.53</v>
      </c>
      <c r="BT65" s="334"/>
      <c r="BU65" s="322" t="s">
        <v>48</v>
      </c>
      <c r="BV65" s="322">
        <v>14964.42</v>
      </c>
      <c r="BW65" s="322">
        <v>5166.91</v>
      </c>
      <c r="BX65" s="322">
        <v>11147.14</v>
      </c>
      <c r="BY65" s="322">
        <v>5396.83</v>
      </c>
      <c r="BZ65" s="322">
        <v>18203.91</v>
      </c>
      <c r="CA65" s="322">
        <v>7069.95</v>
      </c>
      <c r="CB65" s="322">
        <v>13139.86</v>
      </c>
      <c r="CC65" s="322">
        <v>6520.71</v>
      </c>
      <c r="CD65" s="322">
        <v>17633.75</v>
      </c>
      <c r="CE65" s="322">
        <v>5214.67</v>
      </c>
      <c r="CF65" s="322">
        <v>14754.3</v>
      </c>
      <c r="CG65" s="322">
        <v>5675.23</v>
      </c>
      <c r="CH65" s="322">
        <v>29607.840000000004</v>
      </c>
      <c r="CI65" s="322">
        <v>8962.67</v>
      </c>
      <c r="CJ65" s="322">
        <v>28078.32</v>
      </c>
      <c r="CK65" s="322">
        <v>16316.879999999997</v>
      </c>
      <c r="CL65" s="322">
        <v>40444.949999999997</v>
      </c>
      <c r="CM65" s="322">
        <v>9460.92</v>
      </c>
      <c r="CN65" s="322">
        <v>32570.730000000003</v>
      </c>
      <c r="CO65" s="322">
        <v>12915.5</v>
      </c>
      <c r="CP65" s="322">
        <v>64925.770000000004</v>
      </c>
      <c r="CQ65" s="322">
        <v>15513</v>
      </c>
      <c r="CR65" s="334"/>
      <c r="CS65" s="322" t="s">
        <v>48</v>
      </c>
      <c r="CT65" s="322">
        <v>29928.84</v>
      </c>
      <c r="CU65" s="322">
        <v>41335.279999999999</v>
      </c>
      <c r="CV65" s="322">
        <v>50162.13</v>
      </c>
      <c r="CW65" s="322">
        <v>48571.47</v>
      </c>
      <c r="CX65" s="322">
        <v>54611.73</v>
      </c>
      <c r="CY65" s="322">
        <v>127259.1</v>
      </c>
      <c r="CZ65" s="322">
        <v>52559.44</v>
      </c>
      <c r="DA65" s="322">
        <v>52165.68</v>
      </c>
      <c r="DB65" s="322">
        <v>48744.17</v>
      </c>
      <c r="DC65" s="322">
        <v>79196.539999999994</v>
      </c>
      <c r="DD65" s="322">
        <v>60006.310000000005</v>
      </c>
      <c r="DE65" s="322">
        <v>63194.450000000004</v>
      </c>
      <c r="DF65" s="322">
        <v>81993.31</v>
      </c>
      <c r="DG65" s="322">
        <v>94092.51</v>
      </c>
      <c r="DH65" s="322">
        <v>66009.259999999995</v>
      </c>
      <c r="DI65" s="322">
        <v>90520.19</v>
      </c>
      <c r="DJ65" s="322">
        <v>60923.239999999991</v>
      </c>
      <c r="DK65" s="322">
        <v>80502.239999999991</v>
      </c>
      <c r="DL65" s="322">
        <v>76411.350000000006</v>
      </c>
      <c r="DM65" s="322">
        <v>61132.800000000003</v>
      </c>
      <c r="DN65" s="322">
        <v>72400.100000000006</v>
      </c>
      <c r="DO65" s="322">
        <v>95125.05</v>
      </c>
      <c r="DP65" s="334"/>
      <c r="DQ65" s="322" t="s">
        <v>48</v>
      </c>
      <c r="DR65" s="322">
        <v>29928.84</v>
      </c>
      <c r="DS65" s="322">
        <v>31001.46</v>
      </c>
      <c r="DT65" s="322">
        <v>33441.42</v>
      </c>
      <c r="DU65" s="322">
        <v>32380.98</v>
      </c>
      <c r="DV65" s="322">
        <v>54611.73</v>
      </c>
      <c r="DW65" s="322">
        <v>63629.55</v>
      </c>
      <c r="DX65" s="322">
        <v>59129.37</v>
      </c>
      <c r="DY65" s="322">
        <v>71727.81</v>
      </c>
      <c r="DZ65" s="322">
        <v>61978.83</v>
      </c>
      <c r="EA65" s="322">
        <v>56892.99</v>
      </c>
      <c r="EB65" s="322">
        <v>59150.720000000001</v>
      </c>
      <c r="EC65" s="322">
        <v>67192.38</v>
      </c>
      <c r="ED65" s="322">
        <v>73636.66</v>
      </c>
      <c r="EE65" s="322">
        <v>77823.520000000004</v>
      </c>
      <c r="EF65" s="322">
        <v>80955.320000000007</v>
      </c>
      <c r="EG65" s="322">
        <v>84517.33</v>
      </c>
      <c r="EH65" s="322">
        <v>92569.049999999988</v>
      </c>
      <c r="EI65" s="322">
        <v>95711.090000000011</v>
      </c>
      <c r="EJ65" s="322">
        <v>97684.85</v>
      </c>
      <c r="EK65" s="322">
        <v>108360.06</v>
      </c>
      <c r="EL65" s="322">
        <v>121661.67</v>
      </c>
      <c r="EM65" s="322">
        <v>160650</v>
      </c>
      <c r="EN65" s="334"/>
      <c r="EO65" s="322" t="s">
        <v>48</v>
      </c>
      <c r="EP65" s="322">
        <v>24940.7</v>
      </c>
      <c r="EQ65" s="322">
        <v>25834.55</v>
      </c>
      <c r="ER65" s="322">
        <v>27867.85</v>
      </c>
      <c r="ES65" s="322">
        <v>26984.15</v>
      </c>
      <c r="ET65" s="322">
        <v>30339.85</v>
      </c>
      <c r="EU65" s="322">
        <v>35349.75</v>
      </c>
      <c r="EV65" s="322">
        <v>32849.65</v>
      </c>
      <c r="EW65" s="322">
        <v>39124.26</v>
      </c>
      <c r="EX65" s="322">
        <v>36834.21</v>
      </c>
      <c r="EY65" s="322">
        <v>36440.199999999997</v>
      </c>
      <c r="EZ65" s="322">
        <v>34302.329999999994</v>
      </c>
      <c r="FA65" s="322">
        <v>54615.580000000009</v>
      </c>
      <c r="FB65" s="322">
        <v>58603.07</v>
      </c>
      <c r="FC65" s="322">
        <v>70852.689999999988</v>
      </c>
      <c r="FD65" s="322">
        <v>61476.5</v>
      </c>
      <c r="FE65" s="322">
        <v>57655.799999999996</v>
      </c>
      <c r="FF65" s="322">
        <v>53574.539999999994</v>
      </c>
      <c r="FG65" s="322">
        <v>58112.59</v>
      </c>
      <c r="FH65" s="322">
        <v>61447.93</v>
      </c>
      <c r="FI65" s="322">
        <v>61994.239999999991</v>
      </c>
      <c r="FJ65" s="322">
        <v>63737.57</v>
      </c>
      <c r="FK65" s="322">
        <v>70202.929999999993</v>
      </c>
      <c r="FL65" s="334"/>
      <c r="FM65" s="322" t="s">
        <v>48</v>
      </c>
      <c r="FN65" s="322">
        <v>0</v>
      </c>
      <c r="FO65" s="322">
        <v>0</v>
      </c>
      <c r="FP65" s="322">
        <v>0</v>
      </c>
      <c r="FQ65" s="322">
        <v>0</v>
      </c>
      <c r="FR65" s="322">
        <v>0</v>
      </c>
      <c r="FS65" s="322">
        <v>0</v>
      </c>
      <c r="FT65" s="322">
        <v>0</v>
      </c>
      <c r="FU65" s="322">
        <v>0</v>
      </c>
      <c r="FV65" s="322">
        <v>0</v>
      </c>
      <c r="FW65" s="322">
        <v>0</v>
      </c>
      <c r="FX65" s="322">
        <v>0</v>
      </c>
      <c r="FY65" s="322">
        <v>0</v>
      </c>
      <c r="FZ65" s="322">
        <v>0</v>
      </c>
      <c r="GA65" s="322">
        <v>0</v>
      </c>
      <c r="GB65" s="322">
        <v>0</v>
      </c>
      <c r="GC65" s="322">
        <v>0</v>
      </c>
      <c r="GD65" s="322">
        <v>0</v>
      </c>
      <c r="GE65" s="322">
        <v>0</v>
      </c>
      <c r="GF65" s="340">
        <v>0</v>
      </c>
      <c r="GG65" s="704">
        <v>0</v>
      </c>
      <c r="GH65" s="704">
        <v>0</v>
      </c>
      <c r="GI65" s="704">
        <v>0</v>
      </c>
      <c r="GJ65" s="334"/>
      <c r="GK65" s="322" t="s">
        <v>48</v>
      </c>
      <c r="GL65" s="322">
        <v>0</v>
      </c>
      <c r="GM65" s="322">
        <v>0</v>
      </c>
      <c r="GN65" s="322">
        <v>0</v>
      </c>
      <c r="GO65" s="322">
        <v>0</v>
      </c>
      <c r="GP65" s="322">
        <v>0</v>
      </c>
      <c r="GQ65" s="322">
        <v>0</v>
      </c>
      <c r="GR65" s="322">
        <v>0</v>
      </c>
      <c r="GS65" s="322">
        <v>0</v>
      </c>
      <c r="GT65" s="322">
        <v>0</v>
      </c>
      <c r="GU65" s="322">
        <v>0</v>
      </c>
      <c r="GV65" s="322">
        <v>0</v>
      </c>
      <c r="GW65" s="322">
        <v>0</v>
      </c>
      <c r="GX65" s="322">
        <v>0</v>
      </c>
      <c r="GY65" s="322">
        <v>0</v>
      </c>
      <c r="GZ65" s="322">
        <v>0</v>
      </c>
      <c r="HA65" s="322">
        <v>0</v>
      </c>
      <c r="HB65" s="322">
        <v>0</v>
      </c>
      <c r="HC65" s="322">
        <v>0</v>
      </c>
      <c r="HD65" s="322">
        <v>0</v>
      </c>
      <c r="HE65" s="322">
        <v>0</v>
      </c>
      <c r="HF65" s="322">
        <v>0</v>
      </c>
      <c r="HG65" s="322">
        <v>0</v>
      </c>
      <c r="HH65" s="334"/>
      <c r="HI65" s="322" t="s">
        <v>48</v>
      </c>
      <c r="HJ65" s="322">
        <v>4988.1400000000003</v>
      </c>
      <c r="HK65" s="322">
        <v>10333.82</v>
      </c>
      <c r="HL65" s="322">
        <v>5573.57</v>
      </c>
      <c r="HM65" s="322">
        <v>5396.83</v>
      </c>
      <c r="HN65" s="322">
        <v>6067.97</v>
      </c>
      <c r="HO65" s="322">
        <v>7069.95</v>
      </c>
      <c r="HP65" s="322">
        <v>6569.93</v>
      </c>
      <c r="HQ65" s="322">
        <v>6520.71</v>
      </c>
      <c r="HR65" s="322">
        <v>3758.57</v>
      </c>
      <c r="HS65" s="322">
        <v>3619.38</v>
      </c>
      <c r="HT65" s="322">
        <v>3970.27</v>
      </c>
      <c r="HU65" s="322">
        <v>4648.24</v>
      </c>
      <c r="HV65" s="322">
        <v>5277.92</v>
      </c>
      <c r="HW65" s="322">
        <v>6124.51</v>
      </c>
      <c r="HX65" s="322">
        <v>10316.43</v>
      </c>
      <c r="HY65" s="322">
        <v>11100.710000000001</v>
      </c>
      <c r="HZ65" s="322">
        <v>9852.81</v>
      </c>
      <c r="IA65" s="322">
        <v>12003.460000000001</v>
      </c>
      <c r="IB65" s="322">
        <v>10184.030000000001</v>
      </c>
      <c r="IC65" s="322">
        <v>15017.380000000001</v>
      </c>
      <c r="ID65" s="322">
        <v>10940.86</v>
      </c>
      <c r="IE65" s="322">
        <v>19700</v>
      </c>
      <c r="IF65" s="334"/>
      <c r="IG65" s="322" t="s">
        <v>48</v>
      </c>
      <c r="IH65" s="322">
        <v>4988.1400000000003</v>
      </c>
      <c r="II65" s="322">
        <v>5166.91</v>
      </c>
      <c r="IJ65" s="322">
        <v>5573.57</v>
      </c>
      <c r="IK65" s="322">
        <v>5396.83</v>
      </c>
      <c r="IL65" s="322">
        <v>6067.97</v>
      </c>
      <c r="IM65" s="322">
        <v>7069.95</v>
      </c>
      <c r="IN65" s="322">
        <v>6569.93</v>
      </c>
      <c r="IO65" s="322">
        <v>6520.71</v>
      </c>
      <c r="IP65" s="322">
        <v>3347.2799999999997</v>
      </c>
      <c r="IQ65" s="322">
        <v>3812.48</v>
      </c>
      <c r="IR65" s="322">
        <v>4572.8500000000004</v>
      </c>
      <c r="IS65" s="322">
        <v>4543.62</v>
      </c>
      <c r="IT65" s="322">
        <v>4286.3900000000003</v>
      </c>
      <c r="IU65" s="322">
        <v>6135.5100000000011</v>
      </c>
      <c r="IV65" s="322"/>
      <c r="IW65" s="322"/>
      <c r="IX65" s="322"/>
      <c r="IY65" s="322"/>
      <c r="IZ65" s="322"/>
      <c r="JA65" s="322"/>
      <c r="JB65" s="322"/>
      <c r="JC65" s="322"/>
      <c r="JD65" s="334"/>
      <c r="JE65" s="322" t="s">
        <v>48</v>
      </c>
      <c r="JF65" s="322">
        <v>0</v>
      </c>
      <c r="JG65" s="322">
        <v>0</v>
      </c>
      <c r="JH65" s="322">
        <v>0</v>
      </c>
      <c r="JI65" s="322">
        <v>0</v>
      </c>
      <c r="JJ65" s="322">
        <v>0</v>
      </c>
      <c r="JK65" s="322">
        <v>7069.95</v>
      </c>
      <c r="JL65" s="322">
        <v>6569.93</v>
      </c>
      <c r="JM65" s="322">
        <v>0</v>
      </c>
      <c r="JN65" s="322">
        <v>5010.0899999999992</v>
      </c>
      <c r="JO65" s="322">
        <v>5693.2</v>
      </c>
      <c r="JP65" s="322">
        <v>1666.5</v>
      </c>
      <c r="JQ65" s="322">
        <v>2046.9699999999998</v>
      </c>
      <c r="JR65" s="322">
        <v>2669.6600000000003</v>
      </c>
      <c r="JS65" s="322">
        <v>3644.17</v>
      </c>
      <c r="JT65" s="322">
        <v>2922.7299999999996</v>
      </c>
      <c r="JU65" s="322">
        <v>4361.22</v>
      </c>
      <c r="JV65" s="322">
        <v>1709.2399999999998</v>
      </c>
      <c r="JW65" s="322">
        <v>3420.4599999999996</v>
      </c>
      <c r="JX65" s="322">
        <v>5610.67</v>
      </c>
      <c r="JY65" s="322">
        <v>11664.53</v>
      </c>
      <c r="JZ65" s="322">
        <v>38261.85</v>
      </c>
      <c r="KA65" s="322">
        <v>43857</v>
      </c>
      <c r="KB65" s="334"/>
      <c r="KC65" s="322" t="s">
        <v>48</v>
      </c>
      <c r="KD65" s="322">
        <v>4988.1400000000003</v>
      </c>
      <c r="KE65" s="322">
        <v>10333.82</v>
      </c>
      <c r="KF65" s="322">
        <v>11147.14</v>
      </c>
      <c r="KG65" s="322">
        <v>10793.66</v>
      </c>
      <c r="KH65" s="322">
        <v>12135.94</v>
      </c>
      <c r="KI65" s="322">
        <v>21209.85</v>
      </c>
      <c r="KJ65" s="322">
        <v>19709.79</v>
      </c>
      <c r="KK65" s="322">
        <v>19562.13</v>
      </c>
      <c r="KL65" s="322">
        <v>16395.599999999999</v>
      </c>
      <c r="KM65" s="322">
        <v>27550.68</v>
      </c>
      <c r="KN65" s="322">
        <v>28025</v>
      </c>
      <c r="KO65" s="322">
        <v>28843.63</v>
      </c>
      <c r="KP65" s="322">
        <v>31297.719999999998</v>
      </c>
      <c r="KQ65" s="322">
        <v>29451.96</v>
      </c>
      <c r="KR65" s="322">
        <v>29185.34</v>
      </c>
      <c r="KS65" s="322">
        <v>23700.739999999998</v>
      </c>
      <c r="KT65" s="322">
        <v>24411.4</v>
      </c>
      <c r="KU65" s="322">
        <v>24927.409999999996</v>
      </c>
      <c r="KV65" s="322">
        <v>26000.15</v>
      </c>
      <c r="KW65" s="322">
        <v>27426.36</v>
      </c>
      <c r="KX65" s="322">
        <v>28409.21</v>
      </c>
      <c r="KY65" s="322">
        <v>30122.01</v>
      </c>
      <c r="KZ65" s="334"/>
      <c r="LA65" s="322" t="s">
        <v>48</v>
      </c>
      <c r="LB65" s="322">
        <v>64845.82</v>
      </c>
      <c r="LC65" s="322">
        <v>62002.92</v>
      </c>
      <c r="LD65" s="322">
        <v>61309.27</v>
      </c>
      <c r="LE65" s="322">
        <v>64761.96</v>
      </c>
      <c r="LF65" s="322">
        <v>54611.73</v>
      </c>
      <c r="LG65" s="322">
        <v>63629.55</v>
      </c>
      <c r="LH65" s="322">
        <v>59129.37</v>
      </c>
      <c r="LI65" s="322">
        <v>65207.1</v>
      </c>
      <c r="LJ65" s="322">
        <v>72492.47</v>
      </c>
      <c r="LK65" s="322">
        <v>89065.21</v>
      </c>
      <c r="LL65" s="322">
        <v>82643.39</v>
      </c>
      <c r="LM65" s="322">
        <v>84126.73</v>
      </c>
      <c r="LN65" s="322">
        <v>98522.06</v>
      </c>
      <c r="LO65" s="322">
        <v>125808.2</v>
      </c>
      <c r="LP65" s="322">
        <v>89475.64</v>
      </c>
      <c r="LQ65" s="322">
        <v>85187.1</v>
      </c>
      <c r="LR65" s="322">
        <v>67926.66</v>
      </c>
      <c r="LS65" s="322">
        <v>56985.020000000004</v>
      </c>
      <c r="LT65" s="322">
        <v>63978.23</v>
      </c>
      <c r="LU65" s="322">
        <v>63499.839999999997</v>
      </c>
      <c r="LV65" s="322">
        <v>67293.22</v>
      </c>
      <c r="LW65" s="322">
        <v>81831</v>
      </c>
      <c r="LX65" s="334"/>
      <c r="LY65" s="322" t="s">
        <v>48</v>
      </c>
      <c r="LZ65" s="322">
        <v>169596.76</v>
      </c>
      <c r="MA65" s="322">
        <v>170508.03</v>
      </c>
      <c r="MB65" s="322">
        <v>189501.38</v>
      </c>
      <c r="MC65" s="322">
        <v>161904.9</v>
      </c>
      <c r="MD65" s="322">
        <v>182039.1</v>
      </c>
      <c r="ME65" s="322">
        <v>176748.75</v>
      </c>
      <c r="MF65" s="322">
        <v>203667.83</v>
      </c>
      <c r="MG65" s="322">
        <v>182579.88</v>
      </c>
      <c r="MH65" s="322">
        <v>180446.05</v>
      </c>
      <c r="MI65" s="322">
        <v>64013.51</v>
      </c>
      <c r="MJ65" s="322">
        <v>102608.76000000001</v>
      </c>
      <c r="MK65" s="322">
        <v>109667.74</v>
      </c>
      <c r="ML65" s="322">
        <v>93519.91</v>
      </c>
      <c r="MM65" s="322">
        <v>119548.52</v>
      </c>
      <c r="MN65" s="322">
        <v>145868.93</v>
      </c>
      <c r="MO65" s="322">
        <v>130889.15999999999</v>
      </c>
      <c r="MP65" s="322">
        <v>153700.18000000002</v>
      </c>
      <c r="MQ65" s="322">
        <v>130886.68</v>
      </c>
      <c r="MR65" s="322">
        <v>133442.54999999999</v>
      </c>
      <c r="MS65" s="322">
        <v>166705.23000000001</v>
      </c>
      <c r="MT65" s="322">
        <v>148242.01</v>
      </c>
      <c r="MU65" s="322">
        <v>182171.5</v>
      </c>
      <c r="MV65" s="334"/>
      <c r="MW65" s="322" t="s">
        <v>48</v>
      </c>
      <c r="MX65" s="322">
        <v>19952.560000000001</v>
      </c>
      <c r="MY65" s="322">
        <v>15500.73</v>
      </c>
      <c r="MZ65" s="322">
        <v>11147.14</v>
      </c>
      <c r="NA65" s="322">
        <v>5396.83</v>
      </c>
      <c r="NB65" s="322">
        <v>18203.91</v>
      </c>
      <c r="NC65" s="322">
        <v>14139.9</v>
      </c>
      <c r="ND65" s="322">
        <v>19709.79</v>
      </c>
      <c r="NE65" s="322">
        <v>19562.13</v>
      </c>
      <c r="NF65" s="322">
        <v>7241.06</v>
      </c>
      <c r="NG65" s="322">
        <v>3647.75</v>
      </c>
      <c r="NH65" s="322">
        <v>0</v>
      </c>
      <c r="NI65" s="322">
        <v>0</v>
      </c>
      <c r="NJ65" s="322">
        <v>2.66</v>
      </c>
      <c r="NK65" s="322">
        <v>0</v>
      </c>
      <c r="NL65" s="322">
        <v>0</v>
      </c>
      <c r="NM65" s="322">
        <v>0</v>
      </c>
      <c r="NN65" s="322">
        <v>0</v>
      </c>
      <c r="NO65" s="322">
        <v>0</v>
      </c>
      <c r="NP65" s="322">
        <v>0</v>
      </c>
      <c r="NQ65" s="322">
        <v>0</v>
      </c>
      <c r="NR65" s="322">
        <v>0</v>
      </c>
      <c r="NS65" s="322">
        <v>0</v>
      </c>
      <c r="NT65" s="334"/>
      <c r="NU65" s="322" t="s">
        <v>48</v>
      </c>
      <c r="NV65" s="322">
        <v>39905.120000000003</v>
      </c>
      <c r="NW65" s="322">
        <v>41335.279999999999</v>
      </c>
      <c r="NX65" s="322">
        <v>44588.56</v>
      </c>
      <c r="NY65" s="322">
        <v>48571.47</v>
      </c>
      <c r="NZ65" s="322">
        <v>48543.76</v>
      </c>
      <c r="OA65" s="322">
        <v>56559.6</v>
      </c>
      <c r="OB65" s="322">
        <v>52559.44</v>
      </c>
      <c r="OC65" s="322">
        <v>52165.68</v>
      </c>
      <c r="OD65" s="322">
        <v>54861.72</v>
      </c>
      <c r="OE65" s="322">
        <v>61233.290000000008</v>
      </c>
      <c r="OF65" s="322">
        <v>61633.18</v>
      </c>
      <c r="OG65" s="322">
        <v>60313.18</v>
      </c>
      <c r="OH65" s="322">
        <v>61376.429999999993</v>
      </c>
      <c r="OI65" s="322">
        <v>62340.42</v>
      </c>
      <c r="OJ65" s="322">
        <v>65017.97</v>
      </c>
      <c r="OK65" s="322">
        <v>66879.95</v>
      </c>
      <c r="OL65" s="322">
        <v>68328.849999999991</v>
      </c>
      <c r="OM65" s="322">
        <v>71915.129999999976</v>
      </c>
      <c r="ON65" s="322">
        <v>70020.28</v>
      </c>
      <c r="OO65" s="322">
        <v>73264.13999999997</v>
      </c>
      <c r="OP65" s="322">
        <v>66415.359999999986</v>
      </c>
      <c r="OQ65" s="322">
        <v>81839.58</v>
      </c>
      <c r="OR65" s="334"/>
      <c r="OS65" s="322" t="s">
        <v>48</v>
      </c>
      <c r="OT65" s="322">
        <v>9976.2800000000007</v>
      </c>
      <c r="OU65" s="322">
        <v>15500.73</v>
      </c>
      <c r="OV65" s="322">
        <v>16720.71</v>
      </c>
      <c r="OW65" s="322">
        <v>10793.66</v>
      </c>
      <c r="OX65" s="322">
        <v>6067.97</v>
      </c>
      <c r="OY65" s="322">
        <v>7069.95</v>
      </c>
      <c r="OZ65" s="322">
        <v>6569.93</v>
      </c>
      <c r="PA65" s="322">
        <v>6520.71</v>
      </c>
      <c r="PB65" s="322">
        <v>4262.1100000000006</v>
      </c>
      <c r="PC65" s="322">
        <v>2739.52</v>
      </c>
      <c r="PD65" s="322">
        <v>2807.21</v>
      </c>
      <c r="PE65" s="322">
        <v>2635.1699999999996</v>
      </c>
      <c r="PF65" s="322">
        <v>2769.4400000000005</v>
      </c>
      <c r="PG65" s="322">
        <v>3383</v>
      </c>
      <c r="PH65" s="322">
        <v>2287.27</v>
      </c>
      <c r="PI65" s="322">
        <v>1914.91</v>
      </c>
      <c r="PJ65" s="322">
        <v>3952.0600000000004</v>
      </c>
      <c r="PK65" s="322">
        <v>3378.6500000000005</v>
      </c>
      <c r="PL65" s="322">
        <v>2955.76</v>
      </c>
      <c r="PM65" s="322">
        <v>6740.16</v>
      </c>
      <c r="PN65" s="322">
        <v>3195.5299999999997</v>
      </c>
      <c r="PO65" s="322">
        <v>20252.810000000001</v>
      </c>
      <c r="PP65" s="334"/>
      <c r="PQ65" s="322" t="s">
        <v>48</v>
      </c>
      <c r="PR65" s="322">
        <v>0</v>
      </c>
      <c r="PS65" s="322">
        <v>5166.91</v>
      </c>
      <c r="PT65" s="322">
        <v>5573.57</v>
      </c>
      <c r="PU65" s="322">
        <v>5396.83</v>
      </c>
      <c r="PV65" s="322">
        <v>6067.97</v>
      </c>
      <c r="PW65" s="322">
        <v>7069.95</v>
      </c>
      <c r="PX65" s="322">
        <v>6569.93</v>
      </c>
      <c r="PY65" s="322">
        <v>6520.71</v>
      </c>
      <c r="PZ65" s="322">
        <v>6990</v>
      </c>
      <c r="QA65" s="322">
        <v>7500</v>
      </c>
      <c r="QB65" s="322">
        <v>7500</v>
      </c>
      <c r="QC65" s="322">
        <v>8000</v>
      </c>
      <c r="QD65" s="322">
        <v>8000</v>
      </c>
      <c r="QE65" s="322">
        <v>8000</v>
      </c>
      <c r="QF65" s="322">
        <v>8000</v>
      </c>
      <c r="QG65" s="322">
        <v>8000</v>
      </c>
      <c r="QH65" s="322">
        <v>8239.92</v>
      </c>
      <c r="QI65" s="322">
        <v>8487.2000000000007</v>
      </c>
      <c r="QJ65" s="322">
        <v>8826.69</v>
      </c>
      <c r="QK65" s="322">
        <v>9179.76</v>
      </c>
      <c r="QL65" s="322">
        <v>4333.5600000000004</v>
      </c>
      <c r="QM65" s="322">
        <v>13268.8</v>
      </c>
      <c r="QN65" s="334"/>
      <c r="QO65" s="322" t="s">
        <v>48</v>
      </c>
      <c r="QP65" s="322">
        <v>0</v>
      </c>
      <c r="QQ65" s="322">
        <v>0</v>
      </c>
      <c r="QR65" s="322">
        <v>0</v>
      </c>
      <c r="QS65" s="322">
        <v>0</v>
      </c>
      <c r="QT65" s="322">
        <v>0</v>
      </c>
      <c r="QU65" s="322">
        <v>0</v>
      </c>
      <c r="QV65" s="322">
        <v>0</v>
      </c>
      <c r="QW65" s="322">
        <v>0</v>
      </c>
      <c r="QX65" s="322">
        <v>0</v>
      </c>
      <c r="QY65" s="322">
        <v>0</v>
      </c>
      <c r="QZ65" s="322">
        <v>0</v>
      </c>
      <c r="RA65" s="322">
        <v>0</v>
      </c>
      <c r="RB65" s="322">
        <v>0</v>
      </c>
      <c r="RC65" s="322">
        <v>0</v>
      </c>
      <c r="RD65" s="322">
        <v>0</v>
      </c>
      <c r="RE65" s="322">
        <v>0</v>
      </c>
      <c r="RF65" s="322">
        <v>0</v>
      </c>
      <c r="RG65" s="322">
        <v>0</v>
      </c>
      <c r="RH65" s="322">
        <v>0</v>
      </c>
      <c r="RI65" s="322">
        <v>0</v>
      </c>
      <c r="RJ65" s="322">
        <v>0</v>
      </c>
      <c r="RK65" s="322">
        <v>0</v>
      </c>
      <c r="RL65" s="334"/>
      <c r="RM65" s="322" t="s">
        <v>48</v>
      </c>
      <c r="RN65" s="322">
        <v>0</v>
      </c>
      <c r="RO65" s="322">
        <v>0</v>
      </c>
      <c r="RP65" s="322">
        <v>0</v>
      </c>
      <c r="RQ65" s="322">
        <v>0</v>
      </c>
      <c r="RR65" s="322">
        <v>0</v>
      </c>
      <c r="RS65" s="322">
        <v>0</v>
      </c>
      <c r="RT65" s="322">
        <v>0</v>
      </c>
      <c r="RU65" s="322">
        <v>0</v>
      </c>
      <c r="RV65" s="322">
        <v>0</v>
      </c>
      <c r="RW65" s="322">
        <v>0</v>
      </c>
      <c r="RX65" s="322">
        <v>0</v>
      </c>
      <c r="RY65" s="322">
        <v>0</v>
      </c>
      <c r="RZ65" s="322">
        <v>0</v>
      </c>
      <c r="SA65" s="322">
        <v>0</v>
      </c>
      <c r="SB65" s="322">
        <v>0</v>
      </c>
      <c r="SC65" s="322">
        <v>0</v>
      </c>
      <c r="SD65" s="322">
        <v>0</v>
      </c>
      <c r="SE65" s="322">
        <v>0</v>
      </c>
      <c r="SF65" s="322">
        <v>0</v>
      </c>
      <c r="SG65" s="322">
        <v>0</v>
      </c>
      <c r="SH65" s="322">
        <v>0</v>
      </c>
      <c r="SI65" s="322">
        <v>0</v>
      </c>
    </row>
    <row r="66" spans="1:503">
      <c r="A66" s="319" t="s">
        <v>49</v>
      </c>
      <c r="B66" s="319">
        <v>1776560</v>
      </c>
      <c r="C66" s="319">
        <v>1732680</v>
      </c>
      <c r="D66" s="319">
        <v>1685289</v>
      </c>
      <c r="E66" s="319">
        <v>1966954</v>
      </c>
      <c r="F66" s="319">
        <v>2284080</v>
      </c>
      <c r="G66" s="319">
        <v>1942905</v>
      </c>
      <c r="H66" s="319">
        <v>3153268</v>
      </c>
      <c r="I66" s="319">
        <v>2252562</v>
      </c>
      <c r="J66" s="319">
        <v>2839886</v>
      </c>
      <c r="K66" s="319"/>
      <c r="L66" s="319"/>
      <c r="M66" s="319"/>
      <c r="N66" s="319"/>
      <c r="O66" s="319"/>
      <c r="P66" s="319"/>
      <c r="Q66" s="319"/>
      <c r="R66" s="319"/>
      <c r="S66" s="322"/>
      <c r="T66" s="319"/>
      <c r="U66" s="319"/>
      <c r="V66" s="319"/>
      <c r="W66" s="319"/>
      <c r="X66" s="330"/>
      <c r="Y66" s="319" t="s">
        <v>49</v>
      </c>
      <c r="Z66" s="319">
        <v>53296.800000000003</v>
      </c>
      <c r="AA66" s="319">
        <v>69307.199999999997</v>
      </c>
      <c r="AB66" s="319">
        <v>67411.56</v>
      </c>
      <c r="AC66" s="319">
        <v>98347.7</v>
      </c>
      <c r="AD66" s="319">
        <v>114204</v>
      </c>
      <c r="AE66" s="319">
        <v>116574.3</v>
      </c>
      <c r="AF66" s="319">
        <v>58287.15</v>
      </c>
      <c r="AG66" s="319">
        <v>112628.1</v>
      </c>
      <c r="AH66" s="319">
        <v>113595.44</v>
      </c>
      <c r="AI66" s="319"/>
      <c r="AJ66" s="319"/>
      <c r="AK66" s="319"/>
      <c r="AL66" s="319"/>
      <c r="AM66" s="319"/>
      <c r="AN66" s="319"/>
      <c r="AO66" s="319"/>
      <c r="AP66" s="319"/>
      <c r="AQ66" s="322"/>
      <c r="AR66" s="319"/>
      <c r="AS66" s="319"/>
      <c r="AT66" s="319"/>
      <c r="AU66" s="319"/>
      <c r="AV66" s="334"/>
      <c r="AW66" s="319" t="s">
        <v>49</v>
      </c>
      <c r="AX66" s="319">
        <v>71062.400000000009</v>
      </c>
      <c r="AY66" s="319">
        <v>69307.199999999997</v>
      </c>
      <c r="AZ66" s="319">
        <v>84264.450000000012</v>
      </c>
      <c r="BA66" s="319">
        <v>78678.16</v>
      </c>
      <c r="BB66" s="319">
        <v>91363.199999999997</v>
      </c>
      <c r="BC66" s="319">
        <v>77716.2</v>
      </c>
      <c r="BD66" s="319">
        <v>94598.04</v>
      </c>
      <c r="BE66" s="319">
        <v>90102.48</v>
      </c>
      <c r="BF66" s="319">
        <v>8452.0416666666661</v>
      </c>
      <c r="BG66" s="319"/>
      <c r="BH66" s="319"/>
      <c r="BI66" s="319"/>
      <c r="BJ66" s="319"/>
      <c r="BK66" s="319"/>
      <c r="BL66" s="319"/>
      <c r="BM66" s="319"/>
      <c r="BN66" s="319"/>
      <c r="BO66" s="322"/>
      <c r="BP66" s="319"/>
      <c r="BQ66" s="319"/>
      <c r="BR66" s="319"/>
      <c r="BS66" s="319"/>
      <c r="BT66" s="334"/>
      <c r="BU66" s="322" t="s">
        <v>49</v>
      </c>
      <c r="BV66" s="322">
        <v>88828</v>
      </c>
      <c r="BW66" s="322">
        <v>34653.599999999999</v>
      </c>
      <c r="BX66" s="322">
        <v>101117.34</v>
      </c>
      <c r="BY66" s="322">
        <v>59008.62</v>
      </c>
      <c r="BZ66" s="322">
        <v>182726.39999999999</v>
      </c>
      <c r="CA66" s="322">
        <v>77716.2</v>
      </c>
      <c r="CB66" s="322">
        <v>126130.72</v>
      </c>
      <c r="CC66" s="322">
        <v>90102.48</v>
      </c>
      <c r="CD66" s="322">
        <v>198792.02</v>
      </c>
      <c r="CE66" s="322"/>
      <c r="CF66" s="322"/>
      <c r="CG66" s="322"/>
      <c r="CH66" s="322"/>
      <c r="CI66" s="322"/>
      <c r="CJ66" s="322"/>
      <c r="CK66" s="322"/>
      <c r="CL66" s="322"/>
      <c r="CM66" s="322"/>
      <c r="CN66" s="322"/>
      <c r="CO66" s="322"/>
      <c r="CP66" s="322"/>
      <c r="CQ66" s="322"/>
      <c r="CR66" s="334"/>
      <c r="CS66" s="322" t="s">
        <v>49</v>
      </c>
      <c r="CT66" s="322">
        <v>124359.2</v>
      </c>
      <c r="CU66" s="322">
        <v>86634</v>
      </c>
      <c r="CV66" s="322">
        <v>67411.56</v>
      </c>
      <c r="CW66" s="322">
        <v>118017.24</v>
      </c>
      <c r="CX66" s="322">
        <v>91363.199999999997</v>
      </c>
      <c r="CY66" s="322">
        <v>58287.15</v>
      </c>
      <c r="CZ66" s="322">
        <v>63065.36</v>
      </c>
      <c r="DA66" s="322">
        <v>90102.48</v>
      </c>
      <c r="DB66" s="322">
        <v>170393.16</v>
      </c>
      <c r="DC66" s="322"/>
      <c r="DD66" s="322"/>
      <c r="DE66" s="322"/>
      <c r="DF66" s="322"/>
      <c r="DG66" s="322"/>
      <c r="DH66" s="322"/>
      <c r="DI66" s="322"/>
      <c r="DJ66" s="322"/>
      <c r="DK66" s="322"/>
      <c r="DL66" s="322"/>
      <c r="DM66" s="322"/>
      <c r="DN66" s="322"/>
      <c r="DO66" s="322"/>
      <c r="DP66" s="334"/>
      <c r="DQ66" s="322" t="s">
        <v>49</v>
      </c>
      <c r="DR66" s="322">
        <v>177656</v>
      </c>
      <c r="DS66" s="322">
        <v>138614.39999999999</v>
      </c>
      <c r="DT66" s="322">
        <v>202234.68</v>
      </c>
      <c r="DU66" s="322">
        <v>216364.94</v>
      </c>
      <c r="DV66" s="322">
        <v>228408</v>
      </c>
      <c r="DW66" s="322">
        <v>272006.7</v>
      </c>
      <c r="DX66" s="322">
        <v>378392.16</v>
      </c>
      <c r="DY66" s="322">
        <v>315358.68</v>
      </c>
      <c r="DZ66" s="322">
        <v>340786.32</v>
      </c>
      <c r="EA66" s="322"/>
      <c r="EB66" s="322"/>
      <c r="EC66" s="322"/>
      <c r="ED66" s="322"/>
      <c r="EE66" s="322"/>
      <c r="EF66" s="322"/>
      <c r="EG66" s="322"/>
      <c r="EH66" s="322"/>
      <c r="EI66" s="322"/>
      <c r="EJ66" s="322"/>
      <c r="EK66" s="322"/>
      <c r="EL66" s="322"/>
      <c r="EM66" s="322"/>
      <c r="EN66" s="334"/>
      <c r="EO66" s="322" t="s">
        <v>49</v>
      </c>
      <c r="EP66" s="322">
        <v>35531.199999999997</v>
      </c>
      <c r="EQ66" s="322">
        <v>34653.599999999999</v>
      </c>
      <c r="ER66" s="322">
        <v>33705.78</v>
      </c>
      <c r="ES66" s="322">
        <v>39339.08</v>
      </c>
      <c r="ET66" s="322">
        <v>45681.599999999999</v>
      </c>
      <c r="EU66" s="322">
        <v>38858.1</v>
      </c>
      <c r="EV66" s="322">
        <v>31532.68</v>
      </c>
      <c r="EW66" s="322">
        <v>45051.24</v>
      </c>
      <c r="EX66" s="322">
        <v>56797.72</v>
      </c>
      <c r="EY66" s="322"/>
      <c r="EZ66" s="322"/>
      <c r="FA66" s="322"/>
      <c r="FB66" s="322"/>
      <c r="FC66" s="322"/>
      <c r="FD66" s="322"/>
      <c r="FE66" s="322"/>
      <c r="FF66" s="322"/>
      <c r="FG66" s="322"/>
      <c r="FH66" s="322"/>
      <c r="FI66" s="322"/>
      <c r="FJ66" s="322"/>
      <c r="FK66" s="322"/>
      <c r="FL66" s="334"/>
      <c r="FM66" s="322" t="s">
        <v>49</v>
      </c>
      <c r="FN66" s="322">
        <v>71062.399999999994</v>
      </c>
      <c r="FO66" s="322">
        <v>69307.199999999997</v>
      </c>
      <c r="FP66" s="322">
        <v>84264.45</v>
      </c>
      <c r="FQ66" s="322">
        <v>78678.16</v>
      </c>
      <c r="FR66" s="322">
        <v>91363.199999999997</v>
      </c>
      <c r="FS66" s="322">
        <v>97145.25</v>
      </c>
      <c r="FT66" s="322">
        <v>94598.04</v>
      </c>
      <c r="FU66" s="322">
        <v>90102.48</v>
      </c>
      <c r="FV66" s="322">
        <v>113595.44</v>
      </c>
      <c r="FW66" s="322"/>
      <c r="FX66" s="322"/>
      <c r="FY66" s="322"/>
      <c r="FZ66" s="322"/>
      <c r="GA66" s="322"/>
      <c r="GB66" s="322"/>
      <c r="GC66" s="322"/>
      <c r="GD66" s="322"/>
      <c r="GE66" s="322"/>
      <c r="GF66" s="340"/>
      <c r="GG66" s="704"/>
      <c r="GH66" s="704"/>
      <c r="GI66" s="704"/>
      <c r="GJ66" s="334"/>
      <c r="GK66" s="322" t="s">
        <v>49</v>
      </c>
      <c r="GL66" s="322">
        <v>35531.199999999997</v>
      </c>
      <c r="GM66" s="322">
        <v>34653.599999999999</v>
      </c>
      <c r="GN66" s="322">
        <v>33705.78</v>
      </c>
      <c r="GO66" s="322">
        <v>39339.08</v>
      </c>
      <c r="GP66" s="322">
        <v>45681.599999999999</v>
      </c>
      <c r="GQ66" s="322">
        <v>38858.1</v>
      </c>
      <c r="GR66" s="322">
        <v>63065.36</v>
      </c>
      <c r="GS66" s="322">
        <v>45051.24</v>
      </c>
      <c r="GT66" s="322">
        <v>56797.72</v>
      </c>
      <c r="GU66" s="322"/>
      <c r="GV66" s="322"/>
      <c r="GW66" s="322"/>
      <c r="GX66" s="322"/>
      <c r="GY66" s="322"/>
      <c r="GZ66" s="322"/>
      <c r="HA66" s="322"/>
      <c r="HB66" s="322"/>
      <c r="HC66" s="322"/>
      <c r="HD66" s="322"/>
      <c r="HE66" s="322"/>
      <c r="HF66" s="322"/>
      <c r="HG66" s="322"/>
      <c r="HH66" s="334"/>
      <c r="HI66" s="322" t="s">
        <v>49</v>
      </c>
      <c r="HJ66" s="322">
        <v>0</v>
      </c>
      <c r="HK66" s="322">
        <v>0</v>
      </c>
      <c r="HL66" s="322">
        <v>0</v>
      </c>
      <c r="HM66" s="322">
        <v>0</v>
      </c>
      <c r="HN66" s="322">
        <v>0</v>
      </c>
      <c r="HO66" s="322">
        <v>19429.05</v>
      </c>
      <c r="HP66" s="322">
        <v>0</v>
      </c>
      <c r="HQ66" s="322">
        <v>0</v>
      </c>
      <c r="HR66" s="322">
        <v>0</v>
      </c>
      <c r="HS66" s="322"/>
      <c r="HT66" s="322"/>
      <c r="HU66" s="322"/>
      <c r="HV66" s="322"/>
      <c r="HW66" s="322"/>
      <c r="HX66" s="322"/>
      <c r="HY66" s="322"/>
      <c r="HZ66" s="322"/>
      <c r="IA66" s="322"/>
      <c r="IB66" s="322"/>
      <c r="IC66" s="322"/>
      <c r="ID66" s="322"/>
      <c r="IE66" s="322"/>
      <c r="IF66" s="334"/>
      <c r="IG66" s="322" t="s">
        <v>49</v>
      </c>
      <c r="IH66" s="322">
        <v>17765.599999999999</v>
      </c>
      <c r="II66" s="322">
        <v>17326.8</v>
      </c>
      <c r="IJ66" s="322">
        <v>16852.89</v>
      </c>
      <c r="IK66" s="322">
        <v>19669.54</v>
      </c>
      <c r="IL66" s="322">
        <v>22840.799999999999</v>
      </c>
      <c r="IM66" s="322">
        <v>19429.05</v>
      </c>
      <c r="IN66" s="322">
        <v>31532.68</v>
      </c>
      <c r="IO66" s="322">
        <v>22525.62</v>
      </c>
      <c r="IP66" s="322">
        <v>0</v>
      </c>
      <c r="IQ66" s="322"/>
      <c r="IR66" s="322"/>
      <c r="IS66" s="322"/>
      <c r="IT66" s="322"/>
      <c r="IU66" s="322"/>
      <c r="IV66" s="322"/>
      <c r="IW66" s="322"/>
      <c r="IX66" s="322"/>
      <c r="IY66" s="322"/>
      <c r="IZ66" s="322"/>
      <c r="JA66" s="322"/>
      <c r="JB66" s="322"/>
      <c r="JC66" s="322"/>
      <c r="JD66" s="334"/>
      <c r="JE66" s="322" t="s">
        <v>49</v>
      </c>
      <c r="JF66" s="322">
        <v>0</v>
      </c>
      <c r="JG66" s="322">
        <v>0</v>
      </c>
      <c r="JH66" s="322">
        <v>16852.89</v>
      </c>
      <c r="JI66" s="322">
        <v>0</v>
      </c>
      <c r="JJ66" s="322">
        <v>0</v>
      </c>
      <c r="JK66" s="322">
        <v>19429.05</v>
      </c>
      <c r="JL66" s="322">
        <v>0</v>
      </c>
      <c r="JM66" s="322">
        <v>0</v>
      </c>
      <c r="JN66" s="322">
        <v>0</v>
      </c>
      <c r="JO66" s="322"/>
      <c r="JP66" s="322"/>
      <c r="JQ66" s="322"/>
      <c r="JR66" s="322"/>
      <c r="JS66" s="322"/>
      <c r="JT66" s="322"/>
      <c r="JU66" s="322"/>
      <c r="JV66" s="322"/>
      <c r="JW66" s="322"/>
      <c r="JX66" s="322"/>
      <c r="JY66" s="322"/>
      <c r="JZ66" s="322"/>
      <c r="KA66" s="322"/>
      <c r="KB66" s="334"/>
      <c r="KC66" s="322" t="s">
        <v>49</v>
      </c>
      <c r="KD66" s="322">
        <v>17765.599999999999</v>
      </c>
      <c r="KE66" s="322">
        <v>17326.8</v>
      </c>
      <c r="KF66" s="322">
        <v>16852.89</v>
      </c>
      <c r="KG66" s="322">
        <v>19669.54</v>
      </c>
      <c r="KH66" s="322">
        <v>22840.799999999999</v>
      </c>
      <c r="KI66" s="322">
        <v>38858.1</v>
      </c>
      <c r="KJ66" s="322">
        <v>31532.68</v>
      </c>
      <c r="KK66" s="322">
        <v>22525.62</v>
      </c>
      <c r="KL66" s="322">
        <v>28398.86</v>
      </c>
      <c r="KM66" s="322"/>
      <c r="KN66" s="322"/>
      <c r="KO66" s="322"/>
      <c r="KP66" s="322"/>
      <c r="KQ66" s="322"/>
      <c r="KR66" s="322"/>
      <c r="KS66" s="322"/>
      <c r="KT66" s="322"/>
      <c r="KU66" s="322"/>
      <c r="KV66" s="322"/>
      <c r="KW66" s="322"/>
      <c r="KX66" s="322"/>
      <c r="KY66" s="322"/>
      <c r="KZ66" s="334"/>
      <c r="LA66" s="322" t="s">
        <v>49</v>
      </c>
      <c r="LB66" s="322">
        <v>71062.399999999994</v>
      </c>
      <c r="LC66" s="322">
        <v>51980.4</v>
      </c>
      <c r="LD66" s="322">
        <v>84264.45</v>
      </c>
      <c r="LE66" s="322">
        <v>137686.78</v>
      </c>
      <c r="LF66" s="322">
        <v>251248.8</v>
      </c>
      <c r="LG66" s="322">
        <v>116574.3</v>
      </c>
      <c r="LH66" s="322">
        <v>189196.08</v>
      </c>
      <c r="LI66" s="322">
        <v>270307.44</v>
      </c>
      <c r="LJ66" s="322">
        <v>312387.46000000002</v>
      </c>
      <c r="LK66" s="322"/>
      <c r="LL66" s="322"/>
      <c r="LM66" s="322"/>
      <c r="LN66" s="322"/>
      <c r="LO66" s="322"/>
      <c r="LP66" s="322"/>
      <c r="LQ66" s="322"/>
      <c r="LR66" s="322"/>
      <c r="LS66" s="322"/>
      <c r="LT66" s="322"/>
      <c r="LU66" s="322"/>
      <c r="LV66" s="322"/>
      <c r="LW66" s="322"/>
      <c r="LX66" s="334"/>
      <c r="LY66" s="322" t="s">
        <v>49</v>
      </c>
      <c r="LZ66" s="322">
        <v>319780.8</v>
      </c>
      <c r="MA66" s="322">
        <v>346536</v>
      </c>
      <c r="MB66" s="322">
        <v>353910.69</v>
      </c>
      <c r="MC66" s="322">
        <v>373721.26</v>
      </c>
      <c r="MD66" s="322">
        <v>433975.2</v>
      </c>
      <c r="ME66" s="322">
        <v>505155.3</v>
      </c>
      <c r="MF66" s="322">
        <v>756784.32</v>
      </c>
      <c r="MG66" s="322">
        <v>630717.36</v>
      </c>
      <c r="MH66" s="322">
        <v>653173.78</v>
      </c>
      <c r="MI66" s="322"/>
      <c r="MJ66" s="322"/>
      <c r="MK66" s="322"/>
      <c r="ML66" s="322"/>
      <c r="MM66" s="322"/>
      <c r="MN66" s="322"/>
      <c r="MO66" s="322"/>
      <c r="MP66" s="322"/>
      <c r="MQ66" s="322"/>
      <c r="MR66" s="322"/>
      <c r="MS66" s="322"/>
      <c r="MT66" s="322"/>
      <c r="MU66" s="322"/>
      <c r="MV66" s="334"/>
      <c r="MW66" s="322" t="s">
        <v>49</v>
      </c>
      <c r="MX66" s="322">
        <v>302015.2</v>
      </c>
      <c r="MY66" s="322">
        <v>346536</v>
      </c>
      <c r="MZ66" s="322">
        <v>33705.78</v>
      </c>
      <c r="NA66" s="322">
        <v>0</v>
      </c>
      <c r="NB66" s="322">
        <v>0</v>
      </c>
      <c r="NC66" s="322">
        <v>0</v>
      </c>
      <c r="ND66" s="322">
        <v>0</v>
      </c>
      <c r="NE66" s="322">
        <v>0</v>
      </c>
      <c r="NF66" s="322">
        <v>0</v>
      </c>
      <c r="NG66" s="322"/>
      <c r="NH66" s="322"/>
      <c r="NI66" s="322"/>
      <c r="NJ66" s="322"/>
      <c r="NK66" s="322"/>
      <c r="NL66" s="322"/>
      <c r="NM66" s="322"/>
      <c r="NN66" s="322"/>
      <c r="NO66" s="322"/>
      <c r="NP66" s="322"/>
      <c r="NQ66" s="322"/>
      <c r="NR66" s="322"/>
      <c r="NS66" s="322"/>
      <c r="NT66" s="334"/>
      <c r="NU66" s="322" t="s">
        <v>49</v>
      </c>
      <c r="NV66" s="322">
        <v>88828</v>
      </c>
      <c r="NW66" s="322">
        <v>103960.8</v>
      </c>
      <c r="NX66" s="322">
        <v>101117.34</v>
      </c>
      <c r="NY66" s="322">
        <v>137686.78</v>
      </c>
      <c r="NZ66" s="322">
        <v>159885.6</v>
      </c>
      <c r="OA66" s="322">
        <v>174861.45</v>
      </c>
      <c r="OB66" s="322">
        <v>189196.08</v>
      </c>
      <c r="OC66" s="322">
        <v>180204.96</v>
      </c>
      <c r="OD66" s="322">
        <v>170393.16</v>
      </c>
      <c r="OE66" s="322"/>
      <c r="OF66" s="322"/>
      <c r="OG66" s="322"/>
      <c r="OH66" s="322"/>
      <c r="OI66" s="322"/>
      <c r="OJ66" s="322"/>
      <c r="OK66" s="322"/>
      <c r="OL66" s="322"/>
      <c r="OM66" s="322"/>
      <c r="ON66" s="322"/>
      <c r="OO66" s="322"/>
      <c r="OP66" s="322"/>
      <c r="OQ66" s="322"/>
      <c r="OR66" s="334"/>
      <c r="OS66" s="322" t="s">
        <v>49</v>
      </c>
      <c r="OT66" s="322">
        <v>88828</v>
      </c>
      <c r="OU66" s="322">
        <v>86634</v>
      </c>
      <c r="OV66" s="322">
        <v>134823.12</v>
      </c>
      <c r="OW66" s="322">
        <v>78678.16</v>
      </c>
      <c r="OX66" s="322">
        <v>45681.599999999999</v>
      </c>
      <c r="OY66" s="322">
        <v>58287.15</v>
      </c>
      <c r="OZ66" s="322">
        <v>63065.36</v>
      </c>
      <c r="PA66" s="322">
        <v>67576.86</v>
      </c>
      <c r="PB66" s="322">
        <v>56797.72</v>
      </c>
      <c r="PC66" s="322"/>
      <c r="PD66" s="322"/>
      <c r="PE66" s="322"/>
      <c r="PF66" s="322"/>
      <c r="PG66" s="322"/>
      <c r="PH66" s="322"/>
      <c r="PI66" s="322"/>
      <c r="PJ66" s="322"/>
      <c r="PK66" s="322"/>
      <c r="PL66" s="322"/>
      <c r="PM66" s="322"/>
      <c r="PN66" s="322"/>
      <c r="PO66" s="322"/>
      <c r="PP66" s="334"/>
      <c r="PQ66" s="322" t="s">
        <v>49</v>
      </c>
      <c r="PR66" s="322">
        <v>17765.599999999999</v>
      </c>
      <c r="PS66" s="322">
        <v>17326.8</v>
      </c>
      <c r="PT66" s="322">
        <v>16852.89</v>
      </c>
      <c r="PU66" s="322">
        <v>19669.54</v>
      </c>
      <c r="PV66" s="322">
        <v>22840.799999999999</v>
      </c>
      <c r="PW66" s="322">
        <v>19429.05</v>
      </c>
      <c r="PX66" s="322">
        <v>31532.68</v>
      </c>
      <c r="PY66" s="322">
        <v>22525.62</v>
      </c>
      <c r="PZ66" s="322">
        <v>28398.86</v>
      </c>
      <c r="QA66" s="322"/>
      <c r="QB66" s="322"/>
      <c r="QC66" s="322"/>
      <c r="QD66" s="322"/>
      <c r="QE66" s="322"/>
      <c r="QF66" s="322"/>
      <c r="QG66" s="322"/>
      <c r="QH66" s="322"/>
      <c r="QI66" s="322"/>
      <c r="QJ66" s="322"/>
      <c r="QK66" s="322"/>
      <c r="QL66" s="322"/>
      <c r="QM66" s="322"/>
      <c r="QN66" s="334"/>
      <c r="QO66" s="322" t="s">
        <v>49</v>
      </c>
      <c r="QP66" s="322">
        <v>177656</v>
      </c>
      <c r="QQ66" s="322">
        <v>190594.8</v>
      </c>
      <c r="QR66" s="322">
        <v>235940.46</v>
      </c>
      <c r="QS66" s="322">
        <v>255704.02</v>
      </c>
      <c r="QT66" s="322">
        <v>296930.40000000002</v>
      </c>
      <c r="QU66" s="322">
        <v>0</v>
      </c>
      <c r="QV66" s="322">
        <v>0</v>
      </c>
      <c r="QW66" s="322">
        <v>0</v>
      </c>
      <c r="QX66" s="322">
        <v>0</v>
      </c>
      <c r="QY66" s="322"/>
      <c r="QZ66" s="322"/>
      <c r="RA66" s="322"/>
      <c r="RB66" s="322"/>
      <c r="RC66" s="322"/>
      <c r="RD66" s="322"/>
      <c r="RE66" s="322"/>
      <c r="RF66" s="322"/>
      <c r="RG66" s="322"/>
      <c r="RH66" s="322"/>
      <c r="RI66" s="322"/>
      <c r="RJ66" s="322"/>
      <c r="RK66" s="322"/>
      <c r="RL66" s="334"/>
      <c r="RM66" s="322" t="s">
        <v>49</v>
      </c>
      <c r="RN66" s="322">
        <v>17765.599999999999</v>
      </c>
      <c r="RO66" s="322">
        <v>17326.8</v>
      </c>
      <c r="RP66" s="322">
        <v>0</v>
      </c>
      <c r="RQ66" s="322">
        <v>196695.4</v>
      </c>
      <c r="RR66" s="322">
        <v>137044.79999999999</v>
      </c>
      <c r="RS66" s="322">
        <v>194290.5</v>
      </c>
      <c r="RT66" s="322">
        <v>914447.72</v>
      </c>
      <c r="RU66" s="322">
        <v>157679.34</v>
      </c>
      <c r="RV66" s="322">
        <v>454381.76</v>
      </c>
      <c r="RW66" s="322"/>
      <c r="RX66" s="322"/>
      <c r="RY66" s="322"/>
      <c r="RZ66" s="322"/>
      <c r="SA66" s="322"/>
      <c r="SB66" s="322"/>
      <c r="SC66" s="322"/>
      <c r="SD66" s="322"/>
      <c r="SE66" s="322"/>
      <c r="SF66" s="322"/>
      <c r="SG66" s="322"/>
      <c r="SH66" s="322"/>
      <c r="SI66" s="322"/>
    </row>
    <row r="67" spans="1:503">
      <c r="A67" s="319" t="s">
        <v>50</v>
      </c>
      <c r="B67" s="319">
        <v>1145326</v>
      </c>
      <c r="C67" s="319">
        <v>1312844</v>
      </c>
      <c r="D67" s="319">
        <v>1525248</v>
      </c>
      <c r="E67" s="319">
        <v>1523485</v>
      </c>
      <c r="F67" s="319">
        <v>1741114</v>
      </c>
      <c r="G67" s="319">
        <v>1974931</v>
      </c>
      <c r="H67" s="319">
        <v>1680808</v>
      </c>
      <c r="I67" s="319">
        <v>1657655</v>
      </c>
      <c r="J67" s="319">
        <v>1715215.51</v>
      </c>
      <c r="K67" s="319">
        <v>1415015.18</v>
      </c>
      <c r="L67" s="319">
        <v>1588249.42</v>
      </c>
      <c r="M67" s="319">
        <v>1616958.52</v>
      </c>
      <c r="N67" s="319">
        <v>1700628.71</v>
      </c>
      <c r="O67" s="319">
        <v>1583189.62</v>
      </c>
      <c r="P67" s="319">
        <v>1856095.3299999998</v>
      </c>
      <c r="Q67" s="319">
        <v>1865497.0799999998</v>
      </c>
      <c r="R67" s="319">
        <v>1923873</v>
      </c>
      <c r="S67" s="322">
        <v>1722036.8900000001</v>
      </c>
      <c r="T67" s="319">
        <v>1738687.7799999998</v>
      </c>
      <c r="U67" s="319">
        <v>1787109.2399999998</v>
      </c>
      <c r="V67" s="319">
        <v>1829647.65</v>
      </c>
      <c r="W67" s="319">
        <v>2042100.22</v>
      </c>
      <c r="X67" s="330"/>
      <c r="Y67" s="319" t="s">
        <v>50</v>
      </c>
      <c r="Z67" s="319">
        <v>68719.56</v>
      </c>
      <c r="AA67" s="319">
        <v>78770.64</v>
      </c>
      <c r="AB67" s="319">
        <v>61009.919999999998</v>
      </c>
      <c r="AC67" s="319">
        <v>91409.1</v>
      </c>
      <c r="AD67" s="319">
        <v>87055.7</v>
      </c>
      <c r="AE67" s="319">
        <v>98746.55</v>
      </c>
      <c r="AF67" s="319">
        <v>118495.86</v>
      </c>
      <c r="AG67" s="319">
        <v>99459.3</v>
      </c>
      <c r="AH67" s="319">
        <v>84475.239999999991</v>
      </c>
      <c r="AI67" s="319">
        <v>97401.2</v>
      </c>
      <c r="AJ67" s="319">
        <v>104175.75</v>
      </c>
      <c r="AK67" s="319">
        <v>95684.069999999992</v>
      </c>
      <c r="AL67" s="319">
        <v>89374.319999999992</v>
      </c>
      <c r="AM67" s="319">
        <v>98016.85</v>
      </c>
      <c r="AN67" s="319">
        <v>95473.82</v>
      </c>
      <c r="AO67" s="319">
        <v>124130.68999999999</v>
      </c>
      <c r="AP67" s="319">
        <v>126200.73</v>
      </c>
      <c r="AQ67" s="322">
        <v>113600.51000000001</v>
      </c>
      <c r="AR67" s="319">
        <v>110617.50000000001</v>
      </c>
      <c r="AS67" s="319">
        <v>121596.2</v>
      </c>
      <c r="AT67" s="319">
        <v>110113.10000000002</v>
      </c>
      <c r="AU67" s="319">
        <v>136245</v>
      </c>
      <c r="AV67" s="334"/>
      <c r="AW67" s="319" t="s">
        <v>50</v>
      </c>
      <c r="AX67" s="319">
        <v>57266.3</v>
      </c>
      <c r="AY67" s="319">
        <v>65642.2</v>
      </c>
      <c r="AZ67" s="319">
        <v>61009.919999999998</v>
      </c>
      <c r="BA67" s="319">
        <v>60939.4</v>
      </c>
      <c r="BB67" s="319">
        <v>69644.56</v>
      </c>
      <c r="BC67" s="319">
        <v>78997.240000000005</v>
      </c>
      <c r="BD67" s="319">
        <v>84040.400000000009</v>
      </c>
      <c r="BE67" s="319">
        <v>82882.75</v>
      </c>
      <c r="BF67" s="319">
        <v>83699.81</v>
      </c>
      <c r="BG67" s="319">
        <v>85555.98</v>
      </c>
      <c r="BH67" s="319">
        <v>86996.24</v>
      </c>
      <c r="BI67" s="319">
        <v>94466.139999999985</v>
      </c>
      <c r="BJ67" s="319">
        <v>101357.20000000001</v>
      </c>
      <c r="BK67" s="319">
        <v>100975.19000000002</v>
      </c>
      <c r="BL67" s="319">
        <v>101454.86999999998</v>
      </c>
      <c r="BM67" s="319">
        <v>101231.85</v>
      </c>
      <c r="BN67" s="319">
        <v>101415.19</v>
      </c>
      <c r="BO67" s="322">
        <v>101436.13</v>
      </c>
      <c r="BP67" s="319">
        <v>104375.35</v>
      </c>
      <c r="BQ67" s="319">
        <v>103883.57999999999</v>
      </c>
      <c r="BR67" s="319">
        <v>103879.1</v>
      </c>
      <c r="BS67" s="319">
        <v>107250</v>
      </c>
      <c r="BT67" s="334"/>
      <c r="BU67" s="322" t="s">
        <v>50</v>
      </c>
      <c r="BV67" s="322">
        <v>34359.78</v>
      </c>
      <c r="BW67" s="322">
        <v>13128.44</v>
      </c>
      <c r="BX67" s="322">
        <v>45757.440000000002</v>
      </c>
      <c r="BY67" s="322">
        <v>0</v>
      </c>
      <c r="BZ67" s="322">
        <v>34822.28</v>
      </c>
      <c r="CA67" s="322">
        <v>0</v>
      </c>
      <c r="CB67" s="322">
        <v>33616.160000000003</v>
      </c>
      <c r="CC67" s="322">
        <v>0</v>
      </c>
      <c r="CD67" s="322">
        <v>40059.78</v>
      </c>
      <c r="CE67" s="322">
        <v>855.81</v>
      </c>
      <c r="CF67" s="322">
        <v>35486.65</v>
      </c>
      <c r="CG67" s="322">
        <v>8435.2800000000007</v>
      </c>
      <c r="CH67" s="322">
        <v>42543.58</v>
      </c>
      <c r="CI67" s="322">
        <v>8917.58</v>
      </c>
      <c r="CJ67" s="322">
        <v>49567.5</v>
      </c>
      <c r="CK67" s="322">
        <v>9671.15</v>
      </c>
      <c r="CL67" s="322">
        <v>37809.800000000003</v>
      </c>
      <c r="CM67" s="322">
        <v>4909.45</v>
      </c>
      <c r="CN67" s="322">
        <v>36540.089999999997</v>
      </c>
      <c r="CO67" s="322">
        <v>4875.92</v>
      </c>
      <c r="CP67" s="322">
        <v>36749.839999999997</v>
      </c>
      <c r="CQ67" s="322">
        <v>10000</v>
      </c>
      <c r="CR67" s="334"/>
      <c r="CS67" s="322" t="s">
        <v>50</v>
      </c>
      <c r="CT67" s="322">
        <v>80172.820000000007</v>
      </c>
      <c r="CU67" s="322">
        <v>78770.64</v>
      </c>
      <c r="CV67" s="322">
        <v>106767.36</v>
      </c>
      <c r="CW67" s="322">
        <v>106643.95</v>
      </c>
      <c r="CX67" s="322">
        <v>104466.84</v>
      </c>
      <c r="CY67" s="322">
        <v>118495.86</v>
      </c>
      <c r="CZ67" s="322">
        <v>100848.48</v>
      </c>
      <c r="DA67" s="322">
        <v>116035.85</v>
      </c>
      <c r="DB67" s="322">
        <v>117544.79000000001</v>
      </c>
      <c r="DC67" s="322">
        <v>125177.50999999998</v>
      </c>
      <c r="DD67" s="322">
        <v>149885.04999999999</v>
      </c>
      <c r="DE67" s="322">
        <v>132761.95000000001</v>
      </c>
      <c r="DF67" s="322">
        <v>148274.33000000002</v>
      </c>
      <c r="DG67" s="322">
        <v>158797.76999999999</v>
      </c>
      <c r="DH67" s="322">
        <v>161568.9</v>
      </c>
      <c r="DI67" s="322">
        <v>161775.67999999999</v>
      </c>
      <c r="DJ67" s="322">
        <v>158332.67000000001</v>
      </c>
      <c r="DK67" s="322">
        <v>184342.39</v>
      </c>
      <c r="DL67" s="322">
        <v>197387.96</v>
      </c>
      <c r="DM67" s="322">
        <v>156381.07999999999</v>
      </c>
      <c r="DN67" s="322">
        <v>150637.93999999997</v>
      </c>
      <c r="DO67" s="322">
        <v>183000</v>
      </c>
      <c r="DP67" s="334"/>
      <c r="DQ67" s="322" t="s">
        <v>50</v>
      </c>
      <c r="DR67" s="322">
        <v>125985.86</v>
      </c>
      <c r="DS67" s="322">
        <v>131284.4</v>
      </c>
      <c r="DT67" s="322">
        <v>152524.79999999999</v>
      </c>
      <c r="DU67" s="322">
        <v>76174.25</v>
      </c>
      <c r="DV67" s="322">
        <v>104466.84</v>
      </c>
      <c r="DW67" s="322">
        <v>98746.55</v>
      </c>
      <c r="DX67" s="322">
        <v>117656.56</v>
      </c>
      <c r="DY67" s="322">
        <v>116035.85</v>
      </c>
      <c r="DZ67" s="322">
        <v>125329.34999999999</v>
      </c>
      <c r="EA67" s="322">
        <v>151192</v>
      </c>
      <c r="EB67" s="322">
        <v>129621.92</v>
      </c>
      <c r="EC67" s="322">
        <v>159464.99999999997</v>
      </c>
      <c r="ED67" s="322">
        <v>167694.60999999999</v>
      </c>
      <c r="EE67" s="322">
        <v>181295.83000000002</v>
      </c>
      <c r="EF67" s="322">
        <v>199311.96</v>
      </c>
      <c r="EG67" s="322">
        <v>231537.35</v>
      </c>
      <c r="EH67" s="322">
        <v>249293.69000000003</v>
      </c>
      <c r="EI67" s="322">
        <v>229596.46000000002</v>
      </c>
      <c r="EJ67" s="322">
        <v>165925.96000000002</v>
      </c>
      <c r="EK67" s="322">
        <v>168927.37999999998</v>
      </c>
      <c r="EL67" s="322">
        <v>134670.6</v>
      </c>
      <c r="EM67" s="322">
        <v>183250</v>
      </c>
      <c r="EN67" s="334"/>
      <c r="EO67" s="322" t="s">
        <v>50</v>
      </c>
      <c r="EP67" s="322">
        <v>22906.52</v>
      </c>
      <c r="EQ67" s="322">
        <v>26256.880000000001</v>
      </c>
      <c r="ER67" s="322">
        <v>15252.48</v>
      </c>
      <c r="ES67" s="322">
        <v>30469.7</v>
      </c>
      <c r="ET67" s="322">
        <v>34822.28</v>
      </c>
      <c r="EU67" s="322">
        <v>19749.310000000001</v>
      </c>
      <c r="EV67" s="322">
        <v>33616.160000000003</v>
      </c>
      <c r="EW67" s="322">
        <v>33153.1</v>
      </c>
      <c r="EX67" s="322">
        <v>29611.279999999999</v>
      </c>
      <c r="EY67" s="322">
        <v>29113.959999999995</v>
      </c>
      <c r="EZ67" s="322">
        <v>29737.68</v>
      </c>
      <c r="FA67" s="322">
        <v>46370.18</v>
      </c>
      <c r="FB67" s="322">
        <v>46520.83</v>
      </c>
      <c r="FC67" s="322">
        <v>46281.140000000007</v>
      </c>
      <c r="FD67" s="322">
        <v>46320.49</v>
      </c>
      <c r="FE67" s="322">
        <v>46249.65</v>
      </c>
      <c r="FF67" s="322">
        <v>46681.77</v>
      </c>
      <c r="FG67" s="322">
        <v>46080.57</v>
      </c>
      <c r="FH67" s="322">
        <v>46335.6</v>
      </c>
      <c r="FI67" s="322">
        <v>43330.880000000005</v>
      </c>
      <c r="FJ67" s="322">
        <v>44396.160000000003</v>
      </c>
      <c r="FK67" s="322">
        <v>45050</v>
      </c>
      <c r="FL67" s="334"/>
      <c r="FM67" s="322" t="s">
        <v>50</v>
      </c>
      <c r="FN67" s="322">
        <v>68719.56</v>
      </c>
      <c r="FO67" s="322">
        <v>65642.2</v>
      </c>
      <c r="FP67" s="322">
        <v>76262.399999999994</v>
      </c>
      <c r="FQ67" s="322">
        <v>60939.4</v>
      </c>
      <c r="FR67" s="322">
        <v>69644.56</v>
      </c>
      <c r="FS67" s="322">
        <v>78997.240000000005</v>
      </c>
      <c r="FT67" s="322">
        <v>84040.4</v>
      </c>
      <c r="FU67" s="322">
        <v>82882.75</v>
      </c>
      <c r="FV67" s="322">
        <v>79626.22</v>
      </c>
      <c r="FW67" s="322">
        <v>87990.18</v>
      </c>
      <c r="FX67" s="322">
        <v>89896.76999999999</v>
      </c>
      <c r="FY67" s="322">
        <v>100207.78999999998</v>
      </c>
      <c r="FZ67" s="322">
        <v>103395.75999999998</v>
      </c>
      <c r="GA67" s="322">
        <v>106339.43999999999</v>
      </c>
      <c r="GB67" s="322">
        <v>114933.17</v>
      </c>
      <c r="GC67" s="322">
        <v>97419.879999999976</v>
      </c>
      <c r="GD67" s="322">
        <v>92244.14</v>
      </c>
      <c r="GE67" s="322">
        <v>91120.55</v>
      </c>
      <c r="GF67" s="340">
        <v>92412</v>
      </c>
      <c r="GG67" s="704">
        <v>113795.81</v>
      </c>
      <c r="GH67" s="704">
        <v>101117.42</v>
      </c>
      <c r="GI67" s="704">
        <v>101962</v>
      </c>
      <c r="GJ67" s="334"/>
      <c r="GK67" s="322" t="s">
        <v>50</v>
      </c>
      <c r="GL67" s="322">
        <v>11453.26</v>
      </c>
      <c r="GM67" s="322">
        <v>13128.44</v>
      </c>
      <c r="GN67" s="322">
        <v>15252.48</v>
      </c>
      <c r="GO67" s="322">
        <v>15234.85</v>
      </c>
      <c r="GP67" s="322">
        <v>0</v>
      </c>
      <c r="GQ67" s="322">
        <v>19749.310000000001</v>
      </c>
      <c r="GR67" s="322">
        <v>16808.080000000002</v>
      </c>
      <c r="GS67" s="322">
        <v>49729.65</v>
      </c>
      <c r="GT67" s="322">
        <v>47020.36</v>
      </c>
      <c r="GU67" s="322">
        <v>47146.78</v>
      </c>
      <c r="GV67" s="322">
        <v>46260.13</v>
      </c>
      <c r="GW67" s="322">
        <v>53099.79</v>
      </c>
      <c r="GX67" s="322">
        <v>54322.359999999993</v>
      </c>
      <c r="GY67" s="322">
        <v>54167.83</v>
      </c>
      <c r="GZ67" s="322">
        <v>53408.94</v>
      </c>
      <c r="HA67" s="322">
        <v>53491.520000000004</v>
      </c>
      <c r="HB67" s="322">
        <v>60200.549999999996</v>
      </c>
      <c r="HC67" s="322">
        <v>62000.45</v>
      </c>
      <c r="HD67" s="322">
        <v>62500.649999999994</v>
      </c>
      <c r="HE67" s="322">
        <v>66578.17</v>
      </c>
      <c r="HF67" s="322">
        <v>67837.960000000006</v>
      </c>
      <c r="HG67" s="322">
        <v>69775</v>
      </c>
      <c r="HH67" s="334"/>
      <c r="HI67" s="322" t="s">
        <v>50</v>
      </c>
      <c r="HJ67" s="322">
        <v>11453.26</v>
      </c>
      <c r="HK67" s="322">
        <v>13128.44</v>
      </c>
      <c r="HL67" s="322">
        <v>15252.48</v>
      </c>
      <c r="HM67" s="322">
        <v>15234.85</v>
      </c>
      <c r="HN67" s="322">
        <v>17411.14</v>
      </c>
      <c r="HO67" s="322">
        <v>19749.310000000001</v>
      </c>
      <c r="HP67" s="322">
        <v>16808.080000000002</v>
      </c>
      <c r="HQ67" s="322">
        <v>16576.55</v>
      </c>
      <c r="HR67" s="322">
        <v>14578.369999999999</v>
      </c>
      <c r="HS67" s="322">
        <v>13498.1</v>
      </c>
      <c r="HT67" s="322">
        <v>15711.58</v>
      </c>
      <c r="HU67" s="322">
        <v>14190.84</v>
      </c>
      <c r="HV67" s="322">
        <v>15878.990000000002</v>
      </c>
      <c r="HW67" s="322">
        <v>14344.59</v>
      </c>
      <c r="HX67" s="322">
        <v>13903.5</v>
      </c>
      <c r="HY67" s="322">
        <v>14635.7</v>
      </c>
      <c r="HZ67" s="322">
        <v>14989.439999999999</v>
      </c>
      <c r="IA67" s="322">
        <v>11716.7</v>
      </c>
      <c r="IB67" s="322">
        <v>10140.630000000001</v>
      </c>
      <c r="IC67" s="322">
        <v>9390.43</v>
      </c>
      <c r="ID67" s="322">
        <v>9391.41</v>
      </c>
      <c r="IE67" s="322">
        <v>13500</v>
      </c>
      <c r="IF67" s="334"/>
      <c r="IG67" s="322" t="s">
        <v>50</v>
      </c>
      <c r="IH67" s="322">
        <v>11453.26</v>
      </c>
      <c r="II67" s="322">
        <v>13128.44</v>
      </c>
      <c r="IJ67" s="322">
        <v>0</v>
      </c>
      <c r="IK67" s="322">
        <v>15234.85</v>
      </c>
      <c r="IL67" s="322">
        <v>0</v>
      </c>
      <c r="IM67" s="322">
        <v>0</v>
      </c>
      <c r="IN67" s="322">
        <v>16808.080000000002</v>
      </c>
      <c r="IO67" s="322">
        <v>16576.55</v>
      </c>
      <c r="IP67" s="322">
        <v>21402.22</v>
      </c>
      <c r="IQ67" s="322">
        <v>19769.099999999999</v>
      </c>
      <c r="IR67" s="322">
        <v>6713.8</v>
      </c>
      <c r="IS67" s="322">
        <v>405.01</v>
      </c>
      <c r="IT67" s="322">
        <v>255.02</v>
      </c>
      <c r="IU67" s="322">
        <v>133.53</v>
      </c>
      <c r="IV67" s="322"/>
      <c r="IW67" s="322"/>
      <c r="IX67" s="322"/>
      <c r="IY67" s="322"/>
      <c r="IZ67" s="322"/>
      <c r="JA67" s="322"/>
      <c r="JB67" s="322"/>
      <c r="JC67" s="322"/>
      <c r="JD67" s="334"/>
      <c r="JE67" s="322" t="s">
        <v>50</v>
      </c>
      <c r="JF67" s="322">
        <v>11453.26</v>
      </c>
      <c r="JG67" s="322">
        <v>13128.44</v>
      </c>
      <c r="JH67" s="322">
        <v>0</v>
      </c>
      <c r="JI67" s="322">
        <v>15234.85</v>
      </c>
      <c r="JJ67" s="322">
        <v>17411.14</v>
      </c>
      <c r="JK67" s="322">
        <v>19749.310000000001</v>
      </c>
      <c r="JL67" s="322">
        <v>16808.080000000002</v>
      </c>
      <c r="JM67" s="322">
        <v>16576.55</v>
      </c>
      <c r="JN67" s="322">
        <v>11439.59</v>
      </c>
      <c r="JO67" s="322">
        <v>16723.11</v>
      </c>
      <c r="JP67" s="322">
        <v>17721.599999999999</v>
      </c>
      <c r="JQ67" s="322">
        <v>15784.72</v>
      </c>
      <c r="JR67" s="322">
        <v>12433.26</v>
      </c>
      <c r="JS67" s="322">
        <v>10120.799999999999</v>
      </c>
      <c r="JT67" s="322">
        <v>13550.689999999999</v>
      </c>
      <c r="JU67" s="322">
        <v>18406.400000000001</v>
      </c>
      <c r="JV67" s="322">
        <v>21929.230000000003</v>
      </c>
      <c r="JW67" s="322">
        <v>24606.22</v>
      </c>
      <c r="JX67" s="322">
        <v>30422.59</v>
      </c>
      <c r="JY67" s="322">
        <v>23708.940000000002</v>
      </c>
      <c r="JZ67" s="322">
        <v>33452.18</v>
      </c>
      <c r="KA67" s="322">
        <v>48200</v>
      </c>
      <c r="KB67" s="334"/>
      <c r="KC67" s="322" t="s">
        <v>50</v>
      </c>
      <c r="KD67" s="322">
        <v>11453.26</v>
      </c>
      <c r="KE67" s="322">
        <v>13128.44</v>
      </c>
      <c r="KF67" s="322">
        <v>15252.48</v>
      </c>
      <c r="KG67" s="322">
        <v>15234.85</v>
      </c>
      <c r="KH67" s="322">
        <v>17411.14</v>
      </c>
      <c r="KI67" s="322">
        <v>19749.310000000001</v>
      </c>
      <c r="KJ67" s="322">
        <v>16808.080000000002</v>
      </c>
      <c r="KK67" s="322">
        <v>16576.55</v>
      </c>
      <c r="KL67" s="322">
        <v>21278.080000000002</v>
      </c>
      <c r="KM67" s="322">
        <v>22285.480000000003</v>
      </c>
      <c r="KN67" s="322">
        <v>22687.96</v>
      </c>
      <c r="KO67" s="322">
        <v>23158.300000000003</v>
      </c>
      <c r="KP67" s="322">
        <v>23301.809999999998</v>
      </c>
      <c r="KQ67" s="322">
        <v>28312.43</v>
      </c>
      <c r="KR67" s="322">
        <v>28915.58</v>
      </c>
      <c r="KS67" s="322">
        <v>29291.960000000003</v>
      </c>
      <c r="KT67" s="322">
        <v>30703.360000000001</v>
      </c>
      <c r="KU67" s="322">
        <v>48003.65</v>
      </c>
      <c r="KV67" s="322">
        <v>34391.370000000003</v>
      </c>
      <c r="KW67" s="322">
        <v>47821.130000000005</v>
      </c>
      <c r="KX67" s="322">
        <v>49233.760000000002</v>
      </c>
      <c r="KY67" s="322">
        <v>51600</v>
      </c>
      <c r="KZ67" s="334"/>
      <c r="LA67" s="322" t="s">
        <v>50</v>
      </c>
      <c r="LB67" s="322">
        <v>103079.34</v>
      </c>
      <c r="LC67" s="322">
        <v>144412.84</v>
      </c>
      <c r="LD67" s="322">
        <v>289797.12</v>
      </c>
      <c r="LE67" s="322">
        <v>380871.25</v>
      </c>
      <c r="LF67" s="322">
        <v>470100.78</v>
      </c>
      <c r="LG67" s="322">
        <v>947966.88</v>
      </c>
      <c r="LH67" s="322">
        <v>470626.24</v>
      </c>
      <c r="LI67" s="322">
        <v>232071.7</v>
      </c>
      <c r="LJ67" s="322">
        <v>164412.27000000002</v>
      </c>
      <c r="LK67" s="322">
        <v>103733.3</v>
      </c>
      <c r="LL67" s="322">
        <v>114652.89</v>
      </c>
      <c r="LM67" s="322">
        <v>123872.88999999998</v>
      </c>
      <c r="LN67" s="322">
        <v>138116.76999999999</v>
      </c>
      <c r="LO67" s="322">
        <v>96877.07</v>
      </c>
      <c r="LP67" s="322">
        <v>113638</v>
      </c>
      <c r="LQ67" s="322">
        <v>139704.46000000002</v>
      </c>
      <c r="LR67" s="322">
        <v>171318.37000000002</v>
      </c>
      <c r="LS67" s="322">
        <v>118320.44</v>
      </c>
      <c r="LT67" s="322">
        <v>166051.05000000002</v>
      </c>
      <c r="LU67" s="322">
        <v>185524.98</v>
      </c>
      <c r="LV67" s="322">
        <v>172550.47</v>
      </c>
      <c r="LW67" s="322">
        <v>176750</v>
      </c>
      <c r="LX67" s="334"/>
      <c r="LY67" s="322" t="s">
        <v>50</v>
      </c>
      <c r="LZ67" s="322">
        <v>194705.42</v>
      </c>
      <c r="MA67" s="322">
        <v>196926.6</v>
      </c>
      <c r="MB67" s="322">
        <v>228787.20000000001</v>
      </c>
      <c r="MC67" s="322">
        <v>0</v>
      </c>
      <c r="MD67" s="322">
        <v>0</v>
      </c>
      <c r="ME67" s="322">
        <v>0</v>
      </c>
      <c r="MF67" s="322">
        <v>0</v>
      </c>
      <c r="MG67" s="322">
        <v>182342.05</v>
      </c>
      <c r="MH67" s="322">
        <v>44504.46</v>
      </c>
      <c r="MI67" s="322">
        <v>0</v>
      </c>
      <c r="MJ67" s="322">
        <v>0</v>
      </c>
      <c r="MK67" s="322">
        <v>0</v>
      </c>
      <c r="ML67" s="322">
        <v>0</v>
      </c>
      <c r="MM67" s="322">
        <v>0</v>
      </c>
      <c r="MN67" s="322">
        <v>0</v>
      </c>
      <c r="MO67" s="322">
        <v>0</v>
      </c>
      <c r="MP67" s="322">
        <v>0</v>
      </c>
      <c r="MQ67" s="322">
        <v>0</v>
      </c>
      <c r="MR67" s="322">
        <v>0</v>
      </c>
      <c r="MS67" s="322">
        <v>0</v>
      </c>
      <c r="MT67" s="322">
        <v>0</v>
      </c>
      <c r="MU67" s="322">
        <v>0</v>
      </c>
      <c r="MV67" s="334"/>
      <c r="MW67" s="322" t="s">
        <v>50</v>
      </c>
      <c r="MX67" s="322">
        <v>114532.6</v>
      </c>
      <c r="MY67" s="322">
        <v>131284.4</v>
      </c>
      <c r="MZ67" s="322">
        <v>167777.28</v>
      </c>
      <c r="NA67" s="322">
        <v>0</v>
      </c>
      <c r="NB67" s="322">
        <v>0</v>
      </c>
      <c r="NC67" s="322">
        <v>0</v>
      </c>
      <c r="ND67" s="322">
        <v>0</v>
      </c>
      <c r="NE67" s="322">
        <v>0</v>
      </c>
      <c r="NF67" s="322">
        <v>0</v>
      </c>
      <c r="NG67" s="322">
        <v>0</v>
      </c>
      <c r="NH67" s="322">
        <v>0</v>
      </c>
      <c r="NI67" s="322">
        <v>0</v>
      </c>
      <c r="NJ67" s="322">
        <v>0</v>
      </c>
      <c r="NK67" s="322">
        <v>0</v>
      </c>
      <c r="NL67" s="322">
        <v>0</v>
      </c>
      <c r="NM67" s="322">
        <v>0</v>
      </c>
      <c r="NN67" s="322">
        <v>0</v>
      </c>
      <c r="NO67" s="322">
        <v>0</v>
      </c>
      <c r="NP67" s="322">
        <v>0</v>
      </c>
      <c r="NQ67" s="322">
        <v>0</v>
      </c>
      <c r="NR67" s="322">
        <v>0</v>
      </c>
      <c r="NS67" s="322">
        <v>0</v>
      </c>
      <c r="NT67" s="334"/>
      <c r="NU67" s="322" t="s">
        <v>50</v>
      </c>
      <c r="NV67" s="322">
        <v>68719.56</v>
      </c>
      <c r="NW67" s="322">
        <v>65642.2</v>
      </c>
      <c r="NX67" s="322">
        <v>91514.880000000005</v>
      </c>
      <c r="NY67" s="322">
        <v>106643.95</v>
      </c>
      <c r="NZ67" s="322">
        <v>104466.84</v>
      </c>
      <c r="OA67" s="322">
        <v>118495.86</v>
      </c>
      <c r="OB67" s="322">
        <v>117656.56</v>
      </c>
      <c r="OC67" s="322">
        <v>99459.3</v>
      </c>
      <c r="OD67" s="322">
        <v>110371.54999999999</v>
      </c>
      <c r="OE67" s="322">
        <v>122404.18</v>
      </c>
      <c r="OF67" s="322">
        <v>150295.58999999997</v>
      </c>
      <c r="OG67" s="322">
        <v>147885.5</v>
      </c>
      <c r="OH67" s="322">
        <v>159413.57000000007</v>
      </c>
      <c r="OI67" s="322">
        <v>161145.69999999998</v>
      </c>
      <c r="OJ67" s="322">
        <v>163266.44999999995</v>
      </c>
      <c r="OK67" s="322">
        <v>209554.46000000002</v>
      </c>
      <c r="OL67" s="322">
        <v>222704.34999999998</v>
      </c>
      <c r="OM67" s="322">
        <v>214857.21</v>
      </c>
      <c r="ON67" s="322">
        <v>190801.57</v>
      </c>
      <c r="OO67" s="322">
        <v>235633.15999999997</v>
      </c>
      <c r="OP67" s="322">
        <v>239546.11000000002</v>
      </c>
      <c r="OQ67" s="322">
        <v>248260</v>
      </c>
      <c r="OR67" s="334"/>
      <c r="OS67" s="322" t="s">
        <v>50</v>
      </c>
      <c r="OT67" s="322">
        <v>80172.820000000007</v>
      </c>
      <c r="OU67" s="322">
        <v>78770.64</v>
      </c>
      <c r="OV67" s="322">
        <v>76262.399999999994</v>
      </c>
      <c r="OW67" s="322">
        <v>60939.4</v>
      </c>
      <c r="OX67" s="322">
        <v>17411.14</v>
      </c>
      <c r="OY67" s="322">
        <v>19749.310000000001</v>
      </c>
      <c r="OZ67" s="322">
        <v>16808.080000000002</v>
      </c>
      <c r="PA67" s="322">
        <v>16576.55</v>
      </c>
      <c r="PB67" s="322">
        <v>17803.59</v>
      </c>
      <c r="PC67" s="322">
        <v>17441.52</v>
      </c>
      <c r="PD67" s="322">
        <v>19227.02</v>
      </c>
      <c r="PE67" s="322">
        <v>17918.439999999999</v>
      </c>
      <c r="PF67" s="322">
        <v>19113.939999999999</v>
      </c>
      <c r="PG67" s="322">
        <v>17794.419999999998</v>
      </c>
      <c r="PH67" s="322">
        <v>20165.18</v>
      </c>
      <c r="PI67" s="322">
        <v>19858.45</v>
      </c>
      <c r="PJ67" s="322">
        <v>20841.170000000002</v>
      </c>
      <c r="PK67" s="322">
        <v>21486.33</v>
      </c>
      <c r="PL67" s="322">
        <v>24890.97</v>
      </c>
      <c r="PM67" s="322">
        <v>20625.37</v>
      </c>
      <c r="PN67" s="322">
        <v>29373.71</v>
      </c>
      <c r="PO67" s="322">
        <v>22000</v>
      </c>
      <c r="PP67" s="334"/>
      <c r="PQ67" s="322" t="s">
        <v>50</v>
      </c>
      <c r="PR67" s="322">
        <v>11453.26</v>
      </c>
      <c r="PS67" s="322">
        <v>13128.44</v>
      </c>
      <c r="PT67" s="322">
        <v>15252.48</v>
      </c>
      <c r="PU67" s="322">
        <v>15234.85</v>
      </c>
      <c r="PV67" s="322">
        <v>17411.14</v>
      </c>
      <c r="PW67" s="322">
        <v>19749.310000000001</v>
      </c>
      <c r="PX67" s="322">
        <v>16808.080000000002</v>
      </c>
      <c r="PY67" s="322">
        <v>16576.55</v>
      </c>
      <c r="PZ67" s="322">
        <v>23305.09</v>
      </c>
      <c r="QA67" s="322">
        <v>23574.71</v>
      </c>
      <c r="QB67" s="322">
        <v>30444.3</v>
      </c>
      <c r="QC67" s="322">
        <v>24288.32</v>
      </c>
      <c r="QD67" s="322">
        <v>17244.879999999997</v>
      </c>
      <c r="QE67" s="322">
        <v>21334.2</v>
      </c>
      <c r="QF67" s="322">
        <v>23694.92</v>
      </c>
      <c r="QG67" s="322">
        <v>29359.03</v>
      </c>
      <c r="QH67" s="322">
        <v>24405.79</v>
      </c>
      <c r="QI67" s="322">
        <v>20135.5</v>
      </c>
      <c r="QJ67" s="322">
        <v>28964.199999999997</v>
      </c>
      <c r="QK67" s="322">
        <v>31050</v>
      </c>
      <c r="QL67" s="322">
        <v>45533.33</v>
      </c>
      <c r="QM67" s="322">
        <v>41800</v>
      </c>
      <c r="QN67" s="334"/>
      <c r="QO67" s="322" t="s">
        <v>50</v>
      </c>
      <c r="QP67" s="322">
        <v>22906.52</v>
      </c>
      <c r="QQ67" s="322">
        <v>13128.44</v>
      </c>
      <c r="QR67" s="322">
        <v>30504.959999999999</v>
      </c>
      <c r="QS67" s="322">
        <v>15234.85</v>
      </c>
      <c r="QT67" s="322">
        <v>17411.14</v>
      </c>
      <c r="QU67" s="322">
        <v>19749.310000000001</v>
      </c>
      <c r="QV67" s="322">
        <v>33616.160000000003</v>
      </c>
      <c r="QW67" s="322">
        <v>33153.1</v>
      </c>
      <c r="QX67" s="322">
        <v>20308</v>
      </c>
      <c r="QY67" s="322">
        <v>39152.26</v>
      </c>
      <c r="QZ67" s="322">
        <v>20974.720000000001</v>
      </c>
      <c r="RA67" s="322">
        <v>15797.63</v>
      </c>
      <c r="RB67" s="322">
        <v>19165.259999999998</v>
      </c>
      <c r="RC67" s="322">
        <v>15613.03</v>
      </c>
      <c r="RD67" s="322">
        <v>14699.14</v>
      </c>
      <c r="RE67" s="322">
        <v>16956.629999999997</v>
      </c>
      <c r="RF67" s="322">
        <v>17580.53</v>
      </c>
      <c r="RG67" s="322">
        <v>22833.79</v>
      </c>
      <c r="RH67" s="322">
        <v>19708.07</v>
      </c>
      <c r="RI67" s="322">
        <v>36763.99</v>
      </c>
      <c r="RJ67" s="322">
        <v>18942.34</v>
      </c>
      <c r="RK67" s="322">
        <v>26111</v>
      </c>
      <c r="RL67" s="334"/>
      <c r="RM67" s="322" t="s">
        <v>50</v>
      </c>
      <c r="RN67" s="322">
        <v>34359.78</v>
      </c>
      <c r="RO67" s="322">
        <v>144412.84</v>
      </c>
      <c r="RP67" s="322">
        <v>61009.919999999998</v>
      </c>
      <c r="RQ67" s="322">
        <v>441810.65</v>
      </c>
      <c r="RR67" s="322">
        <v>557156.48</v>
      </c>
      <c r="RS67" s="322">
        <v>276490.34000000003</v>
      </c>
      <c r="RT67" s="322">
        <v>386585.84</v>
      </c>
      <c r="RU67" s="322">
        <v>430990.3</v>
      </c>
      <c r="RV67" s="322">
        <v>658000</v>
      </c>
      <c r="RW67" s="322">
        <v>412000</v>
      </c>
      <c r="RX67" s="322">
        <v>517759.77</v>
      </c>
      <c r="RY67" s="322">
        <v>543166.67000000004</v>
      </c>
      <c r="RZ67" s="322">
        <v>542222.22</v>
      </c>
      <c r="SA67" s="322">
        <v>462722.22</v>
      </c>
      <c r="SB67" s="322">
        <v>642222.22</v>
      </c>
      <c r="SC67" s="322">
        <v>562222.22</v>
      </c>
      <c r="SD67" s="322">
        <v>527222.22</v>
      </c>
      <c r="SE67" s="322">
        <v>406990.54000000004</v>
      </c>
      <c r="SF67" s="322">
        <v>417222.22</v>
      </c>
      <c r="SG67" s="322">
        <v>417222.22</v>
      </c>
      <c r="SH67" s="322">
        <v>482222.22</v>
      </c>
      <c r="SI67" s="322">
        <v>527347.22</v>
      </c>
    </row>
    <row r="68" spans="1:503">
      <c r="A68" s="319" t="s">
        <v>51</v>
      </c>
      <c r="B68" s="319">
        <v>828085</v>
      </c>
      <c r="C68" s="319">
        <v>880953</v>
      </c>
      <c r="D68" s="319">
        <v>952358</v>
      </c>
      <c r="E68" s="319">
        <v>991067</v>
      </c>
      <c r="F68" s="319">
        <v>1046799</v>
      </c>
      <c r="G68" s="319">
        <v>1171331</v>
      </c>
      <c r="H68" s="319">
        <v>1237420</v>
      </c>
      <c r="I68" s="319">
        <v>1506691</v>
      </c>
      <c r="J68" s="319">
        <v>1486646.6700000002</v>
      </c>
      <c r="K68" s="319">
        <v>1713300.21</v>
      </c>
      <c r="L68" s="319">
        <v>1547907.81</v>
      </c>
      <c r="M68" s="319">
        <v>1391365.71</v>
      </c>
      <c r="N68" s="319">
        <v>1472208.3199999998</v>
      </c>
      <c r="O68" s="319">
        <v>1331902.45</v>
      </c>
      <c r="P68" s="319">
        <v>1364987.94</v>
      </c>
      <c r="Q68" s="319">
        <v>1401272.42</v>
      </c>
      <c r="R68" s="319">
        <v>1524732.88</v>
      </c>
      <c r="S68" s="322">
        <v>1553918.11</v>
      </c>
      <c r="T68" s="319">
        <v>1751796.71</v>
      </c>
      <c r="U68" s="319">
        <v>1701745.35</v>
      </c>
      <c r="V68" s="319">
        <v>1857401.27</v>
      </c>
      <c r="W68" s="319">
        <v>2079907.2</v>
      </c>
      <c r="X68" s="330"/>
      <c r="Y68" s="319" t="s">
        <v>51</v>
      </c>
      <c r="Z68" s="319">
        <v>49685.1</v>
      </c>
      <c r="AA68" s="319">
        <v>52857.18</v>
      </c>
      <c r="AB68" s="319">
        <v>47617.9</v>
      </c>
      <c r="AC68" s="319">
        <v>59464.02</v>
      </c>
      <c r="AD68" s="319">
        <v>62807.94</v>
      </c>
      <c r="AE68" s="319">
        <v>81993.17</v>
      </c>
      <c r="AF68" s="319">
        <v>81993.17</v>
      </c>
      <c r="AG68" s="319">
        <v>90401.46</v>
      </c>
      <c r="AH68" s="319">
        <v>86447.05</v>
      </c>
      <c r="AI68" s="319">
        <v>87679.01999999999</v>
      </c>
      <c r="AJ68" s="319">
        <v>88544.84</v>
      </c>
      <c r="AK68" s="319">
        <v>89767.02</v>
      </c>
      <c r="AL68" s="319">
        <v>90946.89</v>
      </c>
      <c r="AM68" s="319">
        <v>90381.8</v>
      </c>
      <c r="AN68" s="319">
        <v>90746.39</v>
      </c>
      <c r="AO68" s="319">
        <v>90303.23</v>
      </c>
      <c r="AP68" s="319">
        <v>91381.510000000009</v>
      </c>
      <c r="AQ68" s="322">
        <v>90384.220000000016</v>
      </c>
      <c r="AR68" s="319">
        <v>91659.720000000016</v>
      </c>
      <c r="AS68" s="319">
        <v>91809.430000000008</v>
      </c>
      <c r="AT68" s="319">
        <v>91184.72</v>
      </c>
      <c r="AU68" s="319">
        <v>92765.35</v>
      </c>
      <c r="AV68" s="334"/>
      <c r="AW68" s="319" t="s">
        <v>51</v>
      </c>
      <c r="AX68" s="319">
        <v>57965.950000000004</v>
      </c>
      <c r="AY68" s="319">
        <v>61666.710000000006</v>
      </c>
      <c r="AZ68" s="319">
        <v>66665.060000000012</v>
      </c>
      <c r="BA68" s="319">
        <v>69374.69</v>
      </c>
      <c r="BB68" s="319">
        <v>73275.930000000008</v>
      </c>
      <c r="BC68" s="319">
        <v>81993.170000000013</v>
      </c>
      <c r="BD68" s="319">
        <v>86619.400000000009</v>
      </c>
      <c r="BE68" s="319">
        <v>75334.55</v>
      </c>
      <c r="BF68" s="319">
        <v>87586.69</v>
      </c>
      <c r="BG68" s="319">
        <v>90112.23</v>
      </c>
      <c r="BH68" s="319">
        <v>90088.6</v>
      </c>
      <c r="BI68" s="319">
        <v>93887.799999999988</v>
      </c>
      <c r="BJ68" s="319">
        <v>95393.970000000016</v>
      </c>
      <c r="BK68" s="319">
        <v>92431.250000000015</v>
      </c>
      <c r="BL68" s="319">
        <v>95731.15</v>
      </c>
      <c r="BM68" s="319">
        <v>95016.83</v>
      </c>
      <c r="BN68" s="319">
        <v>97264.83</v>
      </c>
      <c r="BO68" s="322">
        <v>93227.9</v>
      </c>
      <c r="BP68" s="319">
        <v>100441.79000000001</v>
      </c>
      <c r="BQ68" s="319">
        <v>102637.15999999999</v>
      </c>
      <c r="BR68" s="319">
        <v>101919.96</v>
      </c>
      <c r="BS68" s="319">
        <v>106085.89</v>
      </c>
      <c r="BT68" s="334"/>
      <c r="BU68" s="322" t="s">
        <v>51</v>
      </c>
      <c r="BV68" s="322">
        <v>41404.25</v>
      </c>
      <c r="BW68" s="322">
        <v>8809.5300000000007</v>
      </c>
      <c r="BX68" s="322">
        <v>28570.74</v>
      </c>
      <c r="BY68" s="322">
        <v>19821.34</v>
      </c>
      <c r="BZ68" s="322">
        <v>52339.95</v>
      </c>
      <c r="CA68" s="322">
        <v>11713.31</v>
      </c>
      <c r="CB68" s="322">
        <v>37122.6</v>
      </c>
      <c r="CC68" s="322">
        <v>15066.91</v>
      </c>
      <c r="CD68" s="322">
        <v>50859.93</v>
      </c>
      <c r="CE68" s="322">
        <v>12076.66</v>
      </c>
      <c r="CF68" s="322">
        <v>63550.57</v>
      </c>
      <c r="CG68" s="322">
        <v>20672.150000000001</v>
      </c>
      <c r="CH68" s="322">
        <v>87077.42</v>
      </c>
      <c r="CI68" s="322">
        <v>23065.329999999998</v>
      </c>
      <c r="CJ68" s="322">
        <v>64595.92</v>
      </c>
      <c r="CK68" s="322">
        <v>23276.36</v>
      </c>
      <c r="CL68" s="322">
        <v>80182.610000000015</v>
      </c>
      <c r="CM68" s="322">
        <v>25978.27</v>
      </c>
      <c r="CN68" s="322">
        <v>75690.350000000006</v>
      </c>
      <c r="CO68" s="322">
        <v>22610.83</v>
      </c>
      <c r="CP68" s="322">
        <v>81806.13</v>
      </c>
      <c r="CQ68" s="322">
        <v>39450</v>
      </c>
      <c r="CR68" s="334"/>
      <c r="CS68" s="322" t="s">
        <v>51</v>
      </c>
      <c r="CT68" s="322">
        <v>33123.4</v>
      </c>
      <c r="CU68" s="322">
        <v>44047.65</v>
      </c>
      <c r="CV68" s="322">
        <v>85712.22</v>
      </c>
      <c r="CW68" s="322">
        <v>39642.68</v>
      </c>
      <c r="CX68" s="322">
        <v>41871.96</v>
      </c>
      <c r="CY68" s="322">
        <v>58566.55</v>
      </c>
      <c r="CZ68" s="322">
        <v>61871</v>
      </c>
      <c r="DA68" s="322">
        <v>30133.82</v>
      </c>
      <c r="DB68" s="322">
        <v>23277.390000000003</v>
      </c>
      <c r="DC68" s="322">
        <v>24520.359999999997</v>
      </c>
      <c r="DD68" s="322">
        <v>25633.1</v>
      </c>
      <c r="DE68" s="322">
        <v>28773.73</v>
      </c>
      <c r="DF68" s="322">
        <v>32501.620000000003</v>
      </c>
      <c r="DG68" s="322">
        <v>28090.98</v>
      </c>
      <c r="DH68" s="322">
        <v>30762.32</v>
      </c>
      <c r="DI68" s="322">
        <v>31240.880000000001</v>
      </c>
      <c r="DJ68" s="322">
        <v>28377.64</v>
      </c>
      <c r="DK68" s="322">
        <v>31966.71</v>
      </c>
      <c r="DL68" s="322">
        <v>33513.53</v>
      </c>
      <c r="DM68" s="322">
        <v>29672.400000000001</v>
      </c>
      <c r="DN68" s="322">
        <v>32618.1</v>
      </c>
      <c r="DO68" s="322">
        <v>32179.03</v>
      </c>
      <c r="DP68" s="334"/>
      <c r="DQ68" s="322" t="s">
        <v>51</v>
      </c>
      <c r="DR68" s="322">
        <v>66246.8</v>
      </c>
      <c r="DS68" s="322">
        <v>70476.240000000005</v>
      </c>
      <c r="DT68" s="322">
        <v>76188.639999999999</v>
      </c>
      <c r="DU68" s="322">
        <v>79285.36</v>
      </c>
      <c r="DV68" s="322">
        <v>83743.92</v>
      </c>
      <c r="DW68" s="322">
        <v>93706.48</v>
      </c>
      <c r="DX68" s="322">
        <v>86619.4</v>
      </c>
      <c r="DY68" s="322">
        <v>90401.46</v>
      </c>
      <c r="DZ68" s="322">
        <v>81473.179999999993</v>
      </c>
      <c r="EA68" s="322">
        <v>109486.92000000001</v>
      </c>
      <c r="EB68" s="322">
        <v>126345.72</v>
      </c>
      <c r="EC68" s="322">
        <v>143569.44</v>
      </c>
      <c r="ED68" s="322">
        <v>145992.59</v>
      </c>
      <c r="EE68" s="322">
        <v>148591.18</v>
      </c>
      <c r="EF68" s="322">
        <v>159649.75</v>
      </c>
      <c r="EG68" s="322">
        <v>183480.79</v>
      </c>
      <c r="EH68" s="322">
        <v>175496.00999999998</v>
      </c>
      <c r="EI68" s="322">
        <v>195177.09000000003</v>
      </c>
      <c r="EJ68" s="322">
        <v>208376.62</v>
      </c>
      <c r="EK68" s="322">
        <v>249280.38</v>
      </c>
      <c r="EL68" s="322">
        <v>229336.52</v>
      </c>
      <c r="EM68" s="322">
        <v>250300</v>
      </c>
      <c r="EN68" s="334"/>
      <c r="EO68" s="322" t="s">
        <v>51</v>
      </c>
      <c r="EP68" s="322">
        <v>16561.7</v>
      </c>
      <c r="EQ68" s="322">
        <v>17619.060000000001</v>
      </c>
      <c r="ER68" s="322">
        <v>19047.16</v>
      </c>
      <c r="ES68" s="322">
        <v>29732.01</v>
      </c>
      <c r="ET68" s="322">
        <v>31403.97</v>
      </c>
      <c r="EU68" s="322">
        <v>23426.62</v>
      </c>
      <c r="EV68" s="322">
        <v>24748.400000000001</v>
      </c>
      <c r="EW68" s="322">
        <v>30133.82</v>
      </c>
      <c r="EX68" s="322">
        <v>30403.09</v>
      </c>
      <c r="EY68" s="322">
        <v>34905.67</v>
      </c>
      <c r="EZ68" s="322">
        <v>32176.41</v>
      </c>
      <c r="FA68" s="322">
        <v>42674.68</v>
      </c>
      <c r="FB68" s="322">
        <v>43119.97</v>
      </c>
      <c r="FC68" s="322">
        <v>43276.26</v>
      </c>
      <c r="FD68" s="322">
        <v>42810.32</v>
      </c>
      <c r="FE68" s="322">
        <v>43559.17</v>
      </c>
      <c r="FF68" s="322">
        <v>43833.77</v>
      </c>
      <c r="FG68" s="322">
        <v>43346.439999999995</v>
      </c>
      <c r="FH68" s="322">
        <v>43174.559999999998</v>
      </c>
      <c r="FI68" s="322">
        <v>43671.26</v>
      </c>
      <c r="FJ68" s="322">
        <v>43444.800000000003</v>
      </c>
      <c r="FK68" s="322">
        <v>43800</v>
      </c>
      <c r="FL68" s="334"/>
      <c r="FM68" s="322" t="s">
        <v>51</v>
      </c>
      <c r="FN68" s="322">
        <v>49685.1</v>
      </c>
      <c r="FO68" s="322">
        <v>52857.18</v>
      </c>
      <c r="FP68" s="322">
        <v>57141.48</v>
      </c>
      <c r="FQ68" s="322">
        <v>59464.02</v>
      </c>
      <c r="FR68" s="322">
        <v>62807.94</v>
      </c>
      <c r="FS68" s="322">
        <v>70279.86</v>
      </c>
      <c r="FT68" s="322">
        <v>74245.2</v>
      </c>
      <c r="FU68" s="322">
        <v>75334.55</v>
      </c>
      <c r="FV68" s="322">
        <v>70828.86</v>
      </c>
      <c r="FW68" s="322">
        <v>76393.72</v>
      </c>
      <c r="FX68" s="322">
        <v>81179.179999999993</v>
      </c>
      <c r="FY68" s="322">
        <v>74316.189999999988</v>
      </c>
      <c r="FZ68" s="322">
        <v>76147.69</v>
      </c>
      <c r="GA68" s="322">
        <v>77546.939999999988</v>
      </c>
      <c r="GB68" s="322">
        <v>77931.199999999997</v>
      </c>
      <c r="GC68" s="322">
        <v>81100.63</v>
      </c>
      <c r="GD68" s="322">
        <v>81267.39</v>
      </c>
      <c r="GE68" s="322">
        <v>74704.489999999991</v>
      </c>
      <c r="GF68" s="340">
        <v>92013.819999999992</v>
      </c>
      <c r="GG68" s="704">
        <v>74565.34</v>
      </c>
      <c r="GH68" s="704">
        <v>77527.039999999994</v>
      </c>
      <c r="GI68" s="704">
        <v>78860.239999999991</v>
      </c>
      <c r="GJ68" s="334"/>
      <c r="GK68" s="322" t="s">
        <v>51</v>
      </c>
      <c r="GL68" s="322">
        <v>0</v>
      </c>
      <c r="GM68" s="322">
        <v>26428.59</v>
      </c>
      <c r="GN68" s="322">
        <v>28570.74</v>
      </c>
      <c r="GO68" s="322">
        <v>19821.34</v>
      </c>
      <c r="GP68" s="322">
        <v>20935.98</v>
      </c>
      <c r="GQ68" s="322">
        <v>23426.62</v>
      </c>
      <c r="GR68" s="322">
        <v>24748.400000000001</v>
      </c>
      <c r="GS68" s="322">
        <v>15066.91</v>
      </c>
      <c r="GT68" s="322">
        <v>14931.310000000001</v>
      </c>
      <c r="GU68" s="322">
        <v>21104.09</v>
      </c>
      <c r="GV68" s="322">
        <v>24568.769999999997</v>
      </c>
      <c r="GW68" s="322">
        <v>24775.559999999998</v>
      </c>
      <c r="GX68" s="322">
        <v>25071.780000000002</v>
      </c>
      <c r="GY68" s="322">
        <v>25546</v>
      </c>
      <c r="GZ68" s="322">
        <v>0</v>
      </c>
      <c r="HA68" s="322">
        <v>0</v>
      </c>
      <c r="HB68" s="322">
        <v>0</v>
      </c>
      <c r="HC68" s="322">
        <v>0</v>
      </c>
      <c r="HD68" s="322">
        <v>0</v>
      </c>
      <c r="HE68" s="322">
        <v>0</v>
      </c>
      <c r="HF68" s="322">
        <v>0</v>
      </c>
      <c r="HG68" s="322">
        <v>0</v>
      </c>
      <c r="HH68" s="334"/>
      <c r="HI68" s="322" t="s">
        <v>51</v>
      </c>
      <c r="HJ68" s="322">
        <v>16561.7</v>
      </c>
      <c r="HK68" s="322">
        <v>0</v>
      </c>
      <c r="HL68" s="322">
        <v>0</v>
      </c>
      <c r="HM68" s="322">
        <v>0</v>
      </c>
      <c r="HN68" s="322">
        <v>0</v>
      </c>
      <c r="HO68" s="322">
        <v>0</v>
      </c>
      <c r="HP68" s="322">
        <v>0</v>
      </c>
      <c r="HQ68" s="322">
        <v>0</v>
      </c>
      <c r="HR68" s="322">
        <v>0</v>
      </c>
      <c r="HS68" s="322">
        <v>0</v>
      </c>
      <c r="HT68" s="322">
        <v>0</v>
      </c>
      <c r="HU68" s="322">
        <v>0</v>
      </c>
      <c r="HV68" s="322">
        <v>0</v>
      </c>
      <c r="HW68" s="322">
        <v>0</v>
      </c>
      <c r="HX68" s="322">
        <v>38828.550000000003</v>
      </c>
      <c r="HY68" s="322">
        <v>51401.609999999993</v>
      </c>
      <c r="HZ68" s="322">
        <v>53743.950000000004</v>
      </c>
      <c r="IA68" s="322">
        <v>48985.14</v>
      </c>
      <c r="IB68" s="322">
        <v>47079.13</v>
      </c>
      <c r="IC68" s="322">
        <v>46639.5</v>
      </c>
      <c r="ID68" s="322">
        <v>45626.610000000008</v>
      </c>
      <c r="IE68" s="322">
        <v>51004</v>
      </c>
      <c r="IF68" s="334"/>
      <c r="IG68" s="322" t="s">
        <v>51</v>
      </c>
      <c r="IH68" s="322">
        <v>8280.85</v>
      </c>
      <c r="II68" s="322">
        <v>8809.5300000000007</v>
      </c>
      <c r="IJ68" s="322">
        <v>9523.58</v>
      </c>
      <c r="IK68" s="322">
        <v>9910.67</v>
      </c>
      <c r="IL68" s="322">
        <v>10467.99</v>
      </c>
      <c r="IM68" s="322">
        <v>11713.31</v>
      </c>
      <c r="IN68" s="322">
        <v>12374.2</v>
      </c>
      <c r="IO68" s="322">
        <v>105468.37</v>
      </c>
      <c r="IP68" s="322">
        <v>12774.970000000001</v>
      </c>
      <c r="IQ68" s="322">
        <v>161265.87</v>
      </c>
      <c r="IR68" s="322">
        <v>93919.77</v>
      </c>
      <c r="IS68" s="322">
        <v>22602.579999999998</v>
      </c>
      <c r="IT68" s="322">
        <v>21149.47</v>
      </c>
      <c r="IU68" s="322">
        <v>21302.15</v>
      </c>
      <c r="IV68" s="322"/>
      <c r="IW68" s="322"/>
      <c r="IX68" s="322"/>
      <c r="IY68" s="322"/>
      <c r="IZ68" s="322"/>
      <c r="JA68" s="322"/>
      <c r="JB68" s="322"/>
      <c r="JC68" s="322"/>
      <c r="JD68" s="334"/>
      <c r="JE68" s="322" t="s">
        <v>51</v>
      </c>
      <c r="JF68" s="322">
        <v>16561.7</v>
      </c>
      <c r="JG68" s="322">
        <v>17619.060000000001</v>
      </c>
      <c r="JH68" s="322">
        <v>19047.16</v>
      </c>
      <c r="JI68" s="322">
        <v>9910.67</v>
      </c>
      <c r="JJ68" s="322">
        <v>10467.99</v>
      </c>
      <c r="JK68" s="322">
        <v>11713.31</v>
      </c>
      <c r="JL68" s="322">
        <v>24748.400000000001</v>
      </c>
      <c r="JM68" s="322">
        <v>15066.91</v>
      </c>
      <c r="JN68" s="322">
        <v>15832.27</v>
      </c>
      <c r="JO68" s="322">
        <v>12261.1</v>
      </c>
      <c r="JP68" s="322">
        <v>14348.08</v>
      </c>
      <c r="JQ68" s="322">
        <v>11507.060000000001</v>
      </c>
      <c r="JR68" s="322">
        <v>13287.67</v>
      </c>
      <c r="JS68" s="322">
        <v>8078.42</v>
      </c>
      <c r="JT68" s="322">
        <v>6420.5300000000007</v>
      </c>
      <c r="JU68" s="322">
        <v>9598.68</v>
      </c>
      <c r="JV68" s="322">
        <v>9196.61</v>
      </c>
      <c r="JW68" s="322">
        <v>7164.42</v>
      </c>
      <c r="JX68" s="322">
        <v>9701.08</v>
      </c>
      <c r="JY68" s="322">
        <v>2546.0699999999997</v>
      </c>
      <c r="JZ68" s="322">
        <v>4181.71</v>
      </c>
      <c r="KA68" s="322">
        <v>6000</v>
      </c>
      <c r="KB68" s="334"/>
      <c r="KC68" s="322" t="s">
        <v>51</v>
      </c>
      <c r="KD68" s="322">
        <v>8280.85</v>
      </c>
      <c r="KE68" s="322">
        <v>17619.060000000001</v>
      </c>
      <c r="KF68" s="322">
        <v>19047.16</v>
      </c>
      <c r="KG68" s="322">
        <v>39642.68</v>
      </c>
      <c r="KH68" s="322">
        <v>31403.97</v>
      </c>
      <c r="KI68" s="322">
        <v>35139.93</v>
      </c>
      <c r="KJ68" s="322">
        <v>24748.400000000001</v>
      </c>
      <c r="KK68" s="322">
        <v>30133.82</v>
      </c>
      <c r="KL68" s="322">
        <v>29783.67</v>
      </c>
      <c r="KM68" s="322">
        <v>29882.32</v>
      </c>
      <c r="KN68" s="322">
        <v>30129.08</v>
      </c>
      <c r="KO68" s="322">
        <v>32814.639999999999</v>
      </c>
      <c r="KP68" s="322">
        <v>36583.619999999995</v>
      </c>
      <c r="KQ68" s="322">
        <v>36126.199999999997</v>
      </c>
      <c r="KR68" s="322">
        <v>34144.629999999997</v>
      </c>
      <c r="KS68" s="322">
        <v>35373.89</v>
      </c>
      <c r="KT68" s="322">
        <v>35745.25</v>
      </c>
      <c r="KU68" s="322">
        <v>37917.1</v>
      </c>
      <c r="KV68" s="322">
        <v>39317.69</v>
      </c>
      <c r="KW68" s="322">
        <v>40398.410000000003</v>
      </c>
      <c r="KX68" s="322">
        <v>42137.26</v>
      </c>
      <c r="KY68" s="322">
        <v>59600</v>
      </c>
      <c r="KZ68" s="334"/>
      <c r="LA68" s="322" t="s">
        <v>51</v>
      </c>
      <c r="LB68" s="322">
        <v>66246.8</v>
      </c>
      <c r="LC68" s="322">
        <v>52857.18</v>
      </c>
      <c r="LD68" s="322">
        <v>57141.48</v>
      </c>
      <c r="LE68" s="322">
        <v>79285.36</v>
      </c>
      <c r="LF68" s="322">
        <v>94211.91</v>
      </c>
      <c r="LG68" s="322">
        <v>105419.79</v>
      </c>
      <c r="LH68" s="322">
        <v>173238.8</v>
      </c>
      <c r="LI68" s="322">
        <v>391739.66</v>
      </c>
      <c r="LJ68" s="322">
        <v>309934.11</v>
      </c>
      <c r="LK68" s="322">
        <v>423850.78</v>
      </c>
      <c r="LL68" s="322">
        <v>268160.12</v>
      </c>
      <c r="LM68" s="322">
        <v>183050.52000000002</v>
      </c>
      <c r="LN68" s="322">
        <v>122937.25999999998</v>
      </c>
      <c r="LO68" s="322">
        <v>100186.52999999998</v>
      </c>
      <c r="LP68" s="322">
        <v>94545.7</v>
      </c>
      <c r="LQ68" s="322">
        <v>106593.22</v>
      </c>
      <c r="LR68" s="322">
        <v>116582.36000000002</v>
      </c>
      <c r="LS68" s="322">
        <v>101923.29</v>
      </c>
      <c r="LT68" s="322">
        <v>125724.67</v>
      </c>
      <c r="LU68" s="322">
        <v>136600.65</v>
      </c>
      <c r="LV68" s="322">
        <v>132661.81999999998</v>
      </c>
      <c r="LW68" s="322">
        <v>140396.33000000002</v>
      </c>
      <c r="LX68" s="334"/>
      <c r="LY68" s="322" t="s">
        <v>51</v>
      </c>
      <c r="LZ68" s="322">
        <v>165617</v>
      </c>
      <c r="MA68" s="322">
        <v>185000.13</v>
      </c>
      <c r="MB68" s="322">
        <v>161900.85999999999</v>
      </c>
      <c r="MC68" s="322">
        <v>168481.39</v>
      </c>
      <c r="MD68" s="322">
        <v>188423.82</v>
      </c>
      <c r="ME68" s="322">
        <v>187412.96</v>
      </c>
      <c r="MF68" s="322">
        <v>197987.20000000001</v>
      </c>
      <c r="MG68" s="322">
        <v>195869.83</v>
      </c>
      <c r="MH68" s="322">
        <v>228723.12000000002</v>
      </c>
      <c r="MI68" s="322">
        <v>284908.46000000002</v>
      </c>
      <c r="MJ68" s="322">
        <v>231495.14</v>
      </c>
      <c r="MK68" s="322">
        <v>217091.13</v>
      </c>
      <c r="ML68" s="322">
        <v>234347.83999999997</v>
      </c>
      <c r="MM68" s="322">
        <v>220127.58</v>
      </c>
      <c r="MN68" s="322">
        <v>221556.86</v>
      </c>
      <c r="MO68" s="322">
        <v>219684.02</v>
      </c>
      <c r="MP68" s="322">
        <v>248304.90999999997</v>
      </c>
      <c r="MQ68" s="322">
        <v>320874.46000000002</v>
      </c>
      <c r="MR68" s="322">
        <v>307872.53999999998</v>
      </c>
      <c r="MS68" s="322">
        <v>290451.28999999998</v>
      </c>
      <c r="MT68" s="322">
        <v>307294.98</v>
      </c>
      <c r="MU68" s="322">
        <v>379647.24</v>
      </c>
      <c r="MV68" s="334"/>
      <c r="MW68" s="322" t="s">
        <v>51</v>
      </c>
      <c r="MX68" s="322">
        <v>99370.2</v>
      </c>
      <c r="MY68" s="322">
        <v>114523.89</v>
      </c>
      <c r="MZ68" s="322">
        <v>114282.96</v>
      </c>
      <c r="NA68" s="322">
        <v>138749.38</v>
      </c>
      <c r="NB68" s="322">
        <v>146551.85999999999</v>
      </c>
      <c r="NC68" s="322">
        <v>175699.65</v>
      </c>
      <c r="ND68" s="322">
        <v>173238.8</v>
      </c>
      <c r="NE68" s="322">
        <v>195869.83</v>
      </c>
      <c r="NF68" s="322">
        <v>160989.41999999998</v>
      </c>
      <c r="NG68" s="322">
        <v>200835.93</v>
      </c>
      <c r="NH68" s="322">
        <v>215873.25000000003</v>
      </c>
      <c r="NI68" s="322">
        <v>199454.46000000002</v>
      </c>
      <c r="NJ68" s="322">
        <v>230770.01999999996</v>
      </c>
      <c r="NK68" s="322">
        <v>193931.31999999998</v>
      </c>
      <c r="NL68" s="322">
        <v>176755.18999999997</v>
      </c>
      <c r="NM68" s="322">
        <v>202861.83</v>
      </c>
      <c r="NN68" s="322">
        <v>218474.93</v>
      </c>
      <c r="NO68" s="322">
        <v>243953.21000000002</v>
      </c>
      <c r="NP68" s="322">
        <v>328632.07999999996</v>
      </c>
      <c r="NQ68" s="322">
        <v>309003.28999999998</v>
      </c>
      <c r="NR68" s="322">
        <v>351586.18000000005</v>
      </c>
      <c r="NS68" s="322">
        <v>428500</v>
      </c>
      <c r="NT68" s="334"/>
      <c r="NU68" s="322" t="s">
        <v>51</v>
      </c>
      <c r="NV68" s="322">
        <v>82808.5</v>
      </c>
      <c r="NW68" s="322">
        <v>70476.240000000005</v>
      </c>
      <c r="NX68" s="322">
        <v>76188.639999999999</v>
      </c>
      <c r="NY68" s="322">
        <v>118928.04</v>
      </c>
      <c r="NZ68" s="322">
        <v>104679.9</v>
      </c>
      <c r="OA68" s="322">
        <v>105419.79</v>
      </c>
      <c r="OB68" s="322">
        <v>98993.600000000006</v>
      </c>
      <c r="OC68" s="322">
        <v>105468.37</v>
      </c>
      <c r="OD68" s="322">
        <v>102281.53</v>
      </c>
      <c r="OE68" s="322">
        <v>107980.64</v>
      </c>
      <c r="OF68" s="322">
        <v>120743.86000000002</v>
      </c>
      <c r="OG68" s="322">
        <v>168340.49</v>
      </c>
      <c r="OH68" s="322">
        <v>172280.01</v>
      </c>
      <c r="OI68" s="322">
        <v>179454.02</v>
      </c>
      <c r="OJ68" s="322">
        <v>183968.3</v>
      </c>
      <c r="OK68" s="322">
        <v>175959.05</v>
      </c>
      <c r="OL68" s="322">
        <v>176609.33</v>
      </c>
      <c r="OM68" s="322">
        <v>182413.13999999998</v>
      </c>
      <c r="ON68" s="322">
        <v>190767.65000000002</v>
      </c>
      <c r="OO68" s="322">
        <v>206895.68</v>
      </c>
      <c r="OP68" s="322">
        <v>211619.44</v>
      </c>
      <c r="OQ68" s="322">
        <v>232768</v>
      </c>
      <c r="OR68" s="334"/>
      <c r="OS68" s="322" t="s">
        <v>51</v>
      </c>
      <c r="OT68" s="322">
        <v>49685.1</v>
      </c>
      <c r="OU68" s="322">
        <v>61666.71</v>
      </c>
      <c r="OV68" s="322">
        <v>66665.06</v>
      </c>
      <c r="OW68" s="322">
        <v>39642.68</v>
      </c>
      <c r="OX68" s="322">
        <v>20935.98</v>
      </c>
      <c r="OY68" s="322">
        <v>46853.24</v>
      </c>
      <c r="OZ68" s="322">
        <v>37122.6</v>
      </c>
      <c r="PA68" s="322">
        <v>30133.82</v>
      </c>
      <c r="PB68" s="322">
        <v>11057.46</v>
      </c>
      <c r="PC68" s="322">
        <v>22831.82</v>
      </c>
      <c r="PD68" s="322">
        <v>27771.29</v>
      </c>
      <c r="PE68" s="322">
        <v>24558.85</v>
      </c>
      <c r="PF68" s="322">
        <v>31411.33</v>
      </c>
      <c r="PG68" s="322">
        <v>30559.589999999997</v>
      </c>
      <c r="PH68" s="322">
        <v>32070.07</v>
      </c>
      <c r="PI68" s="322">
        <v>38679.54</v>
      </c>
      <c r="PJ68" s="322">
        <v>42435.18</v>
      </c>
      <c r="PK68" s="322">
        <v>42451.46</v>
      </c>
      <c r="PL68" s="322">
        <v>40775.980000000003</v>
      </c>
      <c r="PM68" s="322">
        <v>40178.699999999997</v>
      </c>
      <c r="PN68" s="322">
        <v>37837.660000000003</v>
      </c>
      <c r="PO68" s="322">
        <v>59178.22</v>
      </c>
      <c r="PP68" s="334"/>
      <c r="PQ68" s="322" t="s">
        <v>51</v>
      </c>
      <c r="PR68" s="322">
        <v>0</v>
      </c>
      <c r="PS68" s="322">
        <v>8809.5300000000007</v>
      </c>
      <c r="PT68" s="322">
        <v>9523.58</v>
      </c>
      <c r="PU68" s="322">
        <v>9910.67</v>
      </c>
      <c r="PV68" s="322">
        <v>10467.99</v>
      </c>
      <c r="PW68" s="322">
        <v>11713.31</v>
      </c>
      <c r="PX68" s="322">
        <v>12374.2</v>
      </c>
      <c r="PY68" s="322">
        <v>15066.91</v>
      </c>
      <c r="PZ68" s="322">
        <v>12572.3</v>
      </c>
      <c r="QA68" s="322">
        <v>13204.62</v>
      </c>
      <c r="QB68" s="322">
        <v>13380.029999999999</v>
      </c>
      <c r="QC68" s="322">
        <v>13509.41</v>
      </c>
      <c r="QD68" s="322">
        <v>13189.17</v>
      </c>
      <c r="QE68" s="322">
        <v>13206.899999999998</v>
      </c>
      <c r="QF68" s="322">
        <v>13346.06</v>
      </c>
      <c r="QG68" s="322">
        <v>13142.689999999999</v>
      </c>
      <c r="QH68" s="322">
        <v>13311.599999999999</v>
      </c>
      <c r="QI68" s="322">
        <v>13450.769999999999</v>
      </c>
      <c r="QJ68" s="322">
        <v>17055.5</v>
      </c>
      <c r="QK68" s="322">
        <v>14784.96</v>
      </c>
      <c r="QL68" s="322">
        <v>16018.339999999998</v>
      </c>
      <c r="QM68" s="322">
        <v>16600</v>
      </c>
      <c r="QN68" s="334"/>
      <c r="QO68" s="322" t="s">
        <v>51</v>
      </c>
      <c r="QP68" s="322">
        <v>0</v>
      </c>
      <c r="QQ68" s="322">
        <v>0</v>
      </c>
      <c r="QR68" s="322">
        <v>0</v>
      </c>
      <c r="QS68" s="322">
        <v>0</v>
      </c>
      <c r="QT68" s="322">
        <v>0</v>
      </c>
      <c r="QU68" s="322">
        <v>0</v>
      </c>
      <c r="QV68" s="322">
        <v>0</v>
      </c>
      <c r="QW68" s="322">
        <v>0</v>
      </c>
      <c r="QX68" s="322">
        <v>0</v>
      </c>
      <c r="QY68" s="322">
        <v>0</v>
      </c>
      <c r="QZ68" s="322">
        <v>0</v>
      </c>
      <c r="RA68" s="322">
        <v>0</v>
      </c>
      <c r="RB68" s="322">
        <v>0</v>
      </c>
      <c r="RC68" s="322">
        <v>0</v>
      </c>
      <c r="RD68" s="322">
        <v>0</v>
      </c>
      <c r="RE68" s="322">
        <v>0</v>
      </c>
      <c r="RF68" s="322">
        <v>0</v>
      </c>
      <c r="RG68" s="322">
        <v>0</v>
      </c>
      <c r="RH68" s="322">
        <v>0</v>
      </c>
      <c r="RI68" s="322">
        <v>0</v>
      </c>
      <c r="RJ68" s="322">
        <v>0</v>
      </c>
      <c r="RK68" s="322">
        <v>0</v>
      </c>
      <c r="RL68" s="334"/>
      <c r="RM68" s="322" t="s">
        <v>51</v>
      </c>
      <c r="RN68" s="322">
        <v>0</v>
      </c>
      <c r="RO68" s="322">
        <v>8809.5300000000007</v>
      </c>
      <c r="RP68" s="322">
        <v>9523.58</v>
      </c>
      <c r="RQ68" s="322">
        <v>0</v>
      </c>
      <c r="RR68" s="322">
        <v>0</v>
      </c>
      <c r="RS68" s="322">
        <v>35139.93</v>
      </c>
      <c r="RT68" s="322">
        <v>0</v>
      </c>
      <c r="RU68" s="322">
        <v>0</v>
      </c>
      <c r="RV68" s="322">
        <v>16626.07</v>
      </c>
      <c r="RW68" s="322">
        <v>0</v>
      </c>
      <c r="RX68" s="322">
        <v>0</v>
      </c>
      <c r="RY68" s="322">
        <v>0</v>
      </c>
      <c r="RZ68" s="322">
        <v>0</v>
      </c>
      <c r="SA68" s="322">
        <v>0</v>
      </c>
      <c r="SB68" s="322">
        <v>1125</v>
      </c>
      <c r="SC68" s="322">
        <v>0</v>
      </c>
      <c r="SD68" s="322">
        <v>12525</v>
      </c>
      <c r="SE68" s="322">
        <v>0</v>
      </c>
      <c r="SF68" s="322">
        <v>0</v>
      </c>
      <c r="SG68" s="322">
        <v>0</v>
      </c>
      <c r="SH68" s="322">
        <v>50600</v>
      </c>
      <c r="SI68" s="322">
        <v>0</v>
      </c>
    </row>
    <row r="69" spans="1:503">
      <c r="A69" s="319" t="s">
        <v>52</v>
      </c>
      <c r="B69" s="319">
        <v>927850</v>
      </c>
      <c r="C69" s="319">
        <v>1021311</v>
      </c>
      <c r="D69" s="319">
        <v>1151627</v>
      </c>
      <c r="E69" s="319">
        <v>1207904</v>
      </c>
      <c r="F69" s="319">
        <v>1152964</v>
      </c>
      <c r="G69" s="319">
        <v>1209472</v>
      </c>
      <c r="H69" s="319">
        <v>1312794</v>
      </c>
      <c r="I69" s="319">
        <v>1226432</v>
      </c>
      <c r="J69" s="319">
        <v>1453152.7399999998</v>
      </c>
      <c r="K69" s="319">
        <v>1421319.88</v>
      </c>
      <c r="L69" s="319">
        <v>1578247.5900000003</v>
      </c>
      <c r="M69" s="319">
        <v>1736305.1800000002</v>
      </c>
      <c r="N69" s="319">
        <v>1721102.6099999999</v>
      </c>
      <c r="O69" s="319"/>
      <c r="P69" s="319">
        <v>1685833.7100000002</v>
      </c>
      <c r="Q69" s="319">
        <v>1797800.7000000002</v>
      </c>
      <c r="R69" s="319">
        <v>1592195.3</v>
      </c>
      <c r="S69" s="322">
        <v>1651568.46</v>
      </c>
      <c r="T69" s="319">
        <v>1873282.79</v>
      </c>
      <c r="U69" s="319">
        <v>1795004.21</v>
      </c>
      <c r="V69" s="319">
        <v>2009300.27</v>
      </c>
      <c r="W69" s="319">
        <v>1987582.77</v>
      </c>
      <c r="X69" s="330"/>
      <c r="Y69" s="319" t="s">
        <v>52</v>
      </c>
      <c r="Z69" s="319">
        <v>46392.5</v>
      </c>
      <c r="AA69" s="319">
        <v>51065.55</v>
      </c>
      <c r="AB69" s="319">
        <v>46065.08</v>
      </c>
      <c r="AC69" s="319">
        <v>60395.199999999997</v>
      </c>
      <c r="AD69" s="319">
        <v>57648.2</v>
      </c>
      <c r="AE69" s="319">
        <v>72568.320000000007</v>
      </c>
      <c r="AF69" s="319">
        <v>72568.320000000007</v>
      </c>
      <c r="AG69" s="319">
        <v>73585.919999999998</v>
      </c>
      <c r="AH69" s="319">
        <v>70903.940000000017</v>
      </c>
      <c r="AI69" s="319">
        <v>98556.06</v>
      </c>
      <c r="AJ69" s="319">
        <v>100989.93000000001</v>
      </c>
      <c r="AK69" s="319">
        <v>105148.58999999998</v>
      </c>
      <c r="AL69" s="319">
        <v>108153.74</v>
      </c>
      <c r="AM69" s="319"/>
      <c r="AN69" s="319">
        <v>112078.68999999999</v>
      </c>
      <c r="AO69" s="319">
        <v>121047.93000000001</v>
      </c>
      <c r="AP69" s="319">
        <v>115872.68</v>
      </c>
      <c r="AQ69" s="322">
        <v>115725.50999999998</v>
      </c>
      <c r="AR69" s="319">
        <v>115932.42</v>
      </c>
      <c r="AS69" s="319">
        <v>119492.15000000001</v>
      </c>
      <c r="AT69" s="319">
        <v>117087.01000000001</v>
      </c>
      <c r="AU69" s="319">
        <v>118334.03</v>
      </c>
      <c r="AV69" s="334"/>
      <c r="AW69" s="319" t="s">
        <v>52</v>
      </c>
      <c r="AX69" s="319">
        <v>55671</v>
      </c>
      <c r="AY69" s="319">
        <v>61278.659999999996</v>
      </c>
      <c r="AZ69" s="319">
        <v>69097.62</v>
      </c>
      <c r="BA69" s="319">
        <v>72474.239999999991</v>
      </c>
      <c r="BB69" s="319">
        <v>69177.84</v>
      </c>
      <c r="BC69" s="319">
        <v>72568.319999999992</v>
      </c>
      <c r="BD69" s="319">
        <v>78767.64</v>
      </c>
      <c r="BE69" s="319">
        <v>73585.919999999998</v>
      </c>
      <c r="BF69" s="319">
        <v>80429.16</v>
      </c>
      <c r="BG69" s="319">
        <v>106315.42</v>
      </c>
      <c r="BH69" s="319">
        <v>116031.24</v>
      </c>
      <c r="BI69" s="319">
        <v>120874.36999999998</v>
      </c>
      <c r="BJ69" s="319">
        <v>121191.95000000001</v>
      </c>
      <c r="BK69" s="319"/>
      <c r="BL69" s="319">
        <v>119668.06</v>
      </c>
      <c r="BM69" s="319">
        <v>123401.74</v>
      </c>
      <c r="BN69" s="319">
        <v>125981.43000000001</v>
      </c>
      <c r="BO69" s="322">
        <v>117437.28</v>
      </c>
      <c r="BP69" s="319">
        <v>127271.91000000002</v>
      </c>
      <c r="BQ69" s="319">
        <v>126933.87000000001</v>
      </c>
      <c r="BR69" s="319">
        <v>124811.34</v>
      </c>
      <c r="BS69" s="319">
        <v>130070.8</v>
      </c>
      <c r="BT69" s="334"/>
      <c r="BU69" s="322" t="s">
        <v>52</v>
      </c>
      <c r="BV69" s="322">
        <v>37114</v>
      </c>
      <c r="BW69" s="322">
        <v>10213.11</v>
      </c>
      <c r="BX69" s="322">
        <v>34548.81</v>
      </c>
      <c r="BY69" s="322">
        <v>12079.04</v>
      </c>
      <c r="BZ69" s="322">
        <v>57648.2</v>
      </c>
      <c r="CA69" s="322">
        <v>12094.72</v>
      </c>
      <c r="CB69" s="322">
        <v>39383.82</v>
      </c>
      <c r="CC69" s="322">
        <v>12264.32</v>
      </c>
      <c r="CD69" s="322">
        <v>50417.68</v>
      </c>
      <c r="CE69" s="322">
        <v>19394.52</v>
      </c>
      <c r="CF69" s="322">
        <v>37552.86</v>
      </c>
      <c r="CG69" s="322">
        <v>15373.96</v>
      </c>
      <c r="CH69" s="322">
        <v>61129.42</v>
      </c>
      <c r="CI69" s="322"/>
      <c r="CJ69" s="322">
        <v>44097.04</v>
      </c>
      <c r="CK69" s="322">
        <v>16523.829999999998</v>
      </c>
      <c r="CL69" s="322">
        <v>67008.81</v>
      </c>
      <c r="CM69" s="322">
        <v>13589.17</v>
      </c>
      <c r="CN69" s="322">
        <v>58141.22</v>
      </c>
      <c r="CO69" s="322">
        <v>35089.910000000003</v>
      </c>
      <c r="CP69" s="322">
        <v>90162.83</v>
      </c>
      <c r="CQ69" s="322">
        <v>53938.97</v>
      </c>
      <c r="CR69" s="334"/>
      <c r="CS69" s="322" t="s">
        <v>52</v>
      </c>
      <c r="CT69" s="322">
        <v>55671</v>
      </c>
      <c r="CU69" s="322">
        <v>71491.77</v>
      </c>
      <c r="CV69" s="322">
        <v>57581.35</v>
      </c>
      <c r="CW69" s="322">
        <v>72474.240000000005</v>
      </c>
      <c r="CX69" s="322">
        <v>69177.84</v>
      </c>
      <c r="CY69" s="322">
        <v>60473.599999999999</v>
      </c>
      <c r="CZ69" s="322">
        <v>65639.7</v>
      </c>
      <c r="DA69" s="322">
        <v>61321.599999999999</v>
      </c>
      <c r="DB69" s="322">
        <v>66986.38</v>
      </c>
      <c r="DC69" s="322">
        <v>92686.89</v>
      </c>
      <c r="DD69" s="322">
        <v>120503.67999999999</v>
      </c>
      <c r="DE69" s="322">
        <v>78254.900000000009</v>
      </c>
      <c r="DF69" s="322">
        <v>64989.69</v>
      </c>
      <c r="DG69" s="322"/>
      <c r="DH69" s="322">
        <v>86115.779999999984</v>
      </c>
      <c r="DI69" s="322">
        <v>191043.03999999998</v>
      </c>
      <c r="DJ69" s="322">
        <v>71507.89</v>
      </c>
      <c r="DK69" s="322">
        <v>93312.81</v>
      </c>
      <c r="DL69" s="322">
        <v>84875.09</v>
      </c>
      <c r="DM69" s="322">
        <v>81753.88</v>
      </c>
      <c r="DN69" s="322">
        <v>208970.12</v>
      </c>
      <c r="DO69" s="322">
        <v>85790.42</v>
      </c>
      <c r="DP69" s="334"/>
      <c r="DQ69" s="322" t="s">
        <v>52</v>
      </c>
      <c r="DR69" s="322">
        <v>102063.5</v>
      </c>
      <c r="DS69" s="322">
        <v>112344.21</v>
      </c>
      <c r="DT69" s="322">
        <v>149711.51</v>
      </c>
      <c r="DU69" s="322">
        <v>144948.48000000001</v>
      </c>
      <c r="DV69" s="322">
        <v>126826.04</v>
      </c>
      <c r="DW69" s="322">
        <v>157231.35999999999</v>
      </c>
      <c r="DX69" s="322">
        <v>157535.28</v>
      </c>
      <c r="DY69" s="322">
        <v>159436.16</v>
      </c>
      <c r="DZ69" s="322">
        <v>198909.49000000002</v>
      </c>
      <c r="EA69" s="322">
        <v>0</v>
      </c>
      <c r="EB69" s="322">
        <v>0</v>
      </c>
      <c r="EC69" s="322">
        <v>6495.84</v>
      </c>
      <c r="ED69" s="322">
        <v>1960</v>
      </c>
      <c r="EE69" s="322"/>
      <c r="EF69" s="322">
        <v>3759.32</v>
      </c>
      <c r="EG69" s="322">
        <v>372.88</v>
      </c>
      <c r="EH69" s="322">
        <v>5166.99</v>
      </c>
      <c r="EI69" s="322">
        <v>2979.96</v>
      </c>
      <c r="EJ69" s="322">
        <v>1110.95</v>
      </c>
      <c r="EK69" s="322">
        <v>0</v>
      </c>
      <c r="EL69" s="322">
        <v>0</v>
      </c>
      <c r="EM69" s="322">
        <v>2500</v>
      </c>
      <c r="EN69" s="334"/>
      <c r="EO69" s="322" t="s">
        <v>52</v>
      </c>
      <c r="EP69" s="322">
        <v>18557</v>
      </c>
      <c r="EQ69" s="322">
        <v>20426.22</v>
      </c>
      <c r="ER69" s="322">
        <v>23032.54</v>
      </c>
      <c r="ES69" s="322">
        <v>24158.080000000002</v>
      </c>
      <c r="ET69" s="322">
        <v>23059.279999999999</v>
      </c>
      <c r="EU69" s="322">
        <v>24189.439999999999</v>
      </c>
      <c r="EV69" s="322">
        <v>26255.88</v>
      </c>
      <c r="EW69" s="322">
        <v>24528.639999999999</v>
      </c>
      <c r="EX69" s="322">
        <v>27202.69</v>
      </c>
      <c r="EY69" s="322">
        <v>35864.589999999997</v>
      </c>
      <c r="EZ69" s="322">
        <v>35383.629999999997</v>
      </c>
      <c r="FA69" s="322">
        <v>46922.63</v>
      </c>
      <c r="FB69" s="322">
        <v>48085.35</v>
      </c>
      <c r="FC69" s="322"/>
      <c r="FD69" s="322">
        <v>48102.170000000006</v>
      </c>
      <c r="FE69" s="322">
        <v>52138.33</v>
      </c>
      <c r="FF69" s="322">
        <v>54799.22</v>
      </c>
      <c r="FG69" s="322">
        <v>54638.630000000005</v>
      </c>
      <c r="FH69" s="322">
        <v>54381.749999999993</v>
      </c>
      <c r="FI69" s="322">
        <v>54545.409999999996</v>
      </c>
      <c r="FJ69" s="322">
        <v>54225.43</v>
      </c>
      <c r="FK69" s="322">
        <v>56761.7</v>
      </c>
      <c r="FL69" s="334"/>
      <c r="FM69" s="322" t="s">
        <v>52</v>
      </c>
      <c r="FN69" s="322">
        <v>55671</v>
      </c>
      <c r="FO69" s="322">
        <v>51065.55</v>
      </c>
      <c r="FP69" s="322">
        <v>57581.35</v>
      </c>
      <c r="FQ69" s="322">
        <v>60395.199999999997</v>
      </c>
      <c r="FR69" s="322">
        <v>57648.2</v>
      </c>
      <c r="FS69" s="322">
        <v>60473.599999999999</v>
      </c>
      <c r="FT69" s="322">
        <v>65639.7</v>
      </c>
      <c r="FU69" s="322">
        <v>61321.599999999999</v>
      </c>
      <c r="FV69" s="322">
        <v>63729.479999999996</v>
      </c>
      <c r="FW69" s="322">
        <v>86247.760000000009</v>
      </c>
      <c r="FX69" s="322">
        <v>80106.659999999989</v>
      </c>
      <c r="FY69" s="322">
        <v>85958.46</v>
      </c>
      <c r="FZ69" s="322">
        <v>90485.07</v>
      </c>
      <c r="GA69" s="322"/>
      <c r="GB69" s="322">
        <v>92408.06</v>
      </c>
      <c r="GC69" s="322">
        <v>90746.860000000015</v>
      </c>
      <c r="GD69" s="322">
        <v>93701.48</v>
      </c>
      <c r="GE69" s="322">
        <v>93607.7</v>
      </c>
      <c r="GF69" s="340">
        <v>93670.700000000012</v>
      </c>
      <c r="GG69" s="704">
        <v>93458.670000000013</v>
      </c>
      <c r="GH69" s="704">
        <v>93821.660000000018</v>
      </c>
      <c r="GI69" s="704">
        <v>100313.04999999999</v>
      </c>
      <c r="GJ69" s="334"/>
      <c r="GK69" s="322" t="s">
        <v>52</v>
      </c>
      <c r="GL69" s="322">
        <v>0</v>
      </c>
      <c r="GM69" s="322">
        <v>0</v>
      </c>
      <c r="GN69" s="322">
        <v>0</v>
      </c>
      <c r="GO69" s="322">
        <v>0</v>
      </c>
      <c r="GP69" s="322">
        <v>0</v>
      </c>
      <c r="GQ69" s="322">
        <v>0</v>
      </c>
      <c r="GR69" s="322">
        <v>0</v>
      </c>
      <c r="GS69" s="322">
        <v>36792.959999999999</v>
      </c>
      <c r="GT69" s="322">
        <v>43191.12</v>
      </c>
      <c r="GU69" s="322">
        <v>58217.29</v>
      </c>
      <c r="GV69" s="322">
        <v>57175.280000000006</v>
      </c>
      <c r="GW69" s="322">
        <v>65376.4</v>
      </c>
      <c r="GX69" s="322">
        <v>57892.4</v>
      </c>
      <c r="GY69" s="322"/>
      <c r="GZ69" s="322">
        <v>51238.399999999994</v>
      </c>
      <c r="HA69" s="322">
        <v>56515.41</v>
      </c>
      <c r="HB69" s="322">
        <v>55024.530000000006</v>
      </c>
      <c r="HC69" s="322">
        <v>56066.91</v>
      </c>
      <c r="HD69" s="322">
        <v>55603.820000000014</v>
      </c>
      <c r="HE69" s="322">
        <v>53683.42</v>
      </c>
      <c r="HF69" s="322">
        <v>53620.93</v>
      </c>
      <c r="HG69" s="322">
        <v>56830.25</v>
      </c>
      <c r="HH69" s="334"/>
      <c r="HI69" s="322" t="s">
        <v>52</v>
      </c>
      <c r="HJ69" s="322">
        <v>27835.5</v>
      </c>
      <c r="HK69" s="322">
        <v>30639.33</v>
      </c>
      <c r="HL69" s="322">
        <v>23032.54</v>
      </c>
      <c r="HM69" s="322">
        <v>24158.080000000002</v>
      </c>
      <c r="HN69" s="322">
        <v>34588.92</v>
      </c>
      <c r="HO69" s="322">
        <v>36284.160000000003</v>
      </c>
      <c r="HP69" s="322">
        <v>39383.82</v>
      </c>
      <c r="HQ69" s="322">
        <v>12264.32</v>
      </c>
      <c r="HR69" s="322">
        <v>22361.420000000002</v>
      </c>
      <c r="HS69" s="322">
        <v>22502.820000000003</v>
      </c>
      <c r="HT69" s="322">
        <v>33406.910000000003</v>
      </c>
      <c r="HU69" s="322">
        <v>28333.019999999993</v>
      </c>
      <c r="HV69" s="322">
        <v>26234.760000000002</v>
      </c>
      <c r="HW69" s="322"/>
      <c r="HX69" s="322">
        <v>19263.48</v>
      </c>
      <c r="HY69" s="322">
        <v>10974.84</v>
      </c>
      <c r="HZ69" s="322">
        <v>13335.429999999998</v>
      </c>
      <c r="IA69" s="322">
        <v>16095.379999999997</v>
      </c>
      <c r="IB69" s="322">
        <v>15075.24</v>
      </c>
      <c r="IC69" s="322">
        <v>11830.76</v>
      </c>
      <c r="ID69" s="322">
        <v>15060.81</v>
      </c>
      <c r="IE69" s="322">
        <v>16450</v>
      </c>
      <c r="IF69" s="334"/>
      <c r="IG69" s="322" t="s">
        <v>52</v>
      </c>
      <c r="IH69" s="322">
        <v>9278.5</v>
      </c>
      <c r="II69" s="322">
        <v>10213.11</v>
      </c>
      <c r="IJ69" s="322">
        <v>11516.27</v>
      </c>
      <c r="IK69" s="322">
        <v>0</v>
      </c>
      <c r="IL69" s="322">
        <v>11529.64</v>
      </c>
      <c r="IM69" s="322">
        <v>12094.72</v>
      </c>
      <c r="IN69" s="322">
        <v>13127.94</v>
      </c>
      <c r="IO69" s="322">
        <v>0</v>
      </c>
      <c r="IP69" s="322">
        <v>7918.8200000000006</v>
      </c>
      <c r="IQ69" s="322">
        <v>5566.58</v>
      </c>
      <c r="IR69" s="322">
        <v>951.63</v>
      </c>
      <c r="IS69" s="322">
        <v>1283.74</v>
      </c>
      <c r="IT69" s="322">
        <v>955.29</v>
      </c>
      <c r="IU69" s="322"/>
      <c r="IV69" s="322"/>
      <c r="IW69" s="322"/>
      <c r="IX69" s="322"/>
      <c r="IY69" s="322"/>
      <c r="IZ69" s="322"/>
      <c r="JA69" s="322"/>
      <c r="JB69" s="322"/>
      <c r="JC69" s="322"/>
      <c r="JD69" s="334"/>
      <c r="JE69" s="322" t="s">
        <v>52</v>
      </c>
      <c r="JF69" s="322">
        <v>0</v>
      </c>
      <c r="JG69" s="322">
        <v>0</v>
      </c>
      <c r="JH69" s="322">
        <v>0</v>
      </c>
      <c r="JI69" s="322">
        <v>0</v>
      </c>
      <c r="JJ69" s="322">
        <v>0</v>
      </c>
      <c r="JK69" s="322">
        <v>0</v>
      </c>
      <c r="JL69" s="322">
        <v>0</v>
      </c>
      <c r="JM69" s="322">
        <v>0</v>
      </c>
      <c r="JN69" s="322">
        <v>4488.8100000000004</v>
      </c>
      <c r="JO69" s="322">
        <v>3866.4600000000005</v>
      </c>
      <c r="JP69" s="322">
        <v>4853.6000000000013</v>
      </c>
      <c r="JQ69" s="322">
        <v>3694.3899999999994</v>
      </c>
      <c r="JR69" s="322">
        <v>4952.0200000000004</v>
      </c>
      <c r="JS69" s="322"/>
      <c r="JT69" s="322">
        <v>5280.4999999999991</v>
      </c>
      <c r="JU69" s="322">
        <v>4249.33</v>
      </c>
      <c r="JV69" s="322">
        <v>4855.75</v>
      </c>
      <c r="JW69" s="322">
        <v>4923.58</v>
      </c>
      <c r="JX69" s="322">
        <v>4893.9900000000007</v>
      </c>
      <c r="JY69" s="322">
        <v>4547.3099999999995</v>
      </c>
      <c r="JZ69" s="322">
        <v>4754.46</v>
      </c>
      <c r="KA69" s="322">
        <v>5100</v>
      </c>
      <c r="KB69" s="334"/>
      <c r="KC69" s="322" t="s">
        <v>52</v>
      </c>
      <c r="KD69" s="322">
        <v>9278.5</v>
      </c>
      <c r="KE69" s="322">
        <v>10213.11</v>
      </c>
      <c r="KF69" s="322">
        <v>11516.27</v>
      </c>
      <c r="KG69" s="322">
        <v>24158.080000000002</v>
      </c>
      <c r="KH69" s="322">
        <v>23059.279999999999</v>
      </c>
      <c r="KI69" s="322">
        <v>24189.439999999999</v>
      </c>
      <c r="KJ69" s="322">
        <v>26255.88</v>
      </c>
      <c r="KK69" s="322">
        <v>24528.639999999999</v>
      </c>
      <c r="KL69" s="322">
        <v>21366.14</v>
      </c>
      <c r="KM69" s="322">
        <v>21832.43</v>
      </c>
      <c r="KN69" s="322">
        <v>23610.17</v>
      </c>
      <c r="KO69" s="322">
        <v>25170.329999999998</v>
      </c>
      <c r="KP69" s="322">
        <v>25087.019999999997</v>
      </c>
      <c r="KQ69" s="322"/>
      <c r="KR69" s="322">
        <v>32773.51</v>
      </c>
      <c r="KS69" s="322">
        <v>33147.949999999997</v>
      </c>
      <c r="KT69" s="322">
        <v>33078.75</v>
      </c>
      <c r="KU69" s="322">
        <v>32754.649999999998</v>
      </c>
      <c r="KV69" s="322">
        <v>33052.47</v>
      </c>
      <c r="KW69" s="322">
        <v>32759.269999999997</v>
      </c>
      <c r="KX69" s="322">
        <v>32979.579999999994</v>
      </c>
      <c r="KY69" s="322">
        <v>34876.69</v>
      </c>
      <c r="KZ69" s="334"/>
      <c r="LA69" s="322" t="s">
        <v>52</v>
      </c>
      <c r="LB69" s="322">
        <v>64949.5</v>
      </c>
      <c r="LC69" s="322">
        <v>81704.88</v>
      </c>
      <c r="LD69" s="322">
        <v>161227.78</v>
      </c>
      <c r="LE69" s="322">
        <v>205343.68</v>
      </c>
      <c r="LF69" s="322">
        <v>138355.68</v>
      </c>
      <c r="LG69" s="322">
        <v>96757.759999999995</v>
      </c>
      <c r="LH69" s="322">
        <v>91895.58</v>
      </c>
      <c r="LI69" s="322">
        <v>134907.51999999999</v>
      </c>
      <c r="LJ69" s="322">
        <v>134071.90999999997</v>
      </c>
      <c r="LK69" s="322">
        <v>133970.62</v>
      </c>
      <c r="LL69" s="322">
        <v>119163.55</v>
      </c>
      <c r="LM69" s="322">
        <v>419423.08</v>
      </c>
      <c r="LN69" s="322">
        <v>412128.8</v>
      </c>
      <c r="LO69" s="322"/>
      <c r="LP69" s="322">
        <v>384828.08000000007</v>
      </c>
      <c r="LQ69" s="322">
        <v>422548.20999999996</v>
      </c>
      <c r="LR69" s="322">
        <v>412589.91000000003</v>
      </c>
      <c r="LS69" s="322">
        <v>455691.04000000004</v>
      </c>
      <c r="LT69" s="322">
        <v>512564.65</v>
      </c>
      <c r="LU69" s="322">
        <v>529060.93000000005</v>
      </c>
      <c r="LV69" s="322">
        <v>498383.05</v>
      </c>
      <c r="LW69" s="322">
        <v>532832.03</v>
      </c>
      <c r="LX69" s="334"/>
      <c r="LY69" s="322" t="s">
        <v>52</v>
      </c>
      <c r="LZ69" s="322">
        <v>222684</v>
      </c>
      <c r="MA69" s="322">
        <v>296180.19</v>
      </c>
      <c r="MB69" s="322">
        <v>299423.02</v>
      </c>
      <c r="MC69" s="322">
        <v>314055.03999999998</v>
      </c>
      <c r="MD69" s="322">
        <v>242122.44</v>
      </c>
      <c r="ME69" s="322">
        <v>314462.71999999997</v>
      </c>
      <c r="MF69" s="322">
        <v>328198.5</v>
      </c>
      <c r="MG69" s="322">
        <v>294343.67999999999</v>
      </c>
      <c r="MH69" s="322">
        <v>316483.22999999992</v>
      </c>
      <c r="MI69" s="322">
        <v>390494.52</v>
      </c>
      <c r="MJ69" s="322">
        <v>423082.3600000001</v>
      </c>
      <c r="MK69" s="322">
        <v>427563.22</v>
      </c>
      <c r="ML69" s="322">
        <v>400035.38</v>
      </c>
      <c r="MM69" s="322"/>
      <c r="MN69" s="322">
        <v>395860.80000000005</v>
      </c>
      <c r="MO69" s="322">
        <v>377304.67000000004</v>
      </c>
      <c r="MP69" s="322">
        <v>360946.61000000004</v>
      </c>
      <c r="MQ69" s="322">
        <v>383448.0799999999</v>
      </c>
      <c r="MR69" s="322">
        <v>407977.82</v>
      </c>
      <c r="MS69" s="322">
        <v>411050.69</v>
      </c>
      <c r="MT69" s="322">
        <v>389557.6</v>
      </c>
      <c r="MU69" s="322">
        <v>446481.4</v>
      </c>
      <c r="MV69" s="334"/>
      <c r="MW69" s="322" t="s">
        <v>52</v>
      </c>
      <c r="MX69" s="322">
        <v>27835.5</v>
      </c>
      <c r="MY69" s="322">
        <v>20426.22</v>
      </c>
      <c r="MZ69" s="322">
        <v>80613.89</v>
      </c>
      <c r="NA69" s="322">
        <v>72474.240000000005</v>
      </c>
      <c r="NB69" s="322">
        <v>46118.559999999998</v>
      </c>
      <c r="NC69" s="322">
        <v>72568.320000000007</v>
      </c>
      <c r="ND69" s="322">
        <v>105023.52</v>
      </c>
      <c r="NE69" s="322">
        <v>61321.599999999999</v>
      </c>
      <c r="NF69" s="322">
        <v>41221.65</v>
      </c>
      <c r="NG69" s="322">
        <v>41836.509999999995</v>
      </c>
      <c r="NH69" s="322">
        <v>44764.69</v>
      </c>
      <c r="NI69" s="322">
        <v>77930.12</v>
      </c>
      <c r="NJ69" s="322">
        <v>55219.729999999996</v>
      </c>
      <c r="NK69" s="322"/>
      <c r="NL69" s="322">
        <v>36596.869999999995</v>
      </c>
      <c r="NM69" s="322">
        <v>32922.83</v>
      </c>
      <c r="NN69" s="322">
        <v>31110.730000000003</v>
      </c>
      <c r="NO69" s="322">
        <v>41980.08</v>
      </c>
      <c r="NP69" s="322">
        <v>86148.150000000009</v>
      </c>
      <c r="NQ69" s="322">
        <v>85389.450000000012</v>
      </c>
      <c r="NR69" s="322">
        <v>89723.150000000009</v>
      </c>
      <c r="NS69" s="322">
        <v>90919.53</v>
      </c>
      <c r="NT69" s="334"/>
      <c r="NU69" s="322" t="s">
        <v>52</v>
      </c>
      <c r="NV69" s="322">
        <v>55671</v>
      </c>
      <c r="NW69" s="322">
        <v>61278.66</v>
      </c>
      <c r="NX69" s="322">
        <v>57581.35</v>
      </c>
      <c r="NY69" s="322">
        <v>72474.240000000005</v>
      </c>
      <c r="NZ69" s="322">
        <v>69177.84</v>
      </c>
      <c r="OA69" s="322">
        <v>72568.320000000007</v>
      </c>
      <c r="OB69" s="322">
        <v>78767.64</v>
      </c>
      <c r="OC69" s="322">
        <v>73585.919999999998</v>
      </c>
      <c r="OD69" s="322">
        <v>67585.079999999987</v>
      </c>
      <c r="OE69" s="322">
        <v>88810.21</v>
      </c>
      <c r="OF69" s="322">
        <v>88521.810000000012</v>
      </c>
      <c r="OG69" s="322">
        <v>87765.930000000008</v>
      </c>
      <c r="OH69" s="322">
        <v>92372.96</v>
      </c>
      <c r="OI69" s="322"/>
      <c r="OJ69" s="322">
        <v>107105.72000000002</v>
      </c>
      <c r="OK69" s="322">
        <v>97748.530000000013</v>
      </c>
      <c r="OL69" s="322">
        <v>104510.93999999999</v>
      </c>
      <c r="OM69" s="322">
        <v>100672.62</v>
      </c>
      <c r="ON69" s="322">
        <v>101549.2</v>
      </c>
      <c r="OO69" s="322">
        <v>95904.39</v>
      </c>
      <c r="OP69" s="322">
        <v>96049.640000000014</v>
      </c>
      <c r="OQ69" s="322">
        <v>106533.73</v>
      </c>
      <c r="OR69" s="334"/>
      <c r="OS69" s="322" t="s">
        <v>52</v>
      </c>
      <c r="OT69" s="322">
        <v>55671</v>
      </c>
      <c r="OU69" s="322">
        <v>51065.55</v>
      </c>
      <c r="OV69" s="322">
        <v>57581.35</v>
      </c>
      <c r="OW69" s="322">
        <v>36237.120000000003</v>
      </c>
      <c r="OX69" s="322">
        <v>23059.279999999999</v>
      </c>
      <c r="OY69" s="322">
        <v>24189.439999999999</v>
      </c>
      <c r="OZ69" s="322">
        <v>26255.88</v>
      </c>
      <c r="PA69" s="322">
        <v>24528.639999999999</v>
      </c>
      <c r="PB69" s="322">
        <v>20846.910000000003</v>
      </c>
      <c r="PC69" s="322">
        <v>21510.05</v>
      </c>
      <c r="PD69" s="322">
        <v>25766.74</v>
      </c>
      <c r="PE69" s="322">
        <v>14503.66</v>
      </c>
      <c r="PF69" s="322">
        <v>24397.239999999998</v>
      </c>
      <c r="PG69" s="322"/>
      <c r="PH69" s="322">
        <v>28489.109999999997</v>
      </c>
      <c r="PI69" s="322">
        <v>35090.800000000003</v>
      </c>
      <c r="PJ69" s="322">
        <v>14710.9</v>
      </c>
      <c r="PK69" s="322">
        <v>23981.79</v>
      </c>
      <c r="PL69" s="322">
        <v>30510.43</v>
      </c>
      <c r="PM69" s="322">
        <v>28308.680000000004</v>
      </c>
      <c r="PN69" s="322">
        <v>27442.77</v>
      </c>
      <c r="PO69" s="322">
        <v>41183.31</v>
      </c>
      <c r="PP69" s="334"/>
      <c r="PQ69" s="322" t="s">
        <v>52</v>
      </c>
      <c r="PR69" s="322">
        <v>9278.5</v>
      </c>
      <c r="PS69" s="322">
        <v>10213.11</v>
      </c>
      <c r="PT69" s="322">
        <v>11516.27</v>
      </c>
      <c r="PU69" s="322">
        <v>12079.04</v>
      </c>
      <c r="PV69" s="322">
        <v>11529.64</v>
      </c>
      <c r="PW69" s="322">
        <v>12094.72</v>
      </c>
      <c r="PX69" s="322">
        <v>13127.94</v>
      </c>
      <c r="PY69" s="322">
        <v>12264.32</v>
      </c>
      <c r="PZ69" s="322">
        <v>8802.42</v>
      </c>
      <c r="QA69" s="322">
        <v>16866.43</v>
      </c>
      <c r="QB69" s="322">
        <v>17629.850000000002</v>
      </c>
      <c r="QC69" s="322">
        <v>23218.45</v>
      </c>
      <c r="QD69" s="322">
        <v>21051.7</v>
      </c>
      <c r="QE69" s="322"/>
      <c r="QF69" s="322">
        <v>22707.47</v>
      </c>
      <c r="QG69" s="322">
        <v>22920.06</v>
      </c>
      <c r="QH69" s="322">
        <v>20682.099999999999</v>
      </c>
      <c r="QI69" s="322">
        <v>24659.9</v>
      </c>
      <c r="QJ69" s="322">
        <v>23559.190000000002</v>
      </c>
      <c r="QK69" s="322">
        <v>20195.420000000002</v>
      </c>
      <c r="QL69" s="322">
        <v>23649.89</v>
      </c>
      <c r="QM69" s="322">
        <v>25832.9</v>
      </c>
      <c r="QN69" s="334"/>
      <c r="QO69" s="322" t="s">
        <v>52</v>
      </c>
      <c r="QP69" s="322">
        <v>0</v>
      </c>
      <c r="QQ69" s="322">
        <v>0</v>
      </c>
      <c r="QR69" s="322">
        <v>0</v>
      </c>
      <c r="QS69" s="322">
        <v>0</v>
      </c>
      <c r="QT69" s="322">
        <v>0</v>
      </c>
      <c r="QU69" s="322">
        <v>0</v>
      </c>
      <c r="QV69" s="322">
        <v>0</v>
      </c>
      <c r="QW69" s="322">
        <v>0</v>
      </c>
      <c r="QX69" s="322">
        <v>0</v>
      </c>
      <c r="QY69" s="322">
        <v>0</v>
      </c>
      <c r="QZ69" s="322">
        <v>0</v>
      </c>
      <c r="RA69" s="322">
        <v>0</v>
      </c>
      <c r="RB69" s="322">
        <v>0</v>
      </c>
      <c r="RC69" s="322"/>
      <c r="RD69" s="322">
        <v>0</v>
      </c>
      <c r="RE69" s="322">
        <v>0</v>
      </c>
      <c r="RF69" s="322">
        <v>0</v>
      </c>
      <c r="RG69" s="322">
        <v>0</v>
      </c>
      <c r="RH69" s="322">
        <v>0</v>
      </c>
      <c r="RI69" s="322">
        <v>0</v>
      </c>
      <c r="RJ69" s="322">
        <v>0</v>
      </c>
      <c r="RK69" s="322">
        <v>0</v>
      </c>
      <c r="RL69" s="334"/>
      <c r="RM69" s="322" t="s">
        <v>52</v>
      </c>
      <c r="RN69" s="322">
        <v>74228</v>
      </c>
      <c r="RO69" s="322">
        <v>71491.77</v>
      </c>
      <c r="RP69" s="322">
        <v>0</v>
      </c>
      <c r="RQ69" s="322">
        <v>0</v>
      </c>
      <c r="RR69" s="322">
        <v>92237.119999999995</v>
      </c>
      <c r="RS69" s="322">
        <v>84663.039999999994</v>
      </c>
      <c r="RT69" s="322">
        <v>78767.64</v>
      </c>
      <c r="RU69" s="322">
        <v>85850.240000000005</v>
      </c>
      <c r="RV69" s="322">
        <v>206236.41</v>
      </c>
      <c r="RW69" s="322">
        <v>176780.72</v>
      </c>
      <c r="RX69" s="322">
        <v>224063.1</v>
      </c>
      <c r="RY69" s="322">
        <v>103014.09</v>
      </c>
      <c r="RZ69" s="322">
        <v>104780.09</v>
      </c>
      <c r="SA69" s="322"/>
      <c r="SB69" s="322">
        <v>95460.65</v>
      </c>
      <c r="SC69" s="322">
        <v>109103.46</v>
      </c>
      <c r="SD69" s="322">
        <v>7311.15</v>
      </c>
      <c r="SE69" s="322">
        <v>20003.37</v>
      </c>
      <c r="SF69" s="322">
        <v>66963.790000000008</v>
      </c>
      <c r="SG69" s="322">
        <v>11000</v>
      </c>
      <c r="SH69" s="322">
        <v>32000</v>
      </c>
      <c r="SI69" s="322">
        <v>27020</v>
      </c>
    </row>
    <row r="70" spans="1:503">
      <c r="A70" s="319" t="s">
        <v>53</v>
      </c>
      <c r="B70" s="319">
        <v>1215695</v>
      </c>
      <c r="C70" s="319">
        <v>1347891</v>
      </c>
      <c r="D70" s="319">
        <v>1667585</v>
      </c>
      <c r="E70" s="319">
        <v>1753015</v>
      </c>
      <c r="F70" s="319">
        <v>1805470</v>
      </c>
      <c r="G70" s="319">
        <v>1860099</v>
      </c>
      <c r="H70" s="319">
        <v>2106934</v>
      </c>
      <c r="I70" s="319">
        <v>2415425</v>
      </c>
      <c r="J70" s="319">
        <v>2809582.4899999998</v>
      </c>
      <c r="K70" s="319">
        <v>3081491.9899999998</v>
      </c>
      <c r="L70" s="319">
        <v>3314660.54</v>
      </c>
      <c r="M70" s="319">
        <v>3166023.5</v>
      </c>
      <c r="N70" s="319">
        <v>3185377.6799999997</v>
      </c>
      <c r="O70" s="319">
        <v>3189262.63</v>
      </c>
      <c r="P70" s="319"/>
      <c r="Q70" s="319">
        <v>3314515.66</v>
      </c>
      <c r="R70" s="319">
        <v>3400335.42</v>
      </c>
      <c r="S70" s="322">
        <v>3045025.34</v>
      </c>
      <c r="T70" s="319">
        <v>3184986.2199999997</v>
      </c>
      <c r="U70" s="319">
        <v>3578444.55</v>
      </c>
      <c r="V70" s="319">
        <v>3921550.9999999995</v>
      </c>
      <c r="W70" s="319">
        <v>4241515</v>
      </c>
      <c r="X70" s="330"/>
      <c r="Y70" s="319" t="s">
        <v>53</v>
      </c>
      <c r="Z70" s="319">
        <v>60784.75</v>
      </c>
      <c r="AA70" s="319">
        <v>67394.55</v>
      </c>
      <c r="AB70" s="319">
        <v>66703.399999999994</v>
      </c>
      <c r="AC70" s="319">
        <v>70120.600000000006</v>
      </c>
      <c r="AD70" s="319">
        <v>72218.8</v>
      </c>
      <c r="AE70" s="319">
        <v>74403.960000000006</v>
      </c>
      <c r="AF70" s="319">
        <v>74403.960000000006</v>
      </c>
      <c r="AG70" s="319">
        <v>96617</v>
      </c>
      <c r="AH70" s="319">
        <v>89830.049999999988</v>
      </c>
      <c r="AI70" s="319">
        <v>95500.869999999981</v>
      </c>
      <c r="AJ70" s="319">
        <v>98235.040000000008</v>
      </c>
      <c r="AK70" s="319">
        <v>98507.32</v>
      </c>
      <c r="AL70" s="319">
        <v>99299.540000000008</v>
      </c>
      <c r="AM70" s="319">
        <v>102209.61</v>
      </c>
      <c r="AN70" s="319"/>
      <c r="AO70" s="319">
        <v>114199.32</v>
      </c>
      <c r="AP70" s="319">
        <v>156760.53999999998</v>
      </c>
      <c r="AQ70" s="322">
        <v>131951.26999999999</v>
      </c>
      <c r="AR70" s="319">
        <v>151938.68999999997</v>
      </c>
      <c r="AS70" s="319">
        <v>154135.43</v>
      </c>
      <c r="AT70" s="319">
        <v>143283.66</v>
      </c>
      <c r="AU70" s="319">
        <v>145620</v>
      </c>
      <c r="AV70" s="334"/>
      <c r="AW70" s="319" t="s">
        <v>53</v>
      </c>
      <c r="AX70" s="319">
        <v>72941.7</v>
      </c>
      <c r="AY70" s="319">
        <v>80873.459999999992</v>
      </c>
      <c r="AZ70" s="319">
        <v>66703.399999999994</v>
      </c>
      <c r="BA70" s="319">
        <v>87650.75</v>
      </c>
      <c r="BB70" s="319">
        <v>90273.5</v>
      </c>
      <c r="BC70" s="319">
        <v>93004.950000000012</v>
      </c>
      <c r="BD70" s="319">
        <v>105346.70000000001</v>
      </c>
      <c r="BE70" s="319">
        <v>96617</v>
      </c>
      <c r="BF70" s="319">
        <v>115108.55</v>
      </c>
      <c r="BG70" s="319">
        <v>111281.99999999999</v>
      </c>
      <c r="BH70" s="319">
        <v>105646.78000000001</v>
      </c>
      <c r="BI70" s="319">
        <v>107593.60000000001</v>
      </c>
      <c r="BJ70" s="319">
        <v>109247.29000000001</v>
      </c>
      <c r="BK70" s="319">
        <v>111302.41</v>
      </c>
      <c r="BL70" s="319"/>
      <c r="BM70" s="319">
        <v>117964.09999999998</v>
      </c>
      <c r="BN70" s="319">
        <v>123704.18999999999</v>
      </c>
      <c r="BO70" s="322">
        <v>106437.82999999999</v>
      </c>
      <c r="BP70" s="319">
        <v>121669.93000000002</v>
      </c>
      <c r="BQ70" s="319">
        <v>123698.55000000002</v>
      </c>
      <c r="BR70" s="319">
        <v>129535.23000000001</v>
      </c>
      <c r="BS70" s="319">
        <v>136210</v>
      </c>
      <c r="BT70" s="334"/>
      <c r="BU70" s="322" t="s">
        <v>53</v>
      </c>
      <c r="BV70" s="322">
        <v>24313.9</v>
      </c>
      <c r="BW70" s="322">
        <v>0</v>
      </c>
      <c r="BX70" s="322">
        <v>16675.849999999999</v>
      </c>
      <c r="BY70" s="322">
        <v>0</v>
      </c>
      <c r="BZ70" s="322">
        <v>18054.7</v>
      </c>
      <c r="CA70" s="322">
        <v>0</v>
      </c>
      <c r="CB70" s="322">
        <v>21069.34</v>
      </c>
      <c r="CC70" s="322">
        <v>0</v>
      </c>
      <c r="CD70" s="322">
        <v>29192.25</v>
      </c>
      <c r="CE70" s="322">
        <v>4353.75</v>
      </c>
      <c r="CF70" s="322">
        <v>36127.800000000003</v>
      </c>
      <c r="CG70" s="322">
        <v>11813.25</v>
      </c>
      <c r="CH70" s="322">
        <v>40000</v>
      </c>
      <c r="CI70" s="322">
        <v>6590.75</v>
      </c>
      <c r="CJ70" s="322"/>
      <c r="CK70" s="322">
        <v>0</v>
      </c>
      <c r="CL70" s="322">
        <v>36097.54</v>
      </c>
      <c r="CM70" s="322">
        <v>41560.480000000003</v>
      </c>
      <c r="CN70" s="322">
        <v>28001.87</v>
      </c>
      <c r="CO70" s="322">
        <v>0</v>
      </c>
      <c r="CP70" s="322">
        <v>68234.600000000006</v>
      </c>
      <c r="CQ70" s="322">
        <v>0</v>
      </c>
      <c r="CR70" s="334"/>
      <c r="CS70" s="322" t="s">
        <v>53</v>
      </c>
      <c r="CT70" s="322">
        <v>48627.8</v>
      </c>
      <c r="CU70" s="322">
        <v>80873.460000000006</v>
      </c>
      <c r="CV70" s="322">
        <v>83379.25</v>
      </c>
      <c r="CW70" s="322">
        <v>70120.600000000006</v>
      </c>
      <c r="CX70" s="322">
        <v>72218.8</v>
      </c>
      <c r="CY70" s="322">
        <v>74403.960000000006</v>
      </c>
      <c r="CZ70" s="322">
        <v>84277.36</v>
      </c>
      <c r="DA70" s="322">
        <v>96617</v>
      </c>
      <c r="DB70" s="322">
        <v>102748.38</v>
      </c>
      <c r="DC70" s="322">
        <v>117541.12999999999</v>
      </c>
      <c r="DD70" s="322">
        <v>201787.07</v>
      </c>
      <c r="DE70" s="322">
        <v>159814.95000000001</v>
      </c>
      <c r="DF70" s="322">
        <v>137879.51</v>
      </c>
      <c r="DG70" s="322">
        <v>147963.78999999998</v>
      </c>
      <c r="DH70" s="322"/>
      <c r="DI70" s="322">
        <v>151170.83000000002</v>
      </c>
      <c r="DJ70" s="322">
        <v>123473.24</v>
      </c>
      <c r="DK70" s="322">
        <v>130125.58</v>
      </c>
      <c r="DL70" s="322">
        <v>143869.75</v>
      </c>
      <c r="DM70" s="322">
        <v>147643.59</v>
      </c>
      <c r="DN70" s="322">
        <v>164832.42000000001</v>
      </c>
      <c r="DO70" s="322">
        <v>183990</v>
      </c>
      <c r="DP70" s="334"/>
      <c r="DQ70" s="322" t="s">
        <v>53</v>
      </c>
      <c r="DR70" s="322">
        <v>0</v>
      </c>
      <c r="DS70" s="322">
        <v>0</v>
      </c>
      <c r="DT70" s="322">
        <v>0</v>
      </c>
      <c r="DU70" s="322">
        <v>0</v>
      </c>
      <c r="DV70" s="322">
        <v>0</v>
      </c>
      <c r="DW70" s="322">
        <v>0</v>
      </c>
      <c r="DX70" s="322">
        <v>0</v>
      </c>
      <c r="DY70" s="322">
        <v>0</v>
      </c>
      <c r="DZ70" s="322">
        <v>5917.31</v>
      </c>
      <c r="EA70" s="322">
        <v>8291.33</v>
      </c>
      <c r="EB70" s="322">
        <v>11079.67</v>
      </c>
      <c r="EC70" s="322">
        <v>11193.24</v>
      </c>
      <c r="ED70" s="322">
        <v>12438.35</v>
      </c>
      <c r="EE70" s="322">
        <v>10201.780000000001</v>
      </c>
      <c r="EF70" s="322"/>
      <c r="EG70" s="322">
        <v>13368.65</v>
      </c>
      <c r="EH70" s="322">
        <v>16846.28</v>
      </c>
      <c r="EI70" s="322">
        <v>14670.73</v>
      </c>
      <c r="EJ70" s="322">
        <v>16219.36</v>
      </c>
      <c r="EK70" s="322">
        <v>14096.15</v>
      </c>
      <c r="EL70" s="322">
        <v>11094.36</v>
      </c>
      <c r="EM70" s="322">
        <v>11000</v>
      </c>
      <c r="EN70" s="334"/>
      <c r="EO70" s="322" t="s">
        <v>53</v>
      </c>
      <c r="EP70" s="322">
        <v>24313.9</v>
      </c>
      <c r="EQ70" s="322">
        <v>26957.82</v>
      </c>
      <c r="ER70" s="322">
        <v>16675.849999999999</v>
      </c>
      <c r="ES70" s="322">
        <v>35060.300000000003</v>
      </c>
      <c r="ET70" s="322">
        <v>36109.4</v>
      </c>
      <c r="EU70" s="322">
        <v>37201.980000000003</v>
      </c>
      <c r="EV70" s="322">
        <v>42138.68</v>
      </c>
      <c r="EW70" s="322">
        <v>24154.25</v>
      </c>
      <c r="EX70" s="322">
        <v>33603.4</v>
      </c>
      <c r="EY70" s="322">
        <v>31998.82</v>
      </c>
      <c r="EZ70" s="322">
        <v>34740.550000000003</v>
      </c>
      <c r="FA70" s="322">
        <v>50013.01999999999</v>
      </c>
      <c r="FB70" s="322">
        <v>50910.36</v>
      </c>
      <c r="FC70" s="322">
        <v>51785.320000000007</v>
      </c>
      <c r="FD70" s="322"/>
      <c r="FE70" s="322">
        <v>52513.36</v>
      </c>
      <c r="FF70" s="322">
        <v>52106.450000000004</v>
      </c>
      <c r="FG70" s="322">
        <v>51621.53</v>
      </c>
      <c r="FH70" s="322">
        <v>51922.310000000005</v>
      </c>
      <c r="FI70" s="322">
        <v>50890.720000000001</v>
      </c>
      <c r="FJ70" s="322">
        <v>51393.84</v>
      </c>
      <c r="FK70" s="322">
        <v>54190</v>
      </c>
      <c r="FL70" s="334"/>
      <c r="FM70" s="322" t="s">
        <v>53</v>
      </c>
      <c r="FN70" s="322">
        <v>60784.75</v>
      </c>
      <c r="FO70" s="322">
        <v>53915.64</v>
      </c>
      <c r="FP70" s="322">
        <v>50027.55</v>
      </c>
      <c r="FQ70" s="322">
        <v>52590.45</v>
      </c>
      <c r="FR70" s="322">
        <v>72218.8</v>
      </c>
      <c r="FS70" s="322">
        <v>74403.960000000006</v>
      </c>
      <c r="FT70" s="322">
        <v>63208.02</v>
      </c>
      <c r="FU70" s="322">
        <v>72462.75</v>
      </c>
      <c r="FV70" s="322">
        <v>69543.33</v>
      </c>
      <c r="FW70" s="322">
        <v>68999.679999999993</v>
      </c>
      <c r="FX70" s="322">
        <v>72027.499999999985</v>
      </c>
      <c r="FY70" s="322">
        <v>79470.14999999998</v>
      </c>
      <c r="FZ70" s="322">
        <v>85005.680000000008</v>
      </c>
      <c r="GA70" s="322">
        <v>86213.65</v>
      </c>
      <c r="GB70" s="322"/>
      <c r="GC70" s="322">
        <v>85247.07</v>
      </c>
      <c r="GD70" s="322">
        <v>88679.329999999987</v>
      </c>
      <c r="GE70" s="322">
        <v>89206.959999999992</v>
      </c>
      <c r="GF70" s="340">
        <v>90168.43</v>
      </c>
      <c r="GG70" s="704">
        <v>88714.28</v>
      </c>
      <c r="GH70" s="704">
        <v>90276.389999999985</v>
      </c>
      <c r="GI70" s="704">
        <v>94190</v>
      </c>
      <c r="GJ70" s="334"/>
      <c r="GK70" s="322" t="s">
        <v>53</v>
      </c>
      <c r="GL70" s="322">
        <v>0</v>
      </c>
      <c r="GM70" s="322">
        <v>0</v>
      </c>
      <c r="GN70" s="322">
        <v>0</v>
      </c>
      <c r="GO70" s="322">
        <v>0</v>
      </c>
      <c r="GP70" s="322">
        <v>0</v>
      </c>
      <c r="GQ70" s="322">
        <v>0</v>
      </c>
      <c r="GR70" s="322">
        <v>21069.34</v>
      </c>
      <c r="GS70" s="322">
        <v>48308.5</v>
      </c>
      <c r="GT70" s="322">
        <v>66504.649999999994</v>
      </c>
      <c r="GU70" s="322">
        <v>68681.299999999988</v>
      </c>
      <c r="GV70" s="322">
        <v>67571.64</v>
      </c>
      <c r="GW70" s="322">
        <v>77163.08</v>
      </c>
      <c r="GX70" s="322">
        <v>81632.37999999999</v>
      </c>
      <c r="GY70" s="322">
        <v>77053.2</v>
      </c>
      <c r="GZ70" s="322"/>
      <c r="HA70" s="322">
        <v>79230</v>
      </c>
      <c r="HB70" s="322">
        <v>80511.820000000007</v>
      </c>
      <c r="HC70" s="322">
        <v>72839.429999999993</v>
      </c>
      <c r="HD70" s="322">
        <v>73166.490000000005</v>
      </c>
      <c r="HE70" s="322">
        <v>84497.400000000009</v>
      </c>
      <c r="HF70" s="322">
        <v>90695.09</v>
      </c>
      <c r="HG70" s="322">
        <v>94720</v>
      </c>
      <c r="HH70" s="334"/>
      <c r="HI70" s="322" t="s">
        <v>53</v>
      </c>
      <c r="HJ70" s="322">
        <v>24313.9</v>
      </c>
      <c r="HK70" s="322">
        <v>26957.82</v>
      </c>
      <c r="HL70" s="322">
        <v>33351.699999999997</v>
      </c>
      <c r="HM70" s="322">
        <v>17530.150000000001</v>
      </c>
      <c r="HN70" s="322">
        <v>18054.7</v>
      </c>
      <c r="HO70" s="322">
        <v>18600.990000000002</v>
      </c>
      <c r="HP70" s="322">
        <v>21069.34</v>
      </c>
      <c r="HQ70" s="322">
        <v>0</v>
      </c>
      <c r="HR70" s="322">
        <v>12439.63</v>
      </c>
      <c r="HS70" s="322">
        <v>11376.779999999999</v>
      </c>
      <c r="HT70" s="322">
        <v>30578.5</v>
      </c>
      <c r="HU70" s="322">
        <v>32019.33</v>
      </c>
      <c r="HV70" s="322">
        <v>28187.31</v>
      </c>
      <c r="HW70" s="322">
        <v>12540.41</v>
      </c>
      <c r="HX70" s="322"/>
      <c r="HY70" s="322">
        <v>18675.68</v>
      </c>
      <c r="HZ70" s="322">
        <v>31630.880000000001</v>
      </c>
      <c r="IA70" s="322">
        <v>25796.859999999997</v>
      </c>
      <c r="IB70" s="322">
        <v>16590.879999999997</v>
      </c>
      <c r="IC70" s="322">
        <v>23982.02</v>
      </c>
      <c r="ID70" s="322">
        <v>30460.11</v>
      </c>
      <c r="IE70" s="322">
        <v>37000</v>
      </c>
      <c r="IF70" s="334"/>
      <c r="IG70" s="322" t="s">
        <v>53</v>
      </c>
      <c r="IH70" s="322">
        <v>0</v>
      </c>
      <c r="II70" s="322">
        <v>0</v>
      </c>
      <c r="IJ70" s="322">
        <v>16675.849999999999</v>
      </c>
      <c r="IK70" s="322">
        <v>17530.150000000001</v>
      </c>
      <c r="IL70" s="322">
        <v>18054.7</v>
      </c>
      <c r="IM70" s="322">
        <v>18600.990000000002</v>
      </c>
      <c r="IN70" s="322">
        <v>21069.34</v>
      </c>
      <c r="IO70" s="322">
        <v>24154.25</v>
      </c>
      <c r="IP70" s="322">
        <v>0</v>
      </c>
      <c r="IQ70" s="322">
        <v>20856.039999999997</v>
      </c>
      <c r="IR70" s="322">
        <v>24122.06</v>
      </c>
      <c r="IS70" s="322">
        <v>25795.999999999996</v>
      </c>
      <c r="IT70" s="322">
        <v>25311.199999999997</v>
      </c>
      <c r="IU70" s="322">
        <v>25368.249999999996</v>
      </c>
      <c r="IV70" s="322"/>
      <c r="IW70" s="322"/>
      <c r="IX70" s="322"/>
      <c r="IY70" s="322"/>
      <c r="IZ70" s="322"/>
      <c r="JA70" s="322"/>
      <c r="JB70" s="322"/>
      <c r="JC70" s="322"/>
      <c r="JD70" s="334"/>
      <c r="JE70" s="322" t="s">
        <v>53</v>
      </c>
      <c r="JF70" s="322">
        <v>0</v>
      </c>
      <c r="JG70" s="322">
        <v>0</v>
      </c>
      <c r="JH70" s="322">
        <v>16675.849999999999</v>
      </c>
      <c r="JI70" s="322">
        <v>17530.150000000001</v>
      </c>
      <c r="JJ70" s="322">
        <v>18054.7</v>
      </c>
      <c r="JK70" s="322">
        <v>18600.990000000002</v>
      </c>
      <c r="JL70" s="322">
        <v>21069.34</v>
      </c>
      <c r="JM70" s="322">
        <v>24154.25</v>
      </c>
      <c r="JN70" s="322">
        <v>16755.88</v>
      </c>
      <c r="JO70" s="322">
        <v>16744.61</v>
      </c>
      <c r="JP70" s="322">
        <v>19202.66</v>
      </c>
      <c r="JQ70" s="322">
        <v>16933.580000000002</v>
      </c>
      <c r="JR70" s="322">
        <v>18979.739999999998</v>
      </c>
      <c r="JS70" s="322">
        <v>20403.45</v>
      </c>
      <c r="JT70" s="322"/>
      <c r="JU70" s="322">
        <v>43320.76</v>
      </c>
      <c r="JV70" s="322">
        <v>44506.99</v>
      </c>
      <c r="JW70" s="322">
        <v>44598.35</v>
      </c>
      <c r="JX70" s="322">
        <v>44441.840000000004</v>
      </c>
      <c r="JY70" s="322">
        <v>45804.210000000006</v>
      </c>
      <c r="JZ70" s="322">
        <v>50700.380000000005</v>
      </c>
      <c r="KA70" s="322">
        <v>50090</v>
      </c>
      <c r="KB70" s="334"/>
      <c r="KC70" s="322" t="s">
        <v>53</v>
      </c>
      <c r="KD70" s="322">
        <v>0</v>
      </c>
      <c r="KE70" s="322">
        <v>13478.91</v>
      </c>
      <c r="KF70" s="322">
        <v>0</v>
      </c>
      <c r="KG70" s="322">
        <v>0</v>
      </c>
      <c r="KH70" s="322">
        <v>0</v>
      </c>
      <c r="KI70" s="322">
        <v>18600.990000000002</v>
      </c>
      <c r="KJ70" s="322">
        <v>21069.34</v>
      </c>
      <c r="KK70" s="322">
        <v>24154.25</v>
      </c>
      <c r="KL70" s="322">
        <v>23307.45</v>
      </c>
      <c r="KM70" s="322">
        <v>32058.030000000002</v>
      </c>
      <c r="KN70" s="322">
        <v>32668.239999999998</v>
      </c>
      <c r="KO70" s="322">
        <v>32235.469999999998</v>
      </c>
      <c r="KP70" s="322">
        <v>33187.380000000005</v>
      </c>
      <c r="KQ70" s="322">
        <v>33173.57</v>
      </c>
      <c r="KR70" s="322"/>
      <c r="KS70" s="322">
        <v>33469.040000000001</v>
      </c>
      <c r="KT70" s="322">
        <v>33883.120000000003</v>
      </c>
      <c r="KU70" s="322">
        <v>33714.22</v>
      </c>
      <c r="KV70" s="322">
        <v>34613.54</v>
      </c>
      <c r="KW70" s="322">
        <v>35116.11</v>
      </c>
      <c r="KX70" s="322">
        <v>35754.44</v>
      </c>
      <c r="KY70" s="322">
        <v>54710</v>
      </c>
      <c r="KZ70" s="334"/>
      <c r="LA70" s="322" t="s">
        <v>53</v>
      </c>
      <c r="LB70" s="322">
        <v>279609.84999999998</v>
      </c>
      <c r="LC70" s="322">
        <v>296536.02</v>
      </c>
      <c r="LD70" s="322">
        <v>350192.85</v>
      </c>
      <c r="LE70" s="322">
        <v>385663.3</v>
      </c>
      <c r="LF70" s="322">
        <v>415258.1</v>
      </c>
      <c r="LG70" s="322">
        <v>446423.76</v>
      </c>
      <c r="LH70" s="322">
        <v>484594.82</v>
      </c>
      <c r="LI70" s="322">
        <v>483085</v>
      </c>
      <c r="LJ70" s="322">
        <v>487622.9</v>
      </c>
      <c r="LK70" s="322">
        <v>569301.4</v>
      </c>
      <c r="LL70" s="322">
        <v>587710.93999999994</v>
      </c>
      <c r="LM70" s="322">
        <v>568080.32999999996</v>
      </c>
      <c r="LN70" s="322">
        <v>591507.56000000006</v>
      </c>
      <c r="LO70" s="322">
        <v>568228.60999999987</v>
      </c>
      <c r="LP70" s="322"/>
      <c r="LQ70" s="322">
        <v>543718.96</v>
      </c>
      <c r="LR70" s="322">
        <v>592135.53</v>
      </c>
      <c r="LS70" s="322">
        <v>473714.04000000004</v>
      </c>
      <c r="LT70" s="322">
        <v>488041.62</v>
      </c>
      <c r="LU70" s="322">
        <v>562811.6</v>
      </c>
      <c r="LV70" s="322">
        <v>561486.03</v>
      </c>
      <c r="LW70" s="322">
        <v>641620</v>
      </c>
      <c r="LX70" s="334"/>
      <c r="LY70" s="322" t="s">
        <v>53</v>
      </c>
      <c r="LZ70" s="322">
        <v>303923.75</v>
      </c>
      <c r="MA70" s="322">
        <v>323493.84000000003</v>
      </c>
      <c r="MB70" s="322">
        <v>316841.15000000002</v>
      </c>
      <c r="MC70" s="322">
        <v>298012.55</v>
      </c>
      <c r="MD70" s="322">
        <v>343039.3</v>
      </c>
      <c r="ME70" s="322">
        <v>316216.83</v>
      </c>
      <c r="MF70" s="322">
        <v>379248.12</v>
      </c>
      <c r="MG70" s="322">
        <v>434776.5</v>
      </c>
      <c r="MH70" s="322">
        <v>537189.82000000007</v>
      </c>
      <c r="MI70" s="322">
        <v>542817.74</v>
      </c>
      <c r="MJ70" s="322">
        <v>575567.69999999995</v>
      </c>
      <c r="MK70" s="322">
        <v>596382.67000000004</v>
      </c>
      <c r="ML70" s="322">
        <v>575027.32999999996</v>
      </c>
      <c r="MM70" s="322">
        <v>581476.9</v>
      </c>
      <c r="MN70" s="322"/>
      <c r="MO70" s="322">
        <v>632373.6</v>
      </c>
      <c r="MP70" s="322">
        <v>638990.09000000008</v>
      </c>
      <c r="MQ70" s="322">
        <v>584691.71</v>
      </c>
      <c r="MR70" s="322">
        <v>622343.18999999994</v>
      </c>
      <c r="MS70" s="322">
        <v>659822.19000000006</v>
      </c>
      <c r="MT70" s="322">
        <v>694022.99999999988</v>
      </c>
      <c r="MU70" s="322">
        <v>836980</v>
      </c>
      <c r="MV70" s="334"/>
      <c r="MW70" s="322" t="s">
        <v>53</v>
      </c>
      <c r="MX70" s="322">
        <v>109412.55</v>
      </c>
      <c r="MY70" s="322">
        <v>161746.92000000001</v>
      </c>
      <c r="MZ70" s="322">
        <v>350192.85</v>
      </c>
      <c r="NA70" s="322">
        <v>438253.75</v>
      </c>
      <c r="NB70" s="322">
        <v>487476.9</v>
      </c>
      <c r="NC70" s="322">
        <v>502226.73</v>
      </c>
      <c r="ND70" s="322">
        <v>547802.84</v>
      </c>
      <c r="NE70" s="322">
        <v>579702</v>
      </c>
      <c r="NF70" s="322">
        <v>656693.19999999995</v>
      </c>
      <c r="NG70" s="322">
        <v>819593.49</v>
      </c>
      <c r="NH70" s="322">
        <v>1004981.2200000002</v>
      </c>
      <c r="NI70" s="322">
        <v>924471.30000000016</v>
      </c>
      <c r="NJ70" s="322">
        <v>988063.30999999994</v>
      </c>
      <c r="NK70" s="322">
        <v>1003436.1100000001</v>
      </c>
      <c r="NL70" s="322"/>
      <c r="NM70" s="322">
        <v>1018136.8200000001</v>
      </c>
      <c r="NN70" s="322">
        <v>1035313.0100000001</v>
      </c>
      <c r="NO70" s="322">
        <v>990266.36</v>
      </c>
      <c r="NP70" s="322">
        <v>1014385.15</v>
      </c>
      <c r="NQ70" s="322">
        <v>1089225.6399999999</v>
      </c>
      <c r="NR70" s="322">
        <v>1152454.47</v>
      </c>
      <c r="NS70" s="322">
        <v>1378870</v>
      </c>
      <c r="NT70" s="334"/>
      <c r="NU70" s="322" t="s">
        <v>53</v>
      </c>
      <c r="NV70" s="322">
        <v>85098.65</v>
      </c>
      <c r="NW70" s="322">
        <v>94352.37</v>
      </c>
      <c r="NX70" s="322">
        <v>83379.25</v>
      </c>
      <c r="NY70" s="322">
        <v>105180.9</v>
      </c>
      <c r="NZ70" s="322">
        <v>108328.2</v>
      </c>
      <c r="OA70" s="322">
        <v>111605.94</v>
      </c>
      <c r="OB70" s="322">
        <v>105346.7</v>
      </c>
      <c r="OC70" s="322">
        <v>120771.25</v>
      </c>
      <c r="OD70" s="322">
        <v>182348.16999999998</v>
      </c>
      <c r="OE70" s="322">
        <v>190930.07</v>
      </c>
      <c r="OF70" s="322">
        <v>187449.82000000004</v>
      </c>
      <c r="OG70" s="322">
        <v>193177.69000000003</v>
      </c>
      <c r="OH70" s="322">
        <v>188101.18</v>
      </c>
      <c r="OI70" s="322">
        <v>215098.04</v>
      </c>
      <c r="OJ70" s="322"/>
      <c r="OK70" s="322">
        <v>213581.46000000002</v>
      </c>
      <c r="OL70" s="322">
        <v>228156.3</v>
      </c>
      <c r="OM70" s="322">
        <v>180978.11000000002</v>
      </c>
      <c r="ON70" s="322">
        <v>200750.65999999995</v>
      </c>
      <c r="OO70" s="322">
        <v>210170.31</v>
      </c>
      <c r="OP70" s="322">
        <v>218582.16999999998</v>
      </c>
      <c r="OQ70" s="322">
        <v>282195</v>
      </c>
      <c r="OR70" s="334"/>
      <c r="OS70" s="322" t="s">
        <v>53</v>
      </c>
      <c r="OT70" s="322">
        <v>85098.65</v>
      </c>
      <c r="OU70" s="322">
        <v>80873.460000000006</v>
      </c>
      <c r="OV70" s="322">
        <v>100055.1</v>
      </c>
      <c r="OW70" s="322">
        <v>70120.600000000006</v>
      </c>
      <c r="OX70" s="322">
        <v>36109.4</v>
      </c>
      <c r="OY70" s="322">
        <v>37201.980000000003</v>
      </c>
      <c r="OZ70" s="322">
        <v>42138.68</v>
      </c>
      <c r="PA70" s="322">
        <v>48308.5</v>
      </c>
      <c r="PB70" s="322">
        <v>52544.29</v>
      </c>
      <c r="PC70" s="322">
        <v>46279.350000000006</v>
      </c>
      <c r="PD70" s="322">
        <v>59366.270000000004</v>
      </c>
      <c r="PE70" s="322">
        <v>51875.08</v>
      </c>
      <c r="PF70" s="322">
        <v>53302.55</v>
      </c>
      <c r="PG70" s="322">
        <v>70938.840000000011</v>
      </c>
      <c r="PH70" s="322"/>
      <c r="PI70" s="322">
        <v>48409.149999999994</v>
      </c>
      <c r="PJ70" s="322">
        <v>49003.81</v>
      </c>
      <c r="PK70" s="322">
        <v>50423.519999999997</v>
      </c>
      <c r="PL70" s="322">
        <v>66573.61</v>
      </c>
      <c r="PM70" s="322">
        <v>55579.060000000005</v>
      </c>
      <c r="PN70" s="322">
        <v>62282.879999999997</v>
      </c>
      <c r="PO70" s="322">
        <v>59750</v>
      </c>
      <c r="PP70" s="334"/>
      <c r="PQ70" s="322" t="s">
        <v>53</v>
      </c>
      <c r="PR70" s="322">
        <v>12156.95</v>
      </c>
      <c r="PS70" s="322">
        <v>13478.91</v>
      </c>
      <c r="PT70" s="322">
        <v>0</v>
      </c>
      <c r="PU70" s="322">
        <v>17530.150000000001</v>
      </c>
      <c r="PV70" s="322">
        <v>0</v>
      </c>
      <c r="PW70" s="322">
        <v>18600.990000000002</v>
      </c>
      <c r="PX70" s="322">
        <v>21069.34</v>
      </c>
      <c r="PY70" s="322">
        <v>24154.25</v>
      </c>
      <c r="PZ70" s="322">
        <v>20143.169999999998</v>
      </c>
      <c r="QA70" s="322">
        <v>18092.080000000002</v>
      </c>
      <c r="QB70" s="322">
        <v>19197.080000000002</v>
      </c>
      <c r="QC70" s="322">
        <v>21883.440000000002</v>
      </c>
      <c r="QD70" s="322">
        <v>20074.91</v>
      </c>
      <c r="QE70" s="322">
        <v>18677.940000000002</v>
      </c>
      <c r="QF70" s="322"/>
      <c r="QG70" s="322">
        <v>22536.86</v>
      </c>
      <c r="QH70" s="322">
        <v>21936.3</v>
      </c>
      <c r="QI70" s="322">
        <v>22428.36</v>
      </c>
      <c r="QJ70" s="322">
        <v>20288.900000000001</v>
      </c>
      <c r="QK70" s="322">
        <v>26257.29</v>
      </c>
      <c r="QL70" s="322">
        <v>26461.93</v>
      </c>
      <c r="QM70" s="322">
        <v>28630</v>
      </c>
      <c r="QN70" s="334"/>
      <c r="QO70" s="322" t="s">
        <v>53</v>
      </c>
      <c r="QP70" s="322">
        <v>0</v>
      </c>
      <c r="QQ70" s="322">
        <v>0</v>
      </c>
      <c r="QR70" s="322">
        <v>0</v>
      </c>
      <c r="QS70" s="322">
        <v>0</v>
      </c>
      <c r="QT70" s="322">
        <v>0</v>
      </c>
      <c r="QU70" s="322">
        <v>0</v>
      </c>
      <c r="QV70" s="322">
        <v>0</v>
      </c>
      <c r="QW70" s="322">
        <v>0</v>
      </c>
      <c r="QX70" s="322">
        <v>0</v>
      </c>
      <c r="QY70" s="322">
        <v>0</v>
      </c>
      <c r="QZ70" s="322">
        <v>0</v>
      </c>
      <c r="RA70" s="322">
        <v>0</v>
      </c>
      <c r="RB70" s="322">
        <v>0</v>
      </c>
      <c r="RC70" s="322">
        <v>0</v>
      </c>
      <c r="RD70" s="322"/>
      <c r="RE70" s="322">
        <v>0</v>
      </c>
      <c r="RF70" s="322">
        <v>0</v>
      </c>
      <c r="RG70" s="322">
        <v>0</v>
      </c>
      <c r="RH70" s="322">
        <v>0</v>
      </c>
      <c r="RI70" s="322">
        <v>0</v>
      </c>
      <c r="RJ70" s="322">
        <v>0</v>
      </c>
      <c r="RK70" s="322">
        <v>0</v>
      </c>
      <c r="RL70" s="334"/>
      <c r="RM70" s="322" t="s">
        <v>53</v>
      </c>
      <c r="RN70" s="322">
        <v>24313.9</v>
      </c>
      <c r="RO70" s="322">
        <v>26957.82</v>
      </c>
      <c r="RP70" s="322">
        <v>100055.1</v>
      </c>
      <c r="RQ70" s="322">
        <v>70120.600000000006</v>
      </c>
      <c r="RR70" s="322">
        <v>0</v>
      </c>
      <c r="RS70" s="322">
        <v>0</v>
      </c>
      <c r="RT70" s="322">
        <v>21069.34</v>
      </c>
      <c r="RU70" s="322">
        <v>217388.25</v>
      </c>
      <c r="RV70" s="322">
        <v>289173</v>
      </c>
      <c r="RW70" s="322">
        <v>306793.52</v>
      </c>
      <c r="RX70" s="322">
        <v>146600</v>
      </c>
      <c r="RY70" s="322">
        <v>46600</v>
      </c>
      <c r="RZ70" s="322">
        <v>46600</v>
      </c>
      <c r="SA70" s="322">
        <v>46600</v>
      </c>
      <c r="SB70" s="322"/>
      <c r="SC70" s="322">
        <v>126600</v>
      </c>
      <c r="SD70" s="322">
        <v>46600</v>
      </c>
      <c r="SE70" s="322">
        <v>0</v>
      </c>
      <c r="SF70" s="322">
        <v>0</v>
      </c>
      <c r="SG70" s="322">
        <v>206000</v>
      </c>
      <c r="SH70" s="322">
        <v>340000</v>
      </c>
      <c r="SI70" s="322">
        <v>28000</v>
      </c>
    </row>
    <row r="71" spans="1:503">
      <c r="A71" s="319" t="s">
        <v>54</v>
      </c>
      <c r="B71" s="319">
        <v>1431719</v>
      </c>
      <c r="C71" s="319">
        <v>1464333</v>
      </c>
      <c r="D71" s="319">
        <v>1463657</v>
      </c>
      <c r="E71" s="319">
        <v>1416943</v>
      </c>
      <c r="F71" s="319">
        <v>1557857</v>
      </c>
      <c r="G71" s="319">
        <v>1951833</v>
      </c>
      <c r="H71" s="319">
        <v>1923429</v>
      </c>
      <c r="I71" s="319">
        <v>2070780</v>
      </c>
      <c r="J71" s="319">
        <v>2566395.39</v>
      </c>
      <c r="K71" s="319">
        <v>3075943.23</v>
      </c>
      <c r="L71" s="319">
        <v>2765566.29</v>
      </c>
      <c r="M71" s="319">
        <v>2976195.47</v>
      </c>
      <c r="N71" s="319">
        <v>3752463.54</v>
      </c>
      <c r="O71" s="319">
        <v>3169693.95</v>
      </c>
      <c r="P71" s="319">
        <v>2852735.8599999994</v>
      </c>
      <c r="Q71" s="319">
        <v>2044768.1</v>
      </c>
      <c r="R71" s="319"/>
      <c r="S71" s="322">
        <v>2760087.91</v>
      </c>
      <c r="T71" s="319">
        <v>2902363.73</v>
      </c>
      <c r="U71" s="319">
        <v>2530949.29</v>
      </c>
      <c r="V71" s="319">
        <v>2632965.06</v>
      </c>
      <c r="W71" s="319">
        <v>2999704.55</v>
      </c>
      <c r="X71" s="330"/>
      <c r="Y71" s="319" t="s">
        <v>54</v>
      </c>
      <c r="Z71" s="319">
        <v>71585.95</v>
      </c>
      <c r="AA71" s="319">
        <v>73216.649999999994</v>
      </c>
      <c r="AB71" s="319">
        <v>102455.99</v>
      </c>
      <c r="AC71" s="319">
        <v>99186.01</v>
      </c>
      <c r="AD71" s="319">
        <v>109049.99</v>
      </c>
      <c r="AE71" s="319">
        <v>117109.98</v>
      </c>
      <c r="AF71" s="319">
        <v>117109.98</v>
      </c>
      <c r="AG71" s="319">
        <v>124246.8</v>
      </c>
      <c r="AH71" s="319">
        <v>116015.90000000001</v>
      </c>
      <c r="AI71" s="319">
        <v>116439.08</v>
      </c>
      <c r="AJ71" s="319">
        <v>118356.46</v>
      </c>
      <c r="AK71" s="319">
        <v>117946.71999999999</v>
      </c>
      <c r="AL71" s="319">
        <v>119229.67</v>
      </c>
      <c r="AM71" s="319">
        <v>121283.47</v>
      </c>
      <c r="AN71" s="319">
        <v>121153.75</v>
      </c>
      <c r="AO71" s="319">
        <v>122111.89</v>
      </c>
      <c r="AP71" s="319"/>
      <c r="AQ71" s="322">
        <v>124019.22</v>
      </c>
      <c r="AR71" s="319">
        <v>124874.89</v>
      </c>
      <c r="AS71" s="319">
        <v>125922.07</v>
      </c>
      <c r="AT71" s="319">
        <v>127601.62999999999</v>
      </c>
      <c r="AU71" s="319">
        <v>123671.08</v>
      </c>
      <c r="AV71" s="334"/>
      <c r="AW71" s="319" t="s">
        <v>54</v>
      </c>
      <c r="AX71" s="319">
        <v>71585.95</v>
      </c>
      <c r="AY71" s="319">
        <v>73216.650000000009</v>
      </c>
      <c r="AZ71" s="319">
        <v>87819.42</v>
      </c>
      <c r="BA71" s="319">
        <v>85016.58</v>
      </c>
      <c r="BB71" s="319">
        <v>93471.42</v>
      </c>
      <c r="BC71" s="319">
        <v>97591.650000000009</v>
      </c>
      <c r="BD71" s="319">
        <v>96171.450000000012</v>
      </c>
      <c r="BE71" s="319">
        <v>82831.199999999997</v>
      </c>
      <c r="BF71" s="319">
        <v>94711.8</v>
      </c>
      <c r="BG71" s="319">
        <v>95409.51999999999</v>
      </c>
      <c r="BH71" s="319">
        <v>97856.73000000001</v>
      </c>
      <c r="BI71" s="319">
        <v>100308.18000000001</v>
      </c>
      <c r="BJ71" s="319">
        <v>104634.24000000002</v>
      </c>
      <c r="BK71" s="319">
        <v>104963.55</v>
      </c>
      <c r="BL71" s="319">
        <v>104283.20000000001</v>
      </c>
      <c r="BM71" s="319">
        <v>109467.25</v>
      </c>
      <c r="BN71" s="319"/>
      <c r="BO71" s="322">
        <v>107414.16</v>
      </c>
      <c r="BP71" s="319">
        <v>116939.79000000001</v>
      </c>
      <c r="BQ71" s="319">
        <v>110345.84999999999</v>
      </c>
      <c r="BR71" s="319">
        <v>115507.65000000001</v>
      </c>
      <c r="BS71" s="319">
        <v>134589</v>
      </c>
      <c r="BT71" s="334"/>
      <c r="BU71" s="322" t="s">
        <v>54</v>
      </c>
      <c r="BV71" s="322">
        <v>28634.38</v>
      </c>
      <c r="BW71" s="322">
        <v>14643.33</v>
      </c>
      <c r="BX71" s="322">
        <v>29273.14</v>
      </c>
      <c r="BY71" s="322">
        <v>0</v>
      </c>
      <c r="BZ71" s="322">
        <v>15578.57</v>
      </c>
      <c r="CA71" s="322">
        <v>0</v>
      </c>
      <c r="CB71" s="322">
        <v>19234.29</v>
      </c>
      <c r="CC71" s="322">
        <v>0</v>
      </c>
      <c r="CD71" s="322">
        <v>33366.53</v>
      </c>
      <c r="CE71" s="322">
        <v>14302.56</v>
      </c>
      <c r="CF71" s="322">
        <v>26298.080000000002</v>
      </c>
      <c r="CG71" s="322">
        <v>5191.43</v>
      </c>
      <c r="CH71" s="322">
        <v>59929.06</v>
      </c>
      <c r="CI71" s="322">
        <v>2129.9</v>
      </c>
      <c r="CJ71" s="322">
        <v>56598.06</v>
      </c>
      <c r="CK71" s="322">
        <v>2277</v>
      </c>
      <c r="CL71" s="322"/>
      <c r="CM71" s="322">
        <v>11819.38</v>
      </c>
      <c r="CN71" s="322">
        <v>61085.03</v>
      </c>
      <c r="CO71" s="322">
        <v>5428.0500000000011</v>
      </c>
      <c r="CP71" s="322">
        <v>99920.62</v>
      </c>
      <c r="CQ71" s="322">
        <v>13900</v>
      </c>
      <c r="CR71" s="334"/>
      <c r="CS71" s="322" t="s">
        <v>54</v>
      </c>
      <c r="CT71" s="322">
        <v>28634.38</v>
      </c>
      <c r="CU71" s="322">
        <v>29286.66</v>
      </c>
      <c r="CV71" s="322">
        <v>29273.14</v>
      </c>
      <c r="CW71" s="322">
        <v>28338.86</v>
      </c>
      <c r="CX71" s="322">
        <v>46735.71</v>
      </c>
      <c r="CY71" s="322">
        <v>78073.320000000007</v>
      </c>
      <c r="CZ71" s="322">
        <v>76937.16</v>
      </c>
      <c r="DA71" s="322">
        <v>62123.4</v>
      </c>
      <c r="DB71" s="322">
        <v>74945.350000000006</v>
      </c>
      <c r="DC71" s="322">
        <v>83460.12999999999</v>
      </c>
      <c r="DD71" s="322">
        <v>83164.69</v>
      </c>
      <c r="DE71" s="322">
        <v>88792.5</v>
      </c>
      <c r="DF71" s="322">
        <v>92621.510000000009</v>
      </c>
      <c r="DG71" s="322">
        <v>114853.06</v>
      </c>
      <c r="DH71" s="322">
        <v>109729.26</v>
      </c>
      <c r="DI71" s="322">
        <v>91001.699999999983</v>
      </c>
      <c r="DJ71" s="322"/>
      <c r="DK71" s="322">
        <v>93584.75</v>
      </c>
      <c r="DL71" s="322">
        <v>65077.42</v>
      </c>
      <c r="DM71" s="322">
        <v>69422.75</v>
      </c>
      <c r="DN71" s="322">
        <v>89148.65</v>
      </c>
      <c r="DO71" s="322">
        <v>94859.959999999992</v>
      </c>
      <c r="DP71" s="334"/>
      <c r="DQ71" s="322" t="s">
        <v>54</v>
      </c>
      <c r="DR71" s="322">
        <v>71585.95</v>
      </c>
      <c r="DS71" s="322">
        <v>73216.649999999994</v>
      </c>
      <c r="DT71" s="322">
        <v>43909.71</v>
      </c>
      <c r="DU71" s="322">
        <v>56677.72</v>
      </c>
      <c r="DV71" s="322">
        <v>62314.28</v>
      </c>
      <c r="DW71" s="322">
        <v>78073.320000000007</v>
      </c>
      <c r="DX71" s="322">
        <v>76937.16</v>
      </c>
      <c r="DY71" s="322">
        <v>82831.199999999997</v>
      </c>
      <c r="DZ71" s="322">
        <v>93949.62</v>
      </c>
      <c r="EA71" s="322">
        <v>97971.9</v>
      </c>
      <c r="EB71" s="322">
        <v>108952</v>
      </c>
      <c r="EC71" s="322">
        <v>125210.08000000002</v>
      </c>
      <c r="ED71" s="322">
        <v>135593.31</v>
      </c>
      <c r="EE71" s="322">
        <v>144934.74</v>
      </c>
      <c r="EF71" s="322">
        <v>143697.82</v>
      </c>
      <c r="EG71" s="322">
        <v>149049.35999999999</v>
      </c>
      <c r="EH71" s="322"/>
      <c r="EI71" s="322">
        <v>171523.95</v>
      </c>
      <c r="EJ71" s="322">
        <v>165769.71</v>
      </c>
      <c r="EK71" s="322">
        <v>164361.80000000002</v>
      </c>
      <c r="EL71" s="322">
        <v>175075.64</v>
      </c>
      <c r="EM71" s="322">
        <v>181720</v>
      </c>
      <c r="EN71" s="334"/>
      <c r="EO71" s="322" t="s">
        <v>54</v>
      </c>
      <c r="EP71" s="322">
        <v>28634.38</v>
      </c>
      <c r="EQ71" s="322">
        <v>14643.33</v>
      </c>
      <c r="ER71" s="322">
        <v>29273.14</v>
      </c>
      <c r="ES71" s="322">
        <v>28338.86</v>
      </c>
      <c r="ET71" s="322">
        <v>31157.14</v>
      </c>
      <c r="EU71" s="322">
        <v>39036.660000000003</v>
      </c>
      <c r="EV71" s="322">
        <v>38468.58</v>
      </c>
      <c r="EW71" s="322">
        <v>41415.599999999999</v>
      </c>
      <c r="EX71" s="322">
        <v>35465.229999999996</v>
      </c>
      <c r="EY71" s="322">
        <v>35220.81</v>
      </c>
      <c r="EZ71" s="322">
        <v>35718.74</v>
      </c>
      <c r="FA71" s="322">
        <v>36031.590000000004</v>
      </c>
      <c r="FB71" s="322">
        <v>36259.850000000006</v>
      </c>
      <c r="FC71" s="322">
        <v>36737.509999999995</v>
      </c>
      <c r="FD71" s="322">
        <v>36598.899999999994</v>
      </c>
      <c r="FE71" s="322">
        <v>49136.47</v>
      </c>
      <c r="FF71" s="322"/>
      <c r="FG71" s="322">
        <v>80887.12000000001</v>
      </c>
      <c r="FH71" s="322">
        <v>51456.540000000008</v>
      </c>
      <c r="FI71" s="322">
        <v>49477.100000000006</v>
      </c>
      <c r="FJ71" s="322">
        <v>48117.41</v>
      </c>
      <c r="FK71" s="322">
        <v>50610</v>
      </c>
      <c r="FL71" s="334"/>
      <c r="FM71" s="322" t="s">
        <v>54</v>
      </c>
      <c r="FN71" s="322">
        <v>85903.14</v>
      </c>
      <c r="FO71" s="322">
        <v>73216.649999999994</v>
      </c>
      <c r="FP71" s="322">
        <v>87819.42</v>
      </c>
      <c r="FQ71" s="322">
        <v>99186.01</v>
      </c>
      <c r="FR71" s="322">
        <v>109049.99</v>
      </c>
      <c r="FS71" s="322">
        <v>97591.65</v>
      </c>
      <c r="FT71" s="322">
        <v>115405.74</v>
      </c>
      <c r="FU71" s="322">
        <v>103539</v>
      </c>
      <c r="FV71" s="322">
        <v>114439.52</v>
      </c>
      <c r="FW71" s="322">
        <v>116856.15</v>
      </c>
      <c r="FX71" s="322">
        <v>120700.30999999998</v>
      </c>
      <c r="FY71" s="322">
        <v>121435.12</v>
      </c>
      <c r="FZ71" s="322">
        <v>123280.66999999998</v>
      </c>
      <c r="GA71" s="322">
        <v>125061.4</v>
      </c>
      <c r="GB71" s="322">
        <v>128600.56999999998</v>
      </c>
      <c r="GC71" s="322">
        <v>130257.58</v>
      </c>
      <c r="GD71" s="322"/>
      <c r="GE71" s="322">
        <v>136640.42000000001</v>
      </c>
      <c r="GF71" s="340">
        <v>138634.91999999998</v>
      </c>
      <c r="GG71" s="704">
        <v>140726.08000000002</v>
      </c>
      <c r="GH71" s="704">
        <v>141267.16999999998</v>
      </c>
      <c r="GI71" s="704">
        <v>143816</v>
      </c>
      <c r="GJ71" s="334"/>
      <c r="GK71" s="322" t="s">
        <v>54</v>
      </c>
      <c r="GL71" s="322">
        <v>42951.57</v>
      </c>
      <c r="GM71" s="322">
        <v>43929.99</v>
      </c>
      <c r="GN71" s="322">
        <v>43909.71</v>
      </c>
      <c r="GO71" s="322">
        <v>56677.72</v>
      </c>
      <c r="GP71" s="322">
        <v>46735.71</v>
      </c>
      <c r="GQ71" s="322">
        <v>58554.99</v>
      </c>
      <c r="GR71" s="322">
        <v>57702.87</v>
      </c>
      <c r="GS71" s="322">
        <v>62123.4</v>
      </c>
      <c r="GT71" s="322">
        <v>61469.919999999998</v>
      </c>
      <c r="GU71" s="322">
        <v>65204.21</v>
      </c>
      <c r="GV71" s="322">
        <v>65349.930000000008</v>
      </c>
      <c r="GW71" s="322">
        <v>68398.679999999993</v>
      </c>
      <c r="GX71" s="322">
        <v>72594.429999999993</v>
      </c>
      <c r="GY71" s="322">
        <v>73536.600000000006</v>
      </c>
      <c r="GZ71" s="322">
        <v>74701.979999999981</v>
      </c>
      <c r="HA71" s="322">
        <v>87472.62000000001</v>
      </c>
      <c r="HB71" s="322"/>
      <c r="HC71" s="322">
        <v>92198.470000000016</v>
      </c>
      <c r="HD71" s="322">
        <v>93719.409999999989</v>
      </c>
      <c r="HE71" s="322">
        <v>93599.18</v>
      </c>
      <c r="HF71" s="322">
        <v>96090.02</v>
      </c>
      <c r="HG71" s="322">
        <v>105573</v>
      </c>
      <c r="HH71" s="334"/>
      <c r="HI71" s="322" t="s">
        <v>54</v>
      </c>
      <c r="HJ71" s="322">
        <v>0</v>
      </c>
      <c r="HK71" s="322">
        <v>0</v>
      </c>
      <c r="HL71" s="322">
        <v>0</v>
      </c>
      <c r="HM71" s="322">
        <v>14169.43</v>
      </c>
      <c r="HN71" s="322">
        <v>15578.57</v>
      </c>
      <c r="HO71" s="322">
        <v>0</v>
      </c>
      <c r="HP71" s="322">
        <v>0</v>
      </c>
      <c r="HQ71" s="322">
        <v>0</v>
      </c>
      <c r="HR71" s="322">
        <v>6996.6</v>
      </c>
      <c r="HS71" s="322">
        <v>7078.15</v>
      </c>
      <c r="HT71" s="322">
        <v>7068.619999999999</v>
      </c>
      <c r="HU71" s="322">
        <v>7857.48</v>
      </c>
      <c r="HV71" s="322">
        <v>7419.46</v>
      </c>
      <c r="HW71" s="322">
        <v>8188.44</v>
      </c>
      <c r="HX71" s="322">
        <v>37523.15</v>
      </c>
      <c r="HY71" s="322">
        <v>40551.200000000004</v>
      </c>
      <c r="HZ71" s="322"/>
      <c r="IA71" s="322">
        <v>43875.519999999997</v>
      </c>
      <c r="IB71" s="322">
        <v>50021.880000000005</v>
      </c>
      <c r="IC71" s="322">
        <v>37929.01</v>
      </c>
      <c r="ID71" s="322">
        <v>39990.74</v>
      </c>
      <c r="IE71" s="322">
        <v>55104</v>
      </c>
      <c r="IF71" s="334"/>
      <c r="IG71" s="322" t="s">
        <v>54</v>
      </c>
      <c r="IH71" s="322">
        <v>14317.19</v>
      </c>
      <c r="II71" s="322">
        <v>14643.33</v>
      </c>
      <c r="IJ71" s="322">
        <v>14636.57</v>
      </c>
      <c r="IK71" s="322">
        <v>14169.43</v>
      </c>
      <c r="IL71" s="322">
        <v>31157.14</v>
      </c>
      <c r="IM71" s="322">
        <v>19518.330000000002</v>
      </c>
      <c r="IN71" s="322">
        <v>19234.29</v>
      </c>
      <c r="IO71" s="322">
        <v>20707.8</v>
      </c>
      <c r="IP71" s="322">
        <v>21177.8</v>
      </c>
      <c r="IQ71" s="322">
        <v>28822.959999999999</v>
      </c>
      <c r="IR71" s="322">
        <v>25526.23</v>
      </c>
      <c r="IS71" s="322">
        <v>27893.82</v>
      </c>
      <c r="IT71" s="322">
        <v>29199.98</v>
      </c>
      <c r="IU71" s="322">
        <v>30436.12</v>
      </c>
      <c r="IV71" s="322"/>
      <c r="IW71" s="322"/>
      <c r="IX71" s="322"/>
      <c r="IY71" s="322"/>
      <c r="IZ71" s="322"/>
      <c r="JA71" s="322"/>
      <c r="JB71" s="322"/>
      <c r="JC71" s="322"/>
      <c r="JD71" s="334"/>
      <c r="JE71" s="322" t="s">
        <v>54</v>
      </c>
      <c r="JF71" s="322">
        <v>14317.19</v>
      </c>
      <c r="JG71" s="322">
        <v>0</v>
      </c>
      <c r="JH71" s="322">
        <v>0</v>
      </c>
      <c r="JI71" s="322">
        <v>0</v>
      </c>
      <c r="JJ71" s="322">
        <v>0</v>
      </c>
      <c r="JK71" s="322">
        <v>0</v>
      </c>
      <c r="JL71" s="322">
        <v>0</v>
      </c>
      <c r="JM71" s="322">
        <v>0</v>
      </c>
      <c r="JN71" s="322">
        <v>7500</v>
      </c>
      <c r="JO71" s="322">
        <v>8588.7999999999993</v>
      </c>
      <c r="JP71" s="322">
        <v>4504.8900000000003</v>
      </c>
      <c r="JQ71" s="322">
        <v>8054.57</v>
      </c>
      <c r="JR71" s="322">
        <v>7301.07</v>
      </c>
      <c r="JS71" s="322">
        <v>1877.35</v>
      </c>
      <c r="JT71" s="322">
        <v>4204.76</v>
      </c>
      <c r="JU71" s="322">
        <v>7825.26</v>
      </c>
      <c r="JV71" s="322"/>
      <c r="JW71" s="322">
        <v>12145.35</v>
      </c>
      <c r="JX71" s="322">
        <v>2294.21</v>
      </c>
      <c r="JY71" s="322">
        <v>4143.54</v>
      </c>
      <c r="JZ71" s="322">
        <v>419.01</v>
      </c>
      <c r="KA71" s="322">
        <v>5000</v>
      </c>
      <c r="KB71" s="334"/>
      <c r="KC71" s="322" t="s">
        <v>54</v>
      </c>
      <c r="KD71" s="322">
        <v>14317.19</v>
      </c>
      <c r="KE71" s="322">
        <v>14643.33</v>
      </c>
      <c r="KF71" s="322">
        <v>29273.14</v>
      </c>
      <c r="KG71" s="322">
        <v>28338.86</v>
      </c>
      <c r="KH71" s="322">
        <v>31157.14</v>
      </c>
      <c r="KI71" s="322">
        <v>58554.99</v>
      </c>
      <c r="KJ71" s="322">
        <v>57702.87</v>
      </c>
      <c r="KK71" s="322">
        <v>62123.4</v>
      </c>
      <c r="KL71" s="322">
        <v>57520.909999999996</v>
      </c>
      <c r="KM71" s="322">
        <v>64612.24</v>
      </c>
      <c r="KN71" s="322">
        <v>68794.23</v>
      </c>
      <c r="KO71" s="322">
        <v>73494.12</v>
      </c>
      <c r="KP71" s="322">
        <v>74026.899999999994</v>
      </c>
      <c r="KQ71" s="322">
        <v>75828.36</v>
      </c>
      <c r="KR71" s="322">
        <v>75800.579999999987</v>
      </c>
      <c r="KS71" s="322">
        <v>75949.749999999985</v>
      </c>
      <c r="KT71" s="322"/>
      <c r="KU71" s="322">
        <v>77401.98000000001</v>
      </c>
      <c r="KV71" s="322">
        <v>80432.34</v>
      </c>
      <c r="KW71" s="322">
        <v>83703.88</v>
      </c>
      <c r="KX71" s="322">
        <v>81974.98</v>
      </c>
      <c r="KY71" s="322">
        <v>90183.51999999999</v>
      </c>
      <c r="KZ71" s="334"/>
      <c r="LA71" s="322" t="s">
        <v>54</v>
      </c>
      <c r="LB71" s="322">
        <v>200440.66</v>
      </c>
      <c r="LC71" s="322">
        <v>278223.27</v>
      </c>
      <c r="LD71" s="322">
        <v>365914.25</v>
      </c>
      <c r="LE71" s="322">
        <v>538438.34</v>
      </c>
      <c r="LF71" s="322">
        <v>218099.98</v>
      </c>
      <c r="LG71" s="322">
        <v>214701.63</v>
      </c>
      <c r="LH71" s="322">
        <v>250045.77</v>
      </c>
      <c r="LI71" s="322">
        <v>393448.2</v>
      </c>
      <c r="LJ71" s="322">
        <v>452469.16</v>
      </c>
      <c r="LK71" s="322">
        <v>874598.80000000016</v>
      </c>
      <c r="LL71" s="322">
        <v>362967.74</v>
      </c>
      <c r="LM71" s="322">
        <v>531133.92999999993</v>
      </c>
      <c r="LN71" s="322">
        <v>845990.09</v>
      </c>
      <c r="LO71" s="322">
        <v>337223</v>
      </c>
      <c r="LP71" s="322">
        <v>471228.62999999995</v>
      </c>
      <c r="LQ71" s="322">
        <v>473091</v>
      </c>
      <c r="LR71" s="322"/>
      <c r="LS71" s="322">
        <v>917245.13</v>
      </c>
      <c r="LT71" s="322">
        <v>617372.75999999989</v>
      </c>
      <c r="LU71" s="322">
        <v>746723.98</v>
      </c>
      <c r="LV71" s="322">
        <v>706164.23</v>
      </c>
      <c r="LW71" s="322">
        <v>921141.92999999993</v>
      </c>
      <c r="LX71" s="334"/>
      <c r="LY71" s="322" t="s">
        <v>54</v>
      </c>
      <c r="LZ71" s="322">
        <v>314978.18</v>
      </c>
      <c r="MA71" s="322">
        <v>366083.25</v>
      </c>
      <c r="MB71" s="322">
        <v>0</v>
      </c>
      <c r="MC71" s="322">
        <v>0</v>
      </c>
      <c r="MD71" s="322">
        <v>0</v>
      </c>
      <c r="ME71" s="322">
        <v>0</v>
      </c>
      <c r="MF71" s="322">
        <v>0</v>
      </c>
      <c r="MG71" s="322">
        <v>0</v>
      </c>
      <c r="MH71" s="322">
        <v>0</v>
      </c>
      <c r="MI71" s="322">
        <v>0</v>
      </c>
      <c r="MJ71" s="322">
        <v>0</v>
      </c>
      <c r="MK71" s="322">
        <v>0</v>
      </c>
      <c r="ML71" s="322">
        <v>0</v>
      </c>
      <c r="MM71" s="322">
        <v>0</v>
      </c>
      <c r="MN71" s="322">
        <v>0</v>
      </c>
      <c r="MO71" s="322">
        <v>0</v>
      </c>
      <c r="MP71" s="322"/>
      <c r="MQ71" s="322">
        <v>31684</v>
      </c>
      <c r="MR71" s="322">
        <v>31674</v>
      </c>
      <c r="MS71" s="322">
        <v>33075</v>
      </c>
      <c r="MT71" s="322">
        <v>13950</v>
      </c>
      <c r="MU71" s="322">
        <v>0</v>
      </c>
      <c r="MV71" s="334"/>
      <c r="MW71" s="322" t="s">
        <v>54</v>
      </c>
      <c r="MX71" s="322">
        <v>71585.95</v>
      </c>
      <c r="MY71" s="322">
        <v>58573.32</v>
      </c>
      <c r="MZ71" s="322">
        <v>0</v>
      </c>
      <c r="NA71" s="322">
        <v>0</v>
      </c>
      <c r="NB71" s="322">
        <v>0</v>
      </c>
      <c r="NC71" s="322">
        <v>0</v>
      </c>
      <c r="ND71" s="322">
        <v>0</v>
      </c>
      <c r="NE71" s="322">
        <v>0</v>
      </c>
      <c r="NF71" s="322">
        <v>0</v>
      </c>
      <c r="NG71" s="322">
        <v>0</v>
      </c>
      <c r="NH71" s="322">
        <v>0</v>
      </c>
      <c r="NI71" s="322">
        <v>0</v>
      </c>
      <c r="NJ71" s="322">
        <v>0</v>
      </c>
      <c r="NK71" s="322">
        <v>0</v>
      </c>
      <c r="NL71" s="322">
        <v>0</v>
      </c>
      <c r="NM71" s="322">
        <v>0</v>
      </c>
      <c r="NN71" s="322"/>
      <c r="NO71" s="322">
        <v>0</v>
      </c>
      <c r="NP71" s="322">
        <v>0</v>
      </c>
      <c r="NQ71" s="322">
        <v>0</v>
      </c>
      <c r="NR71" s="322">
        <v>0</v>
      </c>
      <c r="NS71" s="322">
        <v>0</v>
      </c>
      <c r="NT71" s="334"/>
      <c r="NU71" s="322" t="s">
        <v>54</v>
      </c>
      <c r="NV71" s="322">
        <v>100220.33</v>
      </c>
      <c r="NW71" s="322">
        <v>102503.31</v>
      </c>
      <c r="NX71" s="322">
        <v>117092.56</v>
      </c>
      <c r="NY71" s="322">
        <v>113355.44</v>
      </c>
      <c r="NZ71" s="322">
        <v>140207.13</v>
      </c>
      <c r="OA71" s="322">
        <v>136628.31</v>
      </c>
      <c r="OB71" s="322">
        <v>134640.03</v>
      </c>
      <c r="OC71" s="322">
        <v>144954.6</v>
      </c>
      <c r="OD71" s="322">
        <v>166303.93000000002</v>
      </c>
      <c r="OE71" s="322">
        <v>203335.71</v>
      </c>
      <c r="OF71" s="322">
        <v>205785.97999999998</v>
      </c>
      <c r="OG71" s="322">
        <v>241250.44</v>
      </c>
      <c r="OH71" s="322">
        <v>275794.48000000004</v>
      </c>
      <c r="OI71" s="322">
        <v>282538.99000000005</v>
      </c>
      <c r="OJ71" s="322">
        <v>257530.37999999998</v>
      </c>
      <c r="OK71" s="322">
        <v>281366.09999999998</v>
      </c>
      <c r="OL71" s="322"/>
      <c r="OM71" s="322">
        <v>367602.24999999994</v>
      </c>
      <c r="ON71" s="322">
        <v>344584.58000000007</v>
      </c>
      <c r="OO71" s="322">
        <v>370825.55</v>
      </c>
      <c r="OP71" s="322">
        <v>384146.43</v>
      </c>
      <c r="OQ71" s="322">
        <v>413490</v>
      </c>
      <c r="OR71" s="334"/>
      <c r="OS71" s="322" t="s">
        <v>54</v>
      </c>
      <c r="OT71" s="322">
        <v>100220.33</v>
      </c>
      <c r="OU71" s="322">
        <v>73216.649999999994</v>
      </c>
      <c r="OV71" s="322">
        <v>73182.850000000006</v>
      </c>
      <c r="OW71" s="322">
        <v>56677.72</v>
      </c>
      <c r="OX71" s="322">
        <v>46735.71</v>
      </c>
      <c r="OY71" s="322">
        <v>39036.660000000003</v>
      </c>
      <c r="OZ71" s="322">
        <v>38468.58</v>
      </c>
      <c r="PA71" s="322">
        <v>41415.599999999999</v>
      </c>
      <c r="PB71" s="322">
        <v>29201.710000000003</v>
      </c>
      <c r="PC71" s="322">
        <v>37298.619999999995</v>
      </c>
      <c r="PD71" s="322">
        <v>34957.75</v>
      </c>
      <c r="PE71" s="322">
        <v>33390.06</v>
      </c>
      <c r="PF71" s="322">
        <v>49323.39</v>
      </c>
      <c r="PG71" s="322">
        <v>44705.19</v>
      </c>
      <c r="PH71" s="322">
        <v>50011.87</v>
      </c>
      <c r="PI71" s="322">
        <v>57167.1</v>
      </c>
      <c r="PJ71" s="322"/>
      <c r="PK71" s="322">
        <v>62009.81</v>
      </c>
      <c r="PL71" s="322">
        <v>53729.45</v>
      </c>
      <c r="PM71" s="322">
        <v>57384.09</v>
      </c>
      <c r="PN71" s="322">
        <v>52377.49</v>
      </c>
      <c r="PO71" s="322">
        <v>79024.36</v>
      </c>
      <c r="PP71" s="334"/>
      <c r="PQ71" s="322" t="s">
        <v>54</v>
      </c>
      <c r="PR71" s="322">
        <v>0</v>
      </c>
      <c r="PS71" s="322">
        <v>14643.33</v>
      </c>
      <c r="PT71" s="322">
        <v>14636.57</v>
      </c>
      <c r="PU71" s="322">
        <v>14169.43</v>
      </c>
      <c r="PV71" s="322">
        <v>15578.57</v>
      </c>
      <c r="PW71" s="322">
        <v>19518.330000000002</v>
      </c>
      <c r="PX71" s="322">
        <v>19234.29</v>
      </c>
      <c r="PY71" s="322">
        <v>20707.8</v>
      </c>
      <c r="PZ71" s="322">
        <v>19002.46</v>
      </c>
      <c r="QA71" s="322">
        <v>21466.21</v>
      </c>
      <c r="QB71" s="322">
        <v>24038.75</v>
      </c>
      <c r="QC71" s="322">
        <v>20377.46</v>
      </c>
      <c r="QD71" s="322">
        <v>29461.5</v>
      </c>
      <c r="QE71" s="322">
        <v>23680.240000000002</v>
      </c>
      <c r="QF71" s="322">
        <v>34089.240000000005</v>
      </c>
      <c r="QG71" s="322">
        <v>26717.53</v>
      </c>
      <c r="QH71" s="322"/>
      <c r="QI71" s="322">
        <v>29496.510000000002</v>
      </c>
      <c r="QJ71" s="322">
        <v>35960.68</v>
      </c>
      <c r="QK71" s="322">
        <v>42706.210000000006</v>
      </c>
      <c r="QL71" s="322">
        <v>38455.07</v>
      </c>
      <c r="QM71" s="322">
        <v>43730.85</v>
      </c>
      <c r="QN71" s="334"/>
      <c r="QO71" s="322" t="s">
        <v>54</v>
      </c>
      <c r="QP71" s="322">
        <v>0</v>
      </c>
      <c r="QQ71" s="322">
        <v>0</v>
      </c>
      <c r="QR71" s="322">
        <v>0</v>
      </c>
      <c r="QS71" s="322">
        <v>0</v>
      </c>
      <c r="QT71" s="322">
        <v>0</v>
      </c>
      <c r="QU71" s="322">
        <v>0</v>
      </c>
      <c r="QV71" s="322">
        <v>0</v>
      </c>
      <c r="QW71" s="322">
        <v>0</v>
      </c>
      <c r="QX71" s="322">
        <v>0</v>
      </c>
      <c r="QY71" s="322">
        <v>0</v>
      </c>
      <c r="QZ71" s="322">
        <v>0</v>
      </c>
      <c r="RA71" s="322">
        <v>0</v>
      </c>
      <c r="RB71" s="322">
        <v>0</v>
      </c>
      <c r="RC71" s="322">
        <v>0</v>
      </c>
      <c r="RD71" s="322">
        <v>0</v>
      </c>
      <c r="RE71" s="322">
        <v>0</v>
      </c>
      <c r="RF71" s="322"/>
      <c r="RG71" s="322">
        <v>0</v>
      </c>
      <c r="RH71" s="322">
        <v>0</v>
      </c>
      <c r="RI71" s="322">
        <v>0</v>
      </c>
      <c r="RJ71" s="322">
        <v>0</v>
      </c>
      <c r="RK71" s="322">
        <v>0</v>
      </c>
      <c r="RL71" s="334"/>
      <c r="RM71" s="322" t="s">
        <v>54</v>
      </c>
      <c r="RN71" s="322">
        <v>171806.28</v>
      </c>
      <c r="RO71" s="322">
        <v>146433.29999999999</v>
      </c>
      <c r="RP71" s="322">
        <v>395187.39</v>
      </c>
      <c r="RQ71" s="322">
        <v>184202.59</v>
      </c>
      <c r="RR71" s="322">
        <v>545249.94999999995</v>
      </c>
      <c r="RS71" s="322">
        <v>897843.18</v>
      </c>
      <c r="RT71" s="322">
        <v>807840.18</v>
      </c>
      <c r="RU71" s="322">
        <v>828312</v>
      </c>
      <c r="RV71" s="322">
        <v>1181858.95</v>
      </c>
      <c r="RW71" s="322">
        <v>1205277.3799999999</v>
      </c>
      <c r="RX71" s="322">
        <v>1375525.16</v>
      </c>
      <c r="RY71" s="322">
        <v>1369429.29</v>
      </c>
      <c r="RZ71" s="322">
        <v>1689803.93</v>
      </c>
      <c r="SA71" s="322">
        <v>1641716.03</v>
      </c>
      <c r="SB71" s="322">
        <v>1146983.71</v>
      </c>
      <c r="SC71" s="322">
        <v>341326.29</v>
      </c>
      <c r="SD71" s="322"/>
      <c r="SE71" s="322">
        <v>400539.89</v>
      </c>
      <c r="SF71" s="322">
        <v>868736.12</v>
      </c>
      <c r="SG71" s="322">
        <v>395175.15</v>
      </c>
      <c r="SH71" s="322">
        <v>422758.32</v>
      </c>
      <c r="SI71" s="322">
        <v>464815.85</v>
      </c>
    </row>
    <row r="72" spans="1:503">
      <c r="A72" s="342" t="s">
        <v>513</v>
      </c>
      <c r="B72" s="645">
        <v>2024753</v>
      </c>
      <c r="C72" s="646">
        <v>2194370</v>
      </c>
      <c r="D72" s="614"/>
      <c r="E72" s="614"/>
      <c r="F72" s="614"/>
      <c r="G72" s="615"/>
      <c r="H72" s="614"/>
      <c r="I72" s="614"/>
      <c r="J72" s="614"/>
      <c r="K72" s="614"/>
      <c r="L72" s="614"/>
      <c r="M72" s="614">
        <v>3944331.7700000005</v>
      </c>
      <c r="N72" s="614"/>
      <c r="O72" s="336">
        <v>4104066.59</v>
      </c>
      <c r="P72" s="336"/>
      <c r="Q72" s="336">
        <v>4604239.6899999995</v>
      </c>
      <c r="R72" s="336"/>
      <c r="S72" s="340">
        <v>4669510.49</v>
      </c>
      <c r="T72" s="336">
        <v>5631313.0699999994</v>
      </c>
      <c r="U72" s="336">
        <v>4585386.7700000005</v>
      </c>
      <c r="V72" s="336">
        <v>5500491.54</v>
      </c>
      <c r="W72" s="336">
        <v>6751406.8499999996</v>
      </c>
      <c r="X72" s="635"/>
      <c r="Y72" s="342" t="s">
        <v>513</v>
      </c>
      <c r="Z72" s="338">
        <v>60742.59</v>
      </c>
      <c r="AA72" s="338">
        <v>65831.100000000006</v>
      </c>
      <c r="AB72" s="338"/>
      <c r="AC72" s="338"/>
      <c r="AD72" s="338"/>
      <c r="AE72" s="338"/>
      <c r="AF72" s="338"/>
      <c r="AG72" s="338"/>
      <c r="AH72" s="338"/>
      <c r="AI72" s="338"/>
      <c r="AJ72" s="338"/>
      <c r="AK72" s="338">
        <v>529669.24</v>
      </c>
      <c r="AL72" s="338"/>
      <c r="AM72" s="338">
        <v>599110.94000000006</v>
      </c>
      <c r="AN72" s="338"/>
      <c r="AO72" s="338">
        <v>601622.84</v>
      </c>
      <c r="AP72" s="338"/>
      <c r="AQ72" s="342">
        <v>581067.34000000008</v>
      </c>
      <c r="AR72" s="338">
        <v>141774.16999999998</v>
      </c>
      <c r="AS72" s="338">
        <v>273309.19</v>
      </c>
      <c r="AT72" s="338">
        <v>212725.5</v>
      </c>
      <c r="AU72" s="338">
        <v>225679.44</v>
      </c>
      <c r="AV72" s="554"/>
      <c r="AW72" s="342" t="s">
        <v>513</v>
      </c>
      <c r="AX72" s="338">
        <v>101237.65</v>
      </c>
      <c r="AY72" s="338">
        <v>109718.5</v>
      </c>
      <c r="AZ72" s="338"/>
      <c r="BA72" s="338"/>
      <c r="BB72" s="338"/>
      <c r="BC72" s="338"/>
      <c r="BD72" s="338"/>
      <c r="BE72" s="338"/>
      <c r="BF72" s="338"/>
      <c r="BG72" s="338"/>
      <c r="BH72" s="338"/>
      <c r="BI72" s="338">
        <v>113172.54</v>
      </c>
      <c r="BJ72" s="338"/>
      <c r="BK72" s="338">
        <v>111486.63000000002</v>
      </c>
      <c r="BL72" s="338"/>
      <c r="BM72" s="338">
        <v>135470.16999999998</v>
      </c>
      <c r="BN72" s="338"/>
      <c r="BO72" s="342">
        <v>130592.53</v>
      </c>
      <c r="BP72" s="338">
        <v>123716.43000000001</v>
      </c>
      <c r="BQ72" s="338">
        <v>134711.89000000001</v>
      </c>
      <c r="BR72" s="338">
        <v>142316.20000000001</v>
      </c>
      <c r="BS72" s="338">
        <v>150664.56</v>
      </c>
      <c r="BT72" s="554"/>
      <c r="BU72" s="342" t="s">
        <v>513</v>
      </c>
      <c r="BV72" s="342">
        <v>80990.12</v>
      </c>
      <c r="BW72" s="342">
        <v>21943.7</v>
      </c>
      <c r="BX72" s="342"/>
      <c r="BY72" s="342"/>
      <c r="BZ72" s="342"/>
      <c r="CA72" s="342"/>
      <c r="CB72" s="342"/>
      <c r="CC72" s="342"/>
      <c r="CD72" s="342"/>
      <c r="CE72" s="342"/>
      <c r="CF72" s="342"/>
      <c r="CG72" s="342">
        <v>46649.549999999996</v>
      </c>
      <c r="CH72" s="342"/>
      <c r="CI72" s="342">
        <v>24937.22</v>
      </c>
      <c r="CJ72" s="342"/>
      <c r="CK72" s="342">
        <v>28976</v>
      </c>
      <c r="CL72" s="342"/>
      <c r="CM72" s="342">
        <v>42555.780000000006</v>
      </c>
      <c r="CN72" s="342">
        <v>141583.65</v>
      </c>
      <c r="CO72" s="342">
        <v>103852.77</v>
      </c>
      <c r="CP72" s="342">
        <v>179242.25</v>
      </c>
      <c r="CQ72" s="342">
        <v>75000</v>
      </c>
      <c r="CR72" s="554"/>
      <c r="CS72" s="342" t="s">
        <v>513</v>
      </c>
      <c r="CT72" s="342">
        <v>80990.12</v>
      </c>
      <c r="CU72" s="342">
        <v>153605.9</v>
      </c>
      <c r="CV72" s="342"/>
      <c r="CW72" s="342"/>
      <c r="CX72" s="342"/>
      <c r="CY72" s="342"/>
      <c r="CZ72" s="342"/>
      <c r="DA72" s="342"/>
      <c r="DB72" s="342"/>
      <c r="DC72" s="342"/>
      <c r="DD72" s="342"/>
      <c r="DE72" s="342">
        <v>163629.54</v>
      </c>
      <c r="DF72" s="342"/>
      <c r="DG72" s="342">
        <v>158660.02999999997</v>
      </c>
      <c r="DH72" s="342"/>
      <c r="DI72" s="342">
        <v>194687.95</v>
      </c>
      <c r="DJ72" s="342"/>
      <c r="DK72" s="342">
        <v>157455.28999999998</v>
      </c>
      <c r="DL72" s="342">
        <v>187824.29</v>
      </c>
      <c r="DM72" s="342">
        <v>188531.80000000002</v>
      </c>
      <c r="DN72" s="342">
        <v>206545.78</v>
      </c>
      <c r="DO72" s="342">
        <v>238200</v>
      </c>
      <c r="DP72" s="554"/>
      <c r="DQ72" s="342" t="s">
        <v>513</v>
      </c>
      <c r="DR72" s="342">
        <v>263217.89</v>
      </c>
      <c r="DS72" s="342">
        <v>285268.09999999998</v>
      </c>
      <c r="DT72" s="342"/>
      <c r="DU72" s="342"/>
      <c r="DV72" s="342"/>
      <c r="DW72" s="342"/>
      <c r="DX72" s="342"/>
      <c r="DY72" s="342"/>
      <c r="DZ72" s="342"/>
      <c r="EA72" s="342"/>
      <c r="EB72" s="342"/>
      <c r="EC72" s="342">
        <v>642487.08999999985</v>
      </c>
      <c r="ED72" s="342"/>
      <c r="EE72" s="342">
        <v>794347.52999999991</v>
      </c>
      <c r="EF72" s="342"/>
      <c r="EG72" s="342">
        <v>879167.84000000008</v>
      </c>
      <c r="EH72" s="342"/>
      <c r="EI72" s="342">
        <v>972575.07</v>
      </c>
      <c r="EJ72" s="342">
        <v>1118146.3799999999</v>
      </c>
      <c r="EK72" s="342">
        <v>778930.33</v>
      </c>
      <c r="EL72" s="342">
        <v>918921.94</v>
      </c>
      <c r="EM72" s="342">
        <v>955000</v>
      </c>
      <c r="EN72" s="554"/>
      <c r="EO72" s="342" t="s">
        <v>513</v>
      </c>
      <c r="EP72" s="342">
        <v>20247.53</v>
      </c>
      <c r="EQ72" s="342">
        <v>21943.7</v>
      </c>
      <c r="ER72" s="342"/>
      <c r="ES72" s="342"/>
      <c r="ET72" s="342"/>
      <c r="EU72" s="342"/>
      <c r="EV72" s="342"/>
      <c r="EW72" s="342"/>
      <c r="EX72" s="342"/>
      <c r="EY72" s="342"/>
      <c r="EZ72" s="342"/>
      <c r="FA72" s="342">
        <v>45436.480000000003</v>
      </c>
      <c r="FB72" s="342"/>
      <c r="FC72" s="342">
        <v>50830.559999999998</v>
      </c>
      <c r="FD72" s="342"/>
      <c r="FE72" s="342">
        <v>53370.079999999994</v>
      </c>
      <c r="FF72" s="342"/>
      <c r="FG72" s="342">
        <v>51605.78</v>
      </c>
      <c r="FH72" s="342">
        <v>64856.09</v>
      </c>
      <c r="FI72" s="342">
        <v>58291.130000000005</v>
      </c>
      <c r="FJ72" s="342">
        <v>61996.039999999994</v>
      </c>
      <c r="FK72" s="342">
        <v>63889.56</v>
      </c>
      <c r="FL72" s="554"/>
      <c r="FM72" s="342" t="s">
        <v>513</v>
      </c>
      <c r="FN72" s="342">
        <v>101237.65</v>
      </c>
      <c r="FO72" s="342">
        <v>87774.8</v>
      </c>
      <c r="FP72" s="342"/>
      <c r="FQ72" s="342"/>
      <c r="FR72" s="342"/>
      <c r="FS72" s="342"/>
      <c r="FT72" s="342"/>
      <c r="FU72" s="342"/>
      <c r="FV72" s="342"/>
      <c r="FW72" s="342"/>
      <c r="FX72" s="342"/>
      <c r="FY72" s="342">
        <v>103992.73</v>
      </c>
      <c r="FZ72" s="342"/>
      <c r="GA72" s="342">
        <v>120528.66</v>
      </c>
      <c r="GB72" s="342"/>
      <c r="GC72" s="342">
        <v>128694.11</v>
      </c>
      <c r="GD72" s="342"/>
      <c r="GE72" s="342">
        <v>125112.98000000001</v>
      </c>
      <c r="GF72" s="342">
        <v>133821.16</v>
      </c>
      <c r="GG72" s="636">
        <v>138947.17000000001</v>
      </c>
      <c r="GH72" s="636">
        <v>137664.52000000002</v>
      </c>
      <c r="GI72" s="636">
        <v>171964.56</v>
      </c>
      <c r="GJ72" s="554"/>
      <c r="GK72" s="342" t="s">
        <v>513</v>
      </c>
      <c r="GL72" s="342">
        <v>80990.12</v>
      </c>
      <c r="GM72" s="342">
        <v>87774.8</v>
      </c>
      <c r="GN72" s="342"/>
      <c r="GO72" s="342"/>
      <c r="GP72" s="342"/>
      <c r="GQ72" s="342"/>
      <c r="GR72" s="342"/>
      <c r="GS72" s="342"/>
      <c r="GT72" s="342"/>
      <c r="GU72" s="342"/>
      <c r="GV72" s="342"/>
      <c r="GW72" s="342">
        <v>107737.73999999999</v>
      </c>
      <c r="GX72" s="342"/>
      <c r="GY72" s="342">
        <v>105783.42</v>
      </c>
      <c r="GZ72" s="342"/>
      <c r="HA72" s="342">
        <v>103485.38</v>
      </c>
      <c r="HB72" s="342"/>
      <c r="HC72" s="342">
        <v>112830.73000000001</v>
      </c>
      <c r="HD72" s="342">
        <v>121382.70999999999</v>
      </c>
      <c r="HE72" s="342">
        <v>109398.36000000002</v>
      </c>
      <c r="HF72" s="342">
        <v>120764.96999999999</v>
      </c>
      <c r="HG72" s="342">
        <v>134080.81</v>
      </c>
      <c r="HH72" s="554"/>
      <c r="HI72" s="342" t="s">
        <v>513</v>
      </c>
      <c r="HJ72" s="342">
        <v>20247.53</v>
      </c>
      <c r="HK72" s="342">
        <v>21943.7</v>
      </c>
      <c r="HL72" s="342"/>
      <c r="HM72" s="342"/>
      <c r="HN72" s="342"/>
      <c r="HO72" s="342"/>
      <c r="HP72" s="342"/>
      <c r="HQ72" s="342"/>
      <c r="HR72" s="342"/>
      <c r="HS72" s="342"/>
      <c r="HT72" s="342"/>
      <c r="HU72" s="342">
        <v>19915.579999999998</v>
      </c>
      <c r="HV72" s="342"/>
      <c r="HW72" s="342">
        <v>25063.34</v>
      </c>
      <c r="HX72" s="342"/>
      <c r="HY72" s="342">
        <v>31922.59</v>
      </c>
      <c r="HZ72" s="342"/>
      <c r="IA72" s="342">
        <v>41937.86</v>
      </c>
      <c r="IB72" s="342">
        <v>25227.329999999998</v>
      </c>
      <c r="IC72" s="342">
        <v>20790.760000000002</v>
      </c>
      <c r="ID72" s="342">
        <v>14812.62</v>
      </c>
      <c r="IE72" s="342">
        <v>32500</v>
      </c>
      <c r="IF72" s="554"/>
      <c r="IG72" s="342" t="s">
        <v>513</v>
      </c>
      <c r="IH72" s="342">
        <v>0</v>
      </c>
      <c r="II72" s="342">
        <v>21943.7</v>
      </c>
      <c r="IJ72" s="342"/>
      <c r="IK72" s="342"/>
      <c r="IL72" s="342"/>
      <c r="IM72" s="342"/>
      <c r="IN72" s="342"/>
      <c r="IO72" s="342"/>
      <c r="IP72" s="342"/>
      <c r="IQ72" s="342"/>
      <c r="IR72" s="342"/>
      <c r="IS72" s="342">
        <v>59388.24</v>
      </c>
      <c r="IT72" s="342"/>
      <c r="IU72" s="342">
        <v>56792.80999999999</v>
      </c>
      <c r="IV72" s="342"/>
      <c r="IW72" s="342"/>
      <c r="IX72" s="342"/>
      <c r="IY72" s="342"/>
      <c r="IZ72" s="342"/>
      <c r="JA72" s="342"/>
      <c r="JB72" s="342"/>
      <c r="JC72" s="342"/>
      <c r="JD72" s="554"/>
      <c r="JE72" s="342" t="s">
        <v>513</v>
      </c>
      <c r="JF72" s="342">
        <v>40495.06</v>
      </c>
      <c r="JG72" s="342">
        <v>43887.4</v>
      </c>
      <c r="JH72" s="342"/>
      <c r="JI72" s="342"/>
      <c r="JJ72" s="342"/>
      <c r="JK72" s="342"/>
      <c r="JL72" s="342"/>
      <c r="JM72" s="342"/>
      <c r="JN72" s="342"/>
      <c r="JO72" s="342"/>
      <c r="JP72" s="342"/>
      <c r="JQ72" s="342">
        <v>15954.6</v>
      </c>
      <c r="JR72" s="342"/>
      <c r="JS72" s="342">
        <v>8066.91</v>
      </c>
      <c r="JT72" s="342"/>
      <c r="JU72" s="342">
        <v>14754.35</v>
      </c>
      <c r="JV72" s="342"/>
      <c r="JW72" s="342">
        <v>17626.300000000003</v>
      </c>
      <c r="JX72" s="342">
        <v>17199.61</v>
      </c>
      <c r="JY72" s="342">
        <v>15934.44</v>
      </c>
      <c r="JZ72" s="342">
        <v>18423.240000000002</v>
      </c>
      <c r="KA72" s="342">
        <v>51000</v>
      </c>
      <c r="KB72" s="554"/>
      <c r="KC72" s="342" t="s">
        <v>513</v>
      </c>
      <c r="KD72" s="342">
        <v>20247.53</v>
      </c>
      <c r="KE72" s="342">
        <v>21943.7</v>
      </c>
      <c r="KF72" s="342"/>
      <c r="KG72" s="342"/>
      <c r="KH72" s="342"/>
      <c r="KI72" s="342"/>
      <c r="KJ72" s="342"/>
      <c r="KK72" s="342"/>
      <c r="KL72" s="342"/>
      <c r="KM72" s="342"/>
      <c r="KN72" s="342"/>
      <c r="KO72" s="342">
        <v>50582.11</v>
      </c>
      <c r="KP72" s="342"/>
      <c r="KQ72" s="342">
        <v>57942.03</v>
      </c>
      <c r="KR72" s="342"/>
      <c r="KS72" s="342">
        <v>115288.84</v>
      </c>
      <c r="KT72" s="342"/>
      <c r="KU72" s="342">
        <v>63634.559999999998</v>
      </c>
      <c r="KV72" s="342">
        <v>75680.56</v>
      </c>
      <c r="KW72" s="342">
        <v>79314.55</v>
      </c>
      <c r="KX72" s="342">
        <v>83166.06</v>
      </c>
      <c r="KY72" s="342">
        <v>88896.959999999992</v>
      </c>
      <c r="KZ72" s="554"/>
      <c r="LA72" s="342" t="s">
        <v>513</v>
      </c>
      <c r="LB72" s="342">
        <v>222722.83</v>
      </c>
      <c r="LC72" s="342">
        <v>175549.6</v>
      </c>
      <c r="LD72" s="342"/>
      <c r="LE72" s="342"/>
      <c r="LF72" s="342"/>
      <c r="LG72" s="342"/>
      <c r="LH72" s="342"/>
      <c r="LI72" s="342"/>
      <c r="LJ72" s="342"/>
      <c r="LK72" s="342"/>
      <c r="LL72" s="342"/>
      <c r="LM72" s="342">
        <v>596005.2100000002</v>
      </c>
      <c r="LN72" s="342"/>
      <c r="LO72" s="342">
        <v>570557.47</v>
      </c>
      <c r="LP72" s="342"/>
      <c r="LQ72" s="342">
        <v>538663.15</v>
      </c>
      <c r="LR72" s="342"/>
      <c r="LS72" s="342">
        <v>420494.32</v>
      </c>
      <c r="LT72" s="342">
        <v>1607131.9699999997</v>
      </c>
      <c r="LU72" s="342">
        <v>947274.53000000014</v>
      </c>
      <c r="LV72" s="342">
        <v>970167.08000000007</v>
      </c>
      <c r="LW72" s="342">
        <v>1522262.64</v>
      </c>
      <c r="LX72" s="554"/>
      <c r="LY72" s="342" t="s">
        <v>513</v>
      </c>
      <c r="LZ72" s="342">
        <v>445445.66</v>
      </c>
      <c r="MA72" s="342">
        <v>482761.4</v>
      </c>
      <c r="MB72" s="342"/>
      <c r="MC72" s="342"/>
      <c r="MD72" s="342"/>
      <c r="ME72" s="342"/>
      <c r="MF72" s="342"/>
      <c r="MG72" s="342"/>
      <c r="MH72" s="342"/>
      <c r="MI72" s="342"/>
      <c r="MJ72" s="342"/>
      <c r="MK72" s="342">
        <v>541010.06999999995</v>
      </c>
      <c r="ML72" s="342"/>
      <c r="MM72" s="342">
        <v>525125.74999999988</v>
      </c>
      <c r="MN72" s="342"/>
      <c r="MO72" s="342">
        <v>541208.83000000007</v>
      </c>
      <c r="MP72" s="342"/>
      <c r="MQ72" s="342">
        <v>644195.23</v>
      </c>
      <c r="MR72" s="342">
        <v>636187.48</v>
      </c>
      <c r="MS72" s="342">
        <v>633775.13</v>
      </c>
      <c r="MT72" s="342">
        <v>740602.33000000007</v>
      </c>
      <c r="MU72" s="342">
        <v>1137505.24</v>
      </c>
      <c r="MV72" s="554"/>
      <c r="MW72" s="342" t="s">
        <v>513</v>
      </c>
      <c r="MX72" s="342">
        <v>263217.89</v>
      </c>
      <c r="MY72" s="342">
        <v>351099.2</v>
      </c>
      <c r="MZ72" s="342"/>
      <c r="NA72" s="342"/>
      <c r="NB72" s="342"/>
      <c r="NC72" s="342"/>
      <c r="ND72" s="342"/>
      <c r="NE72" s="342"/>
      <c r="NF72" s="342"/>
      <c r="NG72" s="342"/>
      <c r="NH72" s="342"/>
      <c r="NI72" s="342">
        <v>337203.93</v>
      </c>
      <c r="NJ72" s="342"/>
      <c r="NK72" s="342">
        <v>376556.54</v>
      </c>
      <c r="NL72" s="342"/>
      <c r="NM72" s="342">
        <v>503962.29</v>
      </c>
      <c r="NN72" s="342"/>
      <c r="NO72" s="342">
        <v>485718.51</v>
      </c>
      <c r="NP72" s="342">
        <v>672842.67</v>
      </c>
      <c r="NQ72" s="342">
        <v>589892.18000000005</v>
      </c>
      <c r="NR72" s="342">
        <v>783778.30999999994</v>
      </c>
      <c r="NS72" s="342">
        <v>607000</v>
      </c>
      <c r="NT72" s="554"/>
      <c r="NU72" s="342" t="s">
        <v>513</v>
      </c>
      <c r="NV72" s="342">
        <v>121485.18</v>
      </c>
      <c r="NW72" s="342">
        <v>131662.19999999998</v>
      </c>
      <c r="NX72" s="342"/>
      <c r="NY72" s="342"/>
      <c r="NZ72" s="342"/>
      <c r="OA72" s="342"/>
      <c r="OB72" s="342"/>
      <c r="OC72" s="342"/>
      <c r="OD72" s="342"/>
      <c r="OE72" s="342"/>
      <c r="OF72" s="342"/>
      <c r="OG72" s="342">
        <v>262855.20999999996</v>
      </c>
      <c r="OH72" s="342"/>
      <c r="OI72" s="342">
        <v>287842.53999999998</v>
      </c>
      <c r="OJ72" s="342"/>
      <c r="OK72" s="342">
        <v>296562.52</v>
      </c>
      <c r="OL72" s="342"/>
      <c r="OM72" s="342">
        <v>361526.17999999993</v>
      </c>
      <c r="ON72" s="342">
        <v>369324.73</v>
      </c>
      <c r="OO72" s="342">
        <v>362219.9</v>
      </c>
      <c r="OP72" s="342">
        <v>369050.87</v>
      </c>
      <c r="OQ72" s="342">
        <v>380343.72</v>
      </c>
      <c r="OR72" s="554"/>
      <c r="OS72" s="342" t="s">
        <v>513</v>
      </c>
      <c r="OT72" s="342">
        <v>40495.06</v>
      </c>
      <c r="OU72" s="342">
        <v>43887.4</v>
      </c>
      <c r="OV72" s="342"/>
      <c r="OW72" s="342"/>
      <c r="OX72" s="342"/>
      <c r="OY72" s="342"/>
      <c r="OZ72" s="342"/>
      <c r="PA72" s="342"/>
      <c r="PB72" s="342"/>
      <c r="PC72" s="342"/>
      <c r="PD72" s="342"/>
      <c r="PE72" s="342">
        <v>30093.309999999998</v>
      </c>
      <c r="PF72" s="342"/>
      <c r="PG72" s="342">
        <v>20728.03</v>
      </c>
      <c r="PH72" s="342"/>
      <c r="PI72" s="342">
        <v>25225.35</v>
      </c>
      <c r="PJ72" s="342"/>
      <c r="PK72" s="342">
        <v>25549.03</v>
      </c>
      <c r="PL72" s="342">
        <v>20761.2</v>
      </c>
      <c r="PM72" s="342">
        <v>21950.7</v>
      </c>
      <c r="PN72" s="342">
        <v>22350.25</v>
      </c>
      <c r="PO72" s="342">
        <v>34500</v>
      </c>
      <c r="PP72" s="554"/>
      <c r="PQ72" s="342" t="s">
        <v>513</v>
      </c>
      <c r="PR72" s="342">
        <v>20247.53</v>
      </c>
      <c r="PS72" s="342">
        <v>21943.7</v>
      </c>
      <c r="PT72" s="342"/>
      <c r="PU72" s="342"/>
      <c r="PV72" s="342"/>
      <c r="PW72" s="342"/>
      <c r="PX72" s="342"/>
      <c r="PY72" s="342"/>
      <c r="PZ72" s="342"/>
      <c r="QA72" s="342"/>
      <c r="QB72" s="342"/>
      <c r="QC72" s="342">
        <v>31180.269999999997</v>
      </c>
      <c r="QD72" s="342"/>
      <c r="QE72" s="342">
        <v>27600.18</v>
      </c>
      <c r="QF72" s="342"/>
      <c r="QG72" s="342">
        <v>28425.4</v>
      </c>
      <c r="QH72" s="342"/>
      <c r="QI72" s="342">
        <v>34403.360000000001</v>
      </c>
      <c r="QJ72" s="342">
        <v>34056.380000000005</v>
      </c>
      <c r="QK72" s="342">
        <v>35509.94</v>
      </c>
      <c r="QL72" s="342">
        <v>37579.08</v>
      </c>
      <c r="QM72" s="342">
        <v>49166.36</v>
      </c>
      <c r="QN72" s="554"/>
      <c r="QO72" s="342" t="s">
        <v>513</v>
      </c>
      <c r="QP72" s="342">
        <v>0</v>
      </c>
      <c r="QQ72" s="342">
        <v>0</v>
      </c>
      <c r="QR72" s="342"/>
      <c r="QS72" s="342"/>
      <c r="QT72" s="342"/>
      <c r="QU72" s="342"/>
      <c r="QV72" s="342"/>
      <c r="QW72" s="342"/>
      <c r="QX72" s="342"/>
      <c r="QY72" s="342"/>
      <c r="QZ72" s="342"/>
      <c r="RA72" s="342">
        <v>0</v>
      </c>
      <c r="RB72" s="342"/>
      <c r="RC72" s="342">
        <v>0</v>
      </c>
      <c r="RD72" s="342"/>
      <c r="RE72" s="342">
        <v>0</v>
      </c>
      <c r="RF72" s="342"/>
      <c r="RG72" s="342">
        <v>0</v>
      </c>
      <c r="RH72" s="342">
        <v>0</v>
      </c>
      <c r="RI72" s="342">
        <v>0</v>
      </c>
      <c r="RJ72" s="342">
        <v>0</v>
      </c>
      <c r="RK72" s="342">
        <v>0</v>
      </c>
      <c r="RL72" s="554"/>
      <c r="RM72" s="342" t="s">
        <v>513</v>
      </c>
      <c r="RN72" s="342">
        <v>40495.06</v>
      </c>
      <c r="RO72" s="342">
        <v>21943.7</v>
      </c>
      <c r="RP72" s="342"/>
      <c r="RQ72" s="342"/>
      <c r="RR72" s="342"/>
      <c r="RS72" s="342"/>
      <c r="RT72" s="342"/>
      <c r="RU72" s="342"/>
      <c r="RV72" s="342"/>
      <c r="RW72" s="342"/>
      <c r="RX72" s="342"/>
      <c r="RY72" s="342">
        <v>247368.33000000002</v>
      </c>
      <c r="RZ72" s="342"/>
      <c r="SA72" s="342">
        <v>182106</v>
      </c>
      <c r="SB72" s="342"/>
      <c r="SC72" s="342">
        <v>382752</v>
      </c>
      <c r="SD72" s="342"/>
      <c r="SE72" s="342">
        <v>400629.64</v>
      </c>
      <c r="SF72" s="342">
        <v>139796.25999999998</v>
      </c>
      <c r="SG72" s="342">
        <v>92752</v>
      </c>
      <c r="SH72" s="342">
        <v>480384.5</v>
      </c>
      <c r="SI72" s="342">
        <v>677753</v>
      </c>
    </row>
    <row r="73" spans="1:503">
      <c r="A73" s="319" t="s">
        <v>55</v>
      </c>
      <c r="B73" s="319">
        <v>1572444</v>
      </c>
      <c r="C73" s="319">
        <v>1872172</v>
      </c>
      <c r="D73" s="319">
        <v>2161376</v>
      </c>
      <c r="E73" s="319">
        <v>2189943</v>
      </c>
      <c r="F73" s="319">
        <v>1744991</v>
      </c>
      <c r="G73" s="319">
        <v>1974151</v>
      </c>
      <c r="H73" s="319">
        <v>2125889</v>
      </c>
      <c r="I73" s="319">
        <v>2134097</v>
      </c>
      <c r="J73" s="319">
        <v>2395633.12</v>
      </c>
      <c r="K73" s="319">
        <v>2951871.14</v>
      </c>
      <c r="L73" s="319">
        <v>2918664.92</v>
      </c>
      <c r="M73" s="319">
        <v>5067228.0500000007</v>
      </c>
      <c r="N73" s="319">
        <v>3040333.3499999996</v>
      </c>
      <c r="O73" s="319">
        <v>3516690.4699999997</v>
      </c>
      <c r="P73" s="319">
        <v>3551339.37</v>
      </c>
      <c r="Q73" s="319">
        <v>3251155.6799999997</v>
      </c>
      <c r="R73" s="319">
        <v>3310895.39</v>
      </c>
      <c r="S73" s="322">
        <v>3308720.2300000004</v>
      </c>
      <c r="T73" s="319">
        <v>3581318.9799999995</v>
      </c>
      <c r="U73" s="319"/>
      <c r="V73" s="319"/>
      <c r="W73" s="319"/>
      <c r="X73" s="330"/>
      <c r="Y73" s="319" t="s">
        <v>55</v>
      </c>
      <c r="Z73" s="319">
        <v>78622.2</v>
      </c>
      <c r="AA73" s="319">
        <v>74886.880000000005</v>
      </c>
      <c r="AB73" s="319">
        <v>64841.279999999999</v>
      </c>
      <c r="AC73" s="319">
        <v>87597.72</v>
      </c>
      <c r="AD73" s="319">
        <v>87249.55</v>
      </c>
      <c r="AE73" s="319">
        <v>98707.55</v>
      </c>
      <c r="AF73" s="319">
        <v>78966.039999999994</v>
      </c>
      <c r="AG73" s="319">
        <v>106704.85</v>
      </c>
      <c r="AH73" s="319">
        <v>93740.920000000013</v>
      </c>
      <c r="AI73" s="319">
        <v>116161.61999999998</v>
      </c>
      <c r="AJ73" s="319">
        <v>107613.62000000001</v>
      </c>
      <c r="AK73" s="319">
        <v>118160.01</v>
      </c>
      <c r="AL73" s="319">
        <v>118721.83</v>
      </c>
      <c r="AM73" s="319">
        <v>119779.43000000001</v>
      </c>
      <c r="AN73" s="319">
        <v>121555.07</v>
      </c>
      <c r="AO73" s="319">
        <v>123461.51</v>
      </c>
      <c r="AP73" s="319">
        <v>126509.59999999999</v>
      </c>
      <c r="AQ73" s="322">
        <v>129248.05</v>
      </c>
      <c r="AR73" s="319">
        <v>128631.5</v>
      </c>
      <c r="AS73" s="319"/>
      <c r="AT73" s="319"/>
      <c r="AU73" s="319"/>
      <c r="AV73" s="334"/>
      <c r="AW73" s="319" t="s">
        <v>55</v>
      </c>
      <c r="AX73" s="319">
        <v>94346.64</v>
      </c>
      <c r="AY73" s="319">
        <v>93608.6</v>
      </c>
      <c r="AZ73" s="319">
        <v>86455.040000000008</v>
      </c>
      <c r="BA73" s="319">
        <v>87597.72</v>
      </c>
      <c r="BB73" s="319">
        <v>87249.55</v>
      </c>
      <c r="BC73" s="319">
        <v>98707.55</v>
      </c>
      <c r="BD73" s="319">
        <v>85035.56</v>
      </c>
      <c r="BE73" s="319">
        <v>85363.88</v>
      </c>
      <c r="BF73" s="319">
        <v>90411.05</v>
      </c>
      <c r="BG73" s="319">
        <v>90422.75999999998</v>
      </c>
      <c r="BH73" s="319">
        <v>96242.3</v>
      </c>
      <c r="BI73" s="319">
        <v>101280.12000000001</v>
      </c>
      <c r="BJ73" s="319">
        <v>109458.42999999998</v>
      </c>
      <c r="BK73" s="319">
        <v>111663.66</v>
      </c>
      <c r="BL73" s="319">
        <v>112902.91</v>
      </c>
      <c r="BM73" s="319">
        <v>114206.99000000002</v>
      </c>
      <c r="BN73" s="319">
        <v>115108.65</v>
      </c>
      <c r="BO73" s="322">
        <v>117802.94</v>
      </c>
      <c r="BP73" s="319">
        <v>121696.92</v>
      </c>
      <c r="BQ73" s="319"/>
      <c r="BR73" s="319"/>
      <c r="BS73" s="319"/>
      <c r="BT73" s="334"/>
      <c r="BU73" s="322" t="s">
        <v>55</v>
      </c>
      <c r="BV73" s="322">
        <v>47173.32</v>
      </c>
      <c r="BW73" s="322">
        <v>18721.72</v>
      </c>
      <c r="BX73" s="322">
        <v>43227.519999999997</v>
      </c>
      <c r="BY73" s="322">
        <v>21899.43</v>
      </c>
      <c r="BZ73" s="322">
        <v>69799.64</v>
      </c>
      <c r="CA73" s="322">
        <v>39483.019999999997</v>
      </c>
      <c r="CB73" s="322">
        <v>63776.67</v>
      </c>
      <c r="CC73" s="322">
        <v>21340.97</v>
      </c>
      <c r="CD73" s="322">
        <v>70605.540000000008</v>
      </c>
      <c r="CE73" s="322">
        <v>151724.12</v>
      </c>
      <c r="CF73" s="322">
        <v>201077.66</v>
      </c>
      <c r="CG73" s="322">
        <v>42857.039999999994</v>
      </c>
      <c r="CH73" s="322">
        <v>129026.54000000001</v>
      </c>
      <c r="CI73" s="322">
        <v>40045.799999999996</v>
      </c>
      <c r="CJ73" s="322">
        <v>98892.03</v>
      </c>
      <c r="CK73" s="322">
        <v>35404.959999999999</v>
      </c>
      <c r="CL73" s="322">
        <v>129097.45000000001</v>
      </c>
      <c r="CM73" s="322">
        <v>33709.43</v>
      </c>
      <c r="CN73" s="322">
        <v>108206.43000000001</v>
      </c>
      <c r="CO73" s="322"/>
      <c r="CP73" s="322"/>
      <c r="CQ73" s="322"/>
      <c r="CR73" s="334"/>
      <c r="CS73" s="322" t="s">
        <v>55</v>
      </c>
      <c r="CT73" s="322">
        <v>141519.96</v>
      </c>
      <c r="CU73" s="322">
        <v>224660.64</v>
      </c>
      <c r="CV73" s="322">
        <v>345820.15999999997</v>
      </c>
      <c r="CW73" s="322">
        <v>131396.57999999999</v>
      </c>
      <c r="CX73" s="322">
        <v>191949.01</v>
      </c>
      <c r="CY73" s="322">
        <v>138190.57</v>
      </c>
      <c r="CZ73" s="322">
        <v>297624.46000000002</v>
      </c>
      <c r="DA73" s="322">
        <v>170727.76</v>
      </c>
      <c r="DB73" s="322">
        <v>161938.34</v>
      </c>
      <c r="DC73" s="322">
        <v>434190.59</v>
      </c>
      <c r="DD73" s="322">
        <v>405595.04000000004</v>
      </c>
      <c r="DE73" s="322">
        <v>1017138.97</v>
      </c>
      <c r="DF73" s="322">
        <v>322180</v>
      </c>
      <c r="DG73" s="322">
        <v>238895.97</v>
      </c>
      <c r="DH73" s="322">
        <v>881548.4</v>
      </c>
      <c r="DI73" s="322">
        <v>485586.25</v>
      </c>
      <c r="DJ73" s="322">
        <v>210206.56</v>
      </c>
      <c r="DK73" s="322">
        <v>226668.84</v>
      </c>
      <c r="DL73" s="322">
        <v>326446.19999999995</v>
      </c>
      <c r="DM73" s="322"/>
      <c r="DN73" s="322"/>
      <c r="DO73" s="322"/>
      <c r="DP73" s="334"/>
      <c r="DQ73" s="322" t="s">
        <v>55</v>
      </c>
      <c r="DR73" s="322">
        <v>31448.880000000001</v>
      </c>
      <c r="DS73" s="322">
        <v>74886.880000000005</v>
      </c>
      <c r="DT73" s="322">
        <v>86455.039999999994</v>
      </c>
      <c r="DU73" s="322">
        <v>153296.01</v>
      </c>
      <c r="DV73" s="322">
        <v>157049.19</v>
      </c>
      <c r="DW73" s="322">
        <v>177673.59</v>
      </c>
      <c r="DX73" s="322">
        <v>191330.01</v>
      </c>
      <c r="DY73" s="322">
        <v>213409.7</v>
      </c>
      <c r="DZ73" s="322">
        <v>230297.64</v>
      </c>
      <c r="EA73" s="322">
        <v>273772.97000000003</v>
      </c>
      <c r="EB73" s="322">
        <v>282668.94</v>
      </c>
      <c r="EC73" s="322">
        <v>290564.38</v>
      </c>
      <c r="ED73" s="322">
        <v>292366.58</v>
      </c>
      <c r="EE73" s="322">
        <v>268214.3</v>
      </c>
      <c r="EF73" s="322">
        <v>300611.7</v>
      </c>
      <c r="EG73" s="322">
        <v>337714.22000000003</v>
      </c>
      <c r="EH73" s="322">
        <v>336395.36</v>
      </c>
      <c r="EI73" s="322">
        <v>317818.24000000005</v>
      </c>
      <c r="EJ73" s="322">
        <v>339117.92999999993</v>
      </c>
      <c r="EK73" s="322"/>
      <c r="EL73" s="322"/>
      <c r="EM73" s="322"/>
      <c r="EN73" s="334"/>
      <c r="EO73" s="322" t="s">
        <v>55</v>
      </c>
      <c r="EP73" s="322">
        <v>62897.760000000002</v>
      </c>
      <c r="EQ73" s="322">
        <v>74886.880000000005</v>
      </c>
      <c r="ER73" s="322">
        <v>64841.279999999999</v>
      </c>
      <c r="ES73" s="322">
        <v>65698.289999999994</v>
      </c>
      <c r="ET73" s="322">
        <v>69799.64</v>
      </c>
      <c r="EU73" s="322">
        <v>78966.039999999994</v>
      </c>
      <c r="EV73" s="322">
        <v>63776.67</v>
      </c>
      <c r="EW73" s="322">
        <v>85363.88</v>
      </c>
      <c r="EX73" s="322">
        <v>75039.86</v>
      </c>
      <c r="EY73" s="322">
        <v>85444.07</v>
      </c>
      <c r="EZ73" s="322">
        <v>91004.85</v>
      </c>
      <c r="FA73" s="322">
        <v>136614.16</v>
      </c>
      <c r="FB73" s="322">
        <v>149696.53999999998</v>
      </c>
      <c r="FC73" s="322">
        <v>132029.68</v>
      </c>
      <c r="FD73" s="322">
        <v>131686.51</v>
      </c>
      <c r="FE73" s="322">
        <v>143096.18</v>
      </c>
      <c r="FF73" s="322">
        <v>141232.24</v>
      </c>
      <c r="FG73" s="322">
        <v>153434.23000000001</v>
      </c>
      <c r="FH73" s="322">
        <v>149136.25</v>
      </c>
      <c r="FI73" s="322"/>
      <c r="FJ73" s="322"/>
      <c r="FK73" s="322"/>
      <c r="FL73" s="334"/>
      <c r="FM73" s="322" t="s">
        <v>55</v>
      </c>
      <c r="FN73" s="322">
        <v>0</v>
      </c>
      <c r="FO73" s="322">
        <v>0</v>
      </c>
      <c r="FP73" s="322">
        <v>0</v>
      </c>
      <c r="FQ73" s="322">
        <v>0</v>
      </c>
      <c r="FR73" s="322">
        <v>0</v>
      </c>
      <c r="FS73" s="322">
        <v>0</v>
      </c>
      <c r="FT73" s="322">
        <v>0</v>
      </c>
      <c r="FU73" s="322">
        <v>0</v>
      </c>
      <c r="FV73" s="322">
        <v>0</v>
      </c>
      <c r="FW73" s="322">
        <v>0</v>
      </c>
      <c r="FX73" s="322">
        <v>0</v>
      </c>
      <c r="FY73" s="322">
        <v>0</v>
      </c>
      <c r="FZ73" s="322">
        <v>0</v>
      </c>
      <c r="GA73" s="322">
        <v>0</v>
      </c>
      <c r="GB73" s="322">
        <v>0</v>
      </c>
      <c r="GC73" s="322">
        <v>0</v>
      </c>
      <c r="GD73" s="322">
        <v>0</v>
      </c>
      <c r="GE73" s="322">
        <v>0</v>
      </c>
      <c r="GF73" s="340">
        <v>0</v>
      </c>
      <c r="GG73" s="704"/>
      <c r="GH73" s="704"/>
      <c r="GI73" s="704"/>
      <c r="GJ73" s="334"/>
      <c r="GK73" s="322" t="s">
        <v>55</v>
      </c>
      <c r="GL73" s="322">
        <v>62897.760000000002</v>
      </c>
      <c r="GM73" s="322">
        <v>56165.16</v>
      </c>
      <c r="GN73" s="322">
        <v>64841.279999999999</v>
      </c>
      <c r="GO73" s="322">
        <v>65698.289999999994</v>
      </c>
      <c r="GP73" s="322">
        <v>69799.64</v>
      </c>
      <c r="GQ73" s="322">
        <v>78966.039999999994</v>
      </c>
      <c r="GR73" s="322">
        <v>85035.56</v>
      </c>
      <c r="GS73" s="322">
        <v>64022.91</v>
      </c>
      <c r="GT73" s="322">
        <v>69934.020000000019</v>
      </c>
      <c r="GU73" s="322">
        <v>73962.159999999989</v>
      </c>
      <c r="GV73" s="322">
        <v>75315.989999999991</v>
      </c>
      <c r="GW73" s="322">
        <v>91032.84</v>
      </c>
      <c r="GX73" s="322">
        <v>89997.37</v>
      </c>
      <c r="GY73" s="322">
        <v>89291.72</v>
      </c>
      <c r="GZ73" s="322">
        <v>92493.47</v>
      </c>
      <c r="HA73" s="322">
        <v>94199.510000000009</v>
      </c>
      <c r="HB73" s="322">
        <v>96858.280000000013</v>
      </c>
      <c r="HC73" s="322">
        <v>103568.1</v>
      </c>
      <c r="HD73" s="322">
        <v>98760.11</v>
      </c>
      <c r="HE73" s="322"/>
      <c r="HF73" s="322"/>
      <c r="HG73" s="322"/>
      <c r="HH73" s="334"/>
      <c r="HI73" s="322" t="s">
        <v>55</v>
      </c>
      <c r="HJ73" s="322">
        <v>31448.880000000001</v>
      </c>
      <c r="HK73" s="322">
        <v>18721.72</v>
      </c>
      <c r="HL73" s="322">
        <v>21613.759999999998</v>
      </c>
      <c r="HM73" s="322">
        <v>21899.43</v>
      </c>
      <c r="HN73" s="322">
        <v>34899.82</v>
      </c>
      <c r="HO73" s="322">
        <v>39483.019999999997</v>
      </c>
      <c r="HP73" s="322">
        <v>42517.78</v>
      </c>
      <c r="HQ73" s="322">
        <v>21340.97</v>
      </c>
      <c r="HR73" s="322">
        <v>39365.33</v>
      </c>
      <c r="HS73" s="322">
        <v>45585.75</v>
      </c>
      <c r="HT73" s="322">
        <v>40602.949999999997</v>
      </c>
      <c r="HU73" s="322">
        <v>39049.659999999996</v>
      </c>
      <c r="HV73" s="322">
        <v>0</v>
      </c>
      <c r="HW73" s="322">
        <v>0</v>
      </c>
      <c r="HX73" s="322">
        <v>42243.56</v>
      </c>
      <c r="HY73" s="322">
        <v>35130.61</v>
      </c>
      <c r="HZ73" s="322">
        <v>39679.51999999999</v>
      </c>
      <c r="IA73" s="322">
        <v>31229.939999999995</v>
      </c>
      <c r="IB73" s="322">
        <v>29866.610000000004</v>
      </c>
      <c r="IC73" s="322"/>
      <c r="ID73" s="322"/>
      <c r="IE73" s="322"/>
      <c r="IF73" s="334"/>
      <c r="IG73" s="322" t="s">
        <v>55</v>
      </c>
      <c r="IH73" s="322">
        <v>15724.44</v>
      </c>
      <c r="II73" s="322">
        <v>0</v>
      </c>
      <c r="IJ73" s="322">
        <v>21613.759999999998</v>
      </c>
      <c r="IK73" s="322">
        <v>0</v>
      </c>
      <c r="IL73" s="322">
        <v>0</v>
      </c>
      <c r="IM73" s="322">
        <v>0</v>
      </c>
      <c r="IN73" s="322">
        <v>21258.89</v>
      </c>
      <c r="IO73" s="322">
        <v>21340.97</v>
      </c>
      <c r="IP73" s="322">
        <v>9227.85</v>
      </c>
      <c r="IQ73" s="322">
        <v>9262.6899999999987</v>
      </c>
      <c r="IR73" s="322">
        <v>0</v>
      </c>
      <c r="IS73" s="322">
        <v>0</v>
      </c>
      <c r="IT73" s="322">
        <v>44549.850000000006</v>
      </c>
      <c r="IU73" s="322">
        <v>41378.32</v>
      </c>
      <c r="IV73" s="322"/>
      <c r="IW73" s="322"/>
      <c r="IX73" s="322"/>
      <c r="IY73" s="322"/>
      <c r="IZ73" s="322"/>
      <c r="JA73" s="322"/>
      <c r="JB73" s="322"/>
      <c r="JC73" s="322"/>
      <c r="JD73" s="334"/>
      <c r="JE73" s="322" t="s">
        <v>55</v>
      </c>
      <c r="JF73" s="322">
        <v>0</v>
      </c>
      <c r="JG73" s="322">
        <v>0</v>
      </c>
      <c r="JH73" s="322">
        <v>0</v>
      </c>
      <c r="JI73" s="322">
        <v>0</v>
      </c>
      <c r="JJ73" s="322">
        <v>0</v>
      </c>
      <c r="JK73" s="322">
        <v>78966.039999999994</v>
      </c>
      <c r="JL73" s="322">
        <v>21258.89</v>
      </c>
      <c r="JM73" s="322">
        <v>21340.97</v>
      </c>
      <c r="JN73" s="322">
        <v>16936.75</v>
      </c>
      <c r="JO73" s="322">
        <v>9497.74</v>
      </c>
      <c r="JP73" s="322">
        <v>5327.4400000000005</v>
      </c>
      <c r="JQ73" s="322">
        <v>6579.35</v>
      </c>
      <c r="JR73" s="322">
        <v>5416.7100000000009</v>
      </c>
      <c r="JS73" s="322">
        <v>4797.6900000000005</v>
      </c>
      <c r="JT73" s="322">
        <v>5023.84</v>
      </c>
      <c r="JU73" s="322">
        <v>5404.18</v>
      </c>
      <c r="JV73" s="322">
        <v>7199.5300000000007</v>
      </c>
      <c r="JW73" s="322">
        <v>7311.69</v>
      </c>
      <c r="JX73" s="322">
        <v>6167.32</v>
      </c>
      <c r="JY73" s="322"/>
      <c r="JZ73" s="322"/>
      <c r="KA73" s="322"/>
      <c r="KB73" s="334"/>
      <c r="KC73" s="322" t="s">
        <v>55</v>
      </c>
      <c r="KD73" s="322">
        <v>0</v>
      </c>
      <c r="KE73" s="322">
        <v>56165.16</v>
      </c>
      <c r="KF73" s="322">
        <v>43227.519999999997</v>
      </c>
      <c r="KG73" s="322">
        <v>43798.86</v>
      </c>
      <c r="KH73" s="322">
        <v>52349.73</v>
      </c>
      <c r="KI73" s="322">
        <v>59224.53</v>
      </c>
      <c r="KJ73" s="322">
        <v>21258.89</v>
      </c>
      <c r="KK73" s="322">
        <v>21340.97</v>
      </c>
      <c r="KL73" s="322">
        <v>26466.010000000002</v>
      </c>
      <c r="KM73" s="322">
        <v>30875.17</v>
      </c>
      <c r="KN73" s="322">
        <v>32316.92</v>
      </c>
      <c r="KO73" s="322">
        <v>33465.49</v>
      </c>
      <c r="KP73" s="322">
        <v>33768.979999999996</v>
      </c>
      <c r="KQ73" s="322">
        <v>34432.92</v>
      </c>
      <c r="KR73" s="322">
        <v>35391.549999999996</v>
      </c>
      <c r="KS73" s="322">
        <v>36376.639999999999</v>
      </c>
      <c r="KT73" s="322">
        <v>36830.520000000004</v>
      </c>
      <c r="KU73" s="322">
        <v>48574.68</v>
      </c>
      <c r="KV73" s="322">
        <v>50033.7</v>
      </c>
      <c r="KW73" s="322"/>
      <c r="KX73" s="322"/>
      <c r="KY73" s="322"/>
      <c r="KZ73" s="334"/>
      <c r="LA73" s="322" t="s">
        <v>55</v>
      </c>
      <c r="LB73" s="322">
        <v>125795.52</v>
      </c>
      <c r="LC73" s="322">
        <v>149773.76000000001</v>
      </c>
      <c r="LD73" s="322">
        <v>194523.84</v>
      </c>
      <c r="LE73" s="322">
        <v>153296.01</v>
      </c>
      <c r="LF73" s="322">
        <v>157049.19</v>
      </c>
      <c r="LG73" s="322">
        <v>177673.59</v>
      </c>
      <c r="LH73" s="322">
        <v>148812.23000000001</v>
      </c>
      <c r="LI73" s="322">
        <v>213409.7</v>
      </c>
      <c r="LJ73" s="322">
        <v>312273.74</v>
      </c>
      <c r="LK73" s="322">
        <v>290104.65000000002</v>
      </c>
      <c r="LL73" s="322">
        <v>278531.64</v>
      </c>
      <c r="LM73" s="322">
        <v>340186.06</v>
      </c>
      <c r="LN73" s="322">
        <v>292492.83</v>
      </c>
      <c r="LO73" s="322">
        <v>776993.34999999986</v>
      </c>
      <c r="LP73" s="322">
        <v>299292.58</v>
      </c>
      <c r="LQ73" s="322">
        <v>312119.33</v>
      </c>
      <c r="LR73" s="322">
        <v>518047.19000000006</v>
      </c>
      <c r="LS73" s="322">
        <v>562906.66000000015</v>
      </c>
      <c r="LT73" s="322">
        <v>273896.01</v>
      </c>
      <c r="LU73" s="322"/>
      <c r="LV73" s="322"/>
      <c r="LW73" s="322"/>
      <c r="LX73" s="334"/>
      <c r="LY73" s="322" t="s">
        <v>55</v>
      </c>
      <c r="LZ73" s="322">
        <v>267315.48</v>
      </c>
      <c r="MA73" s="322">
        <v>280825.8</v>
      </c>
      <c r="MB73" s="322">
        <v>302592.64000000001</v>
      </c>
      <c r="MC73" s="322">
        <v>306592.02</v>
      </c>
      <c r="MD73" s="322">
        <v>331548.28999999998</v>
      </c>
      <c r="ME73" s="322">
        <v>315864.15999999997</v>
      </c>
      <c r="MF73" s="322">
        <v>340142.24</v>
      </c>
      <c r="MG73" s="322">
        <v>362796.49</v>
      </c>
      <c r="MH73" s="322">
        <v>371093.43</v>
      </c>
      <c r="MI73" s="322">
        <v>455367.02000000008</v>
      </c>
      <c r="MJ73" s="322">
        <v>427849.16</v>
      </c>
      <c r="MK73" s="322">
        <v>471318.81</v>
      </c>
      <c r="ML73" s="322">
        <v>454629.11999999988</v>
      </c>
      <c r="MM73" s="322">
        <v>447761.85000000003</v>
      </c>
      <c r="MN73" s="322">
        <v>554771.18999999994</v>
      </c>
      <c r="MO73" s="322">
        <v>619452.26</v>
      </c>
      <c r="MP73" s="322">
        <v>632562.61999999988</v>
      </c>
      <c r="MQ73" s="322">
        <v>643436.41</v>
      </c>
      <c r="MR73" s="322">
        <v>659491.99000000011</v>
      </c>
      <c r="MS73" s="322"/>
      <c r="MT73" s="322"/>
      <c r="MU73" s="322"/>
      <c r="MV73" s="334"/>
      <c r="MW73" s="322" t="s">
        <v>55</v>
      </c>
      <c r="MX73" s="322">
        <v>172968.84</v>
      </c>
      <c r="MY73" s="322">
        <v>187217.2</v>
      </c>
      <c r="MZ73" s="322">
        <v>216137.60000000001</v>
      </c>
      <c r="NA73" s="322">
        <v>218994.3</v>
      </c>
      <c r="NB73" s="322">
        <v>226848.83</v>
      </c>
      <c r="NC73" s="322">
        <v>236898.12</v>
      </c>
      <c r="ND73" s="322">
        <v>276365.57</v>
      </c>
      <c r="NE73" s="322">
        <v>341455.52</v>
      </c>
      <c r="NF73" s="322">
        <v>364666.05000000005</v>
      </c>
      <c r="NG73" s="322">
        <v>386957.46</v>
      </c>
      <c r="NH73" s="322">
        <v>405431.39999999997</v>
      </c>
      <c r="NI73" s="322">
        <v>423255.99999999994</v>
      </c>
      <c r="NJ73" s="322">
        <v>431242.26999999996</v>
      </c>
      <c r="NK73" s="322">
        <v>442162.26</v>
      </c>
      <c r="NL73" s="322">
        <v>357722.74</v>
      </c>
      <c r="NM73" s="322">
        <v>382796.0799999999</v>
      </c>
      <c r="NN73" s="322">
        <v>346227.65</v>
      </c>
      <c r="NO73" s="322">
        <v>388891.01000000007</v>
      </c>
      <c r="NP73" s="322">
        <v>404368.69999999995</v>
      </c>
      <c r="NQ73" s="322"/>
      <c r="NR73" s="322"/>
      <c r="NS73" s="322"/>
      <c r="NT73" s="334"/>
      <c r="NU73" s="322" t="s">
        <v>55</v>
      </c>
      <c r="NV73" s="322">
        <v>110071.08</v>
      </c>
      <c r="NW73" s="322">
        <v>112330.32</v>
      </c>
      <c r="NX73" s="322">
        <v>108068.8</v>
      </c>
      <c r="NY73" s="322">
        <v>131396.57999999999</v>
      </c>
      <c r="NZ73" s="322">
        <v>122149.37</v>
      </c>
      <c r="OA73" s="322">
        <v>138190.57</v>
      </c>
      <c r="OB73" s="322">
        <v>127553.34</v>
      </c>
      <c r="OC73" s="322">
        <v>149386.79</v>
      </c>
      <c r="OD73" s="322">
        <v>140504.54</v>
      </c>
      <c r="OE73" s="322">
        <v>144520.51999999999</v>
      </c>
      <c r="OF73" s="322">
        <v>137073.45000000001</v>
      </c>
      <c r="OG73" s="322">
        <v>209159.45</v>
      </c>
      <c r="OH73" s="322">
        <v>233862.73999999996</v>
      </c>
      <c r="OI73" s="322">
        <v>195936.03000000003</v>
      </c>
      <c r="OJ73" s="322">
        <v>197283.71</v>
      </c>
      <c r="OK73" s="322">
        <v>193333.65</v>
      </c>
      <c r="OL73" s="322">
        <v>204324.18000000002</v>
      </c>
      <c r="OM73" s="322">
        <v>200188.7</v>
      </c>
      <c r="ON73" s="322">
        <v>205306.74000000002</v>
      </c>
      <c r="OO73" s="322"/>
      <c r="OP73" s="322"/>
      <c r="OQ73" s="322"/>
      <c r="OR73" s="334"/>
      <c r="OS73" s="322" t="s">
        <v>55</v>
      </c>
      <c r="OT73" s="322">
        <v>78622.2</v>
      </c>
      <c r="OU73" s="322">
        <v>93608.6</v>
      </c>
      <c r="OV73" s="322">
        <v>129682.56</v>
      </c>
      <c r="OW73" s="322">
        <v>109497.15</v>
      </c>
      <c r="OX73" s="322">
        <v>69799.64</v>
      </c>
      <c r="OY73" s="322">
        <v>98707.55</v>
      </c>
      <c r="OZ73" s="322">
        <v>127553.34</v>
      </c>
      <c r="PA73" s="322">
        <v>64022.91</v>
      </c>
      <c r="PB73" s="322">
        <v>46852.209999999992</v>
      </c>
      <c r="PC73" s="322">
        <v>60665.570000000007</v>
      </c>
      <c r="PD73" s="322">
        <v>50480.060000000005</v>
      </c>
      <c r="PE73" s="322">
        <v>46236.99</v>
      </c>
      <c r="PF73" s="322">
        <v>48793.35</v>
      </c>
      <c r="PG73" s="322">
        <v>49485.83</v>
      </c>
      <c r="PH73" s="322">
        <v>40247.439999999995</v>
      </c>
      <c r="PI73" s="322">
        <v>49678.18</v>
      </c>
      <c r="PJ73" s="322">
        <v>46407.88</v>
      </c>
      <c r="PK73" s="322">
        <v>49328.54</v>
      </c>
      <c r="PL73" s="322">
        <v>67114.53</v>
      </c>
      <c r="PM73" s="322"/>
      <c r="PN73" s="322"/>
      <c r="PO73" s="322"/>
      <c r="PP73" s="334"/>
      <c r="PQ73" s="322" t="s">
        <v>55</v>
      </c>
      <c r="PR73" s="322">
        <v>15724.44</v>
      </c>
      <c r="PS73" s="322">
        <v>18721.72</v>
      </c>
      <c r="PT73" s="322">
        <v>21613.759999999998</v>
      </c>
      <c r="PU73" s="322">
        <v>21899.43</v>
      </c>
      <c r="PV73" s="322">
        <v>17449.91</v>
      </c>
      <c r="PW73" s="322">
        <v>19741.509999999998</v>
      </c>
      <c r="PX73" s="322">
        <v>21258.89</v>
      </c>
      <c r="PY73" s="322">
        <v>21340.97</v>
      </c>
      <c r="PZ73" s="322">
        <v>23142.799999999999</v>
      </c>
      <c r="QA73" s="322">
        <v>21507.279999999999</v>
      </c>
      <c r="QB73" s="322">
        <v>26533.5</v>
      </c>
      <c r="QC73" s="322">
        <v>25335.24</v>
      </c>
      <c r="QD73" s="322">
        <v>30130.21</v>
      </c>
      <c r="QE73" s="322">
        <v>23821.66</v>
      </c>
      <c r="QF73" s="322">
        <v>24089.67</v>
      </c>
      <c r="QG73" s="322">
        <v>27612.13</v>
      </c>
      <c r="QH73" s="322">
        <v>33626.160000000003</v>
      </c>
      <c r="QI73" s="322">
        <v>31502.77</v>
      </c>
      <c r="QJ73" s="322">
        <v>37552.040000000008</v>
      </c>
      <c r="QK73" s="322"/>
      <c r="QL73" s="322"/>
      <c r="QM73" s="322"/>
      <c r="QN73" s="334"/>
      <c r="QO73" s="322" t="s">
        <v>55</v>
      </c>
      <c r="QP73" s="322">
        <v>0</v>
      </c>
      <c r="QQ73" s="322">
        <v>0</v>
      </c>
      <c r="QR73" s="322">
        <v>0</v>
      </c>
      <c r="QS73" s="322">
        <v>0</v>
      </c>
      <c r="QT73" s="322">
        <v>0</v>
      </c>
      <c r="QU73" s="322">
        <v>0</v>
      </c>
      <c r="QV73" s="322">
        <v>0</v>
      </c>
      <c r="QW73" s="322">
        <v>0</v>
      </c>
      <c r="QX73" s="322">
        <v>2000</v>
      </c>
      <c r="QY73" s="322">
        <v>5000</v>
      </c>
      <c r="QZ73" s="322">
        <v>5000</v>
      </c>
      <c r="RA73" s="322">
        <v>7550</v>
      </c>
      <c r="RB73" s="322">
        <v>4000</v>
      </c>
      <c r="RC73" s="322">
        <v>0</v>
      </c>
      <c r="RD73" s="322">
        <v>5583</v>
      </c>
      <c r="RE73" s="322">
        <v>5583</v>
      </c>
      <c r="RF73" s="322">
        <v>7500</v>
      </c>
      <c r="RG73" s="322">
        <v>13100</v>
      </c>
      <c r="RH73" s="322">
        <v>13000</v>
      </c>
      <c r="RI73" s="322"/>
      <c r="RJ73" s="322"/>
      <c r="RK73" s="322"/>
      <c r="RL73" s="334"/>
      <c r="RM73" s="322" t="s">
        <v>55</v>
      </c>
      <c r="RN73" s="322">
        <v>235866.6</v>
      </c>
      <c r="RO73" s="322">
        <v>336990.96</v>
      </c>
      <c r="RP73" s="322">
        <v>345820.15999999997</v>
      </c>
      <c r="RQ73" s="322">
        <v>569385.18000000005</v>
      </c>
      <c r="RR73" s="322">
        <v>0</v>
      </c>
      <c r="RS73" s="322">
        <v>98707.55</v>
      </c>
      <c r="RT73" s="322">
        <v>106294.45</v>
      </c>
      <c r="RU73" s="322">
        <v>149386.79</v>
      </c>
      <c r="RV73" s="322">
        <v>250000</v>
      </c>
      <c r="RW73" s="322">
        <v>250000</v>
      </c>
      <c r="RX73" s="322">
        <v>250000</v>
      </c>
      <c r="RY73" s="322">
        <v>1667443.48</v>
      </c>
      <c r="RZ73" s="322">
        <v>250000</v>
      </c>
      <c r="SA73" s="322">
        <v>500000</v>
      </c>
      <c r="SB73" s="322">
        <v>250000</v>
      </c>
      <c r="SC73" s="322">
        <v>250000</v>
      </c>
      <c r="SD73" s="322">
        <v>283082</v>
      </c>
      <c r="SE73" s="322">
        <v>250000</v>
      </c>
      <c r="SF73" s="322">
        <v>562526</v>
      </c>
      <c r="SG73" s="322"/>
      <c r="SH73" s="322"/>
      <c r="SI73" s="322"/>
    </row>
    <row r="74" spans="1:503">
      <c r="A74" s="319" t="s">
        <v>56</v>
      </c>
      <c r="B74" s="319">
        <v>900154</v>
      </c>
      <c r="C74" s="319">
        <v>898573</v>
      </c>
      <c r="D74" s="319">
        <v>1031067</v>
      </c>
      <c r="E74" s="319">
        <v>1013114</v>
      </c>
      <c r="F74" s="319">
        <v>1073594</v>
      </c>
      <c r="G74" s="319">
        <v>1039795</v>
      </c>
      <c r="H74" s="319">
        <v>1087142</v>
      </c>
      <c r="I74" s="319">
        <v>1105709</v>
      </c>
      <c r="J74" s="319">
        <v>1225140.54</v>
      </c>
      <c r="K74" s="319">
        <v>1223545.9300000002</v>
      </c>
      <c r="L74" s="319">
        <v>1306534.98</v>
      </c>
      <c r="M74" s="319">
        <v>1441907.3199999998</v>
      </c>
      <c r="N74" s="319">
        <v>1382491.73</v>
      </c>
      <c r="O74" s="319">
        <v>1265624.21</v>
      </c>
      <c r="P74" s="319">
        <v>1239991.9300000002</v>
      </c>
      <c r="Q74" s="319">
        <v>1211323.3199999998</v>
      </c>
      <c r="R74" s="319">
        <v>1285280.47</v>
      </c>
      <c r="S74" s="322">
        <v>1325044.69</v>
      </c>
      <c r="T74" s="319">
        <v>1056487.8999999999</v>
      </c>
      <c r="U74" s="319">
        <v>1096467.96</v>
      </c>
      <c r="V74" s="319">
        <v>1301067.18</v>
      </c>
      <c r="W74" s="319">
        <v>1442727.44</v>
      </c>
      <c r="X74" s="330"/>
      <c r="Y74" s="319" t="s">
        <v>56</v>
      </c>
      <c r="Z74" s="319">
        <v>54009.24</v>
      </c>
      <c r="AA74" s="319">
        <v>53914.38</v>
      </c>
      <c r="AB74" s="319">
        <v>51553.35</v>
      </c>
      <c r="AC74" s="319">
        <v>70917.98</v>
      </c>
      <c r="AD74" s="319">
        <v>75151.58</v>
      </c>
      <c r="AE74" s="319">
        <v>72785.649999999994</v>
      </c>
      <c r="AF74" s="319">
        <v>72785.649999999994</v>
      </c>
      <c r="AG74" s="319">
        <v>77399.63</v>
      </c>
      <c r="AH74" s="319">
        <v>75225.81</v>
      </c>
      <c r="AI74" s="319">
        <v>78740.329999999987</v>
      </c>
      <c r="AJ74" s="319">
        <v>76568.25</v>
      </c>
      <c r="AK74" s="319">
        <v>77222.350000000006</v>
      </c>
      <c r="AL74" s="319">
        <v>76185.55</v>
      </c>
      <c r="AM74" s="319">
        <v>31342.83</v>
      </c>
      <c r="AN74" s="319">
        <v>30995.69</v>
      </c>
      <c r="AO74" s="319">
        <v>28887.7</v>
      </c>
      <c r="AP74" s="319">
        <v>29683.8</v>
      </c>
      <c r="AQ74" s="322">
        <v>55399.15</v>
      </c>
      <c r="AR74" s="319">
        <v>79268.599999999991</v>
      </c>
      <c r="AS74" s="319">
        <v>79484.72</v>
      </c>
      <c r="AT74" s="319">
        <v>81832.990000000005</v>
      </c>
      <c r="AU74" s="319">
        <v>81850</v>
      </c>
      <c r="AV74" s="334"/>
      <c r="AW74" s="319" t="s">
        <v>56</v>
      </c>
      <c r="AX74" s="319">
        <v>81013.86</v>
      </c>
      <c r="AY74" s="319">
        <v>62900.110000000008</v>
      </c>
      <c r="AZ74" s="319">
        <v>61864.02</v>
      </c>
      <c r="BA74" s="319">
        <v>81049.119999999995</v>
      </c>
      <c r="BB74" s="319">
        <v>85887.52</v>
      </c>
      <c r="BC74" s="319">
        <v>72785.650000000009</v>
      </c>
      <c r="BD74" s="319">
        <v>76099.94</v>
      </c>
      <c r="BE74" s="319">
        <v>77399.63</v>
      </c>
      <c r="BF74" s="319">
        <v>94877.37</v>
      </c>
      <c r="BG74" s="319">
        <v>84632.51</v>
      </c>
      <c r="BH74" s="319">
        <v>90969.89</v>
      </c>
      <c r="BI74" s="319">
        <v>84537.189999999988</v>
      </c>
      <c r="BJ74" s="319">
        <v>92017.74</v>
      </c>
      <c r="BK74" s="319">
        <v>78064.950000000012</v>
      </c>
      <c r="BL74" s="319">
        <v>83703.44</v>
      </c>
      <c r="BM74" s="319">
        <v>83775.33</v>
      </c>
      <c r="BN74" s="319">
        <v>83905.489999999991</v>
      </c>
      <c r="BO74" s="322">
        <v>88689.59</v>
      </c>
      <c r="BP74" s="319">
        <v>89544.68</v>
      </c>
      <c r="BQ74" s="319">
        <v>86075.499999999985</v>
      </c>
      <c r="BR74" s="319">
        <v>92945.3</v>
      </c>
      <c r="BS74" s="319">
        <v>96805.260000000009</v>
      </c>
      <c r="BT74" s="334"/>
      <c r="BU74" s="322" t="s">
        <v>56</v>
      </c>
      <c r="BV74" s="322">
        <v>27004.62</v>
      </c>
      <c r="BW74" s="322">
        <v>8985.73</v>
      </c>
      <c r="BX74" s="322">
        <v>30932.01</v>
      </c>
      <c r="BY74" s="322">
        <v>10131.14</v>
      </c>
      <c r="BZ74" s="322">
        <v>42943.76</v>
      </c>
      <c r="CA74" s="322">
        <v>10397.950000000001</v>
      </c>
      <c r="CB74" s="322">
        <v>32614.26</v>
      </c>
      <c r="CC74" s="322">
        <v>11057.09</v>
      </c>
      <c r="CD74" s="322">
        <v>47524.630000000005</v>
      </c>
      <c r="CE74" s="322">
        <v>10881.76</v>
      </c>
      <c r="CF74" s="322">
        <v>40187.32</v>
      </c>
      <c r="CG74" s="322">
        <v>14025.1</v>
      </c>
      <c r="CH74" s="322">
        <v>53100.61</v>
      </c>
      <c r="CI74" s="322">
        <v>9497.33</v>
      </c>
      <c r="CJ74" s="322">
        <v>54134.64</v>
      </c>
      <c r="CK74" s="322">
        <v>18949.329999999998</v>
      </c>
      <c r="CL74" s="322">
        <v>74997.76999999999</v>
      </c>
      <c r="CM74" s="322">
        <v>44893.26</v>
      </c>
      <c r="CN74" s="322">
        <v>65788.490000000005</v>
      </c>
      <c r="CO74" s="322">
        <v>35378.160000000003</v>
      </c>
      <c r="CP74" s="322">
        <v>62165.42</v>
      </c>
      <c r="CQ74" s="322">
        <v>27735</v>
      </c>
      <c r="CR74" s="334"/>
      <c r="CS74" s="322" t="s">
        <v>56</v>
      </c>
      <c r="CT74" s="322">
        <v>27004.62</v>
      </c>
      <c r="CU74" s="322">
        <v>35942.92</v>
      </c>
      <c r="CV74" s="322">
        <v>30932.01</v>
      </c>
      <c r="CW74" s="322">
        <v>30393.42</v>
      </c>
      <c r="CX74" s="322">
        <v>32207.82</v>
      </c>
      <c r="CY74" s="322">
        <v>31193.85</v>
      </c>
      <c r="CZ74" s="322">
        <v>32614.26</v>
      </c>
      <c r="DA74" s="322">
        <v>33171.269999999997</v>
      </c>
      <c r="DB74" s="322">
        <v>42343.700000000004</v>
      </c>
      <c r="DC74" s="322">
        <v>43348.829999999994</v>
      </c>
      <c r="DD74" s="322">
        <v>36402.06</v>
      </c>
      <c r="DE74" s="322">
        <v>48332.69</v>
      </c>
      <c r="DF74" s="322">
        <v>47368.34</v>
      </c>
      <c r="DG74" s="322">
        <v>49579.579999999994</v>
      </c>
      <c r="DH74" s="322">
        <v>52514.400000000001</v>
      </c>
      <c r="DI74" s="322">
        <v>59056.369999999995</v>
      </c>
      <c r="DJ74" s="322">
        <v>55056.34</v>
      </c>
      <c r="DK74" s="322">
        <v>59593.62</v>
      </c>
      <c r="DL74" s="322">
        <v>58803.289999999994</v>
      </c>
      <c r="DM74" s="322">
        <v>54174.34</v>
      </c>
      <c r="DN74" s="322">
        <v>49870.3</v>
      </c>
      <c r="DO74" s="322">
        <v>64087</v>
      </c>
      <c r="DP74" s="334"/>
      <c r="DQ74" s="322" t="s">
        <v>56</v>
      </c>
      <c r="DR74" s="322">
        <v>81013.86</v>
      </c>
      <c r="DS74" s="322">
        <v>107828.76</v>
      </c>
      <c r="DT74" s="322">
        <v>103106.7</v>
      </c>
      <c r="DU74" s="322">
        <v>101311.4</v>
      </c>
      <c r="DV74" s="322">
        <v>107359.4</v>
      </c>
      <c r="DW74" s="322">
        <v>114377.45</v>
      </c>
      <c r="DX74" s="322">
        <v>130457.04</v>
      </c>
      <c r="DY74" s="322">
        <v>132685.07999999999</v>
      </c>
      <c r="DZ74" s="322">
        <v>144057.27999999997</v>
      </c>
      <c r="EA74" s="322">
        <v>165178.87000000002</v>
      </c>
      <c r="EB74" s="322">
        <v>177562.86</v>
      </c>
      <c r="EC74" s="322">
        <v>184285.31000000003</v>
      </c>
      <c r="ED74" s="322">
        <v>193605.84000000003</v>
      </c>
      <c r="EE74" s="322">
        <v>167321.41</v>
      </c>
      <c r="EF74" s="322">
        <v>163443.12999999998</v>
      </c>
      <c r="EG74" s="322">
        <v>160548.29</v>
      </c>
      <c r="EH74" s="322">
        <v>171798.02</v>
      </c>
      <c r="EI74" s="322">
        <v>191085.99</v>
      </c>
      <c r="EJ74" s="322">
        <v>143094.76999999999</v>
      </c>
      <c r="EK74" s="322">
        <v>156479.47999999998</v>
      </c>
      <c r="EL74" s="322">
        <v>183136.75999999998</v>
      </c>
      <c r="EM74" s="322">
        <v>188395</v>
      </c>
      <c r="EN74" s="334"/>
      <c r="EO74" s="322" t="s">
        <v>56</v>
      </c>
      <c r="EP74" s="322">
        <v>27004.62</v>
      </c>
      <c r="EQ74" s="322">
        <v>17971.46</v>
      </c>
      <c r="ER74" s="322">
        <v>20621.34</v>
      </c>
      <c r="ES74" s="322">
        <v>30393.42</v>
      </c>
      <c r="ET74" s="322">
        <v>32207.82</v>
      </c>
      <c r="EU74" s="322">
        <v>31193.85</v>
      </c>
      <c r="EV74" s="322">
        <v>21742.84</v>
      </c>
      <c r="EW74" s="322">
        <v>33171.269999999997</v>
      </c>
      <c r="EX74" s="322">
        <v>27126.190000000002</v>
      </c>
      <c r="EY74" s="322">
        <v>26840.84</v>
      </c>
      <c r="EZ74" s="322">
        <v>27529.41</v>
      </c>
      <c r="FA74" s="322">
        <v>36529.279999999999</v>
      </c>
      <c r="FB74" s="322">
        <v>39478.49</v>
      </c>
      <c r="FC74" s="322">
        <v>36465.369999999995</v>
      </c>
      <c r="FD74" s="322">
        <v>36974.649999999994</v>
      </c>
      <c r="FE74" s="322">
        <v>36339.11</v>
      </c>
      <c r="FF74" s="322">
        <v>37443.919999999998</v>
      </c>
      <c r="FG74" s="322">
        <v>38810.39</v>
      </c>
      <c r="FH74" s="322">
        <v>39230.660000000003</v>
      </c>
      <c r="FI74" s="322">
        <v>39254.35</v>
      </c>
      <c r="FJ74" s="322">
        <v>40888.42</v>
      </c>
      <c r="FK74" s="322">
        <v>43900</v>
      </c>
      <c r="FL74" s="334"/>
      <c r="FM74" s="322" t="s">
        <v>56</v>
      </c>
      <c r="FN74" s="322">
        <v>63010.78</v>
      </c>
      <c r="FO74" s="322">
        <v>53914.38</v>
      </c>
      <c r="FP74" s="322">
        <v>51553.35</v>
      </c>
      <c r="FQ74" s="322">
        <v>70917.98</v>
      </c>
      <c r="FR74" s="322">
        <v>64415.64</v>
      </c>
      <c r="FS74" s="322">
        <v>72785.649999999994</v>
      </c>
      <c r="FT74" s="322">
        <v>65228.52</v>
      </c>
      <c r="FU74" s="322">
        <v>77399.63</v>
      </c>
      <c r="FV74" s="322">
        <v>81151.179999999993</v>
      </c>
      <c r="FW74" s="322">
        <v>67281.61</v>
      </c>
      <c r="FX74" s="322">
        <v>67546.559999999998</v>
      </c>
      <c r="FY74" s="322">
        <v>70108.94</v>
      </c>
      <c r="FZ74" s="322">
        <v>68157.069999999992</v>
      </c>
      <c r="GA74" s="322">
        <v>69217.06</v>
      </c>
      <c r="GB74" s="322">
        <v>65516.6</v>
      </c>
      <c r="GC74" s="322">
        <v>70267.44</v>
      </c>
      <c r="GD74" s="322">
        <v>71867.41</v>
      </c>
      <c r="GE74" s="322">
        <v>73956.22</v>
      </c>
      <c r="GF74" s="340">
        <v>74680.89</v>
      </c>
      <c r="GG74" s="704">
        <v>76001.429999999993</v>
      </c>
      <c r="GH74" s="704">
        <v>79680.399999999994</v>
      </c>
      <c r="GI74" s="704">
        <v>81678</v>
      </c>
      <c r="GJ74" s="334"/>
      <c r="GK74" s="322" t="s">
        <v>56</v>
      </c>
      <c r="GL74" s="322">
        <v>27004.62</v>
      </c>
      <c r="GM74" s="322">
        <v>26957.19</v>
      </c>
      <c r="GN74" s="322">
        <v>30932.01</v>
      </c>
      <c r="GO74" s="322">
        <v>20262.28</v>
      </c>
      <c r="GP74" s="322">
        <v>32207.82</v>
      </c>
      <c r="GQ74" s="322">
        <v>31193.85</v>
      </c>
      <c r="GR74" s="322">
        <v>32614.26</v>
      </c>
      <c r="GS74" s="322">
        <v>33171.269999999997</v>
      </c>
      <c r="GT74" s="322">
        <v>34497.46</v>
      </c>
      <c r="GU74" s="322">
        <v>37067.33</v>
      </c>
      <c r="GV74" s="322">
        <v>39154.47</v>
      </c>
      <c r="GW74" s="322">
        <v>38770.9</v>
      </c>
      <c r="GX74" s="322">
        <v>39320.180000000008</v>
      </c>
      <c r="GY74" s="322">
        <v>38569.479999999996</v>
      </c>
      <c r="GZ74" s="322">
        <v>36792.68</v>
      </c>
      <c r="HA74" s="322">
        <v>42623.810000000005</v>
      </c>
      <c r="HB74" s="322">
        <v>42135.29</v>
      </c>
      <c r="HC74" s="322">
        <v>43821.06</v>
      </c>
      <c r="HD74" s="322">
        <v>49701.139999999992</v>
      </c>
      <c r="HE74" s="322">
        <v>50624.439999999995</v>
      </c>
      <c r="HF74" s="322">
        <v>55633.030000000006</v>
      </c>
      <c r="HG74" s="322">
        <v>59050</v>
      </c>
      <c r="HH74" s="334"/>
      <c r="HI74" s="322" t="s">
        <v>56</v>
      </c>
      <c r="HJ74" s="322">
        <v>9001.5400000000009</v>
      </c>
      <c r="HK74" s="322">
        <v>8985.73</v>
      </c>
      <c r="HL74" s="322">
        <v>10310.67</v>
      </c>
      <c r="HM74" s="322">
        <v>10131.14</v>
      </c>
      <c r="HN74" s="322">
        <v>10735.94</v>
      </c>
      <c r="HO74" s="322">
        <v>10397.950000000001</v>
      </c>
      <c r="HP74" s="322">
        <v>10871.42</v>
      </c>
      <c r="HQ74" s="322">
        <v>11057.09</v>
      </c>
      <c r="HR74" s="322">
        <v>7042.2099999999991</v>
      </c>
      <c r="HS74" s="322">
        <v>10678.16</v>
      </c>
      <c r="HT74" s="322">
        <v>12606.51</v>
      </c>
      <c r="HU74" s="322">
        <v>9094.0400000000009</v>
      </c>
      <c r="HV74" s="322">
        <v>7951.3899999999994</v>
      </c>
      <c r="HW74" s="322">
        <v>9462.43</v>
      </c>
      <c r="HX74" s="322">
        <v>21002.03</v>
      </c>
      <c r="HY74" s="322">
        <v>22216.41</v>
      </c>
      <c r="HZ74" s="322">
        <v>20183.79</v>
      </c>
      <c r="IA74" s="322">
        <v>23241.39</v>
      </c>
      <c r="IB74" s="322">
        <v>23807.940000000002</v>
      </c>
      <c r="IC74" s="322">
        <v>25394.639999999999</v>
      </c>
      <c r="ID74" s="322">
        <v>25722.300000000003</v>
      </c>
      <c r="IE74" s="322">
        <v>40819</v>
      </c>
      <c r="IF74" s="334"/>
      <c r="IG74" s="322" t="s">
        <v>56</v>
      </c>
      <c r="IH74" s="322">
        <v>9001.5400000000009</v>
      </c>
      <c r="II74" s="322">
        <v>8985.73</v>
      </c>
      <c r="IJ74" s="322">
        <v>10310.67</v>
      </c>
      <c r="IK74" s="322">
        <v>10131.14</v>
      </c>
      <c r="IL74" s="322">
        <v>10735.94</v>
      </c>
      <c r="IM74" s="322">
        <v>10397.950000000001</v>
      </c>
      <c r="IN74" s="322">
        <v>10871.42</v>
      </c>
      <c r="IO74" s="322">
        <v>11057.09</v>
      </c>
      <c r="IP74" s="322">
        <v>7193.27</v>
      </c>
      <c r="IQ74" s="322">
        <v>7397.76</v>
      </c>
      <c r="IR74" s="322">
        <v>8862.4699999999993</v>
      </c>
      <c r="IS74" s="322">
        <v>9444.58</v>
      </c>
      <c r="IT74" s="322">
        <v>8595.2099999999991</v>
      </c>
      <c r="IU74" s="322">
        <v>8764.93</v>
      </c>
      <c r="IV74" s="322"/>
      <c r="IW74" s="322"/>
      <c r="IX74" s="322"/>
      <c r="IY74" s="322"/>
      <c r="IZ74" s="322"/>
      <c r="JA74" s="322"/>
      <c r="JB74" s="322"/>
      <c r="JC74" s="322"/>
      <c r="JD74" s="334"/>
      <c r="JE74" s="322" t="s">
        <v>56</v>
      </c>
      <c r="JF74" s="322">
        <v>0</v>
      </c>
      <c r="JG74" s="322">
        <v>0</v>
      </c>
      <c r="JH74" s="322">
        <v>0</v>
      </c>
      <c r="JI74" s="322">
        <v>0</v>
      </c>
      <c r="JJ74" s="322">
        <v>0</v>
      </c>
      <c r="JK74" s="322">
        <v>0</v>
      </c>
      <c r="JL74" s="322">
        <v>0</v>
      </c>
      <c r="JM74" s="322">
        <v>0</v>
      </c>
      <c r="JN74" s="322">
        <v>491.12</v>
      </c>
      <c r="JO74" s="322">
        <v>730.7299999999999</v>
      </c>
      <c r="JP74" s="322">
        <v>763.62</v>
      </c>
      <c r="JQ74" s="322">
        <v>843.5</v>
      </c>
      <c r="JR74" s="322">
        <v>926.31</v>
      </c>
      <c r="JS74" s="322">
        <v>782.81999999999994</v>
      </c>
      <c r="JT74" s="322">
        <v>1053.79</v>
      </c>
      <c r="JU74" s="322">
        <v>1104.02</v>
      </c>
      <c r="JV74" s="322">
        <v>1042.8800000000001</v>
      </c>
      <c r="JW74" s="322">
        <v>1038.72</v>
      </c>
      <c r="JX74" s="322">
        <v>879.39</v>
      </c>
      <c r="JY74" s="322">
        <v>834.27</v>
      </c>
      <c r="JZ74" s="322">
        <v>1204.8800000000001</v>
      </c>
      <c r="KA74" s="322">
        <v>2607</v>
      </c>
      <c r="KB74" s="334"/>
      <c r="KC74" s="322" t="s">
        <v>56</v>
      </c>
      <c r="KD74" s="322">
        <v>9001.5400000000009</v>
      </c>
      <c r="KE74" s="322">
        <v>17971.46</v>
      </c>
      <c r="KF74" s="322">
        <v>20621.34</v>
      </c>
      <c r="KG74" s="322">
        <v>20262.28</v>
      </c>
      <c r="KH74" s="322">
        <v>21471.88</v>
      </c>
      <c r="KI74" s="322">
        <v>31193.85</v>
      </c>
      <c r="KJ74" s="322">
        <v>32614.26</v>
      </c>
      <c r="KK74" s="322">
        <v>33171.269999999997</v>
      </c>
      <c r="KL74" s="322">
        <v>29337.420000000002</v>
      </c>
      <c r="KM74" s="322">
        <v>37370.65</v>
      </c>
      <c r="KN74" s="322">
        <v>37691.119999999995</v>
      </c>
      <c r="KO74" s="322">
        <v>38222.83</v>
      </c>
      <c r="KP74" s="322">
        <v>38854.199999999997</v>
      </c>
      <c r="KQ74" s="322">
        <v>37733.419999999991</v>
      </c>
      <c r="KR74" s="322">
        <v>37838.21</v>
      </c>
      <c r="KS74" s="322">
        <v>37541.810000000005</v>
      </c>
      <c r="KT74" s="322">
        <v>37786.869999999995</v>
      </c>
      <c r="KU74" s="322">
        <v>39423.740000000005</v>
      </c>
      <c r="KV74" s="322">
        <v>38927.729999999996</v>
      </c>
      <c r="KW74" s="322">
        <v>39462.240000000005</v>
      </c>
      <c r="KX74" s="322">
        <v>41581.519999999997</v>
      </c>
      <c r="KY74" s="322">
        <v>49654.77</v>
      </c>
      <c r="KZ74" s="334"/>
      <c r="LA74" s="322" t="s">
        <v>56</v>
      </c>
      <c r="LB74" s="322">
        <v>117020.02</v>
      </c>
      <c r="LC74" s="322">
        <v>125800.22</v>
      </c>
      <c r="LD74" s="322">
        <v>185592.06</v>
      </c>
      <c r="LE74" s="322">
        <v>121573.68</v>
      </c>
      <c r="LF74" s="322">
        <v>128831.28</v>
      </c>
      <c r="LG74" s="322">
        <v>145571.29999999999</v>
      </c>
      <c r="LH74" s="322">
        <v>108714.2</v>
      </c>
      <c r="LI74" s="322">
        <v>110570.9</v>
      </c>
      <c r="LJ74" s="322">
        <v>142733.26999999999</v>
      </c>
      <c r="LK74" s="322">
        <v>144210.46999999997</v>
      </c>
      <c r="LL74" s="322">
        <v>163650.43</v>
      </c>
      <c r="LM74" s="322">
        <v>248556.09</v>
      </c>
      <c r="LN74" s="322">
        <v>157192.03</v>
      </c>
      <c r="LO74" s="322">
        <v>153695.5</v>
      </c>
      <c r="LP74" s="322">
        <v>105171.92</v>
      </c>
      <c r="LQ74" s="322">
        <v>105716.47</v>
      </c>
      <c r="LR74" s="322">
        <v>90027.95</v>
      </c>
      <c r="LS74" s="322">
        <v>110470.3</v>
      </c>
      <c r="LT74" s="322">
        <v>127020.29999999999</v>
      </c>
      <c r="LU74" s="322">
        <v>147639.37999999998</v>
      </c>
      <c r="LV74" s="322">
        <v>189639.95999999996</v>
      </c>
      <c r="LW74" s="322">
        <v>332184</v>
      </c>
      <c r="LX74" s="334"/>
      <c r="LY74" s="322" t="s">
        <v>56</v>
      </c>
      <c r="LZ74" s="322">
        <v>189032.34</v>
      </c>
      <c r="MA74" s="322">
        <v>206671.79</v>
      </c>
      <c r="MB74" s="322">
        <v>216524.07</v>
      </c>
      <c r="MC74" s="322">
        <v>222885.08</v>
      </c>
      <c r="MD74" s="322">
        <v>236190.68</v>
      </c>
      <c r="ME74" s="322">
        <v>239152.85</v>
      </c>
      <c r="MF74" s="322">
        <v>250042.66</v>
      </c>
      <c r="MG74" s="322">
        <v>243255.98</v>
      </c>
      <c r="MH74" s="322">
        <v>260719.11000000002</v>
      </c>
      <c r="MI74" s="322">
        <v>267084.42000000004</v>
      </c>
      <c r="MJ74" s="322">
        <v>297613.92</v>
      </c>
      <c r="MK74" s="322">
        <v>302595.36</v>
      </c>
      <c r="ML74" s="322">
        <v>320376.45</v>
      </c>
      <c r="MM74" s="322">
        <v>335943.64</v>
      </c>
      <c r="MN74" s="322">
        <v>306659.16000000003</v>
      </c>
      <c r="MO74" s="322">
        <v>310325.25</v>
      </c>
      <c r="MP74" s="322">
        <v>311957.43</v>
      </c>
      <c r="MQ74" s="322">
        <v>316204.25</v>
      </c>
      <c r="MR74" s="322">
        <v>0</v>
      </c>
      <c r="MS74" s="322">
        <v>0</v>
      </c>
      <c r="MT74" s="322">
        <v>0</v>
      </c>
      <c r="MU74" s="322">
        <v>0</v>
      </c>
      <c r="MV74" s="334"/>
      <c r="MW74" s="322" t="s">
        <v>56</v>
      </c>
      <c r="MX74" s="322">
        <v>27004.62</v>
      </c>
      <c r="MY74" s="322">
        <v>17971.46</v>
      </c>
      <c r="MZ74" s="322">
        <v>41242.68</v>
      </c>
      <c r="NA74" s="322">
        <v>50655.7</v>
      </c>
      <c r="NB74" s="322">
        <v>21471.88</v>
      </c>
      <c r="NC74" s="322">
        <v>20795.900000000001</v>
      </c>
      <c r="ND74" s="322">
        <v>21742.84</v>
      </c>
      <c r="NE74" s="322">
        <v>22114.18</v>
      </c>
      <c r="NF74" s="322">
        <v>29360.35</v>
      </c>
      <c r="NG74" s="322">
        <v>20518.98</v>
      </c>
      <c r="NH74" s="322">
        <v>29411.51</v>
      </c>
      <c r="NI74" s="322">
        <v>77707.5</v>
      </c>
      <c r="NJ74" s="322">
        <v>41309.570000000007</v>
      </c>
      <c r="NK74" s="322">
        <v>46301.089999999989</v>
      </c>
      <c r="NL74" s="322">
        <v>63650.78</v>
      </c>
      <c r="NM74" s="322">
        <v>43895.85</v>
      </c>
      <c r="NN74" s="322">
        <v>45830.080000000009</v>
      </c>
      <c r="NO74" s="322">
        <v>27355.07</v>
      </c>
      <c r="NP74" s="322">
        <v>27513.56</v>
      </c>
      <c r="NQ74" s="322">
        <v>77683.070000000007</v>
      </c>
      <c r="NR74" s="322">
        <v>69748.529999999984</v>
      </c>
      <c r="NS74" s="322">
        <v>71211.22</v>
      </c>
      <c r="NT74" s="334"/>
      <c r="NU74" s="322" t="s">
        <v>56</v>
      </c>
      <c r="NV74" s="322">
        <v>63010.78</v>
      </c>
      <c r="NW74" s="322">
        <v>62900.11</v>
      </c>
      <c r="NX74" s="322">
        <v>72174.69</v>
      </c>
      <c r="NY74" s="322">
        <v>70917.98</v>
      </c>
      <c r="NZ74" s="322">
        <v>85887.52</v>
      </c>
      <c r="OA74" s="322">
        <v>72785.649999999994</v>
      </c>
      <c r="OB74" s="322">
        <v>76099.94</v>
      </c>
      <c r="OC74" s="322">
        <v>88456.72</v>
      </c>
      <c r="OD74" s="322">
        <v>88003.059999999983</v>
      </c>
      <c r="OE74" s="322">
        <v>88033.89</v>
      </c>
      <c r="OF74" s="322">
        <v>88190.55</v>
      </c>
      <c r="OG74" s="322">
        <v>87926.48000000001</v>
      </c>
      <c r="OH74" s="322">
        <v>86492.599999999991</v>
      </c>
      <c r="OI74" s="322">
        <v>87107.060000000012</v>
      </c>
      <c r="OJ74" s="322">
        <v>87492.090000000011</v>
      </c>
      <c r="OK74" s="322">
        <v>90219.650000000023</v>
      </c>
      <c r="OL74" s="322">
        <v>96307.97</v>
      </c>
      <c r="OM74" s="322">
        <v>99477.48000000001</v>
      </c>
      <c r="ON74" s="322">
        <v>102101.20000000001</v>
      </c>
      <c r="OO74" s="322">
        <v>98830.98000000001</v>
      </c>
      <c r="OP74" s="322">
        <v>99524.010000000009</v>
      </c>
      <c r="OQ74" s="322">
        <v>106645.94</v>
      </c>
      <c r="OR74" s="334"/>
      <c r="OS74" s="322" t="s">
        <v>56</v>
      </c>
      <c r="OT74" s="322">
        <v>54009.24</v>
      </c>
      <c r="OU74" s="322">
        <v>44928.65</v>
      </c>
      <c r="OV74" s="322">
        <v>51553.35</v>
      </c>
      <c r="OW74" s="322">
        <v>50655.7</v>
      </c>
      <c r="OX74" s="322">
        <v>42943.76</v>
      </c>
      <c r="OY74" s="322">
        <v>41591.800000000003</v>
      </c>
      <c r="OZ74" s="322">
        <v>43485.68</v>
      </c>
      <c r="PA74" s="322">
        <v>44228.36</v>
      </c>
      <c r="PB74" s="322">
        <v>48546.98</v>
      </c>
      <c r="PC74" s="322">
        <v>46422.420000000006</v>
      </c>
      <c r="PD74" s="322">
        <v>49930.879999999997</v>
      </c>
      <c r="PE74" s="322">
        <v>58128.400000000009</v>
      </c>
      <c r="PF74" s="322">
        <v>58508.029999999992</v>
      </c>
      <c r="PG74" s="322">
        <v>57923.459999999992</v>
      </c>
      <c r="PH74" s="322">
        <v>58138.179999999993</v>
      </c>
      <c r="PI74" s="322">
        <v>59330.5</v>
      </c>
      <c r="PJ74" s="322">
        <v>57370.91</v>
      </c>
      <c r="PK74" s="322">
        <v>59684.3</v>
      </c>
      <c r="PL74" s="322">
        <v>60095.549999999996</v>
      </c>
      <c r="PM74" s="322">
        <v>62474.710000000006</v>
      </c>
      <c r="PN74" s="322">
        <v>61796.25</v>
      </c>
      <c r="PO74" s="322">
        <v>68543.25</v>
      </c>
      <c r="PP74" s="334"/>
      <c r="PQ74" s="322" t="s">
        <v>56</v>
      </c>
      <c r="PR74" s="322">
        <v>9001.5400000000009</v>
      </c>
      <c r="PS74" s="322">
        <v>8985.73</v>
      </c>
      <c r="PT74" s="322">
        <v>10310.67</v>
      </c>
      <c r="PU74" s="322">
        <v>10131.14</v>
      </c>
      <c r="PV74" s="322">
        <v>10735.94</v>
      </c>
      <c r="PW74" s="322">
        <v>10397.950000000001</v>
      </c>
      <c r="PX74" s="322">
        <v>10871.42</v>
      </c>
      <c r="PY74" s="322">
        <v>11057.09</v>
      </c>
      <c r="PZ74" s="322">
        <v>10581.88</v>
      </c>
      <c r="QA74" s="322">
        <v>10137.040000000001</v>
      </c>
      <c r="QB74" s="322">
        <v>10041.34</v>
      </c>
      <c r="QC74" s="322">
        <v>10296.879999999999</v>
      </c>
      <c r="QD74" s="322">
        <v>11462.800000000001</v>
      </c>
      <c r="QE74" s="322">
        <v>10742.52</v>
      </c>
      <c r="QF74" s="322">
        <v>10028.44</v>
      </c>
      <c r="QG74" s="322">
        <v>10679.48</v>
      </c>
      <c r="QH74" s="322">
        <v>10548.68</v>
      </c>
      <c r="QI74" s="322">
        <v>11394.52</v>
      </c>
      <c r="QJ74" s="322">
        <v>11101.3</v>
      </c>
      <c r="QK74" s="322">
        <v>10783.02</v>
      </c>
      <c r="QL74" s="322">
        <v>17250.469999999998</v>
      </c>
      <c r="QM74" s="322">
        <v>16000</v>
      </c>
      <c r="QN74" s="334"/>
      <c r="QO74" s="322" t="s">
        <v>56</v>
      </c>
      <c r="QP74" s="322">
        <v>0</v>
      </c>
      <c r="QQ74" s="322">
        <v>0</v>
      </c>
      <c r="QR74" s="322">
        <v>0</v>
      </c>
      <c r="QS74" s="322">
        <v>0</v>
      </c>
      <c r="QT74" s="322">
        <v>0</v>
      </c>
      <c r="QU74" s="322">
        <v>0</v>
      </c>
      <c r="QV74" s="322">
        <v>0</v>
      </c>
      <c r="QW74" s="322">
        <v>0</v>
      </c>
      <c r="QX74" s="322">
        <v>0</v>
      </c>
      <c r="QY74" s="322">
        <v>0</v>
      </c>
      <c r="QZ74" s="322">
        <v>0</v>
      </c>
      <c r="RA74" s="322">
        <v>0</v>
      </c>
      <c r="RB74" s="322">
        <v>0</v>
      </c>
      <c r="RC74" s="322">
        <v>0</v>
      </c>
      <c r="RD74" s="322">
        <v>0</v>
      </c>
      <c r="RE74" s="322">
        <v>0</v>
      </c>
      <c r="RF74" s="322">
        <v>0</v>
      </c>
      <c r="RG74" s="322">
        <v>0</v>
      </c>
      <c r="RH74" s="322">
        <v>0</v>
      </c>
      <c r="RI74" s="322">
        <v>0</v>
      </c>
      <c r="RJ74" s="322">
        <v>0</v>
      </c>
      <c r="RK74" s="322">
        <v>0</v>
      </c>
      <c r="RL74" s="334"/>
      <c r="RM74" s="322" t="s">
        <v>56</v>
      </c>
      <c r="RN74" s="322">
        <v>27004.62</v>
      </c>
      <c r="RO74" s="322">
        <v>26957.19</v>
      </c>
      <c r="RP74" s="322">
        <v>30932.01</v>
      </c>
      <c r="RQ74" s="322">
        <v>30393.42</v>
      </c>
      <c r="RR74" s="322">
        <v>32207.82</v>
      </c>
      <c r="RS74" s="322">
        <v>20795.900000000001</v>
      </c>
      <c r="RT74" s="322">
        <v>54357.1</v>
      </c>
      <c r="RU74" s="322">
        <v>55285.45</v>
      </c>
      <c r="RV74" s="322">
        <v>53845.73</v>
      </c>
      <c r="RW74" s="322">
        <v>76989.33</v>
      </c>
      <c r="RX74" s="322">
        <v>51851.810000000005</v>
      </c>
      <c r="RY74" s="322">
        <v>45279.9</v>
      </c>
      <c r="RZ74" s="322">
        <v>41589.320000000007</v>
      </c>
      <c r="SA74" s="322">
        <v>37109.33</v>
      </c>
      <c r="SB74" s="322">
        <v>24882.1</v>
      </c>
      <c r="SC74" s="322">
        <v>29846.5</v>
      </c>
      <c r="SD74" s="322">
        <v>47335.87000000001</v>
      </c>
      <c r="SE74" s="322">
        <v>40505.64</v>
      </c>
      <c r="SF74" s="322">
        <v>64928.409999999996</v>
      </c>
      <c r="SG74" s="322">
        <v>55893.23</v>
      </c>
      <c r="SH74" s="322">
        <v>148446.64000000001</v>
      </c>
      <c r="SI74" s="322">
        <v>69562</v>
      </c>
    </row>
    <row r="75" spans="1:503">
      <c r="A75" s="319" t="s">
        <v>57</v>
      </c>
      <c r="B75" s="319">
        <v>735847</v>
      </c>
      <c r="C75" s="319">
        <v>808342</v>
      </c>
      <c r="D75" s="319">
        <v>821772</v>
      </c>
      <c r="E75" s="319">
        <v>853598</v>
      </c>
      <c r="F75" s="319">
        <v>936621</v>
      </c>
      <c r="G75" s="319">
        <v>1006405</v>
      </c>
      <c r="H75" s="319">
        <v>952209</v>
      </c>
      <c r="I75" s="319">
        <v>987770</v>
      </c>
      <c r="J75" s="319">
        <v>1205028.6000000001</v>
      </c>
      <c r="K75" s="319">
        <v>1252243.8999999999</v>
      </c>
      <c r="L75" s="319">
        <v>1337143.8700000001</v>
      </c>
      <c r="M75" s="319">
        <v>1233966.2900000003</v>
      </c>
      <c r="N75" s="319">
        <v>1395003.19</v>
      </c>
      <c r="O75" s="319">
        <v>1359794.54</v>
      </c>
      <c r="P75" s="319">
        <v>1429903.38</v>
      </c>
      <c r="Q75" s="319">
        <v>1551484.7000000002</v>
      </c>
      <c r="R75" s="319"/>
      <c r="S75" s="322">
        <v>1807803.15</v>
      </c>
      <c r="T75" s="319">
        <v>1555224.591035</v>
      </c>
      <c r="U75" s="319">
        <v>1627910.2000000002</v>
      </c>
      <c r="V75" s="319">
        <v>1991098.27</v>
      </c>
      <c r="W75" s="319">
        <v>2170412.5700000003</v>
      </c>
      <c r="X75" s="330"/>
      <c r="Y75" s="319" t="s">
        <v>57</v>
      </c>
      <c r="Z75" s="319">
        <v>51509.29</v>
      </c>
      <c r="AA75" s="319">
        <v>56583.94</v>
      </c>
      <c r="AB75" s="319">
        <v>57524.04</v>
      </c>
      <c r="AC75" s="319">
        <v>68287.839999999997</v>
      </c>
      <c r="AD75" s="319">
        <v>65563.47</v>
      </c>
      <c r="AE75" s="319">
        <v>70448.350000000006</v>
      </c>
      <c r="AF75" s="319">
        <v>70448.350000000006</v>
      </c>
      <c r="AG75" s="319">
        <v>69143.899999999994</v>
      </c>
      <c r="AH75" s="319">
        <v>70795.75</v>
      </c>
      <c r="AI75" s="319">
        <v>70839.12</v>
      </c>
      <c r="AJ75" s="319">
        <v>70583.92</v>
      </c>
      <c r="AK75" s="319">
        <v>70716.38</v>
      </c>
      <c r="AL75" s="319">
        <v>72512.81</v>
      </c>
      <c r="AM75" s="319">
        <v>76563.75</v>
      </c>
      <c r="AN75" s="319">
        <v>77569.610000000015</v>
      </c>
      <c r="AO75" s="319">
        <v>76851.800000000017</v>
      </c>
      <c r="AP75" s="319"/>
      <c r="AQ75" s="322">
        <v>76493.77</v>
      </c>
      <c r="AR75" s="319">
        <v>90969.049999999988</v>
      </c>
      <c r="AS75" s="319">
        <v>95554.03</v>
      </c>
      <c r="AT75" s="319">
        <v>96441.159999999989</v>
      </c>
      <c r="AU75" s="319">
        <v>98511.93</v>
      </c>
      <c r="AV75" s="334"/>
      <c r="AW75" s="319" t="s">
        <v>57</v>
      </c>
      <c r="AX75" s="319">
        <v>51509.290000000008</v>
      </c>
      <c r="AY75" s="319">
        <v>56583.94</v>
      </c>
      <c r="AZ75" s="319">
        <v>57524.040000000008</v>
      </c>
      <c r="BA75" s="319">
        <v>59751.860000000008</v>
      </c>
      <c r="BB75" s="319">
        <v>56197.259999999995</v>
      </c>
      <c r="BC75" s="319">
        <v>60384.299999999996</v>
      </c>
      <c r="BD75" s="319">
        <v>57132.54</v>
      </c>
      <c r="BE75" s="319">
        <v>59266.2</v>
      </c>
      <c r="BF75" s="319">
        <v>63288.71</v>
      </c>
      <c r="BG75" s="319">
        <v>64405.64</v>
      </c>
      <c r="BH75" s="319">
        <v>74171.640000000014</v>
      </c>
      <c r="BI75" s="319">
        <v>66062.64</v>
      </c>
      <c r="BJ75" s="319">
        <v>71024.710000000006</v>
      </c>
      <c r="BK75" s="319">
        <v>77934.25</v>
      </c>
      <c r="BL75" s="319">
        <v>77416.100000000006</v>
      </c>
      <c r="BM75" s="319">
        <v>103884.39</v>
      </c>
      <c r="BN75" s="319"/>
      <c r="BO75" s="322">
        <v>99517.219999999987</v>
      </c>
      <c r="BP75" s="319">
        <v>118088.23999999999</v>
      </c>
      <c r="BQ75" s="319">
        <v>118689.63</v>
      </c>
      <c r="BR75" s="319">
        <v>113719.03999999999</v>
      </c>
      <c r="BS75" s="319">
        <v>117462.85</v>
      </c>
      <c r="BT75" s="334"/>
      <c r="BU75" s="322" t="s">
        <v>57</v>
      </c>
      <c r="BV75" s="322">
        <v>44150.82</v>
      </c>
      <c r="BW75" s="322">
        <v>24250.26</v>
      </c>
      <c r="BX75" s="322">
        <v>49306.32</v>
      </c>
      <c r="BY75" s="322">
        <v>25607.94</v>
      </c>
      <c r="BZ75" s="322">
        <v>46831.05</v>
      </c>
      <c r="CA75" s="322">
        <v>10064.049999999999</v>
      </c>
      <c r="CB75" s="322">
        <v>38088.36</v>
      </c>
      <c r="CC75" s="322">
        <v>9877.7000000000007</v>
      </c>
      <c r="CD75" s="322">
        <v>54905.390000000007</v>
      </c>
      <c r="CE75" s="322">
        <v>20958.16</v>
      </c>
      <c r="CF75" s="322">
        <v>98641.95</v>
      </c>
      <c r="CG75" s="322">
        <v>30191.67</v>
      </c>
      <c r="CH75" s="322">
        <v>82853.539999999994</v>
      </c>
      <c r="CI75" s="322">
        <v>16205</v>
      </c>
      <c r="CJ75" s="322">
        <v>75010.369999999981</v>
      </c>
      <c r="CK75" s="322">
        <v>31372.14</v>
      </c>
      <c r="CL75" s="322"/>
      <c r="CM75" s="322">
        <v>28842.23</v>
      </c>
      <c r="CN75" s="322">
        <v>11018.759999999998</v>
      </c>
      <c r="CO75" s="322">
        <v>31428.18</v>
      </c>
      <c r="CP75" s="322">
        <v>125311.83</v>
      </c>
      <c r="CQ75" s="322">
        <v>66250</v>
      </c>
      <c r="CR75" s="334"/>
      <c r="CS75" s="322" t="s">
        <v>57</v>
      </c>
      <c r="CT75" s="322">
        <v>29433.88</v>
      </c>
      <c r="CU75" s="322">
        <v>64667.360000000001</v>
      </c>
      <c r="CV75" s="322">
        <v>41088.6</v>
      </c>
      <c r="CW75" s="322">
        <v>42679.9</v>
      </c>
      <c r="CX75" s="322">
        <v>37464.839999999997</v>
      </c>
      <c r="CY75" s="322">
        <v>60384.3</v>
      </c>
      <c r="CZ75" s="322">
        <v>57132.54</v>
      </c>
      <c r="DA75" s="322">
        <v>49388.5</v>
      </c>
      <c r="DB75" s="322">
        <v>150127.68000000002</v>
      </c>
      <c r="DC75" s="322">
        <v>102761.54</v>
      </c>
      <c r="DD75" s="322">
        <v>69298.05</v>
      </c>
      <c r="DE75" s="322">
        <v>66901.710000000006</v>
      </c>
      <c r="DF75" s="322">
        <v>83909.66</v>
      </c>
      <c r="DG75" s="322">
        <v>78538.35000000002</v>
      </c>
      <c r="DH75" s="322">
        <v>72196.59</v>
      </c>
      <c r="DI75" s="322">
        <v>69685.689999999988</v>
      </c>
      <c r="DJ75" s="322"/>
      <c r="DK75" s="322">
        <v>76568.489999999991</v>
      </c>
      <c r="DL75" s="322">
        <v>0</v>
      </c>
      <c r="DM75" s="322">
        <v>87863.73000000001</v>
      </c>
      <c r="DN75" s="322">
        <v>91566.080000000031</v>
      </c>
      <c r="DO75" s="322">
        <v>95609.63</v>
      </c>
      <c r="DP75" s="334"/>
      <c r="DQ75" s="322" t="s">
        <v>57</v>
      </c>
      <c r="DR75" s="322">
        <v>36792.35</v>
      </c>
      <c r="DS75" s="322">
        <v>40417.1</v>
      </c>
      <c r="DT75" s="322">
        <v>49306.32</v>
      </c>
      <c r="DU75" s="322">
        <v>51215.88</v>
      </c>
      <c r="DV75" s="322">
        <v>56197.26</v>
      </c>
      <c r="DW75" s="322">
        <v>70448.350000000006</v>
      </c>
      <c r="DX75" s="322">
        <v>57132.54</v>
      </c>
      <c r="DY75" s="322">
        <v>69143.899999999994</v>
      </c>
      <c r="DZ75" s="322">
        <v>72550.06</v>
      </c>
      <c r="EA75" s="322">
        <v>99836.08</v>
      </c>
      <c r="EB75" s="322">
        <v>118244.15</v>
      </c>
      <c r="EC75" s="322">
        <v>131315.57</v>
      </c>
      <c r="ED75" s="322">
        <v>115482.98</v>
      </c>
      <c r="EE75" s="322">
        <v>148682.79999999999</v>
      </c>
      <c r="EF75" s="322">
        <v>120656.69000000002</v>
      </c>
      <c r="EG75" s="322">
        <v>123448.25</v>
      </c>
      <c r="EH75" s="322"/>
      <c r="EI75" s="322">
        <v>150513.24000000002</v>
      </c>
      <c r="EJ75" s="322">
        <v>123529.89000000001</v>
      </c>
      <c r="EK75" s="322">
        <v>0</v>
      </c>
      <c r="EL75" s="322">
        <v>138886.99</v>
      </c>
      <c r="EM75" s="322">
        <v>142000</v>
      </c>
      <c r="EN75" s="334"/>
      <c r="EO75" s="322" t="s">
        <v>57</v>
      </c>
      <c r="EP75" s="322">
        <v>22075.41</v>
      </c>
      <c r="EQ75" s="322">
        <v>24250.26</v>
      </c>
      <c r="ER75" s="322">
        <v>16435.439999999999</v>
      </c>
      <c r="ES75" s="322">
        <v>25607.94</v>
      </c>
      <c r="ET75" s="322">
        <v>28098.63</v>
      </c>
      <c r="EU75" s="322">
        <v>20128.099999999999</v>
      </c>
      <c r="EV75" s="322">
        <v>28566.27</v>
      </c>
      <c r="EW75" s="322">
        <v>29633.1</v>
      </c>
      <c r="EX75" s="322">
        <v>27648.649999999998</v>
      </c>
      <c r="EY75" s="322">
        <v>27008.720000000001</v>
      </c>
      <c r="EZ75" s="322">
        <v>26524.720000000001</v>
      </c>
      <c r="FA75" s="322">
        <v>36613.11</v>
      </c>
      <c r="FB75" s="322">
        <v>37697.07</v>
      </c>
      <c r="FC75" s="322">
        <v>39619.810000000005</v>
      </c>
      <c r="FD75" s="322">
        <v>38432.729999999996</v>
      </c>
      <c r="FE75" s="322">
        <v>38371.020000000004</v>
      </c>
      <c r="FF75" s="322"/>
      <c r="FG75" s="322">
        <v>39214.129999999997</v>
      </c>
      <c r="FH75" s="322">
        <v>44070.509999999995</v>
      </c>
      <c r="FI75" s="322">
        <v>49033.46</v>
      </c>
      <c r="FJ75" s="322">
        <v>49480.480000000003</v>
      </c>
      <c r="FK75" s="322">
        <v>51428.61</v>
      </c>
      <c r="FL75" s="334"/>
      <c r="FM75" s="322" t="s">
        <v>57</v>
      </c>
      <c r="FN75" s="322">
        <v>51509.29</v>
      </c>
      <c r="FO75" s="322">
        <v>56583.94</v>
      </c>
      <c r="FP75" s="322">
        <v>57524.04</v>
      </c>
      <c r="FQ75" s="322">
        <v>51215.88</v>
      </c>
      <c r="FR75" s="322">
        <v>56197.26</v>
      </c>
      <c r="FS75" s="322">
        <v>70448.350000000006</v>
      </c>
      <c r="FT75" s="322">
        <v>66654.63</v>
      </c>
      <c r="FU75" s="322">
        <v>69143.899999999994</v>
      </c>
      <c r="FV75" s="322">
        <v>68146.89</v>
      </c>
      <c r="FW75" s="322">
        <v>67626.84</v>
      </c>
      <c r="FX75" s="322">
        <v>66360.11</v>
      </c>
      <c r="FY75" s="322">
        <v>74645.840000000011</v>
      </c>
      <c r="FZ75" s="322">
        <v>83226.86</v>
      </c>
      <c r="GA75" s="322">
        <v>86394.689999999988</v>
      </c>
      <c r="GB75" s="322">
        <v>84285.739999999991</v>
      </c>
      <c r="GC75" s="322">
        <v>83745.37</v>
      </c>
      <c r="GD75" s="322"/>
      <c r="GE75" s="322">
        <v>84391.33</v>
      </c>
      <c r="GF75" s="340">
        <v>89035.98</v>
      </c>
      <c r="GG75" s="704">
        <v>90073.73000000001</v>
      </c>
      <c r="GH75" s="704">
        <v>114891.65000000001</v>
      </c>
      <c r="GI75" s="704">
        <v>116221.6</v>
      </c>
      <c r="GJ75" s="334"/>
      <c r="GK75" s="322" t="s">
        <v>57</v>
      </c>
      <c r="GL75" s="322">
        <v>22075.41</v>
      </c>
      <c r="GM75" s="322">
        <v>24250.26</v>
      </c>
      <c r="GN75" s="322">
        <v>24653.16</v>
      </c>
      <c r="GO75" s="322">
        <v>42679.9</v>
      </c>
      <c r="GP75" s="322">
        <v>28098.63</v>
      </c>
      <c r="GQ75" s="322">
        <v>30192.15</v>
      </c>
      <c r="GR75" s="322">
        <v>28566.27</v>
      </c>
      <c r="GS75" s="322">
        <v>39510.800000000003</v>
      </c>
      <c r="GT75" s="322">
        <v>23505.489999999998</v>
      </c>
      <c r="GU75" s="322">
        <v>22087.05</v>
      </c>
      <c r="GV75" s="322">
        <v>26034.22</v>
      </c>
      <c r="GW75" s="322">
        <v>34241.71</v>
      </c>
      <c r="GX75" s="322">
        <v>25961.56</v>
      </c>
      <c r="GY75" s="322">
        <v>43442.68</v>
      </c>
      <c r="GZ75" s="322">
        <v>44299.079999999994</v>
      </c>
      <c r="HA75" s="322">
        <v>44481.02</v>
      </c>
      <c r="HB75" s="322"/>
      <c r="HC75" s="322">
        <v>46104.14</v>
      </c>
      <c r="HD75" s="322">
        <v>55125.741034999999</v>
      </c>
      <c r="HE75" s="322">
        <v>48219.91</v>
      </c>
      <c r="HF75" s="322">
        <v>59518.879999999997</v>
      </c>
      <c r="HG75" s="322">
        <v>55524.69</v>
      </c>
      <c r="HH75" s="334"/>
      <c r="HI75" s="322" t="s">
        <v>57</v>
      </c>
      <c r="HJ75" s="322">
        <v>0</v>
      </c>
      <c r="HK75" s="322">
        <v>0</v>
      </c>
      <c r="HL75" s="322">
        <v>0</v>
      </c>
      <c r="HM75" s="322">
        <v>0</v>
      </c>
      <c r="HN75" s="322">
        <v>0</v>
      </c>
      <c r="HO75" s="322">
        <v>0</v>
      </c>
      <c r="HP75" s="322">
        <v>0</v>
      </c>
      <c r="HQ75" s="322">
        <v>0</v>
      </c>
      <c r="HR75" s="322">
        <v>0</v>
      </c>
      <c r="HS75" s="322">
        <v>0</v>
      </c>
      <c r="HT75" s="322">
        <v>0</v>
      </c>
      <c r="HU75" s="322">
        <v>0</v>
      </c>
      <c r="HV75" s="322">
        <v>10265.35</v>
      </c>
      <c r="HW75" s="322">
        <v>11503.449999999999</v>
      </c>
      <c r="HX75" s="322">
        <v>12774.41</v>
      </c>
      <c r="HY75" s="322">
        <v>11438.91</v>
      </c>
      <c r="HZ75" s="322"/>
      <c r="IA75" s="322">
        <v>10260.19</v>
      </c>
      <c r="IB75" s="322">
        <v>20132.219999999998</v>
      </c>
      <c r="IC75" s="322">
        <v>8533.68</v>
      </c>
      <c r="ID75" s="322">
        <v>16289.18</v>
      </c>
      <c r="IE75" s="322">
        <v>11700</v>
      </c>
      <c r="IF75" s="334"/>
      <c r="IG75" s="322" t="s">
        <v>57</v>
      </c>
      <c r="IH75" s="322">
        <v>7358.47</v>
      </c>
      <c r="II75" s="322">
        <v>8083.42</v>
      </c>
      <c r="IJ75" s="322">
        <v>8217.7199999999993</v>
      </c>
      <c r="IK75" s="322">
        <v>8535.98</v>
      </c>
      <c r="IL75" s="322">
        <v>9366.2099999999991</v>
      </c>
      <c r="IM75" s="322">
        <v>10064.049999999999</v>
      </c>
      <c r="IN75" s="322">
        <v>9522.09</v>
      </c>
      <c r="IO75" s="322">
        <v>9877.7000000000007</v>
      </c>
      <c r="IP75" s="322">
        <v>7125</v>
      </c>
      <c r="IQ75" s="322">
        <v>4091.5</v>
      </c>
      <c r="IR75" s="322">
        <v>0</v>
      </c>
      <c r="IS75" s="322">
        <v>0</v>
      </c>
      <c r="IT75" s="322">
        <v>0</v>
      </c>
      <c r="IU75" s="322">
        <v>0</v>
      </c>
      <c r="IV75" s="322"/>
      <c r="IW75" s="322"/>
      <c r="IX75" s="322"/>
      <c r="IY75" s="322"/>
      <c r="IZ75" s="322"/>
      <c r="JA75" s="322"/>
      <c r="JB75" s="322"/>
      <c r="JC75" s="322"/>
      <c r="JD75" s="334"/>
      <c r="JE75" s="322" t="s">
        <v>57</v>
      </c>
      <c r="JF75" s="322">
        <v>0</v>
      </c>
      <c r="JG75" s="322">
        <v>0</v>
      </c>
      <c r="JH75" s="322">
        <v>0</v>
      </c>
      <c r="JI75" s="322">
        <v>0</v>
      </c>
      <c r="JJ75" s="322">
        <v>0</v>
      </c>
      <c r="JK75" s="322">
        <v>0</v>
      </c>
      <c r="JL75" s="322">
        <v>0</v>
      </c>
      <c r="JM75" s="322">
        <v>0</v>
      </c>
      <c r="JN75" s="322">
        <v>0</v>
      </c>
      <c r="JO75" s="322">
        <v>0</v>
      </c>
      <c r="JP75" s="322">
        <v>0</v>
      </c>
      <c r="JQ75" s="322">
        <v>0</v>
      </c>
      <c r="JR75" s="322">
        <v>0</v>
      </c>
      <c r="JS75" s="322">
        <v>0</v>
      </c>
      <c r="JT75" s="322">
        <v>0</v>
      </c>
      <c r="JU75" s="322">
        <v>0</v>
      </c>
      <c r="JV75" s="322"/>
      <c r="JW75" s="322">
        <v>0</v>
      </c>
      <c r="JX75" s="322">
        <v>0</v>
      </c>
      <c r="JY75" s="322">
        <v>0</v>
      </c>
      <c r="JZ75" s="322">
        <v>0</v>
      </c>
      <c r="KA75" s="322">
        <v>0</v>
      </c>
      <c r="KB75" s="334"/>
      <c r="KC75" s="322" t="s">
        <v>57</v>
      </c>
      <c r="KD75" s="322">
        <v>7358.47</v>
      </c>
      <c r="KE75" s="322">
        <v>8083.42</v>
      </c>
      <c r="KF75" s="322">
        <v>0</v>
      </c>
      <c r="KG75" s="322">
        <v>8535.98</v>
      </c>
      <c r="KH75" s="322">
        <v>9366.2099999999991</v>
      </c>
      <c r="KI75" s="322">
        <v>10064.049999999999</v>
      </c>
      <c r="KJ75" s="322">
        <v>9522.09</v>
      </c>
      <c r="KK75" s="322">
        <v>9877.7000000000007</v>
      </c>
      <c r="KL75" s="322">
        <v>13431.460000000001</v>
      </c>
      <c r="KM75" s="322">
        <v>13515</v>
      </c>
      <c r="KN75" s="322">
        <v>13349.71</v>
      </c>
      <c r="KO75" s="322">
        <v>13488.6</v>
      </c>
      <c r="KP75" s="322">
        <v>14102.3</v>
      </c>
      <c r="KQ75" s="322">
        <v>23360.45</v>
      </c>
      <c r="KR75" s="322">
        <v>23607.51</v>
      </c>
      <c r="KS75" s="322">
        <v>23176.63</v>
      </c>
      <c r="KT75" s="322"/>
      <c r="KU75" s="322">
        <v>23733.59</v>
      </c>
      <c r="KV75" s="322">
        <v>28208.32</v>
      </c>
      <c r="KW75" s="322">
        <v>30471.98</v>
      </c>
      <c r="KX75" s="322">
        <v>30665.679999999997</v>
      </c>
      <c r="KY75" s="322">
        <v>31154.42</v>
      </c>
      <c r="KZ75" s="334"/>
      <c r="LA75" s="322" t="s">
        <v>57</v>
      </c>
      <c r="LB75" s="322">
        <v>51509.29</v>
      </c>
      <c r="LC75" s="322">
        <v>40417.1</v>
      </c>
      <c r="LD75" s="322">
        <v>49306.32</v>
      </c>
      <c r="LE75" s="322">
        <v>51215.88</v>
      </c>
      <c r="LF75" s="322">
        <v>65563.47</v>
      </c>
      <c r="LG75" s="322">
        <v>70448.350000000006</v>
      </c>
      <c r="LH75" s="322">
        <v>104742.99</v>
      </c>
      <c r="LI75" s="322">
        <v>59266.2</v>
      </c>
      <c r="LJ75" s="322">
        <v>116737.47000000002</v>
      </c>
      <c r="LK75" s="322">
        <v>109208.90999999999</v>
      </c>
      <c r="LL75" s="322">
        <v>83228.489999999991</v>
      </c>
      <c r="LM75" s="322">
        <v>100249.05000000002</v>
      </c>
      <c r="LN75" s="322">
        <v>76894.37</v>
      </c>
      <c r="LO75" s="322">
        <v>74564.66</v>
      </c>
      <c r="LP75" s="322">
        <v>76916.89</v>
      </c>
      <c r="LQ75" s="322">
        <v>82111.83</v>
      </c>
      <c r="LR75" s="322"/>
      <c r="LS75" s="322">
        <v>128865.25</v>
      </c>
      <c r="LT75" s="322">
        <v>60756.409999999996</v>
      </c>
      <c r="LU75" s="322">
        <v>95861.58</v>
      </c>
      <c r="LV75" s="322">
        <v>70315.89</v>
      </c>
      <c r="LW75" s="322">
        <v>65461.3</v>
      </c>
      <c r="LX75" s="334"/>
      <c r="LY75" s="322" t="s">
        <v>57</v>
      </c>
      <c r="LZ75" s="322">
        <v>220754.1</v>
      </c>
      <c r="MA75" s="322">
        <v>226335.76</v>
      </c>
      <c r="MB75" s="322">
        <v>230096.16</v>
      </c>
      <c r="MC75" s="322">
        <v>256079.4</v>
      </c>
      <c r="MD75" s="322">
        <v>280986.3</v>
      </c>
      <c r="ME75" s="322">
        <v>311985.55</v>
      </c>
      <c r="MF75" s="322">
        <v>238052.25</v>
      </c>
      <c r="MG75" s="322">
        <v>286453.3</v>
      </c>
      <c r="MH75" s="322">
        <v>301947.19</v>
      </c>
      <c r="MI75" s="322">
        <v>350993.54000000004</v>
      </c>
      <c r="MJ75" s="322">
        <v>351217.59</v>
      </c>
      <c r="MK75" s="322">
        <v>291559.30000000005</v>
      </c>
      <c r="ML75" s="322">
        <v>361379.36</v>
      </c>
      <c r="MM75" s="322">
        <v>346057.73</v>
      </c>
      <c r="MN75" s="322">
        <v>323840.84000000003</v>
      </c>
      <c r="MO75" s="322">
        <v>346974.77</v>
      </c>
      <c r="MP75" s="322"/>
      <c r="MQ75" s="322">
        <v>516483.65</v>
      </c>
      <c r="MR75" s="322">
        <v>373994.56</v>
      </c>
      <c r="MS75" s="322">
        <v>445044.75000000006</v>
      </c>
      <c r="MT75" s="322">
        <v>468207.84</v>
      </c>
      <c r="MU75" s="322">
        <v>601821.55000000005</v>
      </c>
      <c r="MV75" s="334"/>
      <c r="MW75" s="322" t="s">
        <v>57</v>
      </c>
      <c r="MX75" s="322">
        <v>22075.41</v>
      </c>
      <c r="MY75" s="322">
        <v>32333.68</v>
      </c>
      <c r="MZ75" s="322">
        <v>32870.879999999997</v>
      </c>
      <c r="NA75" s="322">
        <v>34143.919999999998</v>
      </c>
      <c r="NB75" s="322">
        <v>65563.47</v>
      </c>
      <c r="NC75" s="322">
        <v>50320.25</v>
      </c>
      <c r="ND75" s="322">
        <v>47610.45</v>
      </c>
      <c r="NE75" s="322">
        <v>39510.800000000003</v>
      </c>
      <c r="NF75" s="322">
        <v>46374.96</v>
      </c>
      <c r="NG75" s="322">
        <v>92957.270000000033</v>
      </c>
      <c r="NH75" s="322">
        <v>114250.79000000001</v>
      </c>
      <c r="NI75" s="322">
        <v>134330.07</v>
      </c>
      <c r="NJ75" s="322">
        <v>125700.52999999997</v>
      </c>
      <c r="NK75" s="322">
        <v>107954.19</v>
      </c>
      <c r="NL75" s="322">
        <v>145084.05999999997</v>
      </c>
      <c r="NM75" s="322">
        <v>183662.07</v>
      </c>
      <c r="NN75" s="322"/>
      <c r="NO75" s="322">
        <v>158227.81</v>
      </c>
      <c r="NP75" s="322">
        <v>149950.55000000005</v>
      </c>
      <c r="NQ75" s="322">
        <v>166671.19999999998</v>
      </c>
      <c r="NR75" s="322">
        <v>201491.11</v>
      </c>
      <c r="NS75" s="322">
        <v>221358.04</v>
      </c>
      <c r="NT75" s="334"/>
      <c r="NU75" s="322" t="s">
        <v>57</v>
      </c>
      <c r="NV75" s="322">
        <v>73584.7</v>
      </c>
      <c r="NW75" s="322">
        <v>72750.78</v>
      </c>
      <c r="NX75" s="322">
        <v>82177.2</v>
      </c>
      <c r="NY75" s="322">
        <v>76823.820000000007</v>
      </c>
      <c r="NZ75" s="322">
        <v>84295.89</v>
      </c>
      <c r="OA75" s="322">
        <v>90576.45</v>
      </c>
      <c r="OB75" s="322">
        <v>76176.72</v>
      </c>
      <c r="OC75" s="322">
        <v>98777</v>
      </c>
      <c r="OD75" s="322">
        <v>94352.950000000012</v>
      </c>
      <c r="OE75" s="322">
        <v>96890.069999999992</v>
      </c>
      <c r="OF75" s="322">
        <v>97633.54</v>
      </c>
      <c r="OG75" s="322">
        <v>100333.80000000002</v>
      </c>
      <c r="OH75" s="322">
        <v>100632.52</v>
      </c>
      <c r="OI75" s="322">
        <v>105945.70000000001</v>
      </c>
      <c r="OJ75" s="322">
        <v>101207.86000000002</v>
      </c>
      <c r="OK75" s="322">
        <v>102789.16</v>
      </c>
      <c r="OL75" s="322"/>
      <c r="OM75" s="322">
        <v>104617.3</v>
      </c>
      <c r="ON75" s="322">
        <v>112651.42</v>
      </c>
      <c r="OO75" s="322">
        <v>112466.61</v>
      </c>
      <c r="OP75" s="322">
        <v>126428.17</v>
      </c>
      <c r="OQ75" s="322">
        <v>131431.16</v>
      </c>
      <c r="OR75" s="334"/>
      <c r="OS75" s="322" t="s">
        <v>57</v>
      </c>
      <c r="OT75" s="322">
        <v>29433.88</v>
      </c>
      <c r="OU75" s="322">
        <v>40417.1</v>
      </c>
      <c r="OV75" s="322">
        <v>32870.879999999997</v>
      </c>
      <c r="OW75" s="322">
        <v>25607.94</v>
      </c>
      <c r="OX75" s="322">
        <v>28098.63</v>
      </c>
      <c r="OY75" s="322">
        <v>30192.15</v>
      </c>
      <c r="OZ75" s="322">
        <v>28566.27</v>
      </c>
      <c r="PA75" s="322">
        <v>29633.1</v>
      </c>
      <c r="PB75" s="322">
        <v>30808.68</v>
      </c>
      <c r="PC75" s="322">
        <v>33745.25</v>
      </c>
      <c r="PD75" s="322">
        <v>33454.270000000004</v>
      </c>
      <c r="PE75" s="322">
        <v>30654.91</v>
      </c>
      <c r="PF75" s="322">
        <v>27074.1</v>
      </c>
      <c r="PG75" s="322">
        <v>25640.85</v>
      </c>
      <c r="PH75" s="322">
        <v>25011.06</v>
      </c>
      <c r="PI75" s="322">
        <v>22804.43</v>
      </c>
      <c r="PJ75" s="322"/>
      <c r="PK75" s="322">
        <v>25754.080000000002</v>
      </c>
      <c r="PL75" s="322">
        <v>25314.3</v>
      </c>
      <c r="PM75" s="322">
        <v>21552</v>
      </c>
      <c r="PN75" s="322">
        <v>25164.73</v>
      </c>
      <c r="PO75" s="322">
        <v>26000</v>
      </c>
      <c r="PP75" s="334"/>
      <c r="PQ75" s="322" t="s">
        <v>57</v>
      </c>
      <c r="PR75" s="322">
        <v>7358.47</v>
      </c>
      <c r="PS75" s="322">
        <v>8083.42</v>
      </c>
      <c r="PT75" s="322">
        <v>8217.7199999999993</v>
      </c>
      <c r="PU75" s="322">
        <v>8535.98</v>
      </c>
      <c r="PV75" s="322">
        <v>9366.2099999999991</v>
      </c>
      <c r="PW75" s="322">
        <v>10064.049999999999</v>
      </c>
      <c r="PX75" s="322">
        <v>9522.09</v>
      </c>
      <c r="PY75" s="322">
        <v>19755.400000000001</v>
      </c>
      <c r="PZ75" s="322">
        <v>14576.01</v>
      </c>
      <c r="QA75" s="322">
        <v>15745.86</v>
      </c>
      <c r="QB75" s="322">
        <v>14940.720000000001</v>
      </c>
      <c r="QC75" s="322">
        <v>15495.81</v>
      </c>
      <c r="QD75" s="322">
        <v>14148.31</v>
      </c>
      <c r="QE75" s="322">
        <v>18613.14</v>
      </c>
      <c r="QF75" s="322">
        <v>15764.210000000001</v>
      </c>
      <c r="QG75" s="322">
        <v>16961.629999999997</v>
      </c>
      <c r="QH75" s="322"/>
      <c r="QI75" s="322">
        <v>16682.310000000001</v>
      </c>
      <c r="QJ75" s="322">
        <v>23022.61</v>
      </c>
      <c r="QK75" s="322">
        <v>22537.39</v>
      </c>
      <c r="QL75" s="322">
        <v>20225.239999999998</v>
      </c>
      <c r="QM75" s="322">
        <v>24346.55</v>
      </c>
      <c r="QN75" s="334"/>
      <c r="QO75" s="322" t="s">
        <v>57</v>
      </c>
      <c r="QP75" s="322">
        <v>0</v>
      </c>
      <c r="QQ75" s="322">
        <v>16166.84</v>
      </c>
      <c r="QR75" s="322">
        <v>16435.439999999999</v>
      </c>
      <c r="QS75" s="322">
        <v>8535.98</v>
      </c>
      <c r="QT75" s="322">
        <v>9366.2099999999991</v>
      </c>
      <c r="QU75" s="322">
        <v>30192.15</v>
      </c>
      <c r="QV75" s="322">
        <v>28566.27</v>
      </c>
      <c r="QW75" s="322">
        <v>29633.1</v>
      </c>
      <c r="QX75" s="322">
        <v>30000</v>
      </c>
      <c r="QY75" s="322">
        <v>30000</v>
      </c>
      <c r="QZ75" s="322">
        <v>30000</v>
      </c>
      <c r="RA75" s="322">
        <v>30000</v>
      </c>
      <c r="RB75" s="322">
        <v>30000</v>
      </c>
      <c r="RC75" s="322">
        <v>30000</v>
      </c>
      <c r="RD75" s="322">
        <v>67107.53</v>
      </c>
      <c r="RE75" s="322">
        <v>146273.72</v>
      </c>
      <c r="RF75" s="322"/>
      <c r="RG75" s="322">
        <v>169144.42000000004</v>
      </c>
      <c r="RH75" s="322">
        <v>180543.03</v>
      </c>
      <c r="RI75" s="322">
        <v>154975.89000000001</v>
      </c>
      <c r="RJ75" s="322">
        <v>186618.95999999996</v>
      </c>
      <c r="RK75" s="322">
        <v>195742.24000000002</v>
      </c>
      <c r="RL75" s="334"/>
      <c r="RM75" s="322" t="s">
        <v>57</v>
      </c>
      <c r="RN75" s="322">
        <v>7358.47</v>
      </c>
      <c r="RO75" s="322">
        <v>8083.42</v>
      </c>
      <c r="RP75" s="322">
        <v>8217.7199999999993</v>
      </c>
      <c r="RQ75" s="322">
        <v>8535.98</v>
      </c>
      <c r="RR75" s="322">
        <v>0</v>
      </c>
      <c r="RS75" s="322">
        <v>0</v>
      </c>
      <c r="RT75" s="322">
        <v>0</v>
      </c>
      <c r="RU75" s="322">
        <v>9877.7000000000007</v>
      </c>
      <c r="RV75" s="322">
        <v>18706.260000000002</v>
      </c>
      <c r="RW75" s="322">
        <v>29573.35</v>
      </c>
      <c r="RX75" s="322">
        <v>11810</v>
      </c>
      <c r="RY75" s="322">
        <v>7166.12</v>
      </c>
      <c r="RZ75" s="322">
        <v>62137.16</v>
      </c>
      <c r="SA75" s="322">
        <v>48773.04</v>
      </c>
      <c r="SB75" s="322">
        <v>48722.1</v>
      </c>
      <c r="SC75" s="322">
        <v>43451.87</v>
      </c>
      <c r="SD75" s="322"/>
      <c r="SE75" s="322">
        <v>43890</v>
      </c>
      <c r="SF75" s="322">
        <v>48813</v>
      </c>
      <c r="SG75" s="322">
        <v>48932.45</v>
      </c>
      <c r="SH75" s="322">
        <v>55875.360000000001</v>
      </c>
      <c r="SI75" s="322">
        <v>58788</v>
      </c>
    </row>
    <row r="76" spans="1:503">
      <c r="A76" s="319" t="s">
        <v>58</v>
      </c>
      <c r="B76" s="319">
        <v>917268</v>
      </c>
      <c r="C76" s="319">
        <v>956163</v>
      </c>
      <c r="D76" s="319">
        <v>1028080</v>
      </c>
      <c r="E76" s="319">
        <v>973076</v>
      </c>
      <c r="F76" s="319">
        <v>1017264</v>
      </c>
      <c r="G76" s="319">
        <v>1079953</v>
      </c>
      <c r="H76" s="319">
        <v>921927</v>
      </c>
      <c r="I76" s="319">
        <v>1011551</v>
      </c>
      <c r="J76" s="319">
        <v>1064904.33</v>
      </c>
      <c r="K76" s="319">
        <v>1137994.4300000002</v>
      </c>
      <c r="L76" s="319">
        <v>1008389.07</v>
      </c>
      <c r="M76" s="319">
        <v>1283664.3</v>
      </c>
      <c r="N76" s="319">
        <v>1123509.5499999998</v>
      </c>
      <c r="O76" s="319">
        <v>1241681.3599999999</v>
      </c>
      <c r="P76" s="319">
        <v>1283568</v>
      </c>
      <c r="Q76" s="319">
        <v>1170239.01</v>
      </c>
      <c r="R76" s="319">
        <v>1113684.1000000001</v>
      </c>
      <c r="S76" s="322">
        <v>1170852.47</v>
      </c>
      <c r="T76" s="319">
        <v>1210544.31</v>
      </c>
      <c r="U76" s="319"/>
      <c r="V76" s="319"/>
      <c r="W76" s="319"/>
      <c r="X76" s="330"/>
      <c r="Y76" s="319" t="s">
        <v>58</v>
      </c>
      <c r="Z76" s="319">
        <v>55036.08</v>
      </c>
      <c r="AA76" s="319">
        <v>57369.78</v>
      </c>
      <c r="AB76" s="319">
        <v>51404</v>
      </c>
      <c r="AC76" s="319">
        <v>58384.56</v>
      </c>
      <c r="AD76" s="319">
        <v>61035.839999999997</v>
      </c>
      <c r="AE76" s="319">
        <v>64797.18</v>
      </c>
      <c r="AF76" s="319">
        <v>75596.710000000006</v>
      </c>
      <c r="AG76" s="319">
        <v>70808.570000000007</v>
      </c>
      <c r="AH76" s="319">
        <v>70653.210000000006</v>
      </c>
      <c r="AI76" s="319">
        <v>68905.53</v>
      </c>
      <c r="AJ76" s="319">
        <v>70124.56</v>
      </c>
      <c r="AK76" s="319">
        <v>72218.31</v>
      </c>
      <c r="AL76" s="319">
        <v>76625.960000000006</v>
      </c>
      <c r="AM76" s="319">
        <v>82934.009999999995</v>
      </c>
      <c r="AN76" s="319">
        <v>90462.549999999988</v>
      </c>
      <c r="AO76" s="319">
        <v>82936.299999999988</v>
      </c>
      <c r="AP76" s="319">
        <v>83415.999999999985</v>
      </c>
      <c r="AQ76" s="322">
        <v>82940.19</v>
      </c>
      <c r="AR76" s="319">
        <v>82604.349999999991</v>
      </c>
      <c r="AS76" s="319"/>
      <c r="AT76" s="319"/>
      <c r="AU76" s="319"/>
      <c r="AV76" s="334"/>
      <c r="AW76" s="319" t="s">
        <v>58</v>
      </c>
      <c r="AX76" s="319">
        <v>36690.720000000001</v>
      </c>
      <c r="AY76" s="319">
        <v>47808.15</v>
      </c>
      <c r="AZ76" s="319">
        <v>41123.200000000004</v>
      </c>
      <c r="BA76" s="319">
        <v>48653.8</v>
      </c>
      <c r="BB76" s="319">
        <v>50863.200000000004</v>
      </c>
      <c r="BC76" s="319">
        <v>53997.65</v>
      </c>
      <c r="BD76" s="319">
        <v>55315.619999999995</v>
      </c>
      <c r="BE76" s="319">
        <v>60693.06</v>
      </c>
      <c r="BF76" s="319">
        <v>57207.039999999994</v>
      </c>
      <c r="BG76" s="319">
        <v>57981.720000000008</v>
      </c>
      <c r="BH76" s="319">
        <v>58005.43</v>
      </c>
      <c r="BI76" s="319">
        <v>54589.34</v>
      </c>
      <c r="BJ76" s="319">
        <v>64727.65</v>
      </c>
      <c r="BK76" s="319">
        <v>66513.98</v>
      </c>
      <c r="BL76" s="319">
        <v>64633.060000000005</v>
      </c>
      <c r="BM76" s="319">
        <v>54867.479999999996</v>
      </c>
      <c r="BN76" s="319">
        <v>60939.219999999994</v>
      </c>
      <c r="BO76" s="322">
        <v>59546.36</v>
      </c>
      <c r="BP76" s="319">
        <v>56718.890000000007</v>
      </c>
      <c r="BQ76" s="319"/>
      <c r="BR76" s="319"/>
      <c r="BS76" s="319"/>
      <c r="BT76" s="334"/>
      <c r="BU76" s="322" t="s">
        <v>58</v>
      </c>
      <c r="BV76" s="322">
        <v>36690.720000000001</v>
      </c>
      <c r="BW76" s="322">
        <v>19123.259999999998</v>
      </c>
      <c r="BX76" s="322">
        <v>30842.400000000001</v>
      </c>
      <c r="BY76" s="322">
        <v>19461.52</v>
      </c>
      <c r="BZ76" s="322">
        <v>40690.559999999998</v>
      </c>
      <c r="CA76" s="322">
        <v>21599.06</v>
      </c>
      <c r="CB76" s="322">
        <v>46096.35</v>
      </c>
      <c r="CC76" s="322">
        <v>30346.53</v>
      </c>
      <c r="CD76" s="322">
        <v>59835.91</v>
      </c>
      <c r="CE76" s="322">
        <v>30587.309999999998</v>
      </c>
      <c r="CF76" s="322">
        <v>62093.84</v>
      </c>
      <c r="CG76" s="322">
        <v>35646.230000000003</v>
      </c>
      <c r="CH76" s="322">
        <v>71168.73</v>
      </c>
      <c r="CI76" s="322">
        <v>34889.67</v>
      </c>
      <c r="CJ76" s="322">
        <v>64342.149999999994</v>
      </c>
      <c r="CK76" s="322">
        <v>32036.15</v>
      </c>
      <c r="CL76" s="322">
        <v>74152.489999999991</v>
      </c>
      <c r="CM76" s="322">
        <v>32590.89</v>
      </c>
      <c r="CN76" s="322">
        <v>70889.78</v>
      </c>
      <c r="CO76" s="322"/>
      <c r="CP76" s="322"/>
      <c r="CQ76" s="322"/>
      <c r="CR76" s="334"/>
      <c r="CS76" s="322" t="s">
        <v>58</v>
      </c>
      <c r="CT76" s="322">
        <v>91726.8</v>
      </c>
      <c r="CU76" s="322">
        <v>57369.78</v>
      </c>
      <c r="CV76" s="322">
        <v>51404</v>
      </c>
      <c r="CW76" s="322">
        <v>38923.040000000001</v>
      </c>
      <c r="CX76" s="322">
        <v>50863.199999999997</v>
      </c>
      <c r="CY76" s="322">
        <v>53997.65</v>
      </c>
      <c r="CZ76" s="322">
        <v>55315.62</v>
      </c>
      <c r="DA76" s="322">
        <v>60693.06</v>
      </c>
      <c r="DB76" s="322">
        <v>71672.98</v>
      </c>
      <c r="DC76" s="322">
        <v>111626.58</v>
      </c>
      <c r="DD76" s="322">
        <v>70130.47</v>
      </c>
      <c r="DE76" s="322">
        <v>194465.82999999996</v>
      </c>
      <c r="DF76" s="322">
        <v>69530.98</v>
      </c>
      <c r="DG76" s="322">
        <v>73788.23</v>
      </c>
      <c r="DH76" s="322">
        <v>117869.38999999998</v>
      </c>
      <c r="DI76" s="322">
        <v>72408.849999999991</v>
      </c>
      <c r="DJ76" s="322">
        <v>55821.789999999986</v>
      </c>
      <c r="DK76" s="322">
        <v>59851.86</v>
      </c>
      <c r="DL76" s="322">
        <v>60946.470000000008</v>
      </c>
      <c r="DM76" s="322"/>
      <c r="DN76" s="322"/>
      <c r="DO76" s="322"/>
      <c r="DP76" s="334"/>
      <c r="DQ76" s="322" t="s">
        <v>58</v>
      </c>
      <c r="DR76" s="322">
        <v>82554.12</v>
      </c>
      <c r="DS76" s="322">
        <v>86054.67</v>
      </c>
      <c r="DT76" s="322">
        <v>102808</v>
      </c>
      <c r="DU76" s="322">
        <v>116769.12</v>
      </c>
      <c r="DV76" s="322">
        <v>122071.67999999999</v>
      </c>
      <c r="DW76" s="322">
        <v>151193.42000000001</v>
      </c>
      <c r="DX76" s="322">
        <v>119850.51</v>
      </c>
      <c r="DY76" s="322">
        <v>131501.63</v>
      </c>
      <c r="DZ76" s="322">
        <v>150009.91</v>
      </c>
      <c r="EA76" s="322">
        <v>161660.81000000003</v>
      </c>
      <c r="EB76" s="322">
        <v>138905.65000000002</v>
      </c>
      <c r="EC76" s="322">
        <v>149147.07999999999</v>
      </c>
      <c r="ED76" s="322">
        <v>154682.19</v>
      </c>
      <c r="EE76" s="322">
        <v>140442.32</v>
      </c>
      <c r="EF76" s="322">
        <v>107314.40000000001</v>
      </c>
      <c r="EG76" s="322">
        <v>109707.81</v>
      </c>
      <c r="EH76" s="322">
        <v>95680.15</v>
      </c>
      <c r="EI76" s="322">
        <v>104497.52999999998</v>
      </c>
      <c r="EJ76" s="322">
        <v>117466.93000000001</v>
      </c>
      <c r="EK76" s="322"/>
      <c r="EL76" s="322"/>
      <c r="EM76" s="322"/>
      <c r="EN76" s="334"/>
      <c r="EO76" s="322" t="s">
        <v>58</v>
      </c>
      <c r="EP76" s="322">
        <v>18345.36</v>
      </c>
      <c r="EQ76" s="322">
        <v>19123.259999999998</v>
      </c>
      <c r="ER76" s="322">
        <v>20561.599999999999</v>
      </c>
      <c r="ES76" s="322">
        <v>19461.52</v>
      </c>
      <c r="ET76" s="322">
        <v>20345.28</v>
      </c>
      <c r="EU76" s="322">
        <v>21599.06</v>
      </c>
      <c r="EV76" s="322">
        <v>27657.81</v>
      </c>
      <c r="EW76" s="322">
        <v>30346.53</v>
      </c>
      <c r="EX76" s="322">
        <v>34037.97</v>
      </c>
      <c r="EY76" s="322">
        <v>34208.479999999996</v>
      </c>
      <c r="EZ76" s="322">
        <v>35042.400000000001</v>
      </c>
      <c r="FA76" s="322">
        <v>37069.199999999997</v>
      </c>
      <c r="FB76" s="322">
        <v>38578.35</v>
      </c>
      <c r="FC76" s="322">
        <v>40437.25</v>
      </c>
      <c r="FD76" s="322">
        <v>40448.439999999995</v>
      </c>
      <c r="FE76" s="322">
        <v>40942.089999999997</v>
      </c>
      <c r="FF76" s="322">
        <v>40875.009999999995</v>
      </c>
      <c r="FG76" s="322">
        <v>40604.449999999997</v>
      </c>
      <c r="FH76" s="322">
        <v>41985.56</v>
      </c>
      <c r="FI76" s="322"/>
      <c r="FJ76" s="322"/>
      <c r="FK76" s="322"/>
      <c r="FL76" s="334"/>
      <c r="FM76" s="322" t="s">
        <v>58</v>
      </c>
      <c r="FN76" s="322">
        <v>36690.720000000001</v>
      </c>
      <c r="FO76" s="322">
        <v>47808.15</v>
      </c>
      <c r="FP76" s="322">
        <v>41123.199999999997</v>
      </c>
      <c r="FQ76" s="322">
        <v>48653.8</v>
      </c>
      <c r="FR76" s="322">
        <v>50863.199999999997</v>
      </c>
      <c r="FS76" s="322">
        <v>53997.65</v>
      </c>
      <c r="FT76" s="322">
        <v>46096.35</v>
      </c>
      <c r="FU76" s="322">
        <v>60693.06</v>
      </c>
      <c r="FV76" s="322">
        <v>59019.000000000007</v>
      </c>
      <c r="FW76" s="322">
        <v>63136.49</v>
      </c>
      <c r="FX76" s="322">
        <v>64420.77</v>
      </c>
      <c r="FY76" s="322">
        <v>73767.009999999995</v>
      </c>
      <c r="FZ76" s="322">
        <v>74666.050000000017</v>
      </c>
      <c r="GA76" s="322">
        <v>75800.13</v>
      </c>
      <c r="GB76" s="322">
        <v>77904.240000000005</v>
      </c>
      <c r="GC76" s="322">
        <v>77599.88</v>
      </c>
      <c r="GD76" s="322">
        <v>77506.290000000008</v>
      </c>
      <c r="GE76" s="322">
        <v>73652.56</v>
      </c>
      <c r="GF76" s="340">
        <v>76812.430000000008</v>
      </c>
      <c r="GG76" s="704"/>
      <c r="GH76" s="704"/>
      <c r="GI76" s="704"/>
      <c r="GJ76" s="334"/>
      <c r="GK76" s="322" t="s">
        <v>58</v>
      </c>
      <c r="GL76" s="322">
        <v>9172.68</v>
      </c>
      <c r="GM76" s="322">
        <v>19123.259999999998</v>
      </c>
      <c r="GN76" s="322">
        <v>20561.599999999999</v>
      </c>
      <c r="GO76" s="322">
        <v>19461.52</v>
      </c>
      <c r="GP76" s="322">
        <v>20345.28</v>
      </c>
      <c r="GQ76" s="322">
        <v>53997.65</v>
      </c>
      <c r="GR76" s="322">
        <v>27657.81</v>
      </c>
      <c r="GS76" s="322">
        <v>30346.53</v>
      </c>
      <c r="GT76" s="322">
        <v>31118.16</v>
      </c>
      <c r="GU76" s="322">
        <v>30545.980000000003</v>
      </c>
      <c r="GV76" s="322">
        <v>24356.93</v>
      </c>
      <c r="GW76" s="322">
        <v>20513.43</v>
      </c>
      <c r="GX76" s="322">
        <v>25455.81</v>
      </c>
      <c r="GY76" s="322">
        <v>23882.37</v>
      </c>
      <c r="GZ76" s="322">
        <v>18708.75</v>
      </c>
      <c r="HA76" s="322">
        <v>18717.75</v>
      </c>
      <c r="HB76" s="322">
        <v>12162.7</v>
      </c>
      <c r="HC76" s="322">
        <v>16463.620000000003</v>
      </c>
      <c r="HD76" s="322">
        <v>21205.63</v>
      </c>
      <c r="HE76" s="322"/>
      <c r="HF76" s="322"/>
      <c r="HG76" s="322"/>
      <c r="HH76" s="334"/>
      <c r="HI76" s="322" t="s">
        <v>58</v>
      </c>
      <c r="HJ76" s="322">
        <v>0</v>
      </c>
      <c r="HK76" s="322">
        <v>0</v>
      </c>
      <c r="HL76" s="322">
        <v>0</v>
      </c>
      <c r="HM76" s="322">
        <v>0</v>
      </c>
      <c r="HN76" s="322">
        <v>0</v>
      </c>
      <c r="HO76" s="322">
        <v>0</v>
      </c>
      <c r="HP76" s="322">
        <v>0</v>
      </c>
      <c r="HQ76" s="322">
        <v>0</v>
      </c>
      <c r="HR76" s="322">
        <v>0</v>
      </c>
      <c r="HS76" s="322">
        <v>0</v>
      </c>
      <c r="HT76" s="322">
        <v>0</v>
      </c>
      <c r="HU76" s="322">
        <v>0</v>
      </c>
      <c r="HV76" s="322">
        <v>0</v>
      </c>
      <c r="HW76" s="322">
        <v>0</v>
      </c>
      <c r="HX76" s="322">
        <v>3846.5499999999997</v>
      </c>
      <c r="HY76" s="322">
        <v>10556.63</v>
      </c>
      <c r="HZ76" s="322">
        <v>12663.369999999999</v>
      </c>
      <c r="IA76" s="322">
        <v>10685.91</v>
      </c>
      <c r="IB76" s="322">
        <v>11350.04</v>
      </c>
      <c r="IC76" s="322"/>
      <c r="ID76" s="322"/>
      <c r="IE76" s="322"/>
      <c r="IF76" s="334"/>
      <c r="IG76" s="322" t="s">
        <v>58</v>
      </c>
      <c r="IH76" s="322">
        <v>9172.68</v>
      </c>
      <c r="II76" s="322">
        <v>9561.6299999999992</v>
      </c>
      <c r="IJ76" s="322">
        <v>10280.799999999999</v>
      </c>
      <c r="IK76" s="322">
        <v>9730.76</v>
      </c>
      <c r="IL76" s="322">
        <v>10172.64</v>
      </c>
      <c r="IM76" s="322">
        <v>10799.53</v>
      </c>
      <c r="IN76" s="322">
        <v>9219.27</v>
      </c>
      <c r="IO76" s="322">
        <v>10115.51</v>
      </c>
      <c r="IP76" s="322">
        <v>5493.1900000000005</v>
      </c>
      <c r="IQ76" s="322">
        <v>9027.58</v>
      </c>
      <c r="IR76" s="322">
        <v>6918.39</v>
      </c>
      <c r="IS76" s="322">
        <v>9047.6799999999985</v>
      </c>
      <c r="IT76" s="322">
        <v>4323.8500000000004</v>
      </c>
      <c r="IU76" s="322">
        <v>5734.54</v>
      </c>
      <c r="IV76" s="322"/>
      <c r="IW76" s="322"/>
      <c r="IX76" s="322"/>
      <c r="IY76" s="322"/>
      <c r="IZ76" s="322"/>
      <c r="JA76" s="322"/>
      <c r="JB76" s="322"/>
      <c r="JC76" s="322"/>
      <c r="JD76" s="334"/>
      <c r="JE76" s="322" t="s">
        <v>58</v>
      </c>
      <c r="JF76" s="322">
        <v>9172.68</v>
      </c>
      <c r="JG76" s="322">
        <v>0</v>
      </c>
      <c r="JH76" s="322">
        <v>0</v>
      </c>
      <c r="JI76" s="322">
        <v>0</v>
      </c>
      <c r="JJ76" s="322">
        <v>0</v>
      </c>
      <c r="JK76" s="322">
        <v>0</v>
      </c>
      <c r="JL76" s="322">
        <v>9219.27</v>
      </c>
      <c r="JM76" s="322">
        <v>10115.51</v>
      </c>
      <c r="JN76" s="322">
        <v>8292.14</v>
      </c>
      <c r="JO76" s="322">
        <v>8346.5300000000007</v>
      </c>
      <c r="JP76" s="322">
        <v>8179.49</v>
      </c>
      <c r="JQ76" s="322">
        <v>8571.8799999999992</v>
      </c>
      <c r="JR76" s="322">
        <v>8032.3200000000006</v>
      </c>
      <c r="JS76" s="322">
        <v>7907.9900000000007</v>
      </c>
      <c r="JT76" s="322">
        <v>8117.9699999999993</v>
      </c>
      <c r="JU76" s="322">
        <v>7993.1</v>
      </c>
      <c r="JV76" s="322">
        <v>8161.55</v>
      </c>
      <c r="JW76" s="322">
        <v>10674.09</v>
      </c>
      <c r="JX76" s="322">
        <v>8721.630000000001</v>
      </c>
      <c r="JY76" s="322"/>
      <c r="JZ76" s="322"/>
      <c r="KA76" s="322"/>
      <c r="KB76" s="334"/>
      <c r="KC76" s="322" t="s">
        <v>58</v>
      </c>
      <c r="KD76" s="322">
        <v>9172.68</v>
      </c>
      <c r="KE76" s="322">
        <v>9561.6299999999992</v>
      </c>
      <c r="KF76" s="322">
        <v>20561.599999999999</v>
      </c>
      <c r="KG76" s="322">
        <v>9730.76</v>
      </c>
      <c r="KH76" s="322">
        <v>20345.28</v>
      </c>
      <c r="KI76" s="322">
        <v>21599.06</v>
      </c>
      <c r="KJ76" s="322">
        <v>27657.81</v>
      </c>
      <c r="KK76" s="322">
        <v>40462.04</v>
      </c>
      <c r="KL76" s="322">
        <v>46290.770000000004</v>
      </c>
      <c r="KM76" s="322">
        <v>30614.510000000002</v>
      </c>
      <c r="KN76" s="322">
        <v>36583.209999999992</v>
      </c>
      <c r="KO76" s="322">
        <v>33301.75</v>
      </c>
      <c r="KP76" s="322">
        <v>36617.810000000005</v>
      </c>
      <c r="KQ76" s="322">
        <v>32479.7</v>
      </c>
      <c r="KR76" s="322">
        <v>33068.369999999995</v>
      </c>
      <c r="KS76" s="322">
        <v>34062.730000000003</v>
      </c>
      <c r="KT76" s="322">
        <v>34163.49</v>
      </c>
      <c r="KU76" s="322">
        <v>48309.93</v>
      </c>
      <c r="KV76" s="322">
        <v>45468.380000000005</v>
      </c>
      <c r="KW76" s="322"/>
      <c r="KX76" s="322"/>
      <c r="KY76" s="322"/>
      <c r="KZ76" s="334"/>
      <c r="LA76" s="322" t="s">
        <v>58</v>
      </c>
      <c r="LB76" s="322">
        <v>91726.8</v>
      </c>
      <c r="LC76" s="322">
        <v>143424.45000000001</v>
      </c>
      <c r="LD76" s="322">
        <v>174773.6</v>
      </c>
      <c r="LE76" s="322">
        <v>116769.12</v>
      </c>
      <c r="LF76" s="322">
        <v>111899.04</v>
      </c>
      <c r="LG76" s="322">
        <v>140393.89000000001</v>
      </c>
      <c r="LH76" s="322">
        <v>110631.24</v>
      </c>
      <c r="LI76" s="322">
        <v>141617.14000000001</v>
      </c>
      <c r="LJ76" s="322">
        <v>150921.84000000003</v>
      </c>
      <c r="LK76" s="322">
        <v>169843.56</v>
      </c>
      <c r="LL76" s="322">
        <v>151804.46</v>
      </c>
      <c r="LM76" s="322">
        <v>169072.95</v>
      </c>
      <c r="LN76" s="322">
        <v>193835.25</v>
      </c>
      <c r="LO76" s="322">
        <v>181154.09</v>
      </c>
      <c r="LP76" s="322">
        <v>171061.45</v>
      </c>
      <c r="LQ76" s="322">
        <v>158930.91000000003</v>
      </c>
      <c r="LR76" s="322">
        <v>159299.62</v>
      </c>
      <c r="LS76" s="322">
        <v>157366.75</v>
      </c>
      <c r="LT76" s="322">
        <v>190697.37</v>
      </c>
      <c r="LU76" s="322"/>
      <c r="LV76" s="322"/>
      <c r="LW76" s="322"/>
      <c r="LX76" s="334"/>
      <c r="LY76" s="322" t="s">
        <v>58</v>
      </c>
      <c r="LZ76" s="322">
        <v>210971.64</v>
      </c>
      <c r="MA76" s="322">
        <v>219917.49</v>
      </c>
      <c r="MB76" s="322">
        <v>215896.8</v>
      </c>
      <c r="MC76" s="322">
        <v>243269</v>
      </c>
      <c r="MD76" s="322">
        <v>305179.2</v>
      </c>
      <c r="ME76" s="322">
        <v>161992.95000000001</v>
      </c>
      <c r="MF76" s="322">
        <v>0</v>
      </c>
      <c r="MG76" s="322">
        <v>0</v>
      </c>
      <c r="MH76" s="322">
        <v>0</v>
      </c>
      <c r="MI76" s="322">
        <v>0</v>
      </c>
      <c r="MJ76" s="322">
        <v>0</v>
      </c>
      <c r="MK76" s="322">
        <v>0</v>
      </c>
      <c r="ML76" s="322">
        <v>0</v>
      </c>
      <c r="MM76" s="322">
        <v>0</v>
      </c>
      <c r="MN76" s="322">
        <v>0</v>
      </c>
      <c r="MO76" s="322">
        <v>0</v>
      </c>
      <c r="MP76" s="322">
        <v>0</v>
      </c>
      <c r="MQ76" s="322">
        <v>0</v>
      </c>
      <c r="MR76" s="322">
        <v>0</v>
      </c>
      <c r="MS76" s="322"/>
      <c r="MT76" s="322"/>
      <c r="MU76" s="322"/>
      <c r="MV76" s="334"/>
      <c r="MW76" s="322" t="s">
        <v>58</v>
      </c>
      <c r="MX76" s="322">
        <v>110072.16</v>
      </c>
      <c r="MY76" s="322">
        <v>95616.3</v>
      </c>
      <c r="MZ76" s="322">
        <v>123369.60000000001</v>
      </c>
      <c r="NA76" s="322">
        <v>97307.6</v>
      </c>
      <c r="NB76" s="322">
        <v>40690.559999999998</v>
      </c>
      <c r="NC76" s="322">
        <v>151193.42000000001</v>
      </c>
      <c r="ND76" s="322">
        <v>0</v>
      </c>
      <c r="NE76" s="322">
        <v>0</v>
      </c>
      <c r="NF76" s="322">
        <v>0</v>
      </c>
      <c r="NG76" s="322">
        <v>0</v>
      </c>
      <c r="NH76" s="322">
        <v>0</v>
      </c>
      <c r="NI76" s="322">
        <v>0</v>
      </c>
      <c r="NJ76" s="322">
        <v>0</v>
      </c>
      <c r="NK76" s="322">
        <v>0</v>
      </c>
      <c r="NL76" s="322">
        <v>0</v>
      </c>
      <c r="NM76" s="322">
        <v>0</v>
      </c>
      <c r="NN76" s="322">
        <v>0</v>
      </c>
      <c r="NO76" s="322">
        <v>0</v>
      </c>
      <c r="NP76" s="322">
        <v>0</v>
      </c>
      <c r="NQ76" s="322"/>
      <c r="NR76" s="322"/>
      <c r="NS76" s="322"/>
      <c r="NT76" s="334"/>
      <c r="NU76" s="322" t="s">
        <v>58</v>
      </c>
      <c r="NV76" s="322">
        <v>45863.4</v>
      </c>
      <c r="NW76" s="322">
        <v>57369.78</v>
      </c>
      <c r="NX76" s="322">
        <v>51404</v>
      </c>
      <c r="NY76" s="322">
        <v>58384.56</v>
      </c>
      <c r="NZ76" s="322">
        <v>30517.919999999998</v>
      </c>
      <c r="OA76" s="322">
        <v>64797.18</v>
      </c>
      <c r="OB76" s="322">
        <v>64534.89</v>
      </c>
      <c r="OC76" s="322">
        <v>80924.08</v>
      </c>
      <c r="OD76" s="322">
        <v>79016.200000000012</v>
      </c>
      <c r="OE76" s="322">
        <v>91120.65</v>
      </c>
      <c r="OF76" s="322">
        <v>96096.41</v>
      </c>
      <c r="OG76" s="322">
        <v>97739.260000000009</v>
      </c>
      <c r="OH76" s="322">
        <v>107031.33</v>
      </c>
      <c r="OI76" s="322">
        <v>103291.43</v>
      </c>
      <c r="OJ76" s="322">
        <v>112106</v>
      </c>
      <c r="OK76" s="322">
        <v>159965.97999999998</v>
      </c>
      <c r="OL76" s="322">
        <v>163534.02000000002</v>
      </c>
      <c r="OM76" s="322">
        <v>163695.01000000004</v>
      </c>
      <c r="ON76" s="322">
        <v>180219.91</v>
      </c>
      <c r="OO76" s="322"/>
      <c r="OP76" s="322"/>
      <c r="OQ76" s="322"/>
      <c r="OR76" s="334"/>
      <c r="OS76" s="322" t="s">
        <v>58</v>
      </c>
      <c r="OT76" s="322">
        <v>27518.04</v>
      </c>
      <c r="OU76" s="322">
        <v>28684.89</v>
      </c>
      <c r="OV76" s="322">
        <v>30842.400000000001</v>
      </c>
      <c r="OW76" s="322">
        <v>19461.52</v>
      </c>
      <c r="OX76" s="322">
        <v>20345.28</v>
      </c>
      <c r="OY76" s="322">
        <v>0</v>
      </c>
      <c r="OZ76" s="322">
        <v>18438.54</v>
      </c>
      <c r="PA76" s="322">
        <v>20231.02</v>
      </c>
      <c r="PB76" s="322">
        <v>19358.38</v>
      </c>
      <c r="PC76" s="322">
        <v>23959.82</v>
      </c>
      <c r="PD76" s="322">
        <v>24459.279999999999</v>
      </c>
      <c r="PE76" s="322">
        <v>22282.75</v>
      </c>
      <c r="PF76" s="322">
        <v>24363.27</v>
      </c>
      <c r="PG76" s="322">
        <v>24534.93</v>
      </c>
      <c r="PH76" s="322">
        <v>22383.61</v>
      </c>
      <c r="PI76" s="322">
        <v>23515.43</v>
      </c>
      <c r="PJ76" s="322">
        <v>27296.02</v>
      </c>
      <c r="PK76" s="322">
        <v>21901.65</v>
      </c>
      <c r="PL76" s="322">
        <v>21391.96</v>
      </c>
      <c r="PM76" s="322"/>
      <c r="PN76" s="322"/>
      <c r="PO76" s="322"/>
      <c r="PP76" s="334"/>
      <c r="PQ76" s="322" t="s">
        <v>58</v>
      </c>
      <c r="PR76" s="322">
        <v>9172.68</v>
      </c>
      <c r="PS76" s="322">
        <v>9561.6299999999992</v>
      </c>
      <c r="PT76" s="322">
        <v>10280.799999999999</v>
      </c>
      <c r="PU76" s="322">
        <v>19461.52</v>
      </c>
      <c r="PV76" s="322">
        <v>10172.64</v>
      </c>
      <c r="PW76" s="322">
        <v>10799.53</v>
      </c>
      <c r="PX76" s="322">
        <v>18438.54</v>
      </c>
      <c r="PY76" s="322">
        <v>20231.02</v>
      </c>
      <c r="PZ76" s="322">
        <v>14416.98</v>
      </c>
      <c r="QA76" s="322">
        <v>14176</v>
      </c>
      <c r="QB76" s="322">
        <v>14405.6</v>
      </c>
      <c r="QC76" s="322">
        <v>16041.55</v>
      </c>
      <c r="QD76" s="322">
        <v>21675.909999999996</v>
      </c>
      <c r="QE76" s="322">
        <v>14991.66</v>
      </c>
      <c r="QF76" s="322">
        <v>15171.050000000001</v>
      </c>
      <c r="QG76" s="322">
        <v>13619.310000000001</v>
      </c>
      <c r="QH76" s="322">
        <v>15112.5</v>
      </c>
      <c r="QI76" s="322">
        <v>18421.240000000002</v>
      </c>
      <c r="QJ76" s="322">
        <v>15171.59</v>
      </c>
      <c r="QK76" s="322"/>
      <c r="QL76" s="322"/>
      <c r="QM76" s="322"/>
      <c r="QN76" s="334"/>
      <c r="QO76" s="322" t="s">
        <v>58</v>
      </c>
      <c r="QP76" s="322">
        <v>0</v>
      </c>
      <c r="QQ76" s="322">
        <v>0</v>
      </c>
      <c r="QR76" s="322">
        <v>0</v>
      </c>
      <c r="QS76" s="322">
        <v>0</v>
      </c>
      <c r="QT76" s="322">
        <v>0</v>
      </c>
      <c r="QU76" s="322">
        <v>0</v>
      </c>
      <c r="QV76" s="322">
        <v>0</v>
      </c>
      <c r="QW76" s="322">
        <v>0</v>
      </c>
      <c r="QX76" s="322">
        <v>3250</v>
      </c>
      <c r="QY76" s="322">
        <v>650</v>
      </c>
      <c r="QZ76" s="322">
        <v>550</v>
      </c>
      <c r="RA76" s="322">
        <v>118989.02</v>
      </c>
      <c r="RB76" s="322">
        <v>950</v>
      </c>
      <c r="RC76" s="322">
        <v>900</v>
      </c>
      <c r="RD76" s="322">
        <v>900</v>
      </c>
      <c r="RE76" s="322">
        <v>840.17</v>
      </c>
      <c r="RF76" s="322">
        <v>900</v>
      </c>
      <c r="RG76" s="322">
        <v>3394.86</v>
      </c>
      <c r="RH76" s="322">
        <v>900</v>
      </c>
      <c r="RI76" s="322"/>
      <c r="RJ76" s="322"/>
      <c r="RK76" s="322"/>
      <c r="RL76" s="334"/>
      <c r="RM76" s="322" t="s">
        <v>58</v>
      </c>
      <c r="RN76" s="322">
        <v>27518.04</v>
      </c>
      <c r="RO76" s="322">
        <v>28684.89</v>
      </c>
      <c r="RP76" s="322">
        <v>30842.400000000001</v>
      </c>
      <c r="RQ76" s="322">
        <v>29192.28</v>
      </c>
      <c r="RR76" s="322">
        <v>50863.199999999997</v>
      </c>
      <c r="RS76" s="322">
        <v>43198.12</v>
      </c>
      <c r="RT76" s="322">
        <v>221262.48</v>
      </c>
      <c r="RU76" s="322">
        <v>212425.71</v>
      </c>
      <c r="RV76" s="322">
        <v>204310.65</v>
      </c>
      <c r="RW76" s="322">
        <v>231602.88</v>
      </c>
      <c r="RX76" s="322">
        <v>140992.18</v>
      </c>
      <c r="RY76" s="322">
        <v>165881.03</v>
      </c>
      <c r="RZ76" s="322">
        <v>145924.09</v>
      </c>
      <c r="SA76" s="322">
        <v>326679.06</v>
      </c>
      <c r="SB76" s="322">
        <v>329910.02</v>
      </c>
      <c r="SC76" s="322">
        <v>266218.44</v>
      </c>
      <c r="SD76" s="322">
        <v>186679.88</v>
      </c>
      <c r="SE76" s="322">
        <v>260935.57</v>
      </c>
      <c r="SF76" s="322">
        <v>202673.38999999998</v>
      </c>
      <c r="SG76" s="322"/>
      <c r="SH76" s="322"/>
      <c r="SI76" s="322"/>
    </row>
    <row r="77" spans="1:503">
      <c r="A77" s="319" t="s">
        <v>59</v>
      </c>
      <c r="B77" s="319">
        <v>1484173</v>
      </c>
      <c r="C77" s="319">
        <v>1908195</v>
      </c>
      <c r="D77" s="319">
        <v>1880516</v>
      </c>
      <c r="E77" s="319">
        <v>2087006</v>
      </c>
      <c r="F77" s="319">
        <v>2051337</v>
      </c>
      <c r="G77" s="319">
        <v>2238377</v>
      </c>
      <c r="H77" s="319">
        <v>2982518</v>
      </c>
      <c r="I77" s="319">
        <v>3184598</v>
      </c>
      <c r="J77" s="319">
        <v>3055935.76</v>
      </c>
      <c r="K77" s="319">
        <v>3103298.1900000004</v>
      </c>
      <c r="L77" s="319">
        <v>3316321.05</v>
      </c>
      <c r="M77" s="319">
        <v>3378986.9599999995</v>
      </c>
      <c r="N77" s="319">
        <v>3608821.9400000004</v>
      </c>
      <c r="O77" s="319">
        <v>4162216.13</v>
      </c>
      <c r="P77" s="319"/>
      <c r="Q77" s="319">
        <v>3499812.0300000003</v>
      </c>
      <c r="R77" s="319"/>
      <c r="S77" s="322">
        <v>3031509.89</v>
      </c>
      <c r="T77" s="319"/>
      <c r="U77" s="319"/>
      <c r="V77" s="319"/>
      <c r="W77" s="319"/>
      <c r="X77" s="330"/>
      <c r="Y77" s="319" t="s">
        <v>59</v>
      </c>
      <c r="Z77" s="319">
        <v>59366.92</v>
      </c>
      <c r="AA77" s="319">
        <v>76327.8</v>
      </c>
      <c r="AB77" s="319">
        <v>56415.48</v>
      </c>
      <c r="AC77" s="319">
        <v>83480.240000000005</v>
      </c>
      <c r="AD77" s="319">
        <v>82053.48</v>
      </c>
      <c r="AE77" s="319">
        <v>89535.08</v>
      </c>
      <c r="AF77" s="319">
        <v>89535.08</v>
      </c>
      <c r="AG77" s="319">
        <v>95537.94</v>
      </c>
      <c r="AH77" s="319">
        <v>85281.87999999999</v>
      </c>
      <c r="AI77" s="319">
        <v>86133.4</v>
      </c>
      <c r="AJ77" s="319">
        <v>86492.290000000008</v>
      </c>
      <c r="AK77" s="319">
        <v>87593.34</v>
      </c>
      <c r="AL77" s="319">
        <v>88465.76</v>
      </c>
      <c r="AM77" s="319">
        <v>90601.190000000017</v>
      </c>
      <c r="AN77" s="319"/>
      <c r="AO77" s="319">
        <v>88270.64</v>
      </c>
      <c r="AP77" s="319"/>
      <c r="AQ77" s="322">
        <v>92178.619999999981</v>
      </c>
      <c r="AR77" s="319"/>
      <c r="AS77" s="319"/>
      <c r="AT77" s="319"/>
      <c r="AU77" s="319"/>
      <c r="AV77" s="334"/>
      <c r="AW77" s="319" t="s">
        <v>59</v>
      </c>
      <c r="AX77" s="319">
        <v>44525.189999999995</v>
      </c>
      <c r="AY77" s="319">
        <v>57245.85</v>
      </c>
      <c r="AZ77" s="319">
        <v>56415.479999999996</v>
      </c>
      <c r="BA77" s="319">
        <v>62610.18</v>
      </c>
      <c r="BB77" s="319">
        <v>61540.11</v>
      </c>
      <c r="BC77" s="319">
        <v>67151.31</v>
      </c>
      <c r="BD77" s="319">
        <v>59650.36</v>
      </c>
      <c r="BE77" s="319">
        <v>63691.96</v>
      </c>
      <c r="BF77" s="319">
        <v>73206.389999999985</v>
      </c>
      <c r="BG77" s="319">
        <v>73552.22</v>
      </c>
      <c r="BH77" s="319">
        <v>69431.59</v>
      </c>
      <c r="BI77" s="319">
        <v>67745.189999999988</v>
      </c>
      <c r="BJ77" s="319">
        <v>72228.62</v>
      </c>
      <c r="BK77" s="319">
        <v>68177.64</v>
      </c>
      <c r="BL77" s="319"/>
      <c r="BM77" s="319">
        <v>70310.289999999994</v>
      </c>
      <c r="BN77" s="319"/>
      <c r="BO77" s="322">
        <v>73170.680000000008</v>
      </c>
      <c r="BP77" s="319"/>
      <c r="BQ77" s="319"/>
      <c r="BR77" s="319"/>
      <c r="BS77" s="319"/>
      <c r="BT77" s="334"/>
      <c r="BU77" s="322" t="s">
        <v>59</v>
      </c>
      <c r="BV77" s="322">
        <v>89050.38</v>
      </c>
      <c r="BW77" s="322">
        <v>76327.8</v>
      </c>
      <c r="BX77" s="322">
        <v>94025.8</v>
      </c>
      <c r="BY77" s="322">
        <v>62610.18</v>
      </c>
      <c r="BZ77" s="322">
        <v>123080.22</v>
      </c>
      <c r="CA77" s="322">
        <v>67151.31</v>
      </c>
      <c r="CB77" s="322">
        <v>119300.72</v>
      </c>
      <c r="CC77" s="322">
        <v>95537.94</v>
      </c>
      <c r="CD77" s="322">
        <v>134556.52000000002</v>
      </c>
      <c r="CE77" s="322">
        <v>37770.410000000003</v>
      </c>
      <c r="CF77" s="322">
        <v>185791.27</v>
      </c>
      <c r="CG77" s="322">
        <v>42110.03</v>
      </c>
      <c r="CH77" s="322">
        <v>134387.09</v>
      </c>
      <c r="CI77" s="322">
        <v>50110.73</v>
      </c>
      <c r="CJ77" s="322"/>
      <c r="CK77" s="322">
        <v>36753.409999999996</v>
      </c>
      <c r="CL77" s="322"/>
      <c r="CM77" s="322">
        <v>41073.810000000005</v>
      </c>
      <c r="CN77" s="322"/>
      <c r="CO77" s="322"/>
      <c r="CP77" s="322"/>
      <c r="CQ77" s="322"/>
      <c r="CR77" s="334"/>
      <c r="CS77" s="322" t="s">
        <v>59</v>
      </c>
      <c r="CT77" s="322">
        <v>89050.38</v>
      </c>
      <c r="CU77" s="322">
        <v>95409.75</v>
      </c>
      <c r="CV77" s="322">
        <v>188051.6</v>
      </c>
      <c r="CW77" s="322">
        <v>125220.36</v>
      </c>
      <c r="CX77" s="322">
        <v>82053.48</v>
      </c>
      <c r="CY77" s="322">
        <v>111918.85</v>
      </c>
      <c r="CZ77" s="322">
        <v>149125.9</v>
      </c>
      <c r="DA77" s="322">
        <v>222921.86</v>
      </c>
      <c r="DB77" s="322">
        <v>230649.53</v>
      </c>
      <c r="DC77" s="322">
        <v>248850.86000000004</v>
      </c>
      <c r="DD77" s="322">
        <v>316129.96000000002</v>
      </c>
      <c r="DE77" s="322">
        <v>511663.67999999993</v>
      </c>
      <c r="DF77" s="322">
        <v>410769.27999999997</v>
      </c>
      <c r="DG77" s="322">
        <v>329169.39</v>
      </c>
      <c r="DH77" s="322"/>
      <c r="DI77" s="322">
        <v>197947.77</v>
      </c>
      <c r="DJ77" s="322"/>
      <c r="DK77" s="322">
        <v>146846.54999999999</v>
      </c>
      <c r="DL77" s="322"/>
      <c r="DM77" s="322"/>
      <c r="DN77" s="322"/>
      <c r="DO77" s="322"/>
      <c r="DP77" s="334"/>
      <c r="DQ77" s="322" t="s">
        <v>59</v>
      </c>
      <c r="DR77" s="322">
        <v>163259.03</v>
      </c>
      <c r="DS77" s="322">
        <v>228983.4</v>
      </c>
      <c r="DT77" s="322">
        <v>225661.92</v>
      </c>
      <c r="DU77" s="322">
        <v>250440.72</v>
      </c>
      <c r="DV77" s="322">
        <v>287187.18</v>
      </c>
      <c r="DW77" s="322">
        <v>290989.01</v>
      </c>
      <c r="DX77" s="322">
        <v>387727.34</v>
      </c>
      <c r="DY77" s="322">
        <v>445843.72</v>
      </c>
      <c r="DZ77" s="322">
        <v>400010.93</v>
      </c>
      <c r="EA77" s="322">
        <v>395822.29</v>
      </c>
      <c r="EB77" s="322">
        <v>442908.92</v>
      </c>
      <c r="EC77" s="322">
        <v>465443.52999999997</v>
      </c>
      <c r="ED77" s="322">
        <v>521757.28999999992</v>
      </c>
      <c r="EE77" s="322">
        <v>507503.47000000003</v>
      </c>
      <c r="EF77" s="322"/>
      <c r="EG77" s="322">
        <v>589246.79</v>
      </c>
      <c r="EH77" s="322"/>
      <c r="EI77" s="322">
        <v>403047.35</v>
      </c>
      <c r="EJ77" s="322"/>
      <c r="EK77" s="322"/>
      <c r="EL77" s="322"/>
      <c r="EM77" s="322"/>
      <c r="EN77" s="334"/>
      <c r="EO77" s="322" t="s">
        <v>59</v>
      </c>
      <c r="EP77" s="322">
        <v>29683.46</v>
      </c>
      <c r="EQ77" s="322">
        <v>19081.95</v>
      </c>
      <c r="ER77" s="322">
        <v>18805.16</v>
      </c>
      <c r="ES77" s="322">
        <v>20870.060000000001</v>
      </c>
      <c r="ET77" s="322">
        <v>41026.74</v>
      </c>
      <c r="EU77" s="322">
        <v>22383.77</v>
      </c>
      <c r="EV77" s="322">
        <v>29825.18</v>
      </c>
      <c r="EW77" s="322">
        <v>31845.98</v>
      </c>
      <c r="EX77" s="322">
        <v>41465.5</v>
      </c>
      <c r="EY77" s="322">
        <v>42014.239999999998</v>
      </c>
      <c r="EZ77" s="322">
        <v>41353.83</v>
      </c>
      <c r="FA77" s="322">
        <v>42469.079999999994</v>
      </c>
      <c r="FB77" s="322">
        <v>46162.14</v>
      </c>
      <c r="FC77" s="322">
        <v>42514.819999999992</v>
      </c>
      <c r="FD77" s="322"/>
      <c r="FE77" s="322">
        <v>42003.06</v>
      </c>
      <c r="FF77" s="322"/>
      <c r="FG77" s="322">
        <v>45844.35</v>
      </c>
      <c r="FH77" s="322"/>
      <c r="FI77" s="322"/>
      <c r="FJ77" s="322"/>
      <c r="FK77" s="322"/>
      <c r="FL77" s="334"/>
      <c r="FM77" s="322" t="s">
        <v>59</v>
      </c>
      <c r="FN77" s="322">
        <v>74208.649999999994</v>
      </c>
      <c r="FO77" s="322">
        <v>95409.75</v>
      </c>
      <c r="FP77" s="322">
        <v>75220.639999999999</v>
      </c>
      <c r="FQ77" s="322">
        <v>83480.240000000005</v>
      </c>
      <c r="FR77" s="322">
        <v>82053.48</v>
      </c>
      <c r="FS77" s="322">
        <v>89535.08</v>
      </c>
      <c r="FT77" s="322">
        <v>89475.54</v>
      </c>
      <c r="FU77" s="322">
        <v>95537.94</v>
      </c>
      <c r="FV77" s="322">
        <v>86188.799999999988</v>
      </c>
      <c r="FW77" s="322">
        <v>92608.450000000012</v>
      </c>
      <c r="FX77" s="322">
        <v>103223.94</v>
      </c>
      <c r="FY77" s="322">
        <v>103193.12999999999</v>
      </c>
      <c r="FZ77" s="322">
        <v>106456.15</v>
      </c>
      <c r="GA77" s="322">
        <v>107297.10999999999</v>
      </c>
      <c r="GB77" s="322"/>
      <c r="GC77" s="322">
        <v>110283.39</v>
      </c>
      <c r="GD77" s="322"/>
      <c r="GE77" s="322">
        <v>125995.62000000001</v>
      </c>
      <c r="GF77" s="340"/>
      <c r="GG77" s="704"/>
      <c r="GH77" s="704"/>
      <c r="GI77" s="704"/>
      <c r="GJ77" s="334"/>
      <c r="GK77" s="322" t="s">
        <v>59</v>
      </c>
      <c r="GL77" s="322">
        <v>59366.92</v>
      </c>
      <c r="GM77" s="322">
        <v>76327.8</v>
      </c>
      <c r="GN77" s="322">
        <v>56415.48</v>
      </c>
      <c r="GO77" s="322">
        <v>62610.18</v>
      </c>
      <c r="GP77" s="322">
        <v>82053.48</v>
      </c>
      <c r="GQ77" s="322">
        <v>89535.08</v>
      </c>
      <c r="GR77" s="322">
        <v>89475.54</v>
      </c>
      <c r="GS77" s="322">
        <v>63691.96</v>
      </c>
      <c r="GT77" s="322">
        <v>73095.95</v>
      </c>
      <c r="GU77" s="322">
        <v>68800.179999999993</v>
      </c>
      <c r="GV77" s="322">
        <v>67894.81</v>
      </c>
      <c r="GW77" s="322">
        <v>65555.44</v>
      </c>
      <c r="GX77" s="322">
        <v>69530.89</v>
      </c>
      <c r="GY77" s="322">
        <v>67913.649999999994</v>
      </c>
      <c r="GZ77" s="322"/>
      <c r="HA77" s="322">
        <v>71512.39</v>
      </c>
      <c r="HB77" s="322"/>
      <c r="HC77" s="322">
        <v>73594.78</v>
      </c>
      <c r="HD77" s="322"/>
      <c r="HE77" s="322"/>
      <c r="HF77" s="322"/>
      <c r="HG77" s="322"/>
      <c r="HH77" s="334"/>
      <c r="HI77" s="322" t="s">
        <v>59</v>
      </c>
      <c r="HJ77" s="322">
        <v>14841.73</v>
      </c>
      <c r="HK77" s="322">
        <v>19081.95</v>
      </c>
      <c r="HL77" s="322">
        <v>18805.16</v>
      </c>
      <c r="HM77" s="322">
        <v>20870.060000000001</v>
      </c>
      <c r="HN77" s="322">
        <v>0</v>
      </c>
      <c r="HO77" s="322">
        <v>0</v>
      </c>
      <c r="HP77" s="322">
        <v>0</v>
      </c>
      <c r="HQ77" s="322">
        <v>0</v>
      </c>
      <c r="HR77" s="322">
        <v>15401.529999999999</v>
      </c>
      <c r="HS77" s="322">
        <v>7329.5399999999991</v>
      </c>
      <c r="HT77" s="322">
        <v>6481.88</v>
      </c>
      <c r="HU77" s="322">
        <v>14922.43</v>
      </c>
      <c r="HV77" s="322">
        <v>6606.06</v>
      </c>
      <c r="HW77" s="322">
        <v>8229.4599999999991</v>
      </c>
      <c r="HX77" s="322"/>
      <c r="HY77" s="322">
        <v>11337.380000000001</v>
      </c>
      <c r="HZ77" s="322"/>
      <c r="IA77" s="322">
        <v>9379.6799999999985</v>
      </c>
      <c r="IB77" s="322"/>
      <c r="IC77" s="322"/>
      <c r="ID77" s="322"/>
      <c r="IE77" s="322"/>
      <c r="IF77" s="334"/>
      <c r="IG77" s="322" t="s">
        <v>59</v>
      </c>
      <c r="IH77" s="322">
        <v>14841.73</v>
      </c>
      <c r="II77" s="322">
        <v>19081.95</v>
      </c>
      <c r="IJ77" s="322">
        <v>18805.16</v>
      </c>
      <c r="IK77" s="322">
        <v>20870.060000000001</v>
      </c>
      <c r="IL77" s="322">
        <v>20513.37</v>
      </c>
      <c r="IM77" s="322">
        <v>22383.77</v>
      </c>
      <c r="IN77" s="322">
        <v>0</v>
      </c>
      <c r="IO77" s="322">
        <v>0</v>
      </c>
      <c r="IP77" s="322">
        <v>6702.3499999999995</v>
      </c>
      <c r="IQ77" s="322">
        <v>13277.18</v>
      </c>
      <c r="IR77" s="322">
        <v>8855.9</v>
      </c>
      <c r="IS77" s="322">
        <v>13330.32</v>
      </c>
      <c r="IT77" s="322">
        <v>12380.760000000002</v>
      </c>
      <c r="IU77" s="322">
        <v>8961.82</v>
      </c>
      <c r="IV77" s="322"/>
      <c r="IW77" s="322"/>
      <c r="IX77" s="322"/>
      <c r="IY77" s="322"/>
      <c r="IZ77" s="322"/>
      <c r="JA77" s="322"/>
      <c r="JB77" s="322"/>
      <c r="JC77" s="322"/>
      <c r="JD77" s="334"/>
      <c r="JE77" s="322" t="s">
        <v>59</v>
      </c>
      <c r="JF77" s="322">
        <v>0</v>
      </c>
      <c r="JG77" s="322">
        <v>0</v>
      </c>
      <c r="JH77" s="322">
        <v>0</v>
      </c>
      <c r="JI77" s="322">
        <v>0</v>
      </c>
      <c r="JJ77" s="322">
        <v>0</v>
      </c>
      <c r="JK77" s="322">
        <v>0</v>
      </c>
      <c r="JL77" s="322">
        <v>0</v>
      </c>
      <c r="JM77" s="322">
        <v>0</v>
      </c>
      <c r="JN77" s="322">
        <v>3514.98</v>
      </c>
      <c r="JO77" s="322">
        <v>3625.2200000000003</v>
      </c>
      <c r="JP77" s="322">
        <v>2540.12</v>
      </c>
      <c r="JQ77" s="322">
        <v>8419.19</v>
      </c>
      <c r="JR77" s="322">
        <v>2200.29</v>
      </c>
      <c r="JS77" s="322">
        <v>7362.3099999999995</v>
      </c>
      <c r="JT77" s="322"/>
      <c r="JU77" s="322">
        <v>6444.65</v>
      </c>
      <c r="JV77" s="322"/>
      <c r="JW77" s="322">
        <v>3443.74</v>
      </c>
      <c r="JX77" s="322"/>
      <c r="JY77" s="322"/>
      <c r="JZ77" s="322"/>
      <c r="KA77" s="322"/>
      <c r="KB77" s="334"/>
      <c r="KC77" s="322" t="s">
        <v>59</v>
      </c>
      <c r="KD77" s="322">
        <v>14841.73</v>
      </c>
      <c r="KE77" s="322">
        <v>19081.95</v>
      </c>
      <c r="KF77" s="322">
        <v>18805.16</v>
      </c>
      <c r="KG77" s="322">
        <v>20870.060000000001</v>
      </c>
      <c r="KH77" s="322">
        <v>20513.37</v>
      </c>
      <c r="KI77" s="322">
        <v>44767.54</v>
      </c>
      <c r="KJ77" s="322">
        <v>29825.18</v>
      </c>
      <c r="KK77" s="322">
        <v>31845.98</v>
      </c>
      <c r="KL77" s="322">
        <v>27174.240000000002</v>
      </c>
      <c r="KM77" s="322">
        <v>26571.850000000002</v>
      </c>
      <c r="KN77" s="322">
        <v>26677.43</v>
      </c>
      <c r="KO77" s="322">
        <v>26663.040000000001</v>
      </c>
      <c r="KP77" s="322">
        <v>26748.200000000004</v>
      </c>
      <c r="KQ77" s="322">
        <v>28959.79</v>
      </c>
      <c r="KR77" s="322"/>
      <c r="KS77" s="322">
        <v>28339.94</v>
      </c>
      <c r="KT77" s="322"/>
      <c r="KU77" s="322">
        <v>45924.53</v>
      </c>
      <c r="KV77" s="322"/>
      <c r="KW77" s="322"/>
      <c r="KX77" s="322"/>
      <c r="KY77" s="322"/>
      <c r="KZ77" s="334"/>
      <c r="LA77" s="322" t="s">
        <v>59</v>
      </c>
      <c r="LB77" s="322">
        <v>148417.29999999999</v>
      </c>
      <c r="LC77" s="322">
        <v>248065.35</v>
      </c>
      <c r="LD77" s="322">
        <v>206856.76</v>
      </c>
      <c r="LE77" s="322">
        <v>229570.66</v>
      </c>
      <c r="LF77" s="322">
        <v>205133.7</v>
      </c>
      <c r="LG77" s="322">
        <v>201453.93</v>
      </c>
      <c r="LH77" s="322">
        <v>268426.62</v>
      </c>
      <c r="LI77" s="322">
        <v>254767.84</v>
      </c>
      <c r="LJ77" s="322">
        <v>383447.11000000004</v>
      </c>
      <c r="LK77" s="322">
        <v>501301.85</v>
      </c>
      <c r="LL77" s="322">
        <v>259750.85</v>
      </c>
      <c r="LM77" s="322">
        <v>326088.33999999997</v>
      </c>
      <c r="LN77" s="322">
        <v>359404.82999999996</v>
      </c>
      <c r="LO77" s="322">
        <v>1075323.1599999999</v>
      </c>
      <c r="LP77" s="322"/>
      <c r="LQ77" s="322">
        <v>414872.61999999994</v>
      </c>
      <c r="LR77" s="322"/>
      <c r="LS77" s="322">
        <v>263017.24</v>
      </c>
      <c r="LT77" s="322"/>
      <c r="LU77" s="322"/>
      <c r="LV77" s="322"/>
      <c r="LW77" s="322"/>
      <c r="LX77" s="334"/>
      <c r="LY77" s="322" t="s">
        <v>59</v>
      </c>
      <c r="LZ77" s="322">
        <v>341359.79</v>
      </c>
      <c r="MA77" s="322">
        <v>438884.85</v>
      </c>
      <c r="MB77" s="322">
        <v>451323.84</v>
      </c>
      <c r="MC77" s="322">
        <v>459141.32</v>
      </c>
      <c r="MD77" s="322">
        <v>471807.51</v>
      </c>
      <c r="ME77" s="322">
        <v>581978.02</v>
      </c>
      <c r="MF77" s="322">
        <v>835105.04</v>
      </c>
      <c r="MG77" s="322">
        <v>955379.4</v>
      </c>
      <c r="MH77" s="322">
        <v>762202.65</v>
      </c>
      <c r="MI77" s="322">
        <v>580649.86999999988</v>
      </c>
      <c r="MJ77" s="322">
        <v>718928.40999999992</v>
      </c>
      <c r="MK77" s="322">
        <v>670264.32999999984</v>
      </c>
      <c r="ML77" s="322">
        <v>670333.19999999995</v>
      </c>
      <c r="MM77" s="322">
        <v>723200.8899999999</v>
      </c>
      <c r="MN77" s="322"/>
      <c r="MO77" s="322">
        <v>756214.79000000015</v>
      </c>
      <c r="MP77" s="322"/>
      <c r="MQ77" s="322">
        <v>678213.59</v>
      </c>
      <c r="MR77" s="322"/>
      <c r="MS77" s="322"/>
      <c r="MT77" s="322"/>
      <c r="MU77" s="322"/>
      <c r="MV77" s="334"/>
      <c r="MW77" s="322" t="s">
        <v>59</v>
      </c>
      <c r="MX77" s="322">
        <v>133575.57</v>
      </c>
      <c r="MY77" s="322">
        <v>190819.5</v>
      </c>
      <c r="MZ77" s="322">
        <v>169246.44</v>
      </c>
      <c r="NA77" s="322">
        <v>187830.54</v>
      </c>
      <c r="NB77" s="322">
        <v>205133.7</v>
      </c>
      <c r="NC77" s="322">
        <v>223837.7</v>
      </c>
      <c r="ND77" s="322">
        <v>447377.7</v>
      </c>
      <c r="NE77" s="322">
        <v>477689.7</v>
      </c>
      <c r="NF77" s="322">
        <v>430295.55</v>
      </c>
      <c r="NG77" s="322">
        <v>519880.97000000003</v>
      </c>
      <c r="NH77" s="322">
        <v>543373.80999999994</v>
      </c>
      <c r="NI77" s="322">
        <v>551965.1</v>
      </c>
      <c r="NJ77" s="322">
        <v>589314.92000000004</v>
      </c>
      <c r="NK77" s="322">
        <v>604313.75999999978</v>
      </c>
      <c r="NL77" s="322"/>
      <c r="NM77" s="322">
        <v>562383.17999999993</v>
      </c>
      <c r="NN77" s="322"/>
      <c r="NO77" s="322">
        <v>534771.19000000006</v>
      </c>
      <c r="NP77" s="322"/>
      <c r="NQ77" s="322"/>
      <c r="NR77" s="322"/>
      <c r="NS77" s="322"/>
      <c r="NT77" s="334"/>
      <c r="NU77" s="322" t="s">
        <v>59</v>
      </c>
      <c r="NV77" s="322">
        <v>133575.57</v>
      </c>
      <c r="NW77" s="322">
        <v>152655.6</v>
      </c>
      <c r="NX77" s="322">
        <v>131636.12</v>
      </c>
      <c r="NY77" s="322">
        <v>208700.6</v>
      </c>
      <c r="NZ77" s="322">
        <v>225647.07</v>
      </c>
      <c r="OA77" s="322">
        <v>223837.7</v>
      </c>
      <c r="OB77" s="322">
        <v>238601.44</v>
      </c>
      <c r="OC77" s="322">
        <v>222921.86</v>
      </c>
      <c r="OD77" s="322">
        <v>229862.39999999997</v>
      </c>
      <c r="OE77" s="322">
        <v>229675.66999999998</v>
      </c>
      <c r="OF77" s="322">
        <v>259383.44</v>
      </c>
      <c r="OG77" s="322">
        <v>256583.06</v>
      </c>
      <c r="OH77" s="322">
        <v>298545.21000000002</v>
      </c>
      <c r="OI77" s="322">
        <v>310594.02</v>
      </c>
      <c r="OJ77" s="322"/>
      <c r="OK77" s="322">
        <v>325490.52</v>
      </c>
      <c r="OL77" s="322"/>
      <c r="OM77" s="322">
        <v>339690.85000000003</v>
      </c>
      <c r="ON77" s="322"/>
      <c r="OO77" s="322"/>
      <c r="OP77" s="322"/>
      <c r="OQ77" s="322"/>
      <c r="OR77" s="334"/>
      <c r="OS77" s="322" t="s">
        <v>59</v>
      </c>
      <c r="OT77" s="322">
        <v>59366.92</v>
      </c>
      <c r="OU77" s="322">
        <v>76327.8</v>
      </c>
      <c r="OV77" s="322">
        <v>75220.639999999999</v>
      </c>
      <c r="OW77" s="322">
        <v>41740.120000000003</v>
      </c>
      <c r="OX77" s="322">
        <v>41026.74</v>
      </c>
      <c r="OY77" s="322">
        <v>44767.54</v>
      </c>
      <c r="OZ77" s="322">
        <v>59650.36</v>
      </c>
      <c r="PA77" s="322">
        <v>63691.96</v>
      </c>
      <c r="PB77" s="322">
        <v>38312.409999999996</v>
      </c>
      <c r="PC77" s="322">
        <v>21584.09</v>
      </c>
      <c r="PD77" s="322">
        <v>22552.620000000003</v>
      </c>
      <c r="PE77" s="322">
        <v>23932.83</v>
      </c>
      <c r="PF77" s="322">
        <v>18347.55</v>
      </c>
      <c r="PG77" s="322">
        <v>17766.71</v>
      </c>
      <c r="PH77" s="322"/>
      <c r="PI77" s="322">
        <v>40338.43</v>
      </c>
      <c r="PJ77" s="322"/>
      <c r="PK77" s="322">
        <v>32929.760000000002</v>
      </c>
      <c r="PL77" s="322"/>
      <c r="PM77" s="322"/>
      <c r="PN77" s="322"/>
      <c r="PO77" s="322"/>
      <c r="PP77" s="334"/>
      <c r="PQ77" s="322" t="s">
        <v>59</v>
      </c>
      <c r="PR77" s="322">
        <v>14841.73</v>
      </c>
      <c r="PS77" s="322">
        <v>19081.95</v>
      </c>
      <c r="PT77" s="322">
        <v>18805.16</v>
      </c>
      <c r="PU77" s="322">
        <v>20870.060000000001</v>
      </c>
      <c r="PV77" s="322">
        <v>20513.37</v>
      </c>
      <c r="PW77" s="322">
        <v>22383.77</v>
      </c>
      <c r="PX77" s="322">
        <v>29825.18</v>
      </c>
      <c r="PY77" s="322">
        <v>31845.98</v>
      </c>
      <c r="PZ77" s="322">
        <v>24703.530000000002</v>
      </c>
      <c r="QA77" s="322">
        <v>24387.599999999999</v>
      </c>
      <c r="QB77" s="322">
        <v>28584.980000000003</v>
      </c>
      <c r="QC77" s="322">
        <v>18255.900000000001</v>
      </c>
      <c r="QD77" s="322">
        <v>25303.8</v>
      </c>
      <c r="QE77" s="322">
        <v>24247.19</v>
      </c>
      <c r="QF77" s="322"/>
      <c r="QG77" s="322">
        <v>22433.780000000002</v>
      </c>
      <c r="QH77" s="322"/>
      <c r="QI77" s="322">
        <v>41946.77</v>
      </c>
      <c r="QJ77" s="322"/>
      <c r="QK77" s="322"/>
      <c r="QL77" s="322"/>
      <c r="QM77" s="322"/>
      <c r="QN77" s="334"/>
      <c r="QO77" s="322" t="s">
        <v>59</v>
      </c>
      <c r="QP77" s="322">
        <v>0</v>
      </c>
      <c r="QQ77" s="322">
        <v>0</v>
      </c>
      <c r="QR77" s="322">
        <v>0</v>
      </c>
      <c r="QS77" s="322">
        <v>0</v>
      </c>
      <c r="QT77" s="322">
        <v>0</v>
      </c>
      <c r="QU77" s="322">
        <v>0</v>
      </c>
      <c r="QV77" s="322">
        <v>0</v>
      </c>
      <c r="QW77" s="322">
        <v>0</v>
      </c>
      <c r="QX77" s="322">
        <v>2100</v>
      </c>
      <c r="QY77" s="322">
        <v>4200</v>
      </c>
      <c r="QZ77" s="322">
        <v>7515</v>
      </c>
      <c r="RA77" s="322">
        <v>7789</v>
      </c>
      <c r="RB77" s="322">
        <v>13065</v>
      </c>
      <c r="RC77" s="322">
        <v>10790</v>
      </c>
      <c r="RD77" s="322"/>
      <c r="RE77" s="322">
        <v>1500</v>
      </c>
      <c r="RF77" s="322"/>
      <c r="RG77" s="322">
        <v>1550</v>
      </c>
      <c r="RH77" s="322"/>
      <c r="RI77" s="322"/>
      <c r="RJ77" s="322"/>
      <c r="RK77" s="322"/>
      <c r="RL77" s="334"/>
      <c r="RM77" s="322" t="s">
        <v>59</v>
      </c>
      <c r="RN77" s="322">
        <v>0</v>
      </c>
      <c r="RO77" s="322">
        <v>0</v>
      </c>
      <c r="RP77" s="322">
        <v>0</v>
      </c>
      <c r="RQ77" s="322">
        <v>125220.36</v>
      </c>
      <c r="RR77" s="322">
        <v>0</v>
      </c>
      <c r="RS77" s="322">
        <v>44767.54</v>
      </c>
      <c r="RT77" s="322">
        <v>29825.18</v>
      </c>
      <c r="RU77" s="322">
        <v>31845.98</v>
      </c>
      <c r="RV77" s="322">
        <v>0</v>
      </c>
      <c r="RW77" s="322">
        <v>125262.3</v>
      </c>
      <c r="RX77" s="322">
        <v>118450</v>
      </c>
      <c r="RY77" s="322">
        <v>75000</v>
      </c>
      <c r="RZ77" s="322">
        <v>136814.9</v>
      </c>
      <c r="SA77" s="322">
        <v>79179.02</v>
      </c>
      <c r="SB77" s="322"/>
      <c r="SC77" s="322">
        <v>124129</v>
      </c>
      <c r="SD77" s="322"/>
      <c r="SE77" s="322">
        <v>78890.78</v>
      </c>
      <c r="SF77" s="322"/>
      <c r="SG77" s="322"/>
      <c r="SH77" s="322"/>
      <c r="SI77" s="322"/>
    </row>
    <row r="78" spans="1:503">
      <c r="A78" s="319" t="s">
        <v>60</v>
      </c>
      <c r="B78" s="319">
        <v>1836104</v>
      </c>
      <c r="C78" s="319">
        <v>1737200</v>
      </c>
      <c r="D78" s="319">
        <v>2007622</v>
      </c>
      <c r="E78" s="319">
        <v>1794856</v>
      </c>
      <c r="F78" s="319">
        <v>2034822</v>
      </c>
      <c r="G78" s="319">
        <v>2134464</v>
      </c>
      <c r="H78" s="319">
        <v>2091251</v>
      </c>
      <c r="I78" s="319">
        <v>2275222</v>
      </c>
      <c r="J78" s="319">
        <v>2542690.13</v>
      </c>
      <c r="K78" s="319">
        <v>2704425.7700000005</v>
      </c>
      <c r="L78" s="319">
        <v>2842238.48</v>
      </c>
      <c r="M78" s="319">
        <v>2880709.1100000003</v>
      </c>
      <c r="N78" s="319">
        <v>2963459.69</v>
      </c>
      <c r="O78" s="319">
        <v>2754422.26</v>
      </c>
      <c r="P78" s="319">
        <v>2756355.6199999996</v>
      </c>
      <c r="Q78" s="319">
        <v>3036046.59</v>
      </c>
      <c r="R78" s="319">
        <v>3328299.75</v>
      </c>
      <c r="S78" s="322">
        <v>3184786.34</v>
      </c>
      <c r="T78" s="319">
        <v>3318014.2</v>
      </c>
      <c r="U78" s="319">
        <v>3019779.13</v>
      </c>
      <c r="V78" s="319">
        <v>3431500.8499999996</v>
      </c>
      <c r="W78" s="319">
        <v>4091046</v>
      </c>
      <c r="X78" s="330"/>
      <c r="Y78" s="319" t="s">
        <v>60</v>
      </c>
      <c r="Z78" s="319">
        <v>55083.12</v>
      </c>
      <c r="AA78" s="319">
        <v>52116</v>
      </c>
      <c r="AB78" s="319">
        <v>60228.66</v>
      </c>
      <c r="AC78" s="319">
        <v>71794.240000000005</v>
      </c>
      <c r="AD78" s="319">
        <v>81392.88</v>
      </c>
      <c r="AE78" s="319">
        <v>85378.559999999998</v>
      </c>
      <c r="AF78" s="319">
        <v>85378.559999999998</v>
      </c>
      <c r="AG78" s="319">
        <v>91008.88</v>
      </c>
      <c r="AH78" s="319">
        <v>95324.58</v>
      </c>
      <c r="AI78" s="319">
        <v>96487.93</v>
      </c>
      <c r="AJ78" s="319">
        <v>99137.58</v>
      </c>
      <c r="AK78" s="319">
        <v>101612.02</v>
      </c>
      <c r="AL78" s="319">
        <v>99332.87999999999</v>
      </c>
      <c r="AM78" s="319">
        <v>100173.99</v>
      </c>
      <c r="AN78" s="319">
        <v>98901.7</v>
      </c>
      <c r="AO78" s="319">
        <v>101499.55</v>
      </c>
      <c r="AP78" s="319">
        <v>103046.65</v>
      </c>
      <c r="AQ78" s="322">
        <v>102566</v>
      </c>
      <c r="AR78" s="319">
        <v>102666.34999999999</v>
      </c>
      <c r="AS78" s="319">
        <v>101538.2</v>
      </c>
      <c r="AT78" s="319">
        <v>105673.15</v>
      </c>
      <c r="AU78" s="319">
        <v>110000</v>
      </c>
      <c r="AV78" s="334"/>
      <c r="AW78" s="319" t="s">
        <v>60</v>
      </c>
      <c r="AX78" s="319">
        <v>55083.119999999995</v>
      </c>
      <c r="AY78" s="319">
        <v>69488</v>
      </c>
      <c r="AZ78" s="319">
        <v>60228.659999999996</v>
      </c>
      <c r="BA78" s="319">
        <v>71794.240000000005</v>
      </c>
      <c r="BB78" s="319">
        <v>81392.88</v>
      </c>
      <c r="BC78" s="319">
        <v>85378.559999999998</v>
      </c>
      <c r="BD78" s="319">
        <v>83650.040000000008</v>
      </c>
      <c r="BE78" s="319">
        <v>91008.88</v>
      </c>
      <c r="BF78" s="319">
        <v>100241.26</v>
      </c>
      <c r="BG78" s="319">
        <v>92400.910000000018</v>
      </c>
      <c r="BH78" s="319">
        <v>100506.57</v>
      </c>
      <c r="BI78" s="319">
        <v>95543.38</v>
      </c>
      <c r="BJ78" s="319">
        <v>97577.23000000001</v>
      </c>
      <c r="BK78" s="319">
        <v>94343.61</v>
      </c>
      <c r="BL78" s="319">
        <v>95009.05</v>
      </c>
      <c r="BM78" s="319">
        <v>97354.819999999992</v>
      </c>
      <c r="BN78" s="319">
        <v>100445.59999999999</v>
      </c>
      <c r="BO78" s="322">
        <v>119830.79999999999</v>
      </c>
      <c r="BP78" s="319">
        <v>128703.12000000001</v>
      </c>
      <c r="BQ78" s="319">
        <v>122637.43000000002</v>
      </c>
      <c r="BR78" s="319">
        <v>121260.23000000001</v>
      </c>
      <c r="BS78" s="319">
        <v>171000</v>
      </c>
      <c r="BT78" s="334"/>
      <c r="BU78" s="322" t="s">
        <v>60</v>
      </c>
      <c r="BV78" s="322">
        <v>36722.080000000002</v>
      </c>
      <c r="BW78" s="322">
        <v>0</v>
      </c>
      <c r="BX78" s="322">
        <v>40152.44</v>
      </c>
      <c r="BY78" s="322">
        <v>0</v>
      </c>
      <c r="BZ78" s="322">
        <v>40696.44</v>
      </c>
      <c r="CA78" s="322">
        <v>0</v>
      </c>
      <c r="CB78" s="322">
        <v>41825.019999999997</v>
      </c>
      <c r="CC78" s="322">
        <v>0</v>
      </c>
      <c r="CD78" s="322">
        <v>46951.09</v>
      </c>
      <c r="CE78" s="322">
        <v>22092.31</v>
      </c>
      <c r="CF78" s="322">
        <v>72563.98</v>
      </c>
      <c r="CG78" s="322">
        <v>14229.970000000001</v>
      </c>
      <c r="CH78" s="322">
        <v>44799.34</v>
      </c>
      <c r="CI78" s="322">
        <v>37393.270000000004</v>
      </c>
      <c r="CJ78" s="322">
        <v>72426</v>
      </c>
      <c r="CK78" s="322">
        <v>8284.380000000001</v>
      </c>
      <c r="CL78" s="322">
        <v>51479.81</v>
      </c>
      <c r="CM78" s="322">
        <v>9965.84</v>
      </c>
      <c r="CN78" s="322">
        <v>194154.81</v>
      </c>
      <c r="CO78" s="322">
        <v>13072.05</v>
      </c>
      <c r="CP78" s="322">
        <v>132875.38</v>
      </c>
      <c r="CQ78" s="322">
        <v>61050</v>
      </c>
      <c r="CR78" s="334"/>
      <c r="CS78" s="322" t="s">
        <v>60</v>
      </c>
      <c r="CT78" s="322">
        <v>146888.32000000001</v>
      </c>
      <c r="CU78" s="322">
        <v>138976</v>
      </c>
      <c r="CV78" s="322">
        <v>160609.76</v>
      </c>
      <c r="CW78" s="322">
        <v>125639.92</v>
      </c>
      <c r="CX78" s="322">
        <v>142437.54</v>
      </c>
      <c r="CY78" s="322">
        <v>170757.12</v>
      </c>
      <c r="CZ78" s="322">
        <v>167300.07999999999</v>
      </c>
      <c r="DA78" s="322">
        <v>159265.54</v>
      </c>
      <c r="DB78" s="322">
        <v>186798.75</v>
      </c>
      <c r="DC78" s="322">
        <v>202841.97</v>
      </c>
      <c r="DD78" s="322">
        <v>213414.3</v>
      </c>
      <c r="DE78" s="322">
        <v>179193.08000000002</v>
      </c>
      <c r="DF78" s="322">
        <v>300242.95999999996</v>
      </c>
      <c r="DG78" s="322">
        <v>147803.44999999998</v>
      </c>
      <c r="DH78" s="322">
        <v>153232.59</v>
      </c>
      <c r="DI78" s="322">
        <v>238126.22</v>
      </c>
      <c r="DJ78" s="322">
        <v>154182.26999999999</v>
      </c>
      <c r="DK78" s="322">
        <v>181230.71000000002</v>
      </c>
      <c r="DL78" s="322">
        <v>120308.01999999999</v>
      </c>
      <c r="DM78" s="322">
        <v>116848.43</v>
      </c>
      <c r="DN78" s="322">
        <v>120779.69</v>
      </c>
      <c r="DO78" s="322">
        <v>320800</v>
      </c>
      <c r="DP78" s="334"/>
      <c r="DQ78" s="322" t="s">
        <v>60</v>
      </c>
      <c r="DR78" s="322">
        <v>165249.35999999999</v>
      </c>
      <c r="DS78" s="322">
        <v>173720</v>
      </c>
      <c r="DT78" s="322">
        <v>200762.2</v>
      </c>
      <c r="DU78" s="322">
        <v>197434.16</v>
      </c>
      <c r="DV78" s="322">
        <v>223830.42</v>
      </c>
      <c r="DW78" s="322">
        <v>277480.32000000001</v>
      </c>
      <c r="DX78" s="322">
        <v>292775.14</v>
      </c>
      <c r="DY78" s="322">
        <v>341283.3</v>
      </c>
      <c r="DZ78" s="322">
        <v>383141.36000000004</v>
      </c>
      <c r="EA78" s="322">
        <v>419963.97000000009</v>
      </c>
      <c r="EB78" s="322">
        <v>436620.12</v>
      </c>
      <c r="EC78" s="322">
        <v>454836.77999999997</v>
      </c>
      <c r="ED78" s="322">
        <v>476865.85</v>
      </c>
      <c r="EE78" s="322">
        <v>466898.56</v>
      </c>
      <c r="EF78" s="322">
        <v>523600.74</v>
      </c>
      <c r="EG78" s="322">
        <v>544704.30000000005</v>
      </c>
      <c r="EH78" s="322">
        <v>640510.16999999993</v>
      </c>
      <c r="EI78" s="322">
        <v>626756.89</v>
      </c>
      <c r="EJ78" s="322">
        <v>670815.37</v>
      </c>
      <c r="EK78" s="322">
        <v>620330.22000000009</v>
      </c>
      <c r="EL78" s="322">
        <v>686025.76</v>
      </c>
      <c r="EM78" s="322">
        <v>867500</v>
      </c>
      <c r="EN78" s="334"/>
      <c r="EO78" s="322" t="s">
        <v>60</v>
      </c>
      <c r="EP78" s="322">
        <v>18361.04</v>
      </c>
      <c r="EQ78" s="322">
        <v>17372</v>
      </c>
      <c r="ER78" s="322">
        <v>20076.22</v>
      </c>
      <c r="ES78" s="322">
        <v>35897.120000000003</v>
      </c>
      <c r="ET78" s="322">
        <v>20348.22</v>
      </c>
      <c r="EU78" s="322">
        <v>42689.279999999999</v>
      </c>
      <c r="EV78" s="322">
        <v>41825.019999999997</v>
      </c>
      <c r="EW78" s="322">
        <v>45504.44</v>
      </c>
      <c r="EX78" s="322">
        <v>46420.88</v>
      </c>
      <c r="EY78" s="322">
        <v>48283.11</v>
      </c>
      <c r="EZ78" s="322">
        <v>48381.950000000004</v>
      </c>
      <c r="FA78" s="322">
        <v>52135.39</v>
      </c>
      <c r="FB78" s="322">
        <v>51746.879999999997</v>
      </c>
      <c r="FC78" s="322">
        <v>50482.479999999996</v>
      </c>
      <c r="FD78" s="322">
        <v>49377.869999999995</v>
      </c>
      <c r="FE78" s="322">
        <v>51708.72</v>
      </c>
      <c r="FF78" s="322">
        <v>52641.36</v>
      </c>
      <c r="FG78" s="322">
        <v>52007.409999999996</v>
      </c>
      <c r="FH78" s="322">
        <v>54147</v>
      </c>
      <c r="FI78" s="322">
        <v>52506.569999999992</v>
      </c>
      <c r="FJ78" s="322">
        <v>52331.19</v>
      </c>
      <c r="FK78" s="322">
        <v>59050</v>
      </c>
      <c r="FL78" s="334"/>
      <c r="FM78" s="322" t="s">
        <v>60</v>
      </c>
      <c r="FN78" s="322">
        <v>55083.12</v>
      </c>
      <c r="FO78" s="322">
        <v>52116</v>
      </c>
      <c r="FP78" s="322">
        <v>60228.66</v>
      </c>
      <c r="FQ78" s="322">
        <v>53845.68</v>
      </c>
      <c r="FR78" s="322">
        <v>61044.66</v>
      </c>
      <c r="FS78" s="322">
        <v>64033.919999999998</v>
      </c>
      <c r="FT78" s="322">
        <v>83650.039999999994</v>
      </c>
      <c r="FU78" s="322">
        <v>91008.88</v>
      </c>
      <c r="FV78" s="322">
        <v>88972.67</v>
      </c>
      <c r="FW78" s="322">
        <v>83468.240000000005</v>
      </c>
      <c r="FX78" s="322">
        <v>89066.330000000016</v>
      </c>
      <c r="FY78" s="322">
        <v>91475.76999999999</v>
      </c>
      <c r="FZ78" s="322">
        <v>89225.34</v>
      </c>
      <c r="GA78" s="322">
        <v>88578.67</v>
      </c>
      <c r="GB78" s="322">
        <v>83615.150000000009</v>
      </c>
      <c r="GC78" s="322">
        <v>87421.51999999999</v>
      </c>
      <c r="GD78" s="322">
        <v>91132.4</v>
      </c>
      <c r="GE78" s="322">
        <v>90161.74</v>
      </c>
      <c r="GF78" s="340">
        <v>93317.09</v>
      </c>
      <c r="GG78" s="704">
        <v>88099.02</v>
      </c>
      <c r="GH78" s="704">
        <v>119048.08</v>
      </c>
      <c r="GI78" s="704">
        <v>119900</v>
      </c>
      <c r="GJ78" s="334"/>
      <c r="GK78" s="322" t="s">
        <v>60</v>
      </c>
      <c r="GL78" s="322">
        <v>0</v>
      </c>
      <c r="GM78" s="322">
        <v>0</v>
      </c>
      <c r="GN78" s="322">
        <v>0</v>
      </c>
      <c r="GO78" s="322">
        <v>0</v>
      </c>
      <c r="GP78" s="322">
        <v>0</v>
      </c>
      <c r="GQ78" s="322">
        <v>0</v>
      </c>
      <c r="GR78" s="322">
        <v>0</v>
      </c>
      <c r="GS78" s="322">
        <v>91008.88</v>
      </c>
      <c r="GT78" s="322">
        <v>88781.19</v>
      </c>
      <c r="GU78" s="322">
        <v>91036.84</v>
      </c>
      <c r="GV78" s="322">
        <v>95870.3</v>
      </c>
      <c r="GW78" s="322">
        <v>98801.18</v>
      </c>
      <c r="GX78" s="322">
        <v>99670.26999999999</v>
      </c>
      <c r="GY78" s="322">
        <v>99661.780000000013</v>
      </c>
      <c r="GZ78" s="322">
        <v>78207.039999999994</v>
      </c>
      <c r="HA78" s="322">
        <v>77780.639999999999</v>
      </c>
      <c r="HB78" s="322">
        <v>78723.299999999988</v>
      </c>
      <c r="HC78" s="322">
        <v>80377.289999999994</v>
      </c>
      <c r="HD78" s="322">
        <v>85718.46</v>
      </c>
      <c r="HE78" s="322">
        <v>79280.510000000009</v>
      </c>
      <c r="HF78" s="322">
        <v>80006.459999999992</v>
      </c>
      <c r="HG78" s="322">
        <v>89600</v>
      </c>
      <c r="HH78" s="334"/>
      <c r="HI78" s="322" t="s">
        <v>60</v>
      </c>
      <c r="HJ78" s="322">
        <v>36722.080000000002</v>
      </c>
      <c r="HK78" s="322">
        <v>52116</v>
      </c>
      <c r="HL78" s="322">
        <v>60228.66</v>
      </c>
      <c r="HM78" s="322">
        <v>53845.68</v>
      </c>
      <c r="HN78" s="322">
        <v>61044.66</v>
      </c>
      <c r="HO78" s="322">
        <v>64033.919999999998</v>
      </c>
      <c r="HP78" s="322">
        <v>62737.53</v>
      </c>
      <c r="HQ78" s="322">
        <v>0</v>
      </c>
      <c r="HR78" s="322">
        <v>14207.35</v>
      </c>
      <c r="HS78" s="322">
        <v>12375</v>
      </c>
      <c r="HT78" s="322">
        <v>13446.13</v>
      </c>
      <c r="HU78" s="322">
        <v>13228.740000000002</v>
      </c>
      <c r="HV78" s="322">
        <v>14602.7</v>
      </c>
      <c r="HW78" s="322">
        <v>14640.159999999998</v>
      </c>
      <c r="HX78" s="322">
        <v>11457.75</v>
      </c>
      <c r="HY78" s="322">
        <v>18898.8</v>
      </c>
      <c r="HZ78" s="322">
        <v>18425.400000000001</v>
      </c>
      <c r="IA78" s="322">
        <v>16030.41</v>
      </c>
      <c r="IB78" s="322">
        <v>16207.509999999998</v>
      </c>
      <c r="IC78" s="322">
        <v>13500.45</v>
      </c>
      <c r="ID78" s="322">
        <v>16018.99</v>
      </c>
      <c r="IE78" s="322">
        <v>15550</v>
      </c>
      <c r="IF78" s="334"/>
      <c r="IG78" s="322" t="s">
        <v>60</v>
      </c>
      <c r="IH78" s="322">
        <v>0</v>
      </c>
      <c r="II78" s="322">
        <v>0</v>
      </c>
      <c r="IJ78" s="322">
        <v>0</v>
      </c>
      <c r="IK78" s="322">
        <v>0</v>
      </c>
      <c r="IL78" s="322">
        <v>0</v>
      </c>
      <c r="IM78" s="322">
        <v>0</v>
      </c>
      <c r="IN78" s="322">
        <v>0</v>
      </c>
      <c r="IO78" s="322">
        <v>0</v>
      </c>
      <c r="IP78" s="322">
        <v>0</v>
      </c>
      <c r="IQ78" s="322">
        <v>0</v>
      </c>
      <c r="IR78" s="322">
        <v>0</v>
      </c>
      <c r="IS78" s="322">
        <v>0</v>
      </c>
      <c r="IT78" s="322">
        <v>0</v>
      </c>
      <c r="IU78" s="322">
        <v>0</v>
      </c>
      <c r="IV78" s="322"/>
      <c r="IW78" s="322"/>
      <c r="IX78" s="322"/>
      <c r="IY78" s="322"/>
      <c r="IZ78" s="322"/>
      <c r="JA78" s="322"/>
      <c r="JB78" s="322"/>
      <c r="JC78" s="322"/>
      <c r="JD78" s="334"/>
      <c r="JE78" s="322" t="s">
        <v>60</v>
      </c>
      <c r="JF78" s="322">
        <v>36722.080000000002</v>
      </c>
      <c r="JG78" s="322">
        <v>34744</v>
      </c>
      <c r="JH78" s="322">
        <v>20076.22</v>
      </c>
      <c r="JI78" s="322">
        <v>35897.120000000003</v>
      </c>
      <c r="JJ78" s="322">
        <v>20348.22</v>
      </c>
      <c r="JK78" s="322">
        <v>21344.639999999999</v>
      </c>
      <c r="JL78" s="322">
        <v>20912.509999999998</v>
      </c>
      <c r="JM78" s="322">
        <v>22752.22</v>
      </c>
      <c r="JN78" s="322">
        <v>29787.93</v>
      </c>
      <c r="JO78" s="322">
        <v>39416.5</v>
      </c>
      <c r="JP78" s="322">
        <v>36554.47</v>
      </c>
      <c r="JQ78" s="322">
        <v>55555.159999999996</v>
      </c>
      <c r="JR78" s="322">
        <v>34175.68</v>
      </c>
      <c r="JS78" s="322">
        <v>38360.009999999995</v>
      </c>
      <c r="JT78" s="322">
        <v>64320.209999999992</v>
      </c>
      <c r="JU78" s="322">
        <v>52052.3</v>
      </c>
      <c r="JV78" s="322">
        <v>50333.34</v>
      </c>
      <c r="JW78" s="322">
        <v>48786.76999999999</v>
      </c>
      <c r="JX78" s="322">
        <v>52235.020000000004</v>
      </c>
      <c r="JY78" s="322">
        <v>41556.78</v>
      </c>
      <c r="JZ78" s="322">
        <v>45617.93</v>
      </c>
      <c r="KA78" s="322">
        <v>48500</v>
      </c>
      <c r="KB78" s="334"/>
      <c r="KC78" s="322" t="s">
        <v>60</v>
      </c>
      <c r="KD78" s="322">
        <v>18361.04</v>
      </c>
      <c r="KE78" s="322">
        <v>17372</v>
      </c>
      <c r="KF78" s="322">
        <v>20076.22</v>
      </c>
      <c r="KG78" s="322">
        <v>17948.560000000001</v>
      </c>
      <c r="KH78" s="322">
        <v>20348.22</v>
      </c>
      <c r="KI78" s="322">
        <v>21344.639999999999</v>
      </c>
      <c r="KJ78" s="322">
        <v>20912.509999999998</v>
      </c>
      <c r="KK78" s="322">
        <v>22752.22</v>
      </c>
      <c r="KL78" s="322">
        <v>16661.439999999999</v>
      </c>
      <c r="KM78" s="322">
        <v>19107.490000000002</v>
      </c>
      <c r="KN78" s="322">
        <v>20919.759999999998</v>
      </c>
      <c r="KO78" s="322">
        <v>23027.210000000003</v>
      </c>
      <c r="KP78" s="322">
        <v>23958.420000000002</v>
      </c>
      <c r="KQ78" s="322">
        <v>64198.84</v>
      </c>
      <c r="KR78" s="322">
        <v>68212.66</v>
      </c>
      <c r="KS78" s="322">
        <v>69651.200000000012</v>
      </c>
      <c r="KT78" s="322">
        <v>81337.3</v>
      </c>
      <c r="KU78" s="322">
        <v>81635.63</v>
      </c>
      <c r="KV78" s="322">
        <v>82417.070000000007</v>
      </c>
      <c r="KW78" s="322">
        <v>81373.55</v>
      </c>
      <c r="KX78" s="322">
        <v>89065.090000000011</v>
      </c>
      <c r="KY78" s="322">
        <v>89250</v>
      </c>
      <c r="KZ78" s="334"/>
      <c r="LA78" s="322" t="s">
        <v>60</v>
      </c>
      <c r="LB78" s="322">
        <v>312137.68</v>
      </c>
      <c r="LC78" s="322">
        <v>434300</v>
      </c>
      <c r="LD78" s="322">
        <v>421600.62</v>
      </c>
      <c r="LE78" s="322">
        <v>484611.12</v>
      </c>
      <c r="LF78" s="322">
        <v>549401.93999999994</v>
      </c>
      <c r="LG78" s="322">
        <v>512271.35999999999</v>
      </c>
      <c r="LH78" s="322">
        <v>460075.22</v>
      </c>
      <c r="LI78" s="322">
        <v>386787.74</v>
      </c>
      <c r="LJ78" s="322">
        <v>415645.89999999991</v>
      </c>
      <c r="LK78" s="322">
        <v>434574.42</v>
      </c>
      <c r="LL78" s="322">
        <v>494534.47000000003</v>
      </c>
      <c r="LM78" s="322">
        <v>461675.2</v>
      </c>
      <c r="LN78" s="322">
        <v>430879.09</v>
      </c>
      <c r="LO78" s="322">
        <v>404856.68</v>
      </c>
      <c r="LP78" s="322">
        <v>394277.39999999997</v>
      </c>
      <c r="LQ78" s="322">
        <v>404538.95999999996</v>
      </c>
      <c r="LR78" s="322">
        <v>533591.47</v>
      </c>
      <c r="LS78" s="322">
        <v>441100.15</v>
      </c>
      <c r="LT78" s="322">
        <v>404284.03</v>
      </c>
      <c r="LU78" s="322">
        <v>504733.33999999997</v>
      </c>
      <c r="LV78" s="322">
        <v>494913.49</v>
      </c>
      <c r="LW78" s="322">
        <v>617480</v>
      </c>
      <c r="LX78" s="334"/>
      <c r="LY78" s="322" t="s">
        <v>60</v>
      </c>
      <c r="LZ78" s="322">
        <v>422303.92</v>
      </c>
      <c r="MA78" s="322">
        <v>295324</v>
      </c>
      <c r="MB78" s="322">
        <v>301143.3</v>
      </c>
      <c r="MC78" s="322">
        <v>287176.96000000002</v>
      </c>
      <c r="MD78" s="322">
        <v>345919.74</v>
      </c>
      <c r="ME78" s="322">
        <v>384203.52000000002</v>
      </c>
      <c r="MF78" s="322">
        <v>334600.15999999997</v>
      </c>
      <c r="MG78" s="322">
        <v>341283.3</v>
      </c>
      <c r="MH78" s="322">
        <v>402751.4200000001</v>
      </c>
      <c r="MI78" s="322">
        <v>447008.94</v>
      </c>
      <c r="MJ78" s="322">
        <v>462081.63999999996</v>
      </c>
      <c r="MK78" s="322">
        <v>514659.38000000006</v>
      </c>
      <c r="ML78" s="322">
        <v>483118.4</v>
      </c>
      <c r="MM78" s="322">
        <v>396168.45999999996</v>
      </c>
      <c r="MN78" s="322">
        <v>382272.57</v>
      </c>
      <c r="MO78" s="322">
        <v>557419.10000000009</v>
      </c>
      <c r="MP78" s="322">
        <v>495712.03</v>
      </c>
      <c r="MQ78" s="322">
        <v>504060.45</v>
      </c>
      <c r="MR78" s="322">
        <v>489865.99</v>
      </c>
      <c r="MS78" s="322">
        <v>560844.61</v>
      </c>
      <c r="MT78" s="322">
        <v>627711.68000000005</v>
      </c>
      <c r="MU78" s="322">
        <v>641700</v>
      </c>
      <c r="MV78" s="334"/>
      <c r="MW78" s="322" t="s">
        <v>60</v>
      </c>
      <c r="MX78" s="322">
        <v>201971.44</v>
      </c>
      <c r="MY78" s="322">
        <v>173720</v>
      </c>
      <c r="MZ78" s="322">
        <v>180685.98</v>
      </c>
      <c r="NA78" s="322">
        <v>161537.04</v>
      </c>
      <c r="NB78" s="322">
        <v>203482.2</v>
      </c>
      <c r="NC78" s="322">
        <v>213446.39999999999</v>
      </c>
      <c r="ND78" s="322">
        <v>250950.12</v>
      </c>
      <c r="NE78" s="322">
        <v>295778.86</v>
      </c>
      <c r="NF78" s="322">
        <v>301152.50999999995</v>
      </c>
      <c r="NG78" s="322">
        <v>318935.38</v>
      </c>
      <c r="NH78" s="322">
        <v>336004.70999999996</v>
      </c>
      <c r="NI78" s="322">
        <v>343806.18</v>
      </c>
      <c r="NJ78" s="322">
        <v>316588.45</v>
      </c>
      <c r="NK78" s="322">
        <v>333048.22000000003</v>
      </c>
      <c r="NL78" s="322">
        <v>300053.19999999995</v>
      </c>
      <c r="NM78" s="322">
        <v>340630.08</v>
      </c>
      <c r="NN78" s="322">
        <v>375874.35000000003</v>
      </c>
      <c r="NO78" s="322">
        <v>437460.68000000005</v>
      </c>
      <c r="NP78" s="322">
        <v>318096.62</v>
      </c>
      <c r="NQ78" s="322">
        <v>216689.73</v>
      </c>
      <c r="NR78" s="322">
        <v>271497.44</v>
      </c>
      <c r="NS78" s="322">
        <v>255000</v>
      </c>
      <c r="NT78" s="334"/>
      <c r="NU78" s="322" t="s">
        <v>60</v>
      </c>
      <c r="NV78" s="322">
        <v>73444.160000000003</v>
      </c>
      <c r="NW78" s="322">
        <v>69488</v>
      </c>
      <c r="NX78" s="322">
        <v>80304.88</v>
      </c>
      <c r="NY78" s="322">
        <v>89742.8</v>
      </c>
      <c r="NZ78" s="322">
        <v>101741.1</v>
      </c>
      <c r="OA78" s="322">
        <v>106723.2</v>
      </c>
      <c r="OB78" s="322">
        <v>104562.55</v>
      </c>
      <c r="OC78" s="322">
        <v>113761.1</v>
      </c>
      <c r="OD78" s="322">
        <v>120659.6</v>
      </c>
      <c r="OE78" s="322">
        <v>125745.16</v>
      </c>
      <c r="OF78" s="322">
        <v>129150.34</v>
      </c>
      <c r="OG78" s="322">
        <v>131768.97</v>
      </c>
      <c r="OH78" s="322">
        <v>135880.75</v>
      </c>
      <c r="OI78" s="322">
        <v>134812.08000000002</v>
      </c>
      <c r="OJ78" s="322">
        <v>134006.47</v>
      </c>
      <c r="OK78" s="322">
        <v>136885.97</v>
      </c>
      <c r="OL78" s="322">
        <v>142777.33000000002</v>
      </c>
      <c r="OM78" s="322">
        <v>143919.66</v>
      </c>
      <c r="ON78" s="322">
        <v>146072.95999999999</v>
      </c>
      <c r="OO78" s="322">
        <v>140650.33000000002</v>
      </c>
      <c r="OP78" s="322">
        <v>150519.64000000001</v>
      </c>
      <c r="OQ78" s="322">
        <v>154466</v>
      </c>
      <c r="OR78" s="334"/>
      <c r="OS78" s="322" t="s">
        <v>60</v>
      </c>
      <c r="OT78" s="322">
        <v>110166.24</v>
      </c>
      <c r="OU78" s="322">
        <v>104232</v>
      </c>
      <c r="OV78" s="322">
        <v>120457.32</v>
      </c>
      <c r="OW78" s="322">
        <v>89742.8</v>
      </c>
      <c r="OX78" s="322">
        <v>61044.66</v>
      </c>
      <c r="OY78" s="322">
        <v>64033.919999999998</v>
      </c>
      <c r="OZ78" s="322">
        <v>20912.509999999998</v>
      </c>
      <c r="PA78" s="322">
        <v>22752.22</v>
      </c>
      <c r="PB78" s="322">
        <v>34336.86</v>
      </c>
      <c r="PC78" s="322">
        <v>46932.69</v>
      </c>
      <c r="PD78" s="322">
        <v>28019.01</v>
      </c>
      <c r="PE78" s="322">
        <v>69478.95</v>
      </c>
      <c r="PF78" s="322">
        <v>49564.42</v>
      </c>
      <c r="PG78" s="322">
        <v>47202.76</v>
      </c>
      <c r="PH78" s="322">
        <v>55657.11</v>
      </c>
      <c r="PI78" s="322">
        <v>54999.43</v>
      </c>
      <c r="PJ78" s="322">
        <v>65511.4</v>
      </c>
      <c r="PK78" s="322">
        <v>76393.87</v>
      </c>
      <c r="PL78" s="322">
        <v>77996.94</v>
      </c>
      <c r="PM78" s="322">
        <v>87361.38</v>
      </c>
      <c r="PN78" s="322">
        <v>99248.35</v>
      </c>
      <c r="PO78" s="322">
        <v>100000</v>
      </c>
      <c r="PP78" s="334"/>
      <c r="PQ78" s="322" t="s">
        <v>60</v>
      </c>
      <c r="PR78" s="322">
        <v>0</v>
      </c>
      <c r="PS78" s="322">
        <v>0</v>
      </c>
      <c r="PT78" s="322">
        <v>20076.22</v>
      </c>
      <c r="PU78" s="322">
        <v>17948.560000000001</v>
      </c>
      <c r="PV78" s="322">
        <v>20348.22</v>
      </c>
      <c r="PW78" s="322">
        <v>21344.639999999999</v>
      </c>
      <c r="PX78" s="322">
        <v>20912.509999999998</v>
      </c>
      <c r="PY78" s="322">
        <v>22752.22</v>
      </c>
      <c r="PZ78" s="322">
        <v>17553.830000000002</v>
      </c>
      <c r="QA78" s="322">
        <v>14235.699999999999</v>
      </c>
      <c r="QB78" s="322">
        <v>14804.640000000001</v>
      </c>
      <c r="QC78" s="322">
        <v>15192.13</v>
      </c>
      <c r="QD78" s="322">
        <v>18119.490000000002</v>
      </c>
      <c r="QE78" s="322">
        <v>15446.21</v>
      </c>
      <c r="QF78" s="322">
        <v>15202.579999999998</v>
      </c>
      <c r="QG78" s="322">
        <v>18729.77</v>
      </c>
      <c r="QH78" s="322">
        <v>17856.5</v>
      </c>
      <c r="QI78" s="322">
        <v>15240.45</v>
      </c>
      <c r="QJ78" s="322">
        <v>15314.64</v>
      </c>
      <c r="QK78" s="322">
        <v>15261.619999999999</v>
      </c>
      <c r="QL78" s="322">
        <v>22113.61</v>
      </c>
      <c r="QM78" s="322">
        <v>68700</v>
      </c>
      <c r="QN78" s="334"/>
      <c r="QO78" s="322" t="s">
        <v>60</v>
      </c>
      <c r="QP78" s="322">
        <v>0</v>
      </c>
      <c r="QQ78" s="322">
        <v>0</v>
      </c>
      <c r="QR78" s="322">
        <v>0</v>
      </c>
      <c r="QS78" s="322">
        <v>0</v>
      </c>
      <c r="QT78" s="322">
        <v>0</v>
      </c>
      <c r="QU78" s="322">
        <v>0</v>
      </c>
      <c r="QV78" s="322">
        <v>0</v>
      </c>
      <c r="QW78" s="322">
        <v>0</v>
      </c>
      <c r="QX78" s="322">
        <v>0</v>
      </c>
      <c r="QY78" s="322">
        <v>5875</v>
      </c>
      <c r="QZ78" s="322">
        <v>3500</v>
      </c>
      <c r="RA78" s="322">
        <v>1750</v>
      </c>
      <c r="RB78" s="322">
        <v>5015</v>
      </c>
      <c r="RC78" s="322">
        <v>4110</v>
      </c>
      <c r="RD78" s="322">
        <v>2546</v>
      </c>
      <c r="RE78" s="322">
        <v>3105</v>
      </c>
      <c r="RF78" s="322">
        <v>2816.83</v>
      </c>
      <c r="RG78" s="322">
        <v>9034.4</v>
      </c>
      <c r="RH78" s="322">
        <v>2810</v>
      </c>
      <c r="RI78" s="322">
        <v>4320</v>
      </c>
      <c r="RJ78" s="322">
        <v>6941</v>
      </c>
      <c r="RK78" s="322">
        <v>6500</v>
      </c>
      <c r="RL78" s="334"/>
      <c r="RM78" s="322" t="s">
        <v>60</v>
      </c>
      <c r="RN78" s="322">
        <v>91805.2</v>
      </c>
      <c r="RO78" s="322">
        <v>52116</v>
      </c>
      <c r="RP78" s="322">
        <v>180685.98</v>
      </c>
      <c r="RQ78" s="322">
        <v>0</v>
      </c>
      <c r="RR78" s="322">
        <v>0</v>
      </c>
      <c r="RS78" s="322">
        <v>0</v>
      </c>
      <c r="RT78" s="322">
        <v>0</v>
      </c>
      <c r="RU78" s="322">
        <v>136513.32</v>
      </c>
      <c r="RV78" s="322">
        <v>153301.51</v>
      </c>
      <c r="RW78" s="322">
        <v>183644.21000000002</v>
      </c>
      <c r="RX78" s="322">
        <v>135758.51999999999</v>
      </c>
      <c r="RY78" s="322">
        <v>145627.60999999999</v>
      </c>
      <c r="RZ78" s="322">
        <v>183921.53999999998</v>
      </c>
      <c r="SA78" s="322">
        <v>169305.03</v>
      </c>
      <c r="SB78" s="322">
        <v>172209.98</v>
      </c>
      <c r="SC78" s="322">
        <v>172255.83</v>
      </c>
      <c r="SD78" s="322">
        <v>271902.24</v>
      </c>
      <c r="SE78" s="322">
        <v>148227.19</v>
      </c>
      <c r="SF78" s="322">
        <v>162883.19999999998</v>
      </c>
      <c r="SG78" s="322">
        <v>159174.91</v>
      </c>
      <c r="SH78" s="322">
        <v>189853.69</v>
      </c>
      <c r="SI78" s="322">
        <v>195000</v>
      </c>
    </row>
    <row r="79" spans="1:503">
      <c r="A79" s="319" t="s">
        <v>61</v>
      </c>
      <c r="B79" s="319">
        <v>2841875</v>
      </c>
      <c r="C79" s="319">
        <v>3563304</v>
      </c>
      <c r="D79" s="319">
        <v>3634462</v>
      </c>
      <c r="E79" s="319">
        <v>3631474</v>
      </c>
      <c r="F79" s="319">
        <v>3701197</v>
      </c>
      <c r="G79" s="319">
        <v>3722312</v>
      </c>
      <c r="H79" s="319">
        <v>4232501</v>
      </c>
      <c r="I79" s="319">
        <v>4257815</v>
      </c>
      <c r="J79" s="319">
        <v>3708546</v>
      </c>
      <c r="K79" s="319">
        <v>4028385</v>
      </c>
      <c r="L79" s="319">
        <v>4127637</v>
      </c>
      <c r="M79" s="319">
        <v>3941692</v>
      </c>
      <c r="N79" s="319">
        <v>4386239</v>
      </c>
      <c r="O79" s="319">
        <v>4458177</v>
      </c>
      <c r="P79" s="319">
        <v>4823226</v>
      </c>
      <c r="Q79" s="319">
        <v>4360957</v>
      </c>
      <c r="R79" s="319">
        <v>4757622</v>
      </c>
      <c r="S79" s="322">
        <v>4336146</v>
      </c>
      <c r="T79" s="319">
        <v>4281845</v>
      </c>
      <c r="U79" s="319">
        <v>4333369</v>
      </c>
      <c r="V79" s="319">
        <v>4292493</v>
      </c>
      <c r="W79" s="319">
        <v>4456493</v>
      </c>
      <c r="X79" s="330"/>
      <c r="Y79" s="319" t="s">
        <v>61</v>
      </c>
      <c r="Z79" s="319">
        <v>113675</v>
      </c>
      <c r="AA79" s="319">
        <v>106899.12</v>
      </c>
      <c r="AB79" s="319">
        <v>109033.86</v>
      </c>
      <c r="AC79" s="319">
        <v>108944.22</v>
      </c>
      <c r="AD79" s="319">
        <v>148047.88</v>
      </c>
      <c r="AE79" s="319">
        <v>148892.48000000001</v>
      </c>
      <c r="AF79" s="319">
        <v>111669.36</v>
      </c>
      <c r="AG79" s="319">
        <v>170312.6</v>
      </c>
      <c r="AH79" s="319">
        <v>160069</v>
      </c>
      <c r="AI79" s="319">
        <v>158451</v>
      </c>
      <c r="AJ79" s="319">
        <v>177639</v>
      </c>
      <c r="AK79" s="319">
        <v>161151</v>
      </c>
      <c r="AL79" s="319">
        <v>170398</v>
      </c>
      <c r="AM79" s="319">
        <v>163964</v>
      </c>
      <c r="AN79" s="319">
        <v>165511</v>
      </c>
      <c r="AO79" s="319">
        <v>161364</v>
      </c>
      <c r="AP79" s="319">
        <v>161997</v>
      </c>
      <c r="AQ79" s="322">
        <v>199634</v>
      </c>
      <c r="AR79" s="319">
        <v>196415</v>
      </c>
      <c r="AS79" s="319">
        <v>196304</v>
      </c>
      <c r="AT79" s="319">
        <v>201468</v>
      </c>
      <c r="AU79" s="319">
        <v>202532</v>
      </c>
      <c r="AV79" s="334"/>
      <c r="AW79" s="319" t="s">
        <v>61</v>
      </c>
      <c r="AX79" s="319">
        <v>142093.75</v>
      </c>
      <c r="AY79" s="319">
        <v>106899.12</v>
      </c>
      <c r="AZ79" s="319">
        <v>109033.86</v>
      </c>
      <c r="BA79" s="319">
        <v>145258.96</v>
      </c>
      <c r="BB79" s="319">
        <v>148047.88</v>
      </c>
      <c r="BC79" s="319">
        <v>148892.48000000001</v>
      </c>
      <c r="BD79" s="319">
        <v>169300.04</v>
      </c>
      <c r="BE79" s="319">
        <v>170312.6</v>
      </c>
      <c r="BF79" s="319">
        <v>172010</v>
      </c>
      <c r="BG79" s="319">
        <v>181460</v>
      </c>
      <c r="BH79" s="319">
        <v>189186</v>
      </c>
      <c r="BI79" s="319">
        <v>189427</v>
      </c>
      <c r="BJ79" s="319">
        <v>189808</v>
      </c>
      <c r="BK79" s="319">
        <v>200863</v>
      </c>
      <c r="BL79" s="319">
        <v>197976</v>
      </c>
      <c r="BM79" s="319">
        <v>198747</v>
      </c>
      <c r="BN79" s="319">
        <v>307285</v>
      </c>
      <c r="BO79" s="322">
        <v>293806</v>
      </c>
      <c r="BP79" s="319">
        <v>294832</v>
      </c>
      <c r="BQ79" s="319">
        <v>257841</v>
      </c>
      <c r="BR79" s="319">
        <v>258894</v>
      </c>
      <c r="BS79" s="319">
        <v>272214</v>
      </c>
      <c r="BT79" s="334"/>
      <c r="BU79" s="322" t="s">
        <v>61</v>
      </c>
      <c r="BV79" s="322">
        <v>113675</v>
      </c>
      <c r="BW79" s="322">
        <v>35633.040000000001</v>
      </c>
      <c r="BX79" s="322">
        <v>109033.86</v>
      </c>
      <c r="BY79" s="322">
        <v>36314.74</v>
      </c>
      <c r="BZ79" s="322">
        <v>148047.88</v>
      </c>
      <c r="CA79" s="322">
        <v>37223.120000000003</v>
      </c>
      <c r="CB79" s="322">
        <v>169300.04</v>
      </c>
      <c r="CC79" s="322">
        <v>42578.15</v>
      </c>
      <c r="CD79" s="322">
        <v>168615</v>
      </c>
      <c r="CE79" s="322">
        <v>177303</v>
      </c>
      <c r="CF79" s="322">
        <v>330718</v>
      </c>
      <c r="CG79" s="322">
        <v>59664</v>
      </c>
      <c r="CH79" s="322">
        <v>212408</v>
      </c>
      <c r="CI79" s="322">
        <v>58327</v>
      </c>
      <c r="CJ79" s="322">
        <v>194176</v>
      </c>
      <c r="CK79" s="322">
        <v>61079</v>
      </c>
      <c r="CL79" s="322">
        <v>195221</v>
      </c>
      <c r="CM79" s="322">
        <v>47016</v>
      </c>
      <c r="CN79" s="322">
        <v>195517</v>
      </c>
      <c r="CO79" s="322">
        <v>59793</v>
      </c>
      <c r="CP79" s="322">
        <v>186334</v>
      </c>
      <c r="CQ79" s="322">
        <v>57298</v>
      </c>
      <c r="CR79" s="334"/>
      <c r="CS79" s="322" t="s">
        <v>61</v>
      </c>
      <c r="CT79" s="322">
        <v>227350</v>
      </c>
      <c r="CU79" s="322">
        <v>213798.24</v>
      </c>
      <c r="CV79" s="322">
        <v>254412.34</v>
      </c>
      <c r="CW79" s="322">
        <v>254203.18</v>
      </c>
      <c r="CX79" s="322">
        <v>259083.79</v>
      </c>
      <c r="CY79" s="322">
        <v>260561.84</v>
      </c>
      <c r="CZ79" s="322">
        <v>296275.07</v>
      </c>
      <c r="DA79" s="322">
        <v>340625.2</v>
      </c>
      <c r="DB79" s="322">
        <v>449100</v>
      </c>
      <c r="DC79" s="322">
        <v>514238</v>
      </c>
      <c r="DD79" s="322">
        <v>426869</v>
      </c>
      <c r="DE79" s="322">
        <v>444352</v>
      </c>
      <c r="DF79" s="322">
        <v>461456</v>
      </c>
      <c r="DG79" s="322">
        <v>469259</v>
      </c>
      <c r="DH79" s="322">
        <v>484079</v>
      </c>
      <c r="DI79" s="322">
        <v>509214</v>
      </c>
      <c r="DJ79" s="322">
        <v>473464</v>
      </c>
      <c r="DK79" s="322">
        <v>523224</v>
      </c>
      <c r="DL79" s="322">
        <v>505775</v>
      </c>
      <c r="DM79" s="322">
        <v>523402</v>
      </c>
      <c r="DN79" s="322">
        <v>515932</v>
      </c>
      <c r="DO79" s="322">
        <v>541775</v>
      </c>
      <c r="DP79" s="334"/>
      <c r="DQ79" s="322" t="s">
        <v>61</v>
      </c>
      <c r="DR79" s="322">
        <v>369443.75</v>
      </c>
      <c r="DS79" s="322">
        <v>391963.44</v>
      </c>
      <c r="DT79" s="322">
        <v>363446.2</v>
      </c>
      <c r="DU79" s="322">
        <v>326832.65999999997</v>
      </c>
      <c r="DV79" s="322">
        <v>296095.76</v>
      </c>
      <c r="DW79" s="322">
        <v>335008.08</v>
      </c>
      <c r="DX79" s="322">
        <v>380925.09</v>
      </c>
      <c r="DY79" s="322">
        <v>425781.5</v>
      </c>
      <c r="DZ79" s="322">
        <v>335310</v>
      </c>
      <c r="EA79" s="322">
        <v>351537</v>
      </c>
      <c r="EB79" s="322">
        <v>374655</v>
      </c>
      <c r="EC79" s="322">
        <v>417107</v>
      </c>
      <c r="ED79" s="322">
        <v>463946</v>
      </c>
      <c r="EE79" s="322">
        <v>469704</v>
      </c>
      <c r="EF79" s="322">
        <v>469720</v>
      </c>
      <c r="EG79" s="322">
        <v>499659</v>
      </c>
      <c r="EH79" s="322">
        <v>525119</v>
      </c>
      <c r="EI79" s="322">
        <v>0</v>
      </c>
      <c r="EJ79" s="322">
        <v>0</v>
      </c>
      <c r="EK79" s="322">
        <v>0</v>
      </c>
      <c r="EL79" s="322">
        <v>0</v>
      </c>
      <c r="EM79" s="322">
        <v>0</v>
      </c>
      <c r="EN79" s="334"/>
      <c r="EO79" s="322" t="s">
        <v>61</v>
      </c>
      <c r="EP79" s="322">
        <v>28418.75</v>
      </c>
      <c r="EQ79" s="322">
        <v>35633.040000000001</v>
      </c>
      <c r="ER79" s="322">
        <v>36344.620000000003</v>
      </c>
      <c r="ES79" s="322">
        <v>36314.74</v>
      </c>
      <c r="ET79" s="322">
        <v>37011.97</v>
      </c>
      <c r="EU79" s="322">
        <v>37223.120000000003</v>
      </c>
      <c r="EV79" s="322">
        <v>42325.01</v>
      </c>
      <c r="EW79" s="322">
        <v>42578.15</v>
      </c>
      <c r="EX79" s="322">
        <v>54428</v>
      </c>
      <c r="EY79" s="322">
        <v>55576</v>
      </c>
      <c r="EZ79" s="322">
        <v>55315</v>
      </c>
      <c r="FA79" s="322">
        <v>61372</v>
      </c>
      <c r="FB79" s="322">
        <v>61951</v>
      </c>
      <c r="FC79" s="322">
        <v>61845</v>
      </c>
      <c r="FD79" s="322">
        <v>62190</v>
      </c>
      <c r="FE79" s="322">
        <v>62220</v>
      </c>
      <c r="FF79" s="322">
        <v>61725</v>
      </c>
      <c r="FG79" s="322">
        <v>78658</v>
      </c>
      <c r="FH79" s="322">
        <v>78543</v>
      </c>
      <c r="FI79" s="322">
        <v>77255</v>
      </c>
      <c r="FJ79" s="322">
        <v>78503</v>
      </c>
      <c r="FK79" s="322">
        <v>80156</v>
      </c>
      <c r="FL79" s="334"/>
      <c r="FM79" s="322" t="s">
        <v>61</v>
      </c>
      <c r="FN79" s="322">
        <v>85256.25</v>
      </c>
      <c r="FO79" s="322">
        <v>106899.12</v>
      </c>
      <c r="FP79" s="322">
        <v>109033.86</v>
      </c>
      <c r="FQ79" s="322">
        <v>108944.22</v>
      </c>
      <c r="FR79" s="322">
        <v>111035.91</v>
      </c>
      <c r="FS79" s="322">
        <v>111669.36</v>
      </c>
      <c r="FT79" s="322">
        <v>126975.03</v>
      </c>
      <c r="FU79" s="322">
        <v>127734.45</v>
      </c>
      <c r="FV79" s="322">
        <v>144415</v>
      </c>
      <c r="FW79" s="322">
        <v>162464</v>
      </c>
      <c r="FX79" s="322">
        <v>167441</v>
      </c>
      <c r="FY79" s="322">
        <v>169503</v>
      </c>
      <c r="FZ79" s="322">
        <v>170219</v>
      </c>
      <c r="GA79" s="322">
        <v>184673</v>
      </c>
      <c r="GB79" s="322">
        <v>183803</v>
      </c>
      <c r="GC79" s="322">
        <v>168376</v>
      </c>
      <c r="GD79" s="322">
        <v>164179</v>
      </c>
      <c r="GE79" s="322">
        <v>206056</v>
      </c>
      <c r="GF79" s="340">
        <v>215664</v>
      </c>
      <c r="GG79" s="704">
        <v>212950</v>
      </c>
      <c r="GH79" s="704">
        <v>219039</v>
      </c>
      <c r="GI79" s="704">
        <v>233307</v>
      </c>
      <c r="GJ79" s="334"/>
      <c r="GK79" s="322" t="s">
        <v>61</v>
      </c>
      <c r="GL79" s="322">
        <v>0</v>
      </c>
      <c r="GM79" s="322">
        <v>0</v>
      </c>
      <c r="GN79" s="322">
        <v>0</v>
      </c>
      <c r="GO79" s="322">
        <v>0</v>
      </c>
      <c r="GP79" s="322">
        <v>37011.97</v>
      </c>
      <c r="GQ79" s="322">
        <v>0</v>
      </c>
      <c r="GR79" s="322">
        <v>0</v>
      </c>
      <c r="GS79" s="322">
        <v>85156.3</v>
      </c>
      <c r="GT79" s="322">
        <v>102286</v>
      </c>
      <c r="GU79" s="322">
        <v>114519</v>
      </c>
      <c r="GV79" s="322">
        <v>120344</v>
      </c>
      <c r="GW79" s="322">
        <v>117372</v>
      </c>
      <c r="GX79" s="322">
        <v>120121</v>
      </c>
      <c r="GY79" s="322">
        <v>126699</v>
      </c>
      <c r="GZ79" s="322">
        <v>126950</v>
      </c>
      <c r="HA79" s="322">
        <v>120728</v>
      </c>
      <c r="HB79" s="322">
        <v>126662</v>
      </c>
      <c r="HC79" s="322">
        <v>139761</v>
      </c>
      <c r="HD79" s="322">
        <v>137745</v>
      </c>
      <c r="HE79" s="322">
        <v>150308</v>
      </c>
      <c r="HF79" s="322">
        <v>161270</v>
      </c>
      <c r="HG79" s="322">
        <v>174044</v>
      </c>
      <c r="HH79" s="334"/>
      <c r="HI79" s="322" t="s">
        <v>61</v>
      </c>
      <c r="HJ79" s="322">
        <v>113675</v>
      </c>
      <c r="HK79" s="322">
        <v>106899.12</v>
      </c>
      <c r="HL79" s="322">
        <v>145378.48000000001</v>
      </c>
      <c r="HM79" s="322">
        <v>145258.96</v>
      </c>
      <c r="HN79" s="322">
        <v>148047.88</v>
      </c>
      <c r="HO79" s="322">
        <v>148892.48000000001</v>
      </c>
      <c r="HP79" s="322">
        <v>126975.03</v>
      </c>
      <c r="HQ79" s="322">
        <v>85156.3</v>
      </c>
      <c r="HR79" s="322">
        <v>77611</v>
      </c>
      <c r="HS79" s="322">
        <v>68069</v>
      </c>
      <c r="HT79" s="322">
        <v>69318</v>
      </c>
      <c r="HU79" s="322">
        <v>70861</v>
      </c>
      <c r="HV79" s="322">
        <v>85485</v>
      </c>
      <c r="HW79" s="322">
        <v>89189</v>
      </c>
      <c r="HX79" s="322">
        <v>113780</v>
      </c>
      <c r="HY79" s="322">
        <v>117788</v>
      </c>
      <c r="HZ79" s="322">
        <v>93118</v>
      </c>
      <c r="IA79" s="322">
        <v>97551</v>
      </c>
      <c r="IB79" s="322">
        <v>62808</v>
      </c>
      <c r="IC79" s="322">
        <v>67450</v>
      </c>
      <c r="ID79" s="322">
        <v>44347</v>
      </c>
      <c r="IE79" s="322">
        <v>47020</v>
      </c>
      <c r="IF79" s="334"/>
      <c r="IG79" s="322" t="s">
        <v>61</v>
      </c>
      <c r="IH79" s="322">
        <v>0</v>
      </c>
      <c r="II79" s="322">
        <v>0</v>
      </c>
      <c r="IJ79" s="322">
        <v>0</v>
      </c>
      <c r="IK79" s="322">
        <v>72629.48</v>
      </c>
      <c r="IL79" s="322">
        <v>74023.94</v>
      </c>
      <c r="IM79" s="322">
        <v>37223.120000000003</v>
      </c>
      <c r="IN79" s="322">
        <v>42325.01</v>
      </c>
      <c r="IO79" s="322">
        <v>0</v>
      </c>
      <c r="IP79" s="322">
        <v>23455</v>
      </c>
      <c r="IQ79" s="322">
        <v>21482</v>
      </c>
      <c r="IR79" s="322">
        <v>18086</v>
      </c>
      <c r="IS79" s="322">
        <v>17667</v>
      </c>
      <c r="IT79" s="322">
        <v>18818</v>
      </c>
      <c r="IU79" s="322">
        <v>16839</v>
      </c>
      <c r="IV79" s="322"/>
      <c r="IW79" s="322"/>
      <c r="IX79" s="322"/>
      <c r="IY79" s="322"/>
      <c r="IZ79" s="322"/>
      <c r="JA79" s="322"/>
      <c r="JB79" s="322"/>
      <c r="JC79" s="322"/>
      <c r="JD79" s="334"/>
      <c r="JE79" s="322" t="s">
        <v>61</v>
      </c>
      <c r="JF79" s="322">
        <v>85256.25</v>
      </c>
      <c r="JG79" s="322">
        <v>106899.12</v>
      </c>
      <c r="JH79" s="322">
        <v>145378.48000000001</v>
      </c>
      <c r="JI79" s="322">
        <v>0</v>
      </c>
      <c r="JJ79" s="322">
        <v>0</v>
      </c>
      <c r="JK79" s="322">
        <v>37223.120000000003</v>
      </c>
      <c r="JL79" s="322">
        <v>42325.01</v>
      </c>
      <c r="JM79" s="322">
        <v>42578.15</v>
      </c>
      <c r="JN79" s="322">
        <v>47185</v>
      </c>
      <c r="JO79" s="322">
        <v>17073</v>
      </c>
      <c r="JP79" s="322">
        <v>21347</v>
      </c>
      <c r="JQ79" s="322">
        <v>16796</v>
      </c>
      <c r="JR79" s="322">
        <v>32727</v>
      </c>
      <c r="JS79" s="322">
        <v>18160</v>
      </c>
      <c r="JT79" s="322">
        <v>25484</v>
      </c>
      <c r="JU79" s="322">
        <v>21483</v>
      </c>
      <c r="JV79" s="322">
        <v>16494</v>
      </c>
      <c r="JW79" s="322">
        <v>28564</v>
      </c>
      <c r="JX79" s="322">
        <v>28728</v>
      </c>
      <c r="JY79" s="322">
        <v>31781</v>
      </c>
      <c r="JZ79" s="322">
        <v>30252</v>
      </c>
      <c r="KA79" s="322">
        <v>32900</v>
      </c>
      <c r="KB79" s="334"/>
      <c r="KC79" s="322" t="s">
        <v>61</v>
      </c>
      <c r="KD79" s="322">
        <v>28418.75</v>
      </c>
      <c r="KE79" s="322">
        <v>35633.040000000001</v>
      </c>
      <c r="KF79" s="322">
        <v>36344.620000000003</v>
      </c>
      <c r="KG79" s="322">
        <v>36314.74</v>
      </c>
      <c r="KH79" s="322">
        <v>74023.94</v>
      </c>
      <c r="KI79" s="322">
        <v>37223.120000000003</v>
      </c>
      <c r="KJ79" s="322">
        <v>42325.01</v>
      </c>
      <c r="KK79" s="322">
        <v>42578.15</v>
      </c>
      <c r="KL79" s="322">
        <v>61714</v>
      </c>
      <c r="KM79" s="322">
        <v>89100</v>
      </c>
      <c r="KN79" s="322">
        <v>90674</v>
      </c>
      <c r="KO79" s="322">
        <v>90040</v>
      </c>
      <c r="KP79" s="322">
        <v>93031</v>
      </c>
      <c r="KQ79" s="322">
        <v>93876</v>
      </c>
      <c r="KR79" s="322">
        <v>107365</v>
      </c>
      <c r="KS79" s="322">
        <v>95943</v>
      </c>
      <c r="KT79" s="322">
        <v>99228</v>
      </c>
      <c r="KU79" s="322">
        <v>129262</v>
      </c>
      <c r="KV79" s="322">
        <v>128739</v>
      </c>
      <c r="KW79" s="322">
        <v>157378</v>
      </c>
      <c r="KX79" s="322">
        <v>157951</v>
      </c>
      <c r="KY79" s="322">
        <v>170144</v>
      </c>
      <c r="KZ79" s="334"/>
      <c r="LA79" s="322" t="s">
        <v>61</v>
      </c>
      <c r="LB79" s="322">
        <v>85256.25</v>
      </c>
      <c r="LC79" s="322">
        <v>106899.12</v>
      </c>
      <c r="LD79" s="322">
        <v>109033.86</v>
      </c>
      <c r="LE79" s="322">
        <v>326832.65999999997</v>
      </c>
      <c r="LF79" s="322">
        <v>74023.94</v>
      </c>
      <c r="LG79" s="322">
        <v>148892.48000000001</v>
      </c>
      <c r="LH79" s="322">
        <v>169300.04</v>
      </c>
      <c r="LI79" s="322">
        <v>298047.05</v>
      </c>
      <c r="LJ79" s="322">
        <v>286654</v>
      </c>
      <c r="LK79" s="322">
        <v>449667</v>
      </c>
      <c r="LL79" s="322">
        <v>376855</v>
      </c>
      <c r="LM79" s="322">
        <v>444997</v>
      </c>
      <c r="LN79" s="322">
        <v>576388</v>
      </c>
      <c r="LO79" s="322">
        <v>678143</v>
      </c>
      <c r="LP79" s="322">
        <v>945908</v>
      </c>
      <c r="LQ79" s="322">
        <v>576518</v>
      </c>
      <c r="LR79" s="322">
        <v>640244</v>
      </c>
      <c r="LS79" s="322">
        <v>574993</v>
      </c>
      <c r="LT79" s="322">
        <v>533810</v>
      </c>
      <c r="LU79" s="322">
        <v>560294</v>
      </c>
      <c r="LV79" s="322">
        <v>400382</v>
      </c>
      <c r="LW79" s="322">
        <v>427687</v>
      </c>
      <c r="LX79" s="334"/>
      <c r="LY79" s="322" t="s">
        <v>61</v>
      </c>
      <c r="LZ79" s="322">
        <v>0</v>
      </c>
      <c r="MA79" s="322">
        <v>819559.92</v>
      </c>
      <c r="MB79" s="322">
        <v>872270.88</v>
      </c>
      <c r="MC79" s="322">
        <v>544721.1</v>
      </c>
      <c r="MD79" s="322">
        <v>629203.49</v>
      </c>
      <c r="ME79" s="322">
        <v>632793.04</v>
      </c>
      <c r="MF79" s="322">
        <v>804175.19</v>
      </c>
      <c r="MG79" s="322">
        <v>936719.3</v>
      </c>
      <c r="MH79" s="322">
        <v>0</v>
      </c>
      <c r="MI79" s="322">
        <v>0</v>
      </c>
      <c r="MJ79" s="322">
        <v>0</v>
      </c>
      <c r="MK79" s="322">
        <v>0</v>
      </c>
      <c r="ML79" s="322">
        <v>0</v>
      </c>
      <c r="MM79" s="322">
        <v>0</v>
      </c>
      <c r="MN79" s="322">
        <v>0</v>
      </c>
      <c r="MO79" s="322">
        <v>0</v>
      </c>
      <c r="MP79" s="322">
        <v>0</v>
      </c>
      <c r="MQ79" s="322">
        <v>0</v>
      </c>
      <c r="MR79" s="322">
        <v>0</v>
      </c>
      <c r="MS79" s="322">
        <v>0</v>
      </c>
      <c r="MT79" s="322">
        <v>0</v>
      </c>
      <c r="MU79" s="322">
        <v>0</v>
      </c>
      <c r="MV79" s="334"/>
      <c r="MW79" s="322" t="s">
        <v>61</v>
      </c>
      <c r="MX79" s="322">
        <v>738887.5</v>
      </c>
      <c r="MY79" s="322">
        <v>0</v>
      </c>
      <c r="MZ79" s="322">
        <v>0</v>
      </c>
      <c r="NA79" s="322">
        <v>399462.14</v>
      </c>
      <c r="NB79" s="322">
        <v>555179.55000000005</v>
      </c>
      <c r="NC79" s="322">
        <v>446677.44</v>
      </c>
      <c r="ND79" s="322">
        <v>550225.13</v>
      </c>
      <c r="NE79" s="322">
        <v>468359.65</v>
      </c>
      <c r="NF79" s="322">
        <v>0</v>
      </c>
      <c r="NG79" s="322">
        <v>0</v>
      </c>
      <c r="NH79" s="322">
        <v>0</v>
      </c>
      <c r="NI79" s="322">
        <v>0</v>
      </c>
      <c r="NJ79" s="322">
        <v>0</v>
      </c>
      <c r="NK79" s="322">
        <v>0</v>
      </c>
      <c r="NL79" s="322">
        <v>0</v>
      </c>
      <c r="NM79" s="322">
        <v>0</v>
      </c>
      <c r="NN79" s="322">
        <v>0</v>
      </c>
      <c r="NO79" s="322">
        <v>0</v>
      </c>
      <c r="NP79" s="322">
        <v>0</v>
      </c>
      <c r="NQ79" s="322">
        <v>0</v>
      </c>
      <c r="NR79" s="322">
        <v>0</v>
      </c>
      <c r="NS79" s="322">
        <v>0</v>
      </c>
      <c r="NT79" s="334"/>
      <c r="NU79" s="322" t="s">
        <v>61</v>
      </c>
      <c r="NV79" s="322">
        <v>198931.25</v>
      </c>
      <c r="NW79" s="322">
        <v>213798.24</v>
      </c>
      <c r="NX79" s="322">
        <v>218067.72</v>
      </c>
      <c r="NY79" s="322">
        <v>290517.92</v>
      </c>
      <c r="NZ79" s="322">
        <v>296095.76</v>
      </c>
      <c r="OA79" s="322">
        <v>372231.2</v>
      </c>
      <c r="OB79" s="322">
        <v>338600.08</v>
      </c>
      <c r="OC79" s="322">
        <v>383203.35</v>
      </c>
      <c r="OD79" s="322">
        <v>414067</v>
      </c>
      <c r="OE79" s="322">
        <v>458767</v>
      </c>
      <c r="OF79" s="322">
        <v>481468</v>
      </c>
      <c r="OG79" s="322">
        <v>473960</v>
      </c>
      <c r="OH79" s="322">
        <v>511172</v>
      </c>
      <c r="OI79" s="322">
        <v>465379</v>
      </c>
      <c r="OJ79" s="322">
        <v>473638</v>
      </c>
      <c r="OK79" s="322">
        <v>505986</v>
      </c>
      <c r="OL79" s="322">
        <v>618017</v>
      </c>
      <c r="OM79" s="322">
        <v>694331</v>
      </c>
      <c r="ON79" s="322">
        <v>701054</v>
      </c>
      <c r="OO79" s="322">
        <v>697785</v>
      </c>
      <c r="OP79" s="322">
        <v>717137</v>
      </c>
      <c r="OQ79" s="322">
        <v>794327</v>
      </c>
      <c r="OR79" s="334"/>
      <c r="OS79" s="322" t="s">
        <v>61</v>
      </c>
      <c r="OT79" s="322">
        <v>341025</v>
      </c>
      <c r="OU79" s="322">
        <v>463229.52</v>
      </c>
      <c r="OV79" s="322">
        <v>472480.06</v>
      </c>
      <c r="OW79" s="322">
        <v>399462.14</v>
      </c>
      <c r="OX79" s="322">
        <v>407131.67</v>
      </c>
      <c r="OY79" s="322">
        <v>483900.56</v>
      </c>
      <c r="OZ79" s="322">
        <v>507900.12</v>
      </c>
      <c r="PA79" s="322">
        <v>298047.05</v>
      </c>
      <c r="PB79" s="322">
        <v>300532</v>
      </c>
      <c r="PC79" s="322">
        <v>344372</v>
      </c>
      <c r="PD79" s="322">
        <v>369038</v>
      </c>
      <c r="PE79" s="322">
        <v>355233</v>
      </c>
      <c r="PF79" s="322">
        <v>363941</v>
      </c>
      <c r="PG79" s="322">
        <v>477007</v>
      </c>
      <c r="PH79" s="322">
        <v>418475</v>
      </c>
      <c r="PI79" s="322">
        <v>412548</v>
      </c>
      <c r="PJ79" s="322">
        <v>415973</v>
      </c>
      <c r="PK79" s="322">
        <v>471776</v>
      </c>
      <c r="PL79" s="322">
        <v>438036</v>
      </c>
      <c r="PM79" s="322">
        <v>442297</v>
      </c>
      <c r="PN79" s="322">
        <v>436214</v>
      </c>
      <c r="PO79" s="322">
        <v>479050</v>
      </c>
      <c r="PP79" s="334"/>
      <c r="PQ79" s="322" t="s">
        <v>61</v>
      </c>
      <c r="PR79" s="322">
        <v>28418.75</v>
      </c>
      <c r="PS79" s="322">
        <v>0</v>
      </c>
      <c r="PT79" s="322">
        <v>0</v>
      </c>
      <c r="PU79" s="322">
        <v>0</v>
      </c>
      <c r="PV79" s="322">
        <v>37011.97</v>
      </c>
      <c r="PW79" s="322">
        <v>37223.120000000003</v>
      </c>
      <c r="PX79" s="322">
        <v>42325.01</v>
      </c>
      <c r="PY79" s="322">
        <v>42578.15</v>
      </c>
      <c r="PZ79" s="322">
        <v>29236</v>
      </c>
      <c r="QA79" s="322">
        <v>36233</v>
      </c>
      <c r="QB79" s="322">
        <v>29254</v>
      </c>
      <c r="QC79" s="322">
        <v>36599</v>
      </c>
      <c r="QD79" s="322">
        <v>30391</v>
      </c>
      <c r="QE79" s="322">
        <v>34150</v>
      </c>
      <c r="QF79" s="322">
        <v>35571</v>
      </c>
      <c r="QG79" s="322">
        <v>32830</v>
      </c>
      <c r="QH79" s="322">
        <v>35176</v>
      </c>
      <c r="QI79" s="322">
        <v>48413</v>
      </c>
      <c r="QJ79" s="322">
        <v>46959</v>
      </c>
      <c r="QK79" s="322">
        <v>47279</v>
      </c>
      <c r="QL79" s="322">
        <v>40235</v>
      </c>
      <c r="QM79" s="322">
        <v>46728</v>
      </c>
      <c r="QN79" s="334"/>
      <c r="QO79" s="322" t="s">
        <v>61</v>
      </c>
      <c r="QP79" s="322">
        <v>0</v>
      </c>
      <c r="QQ79" s="322">
        <v>35633.040000000001</v>
      </c>
      <c r="QR79" s="322">
        <v>72689.240000000005</v>
      </c>
      <c r="QS79" s="322">
        <v>72629.48</v>
      </c>
      <c r="QT79" s="322">
        <v>74023.94</v>
      </c>
      <c r="QU79" s="322">
        <v>74446.240000000005</v>
      </c>
      <c r="QV79" s="322">
        <v>84650.02</v>
      </c>
      <c r="QW79" s="322">
        <v>85156.3</v>
      </c>
      <c r="QX79" s="322">
        <v>79100</v>
      </c>
      <c r="QY79" s="322">
        <v>80836</v>
      </c>
      <c r="QZ79" s="322">
        <v>81368</v>
      </c>
      <c r="RA79" s="322">
        <v>83876</v>
      </c>
      <c r="RB79" s="322">
        <v>86184</v>
      </c>
      <c r="RC79" s="322">
        <v>88505</v>
      </c>
      <c r="RD79" s="322">
        <v>87883</v>
      </c>
      <c r="RE79" s="322">
        <v>85609</v>
      </c>
      <c r="RF79" s="322">
        <v>85609</v>
      </c>
      <c r="RG79" s="322">
        <v>0</v>
      </c>
      <c r="RH79" s="322">
        <v>0</v>
      </c>
      <c r="RI79" s="322">
        <v>0</v>
      </c>
      <c r="RJ79" s="322">
        <v>0</v>
      </c>
      <c r="RK79" s="322">
        <v>0</v>
      </c>
      <c r="RL79" s="334"/>
      <c r="RM79" s="322" t="s">
        <v>61</v>
      </c>
      <c r="RN79" s="322">
        <v>142093.75</v>
      </c>
      <c r="RO79" s="322">
        <v>677027.76</v>
      </c>
      <c r="RP79" s="322">
        <v>472480.06</v>
      </c>
      <c r="RQ79" s="322">
        <v>326832.65999999997</v>
      </c>
      <c r="RR79" s="322">
        <v>148047.88</v>
      </c>
      <c r="RS79" s="322">
        <v>186115.6</v>
      </c>
      <c r="RT79" s="322">
        <v>169300.04</v>
      </c>
      <c r="RU79" s="322">
        <v>170312.6</v>
      </c>
      <c r="RV79" s="322">
        <v>802759</v>
      </c>
      <c r="RW79" s="322">
        <v>747238</v>
      </c>
      <c r="RX79" s="322">
        <v>748062</v>
      </c>
      <c r="RY79" s="322">
        <v>731715</v>
      </c>
      <c r="RZ79" s="322">
        <v>737795</v>
      </c>
      <c r="SA79" s="322">
        <v>761595</v>
      </c>
      <c r="SB79" s="322">
        <v>730717</v>
      </c>
      <c r="SC79" s="322">
        <v>730865</v>
      </c>
      <c r="SD79" s="322">
        <v>738111</v>
      </c>
      <c r="SE79" s="322">
        <v>803101</v>
      </c>
      <c r="SF79" s="322">
        <v>717220</v>
      </c>
      <c r="SG79" s="322">
        <v>716070</v>
      </c>
      <c r="SH79" s="322">
        <v>715645</v>
      </c>
      <c r="SI79" s="322">
        <v>765645</v>
      </c>
    </row>
    <row r="80" spans="1:503">
      <c r="A80" s="319" t="s">
        <v>62</v>
      </c>
      <c r="B80" s="319">
        <v>2199321</v>
      </c>
      <c r="C80" s="319">
        <v>2487152</v>
      </c>
      <c r="D80" s="319">
        <v>2540487</v>
      </c>
      <c r="E80" s="319">
        <v>2449702</v>
      </c>
      <c r="F80" s="319">
        <v>2303824</v>
      </c>
      <c r="G80" s="319">
        <v>2396199</v>
      </c>
      <c r="H80" s="319">
        <v>1363529</v>
      </c>
      <c r="I80" s="319">
        <v>1603725</v>
      </c>
      <c r="J80" s="319">
        <v>1967228.6600000001</v>
      </c>
      <c r="K80" s="319">
        <v>1608226.32</v>
      </c>
      <c r="L80" s="319">
        <v>1692918.54</v>
      </c>
      <c r="M80" s="319">
        <v>1701144.71</v>
      </c>
      <c r="N80" s="319">
        <v>1684677.44</v>
      </c>
      <c r="O80" s="319">
        <v>2008902.9299999997</v>
      </c>
      <c r="P80" s="319">
        <v>1917182.9899999998</v>
      </c>
      <c r="Q80" s="319">
        <v>2025539.01</v>
      </c>
      <c r="R80" s="319"/>
      <c r="S80" s="322"/>
      <c r="T80" s="319"/>
      <c r="U80" s="319"/>
      <c r="V80" s="319"/>
      <c r="W80" s="319"/>
      <c r="X80" s="330"/>
      <c r="Y80" s="319" t="s">
        <v>62</v>
      </c>
      <c r="Z80" s="319">
        <v>65979.63</v>
      </c>
      <c r="AA80" s="319">
        <v>74614.559999999998</v>
      </c>
      <c r="AB80" s="319">
        <v>76214.61</v>
      </c>
      <c r="AC80" s="319">
        <v>73491.06</v>
      </c>
      <c r="AD80" s="319">
        <v>92152.960000000006</v>
      </c>
      <c r="AE80" s="319">
        <v>95847.96</v>
      </c>
      <c r="AF80" s="319">
        <v>143771.94</v>
      </c>
      <c r="AG80" s="319">
        <v>80186.25</v>
      </c>
      <c r="AH80" s="319">
        <v>86794.819999999992</v>
      </c>
      <c r="AI80" s="319">
        <v>86337.84</v>
      </c>
      <c r="AJ80" s="319">
        <v>86090.16</v>
      </c>
      <c r="AK80" s="319">
        <v>89677.51</v>
      </c>
      <c r="AL80" s="319">
        <v>93397.7</v>
      </c>
      <c r="AM80" s="319">
        <v>102076.58</v>
      </c>
      <c r="AN80" s="319">
        <v>98794.43</v>
      </c>
      <c r="AO80" s="319">
        <v>98253.27</v>
      </c>
      <c r="AP80" s="319"/>
      <c r="AQ80" s="322"/>
      <c r="AR80" s="319"/>
      <c r="AS80" s="319"/>
      <c r="AT80" s="319"/>
      <c r="AU80" s="319"/>
      <c r="AV80" s="334"/>
      <c r="AW80" s="319" t="s">
        <v>62</v>
      </c>
      <c r="AX80" s="319">
        <v>65979.63</v>
      </c>
      <c r="AY80" s="319">
        <v>49743.040000000001</v>
      </c>
      <c r="AZ80" s="319">
        <v>50809.74</v>
      </c>
      <c r="BA80" s="319">
        <v>73491.06</v>
      </c>
      <c r="BB80" s="319">
        <v>69114.720000000001</v>
      </c>
      <c r="BC80" s="319">
        <v>71885.97</v>
      </c>
      <c r="BD80" s="319">
        <v>81811.739999999991</v>
      </c>
      <c r="BE80" s="319">
        <v>80186.25</v>
      </c>
      <c r="BF80" s="319">
        <v>71648.39</v>
      </c>
      <c r="BG80" s="319">
        <v>73648.349999999991</v>
      </c>
      <c r="BH80" s="319">
        <v>73586.579999999987</v>
      </c>
      <c r="BI80" s="319">
        <v>76891.260000000009</v>
      </c>
      <c r="BJ80" s="319">
        <v>74806.749999999985</v>
      </c>
      <c r="BK80" s="319">
        <v>81201.06</v>
      </c>
      <c r="BL80" s="319">
        <v>102602.56</v>
      </c>
      <c r="BM80" s="319">
        <v>103258.39</v>
      </c>
      <c r="BN80" s="319"/>
      <c r="BO80" s="322"/>
      <c r="BP80" s="319"/>
      <c r="BQ80" s="319"/>
      <c r="BR80" s="319"/>
      <c r="BS80" s="319"/>
      <c r="BT80" s="334"/>
      <c r="BU80" s="322" t="s">
        <v>62</v>
      </c>
      <c r="BV80" s="322">
        <v>65979.63</v>
      </c>
      <c r="BW80" s="322">
        <v>49743.040000000001</v>
      </c>
      <c r="BX80" s="322">
        <v>76214.61</v>
      </c>
      <c r="BY80" s="322">
        <v>48994.04</v>
      </c>
      <c r="BZ80" s="322">
        <v>46076.480000000003</v>
      </c>
      <c r="CA80" s="322">
        <v>119809.95</v>
      </c>
      <c r="CB80" s="322">
        <v>81811.740000000005</v>
      </c>
      <c r="CC80" s="322">
        <v>32074.5</v>
      </c>
      <c r="CD80" s="322">
        <v>62900.55</v>
      </c>
      <c r="CE80" s="322">
        <v>53069.35</v>
      </c>
      <c r="CF80" s="322">
        <v>70596.11</v>
      </c>
      <c r="CG80" s="322">
        <v>66200.51999999999</v>
      </c>
      <c r="CH80" s="322">
        <v>73789.37000000001</v>
      </c>
      <c r="CI80" s="322">
        <v>81506.789999999994</v>
      </c>
      <c r="CJ80" s="322">
        <v>78704.149999999994</v>
      </c>
      <c r="CK80" s="322">
        <v>64294.02</v>
      </c>
      <c r="CL80" s="322"/>
      <c r="CM80" s="322"/>
      <c r="CN80" s="322"/>
      <c r="CO80" s="322"/>
      <c r="CP80" s="322"/>
      <c r="CQ80" s="322"/>
      <c r="CR80" s="334"/>
      <c r="CS80" s="322" t="s">
        <v>62</v>
      </c>
      <c r="CT80" s="322">
        <v>65979.63</v>
      </c>
      <c r="CU80" s="322">
        <v>49743.040000000001</v>
      </c>
      <c r="CV80" s="322">
        <v>50809.74</v>
      </c>
      <c r="CW80" s="322">
        <v>48994.04</v>
      </c>
      <c r="CX80" s="322">
        <v>46076.480000000003</v>
      </c>
      <c r="CY80" s="322">
        <v>47923.98</v>
      </c>
      <c r="CZ80" s="322">
        <v>54541.16</v>
      </c>
      <c r="DA80" s="322">
        <v>64149</v>
      </c>
      <c r="DB80" s="322">
        <v>136158.5</v>
      </c>
      <c r="DC80" s="322">
        <v>66863.81</v>
      </c>
      <c r="DD80" s="322">
        <v>57008.85</v>
      </c>
      <c r="DE80" s="322">
        <v>69373.08</v>
      </c>
      <c r="DF80" s="322">
        <v>63065.2</v>
      </c>
      <c r="DG80" s="322">
        <v>87820.12000000001</v>
      </c>
      <c r="DH80" s="322">
        <v>89077.97</v>
      </c>
      <c r="DI80" s="322">
        <v>91663.99</v>
      </c>
      <c r="DJ80" s="322"/>
      <c r="DK80" s="322"/>
      <c r="DL80" s="322"/>
      <c r="DM80" s="322"/>
      <c r="DN80" s="322"/>
      <c r="DO80" s="322"/>
      <c r="DP80" s="334"/>
      <c r="DQ80" s="322" t="s">
        <v>62</v>
      </c>
      <c r="DR80" s="322">
        <v>219932.1</v>
      </c>
      <c r="DS80" s="322">
        <v>248715.2</v>
      </c>
      <c r="DT80" s="322">
        <v>254048.7</v>
      </c>
      <c r="DU80" s="322">
        <v>220473.18</v>
      </c>
      <c r="DV80" s="322">
        <v>230382.4</v>
      </c>
      <c r="DW80" s="322">
        <v>215657.91</v>
      </c>
      <c r="DX80" s="322">
        <v>136352.9</v>
      </c>
      <c r="DY80" s="322">
        <v>160372.5</v>
      </c>
      <c r="DZ80" s="322">
        <v>164385.78999999998</v>
      </c>
      <c r="EA80" s="322">
        <v>152828.15999999997</v>
      </c>
      <c r="EB80" s="322">
        <v>161939.97</v>
      </c>
      <c r="EC80" s="322">
        <v>157840.93</v>
      </c>
      <c r="ED80" s="322">
        <v>169727.28</v>
      </c>
      <c r="EE80" s="322">
        <v>186314.06999999998</v>
      </c>
      <c r="EF80" s="322">
        <v>222282.17000000004</v>
      </c>
      <c r="EG80" s="322">
        <v>249894.62999999998</v>
      </c>
      <c r="EH80" s="322"/>
      <c r="EI80" s="322"/>
      <c r="EJ80" s="322"/>
      <c r="EK80" s="322"/>
      <c r="EL80" s="322"/>
      <c r="EM80" s="322"/>
      <c r="EN80" s="334"/>
      <c r="EO80" s="322" t="s">
        <v>62</v>
      </c>
      <c r="EP80" s="322">
        <v>21993.21</v>
      </c>
      <c r="EQ80" s="322">
        <v>24871.52</v>
      </c>
      <c r="ER80" s="322">
        <v>25404.87</v>
      </c>
      <c r="ES80" s="322">
        <v>48994.04</v>
      </c>
      <c r="ET80" s="322">
        <v>46076.480000000003</v>
      </c>
      <c r="EU80" s="322">
        <v>47923.98</v>
      </c>
      <c r="EV80" s="322">
        <v>40905.870000000003</v>
      </c>
      <c r="EW80" s="322">
        <v>48111.75</v>
      </c>
      <c r="EX80" s="322">
        <v>37068.49</v>
      </c>
      <c r="EY80" s="322">
        <v>32542.080000000002</v>
      </c>
      <c r="EZ80" s="322">
        <v>39171.560000000005</v>
      </c>
      <c r="FA80" s="322">
        <v>45756.759999999995</v>
      </c>
      <c r="FB80" s="322">
        <v>45890.85</v>
      </c>
      <c r="FC80" s="322">
        <v>48139.090000000004</v>
      </c>
      <c r="FD80" s="322">
        <v>49967.41</v>
      </c>
      <c r="FE80" s="322">
        <v>54325.24</v>
      </c>
      <c r="FF80" s="322"/>
      <c r="FG80" s="322"/>
      <c r="FH80" s="322"/>
      <c r="FI80" s="322"/>
      <c r="FJ80" s="322"/>
      <c r="FK80" s="322"/>
      <c r="FL80" s="334"/>
      <c r="FM80" s="322" t="s">
        <v>62</v>
      </c>
      <c r="FN80" s="322">
        <v>87972.84</v>
      </c>
      <c r="FO80" s="322">
        <v>74614.559999999998</v>
      </c>
      <c r="FP80" s="322">
        <v>76214.61</v>
      </c>
      <c r="FQ80" s="322">
        <v>97988.08</v>
      </c>
      <c r="FR80" s="322">
        <v>69114.720000000001</v>
      </c>
      <c r="FS80" s="322">
        <v>71885.97</v>
      </c>
      <c r="FT80" s="322">
        <v>68176.45</v>
      </c>
      <c r="FU80" s="322">
        <v>80186.25</v>
      </c>
      <c r="FV80" s="322">
        <v>76465.170000000013</v>
      </c>
      <c r="FW80" s="322">
        <v>74234.62999999999</v>
      </c>
      <c r="FX80" s="322">
        <v>81145.279999999999</v>
      </c>
      <c r="FY80" s="322">
        <v>79783.48</v>
      </c>
      <c r="FZ80" s="322">
        <v>79445.62</v>
      </c>
      <c r="GA80" s="322">
        <v>80089.240000000005</v>
      </c>
      <c r="GB80" s="322">
        <v>75604.800000000003</v>
      </c>
      <c r="GC80" s="322">
        <v>75796.180000000008</v>
      </c>
      <c r="GD80" s="322"/>
      <c r="GE80" s="322"/>
      <c r="GF80" s="340"/>
      <c r="GG80" s="704"/>
      <c r="GH80" s="704"/>
      <c r="GI80" s="704"/>
      <c r="GJ80" s="334"/>
      <c r="GK80" s="322" t="s">
        <v>62</v>
      </c>
      <c r="GL80" s="322">
        <v>21993.21</v>
      </c>
      <c r="GM80" s="322">
        <v>24871.52</v>
      </c>
      <c r="GN80" s="322">
        <v>25404.87</v>
      </c>
      <c r="GO80" s="322">
        <v>24497.02</v>
      </c>
      <c r="GP80" s="322">
        <v>23038.240000000002</v>
      </c>
      <c r="GQ80" s="322">
        <v>47923.98</v>
      </c>
      <c r="GR80" s="322">
        <v>40905.870000000003</v>
      </c>
      <c r="GS80" s="322">
        <v>48111.75</v>
      </c>
      <c r="GT80" s="322">
        <v>34364.29</v>
      </c>
      <c r="GU80" s="322">
        <v>35574.699999999997</v>
      </c>
      <c r="GV80" s="322">
        <v>22925.32</v>
      </c>
      <c r="GW80" s="322">
        <v>67126.5</v>
      </c>
      <c r="GX80" s="322">
        <v>67644.87999999999</v>
      </c>
      <c r="GY80" s="322">
        <v>71241.069999999992</v>
      </c>
      <c r="GZ80" s="322">
        <v>69286.75</v>
      </c>
      <c r="HA80" s="322">
        <v>68861</v>
      </c>
      <c r="HB80" s="322"/>
      <c r="HC80" s="322"/>
      <c r="HD80" s="322"/>
      <c r="HE80" s="322"/>
      <c r="HF80" s="322"/>
      <c r="HG80" s="322"/>
      <c r="HH80" s="334"/>
      <c r="HI80" s="322" t="s">
        <v>62</v>
      </c>
      <c r="HJ80" s="322">
        <v>0</v>
      </c>
      <c r="HK80" s="322">
        <v>0</v>
      </c>
      <c r="HL80" s="322">
        <v>0</v>
      </c>
      <c r="HM80" s="322">
        <v>0</v>
      </c>
      <c r="HN80" s="322">
        <v>0</v>
      </c>
      <c r="HO80" s="322">
        <v>0</v>
      </c>
      <c r="HP80" s="322">
        <v>0</v>
      </c>
      <c r="HQ80" s="322">
        <v>0</v>
      </c>
      <c r="HR80" s="322">
        <v>5088.24</v>
      </c>
      <c r="HS80" s="322">
        <v>4830.12</v>
      </c>
      <c r="HT80" s="322">
        <v>39161.120000000003</v>
      </c>
      <c r="HU80" s="322">
        <v>40136.720000000001</v>
      </c>
      <c r="HV80" s="322">
        <v>33746.58</v>
      </c>
      <c r="HW80" s="322">
        <v>33959.450000000004</v>
      </c>
      <c r="HX80" s="322">
        <v>29953.5</v>
      </c>
      <c r="HY80" s="322">
        <v>23989.89</v>
      </c>
      <c r="HZ80" s="322"/>
      <c r="IA80" s="322"/>
      <c r="IB80" s="322"/>
      <c r="IC80" s="322"/>
      <c r="ID80" s="322"/>
      <c r="IE80" s="322"/>
      <c r="IF80" s="334"/>
      <c r="IG80" s="322" t="s">
        <v>62</v>
      </c>
      <c r="IH80" s="322">
        <v>21993.21</v>
      </c>
      <c r="II80" s="322">
        <v>0</v>
      </c>
      <c r="IJ80" s="322">
        <v>0</v>
      </c>
      <c r="IK80" s="322">
        <v>0</v>
      </c>
      <c r="IL80" s="322">
        <v>23038.240000000002</v>
      </c>
      <c r="IM80" s="322">
        <v>0</v>
      </c>
      <c r="IN80" s="322">
        <v>13635.29</v>
      </c>
      <c r="IO80" s="322">
        <v>16037.25</v>
      </c>
      <c r="IP80" s="322">
        <v>0</v>
      </c>
      <c r="IQ80" s="322">
        <v>14167.73</v>
      </c>
      <c r="IR80" s="322">
        <v>463.9</v>
      </c>
      <c r="IS80" s="322">
        <v>0</v>
      </c>
      <c r="IT80" s="322">
        <v>0</v>
      </c>
      <c r="IU80" s="322">
        <v>0</v>
      </c>
      <c r="IV80" s="322"/>
      <c r="IW80" s="322"/>
      <c r="IX80" s="322"/>
      <c r="IY80" s="322"/>
      <c r="IZ80" s="322"/>
      <c r="JA80" s="322"/>
      <c r="JB80" s="322"/>
      <c r="JC80" s="322"/>
      <c r="JD80" s="334"/>
      <c r="JE80" s="322" t="s">
        <v>62</v>
      </c>
      <c r="JF80" s="322">
        <v>21993.21</v>
      </c>
      <c r="JG80" s="322">
        <v>24871.52</v>
      </c>
      <c r="JH80" s="322">
        <v>25404.87</v>
      </c>
      <c r="JI80" s="322">
        <v>24497.02</v>
      </c>
      <c r="JJ80" s="322">
        <v>23038.240000000002</v>
      </c>
      <c r="JK80" s="322">
        <v>47923.98</v>
      </c>
      <c r="JL80" s="322">
        <v>27270.58</v>
      </c>
      <c r="JM80" s="322">
        <v>32074.5</v>
      </c>
      <c r="JN80" s="322">
        <v>20133.219999999998</v>
      </c>
      <c r="JO80" s="322">
        <v>25334.739999999998</v>
      </c>
      <c r="JP80" s="322">
        <v>33373.17</v>
      </c>
      <c r="JQ80" s="322">
        <v>40245.480000000003</v>
      </c>
      <c r="JR80" s="322">
        <v>54163.710000000006</v>
      </c>
      <c r="JS80" s="322">
        <v>71159.53</v>
      </c>
      <c r="JT80" s="322">
        <v>38941.69</v>
      </c>
      <c r="JU80" s="322">
        <v>42470.700000000004</v>
      </c>
      <c r="JV80" s="322"/>
      <c r="JW80" s="322"/>
      <c r="JX80" s="322"/>
      <c r="JY80" s="322"/>
      <c r="JZ80" s="322"/>
      <c r="KA80" s="322"/>
      <c r="KB80" s="334"/>
      <c r="KC80" s="322" t="s">
        <v>62</v>
      </c>
      <c r="KD80" s="322">
        <v>0</v>
      </c>
      <c r="KE80" s="322">
        <v>0</v>
      </c>
      <c r="KF80" s="322">
        <v>0</v>
      </c>
      <c r="KG80" s="322">
        <v>0</v>
      </c>
      <c r="KH80" s="322">
        <v>23038.240000000002</v>
      </c>
      <c r="KI80" s="322">
        <v>47923.98</v>
      </c>
      <c r="KJ80" s="322">
        <v>40905.870000000003</v>
      </c>
      <c r="KK80" s="322">
        <v>48111.75</v>
      </c>
      <c r="KL80" s="322">
        <v>40999.919999999998</v>
      </c>
      <c r="KM80" s="322">
        <v>45468.920000000006</v>
      </c>
      <c r="KN80" s="322">
        <v>42743.54</v>
      </c>
      <c r="KO80" s="322">
        <v>44099.34</v>
      </c>
      <c r="KP80" s="322">
        <v>44235.37</v>
      </c>
      <c r="KQ80" s="322">
        <v>48550.090000000004</v>
      </c>
      <c r="KR80" s="322">
        <v>45994.71</v>
      </c>
      <c r="KS80" s="322">
        <v>48194.92</v>
      </c>
      <c r="KT80" s="322"/>
      <c r="KU80" s="322"/>
      <c r="KV80" s="322"/>
      <c r="KW80" s="322"/>
      <c r="KX80" s="322"/>
      <c r="KY80" s="322"/>
      <c r="KZ80" s="334"/>
      <c r="LA80" s="322" t="s">
        <v>62</v>
      </c>
      <c r="LB80" s="322">
        <v>351891.36</v>
      </c>
      <c r="LC80" s="322">
        <v>348201.28</v>
      </c>
      <c r="LD80" s="322">
        <v>304858.44</v>
      </c>
      <c r="LE80" s="322">
        <v>318461.26</v>
      </c>
      <c r="LF80" s="322">
        <v>276458.88</v>
      </c>
      <c r="LG80" s="322">
        <v>311505.87</v>
      </c>
      <c r="LH80" s="322">
        <v>340882.25</v>
      </c>
      <c r="LI80" s="322">
        <v>400931.25</v>
      </c>
      <c r="LJ80" s="322">
        <v>607272.28</v>
      </c>
      <c r="LK80" s="322">
        <v>394383.12</v>
      </c>
      <c r="LL80" s="322">
        <v>477305.31999999995</v>
      </c>
      <c r="LM80" s="322">
        <v>283894.78000000003</v>
      </c>
      <c r="LN80" s="322">
        <v>278654.39</v>
      </c>
      <c r="LO80" s="322">
        <v>448562.69</v>
      </c>
      <c r="LP80" s="322">
        <v>324807.36</v>
      </c>
      <c r="LQ80" s="322">
        <v>377330.69999999995</v>
      </c>
      <c r="LR80" s="322"/>
      <c r="LS80" s="322"/>
      <c r="LT80" s="322"/>
      <c r="LU80" s="322"/>
      <c r="LV80" s="322"/>
      <c r="LW80" s="322"/>
      <c r="LX80" s="334"/>
      <c r="LY80" s="322" t="s">
        <v>62</v>
      </c>
      <c r="LZ80" s="322">
        <v>0</v>
      </c>
      <c r="MA80" s="322">
        <v>0</v>
      </c>
      <c r="MB80" s="322">
        <v>0</v>
      </c>
      <c r="MC80" s="322">
        <v>0</v>
      </c>
      <c r="MD80" s="322">
        <v>0</v>
      </c>
      <c r="ME80" s="322">
        <v>0</v>
      </c>
      <c r="MF80" s="322">
        <v>0</v>
      </c>
      <c r="MG80" s="322">
        <v>0</v>
      </c>
      <c r="MH80" s="322">
        <v>0</v>
      </c>
      <c r="MI80" s="322">
        <v>0</v>
      </c>
      <c r="MJ80" s="322">
        <v>0</v>
      </c>
      <c r="MK80" s="322">
        <v>0</v>
      </c>
      <c r="ML80" s="322">
        <v>0</v>
      </c>
      <c r="MM80" s="322">
        <v>0</v>
      </c>
      <c r="MN80" s="322">
        <v>0</v>
      </c>
      <c r="MO80" s="322">
        <v>0</v>
      </c>
      <c r="MP80" s="322"/>
      <c r="MQ80" s="322"/>
      <c r="MR80" s="322"/>
      <c r="MS80" s="322"/>
      <c r="MT80" s="322"/>
      <c r="MU80" s="322"/>
      <c r="MV80" s="334"/>
      <c r="MW80" s="322" t="s">
        <v>62</v>
      </c>
      <c r="MX80" s="322">
        <v>0</v>
      </c>
      <c r="MY80" s="322">
        <v>0</v>
      </c>
      <c r="MZ80" s="322">
        <v>0</v>
      </c>
      <c r="NA80" s="322">
        <v>0</v>
      </c>
      <c r="NB80" s="322">
        <v>0</v>
      </c>
      <c r="NC80" s="322">
        <v>0</v>
      </c>
      <c r="ND80" s="322">
        <v>0</v>
      </c>
      <c r="NE80" s="322">
        <v>0</v>
      </c>
      <c r="NF80" s="322">
        <v>0</v>
      </c>
      <c r="NG80" s="322">
        <v>0</v>
      </c>
      <c r="NH80" s="322">
        <v>0</v>
      </c>
      <c r="NI80" s="322">
        <v>0</v>
      </c>
      <c r="NJ80" s="322">
        <v>0</v>
      </c>
      <c r="NK80" s="322">
        <v>0</v>
      </c>
      <c r="NL80" s="322">
        <v>0</v>
      </c>
      <c r="NM80" s="322">
        <v>0</v>
      </c>
      <c r="NN80" s="322"/>
      <c r="NO80" s="322"/>
      <c r="NP80" s="322"/>
      <c r="NQ80" s="322"/>
      <c r="NR80" s="322"/>
      <c r="NS80" s="322"/>
      <c r="NT80" s="334"/>
      <c r="NU80" s="322" t="s">
        <v>62</v>
      </c>
      <c r="NV80" s="322">
        <v>109966.05</v>
      </c>
      <c r="NW80" s="322">
        <v>99486.080000000002</v>
      </c>
      <c r="NX80" s="322">
        <v>127024.35</v>
      </c>
      <c r="NY80" s="322">
        <v>146982.12</v>
      </c>
      <c r="NZ80" s="322">
        <v>161267.68</v>
      </c>
      <c r="OA80" s="322">
        <v>119809.95</v>
      </c>
      <c r="OB80" s="322">
        <v>136352.9</v>
      </c>
      <c r="OC80" s="322">
        <v>176409.75</v>
      </c>
      <c r="OD80" s="322">
        <v>174969.25999999998</v>
      </c>
      <c r="OE80" s="322">
        <v>177457.34000000003</v>
      </c>
      <c r="OF80" s="322">
        <v>173740.98</v>
      </c>
      <c r="OG80" s="322">
        <v>177895.59999999998</v>
      </c>
      <c r="OH80" s="322">
        <v>195013.80999999997</v>
      </c>
      <c r="OI80" s="322">
        <v>222930.62</v>
      </c>
      <c r="OJ80" s="322">
        <v>222581.39999999997</v>
      </c>
      <c r="OK80" s="322">
        <v>224373.71000000005</v>
      </c>
      <c r="OL80" s="322"/>
      <c r="OM80" s="322"/>
      <c r="ON80" s="322"/>
      <c r="OO80" s="322"/>
      <c r="OP80" s="322"/>
      <c r="OQ80" s="322"/>
      <c r="OR80" s="334"/>
      <c r="OS80" s="322" t="s">
        <v>62</v>
      </c>
      <c r="OT80" s="322">
        <v>43986.42</v>
      </c>
      <c r="OU80" s="322">
        <v>49743.040000000001</v>
      </c>
      <c r="OV80" s="322">
        <v>76214.61</v>
      </c>
      <c r="OW80" s="322">
        <v>73491.06</v>
      </c>
      <c r="OX80" s="322">
        <v>46076.480000000003</v>
      </c>
      <c r="OY80" s="322">
        <v>47923.98</v>
      </c>
      <c r="OZ80" s="322">
        <v>40905.870000000003</v>
      </c>
      <c r="PA80" s="322">
        <v>48111.75</v>
      </c>
      <c r="PB80" s="322">
        <v>54162.48</v>
      </c>
      <c r="PC80" s="322">
        <v>68094.490000000005</v>
      </c>
      <c r="PD80" s="322">
        <v>49277.2</v>
      </c>
      <c r="PE80" s="322">
        <v>47962.66</v>
      </c>
      <c r="PF80" s="322">
        <v>57199.14</v>
      </c>
      <c r="PG80" s="322">
        <v>56595.64</v>
      </c>
      <c r="PH80" s="322">
        <v>48095.98</v>
      </c>
      <c r="PI80" s="322">
        <v>42107.1</v>
      </c>
      <c r="PJ80" s="322"/>
      <c r="PK80" s="322"/>
      <c r="PL80" s="322"/>
      <c r="PM80" s="322"/>
      <c r="PN80" s="322"/>
      <c r="PO80" s="322"/>
      <c r="PP80" s="334"/>
      <c r="PQ80" s="322" t="s">
        <v>62</v>
      </c>
      <c r="PR80" s="322">
        <v>0</v>
      </c>
      <c r="PS80" s="322">
        <v>0</v>
      </c>
      <c r="PT80" s="322">
        <v>0</v>
      </c>
      <c r="PU80" s="322">
        <v>0</v>
      </c>
      <c r="PV80" s="322">
        <v>23038.240000000002</v>
      </c>
      <c r="PW80" s="322">
        <v>23961.99</v>
      </c>
      <c r="PX80" s="322">
        <v>27270.58</v>
      </c>
      <c r="PY80" s="322">
        <v>32074.5</v>
      </c>
      <c r="PZ80" s="322">
        <v>19841.379999999997</v>
      </c>
      <c r="QA80" s="322">
        <v>25117.739999999998</v>
      </c>
      <c r="QB80" s="322">
        <v>26077.54</v>
      </c>
      <c r="QC80" s="322">
        <v>21815.06</v>
      </c>
      <c r="QD80" s="322">
        <v>24904.59</v>
      </c>
      <c r="QE80" s="322">
        <v>29445.339999999997</v>
      </c>
      <c r="QF80" s="322">
        <v>29888.11</v>
      </c>
      <c r="QG80" s="322">
        <v>29968.28</v>
      </c>
      <c r="QH80" s="322"/>
      <c r="QI80" s="322"/>
      <c r="QJ80" s="322"/>
      <c r="QK80" s="322"/>
      <c r="QL80" s="322"/>
      <c r="QM80" s="322"/>
      <c r="QN80" s="334"/>
      <c r="QO80" s="322" t="s">
        <v>62</v>
      </c>
      <c r="QP80" s="322">
        <v>1033680.87</v>
      </c>
      <c r="QQ80" s="322">
        <v>1144089.92</v>
      </c>
      <c r="QR80" s="322">
        <v>1067004.54</v>
      </c>
      <c r="QS80" s="322">
        <v>1053371.8600000001</v>
      </c>
      <c r="QT80" s="322">
        <v>967606.08</v>
      </c>
      <c r="QU80" s="322">
        <v>1030365.57</v>
      </c>
      <c r="QV80" s="322">
        <v>0</v>
      </c>
      <c r="QW80" s="322">
        <v>0</v>
      </c>
      <c r="QX80" s="322">
        <v>3200</v>
      </c>
      <c r="QY80" s="322">
        <v>3600</v>
      </c>
      <c r="QZ80" s="322">
        <v>4900</v>
      </c>
      <c r="RA80" s="322">
        <v>5450</v>
      </c>
      <c r="RB80" s="322">
        <v>4950</v>
      </c>
      <c r="RC80" s="322">
        <v>4400</v>
      </c>
      <c r="RD80" s="322">
        <v>3600</v>
      </c>
      <c r="RE80" s="322">
        <v>2700</v>
      </c>
      <c r="RF80" s="322"/>
      <c r="RG80" s="322"/>
      <c r="RH80" s="322"/>
      <c r="RI80" s="322"/>
      <c r="RJ80" s="322"/>
      <c r="RK80" s="322"/>
      <c r="RL80" s="334"/>
      <c r="RM80" s="322" t="s">
        <v>62</v>
      </c>
      <c r="RN80" s="322">
        <v>0</v>
      </c>
      <c r="RO80" s="322">
        <v>223843.68</v>
      </c>
      <c r="RP80" s="322">
        <v>304858.44</v>
      </c>
      <c r="RQ80" s="322">
        <v>195976.16</v>
      </c>
      <c r="RR80" s="322">
        <v>138229.44</v>
      </c>
      <c r="RS80" s="322">
        <v>47923.98</v>
      </c>
      <c r="RT80" s="322">
        <v>149988.19</v>
      </c>
      <c r="RU80" s="322">
        <v>256596</v>
      </c>
      <c r="RV80" s="322">
        <v>362724</v>
      </c>
      <c r="RW80" s="322">
        <v>274673.2</v>
      </c>
      <c r="RX80" s="322">
        <v>222095.43</v>
      </c>
      <c r="RY80" s="322">
        <v>370164.03</v>
      </c>
      <c r="RZ80" s="322">
        <v>306977.55</v>
      </c>
      <c r="SA80" s="322">
        <v>346977.55</v>
      </c>
      <c r="SB80" s="322">
        <v>387000</v>
      </c>
      <c r="SC80" s="322">
        <v>378858</v>
      </c>
      <c r="SD80" s="322"/>
      <c r="SE80" s="322"/>
      <c r="SF80" s="322"/>
      <c r="SG80" s="322"/>
      <c r="SH80" s="322"/>
      <c r="SI80" s="322"/>
    </row>
    <row r="81" spans="1:503">
      <c r="A81" s="319" t="s">
        <v>63</v>
      </c>
      <c r="B81" s="319">
        <v>1048021</v>
      </c>
      <c r="C81" s="319">
        <v>578537</v>
      </c>
      <c r="D81" s="319">
        <v>653665</v>
      </c>
      <c r="E81" s="319">
        <v>706544</v>
      </c>
      <c r="F81" s="319">
        <v>951462</v>
      </c>
      <c r="G81" s="319">
        <v>1039729</v>
      </c>
      <c r="H81" s="319">
        <v>1184406</v>
      </c>
      <c r="I81" s="319">
        <v>1200534</v>
      </c>
      <c r="J81" s="319">
        <v>1152729.58</v>
      </c>
      <c r="K81" s="319">
        <v>1507702.7200000002</v>
      </c>
      <c r="L81" s="319">
        <v>1291194.196</v>
      </c>
      <c r="M81" s="319">
        <v>1326546.9300000002</v>
      </c>
      <c r="N81" s="319">
        <v>1735638.4300000002</v>
      </c>
      <c r="O81" s="319">
        <v>1764400.7000000002</v>
      </c>
      <c r="P81" s="319">
        <v>2072936.4</v>
      </c>
      <c r="Q81" s="319">
        <v>2148122.25</v>
      </c>
      <c r="R81" s="319">
        <v>1337828.18</v>
      </c>
      <c r="S81" s="322">
        <v>1151442.1199999999</v>
      </c>
      <c r="T81" s="319">
        <v>1431971.973</v>
      </c>
      <c r="U81" s="319">
        <v>1410623.24</v>
      </c>
      <c r="V81" s="319">
        <v>1513884.49</v>
      </c>
      <c r="W81" s="319">
        <v>2021769.54</v>
      </c>
      <c r="X81" s="330"/>
      <c r="Y81" s="319" t="s">
        <v>63</v>
      </c>
      <c r="Z81" s="319">
        <v>62881.26</v>
      </c>
      <c r="AA81" s="319">
        <v>63639.07</v>
      </c>
      <c r="AB81" s="319">
        <v>71903.149999999994</v>
      </c>
      <c r="AC81" s="319">
        <v>98916.160000000003</v>
      </c>
      <c r="AD81" s="319">
        <v>95146.2</v>
      </c>
      <c r="AE81" s="319">
        <v>103972.9</v>
      </c>
      <c r="AF81" s="319">
        <v>83178.320000000007</v>
      </c>
      <c r="AG81" s="319">
        <v>108048.06</v>
      </c>
      <c r="AH81" s="319">
        <v>106191.93000000001</v>
      </c>
      <c r="AI81" s="319">
        <v>115070</v>
      </c>
      <c r="AJ81" s="319">
        <v>112637.94000000002</v>
      </c>
      <c r="AK81" s="319">
        <v>117420.7</v>
      </c>
      <c r="AL81" s="319">
        <v>113414.81999999999</v>
      </c>
      <c r="AM81" s="319">
        <v>106916.95</v>
      </c>
      <c r="AN81" s="319">
        <v>112924.75</v>
      </c>
      <c r="AO81" s="319">
        <v>112996.56999999999</v>
      </c>
      <c r="AP81" s="319">
        <v>112009.70999999999</v>
      </c>
      <c r="AQ81" s="322">
        <v>104628.99000000002</v>
      </c>
      <c r="AR81" s="319">
        <v>105444.84</v>
      </c>
      <c r="AS81" s="319">
        <v>99436.609999999986</v>
      </c>
      <c r="AT81" s="319">
        <v>99642.000000000015</v>
      </c>
      <c r="AU81" s="319">
        <v>108000</v>
      </c>
      <c r="AV81" s="334"/>
      <c r="AW81" s="319" t="s">
        <v>63</v>
      </c>
      <c r="AX81" s="319">
        <v>62881.259999999995</v>
      </c>
      <c r="AY81" s="319">
        <v>57853.700000000004</v>
      </c>
      <c r="AZ81" s="319">
        <v>58829.85</v>
      </c>
      <c r="BA81" s="319">
        <v>70654.400000000009</v>
      </c>
      <c r="BB81" s="319">
        <v>76116.960000000006</v>
      </c>
      <c r="BC81" s="319">
        <v>83178.320000000007</v>
      </c>
      <c r="BD81" s="319">
        <v>82908.420000000013</v>
      </c>
      <c r="BE81" s="319">
        <v>84037.38</v>
      </c>
      <c r="BF81" s="319">
        <v>80502.320000000007</v>
      </c>
      <c r="BG81" s="319">
        <v>84616.49</v>
      </c>
      <c r="BH81" s="319">
        <v>84420.66</v>
      </c>
      <c r="BI81" s="319">
        <v>83783.959999999992</v>
      </c>
      <c r="BJ81" s="319">
        <v>84792.239999999991</v>
      </c>
      <c r="BK81" s="319">
        <v>86429.909999999989</v>
      </c>
      <c r="BL81" s="319">
        <v>94660.73</v>
      </c>
      <c r="BM81" s="319">
        <v>78895.740000000005</v>
      </c>
      <c r="BN81" s="319">
        <v>74496.060000000012</v>
      </c>
      <c r="BO81" s="322">
        <v>76081.239999999991</v>
      </c>
      <c r="BP81" s="319">
        <v>106314.45999999999</v>
      </c>
      <c r="BQ81" s="319">
        <v>78915.259999999995</v>
      </c>
      <c r="BR81" s="319">
        <v>86196.14</v>
      </c>
      <c r="BS81" s="319">
        <v>95170</v>
      </c>
      <c r="BT81" s="334"/>
      <c r="BU81" s="322" t="s">
        <v>63</v>
      </c>
      <c r="BV81" s="322">
        <v>83841.679999999993</v>
      </c>
      <c r="BW81" s="322">
        <v>40497.589999999997</v>
      </c>
      <c r="BX81" s="322">
        <v>91513.1</v>
      </c>
      <c r="BY81" s="322">
        <v>28261.759999999998</v>
      </c>
      <c r="BZ81" s="322">
        <v>104660.82</v>
      </c>
      <c r="CA81" s="322">
        <v>41589.160000000003</v>
      </c>
      <c r="CB81" s="322">
        <v>106596.54</v>
      </c>
      <c r="CC81" s="322">
        <v>60026.7</v>
      </c>
      <c r="CD81" s="322">
        <v>177678.48</v>
      </c>
      <c r="CE81" s="322">
        <v>151379.01</v>
      </c>
      <c r="CF81" s="322">
        <v>254952.81000000003</v>
      </c>
      <c r="CG81" s="322">
        <v>100785.54999999999</v>
      </c>
      <c r="CH81" s="322">
        <v>183581.8</v>
      </c>
      <c r="CI81" s="322">
        <v>97667.260000000009</v>
      </c>
      <c r="CJ81" s="322">
        <v>192067.49000000002</v>
      </c>
      <c r="CK81" s="322">
        <v>83297.350000000006</v>
      </c>
      <c r="CL81" s="322">
        <v>152038.56999999998</v>
      </c>
      <c r="CM81" s="322">
        <v>95600.650000000009</v>
      </c>
      <c r="CN81" s="322">
        <v>182151.83</v>
      </c>
      <c r="CO81" s="322">
        <v>109943.63999999998</v>
      </c>
      <c r="CP81" s="322">
        <v>199347.99000000002</v>
      </c>
      <c r="CQ81" s="322">
        <v>162130</v>
      </c>
      <c r="CR81" s="334"/>
      <c r="CS81" s="322" t="s">
        <v>63</v>
      </c>
      <c r="CT81" s="322">
        <v>503050.08</v>
      </c>
      <c r="CU81" s="322">
        <v>63639.07</v>
      </c>
      <c r="CV81" s="322">
        <v>91513.1</v>
      </c>
      <c r="CW81" s="322">
        <v>63588.959999999999</v>
      </c>
      <c r="CX81" s="322">
        <v>247380.12</v>
      </c>
      <c r="CY81" s="322">
        <v>343110.57</v>
      </c>
      <c r="CZ81" s="322">
        <v>189504.96</v>
      </c>
      <c r="DA81" s="322">
        <v>312138.84000000003</v>
      </c>
      <c r="DB81" s="322">
        <v>109803.56</v>
      </c>
      <c r="DC81" s="322">
        <v>323561.34999999998</v>
      </c>
      <c r="DD81" s="322">
        <v>132492.01</v>
      </c>
      <c r="DE81" s="322">
        <v>185884.24</v>
      </c>
      <c r="DF81" s="322">
        <v>198946.74</v>
      </c>
      <c r="DG81" s="322">
        <v>179521.22999999998</v>
      </c>
      <c r="DH81" s="322">
        <v>182517.64</v>
      </c>
      <c r="DI81" s="322">
        <v>186787.90000000002</v>
      </c>
      <c r="DJ81" s="322">
        <v>168724.94999999998</v>
      </c>
      <c r="DK81" s="322">
        <v>176850.15999999997</v>
      </c>
      <c r="DL81" s="322">
        <v>217192.72999999998</v>
      </c>
      <c r="DM81" s="322">
        <v>351894.85000000003</v>
      </c>
      <c r="DN81" s="322">
        <v>365363.24</v>
      </c>
      <c r="DO81" s="322">
        <v>508582</v>
      </c>
      <c r="DP81" s="334"/>
      <c r="DQ81" s="322" t="s">
        <v>63</v>
      </c>
      <c r="DR81" s="322">
        <v>20960.419999999998</v>
      </c>
      <c r="DS81" s="322">
        <v>28926.85</v>
      </c>
      <c r="DT81" s="322">
        <v>19609.95</v>
      </c>
      <c r="DU81" s="322">
        <v>28261.759999999998</v>
      </c>
      <c r="DV81" s="322">
        <v>28543.86</v>
      </c>
      <c r="DW81" s="322">
        <v>41589.160000000003</v>
      </c>
      <c r="DX81" s="322">
        <v>47376.24</v>
      </c>
      <c r="DY81" s="322">
        <v>72032.039999999994</v>
      </c>
      <c r="DZ81" s="322">
        <v>72159.62</v>
      </c>
      <c r="EA81" s="322">
        <v>59056.35</v>
      </c>
      <c r="EB81" s="322">
        <v>61777.8</v>
      </c>
      <c r="EC81" s="322">
        <v>72076.11</v>
      </c>
      <c r="ED81" s="322">
        <v>92235.7</v>
      </c>
      <c r="EE81" s="322">
        <v>97806</v>
      </c>
      <c r="EF81" s="322">
        <v>129482.39</v>
      </c>
      <c r="EG81" s="322">
        <v>153004.51999999999</v>
      </c>
      <c r="EH81" s="322">
        <v>82992.92</v>
      </c>
      <c r="EI81" s="322">
        <v>79511.920000000013</v>
      </c>
      <c r="EJ81" s="322">
        <v>62103.040000000001</v>
      </c>
      <c r="EK81" s="322">
        <v>67660.06</v>
      </c>
      <c r="EL81" s="322">
        <v>60824.33</v>
      </c>
      <c r="EM81" s="322">
        <v>63500</v>
      </c>
      <c r="EN81" s="334"/>
      <c r="EO81" s="322" t="s">
        <v>63</v>
      </c>
      <c r="EP81" s="322">
        <v>41920.839999999997</v>
      </c>
      <c r="EQ81" s="322">
        <v>40497.589999999997</v>
      </c>
      <c r="ER81" s="322">
        <v>32683.25</v>
      </c>
      <c r="ES81" s="322">
        <v>49458.080000000002</v>
      </c>
      <c r="ET81" s="322">
        <v>57087.72</v>
      </c>
      <c r="EU81" s="322">
        <v>51986.45</v>
      </c>
      <c r="EV81" s="322">
        <v>59220.3</v>
      </c>
      <c r="EW81" s="322">
        <v>72032.039999999994</v>
      </c>
      <c r="EX81" s="322">
        <v>59448.020000000004</v>
      </c>
      <c r="EY81" s="322">
        <v>59176.649999999994</v>
      </c>
      <c r="EZ81" s="322">
        <v>61742.01</v>
      </c>
      <c r="FA81" s="322">
        <v>66721.260000000009</v>
      </c>
      <c r="FB81" s="322">
        <v>71599.470000000016</v>
      </c>
      <c r="FC81" s="322">
        <v>75355.94</v>
      </c>
      <c r="FD81" s="322">
        <v>60210.53</v>
      </c>
      <c r="FE81" s="322">
        <v>59891.209999999992</v>
      </c>
      <c r="FF81" s="322">
        <v>51251.560000000005</v>
      </c>
      <c r="FG81" s="322">
        <v>52328.600000000006</v>
      </c>
      <c r="FH81" s="322">
        <v>67940.310000000012</v>
      </c>
      <c r="FI81" s="322">
        <v>51248.74</v>
      </c>
      <c r="FJ81" s="322">
        <v>50522.41</v>
      </c>
      <c r="FK81" s="322">
        <v>56750</v>
      </c>
      <c r="FL81" s="334"/>
      <c r="FM81" s="322" t="s">
        <v>63</v>
      </c>
      <c r="FN81" s="322">
        <v>73361.47</v>
      </c>
      <c r="FO81" s="322">
        <v>80995.179999999993</v>
      </c>
      <c r="FP81" s="322">
        <v>78439.8</v>
      </c>
      <c r="FQ81" s="322">
        <v>84785.279999999999</v>
      </c>
      <c r="FR81" s="322">
        <v>95146.2</v>
      </c>
      <c r="FS81" s="322">
        <v>93575.61</v>
      </c>
      <c r="FT81" s="322">
        <v>94752.48</v>
      </c>
      <c r="FU81" s="322">
        <v>96042.72</v>
      </c>
      <c r="FV81" s="322">
        <v>98921.68</v>
      </c>
      <c r="FW81" s="322">
        <v>110309.14</v>
      </c>
      <c r="FX81" s="322">
        <v>106038.41</v>
      </c>
      <c r="FY81" s="322">
        <v>108422.79</v>
      </c>
      <c r="FZ81" s="322">
        <v>117655.72</v>
      </c>
      <c r="GA81" s="322">
        <v>124475.40000000001</v>
      </c>
      <c r="GB81" s="322">
        <v>129944.43</v>
      </c>
      <c r="GC81" s="322">
        <v>133935.62</v>
      </c>
      <c r="GD81" s="322">
        <v>127687.43</v>
      </c>
      <c r="GE81" s="322">
        <v>125132.01000000002</v>
      </c>
      <c r="GF81" s="340">
        <v>142560.53</v>
      </c>
      <c r="GG81" s="704">
        <v>146789.05000000002</v>
      </c>
      <c r="GH81" s="704">
        <v>144432.26</v>
      </c>
      <c r="GI81" s="704">
        <v>169329</v>
      </c>
      <c r="GJ81" s="334"/>
      <c r="GK81" s="322" t="s">
        <v>63</v>
      </c>
      <c r="GL81" s="322">
        <v>31440.63</v>
      </c>
      <c r="GM81" s="322">
        <v>34712.22</v>
      </c>
      <c r="GN81" s="322">
        <v>58829.85</v>
      </c>
      <c r="GO81" s="322">
        <v>84785.279999999999</v>
      </c>
      <c r="GP81" s="322">
        <v>66602.34</v>
      </c>
      <c r="GQ81" s="322">
        <v>51986.45</v>
      </c>
      <c r="GR81" s="322">
        <v>59220.3</v>
      </c>
      <c r="GS81" s="322">
        <v>84037.38</v>
      </c>
      <c r="GT81" s="322">
        <v>91290.430000000022</v>
      </c>
      <c r="GU81" s="322">
        <v>86061.94</v>
      </c>
      <c r="GV81" s="322">
        <v>90280.2</v>
      </c>
      <c r="GW81" s="322">
        <v>96269.940000000017</v>
      </c>
      <c r="GX81" s="322">
        <v>102386.5</v>
      </c>
      <c r="GY81" s="322">
        <v>102085.51</v>
      </c>
      <c r="GZ81" s="322">
        <v>99925.97</v>
      </c>
      <c r="HA81" s="322">
        <v>95411.31</v>
      </c>
      <c r="HB81" s="322">
        <v>76235.320000000007</v>
      </c>
      <c r="HC81" s="322">
        <v>79039.28</v>
      </c>
      <c r="HD81" s="322">
        <v>82332.810000000027</v>
      </c>
      <c r="HE81" s="322">
        <v>84697.64</v>
      </c>
      <c r="HF81" s="322">
        <v>87499.430000000008</v>
      </c>
      <c r="HG81" s="322">
        <v>94705</v>
      </c>
      <c r="HH81" s="334"/>
      <c r="HI81" s="322" t="s">
        <v>63</v>
      </c>
      <c r="HJ81" s="322">
        <v>10480.209999999999</v>
      </c>
      <c r="HK81" s="322">
        <v>11570.74</v>
      </c>
      <c r="HL81" s="322">
        <v>0</v>
      </c>
      <c r="HM81" s="322">
        <v>0</v>
      </c>
      <c r="HN81" s="322">
        <v>0</v>
      </c>
      <c r="HO81" s="322">
        <v>20794.580000000002</v>
      </c>
      <c r="HP81" s="322">
        <v>23688.12</v>
      </c>
      <c r="HQ81" s="322">
        <v>48021.36</v>
      </c>
      <c r="HR81" s="322">
        <v>45813.87</v>
      </c>
      <c r="HS81" s="322">
        <v>34967.450000000004</v>
      </c>
      <c r="HT81" s="322">
        <v>48842.250000000007</v>
      </c>
      <c r="HU81" s="322">
        <v>36820.599999999991</v>
      </c>
      <c r="HV81" s="322">
        <v>43342.749999999993</v>
      </c>
      <c r="HW81" s="322">
        <v>52049.080000000009</v>
      </c>
      <c r="HX81" s="322">
        <v>46323.53</v>
      </c>
      <c r="HY81" s="322">
        <v>52569.110000000008</v>
      </c>
      <c r="HZ81" s="322">
        <v>46033.549999999996</v>
      </c>
      <c r="IA81" s="322">
        <v>51684.43</v>
      </c>
      <c r="IB81" s="322">
        <v>68499.100000000006</v>
      </c>
      <c r="IC81" s="322">
        <v>63534.61</v>
      </c>
      <c r="ID81" s="322">
        <v>54251.869999999995</v>
      </c>
      <c r="IE81" s="322">
        <v>115795</v>
      </c>
      <c r="IF81" s="334"/>
      <c r="IG81" s="322" t="s">
        <v>63</v>
      </c>
      <c r="IH81" s="322">
        <v>20960.419999999998</v>
      </c>
      <c r="II81" s="322">
        <v>11570.74</v>
      </c>
      <c r="IJ81" s="322">
        <v>13073.3</v>
      </c>
      <c r="IK81" s="322">
        <v>21196.32</v>
      </c>
      <c r="IL81" s="322">
        <v>9514.6200000000008</v>
      </c>
      <c r="IM81" s="322">
        <v>10397.290000000001</v>
      </c>
      <c r="IN81" s="322">
        <v>11844.06</v>
      </c>
      <c r="IO81" s="322">
        <v>0</v>
      </c>
      <c r="IP81" s="322">
        <v>0</v>
      </c>
      <c r="IQ81" s="322">
        <v>0</v>
      </c>
      <c r="IR81" s="322">
        <v>0</v>
      </c>
      <c r="IS81" s="322">
        <v>0</v>
      </c>
      <c r="IT81" s="322">
        <v>0</v>
      </c>
      <c r="IU81" s="322">
        <v>0</v>
      </c>
      <c r="IV81" s="322"/>
      <c r="IW81" s="322"/>
      <c r="IX81" s="322"/>
      <c r="IY81" s="322"/>
      <c r="IZ81" s="322"/>
      <c r="JA81" s="322"/>
      <c r="JB81" s="322"/>
      <c r="JC81" s="322"/>
      <c r="JD81" s="334"/>
      <c r="JE81" s="322" t="s">
        <v>63</v>
      </c>
      <c r="JF81" s="322">
        <v>10480.209999999999</v>
      </c>
      <c r="JG81" s="322">
        <v>5785.37</v>
      </c>
      <c r="JH81" s="322">
        <v>6536.65</v>
      </c>
      <c r="JI81" s="322">
        <v>7065.44</v>
      </c>
      <c r="JJ81" s="322">
        <v>0</v>
      </c>
      <c r="JK81" s="322">
        <v>0</v>
      </c>
      <c r="JL81" s="322">
        <v>0</v>
      </c>
      <c r="JM81" s="322">
        <v>0</v>
      </c>
      <c r="JN81" s="322">
        <v>0</v>
      </c>
      <c r="JO81" s="322">
        <v>0</v>
      </c>
      <c r="JP81" s="322">
        <v>0</v>
      </c>
      <c r="JQ81" s="322">
        <v>0</v>
      </c>
      <c r="JR81" s="322">
        <v>0</v>
      </c>
      <c r="JS81" s="322">
        <v>0</v>
      </c>
      <c r="JT81" s="322">
        <v>0</v>
      </c>
      <c r="JU81" s="322">
        <v>0</v>
      </c>
      <c r="JV81" s="322">
        <v>0</v>
      </c>
      <c r="JW81" s="322">
        <v>2672.41</v>
      </c>
      <c r="JX81" s="322">
        <v>3095.12</v>
      </c>
      <c r="JY81" s="322">
        <v>2953.34</v>
      </c>
      <c r="JZ81" s="322">
        <v>1457.27</v>
      </c>
      <c r="KA81" s="322">
        <v>34250</v>
      </c>
      <c r="KB81" s="334"/>
      <c r="KC81" s="322" t="s">
        <v>63</v>
      </c>
      <c r="KD81" s="322">
        <v>20960.419999999998</v>
      </c>
      <c r="KE81" s="322">
        <v>34712.22</v>
      </c>
      <c r="KF81" s="322">
        <v>26146.6</v>
      </c>
      <c r="KG81" s="322">
        <v>28261.759999999998</v>
      </c>
      <c r="KH81" s="322">
        <v>38058.480000000003</v>
      </c>
      <c r="KI81" s="322">
        <v>41589.160000000003</v>
      </c>
      <c r="KJ81" s="322">
        <v>47376.24</v>
      </c>
      <c r="KK81" s="322">
        <v>48021.36</v>
      </c>
      <c r="KL81" s="322">
        <v>46560.840000000004</v>
      </c>
      <c r="KM81" s="322">
        <v>53762.990000000005</v>
      </c>
      <c r="KN81" s="322">
        <v>51621.32</v>
      </c>
      <c r="KO81" s="322">
        <v>52563.119999999995</v>
      </c>
      <c r="KP81" s="322">
        <v>53858.700000000004</v>
      </c>
      <c r="KQ81" s="322">
        <v>56901.37</v>
      </c>
      <c r="KR81" s="322">
        <v>56899.999999999993</v>
      </c>
      <c r="KS81" s="322">
        <v>72798.759999999995</v>
      </c>
      <c r="KT81" s="322">
        <v>59336.939999999995</v>
      </c>
      <c r="KU81" s="322">
        <v>58335.69</v>
      </c>
      <c r="KV81" s="322">
        <v>60203.989999999991</v>
      </c>
      <c r="KW81" s="322">
        <v>67666.490000000005</v>
      </c>
      <c r="KX81" s="322">
        <v>72265.81</v>
      </c>
      <c r="KY81" s="322">
        <v>77950</v>
      </c>
      <c r="KZ81" s="334"/>
      <c r="LA81" s="322" t="s">
        <v>63</v>
      </c>
      <c r="LB81" s="322">
        <v>94321.89</v>
      </c>
      <c r="LC81" s="322">
        <v>63639.07</v>
      </c>
      <c r="LD81" s="322">
        <v>65366.5</v>
      </c>
      <c r="LE81" s="322">
        <v>91850.72</v>
      </c>
      <c r="LF81" s="322">
        <v>114175.44</v>
      </c>
      <c r="LG81" s="322">
        <v>135164.76999999999</v>
      </c>
      <c r="LH81" s="322">
        <v>343477.74</v>
      </c>
      <c r="LI81" s="322">
        <v>156069.42000000001</v>
      </c>
      <c r="LJ81" s="322">
        <v>208146.32</v>
      </c>
      <c r="LK81" s="322">
        <v>302302.7300000001</v>
      </c>
      <c r="LL81" s="322">
        <v>173614.84599999999</v>
      </c>
      <c r="LM81" s="322">
        <v>184531.21</v>
      </c>
      <c r="LN81" s="322">
        <v>240079.79</v>
      </c>
      <c r="LO81" s="322">
        <v>272880.93</v>
      </c>
      <c r="LP81" s="322">
        <v>329634.88000000006</v>
      </c>
      <c r="LQ81" s="322">
        <v>412639.32000000007</v>
      </c>
      <c r="LR81" s="322">
        <v>255724.81</v>
      </c>
      <c r="LS81" s="322">
        <v>198317.34999999998</v>
      </c>
      <c r="LT81" s="322">
        <v>279458.94300000003</v>
      </c>
      <c r="LU81" s="322">
        <v>234852.90000000002</v>
      </c>
      <c r="LV81" s="322">
        <v>234584.03</v>
      </c>
      <c r="LW81" s="322">
        <v>312944</v>
      </c>
      <c r="LX81" s="334"/>
      <c r="LY81" s="322" t="s">
        <v>63</v>
      </c>
      <c r="LZ81" s="322">
        <v>0</v>
      </c>
      <c r="MA81" s="322">
        <v>0</v>
      </c>
      <c r="MB81" s="322">
        <v>0</v>
      </c>
      <c r="MC81" s="322">
        <v>0</v>
      </c>
      <c r="MD81" s="322">
        <v>0</v>
      </c>
      <c r="ME81" s="322">
        <v>0</v>
      </c>
      <c r="MF81" s="322">
        <v>0</v>
      </c>
      <c r="MG81" s="322">
        <v>0</v>
      </c>
      <c r="MH81" s="322">
        <v>0</v>
      </c>
      <c r="MI81" s="322">
        <v>0</v>
      </c>
      <c r="MJ81" s="322">
        <v>0</v>
      </c>
      <c r="MK81" s="322">
        <v>0</v>
      </c>
      <c r="ML81" s="322">
        <v>0</v>
      </c>
      <c r="MM81" s="322">
        <v>0</v>
      </c>
      <c r="MN81" s="322">
        <v>0</v>
      </c>
      <c r="MO81" s="322">
        <v>0</v>
      </c>
      <c r="MP81" s="322">
        <v>0</v>
      </c>
      <c r="MQ81" s="322">
        <v>0</v>
      </c>
      <c r="MR81" s="322">
        <v>0</v>
      </c>
      <c r="MS81" s="322">
        <v>0</v>
      </c>
      <c r="MT81" s="322">
        <v>0</v>
      </c>
      <c r="MU81" s="322">
        <v>0</v>
      </c>
      <c r="MV81" s="334"/>
      <c r="MW81" s="322" t="s">
        <v>63</v>
      </c>
      <c r="MX81" s="322">
        <v>0</v>
      </c>
      <c r="MY81" s="322">
        <v>0</v>
      </c>
      <c r="MZ81" s="322">
        <v>0</v>
      </c>
      <c r="NA81" s="322">
        <v>0</v>
      </c>
      <c r="NB81" s="322">
        <v>0</v>
      </c>
      <c r="NC81" s="322">
        <v>0</v>
      </c>
      <c r="ND81" s="322">
        <v>0</v>
      </c>
      <c r="NE81" s="322">
        <v>0</v>
      </c>
      <c r="NF81" s="322">
        <v>0</v>
      </c>
      <c r="NG81" s="322">
        <v>0</v>
      </c>
      <c r="NH81" s="322">
        <v>0</v>
      </c>
      <c r="NI81" s="322">
        <v>0</v>
      </c>
      <c r="NJ81" s="322">
        <v>0</v>
      </c>
      <c r="NK81" s="322">
        <v>0</v>
      </c>
      <c r="NL81" s="322">
        <v>0</v>
      </c>
      <c r="NM81" s="322">
        <v>0</v>
      </c>
      <c r="NN81" s="322">
        <v>0</v>
      </c>
      <c r="NO81" s="322">
        <v>0</v>
      </c>
      <c r="NP81" s="322">
        <v>0</v>
      </c>
      <c r="NQ81" s="322">
        <v>0</v>
      </c>
      <c r="NR81" s="322">
        <v>0</v>
      </c>
      <c r="NS81" s="322">
        <v>0</v>
      </c>
      <c r="NT81" s="334"/>
      <c r="NU81" s="322" t="s">
        <v>63</v>
      </c>
      <c r="NV81" s="322">
        <v>0</v>
      </c>
      <c r="NW81" s="322">
        <v>0</v>
      </c>
      <c r="NX81" s="322">
        <v>0</v>
      </c>
      <c r="NY81" s="322">
        <v>0</v>
      </c>
      <c r="NZ81" s="322">
        <v>0</v>
      </c>
      <c r="OA81" s="322">
        <v>0</v>
      </c>
      <c r="OB81" s="322">
        <v>0</v>
      </c>
      <c r="OC81" s="322">
        <v>0</v>
      </c>
      <c r="OD81" s="322">
        <v>0</v>
      </c>
      <c r="OE81" s="322">
        <v>0</v>
      </c>
      <c r="OF81" s="322">
        <v>0</v>
      </c>
      <c r="OG81" s="322">
        <v>0</v>
      </c>
      <c r="OH81" s="322">
        <v>0</v>
      </c>
      <c r="OI81" s="322">
        <v>0</v>
      </c>
      <c r="OJ81" s="322">
        <v>0</v>
      </c>
      <c r="OK81" s="322">
        <v>0</v>
      </c>
      <c r="OL81" s="322">
        <v>0</v>
      </c>
      <c r="OM81" s="322">
        <v>0</v>
      </c>
      <c r="ON81" s="322">
        <v>0</v>
      </c>
      <c r="OO81" s="322">
        <v>0</v>
      </c>
      <c r="OP81" s="322">
        <v>0</v>
      </c>
      <c r="OQ81" s="322">
        <v>0</v>
      </c>
      <c r="OR81" s="334"/>
      <c r="OS81" s="322" t="s">
        <v>63</v>
      </c>
      <c r="OT81" s="322">
        <v>0</v>
      </c>
      <c r="OU81" s="322">
        <v>17356.11</v>
      </c>
      <c r="OV81" s="322">
        <v>0</v>
      </c>
      <c r="OW81" s="322">
        <v>0</v>
      </c>
      <c r="OX81" s="322">
        <v>0</v>
      </c>
      <c r="OY81" s="322">
        <v>0</v>
      </c>
      <c r="OZ81" s="322">
        <v>0</v>
      </c>
      <c r="PA81" s="322">
        <v>0</v>
      </c>
      <c r="PB81" s="322">
        <v>0</v>
      </c>
      <c r="PC81" s="322">
        <v>0</v>
      </c>
      <c r="PD81" s="322">
        <v>0</v>
      </c>
      <c r="PE81" s="322">
        <v>0</v>
      </c>
      <c r="PF81" s="322">
        <v>0</v>
      </c>
      <c r="PG81" s="322">
        <v>0</v>
      </c>
      <c r="PH81" s="322">
        <v>0</v>
      </c>
      <c r="PI81" s="322">
        <v>0</v>
      </c>
      <c r="PJ81" s="322">
        <v>0</v>
      </c>
      <c r="PK81" s="322">
        <v>0</v>
      </c>
      <c r="PL81" s="322">
        <v>0</v>
      </c>
      <c r="PM81" s="322">
        <v>0</v>
      </c>
      <c r="PN81" s="322">
        <v>0</v>
      </c>
      <c r="PO81" s="322">
        <v>0</v>
      </c>
      <c r="PP81" s="334"/>
      <c r="PQ81" s="322" t="s">
        <v>63</v>
      </c>
      <c r="PR81" s="322">
        <v>0</v>
      </c>
      <c r="PS81" s="322">
        <v>0</v>
      </c>
      <c r="PT81" s="322">
        <v>0</v>
      </c>
      <c r="PU81" s="322">
        <v>0</v>
      </c>
      <c r="PV81" s="322">
        <v>0</v>
      </c>
      <c r="PW81" s="322">
        <v>0</v>
      </c>
      <c r="PX81" s="322">
        <v>0</v>
      </c>
      <c r="PY81" s="322">
        <v>0</v>
      </c>
      <c r="PZ81" s="322">
        <v>0</v>
      </c>
      <c r="QA81" s="322">
        <v>0</v>
      </c>
      <c r="QB81" s="322">
        <v>0</v>
      </c>
      <c r="QC81" s="322">
        <v>0</v>
      </c>
      <c r="QD81" s="322">
        <v>0</v>
      </c>
      <c r="QE81" s="322">
        <v>0</v>
      </c>
      <c r="QF81" s="322">
        <v>0</v>
      </c>
      <c r="QG81" s="322">
        <v>0</v>
      </c>
      <c r="QH81" s="322">
        <v>0</v>
      </c>
      <c r="QI81" s="322">
        <v>0</v>
      </c>
      <c r="QJ81" s="322">
        <v>0</v>
      </c>
      <c r="QK81" s="322">
        <v>0</v>
      </c>
      <c r="QL81" s="322">
        <v>0</v>
      </c>
      <c r="QM81" s="322">
        <v>0</v>
      </c>
      <c r="QN81" s="334"/>
      <c r="QO81" s="322" t="s">
        <v>63</v>
      </c>
      <c r="QP81" s="322">
        <v>0</v>
      </c>
      <c r="QQ81" s="322">
        <v>0</v>
      </c>
      <c r="QR81" s="322">
        <v>0</v>
      </c>
      <c r="QS81" s="322">
        <v>0</v>
      </c>
      <c r="QT81" s="322">
        <v>0</v>
      </c>
      <c r="QU81" s="322">
        <v>0</v>
      </c>
      <c r="QV81" s="322">
        <v>0</v>
      </c>
      <c r="QW81" s="322">
        <v>0</v>
      </c>
      <c r="QX81" s="322">
        <v>0</v>
      </c>
      <c r="QY81" s="322">
        <v>0</v>
      </c>
      <c r="QZ81" s="322">
        <v>0</v>
      </c>
      <c r="RA81" s="322">
        <v>0</v>
      </c>
      <c r="RB81" s="322">
        <v>0</v>
      </c>
      <c r="RC81" s="322">
        <v>0</v>
      </c>
      <c r="RD81" s="322">
        <v>0</v>
      </c>
      <c r="RE81" s="322">
        <v>0</v>
      </c>
      <c r="RF81" s="322">
        <v>0</v>
      </c>
      <c r="RG81" s="322">
        <v>0</v>
      </c>
      <c r="RH81" s="322">
        <v>0</v>
      </c>
      <c r="RI81" s="322">
        <v>0</v>
      </c>
      <c r="RJ81" s="322">
        <v>0</v>
      </c>
      <c r="RK81" s="322">
        <v>0</v>
      </c>
      <c r="RL81" s="334"/>
      <c r="RM81" s="322" t="s">
        <v>63</v>
      </c>
      <c r="RN81" s="322">
        <v>10480.209999999999</v>
      </c>
      <c r="RO81" s="322">
        <v>23141.48</v>
      </c>
      <c r="RP81" s="322">
        <v>39219.9</v>
      </c>
      <c r="RQ81" s="322">
        <v>49458.080000000002</v>
      </c>
      <c r="RR81" s="322">
        <v>19029.240000000002</v>
      </c>
      <c r="RS81" s="322">
        <v>20794.580000000002</v>
      </c>
      <c r="RT81" s="322">
        <v>23688.12</v>
      </c>
      <c r="RU81" s="322">
        <v>60026.7</v>
      </c>
      <c r="RV81" s="322">
        <v>56212.509999999995</v>
      </c>
      <c r="RW81" s="322">
        <v>127438.62</v>
      </c>
      <c r="RX81" s="322">
        <v>112773.94</v>
      </c>
      <c r="RY81" s="322">
        <v>221267.45</v>
      </c>
      <c r="RZ81" s="322">
        <v>433744.2</v>
      </c>
      <c r="SA81" s="322">
        <v>512311.12</v>
      </c>
      <c r="SB81" s="322">
        <v>638344.05999999994</v>
      </c>
      <c r="SC81" s="322">
        <v>705894.84</v>
      </c>
      <c r="SD81" s="322">
        <v>131296.36000000002</v>
      </c>
      <c r="SE81" s="322">
        <v>51259.389999999992</v>
      </c>
      <c r="SF81" s="322">
        <v>54674.270000000004</v>
      </c>
      <c r="SG81" s="322">
        <v>51030.05</v>
      </c>
      <c r="SH81" s="322">
        <v>57497.710000000006</v>
      </c>
      <c r="SI81" s="322">
        <v>170164.54</v>
      </c>
    </row>
    <row r="82" spans="1:503">
      <c r="A82" s="319" t="s">
        <v>64</v>
      </c>
      <c r="B82" s="319">
        <v>1844459</v>
      </c>
      <c r="C82" s="319">
        <v>2534479</v>
      </c>
      <c r="D82" s="319">
        <v>2339375</v>
      </c>
      <c r="E82" s="319">
        <v>2262560</v>
      </c>
      <c r="F82" s="319">
        <v>2335266</v>
      </c>
      <c r="G82" s="319">
        <v>2710631</v>
      </c>
      <c r="H82" s="319">
        <v>2529236</v>
      </c>
      <c r="I82" s="319">
        <v>2823337</v>
      </c>
      <c r="J82" s="319">
        <v>3138837</v>
      </c>
      <c r="K82" s="319">
        <v>2827003</v>
      </c>
      <c r="L82" s="319">
        <v>3062346</v>
      </c>
      <c r="M82" s="319">
        <v>3134671</v>
      </c>
      <c r="N82" s="319">
        <v>3326903</v>
      </c>
      <c r="O82" s="319">
        <v>3118375</v>
      </c>
      <c r="P82" s="319">
        <v>3267031</v>
      </c>
      <c r="Q82" s="319">
        <v>3379809</v>
      </c>
      <c r="R82" s="319">
        <v>3626392</v>
      </c>
      <c r="S82" s="322">
        <v>3681309</v>
      </c>
      <c r="T82" s="319">
        <v>3671458</v>
      </c>
      <c r="U82" s="319">
        <v>3496943</v>
      </c>
      <c r="V82" s="319">
        <v>3661847</v>
      </c>
      <c r="W82" s="319">
        <v>3840734</v>
      </c>
      <c r="X82" s="330"/>
      <c r="Y82" s="319" t="s">
        <v>64</v>
      </c>
      <c r="Z82" s="319">
        <v>55333.77</v>
      </c>
      <c r="AA82" s="319">
        <v>76034.37</v>
      </c>
      <c r="AB82" s="319">
        <v>93575</v>
      </c>
      <c r="AC82" s="319">
        <v>90502.399999999994</v>
      </c>
      <c r="AD82" s="319">
        <v>93410.64</v>
      </c>
      <c r="AE82" s="319">
        <v>162637.85999999999</v>
      </c>
      <c r="AF82" s="319">
        <v>162637.85999999999</v>
      </c>
      <c r="AG82" s="319">
        <v>84700.11</v>
      </c>
      <c r="AH82" s="319">
        <v>90970</v>
      </c>
      <c r="AI82" s="319">
        <v>91930</v>
      </c>
      <c r="AJ82" s="319">
        <v>95574</v>
      </c>
      <c r="AK82" s="319">
        <v>102700</v>
      </c>
      <c r="AL82" s="319">
        <v>98356</v>
      </c>
      <c r="AM82" s="319">
        <v>104520</v>
      </c>
      <c r="AN82" s="319">
        <v>107711</v>
      </c>
      <c r="AO82" s="319">
        <v>107276</v>
      </c>
      <c r="AP82" s="319">
        <v>106449</v>
      </c>
      <c r="AQ82" s="322">
        <v>109524</v>
      </c>
      <c r="AR82" s="319">
        <v>108354</v>
      </c>
      <c r="AS82" s="319">
        <v>105647</v>
      </c>
      <c r="AT82" s="319">
        <v>159905</v>
      </c>
      <c r="AU82" s="319">
        <v>163010</v>
      </c>
      <c r="AV82" s="334"/>
      <c r="AW82" s="319" t="s">
        <v>64</v>
      </c>
      <c r="AX82" s="319">
        <v>55333.77</v>
      </c>
      <c r="AY82" s="319">
        <v>76034.37</v>
      </c>
      <c r="AZ82" s="319">
        <v>70181.25</v>
      </c>
      <c r="BA82" s="319">
        <v>67876.800000000003</v>
      </c>
      <c r="BB82" s="319">
        <v>93410.64</v>
      </c>
      <c r="BC82" s="319">
        <v>81318.929999999993</v>
      </c>
      <c r="BD82" s="319">
        <v>101169.44</v>
      </c>
      <c r="BE82" s="319">
        <v>84700.11</v>
      </c>
      <c r="BF82" s="319">
        <v>94994</v>
      </c>
      <c r="BG82" s="319">
        <v>99335</v>
      </c>
      <c r="BH82" s="319">
        <v>93713</v>
      </c>
      <c r="BI82" s="319">
        <v>99897</v>
      </c>
      <c r="BJ82" s="319">
        <v>106360</v>
      </c>
      <c r="BK82" s="319">
        <v>103113</v>
      </c>
      <c r="BL82" s="319">
        <v>102776</v>
      </c>
      <c r="BM82" s="319">
        <v>111202</v>
      </c>
      <c r="BN82" s="319">
        <v>106082</v>
      </c>
      <c r="BO82" s="322">
        <v>110640</v>
      </c>
      <c r="BP82" s="319">
        <v>109518</v>
      </c>
      <c r="BQ82" s="319">
        <v>109788</v>
      </c>
      <c r="BR82" s="319">
        <v>114525</v>
      </c>
      <c r="BS82" s="319">
        <v>128900</v>
      </c>
      <c r="BT82" s="334"/>
      <c r="BU82" s="322" t="s">
        <v>64</v>
      </c>
      <c r="BV82" s="322">
        <v>55333.77</v>
      </c>
      <c r="BW82" s="322">
        <v>25344.79</v>
      </c>
      <c r="BX82" s="322">
        <v>46787.5</v>
      </c>
      <c r="BY82" s="322">
        <v>22625.599999999999</v>
      </c>
      <c r="BZ82" s="322">
        <v>93410.64</v>
      </c>
      <c r="CA82" s="322">
        <v>27106.31</v>
      </c>
      <c r="CB82" s="322">
        <v>50584.72</v>
      </c>
      <c r="CC82" s="322">
        <v>28233.37</v>
      </c>
      <c r="CD82" s="322">
        <v>95566</v>
      </c>
      <c r="CE82" s="322">
        <v>31329</v>
      </c>
      <c r="CF82" s="322">
        <v>89480</v>
      </c>
      <c r="CG82" s="322">
        <v>36960</v>
      </c>
      <c r="CH82" s="322">
        <v>109895</v>
      </c>
      <c r="CI82" s="322">
        <v>24683</v>
      </c>
      <c r="CJ82" s="322">
        <v>107912</v>
      </c>
      <c r="CK82" s="322">
        <v>35097</v>
      </c>
      <c r="CL82" s="322">
        <v>150959</v>
      </c>
      <c r="CM82" s="322">
        <v>25723</v>
      </c>
      <c r="CN82" s="322">
        <v>85748</v>
      </c>
      <c r="CO82" s="322">
        <v>49361</v>
      </c>
      <c r="CP82" s="322">
        <v>153608</v>
      </c>
      <c r="CQ82" s="322">
        <v>51500</v>
      </c>
      <c r="CR82" s="334"/>
      <c r="CS82" s="322" t="s">
        <v>64</v>
      </c>
      <c r="CT82" s="322">
        <v>92222.95</v>
      </c>
      <c r="CU82" s="322">
        <v>101379.16</v>
      </c>
      <c r="CV82" s="322">
        <v>116968.75</v>
      </c>
      <c r="CW82" s="322">
        <v>113128</v>
      </c>
      <c r="CX82" s="322">
        <v>116763.3</v>
      </c>
      <c r="CY82" s="322">
        <v>162637.85999999999</v>
      </c>
      <c r="CZ82" s="322">
        <v>101169.44</v>
      </c>
      <c r="DA82" s="322">
        <v>84700.11</v>
      </c>
      <c r="DB82" s="322">
        <v>96923</v>
      </c>
      <c r="DC82" s="322">
        <v>71688</v>
      </c>
      <c r="DD82" s="322">
        <v>77894</v>
      </c>
      <c r="DE82" s="322">
        <v>77335</v>
      </c>
      <c r="DF82" s="322">
        <v>81521</v>
      </c>
      <c r="DG82" s="322">
        <v>3264</v>
      </c>
      <c r="DH82" s="322">
        <v>3353</v>
      </c>
      <c r="DI82" s="322">
        <v>3746</v>
      </c>
      <c r="DJ82" s="322">
        <v>157844</v>
      </c>
      <c r="DK82" s="322">
        <v>228989</v>
      </c>
      <c r="DL82" s="322">
        <v>249519</v>
      </c>
      <c r="DM82" s="322">
        <v>194052</v>
      </c>
      <c r="DN82" s="322">
        <v>221521</v>
      </c>
      <c r="DO82" s="322">
        <v>257100</v>
      </c>
      <c r="DP82" s="334"/>
      <c r="DQ82" s="322" t="s">
        <v>64</v>
      </c>
      <c r="DR82" s="322">
        <v>92222.95</v>
      </c>
      <c r="DS82" s="322">
        <v>76034.37</v>
      </c>
      <c r="DT82" s="322">
        <v>93575</v>
      </c>
      <c r="DU82" s="322">
        <v>181004.79999999999</v>
      </c>
      <c r="DV82" s="322">
        <v>210173.94</v>
      </c>
      <c r="DW82" s="322">
        <v>271063.09999999998</v>
      </c>
      <c r="DX82" s="322">
        <v>151754.16</v>
      </c>
      <c r="DY82" s="322">
        <v>169400.22</v>
      </c>
      <c r="DZ82" s="322">
        <v>188590</v>
      </c>
      <c r="EA82" s="322">
        <v>197652</v>
      </c>
      <c r="EB82" s="322">
        <v>182934</v>
      </c>
      <c r="EC82" s="322">
        <v>190632</v>
      </c>
      <c r="ED82" s="322">
        <v>211850</v>
      </c>
      <c r="EE82" s="322">
        <v>205129</v>
      </c>
      <c r="EF82" s="322">
        <v>234628</v>
      </c>
      <c r="EG82" s="322">
        <v>232003</v>
      </c>
      <c r="EH82" s="322">
        <v>238890</v>
      </c>
      <c r="EI82" s="322">
        <v>252723</v>
      </c>
      <c r="EJ82" s="322">
        <v>253020</v>
      </c>
      <c r="EK82" s="322">
        <v>284803</v>
      </c>
      <c r="EL82" s="322">
        <v>345237</v>
      </c>
      <c r="EM82" s="322">
        <v>254800</v>
      </c>
      <c r="EN82" s="334"/>
      <c r="EO82" s="322" t="s">
        <v>64</v>
      </c>
      <c r="EP82" s="322">
        <v>18444.59</v>
      </c>
      <c r="EQ82" s="322">
        <v>25344.79</v>
      </c>
      <c r="ER82" s="322">
        <v>23393.75</v>
      </c>
      <c r="ES82" s="322">
        <v>22625.599999999999</v>
      </c>
      <c r="ET82" s="322">
        <v>23352.66</v>
      </c>
      <c r="EU82" s="322">
        <v>27106.31</v>
      </c>
      <c r="EV82" s="322">
        <v>25292.36</v>
      </c>
      <c r="EW82" s="322">
        <v>56466.74</v>
      </c>
      <c r="EX82" s="322">
        <v>45347</v>
      </c>
      <c r="EY82" s="322">
        <v>46960</v>
      </c>
      <c r="EZ82" s="322">
        <v>46092</v>
      </c>
      <c r="FA82" s="322">
        <v>54825</v>
      </c>
      <c r="FB82" s="322">
        <v>53848</v>
      </c>
      <c r="FC82" s="322">
        <v>52466</v>
      </c>
      <c r="FD82" s="322">
        <v>52494</v>
      </c>
      <c r="FE82" s="322">
        <v>53972</v>
      </c>
      <c r="FF82" s="322">
        <v>54165</v>
      </c>
      <c r="FG82" s="322">
        <v>51100</v>
      </c>
      <c r="FH82" s="322">
        <v>51130</v>
      </c>
      <c r="FI82" s="322">
        <v>55446</v>
      </c>
      <c r="FJ82" s="322">
        <v>51489</v>
      </c>
      <c r="FK82" s="322">
        <v>51770</v>
      </c>
      <c r="FL82" s="334"/>
      <c r="FM82" s="322" t="s">
        <v>64</v>
      </c>
      <c r="FN82" s="322">
        <v>55333.77</v>
      </c>
      <c r="FO82" s="322">
        <v>76034.37</v>
      </c>
      <c r="FP82" s="322">
        <v>70181.25</v>
      </c>
      <c r="FQ82" s="322">
        <v>67876.800000000003</v>
      </c>
      <c r="FR82" s="322">
        <v>93410.64</v>
      </c>
      <c r="FS82" s="322">
        <v>81318.929999999993</v>
      </c>
      <c r="FT82" s="322">
        <v>75877.08</v>
      </c>
      <c r="FU82" s="322">
        <v>84700.11</v>
      </c>
      <c r="FV82" s="322">
        <v>88530</v>
      </c>
      <c r="FW82" s="322">
        <v>93398</v>
      </c>
      <c r="FX82" s="322">
        <v>94887</v>
      </c>
      <c r="FY82" s="322">
        <v>107019</v>
      </c>
      <c r="FZ82" s="322">
        <v>103535</v>
      </c>
      <c r="GA82" s="322">
        <v>104090</v>
      </c>
      <c r="GB82" s="322">
        <v>103622</v>
      </c>
      <c r="GC82" s="322">
        <v>107794</v>
      </c>
      <c r="GD82" s="322">
        <v>112619</v>
      </c>
      <c r="GE82" s="322">
        <v>116081</v>
      </c>
      <c r="GF82" s="340">
        <v>117967</v>
      </c>
      <c r="GG82" s="704">
        <v>117607</v>
      </c>
      <c r="GH82" s="704">
        <v>110923</v>
      </c>
      <c r="GI82" s="704">
        <v>121780</v>
      </c>
      <c r="GJ82" s="334"/>
      <c r="GK82" s="322" t="s">
        <v>64</v>
      </c>
      <c r="GL82" s="322">
        <v>18444.59</v>
      </c>
      <c r="GM82" s="322">
        <v>25344.79</v>
      </c>
      <c r="GN82" s="322">
        <v>23393.75</v>
      </c>
      <c r="GO82" s="322">
        <v>45251.199999999997</v>
      </c>
      <c r="GP82" s="322">
        <v>46705.32</v>
      </c>
      <c r="GQ82" s="322">
        <v>27106.31</v>
      </c>
      <c r="GR82" s="322">
        <v>50584.72</v>
      </c>
      <c r="GS82" s="322">
        <v>56466.74</v>
      </c>
      <c r="GT82" s="322">
        <v>57751</v>
      </c>
      <c r="GU82" s="322">
        <v>54797</v>
      </c>
      <c r="GV82" s="322">
        <v>41110</v>
      </c>
      <c r="GW82" s="322">
        <v>47413</v>
      </c>
      <c r="GX82" s="322">
        <v>52237</v>
      </c>
      <c r="GY82" s="322">
        <v>50204</v>
      </c>
      <c r="GZ82" s="322">
        <v>51924</v>
      </c>
      <c r="HA82" s="322">
        <v>46662</v>
      </c>
      <c r="HB82" s="322">
        <v>48258</v>
      </c>
      <c r="HC82" s="322">
        <v>48775</v>
      </c>
      <c r="HD82" s="322">
        <v>45557</v>
      </c>
      <c r="HE82" s="322">
        <v>35077</v>
      </c>
      <c r="HF82" s="322">
        <v>42175</v>
      </c>
      <c r="HG82" s="322">
        <v>33300</v>
      </c>
      <c r="HH82" s="334"/>
      <c r="HI82" s="322" t="s">
        <v>64</v>
      </c>
      <c r="HJ82" s="322">
        <v>18444.59</v>
      </c>
      <c r="HK82" s="322">
        <v>25344.79</v>
      </c>
      <c r="HL82" s="322">
        <v>23393.75</v>
      </c>
      <c r="HM82" s="322">
        <v>22625.599999999999</v>
      </c>
      <c r="HN82" s="322">
        <v>23352.66</v>
      </c>
      <c r="HO82" s="322">
        <v>27106.31</v>
      </c>
      <c r="HP82" s="322">
        <v>25292.36</v>
      </c>
      <c r="HQ82" s="322">
        <v>0</v>
      </c>
      <c r="HR82" s="322">
        <v>6407</v>
      </c>
      <c r="HS82" s="322">
        <v>3432</v>
      </c>
      <c r="HT82" s="322">
        <v>55294</v>
      </c>
      <c r="HU82" s="322">
        <v>61141</v>
      </c>
      <c r="HV82" s="322">
        <v>61807</v>
      </c>
      <c r="HW82" s="322">
        <v>71237</v>
      </c>
      <c r="HX82" s="322">
        <v>81186</v>
      </c>
      <c r="HY82" s="322">
        <v>85003</v>
      </c>
      <c r="HZ82" s="322">
        <v>99120</v>
      </c>
      <c r="IA82" s="322">
        <v>96763</v>
      </c>
      <c r="IB82" s="322">
        <v>87224</v>
      </c>
      <c r="IC82" s="322">
        <v>91185</v>
      </c>
      <c r="ID82" s="322">
        <v>87572</v>
      </c>
      <c r="IE82" s="322">
        <v>108500</v>
      </c>
      <c r="IF82" s="334"/>
      <c r="IG82" s="322" t="s">
        <v>64</v>
      </c>
      <c r="IH82" s="322">
        <v>0</v>
      </c>
      <c r="II82" s="322">
        <v>0</v>
      </c>
      <c r="IJ82" s="322">
        <v>0</v>
      </c>
      <c r="IK82" s="322">
        <v>0</v>
      </c>
      <c r="IL82" s="322">
        <v>23352.66</v>
      </c>
      <c r="IM82" s="322">
        <v>0</v>
      </c>
      <c r="IN82" s="322">
        <v>0</v>
      </c>
      <c r="IO82" s="322">
        <v>0</v>
      </c>
      <c r="IP82" s="322">
        <v>558</v>
      </c>
      <c r="IQ82" s="322">
        <v>1993</v>
      </c>
      <c r="IR82" s="322">
        <v>1881</v>
      </c>
      <c r="IS82" s="322">
        <v>6668</v>
      </c>
      <c r="IT82" s="322">
        <v>1102</v>
      </c>
      <c r="IU82" s="322">
        <v>1221</v>
      </c>
      <c r="IV82" s="322"/>
      <c r="IW82" s="322"/>
      <c r="IX82" s="322"/>
      <c r="IY82" s="322"/>
      <c r="IZ82" s="322"/>
      <c r="JA82" s="322"/>
      <c r="JB82" s="322"/>
      <c r="JC82" s="322"/>
      <c r="JD82" s="334"/>
      <c r="JE82" s="322" t="s">
        <v>64</v>
      </c>
      <c r="JF82" s="322">
        <v>36889.18</v>
      </c>
      <c r="JG82" s="322">
        <v>50689.58</v>
      </c>
      <c r="JH82" s="322">
        <v>46787.5</v>
      </c>
      <c r="JI82" s="322">
        <v>113128</v>
      </c>
      <c r="JJ82" s="322">
        <v>70057.98</v>
      </c>
      <c r="JK82" s="322">
        <v>54212.62</v>
      </c>
      <c r="JL82" s="322">
        <v>75877.08</v>
      </c>
      <c r="JM82" s="322">
        <v>112933.48</v>
      </c>
      <c r="JN82" s="322">
        <v>57170</v>
      </c>
      <c r="JO82" s="322">
        <v>63471</v>
      </c>
      <c r="JP82" s="322">
        <v>60906</v>
      </c>
      <c r="JQ82" s="322">
        <v>84142</v>
      </c>
      <c r="JR82" s="322">
        <v>60896</v>
      </c>
      <c r="JS82" s="322">
        <v>80766</v>
      </c>
      <c r="JT82" s="322">
        <v>74550</v>
      </c>
      <c r="JU82" s="322">
        <v>72683</v>
      </c>
      <c r="JV82" s="322">
        <v>83560</v>
      </c>
      <c r="JW82" s="322">
        <v>78828</v>
      </c>
      <c r="JX82" s="322">
        <v>79233</v>
      </c>
      <c r="JY82" s="322">
        <v>79961</v>
      </c>
      <c r="JZ82" s="322">
        <v>25784</v>
      </c>
      <c r="KA82" s="322">
        <v>20520</v>
      </c>
      <c r="KB82" s="334"/>
      <c r="KC82" s="322" t="s">
        <v>64</v>
      </c>
      <c r="KD82" s="322">
        <v>18444.59</v>
      </c>
      <c r="KE82" s="322">
        <v>25344.79</v>
      </c>
      <c r="KF82" s="322">
        <v>46787.5</v>
      </c>
      <c r="KG82" s="322">
        <v>45251.199999999997</v>
      </c>
      <c r="KH82" s="322">
        <v>70057.98</v>
      </c>
      <c r="KI82" s="322">
        <v>54212.62</v>
      </c>
      <c r="KJ82" s="322">
        <v>75877.08</v>
      </c>
      <c r="KK82" s="322">
        <v>56466.74</v>
      </c>
      <c r="KL82" s="322">
        <v>75786</v>
      </c>
      <c r="KM82" s="322">
        <v>64380</v>
      </c>
      <c r="KN82" s="322">
        <v>66308</v>
      </c>
      <c r="KO82" s="322">
        <v>67838</v>
      </c>
      <c r="KP82" s="322">
        <v>69029</v>
      </c>
      <c r="KQ82" s="322">
        <v>76964</v>
      </c>
      <c r="KR82" s="322">
        <v>77213</v>
      </c>
      <c r="KS82" s="322">
        <v>79824</v>
      </c>
      <c r="KT82" s="322">
        <v>83652</v>
      </c>
      <c r="KU82" s="322">
        <v>83141</v>
      </c>
      <c r="KV82" s="322">
        <v>87123</v>
      </c>
      <c r="KW82" s="322">
        <v>92422</v>
      </c>
      <c r="KX82" s="322">
        <v>89173</v>
      </c>
      <c r="KY82" s="322">
        <v>92440</v>
      </c>
      <c r="KZ82" s="334"/>
      <c r="LA82" s="322" t="s">
        <v>64</v>
      </c>
      <c r="LB82" s="322">
        <v>498003.93</v>
      </c>
      <c r="LC82" s="322">
        <v>304137.48</v>
      </c>
      <c r="LD82" s="322">
        <v>397693.75</v>
      </c>
      <c r="LE82" s="322">
        <v>475137.6</v>
      </c>
      <c r="LF82" s="322">
        <v>350289.9</v>
      </c>
      <c r="LG82" s="322">
        <v>379488.34</v>
      </c>
      <c r="LH82" s="322">
        <v>303508.32</v>
      </c>
      <c r="LI82" s="322">
        <v>310567.07</v>
      </c>
      <c r="LJ82" s="322">
        <v>253172</v>
      </c>
      <c r="LK82" s="322">
        <v>375375</v>
      </c>
      <c r="LL82" s="322">
        <v>272812</v>
      </c>
      <c r="LM82" s="322">
        <v>227863</v>
      </c>
      <c r="LN82" s="322">
        <v>310434</v>
      </c>
      <c r="LO82" s="322">
        <v>336676</v>
      </c>
      <c r="LP82" s="322">
        <v>330562</v>
      </c>
      <c r="LQ82" s="322">
        <v>381586</v>
      </c>
      <c r="LR82" s="322">
        <v>376421</v>
      </c>
      <c r="LS82" s="322">
        <v>323930</v>
      </c>
      <c r="LT82" s="322">
        <v>370407</v>
      </c>
      <c r="LU82" s="322">
        <v>315891</v>
      </c>
      <c r="LV82" s="322">
        <v>310010</v>
      </c>
      <c r="LW82" s="322">
        <v>401390</v>
      </c>
      <c r="LX82" s="334"/>
      <c r="LY82" s="322" t="s">
        <v>64</v>
      </c>
      <c r="LZ82" s="322">
        <v>405780.98</v>
      </c>
      <c r="MA82" s="322">
        <v>557585.38</v>
      </c>
      <c r="MB82" s="322">
        <v>491268.75</v>
      </c>
      <c r="MC82" s="322">
        <v>520388.8</v>
      </c>
      <c r="MD82" s="322">
        <v>653874.48</v>
      </c>
      <c r="ME82" s="322">
        <v>677657.75</v>
      </c>
      <c r="MF82" s="322">
        <v>733478.44</v>
      </c>
      <c r="MG82" s="322">
        <v>875234.47</v>
      </c>
      <c r="MH82" s="322">
        <v>1060168</v>
      </c>
      <c r="MI82" s="322">
        <v>753767</v>
      </c>
      <c r="MJ82" s="322">
        <v>851931</v>
      </c>
      <c r="MK82" s="322">
        <v>963196</v>
      </c>
      <c r="ML82" s="322">
        <v>796246</v>
      </c>
      <c r="MM82" s="322">
        <v>723146</v>
      </c>
      <c r="MN82" s="322">
        <v>787225</v>
      </c>
      <c r="MO82" s="322">
        <v>809499</v>
      </c>
      <c r="MP82" s="322">
        <v>850986</v>
      </c>
      <c r="MQ82" s="322">
        <v>899121</v>
      </c>
      <c r="MR82" s="322">
        <v>810124</v>
      </c>
      <c r="MS82" s="322">
        <v>818099</v>
      </c>
      <c r="MT82" s="322">
        <v>794931</v>
      </c>
      <c r="MU82" s="322">
        <v>994660</v>
      </c>
      <c r="MV82" s="334"/>
      <c r="MW82" s="322" t="s">
        <v>64</v>
      </c>
      <c r="MX82" s="322">
        <v>18444.59</v>
      </c>
      <c r="MY82" s="322">
        <v>0</v>
      </c>
      <c r="MZ82" s="322">
        <v>23393.75</v>
      </c>
      <c r="NA82" s="322">
        <v>22625.599999999999</v>
      </c>
      <c r="NB82" s="322">
        <v>23352.66</v>
      </c>
      <c r="NC82" s="322">
        <v>271063.09999999998</v>
      </c>
      <c r="ND82" s="322">
        <v>252923.6</v>
      </c>
      <c r="NE82" s="322">
        <v>367033.81</v>
      </c>
      <c r="NF82" s="322">
        <v>377994</v>
      </c>
      <c r="NG82" s="322">
        <v>365721</v>
      </c>
      <c r="NH82" s="322">
        <v>514761</v>
      </c>
      <c r="NI82" s="322">
        <v>509332</v>
      </c>
      <c r="NJ82" s="322">
        <v>772827</v>
      </c>
      <c r="NK82" s="322">
        <v>655502</v>
      </c>
      <c r="NL82" s="322">
        <v>675844</v>
      </c>
      <c r="NM82" s="322">
        <v>650028</v>
      </c>
      <c r="NN82" s="322">
        <v>612018</v>
      </c>
      <c r="NO82" s="322">
        <v>714837</v>
      </c>
      <c r="NP82" s="322">
        <v>611731</v>
      </c>
      <c r="NQ82" s="322">
        <v>534515</v>
      </c>
      <c r="NR82" s="322">
        <v>520415</v>
      </c>
      <c r="NS82" s="322">
        <v>414661</v>
      </c>
      <c r="NT82" s="334"/>
      <c r="NU82" s="322" t="s">
        <v>64</v>
      </c>
      <c r="NV82" s="322">
        <v>110667.54</v>
      </c>
      <c r="NW82" s="322">
        <v>126723.95</v>
      </c>
      <c r="NX82" s="322">
        <v>163756.25</v>
      </c>
      <c r="NY82" s="322">
        <v>181004.79999999999</v>
      </c>
      <c r="NZ82" s="322">
        <v>186821.28</v>
      </c>
      <c r="OA82" s="322">
        <v>189744.17</v>
      </c>
      <c r="OB82" s="322">
        <v>202338.88</v>
      </c>
      <c r="OC82" s="322">
        <v>225866.96</v>
      </c>
      <c r="OD82" s="322">
        <v>247030</v>
      </c>
      <c r="OE82" s="322">
        <v>246026</v>
      </c>
      <c r="OF82" s="322">
        <v>220362</v>
      </c>
      <c r="OG82" s="322">
        <v>233599</v>
      </c>
      <c r="OH82" s="322">
        <v>254768</v>
      </c>
      <c r="OI82" s="322">
        <v>254774</v>
      </c>
      <c r="OJ82" s="322">
        <v>242681</v>
      </c>
      <c r="OK82" s="322">
        <v>338640</v>
      </c>
      <c r="OL82" s="322">
        <v>341675</v>
      </c>
      <c r="OM82" s="322">
        <v>338464</v>
      </c>
      <c r="ON82" s="322">
        <v>389368</v>
      </c>
      <c r="OO82" s="322">
        <v>410416</v>
      </c>
      <c r="OP82" s="322">
        <v>416147</v>
      </c>
      <c r="OQ82" s="322">
        <v>440786</v>
      </c>
      <c r="OR82" s="334"/>
      <c r="OS82" s="322" t="s">
        <v>64</v>
      </c>
      <c r="OT82" s="322">
        <v>110667.54</v>
      </c>
      <c r="OU82" s="322">
        <v>126723.95</v>
      </c>
      <c r="OV82" s="322">
        <v>163756.25</v>
      </c>
      <c r="OW82" s="322">
        <v>113128</v>
      </c>
      <c r="OX82" s="322">
        <v>93410.64</v>
      </c>
      <c r="OY82" s="322">
        <v>108425.24</v>
      </c>
      <c r="OZ82" s="322">
        <v>75877.08</v>
      </c>
      <c r="PA82" s="322">
        <v>84700.11</v>
      </c>
      <c r="PB82" s="322">
        <v>108169</v>
      </c>
      <c r="PC82" s="322">
        <v>72295</v>
      </c>
      <c r="PD82" s="322">
        <v>86484</v>
      </c>
      <c r="PE82" s="322">
        <v>92558</v>
      </c>
      <c r="PF82" s="322">
        <v>101191</v>
      </c>
      <c r="PG82" s="322">
        <v>133989</v>
      </c>
      <c r="PH82" s="322">
        <v>127183</v>
      </c>
      <c r="PI82" s="322">
        <v>133240</v>
      </c>
      <c r="PJ82" s="322">
        <v>146041</v>
      </c>
      <c r="PK82" s="322">
        <v>152190</v>
      </c>
      <c r="PL82" s="322">
        <v>152186</v>
      </c>
      <c r="PM82" s="322">
        <v>152181</v>
      </c>
      <c r="PN82" s="322">
        <v>152181</v>
      </c>
      <c r="PO82" s="322">
        <v>152181</v>
      </c>
      <c r="PP82" s="334"/>
      <c r="PQ82" s="322" t="s">
        <v>64</v>
      </c>
      <c r="PR82" s="322">
        <v>18444.59</v>
      </c>
      <c r="PS82" s="322">
        <v>0</v>
      </c>
      <c r="PT82" s="322">
        <v>23393.75</v>
      </c>
      <c r="PU82" s="322">
        <v>22625.599999999999</v>
      </c>
      <c r="PV82" s="322">
        <v>23352.66</v>
      </c>
      <c r="PW82" s="322">
        <v>27106.31</v>
      </c>
      <c r="PX82" s="322">
        <v>25292.36</v>
      </c>
      <c r="PY82" s="322">
        <v>56466.74</v>
      </c>
      <c r="PZ82" s="322">
        <v>20170</v>
      </c>
      <c r="QA82" s="322">
        <v>21149</v>
      </c>
      <c r="QB82" s="322">
        <v>25171</v>
      </c>
      <c r="QC82" s="322">
        <v>43568</v>
      </c>
      <c r="QD82" s="322">
        <v>39515</v>
      </c>
      <c r="QE82" s="322">
        <v>50700</v>
      </c>
      <c r="QF82" s="322">
        <v>40930</v>
      </c>
      <c r="QG82" s="322">
        <v>66317</v>
      </c>
      <c r="QH82" s="322">
        <v>57653</v>
      </c>
      <c r="QI82" s="322">
        <v>50480</v>
      </c>
      <c r="QJ82" s="322">
        <v>63249</v>
      </c>
      <c r="QK82" s="322">
        <v>50492</v>
      </c>
      <c r="QL82" s="322">
        <v>66251</v>
      </c>
      <c r="QM82" s="322">
        <v>46866</v>
      </c>
      <c r="QN82" s="334"/>
      <c r="QO82" s="322" t="s">
        <v>64</v>
      </c>
      <c r="QP82" s="322">
        <v>0</v>
      </c>
      <c r="QQ82" s="322">
        <v>0</v>
      </c>
      <c r="QR82" s="322">
        <v>0</v>
      </c>
      <c r="QS82" s="322">
        <v>0</v>
      </c>
      <c r="QT82" s="322">
        <v>0</v>
      </c>
      <c r="QU82" s="322">
        <v>0</v>
      </c>
      <c r="QV82" s="322">
        <v>0</v>
      </c>
      <c r="QW82" s="322">
        <v>0</v>
      </c>
      <c r="QX82" s="322">
        <v>0</v>
      </c>
      <c r="QY82" s="322">
        <v>0</v>
      </c>
      <c r="QZ82" s="322">
        <v>0</v>
      </c>
      <c r="RA82" s="322">
        <v>0</v>
      </c>
      <c r="RB82" s="322">
        <v>0</v>
      </c>
      <c r="RC82" s="322">
        <v>0</v>
      </c>
      <c r="RD82" s="322">
        <v>0</v>
      </c>
      <c r="RE82" s="322">
        <v>0</v>
      </c>
      <c r="RF82" s="322">
        <v>0</v>
      </c>
      <c r="RG82" s="322">
        <v>0</v>
      </c>
      <c r="RH82" s="322">
        <v>0</v>
      </c>
      <c r="RI82" s="322">
        <v>0</v>
      </c>
      <c r="RJ82" s="322">
        <v>0</v>
      </c>
      <c r="RK82" s="322">
        <v>0</v>
      </c>
      <c r="RL82" s="334"/>
      <c r="RM82" s="322" t="s">
        <v>64</v>
      </c>
      <c r="RN82" s="322">
        <v>166001.31</v>
      </c>
      <c r="RO82" s="322">
        <v>836378.07</v>
      </c>
      <c r="RP82" s="322">
        <v>421087.5</v>
      </c>
      <c r="RQ82" s="322">
        <v>135753.60000000001</v>
      </c>
      <c r="RR82" s="322">
        <v>46705.32</v>
      </c>
      <c r="RS82" s="322">
        <v>81318.929999999993</v>
      </c>
      <c r="RT82" s="322">
        <v>50584.72</v>
      </c>
      <c r="RU82" s="322">
        <v>84700.11</v>
      </c>
      <c r="RV82" s="322">
        <v>170171</v>
      </c>
      <c r="RW82" s="322">
        <v>168136</v>
      </c>
      <c r="RX82" s="322">
        <v>184752</v>
      </c>
      <c r="RY82" s="322">
        <v>127785</v>
      </c>
      <c r="RZ82" s="322">
        <v>41486</v>
      </c>
      <c r="SA82" s="322">
        <v>85931</v>
      </c>
      <c r="SB82" s="322">
        <v>65237</v>
      </c>
      <c r="SC82" s="322">
        <v>65237</v>
      </c>
      <c r="SD82" s="322">
        <v>0</v>
      </c>
      <c r="SE82" s="322">
        <v>0</v>
      </c>
      <c r="SF82" s="322">
        <v>0</v>
      </c>
      <c r="SG82" s="322">
        <v>0</v>
      </c>
      <c r="SH82" s="322">
        <v>0</v>
      </c>
      <c r="SI82" s="322">
        <v>0</v>
      </c>
    </row>
    <row r="83" spans="1:503">
      <c r="A83" s="319" t="s">
        <v>65</v>
      </c>
      <c r="B83" s="319">
        <v>364113</v>
      </c>
      <c r="C83" s="319">
        <v>377210</v>
      </c>
      <c r="D83" s="319">
        <v>411792</v>
      </c>
      <c r="E83" s="319">
        <v>406896</v>
      </c>
      <c r="F83" s="319">
        <v>432622</v>
      </c>
      <c r="G83" s="319">
        <v>514149</v>
      </c>
      <c r="H83" s="319">
        <v>862393</v>
      </c>
      <c r="I83" s="319">
        <v>588653</v>
      </c>
      <c r="J83" s="319">
        <v>683047.58</v>
      </c>
      <c r="K83" s="319">
        <v>710783.88</v>
      </c>
      <c r="L83" s="319">
        <v>837129</v>
      </c>
      <c r="M83" s="319">
        <v>868469</v>
      </c>
      <c r="N83" s="319">
        <v>912331</v>
      </c>
      <c r="O83" s="319">
        <v>992707</v>
      </c>
      <c r="P83" s="319">
        <v>1061872</v>
      </c>
      <c r="Q83" s="319">
        <v>1009054</v>
      </c>
      <c r="R83" s="319">
        <v>1040996</v>
      </c>
      <c r="S83" s="322">
        <v>1137543</v>
      </c>
      <c r="T83" s="319">
        <v>957853</v>
      </c>
      <c r="U83" s="319">
        <v>987974</v>
      </c>
      <c r="V83" s="319">
        <v>1129979</v>
      </c>
      <c r="W83" s="319">
        <v>1401130</v>
      </c>
      <c r="X83" s="330"/>
      <c r="Y83" s="319" t="s">
        <v>65</v>
      </c>
      <c r="Z83" s="319">
        <v>47334.69</v>
      </c>
      <c r="AA83" s="319">
        <v>45265.2</v>
      </c>
      <c r="AB83" s="319">
        <v>49415.040000000001</v>
      </c>
      <c r="AC83" s="319">
        <v>69172.320000000007</v>
      </c>
      <c r="AD83" s="319">
        <v>69219.520000000004</v>
      </c>
      <c r="AE83" s="319">
        <v>66839.37</v>
      </c>
      <c r="AF83" s="319">
        <v>41131.919999999998</v>
      </c>
      <c r="AG83" s="319">
        <v>64751.83</v>
      </c>
      <c r="AH83" s="319">
        <v>63789.340000000004</v>
      </c>
      <c r="AI83" s="319">
        <v>63116.829999999994</v>
      </c>
      <c r="AJ83" s="319">
        <v>62540</v>
      </c>
      <c r="AK83" s="319">
        <v>66705</v>
      </c>
      <c r="AL83" s="319">
        <v>66011</v>
      </c>
      <c r="AM83" s="319">
        <v>71090</v>
      </c>
      <c r="AN83" s="319">
        <v>76229</v>
      </c>
      <c r="AO83" s="319">
        <v>77170</v>
      </c>
      <c r="AP83" s="319">
        <v>76365</v>
      </c>
      <c r="AQ83" s="322">
        <v>76874</v>
      </c>
      <c r="AR83" s="319">
        <v>77158</v>
      </c>
      <c r="AS83" s="319">
        <v>76734</v>
      </c>
      <c r="AT83" s="319">
        <v>76681</v>
      </c>
      <c r="AU83" s="319">
        <v>77655</v>
      </c>
      <c r="AV83" s="334"/>
      <c r="AW83" s="319" t="s">
        <v>65</v>
      </c>
      <c r="AX83" s="319">
        <v>47334.69</v>
      </c>
      <c r="AY83" s="319">
        <v>52809.4</v>
      </c>
      <c r="AZ83" s="319">
        <v>49415.040000000001</v>
      </c>
      <c r="BA83" s="319">
        <v>52896.480000000003</v>
      </c>
      <c r="BB83" s="319">
        <v>60567.080000000009</v>
      </c>
      <c r="BC83" s="319">
        <v>61697.88</v>
      </c>
      <c r="BD83" s="319">
        <v>60367.510000000009</v>
      </c>
      <c r="BE83" s="319">
        <v>64751.83</v>
      </c>
      <c r="BF83" s="319">
        <v>63610.31</v>
      </c>
      <c r="BG83" s="319">
        <v>73138.12000000001</v>
      </c>
      <c r="BH83" s="319">
        <v>63198</v>
      </c>
      <c r="BI83" s="319">
        <v>73953</v>
      </c>
      <c r="BJ83" s="319">
        <v>76107</v>
      </c>
      <c r="BK83" s="319">
        <v>80168</v>
      </c>
      <c r="BL83" s="319">
        <v>83908</v>
      </c>
      <c r="BM83" s="319">
        <v>85309</v>
      </c>
      <c r="BN83" s="319">
        <v>111541</v>
      </c>
      <c r="BO83" s="322">
        <v>103489</v>
      </c>
      <c r="BP83" s="319">
        <v>104846</v>
      </c>
      <c r="BQ83" s="319">
        <v>105360</v>
      </c>
      <c r="BR83" s="319">
        <v>108612</v>
      </c>
      <c r="BS83" s="319">
        <v>112590</v>
      </c>
      <c r="BT83" s="334"/>
      <c r="BU83" s="322" t="s">
        <v>65</v>
      </c>
      <c r="BV83" s="322">
        <v>14564.52</v>
      </c>
      <c r="BW83" s="322">
        <v>3772.1</v>
      </c>
      <c r="BX83" s="322">
        <v>16471.68</v>
      </c>
      <c r="BY83" s="322">
        <v>8137.92</v>
      </c>
      <c r="BZ83" s="322">
        <v>25957.32</v>
      </c>
      <c r="CA83" s="322">
        <v>20565.96</v>
      </c>
      <c r="CB83" s="322">
        <v>25871.79</v>
      </c>
      <c r="CC83" s="322">
        <v>5886.53</v>
      </c>
      <c r="CD83" s="322">
        <v>34995.859999999993</v>
      </c>
      <c r="CE83" s="322">
        <v>11458.2</v>
      </c>
      <c r="CF83" s="322">
        <v>37389</v>
      </c>
      <c r="CG83" s="322">
        <v>11894</v>
      </c>
      <c r="CH83" s="322">
        <v>58588</v>
      </c>
      <c r="CI83" s="322">
        <v>17533</v>
      </c>
      <c r="CJ83" s="322">
        <v>55703</v>
      </c>
      <c r="CK83" s="322">
        <v>24151</v>
      </c>
      <c r="CL83" s="322">
        <v>67403</v>
      </c>
      <c r="CM83" s="322">
        <v>20468</v>
      </c>
      <c r="CN83" s="322">
        <v>61684</v>
      </c>
      <c r="CO83" s="322">
        <v>48956</v>
      </c>
      <c r="CP83" s="322">
        <v>94954</v>
      </c>
      <c r="CQ83" s="322">
        <v>43340</v>
      </c>
      <c r="CR83" s="334"/>
      <c r="CS83" s="322" t="s">
        <v>65</v>
      </c>
      <c r="CT83" s="322">
        <v>47334.69</v>
      </c>
      <c r="CU83" s="322">
        <v>37721</v>
      </c>
      <c r="CV83" s="322">
        <v>37061.279999999999</v>
      </c>
      <c r="CW83" s="322">
        <v>36620.639999999999</v>
      </c>
      <c r="CX83" s="322">
        <v>43262.2</v>
      </c>
      <c r="CY83" s="322">
        <v>41131.919999999998</v>
      </c>
      <c r="CZ83" s="322">
        <v>43119.65</v>
      </c>
      <c r="DA83" s="322">
        <v>47092.24</v>
      </c>
      <c r="DB83" s="322">
        <v>47353.599999999999</v>
      </c>
      <c r="DC83" s="322">
        <v>49450.6</v>
      </c>
      <c r="DD83" s="322">
        <v>87881</v>
      </c>
      <c r="DE83" s="322">
        <v>81093</v>
      </c>
      <c r="DF83" s="322">
        <v>71574</v>
      </c>
      <c r="DG83" s="322">
        <v>79144</v>
      </c>
      <c r="DH83" s="322">
        <v>63915</v>
      </c>
      <c r="DI83" s="322">
        <v>115931</v>
      </c>
      <c r="DJ83" s="322">
        <v>161856</v>
      </c>
      <c r="DK83" s="322">
        <v>334760</v>
      </c>
      <c r="DL83" s="322">
        <v>100546</v>
      </c>
      <c r="DM83" s="322">
        <v>125283</v>
      </c>
      <c r="DN83" s="322">
        <v>231403</v>
      </c>
      <c r="DO83" s="322">
        <v>430227</v>
      </c>
      <c r="DP83" s="334"/>
      <c r="DQ83" s="322" t="s">
        <v>65</v>
      </c>
      <c r="DR83" s="322">
        <v>0</v>
      </c>
      <c r="DS83" s="322">
        <v>7544.2</v>
      </c>
      <c r="DT83" s="322">
        <v>37061.279999999999</v>
      </c>
      <c r="DU83" s="322">
        <v>28482.720000000001</v>
      </c>
      <c r="DV83" s="322">
        <v>25957.32</v>
      </c>
      <c r="DW83" s="322">
        <v>25707.45</v>
      </c>
      <c r="DX83" s="322">
        <v>25871.79</v>
      </c>
      <c r="DY83" s="322">
        <v>23546.12</v>
      </c>
      <c r="DZ83" s="322">
        <v>27227.569999999996</v>
      </c>
      <c r="EA83" s="322">
        <v>27536.01</v>
      </c>
      <c r="EB83" s="322">
        <v>36232</v>
      </c>
      <c r="EC83" s="322">
        <v>17066</v>
      </c>
      <c r="ED83" s="322">
        <v>27735</v>
      </c>
      <c r="EE83" s="322">
        <v>22626</v>
      </c>
      <c r="EF83" s="322">
        <v>19523</v>
      </c>
      <c r="EG83" s="322">
        <v>22077</v>
      </c>
      <c r="EH83" s="322">
        <v>20752</v>
      </c>
      <c r="EI83" s="322">
        <v>24482</v>
      </c>
      <c r="EJ83" s="322">
        <v>24660</v>
      </c>
      <c r="EK83" s="322">
        <v>22856</v>
      </c>
      <c r="EL83" s="322">
        <v>23895</v>
      </c>
      <c r="EM83" s="322">
        <v>35581</v>
      </c>
      <c r="EN83" s="334"/>
      <c r="EO83" s="322" t="s">
        <v>65</v>
      </c>
      <c r="EP83" s="322">
        <v>29129.040000000001</v>
      </c>
      <c r="EQ83" s="322">
        <v>26404.7</v>
      </c>
      <c r="ER83" s="322">
        <v>28825.439999999999</v>
      </c>
      <c r="ES83" s="322">
        <v>28482.720000000001</v>
      </c>
      <c r="ET83" s="322">
        <v>30283.54</v>
      </c>
      <c r="EU83" s="322">
        <v>41131.919999999998</v>
      </c>
      <c r="EV83" s="322">
        <v>43119.65</v>
      </c>
      <c r="EW83" s="322">
        <v>41205.71</v>
      </c>
      <c r="EX83" s="322">
        <v>41863.22</v>
      </c>
      <c r="EY83" s="322">
        <v>42066.350000000006</v>
      </c>
      <c r="EZ83" s="322">
        <v>47841</v>
      </c>
      <c r="FA83" s="322">
        <v>82185</v>
      </c>
      <c r="FB83" s="322">
        <v>87799</v>
      </c>
      <c r="FC83" s="322">
        <v>85391</v>
      </c>
      <c r="FD83" s="322">
        <v>93213</v>
      </c>
      <c r="FE83" s="322">
        <v>95954</v>
      </c>
      <c r="FF83" s="322">
        <v>103546</v>
      </c>
      <c r="FG83" s="322">
        <v>102067</v>
      </c>
      <c r="FH83" s="322">
        <v>98502</v>
      </c>
      <c r="FI83" s="322">
        <v>91566</v>
      </c>
      <c r="FJ83" s="322">
        <v>91665</v>
      </c>
      <c r="FK83" s="322">
        <v>101460</v>
      </c>
      <c r="FL83" s="334"/>
      <c r="FM83" s="322" t="s">
        <v>65</v>
      </c>
      <c r="FN83" s="322">
        <v>0</v>
      </c>
      <c r="FO83" s="322">
        <v>0</v>
      </c>
      <c r="FP83" s="322">
        <v>0</v>
      </c>
      <c r="FQ83" s="322">
        <v>0</v>
      </c>
      <c r="FR83" s="322">
        <v>0</v>
      </c>
      <c r="FS83" s="322">
        <v>0</v>
      </c>
      <c r="FT83" s="322">
        <v>0</v>
      </c>
      <c r="FU83" s="322">
        <v>0</v>
      </c>
      <c r="FV83" s="322">
        <v>0</v>
      </c>
      <c r="FW83" s="322">
        <v>0</v>
      </c>
      <c r="FX83" s="322">
        <v>0</v>
      </c>
      <c r="FY83" s="322">
        <v>0</v>
      </c>
      <c r="FZ83" s="322">
        <v>0</v>
      </c>
      <c r="GA83" s="322">
        <v>0</v>
      </c>
      <c r="GB83" s="322">
        <v>0</v>
      </c>
      <c r="GC83" s="322">
        <v>0</v>
      </c>
      <c r="GD83" s="322">
        <v>0</v>
      </c>
      <c r="GE83" s="322">
        <v>0</v>
      </c>
      <c r="GF83" s="340">
        <v>0</v>
      </c>
      <c r="GG83" s="704">
        <v>0</v>
      </c>
      <c r="GH83" s="704">
        <v>0</v>
      </c>
      <c r="GI83" s="704">
        <v>0</v>
      </c>
      <c r="GJ83" s="334"/>
      <c r="GK83" s="322" t="s">
        <v>65</v>
      </c>
      <c r="GL83" s="322">
        <v>0</v>
      </c>
      <c r="GM83" s="322">
        <v>0</v>
      </c>
      <c r="GN83" s="322">
        <v>0</v>
      </c>
      <c r="GO83" s="322">
        <v>0</v>
      </c>
      <c r="GP83" s="322">
        <v>0</v>
      </c>
      <c r="GQ83" s="322">
        <v>0</v>
      </c>
      <c r="GR83" s="322">
        <v>0</v>
      </c>
      <c r="GS83" s="322">
        <v>11773.06</v>
      </c>
      <c r="GT83" s="322">
        <v>13764.77</v>
      </c>
      <c r="GU83" s="322">
        <v>10475.279999999999</v>
      </c>
      <c r="GV83" s="322">
        <v>0</v>
      </c>
      <c r="GW83" s="322">
        <v>42727</v>
      </c>
      <c r="GX83" s="322">
        <v>44584</v>
      </c>
      <c r="GY83" s="322">
        <v>45691</v>
      </c>
      <c r="GZ83" s="322">
        <v>49186</v>
      </c>
      <c r="HA83" s="322">
        <v>47166</v>
      </c>
      <c r="HB83" s="322">
        <v>49678</v>
      </c>
      <c r="HC83" s="322">
        <v>49688</v>
      </c>
      <c r="HD83" s="322">
        <v>45241</v>
      </c>
      <c r="HE83" s="322">
        <v>47953</v>
      </c>
      <c r="HF83" s="322">
        <v>46530</v>
      </c>
      <c r="HG83" s="322">
        <v>54010</v>
      </c>
      <c r="HH83" s="334"/>
      <c r="HI83" s="322" t="s">
        <v>65</v>
      </c>
      <c r="HJ83" s="322">
        <v>25487.91</v>
      </c>
      <c r="HK83" s="322">
        <v>15088.4</v>
      </c>
      <c r="HL83" s="322">
        <v>20589.599999999999</v>
      </c>
      <c r="HM83" s="322">
        <v>20344.8</v>
      </c>
      <c r="HN83" s="322">
        <v>25957.32</v>
      </c>
      <c r="HO83" s="322">
        <v>20565.96</v>
      </c>
      <c r="HP83" s="322">
        <v>8623.93</v>
      </c>
      <c r="HQ83" s="322">
        <v>0</v>
      </c>
      <c r="HR83" s="322">
        <v>0</v>
      </c>
      <c r="HS83" s="322">
        <v>0</v>
      </c>
      <c r="HT83" s="322">
        <v>10932</v>
      </c>
      <c r="HU83" s="322">
        <v>6371</v>
      </c>
      <c r="HV83" s="322">
        <v>6162</v>
      </c>
      <c r="HW83" s="322">
        <v>5912</v>
      </c>
      <c r="HX83" s="322">
        <v>9970</v>
      </c>
      <c r="HY83" s="322">
        <v>11905</v>
      </c>
      <c r="HZ83" s="322">
        <v>10947</v>
      </c>
      <c r="IA83" s="322">
        <v>13845</v>
      </c>
      <c r="IB83" s="322">
        <v>10892</v>
      </c>
      <c r="IC83" s="322">
        <v>11204</v>
      </c>
      <c r="ID83" s="322">
        <v>11709</v>
      </c>
      <c r="IE83" s="322">
        <v>21686</v>
      </c>
      <c r="IF83" s="334"/>
      <c r="IG83" s="322" t="s">
        <v>65</v>
      </c>
      <c r="IH83" s="322">
        <v>14564.52</v>
      </c>
      <c r="II83" s="322">
        <v>11316.3</v>
      </c>
      <c r="IJ83" s="322">
        <v>8235.84</v>
      </c>
      <c r="IK83" s="322">
        <v>8137.92</v>
      </c>
      <c r="IL83" s="322">
        <v>4326.22</v>
      </c>
      <c r="IM83" s="322">
        <v>10282.98</v>
      </c>
      <c r="IN83" s="322">
        <v>8623.93</v>
      </c>
      <c r="IO83" s="322">
        <v>5886.53</v>
      </c>
      <c r="IP83" s="322">
        <v>5016.3499999999995</v>
      </c>
      <c r="IQ83" s="322">
        <v>5880.7699999999995</v>
      </c>
      <c r="IR83" s="322">
        <v>4594</v>
      </c>
      <c r="IS83" s="322">
        <v>6767</v>
      </c>
      <c r="IT83" s="322">
        <v>5090</v>
      </c>
      <c r="IU83" s="322">
        <v>89</v>
      </c>
      <c r="IV83" s="322"/>
      <c r="IW83" s="322"/>
      <c r="IX83" s="322"/>
      <c r="IY83" s="322"/>
      <c r="IZ83" s="322"/>
      <c r="JA83" s="322"/>
      <c r="JB83" s="322"/>
      <c r="JC83" s="322"/>
      <c r="JD83" s="334"/>
      <c r="JE83" s="322" t="s">
        <v>65</v>
      </c>
      <c r="JF83" s="322">
        <v>0</v>
      </c>
      <c r="JG83" s="322">
        <v>0</v>
      </c>
      <c r="JH83" s="322">
        <v>0</v>
      </c>
      <c r="JI83" s="322">
        <v>0</v>
      </c>
      <c r="JJ83" s="322">
        <v>4326.22</v>
      </c>
      <c r="JK83" s="322">
        <v>0</v>
      </c>
      <c r="JL83" s="322">
        <v>0</v>
      </c>
      <c r="JM83" s="322">
        <v>5886.53</v>
      </c>
      <c r="JN83" s="322">
        <v>5534.39</v>
      </c>
      <c r="JO83" s="322">
        <v>2444.9499999999998</v>
      </c>
      <c r="JP83" s="322">
        <v>2506</v>
      </c>
      <c r="JQ83" s="322">
        <v>2427</v>
      </c>
      <c r="JR83" s="322">
        <v>2416</v>
      </c>
      <c r="JS83" s="322">
        <v>2552</v>
      </c>
      <c r="JT83" s="322">
        <v>2677</v>
      </c>
      <c r="JU83" s="322">
        <v>2933</v>
      </c>
      <c r="JV83" s="322">
        <v>3000</v>
      </c>
      <c r="JW83" s="322">
        <v>3216</v>
      </c>
      <c r="JX83" s="322">
        <v>6679</v>
      </c>
      <c r="JY83" s="322">
        <v>3523</v>
      </c>
      <c r="JZ83" s="322">
        <v>2947</v>
      </c>
      <c r="KA83" s="322">
        <v>8152</v>
      </c>
      <c r="KB83" s="334"/>
      <c r="KC83" s="322" t="s">
        <v>65</v>
      </c>
      <c r="KD83" s="322">
        <v>3641.13</v>
      </c>
      <c r="KE83" s="322">
        <v>11316.3</v>
      </c>
      <c r="KF83" s="322">
        <v>12353.76</v>
      </c>
      <c r="KG83" s="322">
        <v>12206.88</v>
      </c>
      <c r="KH83" s="322">
        <v>8652.44</v>
      </c>
      <c r="KI83" s="322">
        <v>15424.47</v>
      </c>
      <c r="KJ83" s="322">
        <v>17247.86</v>
      </c>
      <c r="KK83" s="322">
        <v>17659.59</v>
      </c>
      <c r="KL83" s="322">
        <v>15488.970000000001</v>
      </c>
      <c r="KM83" s="322">
        <v>15536.63</v>
      </c>
      <c r="KN83" s="322">
        <v>15481</v>
      </c>
      <c r="KO83" s="322">
        <v>15889</v>
      </c>
      <c r="KP83" s="322">
        <v>16780</v>
      </c>
      <c r="KQ83" s="322">
        <v>17989</v>
      </c>
      <c r="KR83" s="322">
        <v>19408</v>
      </c>
      <c r="KS83" s="322">
        <v>18287</v>
      </c>
      <c r="KT83" s="322">
        <v>18087</v>
      </c>
      <c r="KU83" s="322">
        <v>20030</v>
      </c>
      <c r="KV83" s="322">
        <v>19168</v>
      </c>
      <c r="KW83" s="322">
        <v>19908</v>
      </c>
      <c r="KX83" s="322">
        <v>19416</v>
      </c>
      <c r="KY83" s="322">
        <v>21950</v>
      </c>
      <c r="KZ83" s="334"/>
      <c r="LA83" s="322" t="s">
        <v>65</v>
      </c>
      <c r="LB83" s="322">
        <v>54616.95</v>
      </c>
      <c r="LC83" s="322">
        <v>94302.5</v>
      </c>
      <c r="LD83" s="322">
        <v>53532.959999999999</v>
      </c>
      <c r="LE83" s="322">
        <v>61034.400000000001</v>
      </c>
      <c r="LF83" s="322">
        <v>56240.86</v>
      </c>
      <c r="LG83" s="322">
        <v>123395.76</v>
      </c>
      <c r="LH83" s="322">
        <v>465692.22</v>
      </c>
      <c r="LI83" s="322">
        <v>211915.08</v>
      </c>
      <c r="LJ83" s="322">
        <v>274767.2</v>
      </c>
      <c r="LK83" s="322">
        <v>312553.01999999996</v>
      </c>
      <c r="LL83" s="322">
        <v>378915</v>
      </c>
      <c r="LM83" s="322">
        <v>368641</v>
      </c>
      <c r="LN83" s="322">
        <v>358457</v>
      </c>
      <c r="LO83" s="322">
        <v>465682</v>
      </c>
      <c r="LP83" s="322">
        <v>486967</v>
      </c>
      <c r="LQ83" s="322">
        <v>398533</v>
      </c>
      <c r="LR83" s="322">
        <v>315622</v>
      </c>
      <c r="LS83" s="322">
        <v>276133</v>
      </c>
      <c r="LT83" s="322">
        <v>307180</v>
      </c>
      <c r="LU83" s="322">
        <v>329085</v>
      </c>
      <c r="LV83" s="322">
        <v>314625</v>
      </c>
      <c r="LW83" s="322">
        <v>325816</v>
      </c>
      <c r="LX83" s="334"/>
      <c r="LY83" s="322" t="s">
        <v>65</v>
      </c>
      <c r="LZ83" s="322">
        <v>0</v>
      </c>
      <c r="MA83" s="322">
        <v>0</v>
      </c>
      <c r="MB83" s="322">
        <v>0</v>
      </c>
      <c r="MC83" s="322">
        <v>0</v>
      </c>
      <c r="MD83" s="322">
        <v>0</v>
      </c>
      <c r="ME83" s="322">
        <v>0</v>
      </c>
      <c r="MF83" s="322">
        <v>0</v>
      </c>
      <c r="MG83" s="322">
        <v>0</v>
      </c>
      <c r="MH83" s="322">
        <v>0</v>
      </c>
      <c r="MI83" s="322">
        <v>0</v>
      </c>
      <c r="MJ83" s="322">
        <v>0</v>
      </c>
      <c r="MK83" s="322">
        <v>0</v>
      </c>
      <c r="ML83" s="322">
        <v>0</v>
      </c>
      <c r="MM83" s="322">
        <v>0</v>
      </c>
      <c r="MN83" s="322">
        <v>0</v>
      </c>
      <c r="MO83" s="322">
        <v>0</v>
      </c>
      <c r="MP83" s="322">
        <v>0</v>
      </c>
      <c r="MQ83" s="322">
        <v>0</v>
      </c>
      <c r="MR83" s="322">
        <v>0</v>
      </c>
      <c r="MS83" s="322">
        <v>0</v>
      </c>
      <c r="MT83" s="322">
        <v>0</v>
      </c>
      <c r="MU83" s="322">
        <v>0</v>
      </c>
      <c r="MV83" s="334"/>
      <c r="MW83" s="322" t="s">
        <v>65</v>
      </c>
      <c r="MX83" s="322">
        <v>0</v>
      </c>
      <c r="MY83" s="322">
        <v>0</v>
      </c>
      <c r="MZ83" s="322">
        <v>0</v>
      </c>
      <c r="NA83" s="322">
        <v>0</v>
      </c>
      <c r="NB83" s="322">
        <v>0</v>
      </c>
      <c r="NC83" s="322">
        <v>0</v>
      </c>
      <c r="ND83" s="322">
        <v>0</v>
      </c>
      <c r="NE83" s="322">
        <v>0</v>
      </c>
      <c r="NF83" s="322">
        <v>0</v>
      </c>
      <c r="NG83" s="322">
        <v>0</v>
      </c>
      <c r="NH83" s="322">
        <v>0</v>
      </c>
      <c r="NI83" s="322">
        <v>0</v>
      </c>
      <c r="NJ83" s="322">
        <v>0</v>
      </c>
      <c r="NK83" s="322">
        <v>0</v>
      </c>
      <c r="NL83" s="322">
        <v>0</v>
      </c>
      <c r="NM83" s="322">
        <v>0</v>
      </c>
      <c r="NN83" s="322">
        <v>0</v>
      </c>
      <c r="NO83" s="322">
        <v>0</v>
      </c>
      <c r="NP83" s="322">
        <v>0</v>
      </c>
      <c r="NQ83" s="322">
        <v>0</v>
      </c>
      <c r="NR83" s="322">
        <v>0</v>
      </c>
      <c r="NS83" s="322">
        <v>0</v>
      </c>
      <c r="NT83" s="334"/>
      <c r="NU83" s="322" t="s">
        <v>65</v>
      </c>
      <c r="NV83" s="322">
        <v>50975.82</v>
      </c>
      <c r="NW83" s="322">
        <v>49037.3</v>
      </c>
      <c r="NX83" s="322">
        <v>53532.959999999999</v>
      </c>
      <c r="NY83" s="322">
        <v>61034.400000000001</v>
      </c>
      <c r="NZ83" s="322">
        <v>69219.520000000004</v>
      </c>
      <c r="OA83" s="322">
        <v>66839.37</v>
      </c>
      <c r="OB83" s="322">
        <v>68991.44</v>
      </c>
      <c r="OC83" s="322">
        <v>70638.36</v>
      </c>
      <c r="OD83" s="322">
        <v>74885.3</v>
      </c>
      <c r="OE83" s="322">
        <v>73715.049999999988</v>
      </c>
      <c r="OF83" s="322">
        <v>74568</v>
      </c>
      <c r="OG83" s="322">
        <v>76799</v>
      </c>
      <c r="OH83" s="322">
        <v>77210</v>
      </c>
      <c r="OI83" s="322">
        <v>80259</v>
      </c>
      <c r="OJ83" s="322">
        <v>85461</v>
      </c>
      <c r="OK83" s="322">
        <v>91373</v>
      </c>
      <c r="OL83" s="322">
        <v>82907</v>
      </c>
      <c r="OM83" s="322">
        <v>82582</v>
      </c>
      <c r="ON83" s="322">
        <v>84259</v>
      </c>
      <c r="OO83" s="322">
        <v>85663</v>
      </c>
      <c r="OP83" s="322">
        <v>86332</v>
      </c>
      <c r="OQ83" s="322">
        <v>93170</v>
      </c>
      <c r="OR83" s="334"/>
      <c r="OS83" s="322" t="s">
        <v>65</v>
      </c>
      <c r="OT83" s="322">
        <v>18205.650000000001</v>
      </c>
      <c r="OU83" s="322">
        <v>18860.5</v>
      </c>
      <c r="OV83" s="322">
        <v>24707.52</v>
      </c>
      <c r="OW83" s="322">
        <v>16275.84</v>
      </c>
      <c r="OX83" s="322">
        <v>4326.22</v>
      </c>
      <c r="OY83" s="322">
        <v>5141.49</v>
      </c>
      <c r="OZ83" s="322">
        <v>8623.93</v>
      </c>
      <c r="PA83" s="322">
        <v>5886.53</v>
      </c>
      <c r="PB83" s="322">
        <v>5264.94</v>
      </c>
      <c r="PC83" s="322">
        <v>8021.4000000000005</v>
      </c>
      <c r="PD83" s="322">
        <v>5945</v>
      </c>
      <c r="PE83" s="322">
        <v>6758</v>
      </c>
      <c r="PF83" s="322">
        <v>4686</v>
      </c>
      <c r="PG83" s="322">
        <v>8198</v>
      </c>
      <c r="PH83" s="322">
        <v>6801</v>
      </c>
      <c r="PI83" s="322">
        <v>6489</v>
      </c>
      <c r="PJ83" s="322">
        <v>7738</v>
      </c>
      <c r="PK83" s="322">
        <v>6412</v>
      </c>
      <c r="PL83" s="322">
        <v>6811</v>
      </c>
      <c r="PM83" s="322">
        <v>9656</v>
      </c>
      <c r="PN83" s="322">
        <v>10916</v>
      </c>
      <c r="PO83" s="322">
        <v>28618</v>
      </c>
      <c r="PP83" s="334"/>
      <c r="PQ83" s="322" t="s">
        <v>65</v>
      </c>
      <c r="PR83" s="322">
        <v>3641.13</v>
      </c>
      <c r="PS83" s="322">
        <v>3772.1</v>
      </c>
      <c r="PT83" s="322">
        <v>4117.92</v>
      </c>
      <c r="PU83" s="322">
        <v>4068.96</v>
      </c>
      <c r="PV83" s="322">
        <v>4326.22</v>
      </c>
      <c r="PW83" s="322">
        <v>10282.98</v>
      </c>
      <c r="PX83" s="322">
        <v>8623.93</v>
      </c>
      <c r="PY83" s="322">
        <v>11773.06</v>
      </c>
      <c r="PZ83" s="322">
        <v>9430.7900000000009</v>
      </c>
      <c r="QA83" s="322">
        <v>9095.66</v>
      </c>
      <c r="QB83" s="322">
        <v>9107</v>
      </c>
      <c r="QC83" s="322">
        <v>9194</v>
      </c>
      <c r="QD83" s="322">
        <v>9132</v>
      </c>
      <c r="QE83" s="322">
        <v>10383</v>
      </c>
      <c r="QF83" s="322">
        <v>8911</v>
      </c>
      <c r="QG83" s="322">
        <v>11776</v>
      </c>
      <c r="QH83" s="322">
        <v>11554</v>
      </c>
      <c r="QI83" s="322">
        <v>10497</v>
      </c>
      <c r="QJ83" s="322">
        <v>10227</v>
      </c>
      <c r="QK83" s="322">
        <v>10227</v>
      </c>
      <c r="QL83" s="322">
        <v>10227</v>
      </c>
      <c r="QM83" s="322">
        <v>10900</v>
      </c>
      <c r="QN83" s="334"/>
      <c r="QO83" s="322" t="s">
        <v>65</v>
      </c>
      <c r="QP83" s="322">
        <v>0</v>
      </c>
      <c r="QQ83" s="322">
        <v>0</v>
      </c>
      <c r="QR83" s="322">
        <v>0</v>
      </c>
      <c r="QS83" s="322">
        <v>0</v>
      </c>
      <c r="QT83" s="322">
        <v>0</v>
      </c>
      <c r="QU83" s="322">
        <v>0</v>
      </c>
      <c r="QV83" s="322">
        <v>0</v>
      </c>
      <c r="QW83" s="322">
        <v>0</v>
      </c>
      <c r="QX83" s="322">
        <v>0</v>
      </c>
      <c r="QY83" s="322">
        <v>0</v>
      </c>
      <c r="QZ83" s="322">
        <v>0</v>
      </c>
      <c r="RA83" s="322">
        <v>0</v>
      </c>
      <c r="RB83" s="322">
        <v>0</v>
      </c>
      <c r="RC83" s="322">
        <v>0</v>
      </c>
      <c r="RD83" s="322">
        <v>0</v>
      </c>
      <c r="RE83" s="322">
        <v>0</v>
      </c>
      <c r="RF83" s="322">
        <v>0</v>
      </c>
      <c r="RG83" s="322">
        <v>0</v>
      </c>
      <c r="RH83" s="322">
        <v>0</v>
      </c>
      <c r="RI83" s="322">
        <v>0</v>
      </c>
      <c r="RJ83" s="322">
        <v>0</v>
      </c>
      <c r="RK83" s="322">
        <v>0</v>
      </c>
      <c r="RL83" s="334"/>
      <c r="RM83" s="322" t="s">
        <v>65</v>
      </c>
      <c r="RN83" s="322">
        <v>7282.26</v>
      </c>
      <c r="RO83" s="322">
        <v>0</v>
      </c>
      <c r="RP83" s="322">
        <v>16471.68</v>
      </c>
      <c r="RQ83" s="322">
        <v>0</v>
      </c>
      <c r="RR83" s="322">
        <v>0</v>
      </c>
      <c r="RS83" s="322">
        <v>5141.49</v>
      </c>
      <c r="RT83" s="322">
        <v>8623.93</v>
      </c>
      <c r="RU83" s="322">
        <v>0</v>
      </c>
      <c r="RV83" s="322">
        <v>0</v>
      </c>
      <c r="RW83" s="322">
        <v>6295.01</v>
      </c>
      <c r="RX83" s="322">
        <v>0</v>
      </c>
      <c r="RY83" s="322">
        <v>0</v>
      </c>
      <c r="RZ83" s="322">
        <v>0</v>
      </c>
      <c r="SA83" s="322">
        <v>0</v>
      </c>
      <c r="SB83" s="322">
        <v>0</v>
      </c>
      <c r="SC83" s="322">
        <v>0</v>
      </c>
      <c r="SD83" s="322">
        <v>0</v>
      </c>
      <c r="SE83" s="322">
        <v>13000</v>
      </c>
      <c r="SF83" s="322">
        <v>0</v>
      </c>
      <c r="SG83" s="322">
        <v>0</v>
      </c>
      <c r="SH83" s="322">
        <v>67</v>
      </c>
      <c r="SI83" s="322">
        <v>0</v>
      </c>
    </row>
    <row r="84" spans="1:503">
      <c r="A84" s="319" t="s">
        <v>66</v>
      </c>
      <c r="B84" s="319">
        <v>1051153</v>
      </c>
      <c r="C84" s="319">
        <v>1171615</v>
      </c>
      <c r="D84" s="319">
        <v>1191415</v>
      </c>
      <c r="E84" s="319">
        <v>1122780</v>
      </c>
      <c r="F84" s="319">
        <v>1226624</v>
      </c>
      <c r="G84" s="319">
        <v>1241314</v>
      </c>
      <c r="H84" s="319">
        <v>1371066</v>
      </c>
      <c r="I84" s="319">
        <v>1373747</v>
      </c>
      <c r="J84" s="319">
        <v>1562207.04</v>
      </c>
      <c r="K84" s="319">
        <v>1490842.39</v>
      </c>
      <c r="L84" s="319">
        <v>1617945.44</v>
      </c>
      <c r="M84" s="319">
        <v>1558147.21</v>
      </c>
      <c r="N84" s="319">
        <v>1604645.34</v>
      </c>
      <c r="O84" s="319">
        <v>1647135.94</v>
      </c>
      <c r="P84" s="319">
        <v>1873197.1399999997</v>
      </c>
      <c r="Q84" s="319">
        <v>1740834.22</v>
      </c>
      <c r="R84" s="319"/>
      <c r="S84" s="322">
        <v>2185795.46</v>
      </c>
      <c r="T84" s="319">
        <v>2228977.4200000004</v>
      </c>
      <c r="U84" s="319"/>
      <c r="V84" s="319"/>
      <c r="W84" s="319"/>
      <c r="X84" s="330"/>
      <c r="Y84" s="319" t="s">
        <v>66</v>
      </c>
      <c r="Z84" s="319">
        <v>52557.65</v>
      </c>
      <c r="AA84" s="319">
        <v>46864.6</v>
      </c>
      <c r="AB84" s="319">
        <v>59570.75</v>
      </c>
      <c r="AC84" s="319">
        <v>78594.600000000006</v>
      </c>
      <c r="AD84" s="319">
        <v>73597.440000000002</v>
      </c>
      <c r="AE84" s="319">
        <v>74478.84</v>
      </c>
      <c r="AF84" s="319">
        <v>74478.84</v>
      </c>
      <c r="AG84" s="319">
        <v>82424.820000000007</v>
      </c>
      <c r="AH84" s="319">
        <v>84542.219999999987</v>
      </c>
      <c r="AI84" s="319">
        <v>82569.599999999991</v>
      </c>
      <c r="AJ84" s="319">
        <v>83375.48</v>
      </c>
      <c r="AK84" s="319">
        <v>83536.11</v>
      </c>
      <c r="AL84" s="319">
        <v>84060.59</v>
      </c>
      <c r="AM84" s="319">
        <v>84975.46</v>
      </c>
      <c r="AN84" s="319">
        <v>84560.9</v>
      </c>
      <c r="AO84" s="319">
        <v>85055.13</v>
      </c>
      <c r="AP84" s="319"/>
      <c r="AQ84" s="322">
        <v>85223.23</v>
      </c>
      <c r="AR84" s="319">
        <v>85882.4</v>
      </c>
      <c r="AS84" s="319"/>
      <c r="AT84" s="319"/>
      <c r="AU84" s="319"/>
      <c r="AV84" s="334"/>
      <c r="AW84" s="319" t="s">
        <v>66</v>
      </c>
      <c r="AX84" s="319">
        <v>52557.65</v>
      </c>
      <c r="AY84" s="319">
        <v>58580.75</v>
      </c>
      <c r="AZ84" s="319">
        <v>59570.75</v>
      </c>
      <c r="BA84" s="319">
        <v>67366.8</v>
      </c>
      <c r="BB84" s="319">
        <v>61331.200000000004</v>
      </c>
      <c r="BC84" s="319">
        <v>62065.700000000004</v>
      </c>
      <c r="BD84" s="319">
        <v>68553.3</v>
      </c>
      <c r="BE84" s="319">
        <v>68687.350000000006</v>
      </c>
      <c r="BF84" s="319">
        <v>70759.080000000016</v>
      </c>
      <c r="BG84" s="319">
        <v>64613.81</v>
      </c>
      <c r="BH84" s="319">
        <v>64426.94</v>
      </c>
      <c r="BI84" s="319">
        <v>63539.65</v>
      </c>
      <c r="BJ84" s="319">
        <v>65229.590000000004</v>
      </c>
      <c r="BK84" s="319">
        <v>65073.780000000006</v>
      </c>
      <c r="BL84" s="319">
        <v>64028.659999999996</v>
      </c>
      <c r="BM84" s="319">
        <v>67169.86</v>
      </c>
      <c r="BN84" s="319"/>
      <c r="BO84" s="322">
        <v>68050.030000000013</v>
      </c>
      <c r="BP84" s="319">
        <v>71418.86</v>
      </c>
      <c r="BQ84" s="319"/>
      <c r="BR84" s="319"/>
      <c r="BS84" s="319"/>
      <c r="BT84" s="334"/>
      <c r="BU84" s="322" t="s">
        <v>66</v>
      </c>
      <c r="BV84" s="322">
        <v>42046.12</v>
      </c>
      <c r="BW84" s="322">
        <v>23432.3</v>
      </c>
      <c r="BX84" s="322">
        <v>47656.6</v>
      </c>
      <c r="BY84" s="322">
        <v>11227.8</v>
      </c>
      <c r="BZ84" s="322">
        <v>61331.199999999997</v>
      </c>
      <c r="CA84" s="322">
        <v>37239.42</v>
      </c>
      <c r="CB84" s="322">
        <v>54842.64</v>
      </c>
      <c r="CC84" s="322">
        <v>27474.94</v>
      </c>
      <c r="CD84" s="322">
        <v>71608.5</v>
      </c>
      <c r="CE84" s="322">
        <v>40821.910000000003</v>
      </c>
      <c r="CF84" s="322">
        <v>63416.960000000006</v>
      </c>
      <c r="CG84" s="322">
        <v>45893.84</v>
      </c>
      <c r="CH84" s="322">
        <v>97245.92</v>
      </c>
      <c r="CI84" s="322">
        <v>43472.219999999994</v>
      </c>
      <c r="CJ84" s="322">
        <v>77185.709999999992</v>
      </c>
      <c r="CK84" s="322">
        <v>41904.609999999993</v>
      </c>
      <c r="CL84" s="322"/>
      <c r="CM84" s="322">
        <v>88153.040000000008</v>
      </c>
      <c r="CN84" s="322">
        <v>122822.89</v>
      </c>
      <c r="CO84" s="322"/>
      <c r="CP84" s="322"/>
      <c r="CQ84" s="322"/>
      <c r="CR84" s="334"/>
      <c r="CS84" s="322" t="s">
        <v>66</v>
      </c>
      <c r="CT84" s="322">
        <v>52557.65</v>
      </c>
      <c r="CU84" s="322">
        <v>58580.75</v>
      </c>
      <c r="CV84" s="322">
        <v>47656.6</v>
      </c>
      <c r="CW84" s="322">
        <v>56139</v>
      </c>
      <c r="CX84" s="322">
        <v>49064.959999999999</v>
      </c>
      <c r="CY84" s="322">
        <v>49652.56</v>
      </c>
      <c r="CZ84" s="322">
        <v>82263.960000000006</v>
      </c>
      <c r="DA84" s="322">
        <v>68687.350000000006</v>
      </c>
      <c r="DB84" s="322">
        <v>68786.070000000007</v>
      </c>
      <c r="DC84" s="322">
        <v>50180.19</v>
      </c>
      <c r="DD84" s="322">
        <v>63966.58</v>
      </c>
      <c r="DE84" s="322">
        <v>50732.24</v>
      </c>
      <c r="DF84" s="322">
        <v>49898.990000000005</v>
      </c>
      <c r="DG84" s="322">
        <v>63387.670000000006</v>
      </c>
      <c r="DH84" s="322">
        <v>72970.399999999994</v>
      </c>
      <c r="DI84" s="322">
        <v>123738</v>
      </c>
      <c r="DJ84" s="322"/>
      <c r="DK84" s="322">
        <v>168989.62</v>
      </c>
      <c r="DL84" s="322">
        <v>81842.469999999987</v>
      </c>
      <c r="DM84" s="322"/>
      <c r="DN84" s="322"/>
      <c r="DO84" s="322"/>
      <c r="DP84" s="334"/>
      <c r="DQ84" s="322" t="s">
        <v>66</v>
      </c>
      <c r="DR84" s="322">
        <v>136649.89000000001</v>
      </c>
      <c r="DS84" s="322">
        <v>152309.95000000001</v>
      </c>
      <c r="DT84" s="322">
        <v>154883.95000000001</v>
      </c>
      <c r="DU84" s="322">
        <v>145961.4</v>
      </c>
      <c r="DV84" s="322">
        <v>134928.64000000001</v>
      </c>
      <c r="DW84" s="322">
        <v>148957.68</v>
      </c>
      <c r="DX84" s="322">
        <v>164527.92000000001</v>
      </c>
      <c r="DY84" s="322">
        <v>164849.64000000001</v>
      </c>
      <c r="DZ84" s="322">
        <v>175989.92000000004</v>
      </c>
      <c r="EA84" s="322">
        <v>188008.72999999998</v>
      </c>
      <c r="EB84" s="322">
        <v>178376.11000000002</v>
      </c>
      <c r="EC84" s="322">
        <v>214495.84</v>
      </c>
      <c r="ED84" s="322">
        <v>170380.93</v>
      </c>
      <c r="EE84" s="322">
        <v>152916.73000000001</v>
      </c>
      <c r="EF84" s="322">
        <v>190069.66000000003</v>
      </c>
      <c r="EG84" s="322">
        <v>194131.51999999996</v>
      </c>
      <c r="EH84" s="322"/>
      <c r="EI84" s="322">
        <v>229171.33000000002</v>
      </c>
      <c r="EJ84" s="322">
        <v>264066.43</v>
      </c>
      <c r="EK84" s="322"/>
      <c r="EL84" s="322"/>
      <c r="EM84" s="322"/>
      <c r="EN84" s="334"/>
      <c r="EO84" s="322" t="s">
        <v>66</v>
      </c>
      <c r="EP84" s="322">
        <v>21023.06</v>
      </c>
      <c r="EQ84" s="322">
        <v>23432.3</v>
      </c>
      <c r="ER84" s="322">
        <v>23828.3</v>
      </c>
      <c r="ES84" s="322">
        <v>33683.4</v>
      </c>
      <c r="ET84" s="322">
        <v>24532.48</v>
      </c>
      <c r="EU84" s="322">
        <v>24826.28</v>
      </c>
      <c r="EV84" s="322">
        <v>27421.32</v>
      </c>
      <c r="EW84" s="322">
        <v>27474.94</v>
      </c>
      <c r="EX84" s="322">
        <v>31218.739999999998</v>
      </c>
      <c r="EY84" s="322">
        <v>31153.91</v>
      </c>
      <c r="EZ84" s="322">
        <v>31301.3</v>
      </c>
      <c r="FA84" s="322">
        <v>41359.840000000004</v>
      </c>
      <c r="FB84" s="322">
        <v>41666.43</v>
      </c>
      <c r="FC84" s="322">
        <v>41848.9</v>
      </c>
      <c r="FD84" s="322">
        <v>41513.420000000006</v>
      </c>
      <c r="FE84" s="322">
        <v>43093.87</v>
      </c>
      <c r="FF84" s="322"/>
      <c r="FG84" s="322">
        <v>43463.68</v>
      </c>
      <c r="FH84" s="322">
        <v>43498.91</v>
      </c>
      <c r="FI84" s="322"/>
      <c r="FJ84" s="322"/>
      <c r="FK84" s="322"/>
      <c r="FL84" s="334"/>
      <c r="FM84" s="322" t="s">
        <v>66</v>
      </c>
      <c r="FN84" s="322">
        <v>63069.18</v>
      </c>
      <c r="FO84" s="322">
        <v>58580.75</v>
      </c>
      <c r="FP84" s="322">
        <v>59570.75</v>
      </c>
      <c r="FQ84" s="322">
        <v>67366.8</v>
      </c>
      <c r="FR84" s="322">
        <v>61331.199999999997</v>
      </c>
      <c r="FS84" s="322">
        <v>62065.7</v>
      </c>
      <c r="FT84" s="322">
        <v>68553.3</v>
      </c>
      <c r="FU84" s="322">
        <v>68687.350000000006</v>
      </c>
      <c r="FV84" s="322">
        <v>68205.150000000009</v>
      </c>
      <c r="FW84" s="322">
        <v>64885.42</v>
      </c>
      <c r="FX84" s="322">
        <v>69395.27</v>
      </c>
      <c r="FY84" s="322">
        <v>69614.739999999991</v>
      </c>
      <c r="FZ84" s="322">
        <v>71271.759999999995</v>
      </c>
      <c r="GA84" s="322">
        <v>72543.97</v>
      </c>
      <c r="GB84" s="322">
        <v>70987.58</v>
      </c>
      <c r="GC84" s="322">
        <v>76482.97</v>
      </c>
      <c r="GD84" s="322"/>
      <c r="GE84" s="322">
        <v>75709.89</v>
      </c>
      <c r="GF84" s="340">
        <v>79798.48</v>
      </c>
      <c r="GG84" s="704"/>
      <c r="GH84" s="704"/>
      <c r="GI84" s="704"/>
      <c r="GJ84" s="334"/>
      <c r="GK84" s="322" t="s">
        <v>66</v>
      </c>
      <c r="GL84" s="322">
        <v>0</v>
      </c>
      <c r="GM84" s="322">
        <v>0</v>
      </c>
      <c r="GN84" s="322">
        <v>0</v>
      </c>
      <c r="GO84" s="322">
        <v>0</v>
      </c>
      <c r="GP84" s="322">
        <v>0</v>
      </c>
      <c r="GQ84" s="322">
        <v>0</v>
      </c>
      <c r="GR84" s="322">
        <v>0</v>
      </c>
      <c r="GS84" s="322">
        <v>0</v>
      </c>
      <c r="GT84" s="322">
        <v>0</v>
      </c>
      <c r="GU84" s="322">
        <v>0</v>
      </c>
      <c r="GV84" s="322">
        <v>0</v>
      </c>
      <c r="GW84" s="322">
        <v>0</v>
      </c>
      <c r="GX84" s="322">
        <v>0</v>
      </c>
      <c r="GY84" s="322">
        <v>0</v>
      </c>
      <c r="GZ84" s="322">
        <v>0</v>
      </c>
      <c r="HA84" s="322">
        <v>0</v>
      </c>
      <c r="HB84" s="322"/>
      <c r="HC84" s="322">
        <v>0</v>
      </c>
      <c r="HD84" s="322">
        <v>0</v>
      </c>
      <c r="HE84" s="322"/>
      <c r="HF84" s="322"/>
      <c r="HG84" s="322"/>
      <c r="HH84" s="334"/>
      <c r="HI84" s="322" t="s">
        <v>66</v>
      </c>
      <c r="HJ84" s="322">
        <v>31534.59</v>
      </c>
      <c r="HK84" s="322">
        <v>35148.449999999997</v>
      </c>
      <c r="HL84" s="322">
        <v>35742.449999999997</v>
      </c>
      <c r="HM84" s="322">
        <v>44911.199999999997</v>
      </c>
      <c r="HN84" s="322">
        <v>36798.720000000001</v>
      </c>
      <c r="HO84" s="322">
        <v>37239.42</v>
      </c>
      <c r="HP84" s="322">
        <v>41131.980000000003</v>
      </c>
      <c r="HQ84" s="322">
        <v>54949.88</v>
      </c>
      <c r="HR84" s="322">
        <v>50994.44</v>
      </c>
      <c r="HS84" s="322">
        <v>50057.04</v>
      </c>
      <c r="HT84" s="322">
        <v>61411.630000000005</v>
      </c>
      <c r="HU84" s="322">
        <v>60768.869999999995</v>
      </c>
      <c r="HV84" s="322">
        <v>63894.880000000005</v>
      </c>
      <c r="HW84" s="322">
        <v>64852.859999999993</v>
      </c>
      <c r="HX84" s="322">
        <v>60088.53</v>
      </c>
      <c r="HY84" s="322">
        <v>57016.340000000004</v>
      </c>
      <c r="HZ84" s="322"/>
      <c r="IA84" s="322">
        <v>46716.17</v>
      </c>
      <c r="IB84" s="322">
        <v>49283.590000000004</v>
      </c>
      <c r="IC84" s="322"/>
      <c r="ID84" s="322"/>
      <c r="IE84" s="322"/>
      <c r="IF84" s="334"/>
      <c r="IG84" s="322" t="s">
        <v>66</v>
      </c>
      <c r="IH84" s="322">
        <v>10511.53</v>
      </c>
      <c r="II84" s="322">
        <v>11716.15</v>
      </c>
      <c r="IJ84" s="322">
        <v>11914.15</v>
      </c>
      <c r="IK84" s="322">
        <v>11227.8</v>
      </c>
      <c r="IL84" s="322">
        <v>12266.24</v>
      </c>
      <c r="IM84" s="322">
        <v>12413.14</v>
      </c>
      <c r="IN84" s="322">
        <v>13710.66</v>
      </c>
      <c r="IO84" s="322">
        <v>13737.47</v>
      </c>
      <c r="IP84" s="322">
        <v>0</v>
      </c>
      <c r="IQ84" s="322">
        <v>9523.94</v>
      </c>
      <c r="IR84" s="322">
        <v>0</v>
      </c>
      <c r="IS84" s="322">
        <v>0</v>
      </c>
      <c r="IT84" s="322">
        <v>0</v>
      </c>
      <c r="IU84" s="322">
        <v>0</v>
      </c>
      <c r="IV84" s="322"/>
      <c r="IW84" s="322"/>
      <c r="IX84" s="322"/>
      <c r="IY84" s="322"/>
      <c r="IZ84" s="322"/>
      <c r="JA84" s="322"/>
      <c r="JB84" s="322"/>
      <c r="JC84" s="322"/>
      <c r="JD84" s="334"/>
      <c r="JE84" s="322" t="s">
        <v>66</v>
      </c>
      <c r="JF84" s="322">
        <v>10511.53</v>
      </c>
      <c r="JG84" s="322">
        <v>11716.15</v>
      </c>
      <c r="JH84" s="322">
        <v>11914.15</v>
      </c>
      <c r="JI84" s="322">
        <v>11227.8</v>
      </c>
      <c r="JJ84" s="322">
        <v>12266.24</v>
      </c>
      <c r="JK84" s="322">
        <v>12413.14</v>
      </c>
      <c r="JL84" s="322">
        <v>13710.66</v>
      </c>
      <c r="JM84" s="322">
        <v>0</v>
      </c>
      <c r="JN84" s="322">
        <v>4510.26</v>
      </c>
      <c r="JO84" s="322">
        <v>8627.24</v>
      </c>
      <c r="JP84" s="322">
        <v>7663.7200000000012</v>
      </c>
      <c r="JQ84" s="322">
        <v>7672.1200000000008</v>
      </c>
      <c r="JR84" s="322">
        <v>7804.04</v>
      </c>
      <c r="JS84" s="322">
        <v>7520.38</v>
      </c>
      <c r="JT84" s="322">
        <v>7242.2800000000007</v>
      </c>
      <c r="JU84" s="322">
        <v>9822.82</v>
      </c>
      <c r="JV84" s="322"/>
      <c r="JW84" s="322">
        <v>8804.23</v>
      </c>
      <c r="JX84" s="322">
        <v>7599.9500000000007</v>
      </c>
      <c r="JY84" s="322"/>
      <c r="JZ84" s="322"/>
      <c r="KA84" s="322"/>
      <c r="KB84" s="334"/>
      <c r="KC84" s="322" t="s">
        <v>66</v>
      </c>
      <c r="KD84" s="322">
        <v>10511.53</v>
      </c>
      <c r="KE84" s="322">
        <v>11716.15</v>
      </c>
      <c r="KF84" s="322">
        <v>11914.15</v>
      </c>
      <c r="KG84" s="322">
        <v>11227.8</v>
      </c>
      <c r="KH84" s="322">
        <v>12266.24</v>
      </c>
      <c r="KI84" s="322">
        <v>24826.28</v>
      </c>
      <c r="KJ84" s="322">
        <v>27421.32</v>
      </c>
      <c r="KK84" s="322">
        <v>27474.94</v>
      </c>
      <c r="KL84" s="322">
        <v>26118.43</v>
      </c>
      <c r="KM84" s="322">
        <v>41194.409999999996</v>
      </c>
      <c r="KN84" s="322">
        <v>41376.939999999995</v>
      </c>
      <c r="KO84" s="322">
        <v>40974.82</v>
      </c>
      <c r="KP84" s="322">
        <v>42866.09</v>
      </c>
      <c r="KQ84" s="322">
        <v>43906.71</v>
      </c>
      <c r="KR84" s="322">
        <v>44486.030000000006</v>
      </c>
      <c r="KS84" s="322">
        <v>44585.610000000008</v>
      </c>
      <c r="KT84" s="322"/>
      <c r="KU84" s="322">
        <v>48111.3</v>
      </c>
      <c r="KV84" s="322">
        <v>47147.6</v>
      </c>
      <c r="KW84" s="322"/>
      <c r="KX84" s="322"/>
      <c r="KY84" s="322"/>
      <c r="KZ84" s="334"/>
      <c r="LA84" s="322" t="s">
        <v>66</v>
      </c>
      <c r="LB84" s="322">
        <v>105115.3</v>
      </c>
      <c r="LC84" s="322">
        <v>117161.5</v>
      </c>
      <c r="LD84" s="322">
        <v>119141.5</v>
      </c>
      <c r="LE84" s="322">
        <v>101050.2</v>
      </c>
      <c r="LF84" s="322">
        <v>159461.12</v>
      </c>
      <c r="LG84" s="322">
        <v>148957.68</v>
      </c>
      <c r="LH84" s="322">
        <v>123395.94</v>
      </c>
      <c r="LI84" s="322">
        <v>109899.76</v>
      </c>
      <c r="LJ84" s="322">
        <v>162098.29999999999</v>
      </c>
      <c r="LK84" s="322">
        <v>123963.06</v>
      </c>
      <c r="LL84" s="322">
        <v>140642.18</v>
      </c>
      <c r="LM84" s="322">
        <v>144544.09</v>
      </c>
      <c r="LN84" s="322">
        <v>136546.09</v>
      </c>
      <c r="LO84" s="322">
        <v>151581.35</v>
      </c>
      <c r="LP84" s="322">
        <v>111995.14</v>
      </c>
      <c r="LQ84" s="322">
        <v>133321.97</v>
      </c>
      <c r="LR84" s="322"/>
      <c r="LS84" s="322">
        <v>159090.81</v>
      </c>
      <c r="LT84" s="322">
        <v>141708.24</v>
      </c>
      <c r="LU84" s="322"/>
      <c r="LV84" s="322"/>
      <c r="LW84" s="322"/>
      <c r="LX84" s="334"/>
      <c r="LY84" s="322" t="s">
        <v>66</v>
      </c>
      <c r="LZ84" s="322">
        <v>283811.31</v>
      </c>
      <c r="MA84" s="322">
        <v>410065.25</v>
      </c>
      <c r="MB84" s="322">
        <v>381252.8</v>
      </c>
      <c r="MC84" s="322">
        <v>314378.40000000002</v>
      </c>
      <c r="MD84" s="322">
        <v>343454.71999999997</v>
      </c>
      <c r="ME84" s="322">
        <v>384807.34</v>
      </c>
      <c r="MF84" s="322">
        <v>425030.46</v>
      </c>
      <c r="MG84" s="322">
        <v>453336.51</v>
      </c>
      <c r="MH84" s="322">
        <v>550621.72000000009</v>
      </c>
      <c r="MI84" s="322">
        <v>517693.64</v>
      </c>
      <c r="MJ84" s="322">
        <v>619702.11</v>
      </c>
      <c r="MK84" s="322">
        <v>560835.77</v>
      </c>
      <c r="ML84" s="322">
        <v>592248.80000000005</v>
      </c>
      <c r="MM84" s="322">
        <v>670937.12</v>
      </c>
      <c r="MN84" s="322">
        <v>654767.1399999999</v>
      </c>
      <c r="MO84" s="322">
        <v>612069.97</v>
      </c>
      <c r="MP84" s="322"/>
      <c r="MQ84" s="322">
        <v>908441.1</v>
      </c>
      <c r="MR84" s="322">
        <v>964203.7100000002</v>
      </c>
      <c r="MS84" s="322"/>
      <c r="MT84" s="322"/>
      <c r="MU84" s="322"/>
      <c r="MV84" s="334"/>
      <c r="MW84" s="322" t="s">
        <v>66</v>
      </c>
      <c r="MX84" s="322">
        <v>0</v>
      </c>
      <c r="MY84" s="322">
        <v>0</v>
      </c>
      <c r="MZ84" s="322">
        <v>0</v>
      </c>
      <c r="NA84" s="322">
        <v>0</v>
      </c>
      <c r="NB84" s="322">
        <v>0</v>
      </c>
      <c r="NC84" s="322">
        <v>0</v>
      </c>
      <c r="ND84" s="322">
        <v>0</v>
      </c>
      <c r="NE84" s="322">
        <v>0</v>
      </c>
      <c r="NF84" s="322">
        <v>0</v>
      </c>
      <c r="NG84" s="322">
        <v>0</v>
      </c>
      <c r="NH84" s="322">
        <v>0</v>
      </c>
      <c r="NI84" s="322">
        <v>0</v>
      </c>
      <c r="NJ84" s="322">
        <v>0</v>
      </c>
      <c r="NK84" s="322">
        <v>0</v>
      </c>
      <c r="NL84" s="322">
        <v>0</v>
      </c>
      <c r="NM84" s="322">
        <v>0</v>
      </c>
      <c r="NN84" s="322"/>
      <c r="NO84" s="322">
        <v>0</v>
      </c>
      <c r="NP84" s="322">
        <v>0</v>
      </c>
      <c r="NQ84" s="322"/>
      <c r="NR84" s="322"/>
      <c r="NS84" s="322"/>
      <c r="NT84" s="334"/>
      <c r="NU84" s="322" t="s">
        <v>66</v>
      </c>
      <c r="NV84" s="322">
        <v>63069.18</v>
      </c>
      <c r="NW84" s="322">
        <v>58580.75</v>
      </c>
      <c r="NX84" s="322">
        <v>59570.75</v>
      </c>
      <c r="NY84" s="322">
        <v>78594.600000000006</v>
      </c>
      <c r="NZ84" s="322">
        <v>73597.440000000002</v>
      </c>
      <c r="OA84" s="322">
        <v>74478.84</v>
      </c>
      <c r="OB84" s="322">
        <v>82263.960000000006</v>
      </c>
      <c r="OC84" s="322">
        <v>96162.29</v>
      </c>
      <c r="OD84" s="322">
        <v>80616.69</v>
      </c>
      <c r="OE84" s="322">
        <v>81904.11</v>
      </c>
      <c r="OF84" s="322">
        <v>81690.600000000006</v>
      </c>
      <c r="OG84" s="322">
        <v>82511.679999999993</v>
      </c>
      <c r="OH84" s="322">
        <v>83813.48</v>
      </c>
      <c r="OI84" s="322">
        <v>85999.91</v>
      </c>
      <c r="OJ84" s="322">
        <v>85761.56</v>
      </c>
      <c r="OK84" s="322">
        <v>90064.56</v>
      </c>
      <c r="OL84" s="322"/>
      <c r="OM84" s="322">
        <v>90546.85</v>
      </c>
      <c r="ON84" s="322">
        <v>91787.04</v>
      </c>
      <c r="OO84" s="322"/>
      <c r="OP84" s="322"/>
      <c r="OQ84" s="322"/>
      <c r="OR84" s="334"/>
      <c r="OS84" s="322" t="s">
        <v>66</v>
      </c>
      <c r="OT84" s="322">
        <v>52557.65</v>
      </c>
      <c r="OU84" s="322">
        <v>46864.6</v>
      </c>
      <c r="OV84" s="322">
        <v>47656.6</v>
      </c>
      <c r="OW84" s="322">
        <v>33683.4</v>
      </c>
      <c r="OX84" s="322">
        <v>12266.24</v>
      </c>
      <c r="OY84" s="322">
        <v>12413.14</v>
      </c>
      <c r="OZ84" s="322">
        <v>13710.66</v>
      </c>
      <c r="PA84" s="322">
        <v>27474.94</v>
      </c>
      <c r="PB84" s="322">
        <v>28839.35</v>
      </c>
      <c r="PC84" s="322">
        <v>28044.42</v>
      </c>
      <c r="PD84" s="322">
        <v>33015.15</v>
      </c>
      <c r="PE84" s="322">
        <v>14498.8</v>
      </c>
      <c r="PF84" s="322">
        <v>18600.23</v>
      </c>
      <c r="PG84" s="322">
        <v>21777.94</v>
      </c>
      <c r="PH84" s="322">
        <v>26924.789999999994</v>
      </c>
      <c r="PI84" s="322">
        <v>25438.99</v>
      </c>
      <c r="PJ84" s="322"/>
      <c r="PK84" s="322">
        <v>26481.21</v>
      </c>
      <c r="PL84" s="322">
        <v>33182.589999999997</v>
      </c>
      <c r="PM84" s="322"/>
      <c r="PN84" s="322"/>
      <c r="PO84" s="322"/>
      <c r="PP84" s="334"/>
      <c r="PQ84" s="322" t="s">
        <v>66</v>
      </c>
      <c r="PR84" s="322">
        <v>10511.53</v>
      </c>
      <c r="PS84" s="322">
        <v>11716.15</v>
      </c>
      <c r="PT84" s="322">
        <v>11914.15</v>
      </c>
      <c r="PU84" s="322">
        <v>11227.8</v>
      </c>
      <c r="PV84" s="322">
        <v>12266.24</v>
      </c>
      <c r="PW84" s="322">
        <v>12413.14</v>
      </c>
      <c r="PX84" s="322">
        <v>13710.66</v>
      </c>
      <c r="PY84" s="322">
        <v>13737.47</v>
      </c>
      <c r="PZ84" s="322">
        <v>15563.41</v>
      </c>
      <c r="QA84" s="322">
        <v>13728.480000000001</v>
      </c>
      <c r="QB84" s="322">
        <v>15265.289999999999</v>
      </c>
      <c r="QC84" s="322">
        <v>14374.83</v>
      </c>
      <c r="QD84" s="322">
        <v>15317.349999999999</v>
      </c>
      <c r="QE84" s="322">
        <v>14229.140000000001</v>
      </c>
      <c r="QF84" s="322">
        <v>15179</v>
      </c>
      <c r="QG84" s="322">
        <v>19938</v>
      </c>
      <c r="QH84" s="322"/>
      <c r="QI84" s="322">
        <v>23242.97</v>
      </c>
      <c r="QJ84" s="322">
        <v>22224.6</v>
      </c>
      <c r="QK84" s="322"/>
      <c r="QL84" s="322"/>
      <c r="QM84" s="322"/>
      <c r="QN84" s="334"/>
      <c r="QO84" s="322" t="s">
        <v>66</v>
      </c>
      <c r="QP84" s="322">
        <v>0</v>
      </c>
      <c r="QQ84" s="322">
        <v>0</v>
      </c>
      <c r="QR84" s="322">
        <v>0</v>
      </c>
      <c r="QS84" s="322">
        <v>0</v>
      </c>
      <c r="QT84" s="322">
        <v>0</v>
      </c>
      <c r="QU84" s="322">
        <v>0</v>
      </c>
      <c r="QV84" s="322">
        <v>0</v>
      </c>
      <c r="QW84" s="322">
        <v>0</v>
      </c>
      <c r="QX84" s="322">
        <v>250</v>
      </c>
      <c r="QY84" s="322">
        <v>0</v>
      </c>
      <c r="QZ84" s="322">
        <v>0</v>
      </c>
      <c r="RA84" s="322">
        <v>0</v>
      </c>
      <c r="RB84" s="322">
        <v>0</v>
      </c>
      <c r="RC84" s="322">
        <v>0</v>
      </c>
      <c r="RD84" s="322">
        <v>0</v>
      </c>
      <c r="RE84" s="322">
        <v>0</v>
      </c>
      <c r="RF84" s="322"/>
      <c r="RG84" s="322">
        <v>0</v>
      </c>
      <c r="RH84" s="322">
        <v>0</v>
      </c>
      <c r="RI84" s="322"/>
      <c r="RJ84" s="322"/>
      <c r="RK84" s="322"/>
      <c r="RL84" s="334"/>
      <c r="RM84" s="322" t="s">
        <v>66</v>
      </c>
      <c r="RN84" s="322">
        <v>52557.65</v>
      </c>
      <c r="RO84" s="322">
        <v>35148.449999999997</v>
      </c>
      <c r="RP84" s="322">
        <v>47656.6</v>
      </c>
      <c r="RQ84" s="322">
        <v>44911.199999999997</v>
      </c>
      <c r="RR84" s="322">
        <v>85863.679999999993</v>
      </c>
      <c r="RS84" s="322">
        <v>62065.7</v>
      </c>
      <c r="RT84" s="322">
        <v>68553.3</v>
      </c>
      <c r="RU84" s="322">
        <v>68687.350000000006</v>
      </c>
      <c r="RV84" s="322">
        <v>61943.46</v>
      </c>
      <c r="RW84" s="322">
        <v>93872.48000000001</v>
      </c>
      <c r="RX84" s="322">
        <v>62919.18</v>
      </c>
      <c r="RY84" s="322">
        <v>62793.97</v>
      </c>
      <c r="RZ84" s="322">
        <v>63800.17</v>
      </c>
      <c r="SA84" s="322">
        <v>62111.8</v>
      </c>
      <c r="SB84" s="322">
        <v>65436.34</v>
      </c>
      <c r="SC84" s="322">
        <v>62000</v>
      </c>
      <c r="SD84" s="322"/>
      <c r="SE84" s="322">
        <v>62000</v>
      </c>
      <c r="SF84" s="322">
        <v>63509.66</v>
      </c>
      <c r="SG84" s="322"/>
      <c r="SH84" s="322"/>
      <c r="SI84" s="322"/>
    </row>
    <row r="85" spans="1:503">
      <c r="A85" s="319" t="s">
        <v>67</v>
      </c>
      <c r="B85" s="319">
        <v>2833129</v>
      </c>
      <c r="C85" s="319">
        <v>2530063</v>
      </c>
      <c r="D85" s="319">
        <v>2687996</v>
      </c>
      <c r="E85" s="319">
        <v>2668049</v>
      </c>
      <c r="F85" s="319">
        <v>2843664</v>
      </c>
      <c r="G85" s="319">
        <v>2777486</v>
      </c>
      <c r="H85" s="319">
        <v>3051529</v>
      </c>
      <c r="I85" s="319">
        <v>2869679</v>
      </c>
      <c r="J85" s="319">
        <v>3041128</v>
      </c>
      <c r="K85" s="319">
        <v>2927543</v>
      </c>
      <c r="L85" s="319">
        <v>2485725</v>
      </c>
      <c r="M85" s="319">
        <v>2325655</v>
      </c>
      <c r="N85" s="319">
        <v>2552420</v>
      </c>
      <c r="O85" s="319">
        <v>2757792</v>
      </c>
      <c r="P85" s="319"/>
      <c r="Q85" s="319">
        <v>3140839</v>
      </c>
      <c r="R85" s="319"/>
      <c r="S85" s="322">
        <v>3379640</v>
      </c>
      <c r="T85" s="319"/>
      <c r="U85" s="319"/>
      <c r="V85" s="319"/>
      <c r="W85" s="319"/>
      <c r="X85" s="330"/>
      <c r="Y85" s="319" t="s">
        <v>67</v>
      </c>
      <c r="Z85" s="319">
        <v>56662.58</v>
      </c>
      <c r="AA85" s="319">
        <v>75901.89</v>
      </c>
      <c r="AB85" s="319">
        <v>80639.88</v>
      </c>
      <c r="AC85" s="319">
        <v>106721.96</v>
      </c>
      <c r="AD85" s="319">
        <v>113746.56</v>
      </c>
      <c r="AE85" s="319">
        <v>83324.58</v>
      </c>
      <c r="AF85" s="319">
        <v>83324.58</v>
      </c>
      <c r="AG85" s="319">
        <v>86090.37</v>
      </c>
      <c r="AH85" s="319">
        <v>95107</v>
      </c>
      <c r="AI85" s="319">
        <v>98572</v>
      </c>
      <c r="AJ85" s="319">
        <v>98566</v>
      </c>
      <c r="AK85" s="319">
        <v>97870</v>
      </c>
      <c r="AL85" s="319">
        <v>116175</v>
      </c>
      <c r="AM85" s="319">
        <v>106796</v>
      </c>
      <c r="AN85" s="319"/>
      <c r="AO85" s="319">
        <v>106125</v>
      </c>
      <c r="AP85" s="319"/>
      <c r="AQ85" s="322">
        <v>105889</v>
      </c>
      <c r="AR85" s="319"/>
      <c r="AS85" s="319"/>
      <c r="AT85" s="319"/>
      <c r="AU85" s="319"/>
      <c r="AV85" s="334"/>
      <c r="AW85" s="319" t="s">
        <v>67</v>
      </c>
      <c r="AX85" s="319">
        <v>84993.87</v>
      </c>
      <c r="AY85" s="319">
        <v>75901.89</v>
      </c>
      <c r="AZ85" s="319">
        <v>80639.87999999999</v>
      </c>
      <c r="BA85" s="319">
        <v>80041.47</v>
      </c>
      <c r="BB85" s="319">
        <v>85309.92</v>
      </c>
      <c r="BC85" s="319">
        <v>83324.58</v>
      </c>
      <c r="BD85" s="319">
        <v>91545.87</v>
      </c>
      <c r="BE85" s="319">
        <v>86090.37</v>
      </c>
      <c r="BF85" s="319">
        <v>99176</v>
      </c>
      <c r="BG85" s="319">
        <v>100811</v>
      </c>
      <c r="BH85" s="319">
        <v>103758</v>
      </c>
      <c r="BI85" s="319">
        <v>104631</v>
      </c>
      <c r="BJ85" s="319">
        <v>111554</v>
      </c>
      <c r="BK85" s="319">
        <v>114821</v>
      </c>
      <c r="BL85" s="319"/>
      <c r="BM85" s="319">
        <v>136779</v>
      </c>
      <c r="BN85" s="319"/>
      <c r="BO85" s="322">
        <v>120078</v>
      </c>
      <c r="BP85" s="319"/>
      <c r="BQ85" s="319"/>
      <c r="BR85" s="319"/>
      <c r="BS85" s="319"/>
      <c r="BT85" s="334"/>
      <c r="BU85" s="322" t="s">
        <v>67</v>
      </c>
      <c r="BV85" s="322">
        <v>56662.58</v>
      </c>
      <c r="BW85" s="322">
        <v>25300.63</v>
      </c>
      <c r="BX85" s="322">
        <v>26879.96</v>
      </c>
      <c r="BY85" s="322">
        <v>0</v>
      </c>
      <c r="BZ85" s="322">
        <v>56873.279999999999</v>
      </c>
      <c r="CA85" s="322">
        <v>27774.86</v>
      </c>
      <c r="CB85" s="322">
        <v>30515.29</v>
      </c>
      <c r="CC85" s="322">
        <v>0</v>
      </c>
      <c r="CD85" s="322">
        <v>105508</v>
      </c>
      <c r="CE85" s="322">
        <v>15733</v>
      </c>
      <c r="CF85" s="322">
        <v>146165</v>
      </c>
      <c r="CG85" s="322">
        <v>44794</v>
      </c>
      <c r="CH85" s="322">
        <v>87944</v>
      </c>
      <c r="CI85" s="322">
        <v>17212</v>
      </c>
      <c r="CJ85" s="322"/>
      <c r="CK85" s="322">
        <v>14194</v>
      </c>
      <c r="CL85" s="322"/>
      <c r="CM85" s="322">
        <v>27555</v>
      </c>
      <c r="CN85" s="322"/>
      <c r="CO85" s="322"/>
      <c r="CP85" s="322"/>
      <c r="CQ85" s="322"/>
      <c r="CR85" s="334"/>
      <c r="CS85" s="322" t="s">
        <v>67</v>
      </c>
      <c r="CT85" s="322">
        <v>84993.87</v>
      </c>
      <c r="CU85" s="322">
        <v>75901.89</v>
      </c>
      <c r="CV85" s="322">
        <v>53759.92</v>
      </c>
      <c r="CW85" s="322">
        <v>53360.98</v>
      </c>
      <c r="CX85" s="322">
        <v>113746.56</v>
      </c>
      <c r="CY85" s="322">
        <v>55549.72</v>
      </c>
      <c r="CZ85" s="322">
        <v>91545.87</v>
      </c>
      <c r="DA85" s="322">
        <v>57393.58</v>
      </c>
      <c r="DB85" s="322">
        <v>105416</v>
      </c>
      <c r="DC85" s="322">
        <v>89496</v>
      </c>
      <c r="DD85" s="322">
        <v>88652</v>
      </c>
      <c r="DE85" s="322">
        <v>126958</v>
      </c>
      <c r="DF85" s="322">
        <v>66049</v>
      </c>
      <c r="DG85" s="322">
        <v>91031</v>
      </c>
      <c r="DH85" s="322"/>
      <c r="DI85" s="322">
        <v>90023</v>
      </c>
      <c r="DJ85" s="322"/>
      <c r="DK85" s="322">
        <v>95451</v>
      </c>
      <c r="DL85" s="322"/>
      <c r="DM85" s="322"/>
      <c r="DN85" s="322"/>
      <c r="DO85" s="322"/>
      <c r="DP85" s="334"/>
      <c r="DQ85" s="322" t="s">
        <v>67</v>
      </c>
      <c r="DR85" s="322">
        <v>254981.61</v>
      </c>
      <c r="DS85" s="322">
        <v>278306.93</v>
      </c>
      <c r="DT85" s="322">
        <v>295679.56</v>
      </c>
      <c r="DU85" s="322">
        <v>320165.88</v>
      </c>
      <c r="DV85" s="322">
        <v>341239.68</v>
      </c>
      <c r="DW85" s="322">
        <v>388848.04</v>
      </c>
      <c r="DX85" s="322">
        <v>427214.06</v>
      </c>
      <c r="DY85" s="322">
        <v>430451.85</v>
      </c>
      <c r="DZ85" s="322">
        <v>437314</v>
      </c>
      <c r="EA85" s="322">
        <v>366633</v>
      </c>
      <c r="EB85" s="322">
        <v>306609</v>
      </c>
      <c r="EC85" s="322">
        <v>331963</v>
      </c>
      <c r="ED85" s="322">
        <v>346910</v>
      </c>
      <c r="EE85" s="322">
        <v>364847</v>
      </c>
      <c r="EF85" s="322"/>
      <c r="EG85" s="322">
        <v>405886</v>
      </c>
      <c r="EH85" s="322"/>
      <c r="EI85" s="322">
        <v>505442</v>
      </c>
      <c r="EJ85" s="322"/>
      <c r="EK85" s="322"/>
      <c r="EL85" s="322"/>
      <c r="EM85" s="322"/>
      <c r="EN85" s="334"/>
      <c r="EO85" s="322" t="s">
        <v>67</v>
      </c>
      <c r="EP85" s="322">
        <v>28331.29</v>
      </c>
      <c r="EQ85" s="322">
        <v>25300.63</v>
      </c>
      <c r="ER85" s="322">
        <v>26879.96</v>
      </c>
      <c r="ES85" s="322">
        <v>26680.49</v>
      </c>
      <c r="ET85" s="322">
        <v>28436.639999999999</v>
      </c>
      <c r="EU85" s="322">
        <v>27774.86</v>
      </c>
      <c r="EV85" s="322">
        <v>30515.29</v>
      </c>
      <c r="EW85" s="322">
        <v>28696.79</v>
      </c>
      <c r="EX85" s="322">
        <v>33580</v>
      </c>
      <c r="EY85" s="322">
        <v>35338</v>
      </c>
      <c r="EZ85" s="322">
        <v>43766</v>
      </c>
      <c r="FA85" s="322">
        <v>44612</v>
      </c>
      <c r="FB85" s="322">
        <v>46505</v>
      </c>
      <c r="FC85" s="322">
        <v>48043</v>
      </c>
      <c r="FD85" s="322"/>
      <c r="FE85" s="322">
        <v>52658</v>
      </c>
      <c r="FF85" s="322"/>
      <c r="FG85" s="322">
        <v>50725</v>
      </c>
      <c r="FH85" s="322"/>
      <c r="FI85" s="322"/>
      <c r="FJ85" s="322"/>
      <c r="FK85" s="322"/>
      <c r="FL85" s="334"/>
      <c r="FM85" s="322" t="s">
        <v>67</v>
      </c>
      <c r="FN85" s="322">
        <v>84993.87</v>
      </c>
      <c r="FO85" s="322">
        <v>75901.89</v>
      </c>
      <c r="FP85" s="322">
        <v>80639.88</v>
      </c>
      <c r="FQ85" s="322">
        <v>106721.96</v>
      </c>
      <c r="FR85" s="322">
        <v>85309.92</v>
      </c>
      <c r="FS85" s="322">
        <v>111099.44</v>
      </c>
      <c r="FT85" s="322">
        <v>91545.87</v>
      </c>
      <c r="FU85" s="322">
        <v>114787.16</v>
      </c>
      <c r="FV85" s="322">
        <v>104436</v>
      </c>
      <c r="FW85" s="322">
        <v>113808</v>
      </c>
      <c r="FX85" s="322">
        <v>104312</v>
      </c>
      <c r="FY85" s="322">
        <v>113059</v>
      </c>
      <c r="FZ85" s="322">
        <v>108071</v>
      </c>
      <c r="GA85" s="322">
        <v>120456</v>
      </c>
      <c r="GB85" s="322"/>
      <c r="GC85" s="322">
        <v>125037</v>
      </c>
      <c r="GD85" s="322"/>
      <c r="GE85" s="322">
        <v>118129</v>
      </c>
      <c r="GF85" s="340"/>
      <c r="GG85" s="704"/>
      <c r="GH85" s="704"/>
      <c r="GI85" s="704"/>
      <c r="GJ85" s="334"/>
      <c r="GK85" s="322" t="s">
        <v>67</v>
      </c>
      <c r="GL85" s="322">
        <v>56662.58</v>
      </c>
      <c r="GM85" s="322">
        <v>50601.26</v>
      </c>
      <c r="GN85" s="322">
        <v>53759.92</v>
      </c>
      <c r="GO85" s="322">
        <v>80041.47</v>
      </c>
      <c r="GP85" s="322">
        <v>85309.92</v>
      </c>
      <c r="GQ85" s="322">
        <v>83324.58</v>
      </c>
      <c r="GR85" s="322">
        <v>91545.87</v>
      </c>
      <c r="GS85" s="322">
        <v>86090.37</v>
      </c>
      <c r="GT85" s="322">
        <v>78683</v>
      </c>
      <c r="GU85" s="322">
        <v>92690</v>
      </c>
      <c r="GV85" s="322">
        <v>88784</v>
      </c>
      <c r="GW85" s="322">
        <v>88653</v>
      </c>
      <c r="GX85" s="322">
        <v>91509</v>
      </c>
      <c r="GY85" s="322">
        <v>96914</v>
      </c>
      <c r="GZ85" s="322"/>
      <c r="HA85" s="322">
        <v>98630</v>
      </c>
      <c r="HB85" s="322"/>
      <c r="HC85" s="322">
        <v>99155</v>
      </c>
      <c r="HD85" s="322"/>
      <c r="HE85" s="322"/>
      <c r="HF85" s="322"/>
      <c r="HG85" s="322"/>
      <c r="HH85" s="334"/>
      <c r="HI85" s="322" t="s">
        <v>67</v>
      </c>
      <c r="HJ85" s="322">
        <v>28331.29</v>
      </c>
      <c r="HK85" s="322">
        <v>25300.63</v>
      </c>
      <c r="HL85" s="322">
        <v>26879.96</v>
      </c>
      <c r="HM85" s="322">
        <v>26680.49</v>
      </c>
      <c r="HN85" s="322">
        <v>28436.639999999999</v>
      </c>
      <c r="HO85" s="322">
        <v>27774.86</v>
      </c>
      <c r="HP85" s="322">
        <v>30515.29</v>
      </c>
      <c r="HQ85" s="322">
        <v>28696.79</v>
      </c>
      <c r="HR85" s="322">
        <v>53327</v>
      </c>
      <c r="HS85" s="322">
        <v>40174</v>
      </c>
      <c r="HT85" s="322">
        <v>44652</v>
      </c>
      <c r="HU85" s="322">
        <v>42964</v>
      </c>
      <c r="HV85" s="322">
        <v>64731</v>
      </c>
      <c r="HW85" s="322">
        <v>61985</v>
      </c>
      <c r="HX85" s="322"/>
      <c r="HY85" s="322">
        <v>60541</v>
      </c>
      <c r="HZ85" s="322"/>
      <c r="IA85" s="322">
        <v>62097</v>
      </c>
      <c r="IB85" s="322"/>
      <c r="IC85" s="322"/>
      <c r="ID85" s="322"/>
      <c r="IE85" s="322"/>
      <c r="IF85" s="334"/>
      <c r="IG85" s="322" t="s">
        <v>67</v>
      </c>
      <c r="IH85" s="322">
        <v>0</v>
      </c>
      <c r="II85" s="322">
        <v>25300.63</v>
      </c>
      <c r="IJ85" s="322">
        <v>26879.96</v>
      </c>
      <c r="IK85" s="322">
        <v>26680.49</v>
      </c>
      <c r="IL85" s="322">
        <v>28436.639999999999</v>
      </c>
      <c r="IM85" s="322">
        <v>27774.86</v>
      </c>
      <c r="IN85" s="322">
        <v>0</v>
      </c>
      <c r="IO85" s="322">
        <v>0</v>
      </c>
      <c r="IP85" s="322">
        <v>6050</v>
      </c>
      <c r="IQ85" s="322">
        <v>16112</v>
      </c>
      <c r="IR85" s="322">
        <v>12944</v>
      </c>
      <c r="IS85" s="322">
        <v>13085</v>
      </c>
      <c r="IT85" s="322">
        <v>13000</v>
      </c>
      <c r="IU85" s="322">
        <v>9144</v>
      </c>
      <c r="IV85" s="322"/>
      <c r="IW85" s="322"/>
      <c r="IX85" s="322"/>
      <c r="IY85" s="322"/>
      <c r="IZ85" s="322"/>
      <c r="JA85" s="322"/>
      <c r="JB85" s="322"/>
      <c r="JC85" s="322"/>
      <c r="JD85" s="334"/>
      <c r="JE85" s="322" t="s">
        <v>67</v>
      </c>
      <c r="JF85" s="322">
        <v>28331.29</v>
      </c>
      <c r="JG85" s="322">
        <v>0</v>
      </c>
      <c r="JH85" s="322">
        <v>0</v>
      </c>
      <c r="JI85" s="322">
        <v>0</v>
      </c>
      <c r="JJ85" s="322">
        <v>0</v>
      </c>
      <c r="JK85" s="322">
        <v>0</v>
      </c>
      <c r="JL85" s="322">
        <v>0</v>
      </c>
      <c r="JM85" s="322">
        <v>0</v>
      </c>
      <c r="JN85" s="322">
        <v>397</v>
      </c>
      <c r="JO85" s="322">
        <v>533</v>
      </c>
      <c r="JP85" s="322">
        <v>448</v>
      </c>
      <c r="JQ85" s="322">
        <v>1132</v>
      </c>
      <c r="JR85" s="322">
        <v>575</v>
      </c>
      <c r="JS85" s="322">
        <v>307</v>
      </c>
      <c r="JT85" s="322"/>
      <c r="JU85" s="322">
        <v>10467</v>
      </c>
      <c r="JV85" s="322"/>
      <c r="JW85" s="322">
        <v>23008</v>
      </c>
      <c r="JX85" s="322"/>
      <c r="JY85" s="322"/>
      <c r="JZ85" s="322"/>
      <c r="KA85" s="322"/>
      <c r="KB85" s="334"/>
      <c r="KC85" s="322" t="s">
        <v>67</v>
      </c>
      <c r="KD85" s="322">
        <v>84993.87</v>
      </c>
      <c r="KE85" s="322">
        <v>25300.63</v>
      </c>
      <c r="KF85" s="322">
        <v>53759.92</v>
      </c>
      <c r="KG85" s="322">
        <v>53360.98</v>
      </c>
      <c r="KH85" s="322">
        <v>28436.639999999999</v>
      </c>
      <c r="KI85" s="322">
        <v>55549.72</v>
      </c>
      <c r="KJ85" s="322">
        <v>61030.58</v>
      </c>
      <c r="KK85" s="322">
        <v>57393.58</v>
      </c>
      <c r="KL85" s="322">
        <v>72375</v>
      </c>
      <c r="KM85" s="322">
        <v>76635</v>
      </c>
      <c r="KN85" s="322">
        <v>74701</v>
      </c>
      <c r="KO85" s="322">
        <v>68406</v>
      </c>
      <c r="KP85" s="322">
        <v>70993</v>
      </c>
      <c r="KQ85" s="322">
        <v>75355</v>
      </c>
      <c r="KR85" s="322"/>
      <c r="KS85" s="322">
        <v>77114</v>
      </c>
      <c r="KT85" s="322"/>
      <c r="KU85" s="322">
        <v>76340</v>
      </c>
      <c r="KV85" s="322"/>
      <c r="KW85" s="322"/>
      <c r="KX85" s="322"/>
      <c r="KY85" s="322"/>
      <c r="KZ85" s="334"/>
      <c r="LA85" s="322" t="s">
        <v>67</v>
      </c>
      <c r="LB85" s="322">
        <v>566625.80000000005</v>
      </c>
      <c r="LC85" s="322">
        <v>379509.45</v>
      </c>
      <c r="LD85" s="322">
        <v>215039.68</v>
      </c>
      <c r="LE85" s="322">
        <v>213443.92</v>
      </c>
      <c r="LF85" s="322">
        <v>113746.56</v>
      </c>
      <c r="LG85" s="322">
        <v>138874.29999999999</v>
      </c>
      <c r="LH85" s="322">
        <v>152576.45000000001</v>
      </c>
      <c r="LI85" s="322">
        <v>200877.53</v>
      </c>
      <c r="LJ85" s="322">
        <v>95783</v>
      </c>
      <c r="LK85" s="322">
        <v>152035</v>
      </c>
      <c r="LL85" s="322">
        <v>126574</v>
      </c>
      <c r="LM85" s="322">
        <v>100602</v>
      </c>
      <c r="LN85" s="322">
        <v>155479</v>
      </c>
      <c r="LO85" s="322">
        <v>175755</v>
      </c>
      <c r="LP85" s="322"/>
      <c r="LQ85" s="322">
        <v>186214</v>
      </c>
      <c r="LR85" s="322"/>
      <c r="LS85" s="322">
        <v>237152</v>
      </c>
      <c r="LT85" s="322"/>
      <c r="LU85" s="322"/>
      <c r="LV85" s="322"/>
      <c r="LW85" s="322"/>
      <c r="LX85" s="334"/>
      <c r="LY85" s="322" t="s">
        <v>67</v>
      </c>
      <c r="LZ85" s="322">
        <v>509963.22</v>
      </c>
      <c r="MA85" s="322">
        <v>480711.97</v>
      </c>
      <c r="MB85" s="322">
        <v>483839.28</v>
      </c>
      <c r="MC85" s="322">
        <v>506929.31</v>
      </c>
      <c r="MD85" s="322">
        <v>568732.80000000005</v>
      </c>
      <c r="ME85" s="322">
        <v>638821.78</v>
      </c>
      <c r="MF85" s="322">
        <v>640821.09</v>
      </c>
      <c r="MG85" s="322">
        <v>631329.38</v>
      </c>
      <c r="MH85" s="322">
        <v>681294</v>
      </c>
      <c r="MI85" s="322">
        <v>661293</v>
      </c>
      <c r="MJ85" s="322">
        <v>560176</v>
      </c>
      <c r="MK85" s="322">
        <v>650878</v>
      </c>
      <c r="ML85" s="322">
        <v>582891</v>
      </c>
      <c r="MM85" s="322">
        <v>628040</v>
      </c>
      <c r="MN85" s="322"/>
      <c r="MO85" s="322">
        <v>659948</v>
      </c>
      <c r="MP85" s="322"/>
      <c r="MQ85" s="322">
        <v>703093</v>
      </c>
      <c r="MR85" s="322"/>
      <c r="MS85" s="322"/>
      <c r="MT85" s="322"/>
      <c r="MU85" s="322"/>
      <c r="MV85" s="334"/>
      <c r="MW85" s="322" t="s">
        <v>67</v>
      </c>
      <c r="MX85" s="322">
        <v>311644.19</v>
      </c>
      <c r="MY85" s="322">
        <v>379509.45</v>
      </c>
      <c r="MZ85" s="322">
        <v>618239.07999999996</v>
      </c>
      <c r="NA85" s="322">
        <v>480248.82</v>
      </c>
      <c r="NB85" s="322">
        <v>597169.43999999994</v>
      </c>
      <c r="NC85" s="322">
        <v>472172.62</v>
      </c>
      <c r="ND85" s="322">
        <v>610305.80000000005</v>
      </c>
      <c r="NE85" s="322">
        <v>459148.64</v>
      </c>
      <c r="NF85" s="322">
        <v>655981</v>
      </c>
      <c r="NG85" s="322">
        <v>294388</v>
      </c>
      <c r="NH85" s="322">
        <v>228</v>
      </c>
      <c r="NI85" s="322">
        <v>0</v>
      </c>
      <c r="NJ85" s="322">
        <v>0</v>
      </c>
      <c r="NK85" s="322">
        <v>0</v>
      </c>
      <c r="NL85" s="322"/>
      <c r="NM85" s="322">
        <v>0</v>
      </c>
      <c r="NN85" s="322"/>
      <c r="NO85" s="322">
        <v>0</v>
      </c>
      <c r="NP85" s="322"/>
      <c r="NQ85" s="322"/>
      <c r="NR85" s="322"/>
      <c r="NS85" s="322"/>
      <c r="NT85" s="334"/>
      <c r="NU85" s="322" t="s">
        <v>67</v>
      </c>
      <c r="NV85" s="322">
        <v>198319.03</v>
      </c>
      <c r="NW85" s="322">
        <v>177104.41</v>
      </c>
      <c r="NX85" s="322">
        <v>215039.68</v>
      </c>
      <c r="NY85" s="322">
        <v>240124.41</v>
      </c>
      <c r="NZ85" s="322">
        <v>255929.76</v>
      </c>
      <c r="OA85" s="322">
        <v>277748.59999999998</v>
      </c>
      <c r="OB85" s="322">
        <v>305152.90000000002</v>
      </c>
      <c r="OC85" s="322">
        <v>315664.69</v>
      </c>
      <c r="OD85" s="322">
        <v>184823</v>
      </c>
      <c r="OE85" s="322">
        <v>247433</v>
      </c>
      <c r="OF85" s="322">
        <v>230009</v>
      </c>
      <c r="OG85" s="322">
        <v>229066</v>
      </c>
      <c r="OH85" s="322">
        <v>279371</v>
      </c>
      <c r="OI85" s="322">
        <v>308474</v>
      </c>
      <c r="OJ85" s="322"/>
      <c r="OK85" s="322">
        <v>314928</v>
      </c>
      <c r="OL85" s="322"/>
      <c r="OM85" s="322">
        <v>323262</v>
      </c>
      <c r="ON85" s="322"/>
      <c r="OO85" s="322"/>
      <c r="OP85" s="322"/>
      <c r="OQ85" s="322"/>
      <c r="OR85" s="334"/>
      <c r="OS85" s="322" t="s">
        <v>67</v>
      </c>
      <c r="OT85" s="322">
        <v>396638.06</v>
      </c>
      <c r="OU85" s="322">
        <v>354208.82</v>
      </c>
      <c r="OV85" s="322">
        <v>349439.48</v>
      </c>
      <c r="OW85" s="322">
        <v>320165.88</v>
      </c>
      <c r="OX85" s="322">
        <v>284366.40000000002</v>
      </c>
      <c r="OY85" s="322">
        <v>249973.74</v>
      </c>
      <c r="OZ85" s="322">
        <v>274637.61</v>
      </c>
      <c r="PA85" s="322">
        <v>258271.11</v>
      </c>
      <c r="PB85" s="322">
        <v>205824</v>
      </c>
      <c r="PC85" s="322">
        <v>210515</v>
      </c>
      <c r="PD85" s="322">
        <v>266067</v>
      </c>
      <c r="PE85" s="322">
        <v>199106</v>
      </c>
      <c r="PF85" s="322">
        <v>190253</v>
      </c>
      <c r="PG85" s="322">
        <v>248882</v>
      </c>
      <c r="PH85" s="322"/>
      <c r="PI85" s="322">
        <v>240290</v>
      </c>
      <c r="PJ85" s="322"/>
      <c r="PK85" s="322">
        <v>265997</v>
      </c>
      <c r="PL85" s="322"/>
      <c r="PM85" s="322"/>
      <c r="PN85" s="322"/>
      <c r="PO85" s="322"/>
      <c r="PP85" s="334"/>
      <c r="PQ85" s="322" t="s">
        <v>67</v>
      </c>
      <c r="PR85" s="322">
        <v>0</v>
      </c>
      <c r="PS85" s="322">
        <v>0</v>
      </c>
      <c r="PT85" s="322">
        <v>0</v>
      </c>
      <c r="PU85" s="322">
        <v>26680.49</v>
      </c>
      <c r="PV85" s="322">
        <v>28436.639999999999</v>
      </c>
      <c r="PW85" s="322">
        <v>27774.86</v>
      </c>
      <c r="PX85" s="322">
        <v>30515.29</v>
      </c>
      <c r="PY85" s="322">
        <v>28696.79</v>
      </c>
      <c r="PZ85" s="322">
        <v>23445</v>
      </c>
      <c r="QA85" s="322">
        <v>20270</v>
      </c>
      <c r="QB85" s="322">
        <v>29795</v>
      </c>
      <c r="QC85" s="322">
        <v>34776</v>
      </c>
      <c r="QD85" s="322">
        <v>36010</v>
      </c>
      <c r="QE85" s="322">
        <v>39230</v>
      </c>
      <c r="QF85" s="322"/>
      <c r="QG85" s="322">
        <v>33350</v>
      </c>
      <c r="QH85" s="322"/>
      <c r="QI85" s="322">
        <v>35547</v>
      </c>
      <c r="QJ85" s="322"/>
      <c r="QK85" s="322"/>
      <c r="QL85" s="322"/>
      <c r="QM85" s="322"/>
      <c r="QN85" s="334"/>
      <c r="QO85" s="322" t="s">
        <v>67</v>
      </c>
      <c r="QP85" s="322">
        <v>0</v>
      </c>
      <c r="QQ85" s="322">
        <v>0</v>
      </c>
      <c r="QR85" s="322">
        <v>0</v>
      </c>
      <c r="QS85" s="322">
        <v>0</v>
      </c>
      <c r="QT85" s="322">
        <v>0</v>
      </c>
      <c r="QU85" s="322">
        <v>0</v>
      </c>
      <c r="QV85" s="322">
        <v>0</v>
      </c>
      <c r="QW85" s="322">
        <v>0</v>
      </c>
      <c r="QX85" s="322">
        <v>0</v>
      </c>
      <c r="QY85" s="322">
        <v>0</v>
      </c>
      <c r="QZ85" s="322">
        <v>0</v>
      </c>
      <c r="RA85" s="322">
        <v>0</v>
      </c>
      <c r="RB85" s="322">
        <v>0</v>
      </c>
      <c r="RC85" s="322">
        <v>0</v>
      </c>
      <c r="RD85" s="322"/>
      <c r="RE85" s="322">
        <v>0</v>
      </c>
      <c r="RF85" s="322"/>
      <c r="RG85" s="322">
        <v>0</v>
      </c>
      <c r="RH85" s="322"/>
      <c r="RI85" s="322"/>
      <c r="RJ85" s="322"/>
      <c r="RK85" s="322"/>
      <c r="RL85" s="334"/>
      <c r="RM85" s="322" t="s">
        <v>67</v>
      </c>
      <c r="RN85" s="322">
        <v>0</v>
      </c>
      <c r="RO85" s="322">
        <v>0</v>
      </c>
      <c r="RP85" s="322">
        <v>0</v>
      </c>
      <c r="RQ85" s="322">
        <v>0</v>
      </c>
      <c r="RR85" s="322">
        <v>0</v>
      </c>
      <c r="RS85" s="322">
        <v>0</v>
      </c>
      <c r="RT85" s="322">
        <v>0</v>
      </c>
      <c r="RU85" s="322">
        <v>0</v>
      </c>
      <c r="RV85" s="322">
        <v>0</v>
      </c>
      <c r="RW85" s="322">
        <v>245000</v>
      </c>
      <c r="RX85" s="322">
        <v>145000</v>
      </c>
      <c r="RY85" s="322">
        <v>29000</v>
      </c>
      <c r="RZ85" s="322">
        <v>184400</v>
      </c>
      <c r="SA85" s="322">
        <v>250500</v>
      </c>
      <c r="SB85" s="322"/>
      <c r="SC85" s="322">
        <v>468045</v>
      </c>
      <c r="SD85" s="322"/>
      <c r="SE85" s="322">
        <v>499995</v>
      </c>
      <c r="SF85" s="322"/>
      <c r="SG85" s="322"/>
      <c r="SH85" s="322"/>
      <c r="SI85" s="322"/>
    </row>
    <row r="86" spans="1:503" ht="12" customHeight="1">
      <c r="A86" s="319" t="s">
        <v>68</v>
      </c>
      <c r="B86" s="319">
        <v>1634812</v>
      </c>
      <c r="C86" s="319">
        <v>1937755</v>
      </c>
      <c r="D86" s="319">
        <v>1981376</v>
      </c>
      <c r="E86" s="319">
        <v>2088650</v>
      </c>
      <c r="F86" s="319">
        <v>2060465</v>
      </c>
      <c r="G86" s="319">
        <v>2248229</v>
      </c>
      <c r="H86" s="319">
        <v>2702260</v>
      </c>
      <c r="I86" s="319">
        <v>2445169</v>
      </c>
      <c r="J86" s="319">
        <v>2666465.16</v>
      </c>
      <c r="K86" s="319">
        <v>3124759.47</v>
      </c>
      <c r="L86" s="319"/>
      <c r="M86" s="319"/>
      <c r="N86" s="319"/>
      <c r="O86" s="319"/>
      <c r="P86" s="319"/>
      <c r="Q86" s="319">
        <v>3925194.6800000006</v>
      </c>
      <c r="R86" s="319"/>
      <c r="S86" s="322"/>
      <c r="T86" s="319"/>
      <c r="U86" s="319"/>
      <c r="V86" s="319"/>
      <c r="W86" s="319"/>
      <c r="X86" s="330"/>
      <c r="Y86" s="319" t="s">
        <v>68</v>
      </c>
      <c r="Z86" s="319">
        <v>98088.72</v>
      </c>
      <c r="AA86" s="319">
        <v>96887.75</v>
      </c>
      <c r="AB86" s="319">
        <v>99068.800000000003</v>
      </c>
      <c r="AC86" s="319">
        <v>125319</v>
      </c>
      <c r="AD86" s="319">
        <v>123627.9</v>
      </c>
      <c r="AE86" s="319">
        <v>134893.74</v>
      </c>
      <c r="AF86" s="319">
        <v>112411.45</v>
      </c>
      <c r="AG86" s="319">
        <v>122258.45</v>
      </c>
      <c r="AH86" s="319">
        <v>131775.07</v>
      </c>
      <c r="AI86" s="319">
        <v>133738</v>
      </c>
      <c r="AJ86" s="319"/>
      <c r="AK86" s="319"/>
      <c r="AL86" s="319"/>
      <c r="AM86" s="319"/>
      <c r="AN86" s="319"/>
      <c r="AO86" s="319">
        <v>115048.8</v>
      </c>
      <c r="AP86" s="319"/>
      <c r="AQ86" s="322"/>
      <c r="AR86" s="319"/>
      <c r="AS86" s="319"/>
      <c r="AT86" s="319"/>
      <c r="AU86" s="319"/>
      <c r="AV86" s="334"/>
      <c r="AW86" s="319" t="s">
        <v>68</v>
      </c>
      <c r="AX86" s="319">
        <v>81740.600000000006</v>
      </c>
      <c r="AY86" s="319">
        <v>96887.75</v>
      </c>
      <c r="AZ86" s="319">
        <v>118882.56</v>
      </c>
      <c r="BA86" s="319">
        <v>104432.5</v>
      </c>
      <c r="BB86" s="319">
        <v>123627.9</v>
      </c>
      <c r="BC86" s="319">
        <v>112411.45000000001</v>
      </c>
      <c r="BD86" s="319">
        <v>108090.40000000001</v>
      </c>
      <c r="BE86" s="319">
        <v>122258.45000000001</v>
      </c>
      <c r="BF86" s="319">
        <v>111536.55</v>
      </c>
      <c r="BG86" s="319">
        <v>118947.52999999998</v>
      </c>
      <c r="BH86" s="319"/>
      <c r="BI86" s="319"/>
      <c r="BJ86" s="319"/>
      <c r="BK86" s="319"/>
      <c r="BL86" s="319"/>
      <c r="BM86" s="319">
        <v>100155.33</v>
      </c>
      <c r="BN86" s="319"/>
      <c r="BO86" s="322"/>
      <c r="BP86" s="319"/>
      <c r="BQ86" s="319"/>
      <c r="BR86" s="319"/>
      <c r="BS86" s="319"/>
      <c r="BT86" s="334"/>
      <c r="BU86" s="322" t="s">
        <v>68</v>
      </c>
      <c r="BV86" s="322">
        <v>32696.240000000002</v>
      </c>
      <c r="BW86" s="322">
        <v>19377.55</v>
      </c>
      <c r="BX86" s="322">
        <v>39627.519999999997</v>
      </c>
      <c r="BY86" s="322">
        <v>20886.5</v>
      </c>
      <c r="BZ86" s="322">
        <v>20604.650000000001</v>
      </c>
      <c r="CA86" s="322">
        <v>22482.29</v>
      </c>
      <c r="CB86" s="322">
        <v>27022.6</v>
      </c>
      <c r="CC86" s="322">
        <v>24451.69</v>
      </c>
      <c r="CD86" s="322">
        <v>62597.26</v>
      </c>
      <c r="CE86" s="322">
        <v>34928.67</v>
      </c>
      <c r="CF86" s="322"/>
      <c r="CG86" s="322"/>
      <c r="CH86" s="322"/>
      <c r="CI86" s="322"/>
      <c r="CJ86" s="322"/>
      <c r="CK86" s="322">
        <v>26973.8</v>
      </c>
      <c r="CL86" s="322"/>
      <c r="CM86" s="322"/>
      <c r="CN86" s="322"/>
      <c r="CO86" s="322"/>
      <c r="CP86" s="322"/>
      <c r="CQ86" s="322"/>
      <c r="CR86" s="334"/>
      <c r="CS86" s="322" t="s">
        <v>68</v>
      </c>
      <c r="CT86" s="322">
        <v>130784.96000000001</v>
      </c>
      <c r="CU86" s="322">
        <v>232530.6</v>
      </c>
      <c r="CV86" s="322">
        <v>158510.07999999999</v>
      </c>
      <c r="CW86" s="322">
        <v>146205.5</v>
      </c>
      <c r="CX86" s="322">
        <v>144232.54999999999</v>
      </c>
      <c r="CY86" s="322">
        <v>134893.74</v>
      </c>
      <c r="CZ86" s="322">
        <v>459384.2</v>
      </c>
      <c r="DA86" s="322">
        <v>146710.14000000001</v>
      </c>
      <c r="DB86" s="322">
        <v>89432.999999999985</v>
      </c>
      <c r="DC86" s="322">
        <v>103002.43</v>
      </c>
      <c r="DD86" s="322"/>
      <c r="DE86" s="322"/>
      <c r="DF86" s="322"/>
      <c r="DG86" s="322"/>
      <c r="DH86" s="322"/>
      <c r="DI86" s="322">
        <v>194286.38</v>
      </c>
      <c r="DJ86" s="322"/>
      <c r="DK86" s="322"/>
      <c r="DL86" s="322"/>
      <c r="DM86" s="322"/>
      <c r="DN86" s="322"/>
      <c r="DO86" s="322"/>
      <c r="DP86" s="334"/>
      <c r="DQ86" s="322" t="s">
        <v>68</v>
      </c>
      <c r="DR86" s="322">
        <v>0</v>
      </c>
      <c r="DS86" s="322">
        <v>0</v>
      </c>
      <c r="DT86" s="322">
        <v>0</v>
      </c>
      <c r="DU86" s="322">
        <v>0</v>
      </c>
      <c r="DV86" s="322">
        <v>0</v>
      </c>
      <c r="DW86" s="322">
        <v>0</v>
      </c>
      <c r="DX86" s="322">
        <v>0</v>
      </c>
      <c r="DY86" s="322">
        <v>48903.38</v>
      </c>
      <c r="DZ86" s="322">
        <v>137343.32999999999</v>
      </c>
      <c r="EA86" s="322">
        <v>49095.18</v>
      </c>
      <c r="EB86" s="322"/>
      <c r="EC86" s="322"/>
      <c r="ED86" s="322"/>
      <c r="EE86" s="322"/>
      <c r="EF86" s="322"/>
      <c r="EG86" s="322">
        <v>427908.16999999993</v>
      </c>
      <c r="EH86" s="322"/>
      <c r="EI86" s="322"/>
      <c r="EJ86" s="322"/>
      <c r="EK86" s="322"/>
      <c r="EL86" s="322"/>
      <c r="EM86" s="322"/>
      <c r="EN86" s="334"/>
      <c r="EO86" s="322" t="s">
        <v>68</v>
      </c>
      <c r="EP86" s="322">
        <v>32696.240000000002</v>
      </c>
      <c r="EQ86" s="322">
        <v>19377.55</v>
      </c>
      <c r="ER86" s="322">
        <v>39627.519999999997</v>
      </c>
      <c r="ES86" s="322">
        <v>41773</v>
      </c>
      <c r="ET86" s="322">
        <v>41209.300000000003</v>
      </c>
      <c r="EU86" s="322">
        <v>44964.58</v>
      </c>
      <c r="EV86" s="322">
        <v>54045.2</v>
      </c>
      <c r="EW86" s="322">
        <v>48903.38</v>
      </c>
      <c r="EX86" s="322">
        <v>54734.969999999994</v>
      </c>
      <c r="EY86" s="322">
        <v>57656.54</v>
      </c>
      <c r="EZ86" s="322"/>
      <c r="FA86" s="322"/>
      <c r="FB86" s="322"/>
      <c r="FC86" s="322"/>
      <c r="FD86" s="322"/>
      <c r="FE86" s="322">
        <v>56059.240000000005</v>
      </c>
      <c r="FF86" s="322"/>
      <c r="FG86" s="322"/>
      <c r="FH86" s="322"/>
      <c r="FI86" s="322"/>
      <c r="FJ86" s="322"/>
      <c r="FK86" s="322"/>
      <c r="FL86" s="334"/>
      <c r="FM86" s="322" t="s">
        <v>68</v>
      </c>
      <c r="FN86" s="322">
        <v>114436.84</v>
      </c>
      <c r="FO86" s="322">
        <v>116265.3</v>
      </c>
      <c r="FP86" s="322">
        <v>118882.56</v>
      </c>
      <c r="FQ86" s="322">
        <v>125319</v>
      </c>
      <c r="FR86" s="322">
        <v>123627.9</v>
      </c>
      <c r="FS86" s="322">
        <v>134893.74</v>
      </c>
      <c r="FT86" s="322">
        <v>135113</v>
      </c>
      <c r="FU86" s="322">
        <v>122258.45</v>
      </c>
      <c r="FV86" s="322">
        <v>131348.57</v>
      </c>
      <c r="FW86" s="322">
        <v>139584.93</v>
      </c>
      <c r="FX86" s="322"/>
      <c r="FY86" s="322"/>
      <c r="FZ86" s="322"/>
      <c r="GA86" s="322"/>
      <c r="GB86" s="322"/>
      <c r="GC86" s="322">
        <v>146109.09</v>
      </c>
      <c r="GD86" s="322"/>
      <c r="GE86" s="322"/>
      <c r="GF86" s="340"/>
      <c r="GG86" s="704"/>
      <c r="GH86" s="704"/>
      <c r="GI86" s="704"/>
      <c r="GJ86" s="334"/>
      <c r="GK86" s="322" t="s">
        <v>68</v>
      </c>
      <c r="GL86" s="322">
        <v>81740.600000000006</v>
      </c>
      <c r="GM86" s="322">
        <v>96887.75</v>
      </c>
      <c r="GN86" s="322">
        <v>79255.039999999994</v>
      </c>
      <c r="GO86" s="322">
        <v>104432.5</v>
      </c>
      <c r="GP86" s="322">
        <v>103023.25</v>
      </c>
      <c r="GQ86" s="322">
        <v>112411.45</v>
      </c>
      <c r="GR86" s="322">
        <v>135113</v>
      </c>
      <c r="GS86" s="322">
        <v>97806.76</v>
      </c>
      <c r="GT86" s="322">
        <v>115071.91999999998</v>
      </c>
      <c r="GU86" s="322">
        <v>118711.59999999999</v>
      </c>
      <c r="GV86" s="322"/>
      <c r="GW86" s="322"/>
      <c r="GX86" s="322"/>
      <c r="GY86" s="322"/>
      <c r="GZ86" s="322"/>
      <c r="HA86" s="322">
        <v>90308.32</v>
      </c>
      <c r="HB86" s="322"/>
      <c r="HC86" s="322"/>
      <c r="HD86" s="322"/>
      <c r="HE86" s="322"/>
      <c r="HF86" s="322"/>
      <c r="HG86" s="322"/>
      <c r="HH86" s="334"/>
      <c r="HI86" s="322" t="s">
        <v>68</v>
      </c>
      <c r="HJ86" s="322">
        <v>16348.12</v>
      </c>
      <c r="HK86" s="322">
        <v>19377.55</v>
      </c>
      <c r="HL86" s="322">
        <v>19813.759999999998</v>
      </c>
      <c r="HM86" s="322">
        <v>20886.5</v>
      </c>
      <c r="HN86" s="322">
        <v>20604.650000000001</v>
      </c>
      <c r="HO86" s="322">
        <v>0</v>
      </c>
      <c r="HP86" s="322">
        <v>0</v>
      </c>
      <c r="HQ86" s="322">
        <v>24451.69</v>
      </c>
      <c r="HR86" s="322">
        <v>20386.969999999998</v>
      </c>
      <c r="HS86" s="322">
        <v>22270.080000000002</v>
      </c>
      <c r="HT86" s="322"/>
      <c r="HU86" s="322"/>
      <c r="HV86" s="322"/>
      <c r="HW86" s="322"/>
      <c r="HX86" s="322"/>
      <c r="HY86" s="322">
        <v>58715.87</v>
      </c>
      <c r="HZ86" s="322"/>
      <c r="IA86" s="322"/>
      <c r="IB86" s="322"/>
      <c r="IC86" s="322"/>
      <c r="ID86" s="322"/>
      <c r="IE86" s="322"/>
      <c r="IF86" s="334"/>
      <c r="IG86" s="322" t="s">
        <v>68</v>
      </c>
      <c r="IH86" s="322">
        <v>32696.240000000002</v>
      </c>
      <c r="II86" s="322">
        <v>19377.55</v>
      </c>
      <c r="IJ86" s="322">
        <v>39627.519999999997</v>
      </c>
      <c r="IK86" s="322">
        <v>41773</v>
      </c>
      <c r="IL86" s="322">
        <v>41209.300000000003</v>
      </c>
      <c r="IM86" s="322">
        <v>44964.58</v>
      </c>
      <c r="IN86" s="322">
        <v>27022.6</v>
      </c>
      <c r="IO86" s="322">
        <v>48903.38</v>
      </c>
      <c r="IP86" s="322">
        <v>3044.16</v>
      </c>
      <c r="IQ86" s="322">
        <v>40594.590000000004</v>
      </c>
      <c r="IR86" s="322"/>
      <c r="IS86" s="322"/>
      <c r="IT86" s="322"/>
      <c r="IU86" s="322"/>
      <c r="IV86" s="322"/>
      <c r="IW86" s="322"/>
      <c r="IX86" s="322"/>
      <c r="IY86" s="322"/>
      <c r="IZ86" s="322"/>
      <c r="JA86" s="322"/>
      <c r="JB86" s="322"/>
      <c r="JC86" s="322"/>
      <c r="JD86" s="334"/>
      <c r="JE86" s="322" t="s">
        <v>68</v>
      </c>
      <c r="JF86" s="322">
        <v>16348.12</v>
      </c>
      <c r="JG86" s="322">
        <v>19377.55</v>
      </c>
      <c r="JH86" s="322">
        <v>19813.759999999998</v>
      </c>
      <c r="JI86" s="322">
        <v>0</v>
      </c>
      <c r="JJ86" s="322">
        <v>0</v>
      </c>
      <c r="JK86" s="322">
        <v>0</v>
      </c>
      <c r="JL86" s="322">
        <v>0</v>
      </c>
      <c r="JM86" s="322">
        <v>0</v>
      </c>
      <c r="JN86" s="322">
        <v>20</v>
      </c>
      <c r="JO86" s="322">
        <v>1176.67</v>
      </c>
      <c r="JP86" s="322"/>
      <c r="JQ86" s="322"/>
      <c r="JR86" s="322"/>
      <c r="JS86" s="322"/>
      <c r="JT86" s="322"/>
      <c r="JU86" s="322">
        <v>13160.63</v>
      </c>
      <c r="JV86" s="322"/>
      <c r="JW86" s="322"/>
      <c r="JX86" s="322"/>
      <c r="JY86" s="322"/>
      <c r="JZ86" s="322"/>
      <c r="KA86" s="322"/>
      <c r="KB86" s="334"/>
      <c r="KC86" s="322" t="s">
        <v>68</v>
      </c>
      <c r="KD86" s="322">
        <v>16348.12</v>
      </c>
      <c r="KE86" s="322">
        <v>38755.1</v>
      </c>
      <c r="KF86" s="322">
        <v>39627.519999999997</v>
      </c>
      <c r="KG86" s="322">
        <v>20886.5</v>
      </c>
      <c r="KH86" s="322">
        <v>61813.95</v>
      </c>
      <c r="KI86" s="322">
        <v>67446.87</v>
      </c>
      <c r="KJ86" s="322">
        <v>81067.8</v>
      </c>
      <c r="KK86" s="322">
        <v>73355.070000000007</v>
      </c>
      <c r="KL86" s="322">
        <v>70083.070000000007</v>
      </c>
      <c r="KM86" s="322">
        <v>82631.8</v>
      </c>
      <c r="KN86" s="322"/>
      <c r="KO86" s="322"/>
      <c r="KP86" s="322"/>
      <c r="KQ86" s="322"/>
      <c r="KR86" s="322"/>
      <c r="KS86" s="322">
        <v>74702.75</v>
      </c>
      <c r="KT86" s="322"/>
      <c r="KU86" s="322"/>
      <c r="KV86" s="322"/>
      <c r="KW86" s="322"/>
      <c r="KX86" s="322"/>
      <c r="KY86" s="322"/>
      <c r="KZ86" s="334"/>
      <c r="LA86" s="322" t="s">
        <v>68</v>
      </c>
      <c r="LB86" s="322">
        <v>179829.32</v>
      </c>
      <c r="LC86" s="322">
        <v>213153.05</v>
      </c>
      <c r="LD86" s="322">
        <v>158510.07999999999</v>
      </c>
      <c r="LE86" s="322">
        <v>167092</v>
      </c>
      <c r="LF86" s="322">
        <v>144232.54999999999</v>
      </c>
      <c r="LG86" s="322">
        <v>67446.87</v>
      </c>
      <c r="LH86" s="322">
        <v>81067.8</v>
      </c>
      <c r="LI86" s="322">
        <v>195613.52</v>
      </c>
      <c r="LJ86" s="322">
        <v>112651.67000000001</v>
      </c>
      <c r="LK86" s="322">
        <v>231013.66000000003</v>
      </c>
      <c r="LL86" s="322"/>
      <c r="LM86" s="322"/>
      <c r="LN86" s="322"/>
      <c r="LO86" s="322"/>
      <c r="LP86" s="322"/>
      <c r="LQ86" s="322">
        <v>546511.75</v>
      </c>
      <c r="LR86" s="322"/>
      <c r="LS86" s="322"/>
      <c r="LT86" s="322"/>
      <c r="LU86" s="322"/>
      <c r="LV86" s="322"/>
      <c r="LW86" s="322"/>
      <c r="LX86" s="334"/>
      <c r="LY86" s="322" t="s">
        <v>68</v>
      </c>
      <c r="LZ86" s="322">
        <v>261569.92000000001</v>
      </c>
      <c r="MA86" s="322">
        <v>310040.8</v>
      </c>
      <c r="MB86" s="322">
        <v>336833.92</v>
      </c>
      <c r="MC86" s="322">
        <v>375957</v>
      </c>
      <c r="MD86" s="322">
        <v>350279.05</v>
      </c>
      <c r="ME86" s="322">
        <v>382198.93</v>
      </c>
      <c r="MF86" s="322">
        <v>405339</v>
      </c>
      <c r="MG86" s="322">
        <v>415678.73</v>
      </c>
      <c r="MH86" s="322">
        <v>456278.85000000003</v>
      </c>
      <c r="MI86" s="322">
        <v>491795.17000000004</v>
      </c>
      <c r="MJ86" s="322"/>
      <c r="MK86" s="322"/>
      <c r="ML86" s="322"/>
      <c r="MM86" s="322"/>
      <c r="MN86" s="322"/>
      <c r="MO86" s="322">
        <v>462859.95</v>
      </c>
      <c r="MP86" s="322"/>
      <c r="MQ86" s="322"/>
      <c r="MR86" s="322"/>
      <c r="MS86" s="322"/>
      <c r="MT86" s="322"/>
      <c r="MU86" s="322"/>
      <c r="MV86" s="334"/>
      <c r="MW86" s="322" t="s">
        <v>68</v>
      </c>
      <c r="MX86" s="322">
        <v>326962.40000000002</v>
      </c>
      <c r="MY86" s="322">
        <v>368173.45</v>
      </c>
      <c r="MZ86" s="322">
        <v>435902.71999999997</v>
      </c>
      <c r="NA86" s="322">
        <v>501276</v>
      </c>
      <c r="NB86" s="322">
        <v>494511.6</v>
      </c>
      <c r="NC86" s="322">
        <v>539574.96</v>
      </c>
      <c r="ND86" s="322">
        <v>621519.80000000005</v>
      </c>
      <c r="NE86" s="322">
        <v>611292.25</v>
      </c>
      <c r="NF86" s="322">
        <v>693720.37999999989</v>
      </c>
      <c r="NG86" s="322">
        <v>1108436.8699999999</v>
      </c>
      <c r="NH86" s="322"/>
      <c r="NI86" s="322"/>
      <c r="NJ86" s="322"/>
      <c r="NK86" s="322"/>
      <c r="NL86" s="322"/>
      <c r="NM86" s="322">
        <v>1280938.6300000004</v>
      </c>
      <c r="NN86" s="322"/>
      <c r="NO86" s="322"/>
      <c r="NP86" s="322"/>
      <c r="NQ86" s="322"/>
      <c r="NR86" s="322"/>
      <c r="NS86" s="322"/>
      <c r="NT86" s="334"/>
      <c r="NU86" s="322" t="s">
        <v>68</v>
      </c>
      <c r="NV86" s="322">
        <v>147133.07999999999</v>
      </c>
      <c r="NW86" s="322">
        <v>174397.95</v>
      </c>
      <c r="NX86" s="322">
        <v>158510.07999999999</v>
      </c>
      <c r="NY86" s="322">
        <v>208865</v>
      </c>
      <c r="NZ86" s="322">
        <v>226651.15</v>
      </c>
      <c r="OA86" s="322">
        <v>247305.19</v>
      </c>
      <c r="OB86" s="322">
        <v>243203.4</v>
      </c>
      <c r="OC86" s="322">
        <v>293420.28000000003</v>
      </c>
      <c r="OD86" s="322">
        <v>294816.59999999998</v>
      </c>
      <c r="OE86" s="322">
        <v>322293.31</v>
      </c>
      <c r="OF86" s="322"/>
      <c r="OG86" s="322"/>
      <c r="OH86" s="322"/>
      <c r="OI86" s="322"/>
      <c r="OJ86" s="322"/>
      <c r="OK86" s="322">
        <v>278490.33</v>
      </c>
      <c r="OL86" s="322"/>
      <c r="OM86" s="322"/>
      <c r="ON86" s="322"/>
      <c r="OO86" s="322"/>
      <c r="OP86" s="322"/>
      <c r="OQ86" s="322"/>
      <c r="OR86" s="334"/>
      <c r="OS86" s="322" t="s">
        <v>68</v>
      </c>
      <c r="OT86" s="322">
        <v>49044.36</v>
      </c>
      <c r="OU86" s="322">
        <v>77510.2</v>
      </c>
      <c r="OV86" s="322">
        <v>79255.039999999994</v>
      </c>
      <c r="OW86" s="322">
        <v>62659.5</v>
      </c>
      <c r="OX86" s="322">
        <v>20604.650000000001</v>
      </c>
      <c r="OY86" s="322">
        <v>22482.29</v>
      </c>
      <c r="OZ86" s="322">
        <v>27022.6</v>
      </c>
      <c r="PA86" s="322">
        <v>24451.69</v>
      </c>
      <c r="PB86" s="322">
        <v>17258.62</v>
      </c>
      <c r="PC86" s="322">
        <v>9448.0499999999993</v>
      </c>
      <c r="PD86" s="322"/>
      <c r="PE86" s="322"/>
      <c r="PF86" s="322"/>
      <c r="PG86" s="322"/>
      <c r="PH86" s="322"/>
      <c r="PI86" s="322">
        <v>13747.67</v>
      </c>
      <c r="PJ86" s="322"/>
      <c r="PK86" s="322"/>
      <c r="PL86" s="322"/>
      <c r="PM86" s="322"/>
      <c r="PN86" s="322"/>
      <c r="PO86" s="322"/>
      <c r="PP86" s="334"/>
      <c r="PQ86" s="322" t="s">
        <v>68</v>
      </c>
      <c r="PR86" s="322">
        <v>16348.12</v>
      </c>
      <c r="PS86" s="322">
        <v>19377.55</v>
      </c>
      <c r="PT86" s="322">
        <v>19813.759999999998</v>
      </c>
      <c r="PU86" s="322">
        <v>20886.5</v>
      </c>
      <c r="PV86" s="322">
        <v>20604.650000000001</v>
      </c>
      <c r="PW86" s="322">
        <v>22482.29</v>
      </c>
      <c r="PX86" s="322">
        <v>27022.6</v>
      </c>
      <c r="PY86" s="322">
        <v>24451.69</v>
      </c>
      <c r="PZ86" s="322">
        <v>26713.06</v>
      </c>
      <c r="QA86" s="322">
        <v>23434.560000000001</v>
      </c>
      <c r="QB86" s="322"/>
      <c r="QC86" s="322"/>
      <c r="QD86" s="322"/>
      <c r="QE86" s="322"/>
      <c r="QF86" s="322"/>
      <c r="QG86" s="322">
        <v>22191.98</v>
      </c>
      <c r="QH86" s="322"/>
      <c r="QI86" s="322"/>
      <c r="QJ86" s="322"/>
      <c r="QK86" s="322"/>
      <c r="QL86" s="322"/>
      <c r="QM86" s="322"/>
      <c r="QN86" s="334"/>
      <c r="QO86" s="322" t="s">
        <v>68</v>
      </c>
      <c r="QP86" s="322">
        <v>0</v>
      </c>
      <c r="QQ86" s="322">
        <v>0</v>
      </c>
      <c r="QR86" s="322">
        <v>19813.759999999998</v>
      </c>
      <c r="QS86" s="322">
        <v>0</v>
      </c>
      <c r="QT86" s="322">
        <v>0</v>
      </c>
      <c r="QU86" s="322">
        <v>112411.45</v>
      </c>
      <c r="QV86" s="322">
        <v>135113</v>
      </c>
      <c r="QW86" s="322">
        <v>0</v>
      </c>
      <c r="QX86" s="322">
        <v>6000</v>
      </c>
      <c r="QY86" s="322">
        <v>0</v>
      </c>
      <c r="QZ86" s="322"/>
      <c r="RA86" s="322"/>
      <c r="RB86" s="322"/>
      <c r="RC86" s="322"/>
      <c r="RD86" s="322"/>
      <c r="RE86" s="322">
        <v>17025.989999999998</v>
      </c>
      <c r="RF86" s="322"/>
      <c r="RG86" s="322"/>
      <c r="RH86" s="322"/>
      <c r="RI86" s="322"/>
      <c r="RJ86" s="322"/>
      <c r="RK86" s="322"/>
      <c r="RL86" s="334"/>
      <c r="RM86" s="322" t="s">
        <v>68</v>
      </c>
      <c r="RN86" s="322">
        <v>0</v>
      </c>
      <c r="RO86" s="322">
        <v>0</v>
      </c>
      <c r="RP86" s="322">
        <v>0</v>
      </c>
      <c r="RQ86" s="322">
        <v>0</v>
      </c>
      <c r="RR86" s="322">
        <v>0</v>
      </c>
      <c r="RS86" s="322">
        <v>44964.58</v>
      </c>
      <c r="RT86" s="322">
        <v>0</v>
      </c>
      <c r="RU86" s="322">
        <v>0</v>
      </c>
      <c r="RV86" s="322">
        <v>0</v>
      </c>
      <c r="RW86" s="322">
        <v>0</v>
      </c>
      <c r="RX86" s="322"/>
      <c r="RY86" s="322"/>
      <c r="RZ86" s="322"/>
      <c r="SA86" s="322"/>
      <c r="SB86" s="322"/>
      <c r="SC86" s="322">
        <v>0</v>
      </c>
      <c r="SD86" s="322"/>
      <c r="SE86" s="322"/>
      <c r="SF86" s="322"/>
      <c r="SG86" s="322"/>
      <c r="SH86" s="322"/>
      <c r="SI86" s="322"/>
    </row>
    <row r="87" spans="1:503">
      <c r="A87" s="319" t="s">
        <v>69</v>
      </c>
      <c r="B87" s="319">
        <v>666024</v>
      </c>
      <c r="C87" s="319">
        <v>578213</v>
      </c>
      <c r="D87" s="319">
        <v>617508</v>
      </c>
      <c r="E87" s="319">
        <v>665525</v>
      </c>
      <c r="F87" s="319">
        <v>679530</v>
      </c>
      <c r="G87" s="319">
        <v>733603</v>
      </c>
      <c r="H87" s="319">
        <v>819952</v>
      </c>
      <c r="I87" s="319">
        <v>916694</v>
      </c>
      <c r="J87" s="319">
        <v>1067223.1300000001</v>
      </c>
      <c r="K87" s="319">
        <v>961206.26</v>
      </c>
      <c r="L87" s="319">
        <v>1012436.8300000001</v>
      </c>
      <c r="M87" s="319">
        <v>1155475.1300000001</v>
      </c>
      <c r="N87" s="319">
        <v>1076756.75</v>
      </c>
      <c r="O87" s="319">
        <v>1081883.82</v>
      </c>
      <c r="P87" s="319"/>
      <c r="Q87" s="319"/>
      <c r="R87" s="319"/>
      <c r="S87" s="322"/>
      <c r="T87" s="319"/>
      <c r="U87" s="319"/>
      <c r="V87" s="319"/>
      <c r="W87" s="319"/>
      <c r="X87" s="330"/>
      <c r="Y87" s="319" t="s">
        <v>69</v>
      </c>
      <c r="Z87" s="319">
        <v>46621.68</v>
      </c>
      <c r="AA87" s="319">
        <v>40474.910000000003</v>
      </c>
      <c r="AB87" s="319">
        <v>43225.56</v>
      </c>
      <c r="AC87" s="319">
        <v>59897.25</v>
      </c>
      <c r="AD87" s="319">
        <v>61157.7</v>
      </c>
      <c r="AE87" s="319">
        <v>58688.24</v>
      </c>
      <c r="AF87" s="319">
        <v>58688.24</v>
      </c>
      <c r="AG87" s="319">
        <v>64168.58</v>
      </c>
      <c r="AH87" s="319">
        <v>69059.289999999994</v>
      </c>
      <c r="AI87" s="319">
        <v>82989.14</v>
      </c>
      <c r="AJ87" s="319">
        <v>69511.72</v>
      </c>
      <c r="AK87" s="319">
        <v>116272.95000000001</v>
      </c>
      <c r="AL87" s="319">
        <v>81304.73</v>
      </c>
      <c r="AM87" s="319">
        <v>84145.37000000001</v>
      </c>
      <c r="AN87" s="319"/>
      <c r="AO87" s="319"/>
      <c r="AP87" s="319"/>
      <c r="AQ87" s="322"/>
      <c r="AR87" s="319"/>
      <c r="AS87" s="319"/>
      <c r="AT87" s="319"/>
      <c r="AU87" s="319"/>
      <c r="AV87" s="334"/>
      <c r="AW87" s="319" t="s">
        <v>69</v>
      </c>
      <c r="AX87" s="319">
        <v>46621.680000000008</v>
      </c>
      <c r="AY87" s="319">
        <v>46257.04</v>
      </c>
      <c r="AZ87" s="319">
        <v>43225.560000000005</v>
      </c>
      <c r="BA87" s="319">
        <v>46586.750000000007</v>
      </c>
      <c r="BB87" s="319">
        <v>47567.100000000006</v>
      </c>
      <c r="BC87" s="319">
        <v>44016.18</v>
      </c>
      <c r="BD87" s="319">
        <v>49197.119999999995</v>
      </c>
      <c r="BE87" s="319">
        <v>45834.700000000004</v>
      </c>
      <c r="BF87" s="319">
        <v>49782.44</v>
      </c>
      <c r="BG87" s="319">
        <v>51744.979999999996</v>
      </c>
      <c r="BH87" s="319">
        <v>67840.320000000007</v>
      </c>
      <c r="BI87" s="319">
        <v>72199.97</v>
      </c>
      <c r="BJ87" s="319">
        <v>54155.679999999993</v>
      </c>
      <c r="BK87" s="319">
        <v>58087.54</v>
      </c>
      <c r="BL87" s="319"/>
      <c r="BM87" s="319"/>
      <c r="BN87" s="319"/>
      <c r="BO87" s="322"/>
      <c r="BP87" s="319"/>
      <c r="BQ87" s="319"/>
      <c r="BR87" s="319"/>
      <c r="BS87" s="319"/>
      <c r="BT87" s="334"/>
      <c r="BU87" s="322" t="s">
        <v>69</v>
      </c>
      <c r="BV87" s="322">
        <v>26640.959999999999</v>
      </c>
      <c r="BW87" s="322">
        <v>11564.26</v>
      </c>
      <c r="BX87" s="322">
        <v>24700.32</v>
      </c>
      <c r="BY87" s="322">
        <v>13310.5</v>
      </c>
      <c r="BZ87" s="322">
        <v>33976.5</v>
      </c>
      <c r="CA87" s="322">
        <v>7336.03</v>
      </c>
      <c r="CB87" s="322">
        <v>32798.080000000002</v>
      </c>
      <c r="CC87" s="322">
        <v>9166.94</v>
      </c>
      <c r="CD87" s="322">
        <v>37416.21</v>
      </c>
      <c r="CE87" s="322">
        <v>9614.7100000000009</v>
      </c>
      <c r="CF87" s="322">
        <v>46231.7</v>
      </c>
      <c r="CG87" s="322">
        <v>14373.71</v>
      </c>
      <c r="CH87" s="322">
        <v>58755.82</v>
      </c>
      <c r="CI87" s="322">
        <v>18887.599999999999</v>
      </c>
      <c r="CJ87" s="322"/>
      <c r="CK87" s="322"/>
      <c r="CL87" s="322"/>
      <c r="CM87" s="322"/>
      <c r="CN87" s="322"/>
      <c r="CO87" s="322"/>
      <c r="CP87" s="322"/>
      <c r="CQ87" s="322"/>
      <c r="CR87" s="334"/>
      <c r="CS87" s="322" t="s">
        <v>69</v>
      </c>
      <c r="CT87" s="322">
        <v>33301.199999999997</v>
      </c>
      <c r="CU87" s="322">
        <v>23128.52</v>
      </c>
      <c r="CV87" s="322">
        <v>24700.32</v>
      </c>
      <c r="CW87" s="322">
        <v>33276.25</v>
      </c>
      <c r="CX87" s="322">
        <v>27181.200000000001</v>
      </c>
      <c r="CY87" s="322">
        <v>36680.15</v>
      </c>
      <c r="CZ87" s="322">
        <v>32798.080000000002</v>
      </c>
      <c r="DA87" s="322">
        <v>45834.7</v>
      </c>
      <c r="DB87" s="322">
        <v>49797.049999999996</v>
      </c>
      <c r="DC87" s="322">
        <v>55589.909999999996</v>
      </c>
      <c r="DD87" s="322">
        <v>49735.6</v>
      </c>
      <c r="DE87" s="322">
        <v>70077.259999999995</v>
      </c>
      <c r="DF87" s="322">
        <v>56940.959999999999</v>
      </c>
      <c r="DG87" s="322">
        <v>64787.569999999992</v>
      </c>
      <c r="DH87" s="322"/>
      <c r="DI87" s="322"/>
      <c r="DJ87" s="322"/>
      <c r="DK87" s="322"/>
      <c r="DL87" s="322"/>
      <c r="DM87" s="322"/>
      <c r="DN87" s="322"/>
      <c r="DO87" s="322"/>
      <c r="DP87" s="334"/>
      <c r="DQ87" s="322" t="s">
        <v>69</v>
      </c>
      <c r="DR87" s="322">
        <v>39961.440000000002</v>
      </c>
      <c r="DS87" s="322">
        <v>34692.78</v>
      </c>
      <c r="DT87" s="322">
        <v>30875.4</v>
      </c>
      <c r="DU87" s="322">
        <v>39931.5</v>
      </c>
      <c r="DV87" s="322">
        <v>33976.5</v>
      </c>
      <c r="DW87" s="322">
        <v>36680.15</v>
      </c>
      <c r="DX87" s="322">
        <v>40997.599999999999</v>
      </c>
      <c r="DY87" s="322">
        <v>45834.7</v>
      </c>
      <c r="DZ87" s="322">
        <v>46790.829999999994</v>
      </c>
      <c r="EA87" s="322">
        <v>81637.19</v>
      </c>
      <c r="EB87" s="322">
        <v>87396.76</v>
      </c>
      <c r="EC87" s="322">
        <v>85258.069999999992</v>
      </c>
      <c r="ED87" s="322">
        <v>86871.41</v>
      </c>
      <c r="EE87" s="322">
        <v>80973.549999999988</v>
      </c>
      <c r="EF87" s="322"/>
      <c r="EG87" s="322"/>
      <c r="EH87" s="322"/>
      <c r="EI87" s="322"/>
      <c r="EJ87" s="322"/>
      <c r="EK87" s="322"/>
      <c r="EL87" s="322"/>
      <c r="EM87" s="322"/>
      <c r="EN87" s="334"/>
      <c r="EO87" s="322" t="s">
        <v>69</v>
      </c>
      <c r="EP87" s="322">
        <v>13320.48</v>
      </c>
      <c r="EQ87" s="322">
        <v>17346.39</v>
      </c>
      <c r="ER87" s="322">
        <v>18525.240000000002</v>
      </c>
      <c r="ES87" s="322">
        <v>19965.75</v>
      </c>
      <c r="ET87" s="322">
        <v>20385.900000000001</v>
      </c>
      <c r="EU87" s="322">
        <v>22008.09</v>
      </c>
      <c r="EV87" s="322">
        <v>24598.560000000001</v>
      </c>
      <c r="EW87" s="322">
        <v>18333.88</v>
      </c>
      <c r="EX87" s="322">
        <v>22228.420000000002</v>
      </c>
      <c r="EY87" s="322">
        <v>23646.43</v>
      </c>
      <c r="EZ87" s="322">
        <v>22198.010000000002</v>
      </c>
      <c r="FA87" s="322">
        <v>33556.97</v>
      </c>
      <c r="FB87" s="322">
        <v>33609.049999999996</v>
      </c>
      <c r="FC87" s="322">
        <v>33398.29</v>
      </c>
      <c r="FD87" s="322"/>
      <c r="FE87" s="322"/>
      <c r="FF87" s="322"/>
      <c r="FG87" s="322"/>
      <c r="FH87" s="322"/>
      <c r="FI87" s="322"/>
      <c r="FJ87" s="322"/>
      <c r="FK87" s="322"/>
      <c r="FL87" s="334"/>
      <c r="FM87" s="322" t="s">
        <v>69</v>
      </c>
      <c r="FN87" s="322">
        <v>53281.919999999998</v>
      </c>
      <c r="FO87" s="322">
        <v>52039.17</v>
      </c>
      <c r="FP87" s="322">
        <v>55575.72</v>
      </c>
      <c r="FQ87" s="322">
        <v>53242</v>
      </c>
      <c r="FR87" s="322">
        <v>54362.400000000001</v>
      </c>
      <c r="FS87" s="322">
        <v>51352.21</v>
      </c>
      <c r="FT87" s="322">
        <v>49197.120000000003</v>
      </c>
      <c r="FU87" s="322">
        <v>55001.64</v>
      </c>
      <c r="FV87" s="322">
        <v>53931.049999999996</v>
      </c>
      <c r="FW87" s="322">
        <v>52762.97</v>
      </c>
      <c r="FX87" s="322">
        <v>55014.920000000006</v>
      </c>
      <c r="FY87" s="322">
        <v>60418.16</v>
      </c>
      <c r="FZ87" s="322">
        <v>57338.94</v>
      </c>
      <c r="GA87" s="322">
        <v>58483.820000000007</v>
      </c>
      <c r="GB87" s="322"/>
      <c r="GC87" s="322"/>
      <c r="GD87" s="322"/>
      <c r="GE87" s="322"/>
      <c r="GF87" s="340"/>
      <c r="GG87" s="704"/>
      <c r="GH87" s="704"/>
      <c r="GI87" s="704"/>
      <c r="GJ87" s="334"/>
      <c r="GK87" s="322" t="s">
        <v>69</v>
      </c>
      <c r="GL87" s="322">
        <v>0</v>
      </c>
      <c r="GM87" s="322">
        <v>0</v>
      </c>
      <c r="GN87" s="322">
        <v>0</v>
      </c>
      <c r="GO87" s="322">
        <v>0</v>
      </c>
      <c r="GP87" s="322">
        <v>0</v>
      </c>
      <c r="GQ87" s="322">
        <v>0</v>
      </c>
      <c r="GR87" s="322">
        <v>0</v>
      </c>
      <c r="GS87" s="322">
        <v>0</v>
      </c>
      <c r="GT87" s="322">
        <v>0</v>
      </c>
      <c r="GU87" s="322">
        <v>0</v>
      </c>
      <c r="GV87" s="322">
        <v>0</v>
      </c>
      <c r="GW87" s="322">
        <v>0</v>
      </c>
      <c r="GX87" s="322">
        <v>0</v>
      </c>
      <c r="GY87" s="322">
        <v>0</v>
      </c>
      <c r="GZ87" s="322"/>
      <c r="HA87" s="322"/>
      <c r="HB87" s="322"/>
      <c r="HC87" s="322"/>
      <c r="HD87" s="322"/>
      <c r="HE87" s="322"/>
      <c r="HF87" s="322"/>
      <c r="HG87" s="322"/>
      <c r="HH87" s="334"/>
      <c r="HI87" s="322" t="s">
        <v>69</v>
      </c>
      <c r="HJ87" s="322">
        <v>26640.959999999999</v>
      </c>
      <c r="HK87" s="322">
        <v>17346.39</v>
      </c>
      <c r="HL87" s="322">
        <v>18525.240000000002</v>
      </c>
      <c r="HM87" s="322">
        <v>19965.75</v>
      </c>
      <c r="HN87" s="322">
        <v>20385.900000000001</v>
      </c>
      <c r="HO87" s="322">
        <v>14672.06</v>
      </c>
      <c r="HP87" s="322">
        <v>16399.04</v>
      </c>
      <c r="HQ87" s="322">
        <v>18333.88</v>
      </c>
      <c r="HR87" s="322">
        <v>19655.98</v>
      </c>
      <c r="HS87" s="322">
        <v>20640.059999999998</v>
      </c>
      <c r="HT87" s="322">
        <v>21322.61</v>
      </c>
      <c r="HU87" s="322">
        <v>22618.39</v>
      </c>
      <c r="HV87" s="322">
        <v>24477.77</v>
      </c>
      <c r="HW87" s="322">
        <v>26268.070000000003</v>
      </c>
      <c r="HX87" s="322"/>
      <c r="HY87" s="322"/>
      <c r="HZ87" s="322"/>
      <c r="IA87" s="322"/>
      <c r="IB87" s="322"/>
      <c r="IC87" s="322"/>
      <c r="ID87" s="322"/>
      <c r="IE87" s="322"/>
      <c r="IF87" s="334"/>
      <c r="IG87" s="322" t="s">
        <v>69</v>
      </c>
      <c r="IH87" s="322">
        <v>6660.24</v>
      </c>
      <c r="II87" s="322">
        <v>5782.13</v>
      </c>
      <c r="IJ87" s="322">
        <v>6175.08</v>
      </c>
      <c r="IK87" s="322">
        <v>6655.25</v>
      </c>
      <c r="IL87" s="322">
        <v>6795.3</v>
      </c>
      <c r="IM87" s="322">
        <v>7336.03</v>
      </c>
      <c r="IN87" s="322">
        <v>8199.52</v>
      </c>
      <c r="IO87" s="322">
        <v>0</v>
      </c>
      <c r="IP87" s="322">
        <v>1536.3799999999999</v>
      </c>
      <c r="IQ87" s="322">
        <v>4657.2800000000007</v>
      </c>
      <c r="IR87" s="322">
        <v>4028.21</v>
      </c>
      <c r="IS87" s="322">
        <v>3015.88</v>
      </c>
      <c r="IT87" s="322">
        <v>1198.93</v>
      </c>
      <c r="IU87" s="322">
        <v>985.56</v>
      </c>
      <c r="IV87" s="322"/>
      <c r="IW87" s="322"/>
      <c r="IX87" s="322"/>
      <c r="IY87" s="322"/>
      <c r="IZ87" s="322"/>
      <c r="JA87" s="322"/>
      <c r="JB87" s="322"/>
      <c r="JC87" s="322"/>
      <c r="JD87" s="334"/>
      <c r="JE87" s="322" t="s">
        <v>69</v>
      </c>
      <c r="JF87" s="322">
        <v>0</v>
      </c>
      <c r="JG87" s="322">
        <v>0</v>
      </c>
      <c r="JH87" s="322">
        <v>6175.08</v>
      </c>
      <c r="JI87" s="322">
        <v>6655.25</v>
      </c>
      <c r="JJ87" s="322">
        <v>6795.3</v>
      </c>
      <c r="JK87" s="322">
        <v>0</v>
      </c>
      <c r="JL87" s="322">
        <v>0</v>
      </c>
      <c r="JM87" s="322">
        <v>9166.94</v>
      </c>
      <c r="JN87" s="322">
        <v>3882.54</v>
      </c>
      <c r="JO87" s="322">
        <v>4271.04</v>
      </c>
      <c r="JP87" s="322">
        <v>3613.47</v>
      </c>
      <c r="JQ87" s="322">
        <v>3926.86</v>
      </c>
      <c r="JR87" s="322">
        <v>4386.7700000000004</v>
      </c>
      <c r="JS87" s="322">
        <v>4309.51</v>
      </c>
      <c r="JT87" s="322"/>
      <c r="JU87" s="322"/>
      <c r="JV87" s="322"/>
      <c r="JW87" s="322"/>
      <c r="JX87" s="322"/>
      <c r="JY87" s="322"/>
      <c r="JZ87" s="322"/>
      <c r="KA87" s="322"/>
      <c r="KB87" s="334"/>
      <c r="KC87" s="322" t="s">
        <v>69</v>
      </c>
      <c r="KD87" s="322">
        <v>6660.24</v>
      </c>
      <c r="KE87" s="322">
        <v>5782.13</v>
      </c>
      <c r="KF87" s="322">
        <v>6175.08</v>
      </c>
      <c r="KG87" s="322">
        <v>6655.25</v>
      </c>
      <c r="KH87" s="322">
        <v>6795.3</v>
      </c>
      <c r="KI87" s="322">
        <v>22008.09</v>
      </c>
      <c r="KJ87" s="322">
        <v>16399.04</v>
      </c>
      <c r="KK87" s="322">
        <v>18333.88</v>
      </c>
      <c r="KL87" s="322">
        <v>15236.89</v>
      </c>
      <c r="KM87" s="322">
        <v>18162.809999999998</v>
      </c>
      <c r="KN87" s="322">
        <v>17756.990000000002</v>
      </c>
      <c r="KO87" s="322">
        <v>18433.55</v>
      </c>
      <c r="KP87" s="322">
        <v>17928.739999999998</v>
      </c>
      <c r="KQ87" s="322">
        <v>19977.009999999998</v>
      </c>
      <c r="KR87" s="322"/>
      <c r="KS87" s="322"/>
      <c r="KT87" s="322"/>
      <c r="KU87" s="322"/>
      <c r="KV87" s="322"/>
      <c r="KW87" s="322"/>
      <c r="KX87" s="322"/>
      <c r="KY87" s="322"/>
      <c r="KZ87" s="334"/>
      <c r="LA87" s="322" t="s">
        <v>69</v>
      </c>
      <c r="LB87" s="322">
        <v>73262.64</v>
      </c>
      <c r="LC87" s="322">
        <v>57821.3</v>
      </c>
      <c r="LD87" s="322">
        <v>74100.960000000006</v>
      </c>
      <c r="LE87" s="322">
        <v>73207.75</v>
      </c>
      <c r="LF87" s="322">
        <v>81543.600000000006</v>
      </c>
      <c r="LG87" s="322">
        <v>44016.18</v>
      </c>
      <c r="LH87" s="322">
        <v>40997.599999999999</v>
      </c>
      <c r="LI87" s="322">
        <v>119170.22</v>
      </c>
      <c r="LJ87" s="322">
        <v>251765.55000000002</v>
      </c>
      <c r="LK87" s="322">
        <v>67018.540000000008</v>
      </c>
      <c r="LL87" s="322">
        <v>73183.100000000006</v>
      </c>
      <c r="LM87" s="322">
        <v>91260.110000000015</v>
      </c>
      <c r="LN87" s="322">
        <v>77623.02</v>
      </c>
      <c r="LO87" s="322">
        <v>108374.05</v>
      </c>
      <c r="LP87" s="322"/>
      <c r="LQ87" s="322"/>
      <c r="LR87" s="322"/>
      <c r="LS87" s="322"/>
      <c r="LT87" s="322"/>
      <c r="LU87" s="322"/>
      <c r="LV87" s="322"/>
      <c r="LW87" s="322"/>
      <c r="LX87" s="334"/>
      <c r="LY87" s="322" t="s">
        <v>69</v>
      </c>
      <c r="LZ87" s="322">
        <v>173166.24</v>
      </c>
      <c r="MA87" s="322">
        <v>173463.9</v>
      </c>
      <c r="MB87" s="322">
        <v>179077.32</v>
      </c>
      <c r="MC87" s="322">
        <v>186347</v>
      </c>
      <c r="MD87" s="322">
        <v>190268.4</v>
      </c>
      <c r="ME87" s="322">
        <v>278769.14</v>
      </c>
      <c r="MF87" s="322">
        <v>336180.32</v>
      </c>
      <c r="MG87" s="322">
        <v>366677.6</v>
      </c>
      <c r="MH87" s="322">
        <v>346740.09</v>
      </c>
      <c r="MI87" s="322">
        <v>376055.48</v>
      </c>
      <c r="MJ87" s="322">
        <v>371151.91000000003</v>
      </c>
      <c r="MK87" s="322">
        <v>439957.63999999996</v>
      </c>
      <c r="ML87" s="322">
        <v>393617.52</v>
      </c>
      <c r="MM87" s="322">
        <v>383013.51000000007</v>
      </c>
      <c r="MN87" s="322"/>
      <c r="MO87" s="322"/>
      <c r="MP87" s="322"/>
      <c r="MQ87" s="322"/>
      <c r="MR87" s="322"/>
      <c r="MS87" s="322"/>
      <c r="MT87" s="322"/>
      <c r="MU87" s="322"/>
      <c r="MV87" s="334"/>
      <c r="MW87" s="322" t="s">
        <v>69</v>
      </c>
      <c r="MX87" s="322">
        <v>6660.24</v>
      </c>
      <c r="MY87" s="322">
        <v>5782.13</v>
      </c>
      <c r="MZ87" s="322">
        <v>6175.08</v>
      </c>
      <c r="NA87" s="322">
        <v>13310.5</v>
      </c>
      <c r="NB87" s="322">
        <v>13590.6</v>
      </c>
      <c r="NC87" s="322">
        <v>7336.03</v>
      </c>
      <c r="ND87" s="322">
        <v>16399.04</v>
      </c>
      <c r="NE87" s="322">
        <v>18333.88</v>
      </c>
      <c r="NF87" s="322">
        <v>6788.8200000000006</v>
      </c>
      <c r="NG87" s="322">
        <v>10100.619999999999</v>
      </c>
      <c r="NH87" s="322">
        <v>10237.899999999998</v>
      </c>
      <c r="NI87" s="322">
        <v>8162.59</v>
      </c>
      <c r="NJ87" s="322">
        <v>12497.719999999998</v>
      </c>
      <c r="NK87" s="322">
        <v>28407.670000000002</v>
      </c>
      <c r="NL87" s="322"/>
      <c r="NM87" s="322"/>
      <c r="NN87" s="322"/>
      <c r="NO87" s="322"/>
      <c r="NP87" s="322"/>
      <c r="NQ87" s="322"/>
      <c r="NR87" s="322"/>
      <c r="NS87" s="322"/>
      <c r="NT87" s="334"/>
      <c r="NU87" s="322" t="s">
        <v>69</v>
      </c>
      <c r="NV87" s="322">
        <v>46621.68</v>
      </c>
      <c r="NW87" s="322">
        <v>52039.17</v>
      </c>
      <c r="NX87" s="322">
        <v>49400.639999999999</v>
      </c>
      <c r="NY87" s="322">
        <v>59897.25</v>
      </c>
      <c r="NZ87" s="322">
        <v>54362.400000000001</v>
      </c>
      <c r="OA87" s="322">
        <v>66024.27</v>
      </c>
      <c r="OB87" s="322">
        <v>65596.160000000003</v>
      </c>
      <c r="OC87" s="322">
        <v>64168.58</v>
      </c>
      <c r="OD87" s="322">
        <v>67732.240000000005</v>
      </c>
      <c r="OE87" s="322">
        <v>73659.12000000001</v>
      </c>
      <c r="OF87" s="322">
        <v>73364.850000000006</v>
      </c>
      <c r="OG87" s="322">
        <v>77449.789999999994</v>
      </c>
      <c r="OH87" s="322">
        <v>77299.47</v>
      </c>
      <c r="OI87" s="322">
        <v>76977.990000000005</v>
      </c>
      <c r="OJ87" s="322"/>
      <c r="OK87" s="322"/>
      <c r="OL87" s="322"/>
      <c r="OM87" s="322"/>
      <c r="ON87" s="322"/>
      <c r="OO87" s="322"/>
      <c r="OP87" s="322"/>
      <c r="OQ87" s="322"/>
      <c r="OR87" s="334"/>
      <c r="OS87" s="322" t="s">
        <v>69</v>
      </c>
      <c r="OT87" s="322">
        <v>19980.72</v>
      </c>
      <c r="OU87" s="322">
        <v>23128.52</v>
      </c>
      <c r="OV87" s="322">
        <v>24700.32</v>
      </c>
      <c r="OW87" s="322">
        <v>19965.75</v>
      </c>
      <c r="OX87" s="322">
        <v>13590.6</v>
      </c>
      <c r="OY87" s="322">
        <v>14672.06</v>
      </c>
      <c r="OZ87" s="322">
        <v>16399.04</v>
      </c>
      <c r="PA87" s="322">
        <v>9166.94</v>
      </c>
      <c r="PB87" s="322">
        <v>14685.5</v>
      </c>
      <c r="PC87" s="322">
        <v>17716.490000000002</v>
      </c>
      <c r="PD87" s="322">
        <v>19722.72</v>
      </c>
      <c r="PE87" s="322">
        <v>19946.79</v>
      </c>
      <c r="PF87" s="322">
        <v>20240.8</v>
      </c>
      <c r="PG87" s="322">
        <v>21700.59</v>
      </c>
      <c r="PH87" s="322"/>
      <c r="PI87" s="322"/>
      <c r="PJ87" s="322"/>
      <c r="PK87" s="322"/>
      <c r="PL87" s="322"/>
      <c r="PM87" s="322"/>
      <c r="PN87" s="322"/>
      <c r="PO87" s="322"/>
      <c r="PP87" s="334"/>
      <c r="PQ87" s="322" t="s">
        <v>69</v>
      </c>
      <c r="PR87" s="322">
        <v>6660.24</v>
      </c>
      <c r="PS87" s="322">
        <v>5782.13</v>
      </c>
      <c r="PT87" s="322">
        <v>6175.08</v>
      </c>
      <c r="PU87" s="322">
        <v>6655.25</v>
      </c>
      <c r="PV87" s="322">
        <v>6795.3</v>
      </c>
      <c r="PW87" s="322">
        <v>7336.03</v>
      </c>
      <c r="PX87" s="322">
        <v>8199.52</v>
      </c>
      <c r="PY87" s="322">
        <v>9166.94</v>
      </c>
      <c r="PZ87" s="322">
        <v>9277.75</v>
      </c>
      <c r="QA87" s="322">
        <v>10939.49</v>
      </c>
      <c r="QB87" s="322">
        <v>20126.04</v>
      </c>
      <c r="QC87" s="322">
        <v>18546.440000000002</v>
      </c>
      <c r="QD87" s="322">
        <v>18509.419999999998</v>
      </c>
      <c r="QE87" s="322">
        <v>13106.12</v>
      </c>
      <c r="QF87" s="322"/>
      <c r="QG87" s="322"/>
      <c r="QH87" s="322"/>
      <c r="QI87" s="322"/>
      <c r="QJ87" s="322"/>
      <c r="QK87" s="322"/>
      <c r="QL87" s="322"/>
      <c r="QM87" s="322"/>
      <c r="QN87" s="334"/>
      <c r="QO87" s="322" t="s">
        <v>69</v>
      </c>
      <c r="QP87" s="322">
        <v>0</v>
      </c>
      <c r="QQ87" s="322">
        <v>0</v>
      </c>
      <c r="QR87" s="322">
        <v>0</v>
      </c>
      <c r="QS87" s="322">
        <v>0</v>
      </c>
      <c r="QT87" s="322">
        <v>0</v>
      </c>
      <c r="QU87" s="322">
        <v>0</v>
      </c>
      <c r="QV87" s="322">
        <v>0</v>
      </c>
      <c r="QW87" s="322">
        <v>0</v>
      </c>
      <c r="QX87" s="322">
        <v>0</v>
      </c>
      <c r="QY87" s="322">
        <v>0</v>
      </c>
      <c r="QZ87" s="322">
        <v>0</v>
      </c>
      <c r="RA87" s="322">
        <v>0</v>
      </c>
      <c r="RB87" s="322">
        <v>0</v>
      </c>
      <c r="RC87" s="322">
        <v>0</v>
      </c>
      <c r="RD87" s="322"/>
      <c r="RE87" s="322"/>
      <c r="RF87" s="322"/>
      <c r="RG87" s="322"/>
      <c r="RH87" s="322"/>
      <c r="RI87" s="322"/>
      <c r="RJ87" s="322"/>
      <c r="RK87" s="322"/>
      <c r="RL87" s="334"/>
      <c r="RM87" s="322" t="s">
        <v>69</v>
      </c>
      <c r="RN87" s="322">
        <v>39961.440000000002</v>
      </c>
      <c r="RO87" s="322">
        <v>5782.13</v>
      </c>
      <c r="RP87" s="322">
        <v>0</v>
      </c>
      <c r="RQ87" s="322">
        <v>0</v>
      </c>
      <c r="RR87" s="322">
        <v>0</v>
      </c>
      <c r="RS87" s="322">
        <v>14672.06</v>
      </c>
      <c r="RT87" s="322">
        <v>0</v>
      </c>
      <c r="RU87" s="322">
        <v>0</v>
      </c>
      <c r="RV87" s="322">
        <v>0</v>
      </c>
      <c r="RW87" s="322">
        <v>0</v>
      </c>
      <c r="RX87" s="322">
        <v>0</v>
      </c>
      <c r="RY87" s="322">
        <v>0</v>
      </c>
      <c r="RZ87" s="322">
        <v>0</v>
      </c>
      <c r="SA87" s="322">
        <v>0</v>
      </c>
      <c r="SB87" s="322"/>
      <c r="SC87" s="322"/>
      <c r="SD87" s="322"/>
      <c r="SE87" s="322"/>
      <c r="SF87" s="322"/>
      <c r="SG87" s="322"/>
      <c r="SH87" s="322"/>
      <c r="SI87" s="322"/>
    </row>
    <row r="88" spans="1:503">
      <c r="A88" s="320" t="s">
        <v>70</v>
      </c>
      <c r="B88" s="320">
        <v>405536</v>
      </c>
      <c r="C88" s="320">
        <v>417413</v>
      </c>
      <c r="D88" s="320">
        <v>435064</v>
      </c>
      <c r="E88" s="320">
        <v>484512</v>
      </c>
      <c r="F88" s="320">
        <v>667242</v>
      </c>
      <c r="G88" s="320">
        <v>509346</v>
      </c>
      <c r="H88" s="320">
        <v>532853</v>
      </c>
      <c r="I88" s="320">
        <v>551110</v>
      </c>
      <c r="J88" s="320">
        <v>691754</v>
      </c>
      <c r="K88" s="320">
        <v>722969</v>
      </c>
      <c r="L88" s="320">
        <v>934462</v>
      </c>
      <c r="M88" s="320">
        <v>1030374</v>
      </c>
      <c r="N88" s="320">
        <v>883305</v>
      </c>
      <c r="O88" s="320">
        <v>1024543</v>
      </c>
      <c r="P88" s="320">
        <v>830212</v>
      </c>
      <c r="Q88" s="320">
        <v>878644</v>
      </c>
      <c r="R88" s="320">
        <v>945859</v>
      </c>
      <c r="S88" s="323">
        <v>961119</v>
      </c>
      <c r="T88" s="320">
        <v>944012</v>
      </c>
      <c r="U88" s="320">
        <v>980730</v>
      </c>
      <c r="V88" s="320">
        <v>1132584</v>
      </c>
      <c r="W88" s="320">
        <v>1244090</v>
      </c>
      <c r="X88" s="330"/>
      <c r="Y88" s="320" t="s">
        <v>70</v>
      </c>
      <c r="Z88" s="320">
        <v>36498.239999999998</v>
      </c>
      <c r="AA88" s="320">
        <v>33393.040000000001</v>
      </c>
      <c r="AB88" s="320">
        <v>34805.120000000003</v>
      </c>
      <c r="AC88" s="320">
        <v>67831.679999999993</v>
      </c>
      <c r="AD88" s="320">
        <v>66724.2</v>
      </c>
      <c r="AE88" s="320">
        <v>66214.98</v>
      </c>
      <c r="AF88" s="320">
        <v>66214.98</v>
      </c>
      <c r="AG88" s="320">
        <v>71644.3</v>
      </c>
      <c r="AH88" s="320">
        <v>71034</v>
      </c>
      <c r="AI88" s="320">
        <v>71387</v>
      </c>
      <c r="AJ88" s="320">
        <v>76284</v>
      </c>
      <c r="AK88" s="320">
        <v>76109</v>
      </c>
      <c r="AL88" s="320">
        <v>75091</v>
      </c>
      <c r="AM88" s="320">
        <v>76517</v>
      </c>
      <c r="AN88" s="320">
        <v>75390</v>
      </c>
      <c r="AO88" s="320">
        <v>83142</v>
      </c>
      <c r="AP88" s="320">
        <v>83747</v>
      </c>
      <c r="AQ88" s="323">
        <v>84504</v>
      </c>
      <c r="AR88" s="320">
        <v>85365</v>
      </c>
      <c r="AS88" s="320">
        <v>76732</v>
      </c>
      <c r="AT88" s="320">
        <v>85709</v>
      </c>
      <c r="AU88" s="320">
        <v>88708</v>
      </c>
      <c r="AV88" s="334"/>
      <c r="AW88" s="320" t="s">
        <v>70</v>
      </c>
      <c r="AX88" s="320">
        <v>44608.959999999999</v>
      </c>
      <c r="AY88" s="320">
        <v>37567.17</v>
      </c>
      <c r="AZ88" s="320">
        <v>39155.760000000002</v>
      </c>
      <c r="BA88" s="320">
        <v>53296.32</v>
      </c>
      <c r="BB88" s="320">
        <v>46706.94</v>
      </c>
      <c r="BC88" s="320">
        <v>45841.14</v>
      </c>
      <c r="BD88" s="320">
        <v>53285.3</v>
      </c>
      <c r="BE88" s="320">
        <v>55111</v>
      </c>
      <c r="BF88" s="320">
        <v>56941</v>
      </c>
      <c r="BG88" s="320">
        <v>56155</v>
      </c>
      <c r="BH88" s="320">
        <v>55620</v>
      </c>
      <c r="BI88" s="320">
        <v>63353</v>
      </c>
      <c r="BJ88" s="320">
        <v>69739</v>
      </c>
      <c r="BK88" s="320">
        <v>63127</v>
      </c>
      <c r="BL88" s="320">
        <v>64334</v>
      </c>
      <c r="BM88" s="320">
        <v>71926</v>
      </c>
      <c r="BN88" s="320">
        <v>72310</v>
      </c>
      <c r="BO88" s="323">
        <v>71169</v>
      </c>
      <c r="BP88" s="320">
        <v>77836</v>
      </c>
      <c r="BQ88" s="320">
        <v>74797</v>
      </c>
      <c r="BR88" s="320">
        <v>77038</v>
      </c>
      <c r="BS88" s="320">
        <v>87230</v>
      </c>
      <c r="BT88" s="334"/>
      <c r="BU88" s="323" t="s">
        <v>70</v>
      </c>
      <c r="BV88" s="323">
        <v>0</v>
      </c>
      <c r="BW88" s="323">
        <v>0</v>
      </c>
      <c r="BX88" s="323">
        <v>0</v>
      </c>
      <c r="BY88" s="323">
        <v>0</v>
      </c>
      <c r="BZ88" s="323">
        <v>0</v>
      </c>
      <c r="CA88" s="323">
        <v>0</v>
      </c>
      <c r="CB88" s="323">
        <v>0</v>
      </c>
      <c r="CC88" s="323">
        <v>0</v>
      </c>
      <c r="CD88" s="323">
        <v>38456</v>
      </c>
      <c r="CE88" s="323">
        <v>820</v>
      </c>
      <c r="CF88" s="323">
        <v>37694</v>
      </c>
      <c r="CG88" s="323">
        <v>9180</v>
      </c>
      <c r="CH88" s="323">
        <v>33277</v>
      </c>
      <c r="CI88" s="323">
        <v>226</v>
      </c>
      <c r="CJ88" s="323">
        <v>37559</v>
      </c>
      <c r="CK88" s="323">
        <v>0</v>
      </c>
      <c r="CL88" s="323">
        <v>34984</v>
      </c>
      <c r="CM88" s="323">
        <v>0</v>
      </c>
      <c r="CN88" s="323">
        <v>28969</v>
      </c>
      <c r="CO88" s="323">
        <v>0</v>
      </c>
      <c r="CP88" s="323">
        <v>36595</v>
      </c>
      <c r="CQ88" s="323">
        <v>0</v>
      </c>
      <c r="CR88" s="334"/>
      <c r="CS88" s="323" t="s">
        <v>70</v>
      </c>
      <c r="CT88" s="323">
        <v>44608.959999999999</v>
      </c>
      <c r="CU88" s="323">
        <v>83482.600000000006</v>
      </c>
      <c r="CV88" s="323">
        <v>43506.400000000001</v>
      </c>
      <c r="CW88" s="323">
        <v>38760.959999999999</v>
      </c>
      <c r="CX88" s="323">
        <v>46706.94</v>
      </c>
      <c r="CY88" s="323">
        <v>45841.14</v>
      </c>
      <c r="CZ88" s="323">
        <v>42628.24</v>
      </c>
      <c r="DA88" s="323">
        <v>44088.800000000003</v>
      </c>
      <c r="DB88" s="323">
        <v>47790</v>
      </c>
      <c r="DC88" s="323">
        <v>62473</v>
      </c>
      <c r="DD88" s="323">
        <v>69783</v>
      </c>
      <c r="DE88" s="323">
        <v>100997</v>
      </c>
      <c r="DF88" s="323">
        <v>52512</v>
      </c>
      <c r="DG88" s="323">
        <v>58215</v>
      </c>
      <c r="DH88" s="323">
        <v>55119</v>
      </c>
      <c r="DI88" s="323">
        <v>56068</v>
      </c>
      <c r="DJ88" s="323">
        <v>56881</v>
      </c>
      <c r="DK88" s="323">
        <v>63600</v>
      </c>
      <c r="DL88" s="323">
        <v>71039</v>
      </c>
      <c r="DM88" s="323">
        <v>60159</v>
      </c>
      <c r="DN88" s="323">
        <v>62911</v>
      </c>
      <c r="DO88" s="323">
        <v>70558</v>
      </c>
      <c r="DP88" s="334"/>
      <c r="DQ88" s="323" t="s">
        <v>70</v>
      </c>
      <c r="DR88" s="323">
        <v>16221.44</v>
      </c>
      <c r="DS88" s="323">
        <v>16696.52</v>
      </c>
      <c r="DT88" s="323">
        <v>17402.560000000001</v>
      </c>
      <c r="DU88" s="323">
        <v>24225.599999999999</v>
      </c>
      <c r="DV88" s="323">
        <v>20017.259999999998</v>
      </c>
      <c r="DW88" s="323">
        <v>20373.84</v>
      </c>
      <c r="DX88" s="323">
        <v>21314.12</v>
      </c>
      <c r="DY88" s="323">
        <v>27555.5</v>
      </c>
      <c r="DZ88" s="323">
        <v>30767</v>
      </c>
      <c r="EA88" s="323">
        <v>32937</v>
      </c>
      <c r="EB88" s="323">
        <v>41059</v>
      </c>
      <c r="EC88" s="323">
        <v>44771</v>
      </c>
      <c r="ED88" s="323">
        <v>49986</v>
      </c>
      <c r="EE88" s="323">
        <v>43832</v>
      </c>
      <c r="EF88" s="323">
        <v>34257</v>
      </c>
      <c r="EG88" s="323">
        <v>36305</v>
      </c>
      <c r="EH88" s="323">
        <v>37356</v>
      </c>
      <c r="EI88" s="323">
        <v>39243</v>
      </c>
      <c r="EJ88" s="323">
        <v>38907</v>
      </c>
      <c r="EK88" s="323">
        <v>37479</v>
      </c>
      <c r="EL88" s="323">
        <v>38386</v>
      </c>
      <c r="EM88" s="323">
        <v>45000</v>
      </c>
      <c r="EN88" s="334"/>
      <c r="EO88" s="323" t="s">
        <v>70</v>
      </c>
      <c r="EP88" s="323">
        <v>16221.44</v>
      </c>
      <c r="EQ88" s="323">
        <v>12522.39</v>
      </c>
      <c r="ER88" s="323">
        <v>13051.92</v>
      </c>
      <c r="ES88" s="323">
        <v>24225.599999999999</v>
      </c>
      <c r="ET88" s="323">
        <v>26689.68</v>
      </c>
      <c r="EU88" s="323">
        <v>25467.3</v>
      </c>
      <c r="EV88" s="323">
        <v>26642.65</v>
      </c>
      <c r="EW88" s="323">
        <v>27555.5</v>
      </c>
      <c r="EX88" s="323">
        <v>27412</v>
      </c>
      <c r="EY88" s="323">
        <v>27452</v>
      </c>
      <c r="EZ88" s="323">
        <v>27649</v>
      </c>
      <c r="FA88" s="323">
        <v>36563</v>
      </c>
      <c r="FB88" s="323">
        <v>36652</v>
      </c>
      <c r="FC88" s="323">
        <v>36992</v>
      </c>
      <c r="FD88" s="323">
        <v>36911</v>
      </c>
      <c r="FE88" s="323">
        <v>41707</v>
      </c>
      <c r="FF88" s="323">
        <v>41305</v>
      </c>
      <c r="FG88" s="323">
        <v>41345</v>
      </c>
      <c r="FH88" s="323">
        <v>41948</v>
      </c>
      <c r="FI88" s="323">
        <v>44335</v>
      </c>
      <c r="FJ88" s="323">
        <v>42754</v>
      </c>
      <c r="FK88" s="323">
        <v>45100</v>
      </c>
      <c r="FL88" s="334"/>
      <c r="FM88" s="323" t="s">
        <v>70</v>
      </c>
      <c r="FN88" s="323">
        <v>48664.32</v>
      </c>
      <c r="FO88" s="323">
        <v>41741.300000000003</v>
      </c>
      <c r="FP88" s="323">
        <v>52207.68</v>
      </c>
      <c r="FQ88" s="323">
        <v>58141.440000000002</v>
      </c>
      <c r="FR88" s="323">
        <v>66724.2</v>
      </c>
      <c r="FS88" s="323">
        <v>71308.44</v>
      </c>
      <c r="FT88" s="323">
        <v>85256.48</v>
      </c>
      <c r="FU88" s="323">
        <v>66133.2</v>
      </c>
      <c r="FV88" s="323">
        <v>71351</v>
      </c>
      <c r="FW88" s="323">
        <v>70456</v>
      </c>
      <c r="FX88" s="323">
        <v>69031</v>
      </c>
      <c r="FY88" s="323">
        <v>72156</v>
      </c>
      <c r="FZ88" s="323">
        <v>69198</v>
      </c>
      <c r="GA88" s="323">
        <v>67273</v>
      </c>
      <c r="GB88" s="323">
        <v>65823</v>
      </c>
      <c r="GC88" s="323">
        <v>81199</v>
      </c>
      <c r="GD88" s="323">
        <v>74210</v>
      </c>
      <c r="GE88" s="323">
        <v>76926</v>
      </c>
      <c r="GF88" s="341">
        <v>80993</v>
      </c>
      <c r="GG88" s="705">
        <v>82777</v>
      </c>
      <c r="GH88" s="705">
        <v>86874</v>
      </c>
      <c r="GI88" s="705">
        <v>90090</v>
      </c>
      <c r="GJ88" s="334"/>
      <c r="GK88" s="323" t="s">
        <v>70</v>
      </c>
      <c r="GL88" s="323">
        <v>16221.44</v>
      </c>
      <c r="GM88" s="323">
        <v>16696.52</v>
      </c>
      <c r="GN88" s="323">
        <v>26103.84</v>
      </c>
      <c r="GO88" s="323">
        <v>19380.48</v>
      </c>
      <c r="GP88" s="323">
        <v>20017.259999999998</v>
      </c>
      <c r="GQ88" s="323">
        <v>20373.84</v>
      </c>
      <c r="GR88" s="323">
        <v>26642.65</v>
      </c>
      <c r="GS88" s="323">
        <v>55111</v>
      </c>
      <c r="GT88" s="323">
        <v>58911</v>
      </c>
      <c r="GU88" s="323">
        <v>58662</v>
      </c>
      <c r="GV88" s="323">
        <v>56426</v>
      </c>
      <c r="GW88" s="323">
        <v>55854</v>
      </c>
      <c r="GX88" s="323">
        <v>57697</v>
      </c>
      <c r="GY88" s="323">
        <v>55988</v>
      </c>
      <c r="GZ88" s="323">
        <v>57476</v>
      </c>
      <c r="HA88" s="323">
        <v>64751</v>
      </c>
      <c r="HB88" s="323">
        <v>65531</v>
      </c>
      <c r="HC88" s="323">
        <v>65886</v>
      </c>
      <c r="HD88" s="323">
        <v>66691</v>
      </c>
      <c r="HE88" s="323">
        <v>68986</v>
      </c>
      <c r="HF88" s="323">
        <v>69321</v>
      </c>
      <c r="HG88" s="323">
        <v>68995</v>
      </c>
      <c r="HH88" s="334"/>
      <c r="HI88" s="323" t="s">
        <v>70</v>
      </c>
      <c r="HJ88" s="323">
        <v>0</v>
      </c>
      <c r="HK88" s="323">
        <v>0</v>
      </c>
      <c r="HL88" s="323">
        <v>0</v>
      </c>
      <c r="HM88" s="323">
        <v>0</v>
      </c>
      <c r="HN88" s="323">
        <v>0</v>
      </c>
      <c r="HO88" s="323">
        <v>0</v>
      </c>
      <c r="HP88" s="323">
        <v>0</v>
      </c>
      <c r="HQ88" s="323">
        <v>5511.1</v>
      </c>
      <c r="HR88" s="323">
        <v>3920</v>
      </c>
      <c r="HS88" s="323">
        <v>17692</v>
      </c>
      <c r="HT88" s="323">
        <v>22043</v>
      </c>
      <c r="HU88" s="323">
        <v>18785</v>
      </c>
      <c r="HV88" s="323">
        <v>21406</v>
      </c>
      <c r="HW88" s="323">
        <v>16170</v>
      </c>
      <c r="HX88" s="323">
        <v>11542</v>
      </c>
      <c r="HY88" s="323">
        <v>22290</v>
      </c>
      <c r="HZ88" s="323">
        <v>17705</v>
      </c>
      <c r="IA88" s="323">
        <v>20667</v>
      </c>
      <c r="IB88" s="323">
        <v>13245</v>
      </c>
      <c r="IC88" s="323">
        <v>14234</v>
      </c>
      <c r="ID88" s="323">
        <v>11049</v>
      </c>
      <c r="IE88" s="323">
        <v>19200</v>
      </c>
      <c r="IF88" s="334"/>
      <c r="IG88" s="323" t="s">
        <v>70</v>
      </c>
      <c r="IH88" s="323">
        <v>8110.72</v>
      </c>
      <c r="II88" s="323">
        <v>8348.26</v>
      </c>
      <c r="IJ88" s="323">
        <v>13051.92</v>
      </c>
      <c r="IK88" s="323">
        <v>4845.12</v>
      </c>
      <c r="IL88" s="323">
        <v>6672.42</v>
      </c>
      <c r="IM88" s="323">
        <v>10186.92</v>
      </c>
      <c r="IN88" s="323">
        <v>15985.59</v>
      </c>
      <c r="IO88" s="323">
        <v>5511.1</v>
      </c>
      <c r="IP88" s="323">
        <v>10089</v>
      </c>
      <c r="IQ88" s="323">
        <v>0</v>
      </c>
      <c r="IR88" s="323">
        <v>0</v>
      </c>
      <c r="IS88" s="323">
        <v>0</v>
      </c>
      <c r="IT88" s="323">
        <v>0</v>
      </c>
      <c r="IU88" s="323">
        <v>0</v>
      </c>
      <c r="IV88" s="323"/>
      <c r="IW88" s="322"/>
      <c r="IX88" s="323"/>
      <c r="IY88" s="323"/>
      <c r="IZ88" s="323"/>
      <c r="JA88" s="323"/>
      <c r="JB88" s="323"/>
      <c r="JC88" s="323"/>
      <c r="JD88" s="334"/>
      <c r="JE88" s="323" t="s">
        <v>70</v>
      </c>
      <c r="JF88" s="323">
        <v>4055.36</v>
      </c>
      <c r="JG88" s="323">
        <v>8348.26</v>
      </c>
      <c r="JH88" s="323">
        <v>8701.2800000000007</v>
      </c>
      <c r="JI88" s="323">
        <v>9690.24</v>
      </c>
      <c r="JJ88" s="323">
        <v>6672.42</v>
      </c>
      <c r="JK88" s="323">
        <v>5093.46</v>
      </c>
      <c r="JL88" s="323">
        <v>5328.53</v>
      </c>
      <c r="JM88" s="323">
        <v>0</v>
      </c>
      <c r="JN88" s="323">
        <v>7496</v>
      </c>
      <c r="JO88" s="323">
        <v>0</v>
      </c>
      <c r="JP88" s="323">
        <v>0</v>
      </c>
      <c r="JQ88" s="323">
        <v>0</v>
      </c>
      <c r="JR88" s="323">
        <v>0</v>
      </c>
      <c r="JS88" s="323">
        <v>0</v>
      </c>
      <c r="JT88" s="323">
        <v>0</v>
      </c>
      <c r="JU88" s="323">
        <v>0</v>
      </c>
      <c r="JV88" s="323">
        <v>0</v>
      </c>
      <c r="JW88" s="323">
        <v>0</v>
      </c>
      <c r="JX88" s="323">
        <v>0</v>
      </c>
      <c r="JY88" s="323">
        <v>0</v>
      </c>
      <c r="JZ88" s="323">
        <v>0</v>
      </c>
      <c r="KA88" s="323">
        <v>0</v>
      </c>
      <c r="KB88" s="334"/>
      <c r="KC88" s="323" t="s">
        <v>70</v>
      </c>
      <c r="KD88" s="323">
        <v>8110.72</v>
      </c>
      <c r="KE88" s="323">
        <v>12522.39</v>
      </c>
      <c r="KF88" s="323">
        <v>13051.92</v>
      </c>
      <c r="KG88" s="323">
        <v>14535.36</v>
      </c>
      <c r="KH88" s="323">
        <v>13344.84</v>
      </c>
      <c r="KI88" s="323">
        <v>20373.84</v>
      </c>
      <c r="KJ88" s="323">
        <v>21314.12</v>
      </c>
      <c r="KK88" s="323">
        <v>22044.400000000001</v>
      </c>
      <c r="KL88" s="323">
        <v>22217</v>
      </c>
      <c r="KM88" s="323">
        <v>24146</v>
      </c>
      <c r="KN88" s="323">
        <v>24015</v>
      </c>
      <c r="KO88" s="323">
        <v>25871</v>
      </c>
      <c r="KP88" s="323">
        <v>25930</v>
      </c>
      <c r="KQ88" s="323">
        <v>33137</v>
      </c>
      <c r="KR88" s="323">
        <v>29757</v>
      </c>
      <c r="KS88" s="323">
        <v>25066</v>
      </c>
      <c r="KT88" s="323">
        <v>35799</v>
      </c>
      <c r="KU88" s="323">
        <v>48254</v>
      </c>
      <c r="KV88" s="323">
        <v>48755</v>
      </c>
      <c r="KW88" s="323">
        <v>48866</v>
      </c>
      <c r="KX88" s="323">
        <v>49177</v>
      </c>
      <c r="KY88" s="323">
        <v>55550</v>
      </c>
      <c r="KZ88" s="334"/>
      <c r="LA88" s="323" t="s">
        <v>70</v>
      </c>
      <c r="LB88" s="323">
        <v>44608.959999999999</v>
      </c>
      <c r="LC88" s="323">
        <v>54263.69</v>
      </c>
      <c r="LD88" s="323">
        <v>65259.6</v>
      </c>
      <c r="LE88" s="323">
        <v>77521.919999999998</v>
      </c>
      <c r="LF88" s="323">
        <v>73396.62</v>
      </c>
      <c r="LG88" s="323">
        <v>106962.66</v>
      </c>
      <c r="LH88" s="323">
        <v>79927.95</v>
      </c>
      <c r="LI88" s="323">
        <v>93688.7</v>
      </c>
      <c r="LJ88" s="323">
        <v>114303</v>
      </c>
      <c r="LK88" s="323">
        <v>236189</v>
      </c>
      <c r="LL88" s="323">
        <v>316966</v>
      </c>
      <c r="LM88" s="323">
        <v>354112</v>
      </c>
      <c r="LN88" s="323">
        <v>307117</v>
      </c>
      <c r="LO88" s="323">
        <v>410866</v>
      </c>
      <c r="LP88" s="323">
        <v>226344</v>
      </c>
      <c r="LQ88" s="323">
        <v>186116</v>
      </c>
      <c r="LR88" s="323">
        <v>253831</v>
      </c>
      <c r="LS88" s="323">
        <v>251300</v>
      </c>
      <c r="LT88" s="323">
        <v>170039</v>
      </c>
      <c r="LU88" s="323">
        <v>230140</v>
      </c>
      <c r="LV88" s="323">
        <v>167695</v>
      </c>
      <c r="LW88" s="323">
        <v>189299</v>
      </c>
      <c r="LX88" s="334"/>
      <c r="LY88" s="323" t="s">
        <v>70</v>
      </c>
      <c r="LZ88" s="323">
        <v>0</v>
      </c>
      <c r="MA88" s="323">
        <v>0</v>
      </c>
      <c r="MB88" s="323">
        <v>0</v>
      </c>
      <c r="MC88" s="323">
        <v>0</v>
      </c>
      <c r="MD88" s="323">
        <v>0</v>
      </c>
      <c r="ME88" s="323">
        <v>0</v>
      </c>
      <c r="MF88" s="323">
        <v>0</v>
      </c>
      <c r="MG88" s="323">
        <v>0</v>
      </c>
      <c r="MH88" s="323">
        <v>0</v>
      </c>
      <c r="MI88" s="323">
        <v>0</v>
      </c>
      <c r="MJ88" s="323">
        <v>0</v>
      </c>
      <c r="MK88" s="323">
        <v>0</v>
      </c>
      <c r="ML88" s="323">
        <v>0</v>
      </c>
      <c r="MM88" s="323">
        <v>0</v>
      </c>
      <c r="MN88" s="323">
        <v>0</v>
      </c>
      <c r="MO88" s="323">
        <v>0</v>
      </c>
      <c r="MP88" s="323">
        <v>0</v>
      </c>
      <c r="MQ88" s="323">
        <v>0</v>
      </c>
      <c r="MR88" s="323">
        <v>0</v>
      </c>
      <c r="MS88" s="323">
        <v>0</v>
      </c>
      <c r="MT88" s="323">
        <v>0</v>
      </c>
      <c r="MU88" s="323">
        <v>0</v>
      </c>
      <c r="MV88" s="334"/>
      <c r="MW88" s="323" t="s">
        <v>70</v>
      </c>
      <c r="MX88" s="323">
        <v>0</v>
      </c>
      <c r="MY88" s="323">
        <v>0</v>
      </c>
      <c r="MZ88" s="323">
        <v>0</v>
      </c>
      <c r="NA88" s="323">
        <v>0</v>
      </c>
      <c r="NB88" s="323">
        <v>0</v>
      </c>
      <c r="NC88" s="323">
        <v>0</v>
      </c>
      <c r="ND88" s="323">
        <v>0</v>
      </c>
      <c r="NE88" s="323">
        <v>0</v>
      </c>
      <c r="NF88" s="323">
        <v>0</v>
      </c>
      <c r="NG88" s="323">
        <v>0</v>
      </c>
      <c r="NH88" s="323">
        <v>0</v>
      </c>
      <c r="NI88" s="323">
        <v>0</v>
      </c>
      <c r="NJ88" s="323">
        <v>0</v>
      </c>
      <c r="NK88" s="323">
        <v>0</v>
      </c>
      <c r="NL88" s="323">
        <v>0</v>
      </c>
      <c r="NM88" s="323">
        <v>0</v>
      </c>
      <c r="NN88" s="323">
        <v>0</v>
      </c>
      <c r="NO88" s="323">
        <v>0</v>
      </c>
      <c r="NP88" s="323">
        <v>0</v>
      </c>
      <c r="NQ88" s="323">
        <v>0</v>
      </c>
      <c r="NR88" s="323">
        <v>0</v>
      </c>
      <c r="NS88" s="323">
        <v>0</v>
      </c>
      <c r="NT88" s="334"/>
      <c r="NU88" s="323" t="s">
        <v>70</v>
      </c>
      <c r="NV88" s="323">
        <v>12166.08</v>
      </c>
      <c r="NW88" s="323">
        <v>0</v>
      </c>
      <c r="NX88" s="323">
        <v>13051.92</v>
      </c>
      <c r="NY88" s="323">
        <v>0</v>
      </c>
      <c r="NZ88" s="323">
        <v>0</v>
      </c>
      <c r="OA88" s="323">
        <v>0</v>
      </c>
      <c r="OB88" s="323">
        <v>0</v>
      </c>
      <c r="OC88" s="323">
        <v>0</v>
      </c>
      <c r="OD88" s="323">
        <v>0</v>
      </c>
      <c r="OE88" s="323">
        <v>0</v>
      </c>
      <c r="OF88" s="323">
        <v>0</v>
      </c>
      <c r="OG88" s="323">
        <v>0</v>
      </c>
      <c r="OH88" s="323">
        <v>0</v>
      </c>
      <c r="OI88" s="323">
        <v>0</v>
      </c>
      <c r="OJ88" s="323">
        <v>0</v>
      </c>
      <c r="OK88" s="323">
        <v>0</v>
      </c>
      <c r="OL88" s="323">
        <v>0</v>
      </c>
      <c r="OM88" s="323">
        <v>0</v>
      </c>
      <c r="ON88" s="323">
        <v>0</v>
      </c>
      <c r="OO88" s="323">
        <v>0</v>
      </c>
      <c r="OP88" s="323">
        <v>0</v>
      </c>
      <c r="OQ88" s="323">
        <v>0</v>
      </c>
      <c r="OR88" s="334"/>
      <c r="OS88" s="323" t="s">
        <v>70</v>
      </c>
      <c r="OT88" s="323">
        <v>0</v>
      </c>
      <c r="OU88" s="323">
        <v>0</v>
      </c>
      <c r="OV88" s="323">
        <v>0</v>
      </c>
      <c r="OW88" s="323">
        <v>0</v>
      </c>
      <c r="OX88" s="323">
        <v>0</v>
      </c>
      <c r="OY88" s="323">
        <v>0</v>
      </c>
      <c r="OZ88" s="323">
        <v>0</v>
      </c>
      <c r="PA88" s="323">
        <v>0</v>
      </c>
      <c r="PB88" s="323">
        <v>0</v>
      </c>
      <c r="PC88" s="323">
        <v>0</v>
      </c>
      <c r="PD88" s="323">
        <v>0</v>
      </c>
      <c r="PE88" s="323">
        <v>0</v>
      </c>
      <c r="PF88" s="323">
        <v>0</v>
      </c>
      <c r="PG88" s="323">
        <v>0</v>
      </c>
      <c r="PH88" s="323">
        <v>0</v>
      </c>
      <c r="PI88" s="323">
        <v>0</v>
      </c>
      <c r="PJ88" s="323">
        <v>0</v>
      </c>
      <c r="PK88" s="323">
        <v>0</v>
      </c>
      <c r="PL88" s="323">
        <v>0</v>
      </c>
      <c r="PM88" s="323">
        <v>0</v>
      </c>
      <c r="PN88" s="323">
        <v>0</v>
      </c>
      <c r="PO88" s="323">
        <v>0</v>
      </c>
      <c r="PP88" s="334"/>
      <c r="PQ88" s="323" t="s">
        <v>70</v>
      </c>
      <c r="PR88" s="323">
        <v>0</v>
      </c>
      <c r="PS88" s="323">
        <v>0</v>
      </c>
      <c r="PT88" s="323">
        <v>0</v>
      </c>
      <c r="PU88" s="323">
        <v>0</v>
      </c>
      <c r="PV88" s="323">
        <v>0</v>
      </c>
      <c r="PW88" s="323">
        <v>0</v>
      </c>
      <c r="PX88" s="323">
        <v>0</v>
      </c>
      <c r="PY88" s="323">
        <v>0</v>
      </c>
      <c r="PZ88" s="323">
        <v>0</v>
      </c>
      <c r="QA88" s="323">
        <v>0</v>
      </c>
      <c r="QB88" s="323">
        <v>0</v>
      </c>
      <c r="QC88" s="323">
        <v>0</v>
      </c>
      <c r="QD88" s="323">
        <v>0</v>
      </c>
      <c r="QE88" s="323">
        <v>0</v>
      </c>
      <c r="QF88" s="323">
        <v>0</v>
      </c>
      <c r="QG88" s="323">
        <v>0</v>
      </c>
      <c r="QH88" s="323">
        <v>0</v>
      </c>
      <c r="QI88" s="323">
        <v>0</v>
      </c>
      <c r="QJ88" s="323">
        <v>0</v>
      </c>
      <c r="QK88" s="323">
        <v>0</v>
      </c>
      <c r="QL88" s="323">
        <v>0</v>
      </c>
      <c r="QM88" s="323">
        <v>0</v>
      </c>
      <c r="QN88" s="334"/>
      <c r="QO88" s="323" t="s">
        <v>70</v>
      </c>
      <c r="QP88" s="323">
        <v>8110.72</v>
      </c>
      <c r="QQ88" s="323">
        <v>0</v>
      </c>
      <c r="QR88" s="323">
        <v>0</v>
      </c>
      <c r="QS88" s="323">
        <v>0</v>
      </c>
      <c r="QT88" s="323">
        <v>0</v>
      </c>
      <c r="QU88" s="323">
        <v>0</v>
      </c>
      <c r="QV88" s="323">
        <v>0</v>
      </c>
      <c r="QW88" s="323">
        <v>0</v>
      </c>
      <c r="QX88" s="323">
        <v>4586</v>
      </c>
      <c r="QY88" s="323">
        <v>0</v>
      </c>
      <c r="QZ88" s="323">
        <v>0</v>
      </c>
      <c r="RA88" s="323">
        <v>0</v>
      </c>
      <c r="RB88" s="323">
        <v>0</v>
      </c>
      <c r="RC88" s="323">
        <v>0</v>
      </c>
      <c r="RD88" s="323">
        <v>0</v>
      </c>
      <c r="RE88" s="323">
        <v>0</v>
      </c>
      <c r="RF88" s="323">
        <v>0</v>
      </c>
      <c r="RG88" s="323">
        <v>0</v>
      </c>
      <c r="RH88" s="323">
        <v>0</v>
      </c>
      <c r="RI88" s="323">
        <v>0</v>
      </c>
      <c r="RJ88" s="323">
        <v>0</v>
      </c>
      <c r="RK88" s="323">
        <v>0</v>
      </c>
      <c r="RL88" s="334"/>
      <c r="RM88" s="323" t="s">
        <v>70</v>
      </c>
      <c r="RN88" s="323">
        <v>97328.639999999999</v>
      </c>
      <c r="RO88" s="323">
        <v>91830.86</v>
      </c>
      <c r="RP88" s="323">
        <v>95714.08</v>
      </c>
      <c r="RQ88" s="323">
        <v>92057.279999999999</v>
      </c>
      <c r="RR88" s="323">
        <v>273569.21999999997</v>
      </c>
      <c r="RS88" s="323">
        <v>71308.44</v>
      </c>
      <c r="RT88" s="323">
        <v>85256.48</v>
      </c>
      <c r="RU88" s="323">
        <v>77155.399999999994</v>
      </c>
      <c r="RV88" s="323">
        <v>126481</v>
      </c>
      <c r="RW88" s="323">
        <v>64600</v>
      </c>
      <c r="RX88" s="323">
        <v>137892</v>
      </c>
      <c r="RY88" s="323">
        <v>172623</v>
      </c>
      <c r="RZ88" s="323">
        <v>84700</v>
      </c>
      <c r="SA88" s="323">
        <v>162200</v>
      </c>
      <c r="SB88" s="323">
        <v>135700</v>
      </c>
      <c r="SC88" s="323">
        <v>210074</v>
      </c>
      <c r="SD88" s="323">
        <v>172200</v>
      </c>
      <c r="SE88" s="323">
        <v>198225</v>
      </c>
      <c r="SF88" s="323">
        <v>220225</v>
      </c>
      <c r="SG88" s="323">
        <v>242225</v>
      </c>
      <c r="SH88" s="323">
        <v>405075</v>
      </c>
      <c r="SI88" s="323">
        <v>449360</v>
      </c>
    </row>
    <row r="89" spans="1:503">
      <c r="A89" s="320" t="s">
        <v>300</v>
      </c>
      <c r="B89" s="320">
        <v>1370562</v>
      </c>
      <c r="C89" s="320">
        <v>1445016</v>
      </c>
      <c r="D89" s="320">
        <v>1747599</v>
      </c>
      <c r="E89" s="320">
        <v>2957676</v>
      </c>
      <c r="F89" s="320">
        <v>3492689</v>
      </c>
      <c r="G89" s="320">
        <v>2678090</v>
      </c>
      <c r="H89" s="320">
        <v>2788301</v>
      </c>
      <c r="I89" s="320">
        <v>3246335</v>
      </c>
      <c r="J89" s="320">
        <v>3530126.540000001</v>
      </c>
      <c r="K89" s="320">
        <v>3687937.4200000004</v>
      </c>
      <c r="L89" s="320">
        <v>3723413.9600000004</v>
      </c>
      <c r="M89" s="320">
        <v>3881099.2699999996</v>
      </c>
      <c r="N89" s="320">
        <v>3754280.7899999991</v>
      </c>
      <c r="O89" s="320">
        <v>3440367.5100000002</v>
      </c>
      <c r="P89" s="320">
        <v>3334657.37</v>
      </c>
      <c r="Q89" s="320">
        <v>3418542.8500000006</v>
      </c>
      <c r="R89" s="320">
        <v>3560367.82</v>
      </c>
      <c r="S89" s="323">
        <v>3693446.1300000004</v>
      </c>
      <c r="T89" s="320">
        <v>4022745.95</v>
      </c>
      <c r="U89" s="320">
        <v>4221029.2599999988</v>
      </c>
      <c r="V89" s="320">
        <v>4326408.4700000007</v>
      </c>
      <c r="W89" s="320">
        <v>5492522</v>
      </c>
      <c r="X89" s="330"/>
      <c r="Y89" s="320" t="s">
        <v>300</v>
      </c>
      <c r="Z89" s="320">
        <v>54822.48</v>
      </c>
      <c r="AA89" s="320">
        <v>57800.639999999999</v>
      </c>
      <c r="AB89" s="320">
        <v>52427.97</v>
      </c>
      <c r="AC89" s="320">
        <v>88730.28</v>
      </c>
      <c r="AD89" s="320">
        <v>69853.78</v>
      </c>
      <c r="AE89" s="320">
        <v>80342.7</v>
      </c>
      <c r="AF89" s="320">
        <v>80342.7</v>
      </c>
      <c r="AG89" s="320">
        <v>97390.05</v>
      </c>
      <c r="AH89" s="320">
        <v>87490.97</v>
      </c>
      <c r="AI89" s="320">
        <v>95019.61</v>
      </c>
      <c r="AJ89" s="320">
        <v>99562.2</v>
      </c>
      <c r="AK89" s="320">
        <v>101994.92000000001</v>
      </c>
      <c r="AL89" s="320">
        <v>92503.110000000015</v>
      </c>
      <c r="AM89" s="320">
        <v>98165.16</v>
      </c>
      <c r="AN89" s="320">
        <v>98193.29</v>
      </c>
      <c r="AO89" s="320">
        <v>99469.51</v>
      </c>
      <c r="AP89" s="320">
        <v>100406.76</v>
      </c>
      <c r="AQ89" s="323">
        <v>102447.53000000001</v>
      </c>
      <c r="AR89" s="320">
        <v>102798.81999999998</v>
      </c>
      <c r="AS89" s="320">
        <v>104321.31</v>
      </c>
      <c r="AT89" s="320">
        <v>104630.31</v>
      </c>
      <c r="AU89" s="320">
        <v>108267</v>
      </c>
      <c r="AV89" s="334"/>
      <c r="AW89" s="320" t="s">
        <v>300</v>
      </c>
      <c r="AX89" s="320">
        <v>68528.100000000006</v>
      </c>
      <c r="AY89" s="320">
        <v>72250.8</v>
      </c>
      <c r="AZ89" s="320">
        <v>69903.960000000006</v>
      </c>
      <c r="BA89" s="320">
        <v>88730.28</v>
      </c>
      <c r="BB89" s="320">
        <v>104780.67</v>
      </c>
      <c r="BC89" s="320">
        <v>80342.7</v>
      </c>
      <c r="BD89" s="320">
        <v>83649.03</v>
      </c>
      <c r="BE89" s="320">
        <v>97390.05</v>
      </c>
      <c r="BF89" s="320">
        <v>105239.95</v>
      </c>
      <c r="BG89" s="320">
        <v>107696.98000000001</v>
      </c>
      <c r="BH89" s="320">
        <v>103254.63000000002</v>
      </c>
      <c r="BI89" s="320">
        <v>93782.390000000014</v>
      </c>
      <c r="BJ89" s="320">
        <v>95085.390000000014</v>
      </c>
      <c r="BK89" s="320">
        <v>90225</v>
      </c>
      <c r="BL89" s="320">
        <v>90331.549999999988</v>
      </c>
      <c r="BM89" s="320">
        <v>93645.480000000025</v>
      </c>
      <c r="BN89" s="320">
        <v>96997.23</v>
      </c>
      <c r="BO89" s="323">
        <v>100832.12</v>
      </c>
      <c r="BP89" s="320">
        <v>106879.11</v>
      </c>
      <c r="BQ89" s="320">
        <v>120619.63</v>
      </c>
      <c r="BR89" s="320">
        <v>123859.4</v>
      </c>
      <c r="BS89" s="320">
        <v>154481</v>
      </c>
      <c r="BT89" s="334"/>
      <c r="BU89" s="323" t="s">
        <v>300</v>
      </c>
      <c r="BV89" s="323">
        <v>41116.86</v>
      </c>
      <c r="BW89" s="323">
        <v>14450.16</v>
      </c>
      <c r="BX89" s="323">
        <v>34951.980000000003</v>
      </c>
      <c r="BY89" s="323">
        <v>29576.76</v>
      </c>
      <c r="BZ89" s="323">
        <v>34926.89</v>
      </c>
      <c r="CA89" s="323">
        <v>0</v>
      </c>
      <c r="CB89" s="323">
        <v>55766.02</v>
      </c>
      <c r="CC89" s="323">
        <v>0</v>
      </c>
      <c r="CD89" s="323">
        <v>58055.45</v>
      </c>
      <c r="CE89" s="323">
        <v>14127.379999999997</v>
      </c>
      <c r="CF89" s="323">
        <v>45532.729999999996</v>
      </c>
      <c r="CG89" s="323">
        <v>21325.4</v>
      </c>
      <c r="CH89" s="323">
        <v>72629.659999999989</v>
      </c>
      <c r="CI89" s="323">
        <v>16423.460000000003</v>
      </c>
      <c r="CJ89" s="323">
        <v>46210.469999999994</v>
      </c>
      <c r="CK89" s="323">
        <v>13154.88</v>
      </c>
      <c r="CL89" s="323">
        <v>74207.600000000006</v>
      </c>
      <c r="CM89" s="323">
        <v>16847.600000000002</v>
      </c>
      <c r="CN89" s="323">
        <v>57453.73</v>
      </c>
      <c r="CO89" s="323">
        <v>30006.18</v>
      </c>
      <c r="CP89" s="323">
        <v>77323.960000000006</v>
      </c>
      <c r="CQ89" s="323">
        <v>52609</v>
      </c>
      <c r="CR89" s="334"/>
      <c r="CS89" s="323" t="s">
        <v>300</v>
      </c>
      <c r="CT89" s="323">
        <v>41116.86</v>
      </c>
      <c r="CU89" s="323">
        <v>158951.76</v>
      </c>
      <c r="CV89" s="323">
        <v>314567.82</v>
      </c>
      <c r="CW89" s="323">
        <v>1242223.92</v>
      </c>
      <c r="CX89" s="323">
        <v>1501856.27</v>
      </c>
      <c r="CY89" s="323">
        <v>267809</v>
      </c>
      <c r="CZ89" s="323">
        <v>111532.04</v>
      </c>
      <c r="DA89" s="323">
        <v>32463.35</v>
      </c>
      <c r="DB89" s="323">
        <v>44611.840000000011</v>
      </c>
      <c r="DC89" s="323">
        <v>53119.530000000006</v>
      </c>
      <c r="DD89" s="323">
        <v>49747.69000000001</v>
      </c>
      <c r="DE89" s="323">
        <v>50525.58</v>
      </c>
      <c r="DF89" s="323">
        <v>103260.59000000001</v>
      </c>
      <c r="DG89" s="323">
        <v>70233.259999999995</v>
      </c>
      <c r="DH89" s="323">
        <v>73680.28</v>
      </c>
      <c r="DI89" s="323">
        <v>218542.15999999997</v>
      </c>
      <c r="DJ89" s="323">
        <v>108504.59</v>
      </c>
      <c r="DK89" s="323">
        <v>53696.390000000007</v>
      </c>
      <c r="DL89" s="323">
        <v>61780.91</v>
      </c>
      <c r="DM89" s="323">
        <v>80557.88</v>
      </c>
      <c r="DN89" s="323">
        <v>77780.09</v>
      </c>
      <c r="DO89" s="323">
        <v>794767</v>
      </c>
      <c r="DP89" s="334"/>
      <c r="DQ89" s="323" t="s">
        <v>300</v>
      </c>
      <c r="DR89" s="323">
        <v>95939.34</v>
      </c>
      <c r="DS89" s="323">
        <v>130051.44</v>
      </c>
      <c r="DT89" s="323">
        <v>0</v>
      </c>
      <c r="DU89" s="323">
        <v>0</v>
      </c>
      <c r="DV89" s="323">
        <v>0</v>
      </c>
      <c r="DW89" s="323">
        <v>0</v>
      </c>
      <c r="DX89" s="323">
        <v>0</v>
      </c>
      <c r="DY89" s="323">
        <v>0</v>
      </c>
      <c r="DZ89" s="323">
        <v>0</v>
      </c>
      <c r="EA89" s="323">
        <v>0</v>
      </c>
      <c r="EB89" s="323">
        <v>0</v>
      </c>
      <c r="EC89" s="323">
        <v>0</v>
      </c>
      <c r="ED89" s="323">
        <v>0</v>
      </c>
      <c r="EE89" s="323">
        <v>0</v>
      </c>
      <c r="EF89" s="323">
        <v>0</v>
      </c>
      <c r="EG89" s="323">
        <v>0</v>
      </c>
      <c r="EH89" s="323">
        <v>0</v>
      </c>
      <c r="EI89" s="323">
        <v>0</v>
      </c>
      <c r="EJ89" s="323">
        <v>0</v>
      </c>
      <c r="EK89" s="323">
        <v>0</v>
      </c>
      <c r="EL89" s="323">
        <v>0</v>
      </c>
      <c r="EM89" s="323">
        <v>0</v>
      </c>
      <c r="EN89" s="334"/>
      <c r="EO89" s="323" t="s">
        <v>300</v>
      </c>
      <c r="EP89" s="323">
        <v>13705.62</v>
      </c>
      <c r="EQ89" s="323">
        <v>14450.16</v>
      </c>
      <c r="ER89" s="323">
        <v>17475.990000000002</v>
      </c>
      <c r="ES89" s="323">
        <v>29576.76</v>
      </c>
      <c r="ET89" s="323">
        <v>34926.89</v>
      </c>
      <c r="EU89" s="323">
        <v>26780.9</v>
      </c>
      <c r="EV89" s="323">
        <v>27883.01</v>
      </c>
      <c r="EW89" s="323">
        <v>32463.35</v>
      </c>
      <c r="EX89" s="323">
        <v>52317.51999999999</v>
      </c>
      <c r="EY89" s="323">
        <v>51819.369999999995</v>
      </c>
      <c r="EZ89" s="323">
        <v>50618.45</v>
      </c>
      <c r="FA89" s="323">
        <v>55628.579999999994</v>
      </c>
      <c r="FB89" s="323">
        <v>54195.409999999996</v>
      </c>
      <c r="FC89" s="323">
        <v>53698.93</v>
      </c>
      <c r="FD89" s="323">
        <v>53399.499999999993</v>
      </c>
      <c r="FE89" s="323">
        <v>48153.69</v>
      </c>
      <c r="FF89" s="323">
        <v>47361.890000000007</v>
      </c>
      <c r="FG89" s="323">
        <v>51355.88</v>
      </c>
      <c r="FH89" s="323">
        <v>47957.009999999995</v>
      </c>
      <c r="FI89" s="323">
        <v>48269.119999999995</v>
      </c>
      <c r="FJ89" s="323">
        <v>47561.26</v>
      </c>
      <c r="FK89" s="323">
        <v>49641</v>
      </c>
      <c r="FL89" s="334"/>
      <c r="FM89" s="323" t="s">
        <v>300</v>
      </c>
      <c r="FN89" s="323">
        <v>54822.48</v>
      </c>
      <c r="FO89" s="323">
        <v>57800.639999999999</v>
      </c>
      <c r="FP89" s="323">
        <v>69903.960000000006</v>
      </c>
      <c r="FQ89" s="323">
        <v>59153.52</v>
      </c>
      <c r="FR89" s="323">
        <v>69853.78</v>
      </c>
      <c r="FS89" s="323">
        <v>80342.7</v>
      </c>
      <c r="FT89" s="323">
        <v>83649.03</v>
      </c>
      <c r="FU89" s="323">
        <v>97390.05</v>
      </c>
      <c r="FV89" s="323">
        <v>91896.459999999992</v>
      </c>
      <c r="FW89" s="323">
        <v>96507.11</v>
      </c>
      <c r="FX89" s="323">
        <v>97176.01999999999</v>
      </c>
      <c r="FY89" s="323">
        <v>103545.7</v>
      </c>
      <c r="FZ89" s="323">
        <v>94859.86</v>
      </c>
      <c r="GA89" s="323">
        <v>93917.07</v>
      </c>
      <c r="GB89" s="323">
        <v>90454.96</v>
      </c>
      <c r="GC89" s="323">
        <v>99648.939999999988</v>
      </c>
      <c r="GD89" s="323">
        <v>92482.62</v>
      </c>
      <c r="GE89" s="323">
        <v>95933.14</v>
      </c>
      <c r="GF89" s="341">
        <v>99861.19</v>
      </c>
      <c r="GG89" s="705">
        <v>98833.279999999999</v>
      </c>
      <c r="GH89" s="705">
        <v>94265.64</v>
      </c>
      <c r="GI89" s="705">
        <v>107270</v>
      </c>
      <c r="GJ89" s="334"/>
      <c r="GK89" s="323" t="s">
        <v>300</v>
      </c>
      <c r="GL89" s="323">
        <v>13705.62</v>
      </c>
      <c r="GM89" s="323">
        <v>14450.16</v>
      </c>
      <c r="GN89" s="323">
        <v>17475.990000000002</v>
      </c>
      <c r="GO89" s="323">
        <v>29576.76</v>
      </c>
      <c r="GP89" s="323">
        <v>34926.89</v>
      </c>
      <c r="GQ89" s="323">
        <v>26780.9</v>
      </c>
      <c r="GR89" s="323">
        <v>27883.01</v>
      </c>
      <c r="GS89" s="323">
        <v>64926.7</v>
      </c>
      <c r="GT89" s="323">
        <v>61677.62999999999</v>
      </c>
      <c r="GU89" s="323">
        <v>68802.78</v>
      </c>
      <c r="GV89" s="323">
        <v>66428.39</v>
      </c>
      <c r="GW89" s="323">
        <v>68022.42</v>
      </c>
      <c r="GX89" s="323">
        <v>67838.150000000009</v>
      </c>
      <c r="GY89" s="323">
        <v>65086.360000000008</v>
      </c>
      <c r="GZ89" s="323">
        <v>65857.08</v>
      </c>
      <c r="HA89" s="323">
        <v>69296.830000000016</v>
      </c>
      <c r="HB89" s="323">
        <v>72385.929999999993</v>
      </c>
      <c r="HC89" s="323">
        <v>72694.38</v>
      </c>
      <c r="HD89" s="323">
        <v>74781.110000000015</v>
      </c>
      <c r="HE89" s="323">
        <v>74145.669999999969</v>
      </c>
      <c r="HF89" s="323">
        <v>74185.66</v>
      </c>
      <c r="HG89" s="323">
        <v>76609</v>
      </c>
      <c r="HH89" s="334"/>
      <c r="HI89" s="323" t="s">
        <v>300</v>
      </c>
      <c r="HJ89" s="323">
        <v>13705.62</v>
      </c>
      <c r="HK89" s="323">
        <v>14450.16</v>
      </c>
      <c r="HL89" s="323">
        <v>17475.990000000002</v>
      </c>
      <c r="HM89" s="323">
        <v>29576.76</v>
      </c>
      <c r="HN89" s="323">
        <v>34926.89</v>
      </c>
      <c r="HO89" s="323">
        <v>26780.9</v>
      </c>
      <c r="HP89" s="323">
        <v>27883.01</v>
      </c>
      <c r="HQ89" s="323">
        <v>0</v>
      </c>
      <c r="HR89" s="323">
        <v>10079.490000000002</v>
      </c>
      <c r="HS89" s="323">
        <v>10640.130000000001</v>
      </c>
      <c r="HT89" s="323">
        <v>9190.5600000000013</v>
      </c>
      <c r="HU89" s="323">
        <v>10825.04</v>
      </c>
      <c r="HV89" s="323">
        <v>9735.840000000002</v>
      </c>
      <c r="HW89" s="323">
        <v>10732.99</v>
      </c>
      <c r="HX89" s="323">
        <v>10443.32</v>
      </c>
      <c r="HY89" s="323">
        <v>9502.8900000000012</v>
      </c>
      <c r="HZ89" s="323">
        <v>10008.800000000001</v>
      </c>
      <c r="IA89" s="323">
        <v>12480.060000000001</v>
      </c>
      <c r="IB89" s="323">
        <v>9208.2899999999991</v>
      </c>
      <c r="IC89" s="323">
        <v>10996.75</v>
      </c>
      <c r="ID89" s="323">
        <v>13159.550000000001</v>
      </c>
      <c r="IE89" s="323">
        <v>15375</v>
      </c>
      <c r="IF89" s="334"/>
      <c r="IG89" s="323" t="s">
        <v>300</v>
      </c>
      <c r="IH89" s="323">
        <v>0</v>
      </c>
      <c r="II89" s="323">
        <v>0</v>
      </c>
      <c r="IJ89" s="323">
        <v>0</v>
      </c>
      <c r="IK89" s="323">
        <v>0</v>
      </c>
      <c r="IL89" s="323">
        <v>0</v>
      </c>
      <c r="IM89" s="323">
        <v>0</v>
      </c>
      <c r="IN89" s="323">
        <v>0</v>
      </c>
      <c r="IO89" s="323">
        <v>0</v>
      </c>
      <c r="IP89" s="323">
        <v>0</v>
      </c>
      <c r="IQ89" s="323">
        <v>0</v>
      </c>
      <c r="IR89" s="323">
        <v>0</v>
      </c>
      <c r="IS89" s="323">
        <v>0</v>
      </c>
      <c r="IT89" s="323">
        <v>0</v>
      </c>
      <c r="IU89" s="323">
        <v>0</v>
      </c>
      <c r="IV89" s="323"/>
      <c r="IW89" s="322"/>
      <c r="IX89" s="323"/>
      <c r="IY89" s="323"/>
      <c r="IZ89" s="323"/>
      <c r="JA89" s="323"/>
      <c r="JB89" s="323"/>
      <c r="JC89" s="323"/>
      <c r="JD89" s="334"/>
      <c r="JE89" s="323" t="s">
        <v>300</v>
      </c>
      <c r="JF89" s="323">
        <v>13705.62</v>
      </c>
      <c r="JG89" s="323">
        <v>14450.16</v>
      </c>
      <c r="JH89" s="323">
        <v>17475.990000000002</v>
      </c>
      <c r="JI89" s="323">
        <v>0</v>
      </c>
      <c r="JJ89" s="323">
        <v>0</v>
      </c>
      <c r="JK89" s="323">
        <v>26780.9</v>
      </c>
      <c r="JL89" s="323">
        <v>0</v>
      </c>
      <c r="JM89" s="323">
        <v>0</v>
      </c>
      <c r="JN89" s="323">
        <v>6371.42</v>
      </c>
      <c r="JO89" s="323">
        <v>5894.0399999999991</v>
      </c>
      <c r="JP89" s="323">
        <v>4913.25</v>
      </c>
      <c r="JQ89" s="323">
        <v>6409.9499999999989</v>
      </c>
      <c r="JR89" s="323">
        <v>7898.37</v>
      </c>
      <c r="JS89" s="323">
        <v>8907.7599999999984</v>
      </c>
      <c r="JT89" s="323">
        <v>9666.27</v>
      </c>
      <c r="JU89" s="323">
        <v>12528.82</v>
      </c>
      <c r="JV89" s="323">
        <v>10155.250000000002</v>
      </c>
      <c r="JW89" s="323">
        <v>8316.2900000000009</v>
      </c>
      <c r="JX89" s="323">
        <v>8195.59</v>
      </c>
      <c r="JY89" s="323">
        <v>16371.86</v>
      </c>
      <c r="JZ89" s="323">
        <v>7234.55</v>
      </c>
      <c r="KA89" s="323">
        <v>23019</v>
      </c>
      <c r="KB89" s="334"/>
      <c r="KC89" s="323" t="s">
        <v>300</v>
      </c>
      <c r="KD89" s="323">
        <v>27411.24</v>
      </c>
      <c r="KE89" s="323">
        <v>28900.32</v>
      </c>
      <c r="KF89" s="323">
        <v>17475.990000000002</v>
      </c>
      <c r="KG89" s="323">
        <v>29576.76</v>
      </c>
      <c r="KH89" s="323">
        <v>34926.89</v>
      </c>
      <c r="KI89" s="323">
        <v>26780.9</v>
      </c>
      <c r="KJ89" s="323">
        <v>27883.01</v>
      </c>
      <c r="KK89" s="323">
        <v>32463.35</v>
      </c>
      <c r="KL89" s="323">
        <v>25649.350000000002</v>
      </c>
      <c r="KM89" s="323">
        <v>29547.59</v>
      </c>
      <c r="KN89" s="323">
        <v>28605.06</v>
      </c>
      <c r="KO89" s="323">
        <v>27320.569999999996</v>
      </c>
      <c r="KP89" s="323">
        <v>27430.160000000003</v>
      </c>
      <c r="KQ89" s="323">
        <v>29912.989999999994</v>
      </c>
      <c r="KR89" s="323">
        <v>24891.480000000003</v>
      </c>
      <c r="KS89" s="323">
        <v>23950.27</v>
      </c>
      <c r="KT89" s="323">
        <v>35183.83</v>
      </c>
      <c r="KU89" s="323">
        <v>35456.340000000004</v>
      </c>
      <c r="KV89" s="323">
        <v>29917.58</v>
      </c>
      <c r="KW89" s="323">
        <v>29088.229999999996</v>
      </c>
      <c r="KX89" s="323">
        <v>28668.14</v>
      </c>
      <c r="KY89" s="323">
        <v>27484</v>
      </c>
      <c r="KZ89" s="334"/>
      <c r="LA89" s="323" t="s">
        <v>300</v>
      </c>
      <c r="LB89" s="323">
        <v>68528.100000000006</v>
      </c>
      <c r="LC89" s="323">
        <v>14450.16</v>
      </c>
      <c r="LD89" s="323">
        <v>69903.960000000006</v>
      </c>
      <c r="LE89" s="323">
        <v>59153.52</v>
      </c>
      <c r="LF89" s="323">
        <v>34926.89</v>
      </c>
      <c r="LG89" s="323">
        <v>133904.5</v>
      </c>
      <c r="LH89" s="323">
        <v>167298.06</v>
      </c>
      <c r="LI89" s="323">
        <v>422023.55</v>
      </c>
      <c r="LJ89" s="323">
        <v>197820.23</v>
      </c>
      <c r="LK89" s="323">
        <v>197882.49000000002</v>
      </c>
      <c r="LL89" s="323">
        <v>162576.42000000004</v>
      </c>
      <c r="LM89" s="323">
        <v>251305.25999999998</v>
      </c>
      <c r="LN89" s="323">
        <v>153445.33000000002</v>
      </c>
      <c r="LO89" s="323">
        <v>154140.95000000001</v>
      </c>
      <c r="LP89" s="323">
        <v>175222.19</v>
      </c>
      <c r="LQ89" s="323">
        <v>159802.88</v>
      </c>
      <c r="LR89" s="323">
        <v>164965.97</v>
      </c>
      <c r="LS89" s="323">
        <v>67645.55</v>
      </c>
      <c r="LT89" s="323">
        <v>83770.940000000017</v>
      </c>
      <c r="LU89" s="323">
        <v>91716.6</v>
      </c>
      <c r="LV89" s="323">
        <v>106675.99</v>
      </c>
      <c r="LW89" s="323">
        <v>139275</v>
      </c>
      <c r="LX89" s="334"/>
      <c r="LY89" s="323" t="s">
        <v>300</v>
      </c>
      <c r="LZ89" s="323">
        <v>164467.44</v>
      </c>
      <c r="MA89" s="323">
        <v>173401.92</v>
      </c>
      <c r="MB89" s="323">
        <v>227187.87</v>
      </c>
      <c r="MC89" s="323">
        <v>236614.08</v>
      </c>
      <c r="MD89" s="323">
        <v>279415.12</v>
      </c>
      <c r="ME89" s="323">
        <v>267809</v>
      </c>
      <c r="MF89" s="323">
        <v>250947.09</v>
      </c>
      <c r="MG89" s="323">
        <v>259706.8</v>
      </c>
      <c r="MH89" s="323">
        <v>287681.18000000005</v>
      </c>
      <c r="MI89" s="323">
        <v>338029.53</v>
      </c>
      <c r="MJ89" s="323">
        <v>350718.41000000003</v>
      </c>
      <c r="MK89" s="323">
        <v>343972.99</v>
      </c>
      <c r="ML89" s="323">
        <v>329536.13000000006</v>
      </c>
      <c r="MM89" s="323">
        <v>317545.13999999996</v>
      </c>
      <c r="MN89" s="323">
        <v>254105.97000000003</v>
      </c>
      <c r="MO89" s="323">
        <v>319372.85000000003</v>
      </c>
      <c r="MP89" s="323">
        <v>367748.24000000005</v>
      </c>
      <c r="MQ89" s="323">
        <v>480150.68999999989</v>
      </c>
      <c r="MR89" s="323">
        <v>559778.88</v>
      </c>
      <c r="MS89" s="323">
        <v>460168.78999999992</v>
      </c>
      <c r="MT89" s="323">
        <v>477935.35</v>
      </c>
      <c r="MU89" s="323">
        <v>496839</v>
      </c>
      <c r="MV89" s="334"/>
      <c r="MW89" s="323" t="s">
        <v>300</v>
      </c>
      <c r="MX89" s="323">
        <v>589341.66</v>
      </c>
      <c r="MY89" s="323">
        <v>549106.07999999996</v>
      </c>
      <c r="MZ89" s="323">
        <v>681563.61</v>
      </c>
      <c r="NA89" s="323">
        <v>887302.8</v>
      </c>
      <c r="NB89" s="323">
        <v>1082733.5900000001</v>
      </c>
      <c r="NC89" s="323">
        <v>1472949.5</v>
      </c>
      <c r="ND89" s="323">
        <v>1700863.61</v>
      </c>
      <c r="NE89" s="323">
        <v>1947801</v>
      </c>
      <c r="NF89" s="323">
        <v>2080488.2100000007</v>
      </c>
      <c r="NG89" s="323">
        <v>2181753.2999999998</v>
      </c>
      <c r="NH89" s="323">
        <v>2220060.27</v>
      </c>
      <c r="NI89" s="323">
        <v>2284817.6599999997</v>
      </c>
      <c r="NJ89" s="323">
        <v>2286767.5699999994</v>
      </c>
      <c r="NK89" s="323">
        <v>2085033</v>
      </c>
      <c r="NL89" s="323">
        <v>2071527.9100000004</v>
      </c>
      <c r="NM89" s="323">
        <v>2105568.75</v>
      </c>
      <c r="NN89" s="323">
        <v>2234391.2799999998</v>
      </c>
      <c r="NO89" s="323">
        <v>2441375.2600000007</v>
      </c>
      <c r="NP89" s="323">
        <v>2604172.5900000003</v>
      </c>
      <c r="NQ89" s="323">
        <v>2872225.2199999993</v>
      </c>
      <c r="NR89" s="323">
        <v>2874953.77</v>
      </c>
      <c r="NS89" s="323">
        <v>3070419</v>
      </c>
      <c r="NT89" s="334"/>
      <c r="NU89" s="323" t="s">
        <v>300</v>
      </c>
      <c r="NV89" s="323">
        <v>54822.48</v>
      </c>
      <c r="NW89" s="323">
        <v>57800.639999999999</v>
      </c>
      <c r="NX89" s="323">
        <v>69903.960000000006</v>
      </c>
      <c r="NY89" s="323">
        <v>88730.28</v>
      </c>
      <c r="NZ89" s="323">
        <v>104780.67</v>
      </c>
      <c r="OA89" s="323">
        <v>107123.6</v>
      </c>
      <c r="OB89" s="323">
        <v>83649.03</v>
      </c>
      <c r="OC89" s="323">
        <v>97390.05</v>
      </c>
      <c r="OD89" s="323">
        <v>92980.159999999974</v>
      </c>
      <c r="OE89" s="323">
        <v>108454.52999999998</v>
      </c>
      <c r="OF89" s="323">
        <v>100471.78000000003</v>
      </c>
      <c r="OG89" s="323">
        <v>96126.280000000013</v>
      </c>
      <c r="OH89" s="323">
        <v>86889.040000000008</v>
      </c>
      <c r="OI89" s="323">
        <v>88807.390000000014</v>
      </c>
      <c r="OJ89" s="323">
        <v>78383.700000000012</v>
      </c>
      <c r="OK89" s="323">
        <v>87525.51</v>
      </c>
      <c r="OL89" s="323">
        <v>84396.809999999983</v>
      </c>
      <c r="OM89" s="323">
        <v>100736.13999999998</v>
      </c>
      <c r="ON89" s="323">
        <v>100599.40000000001</v>
      </c>
      <c r="OO89" s="323">
        <v>103026.07999999999</v>
      </c>
      <c r="OP89" s="323">
        <v>129202.80000000002</v>
      </c>
      <c r="OQ89" s="323">
        <v>148123</v>
      </c>
      <c r="OR89" s="334"/>
      <c r="OS89" s="323" t="s">
        <v>300</v>
      </c>
      <c r="OT89" s="323">
        <v>41116.86</v>
      </c>
      <c r="OU89" s="323">
        <v>43350.48</v>
      </c>
      <c r="OV89" s="323">
        <v>52427.97</v>
      </c>
      <c r="OW89" s="323">
        <v>29576.76</v>
      </c>
      <c r="OX89" s="323">
        <v>34926.89</v>
      </c>
      <c r="OY89" s="323">
        <v>26780.9</v>
      </c>
      <c r="OZ89" s="323">
        <v>27883.01</v>
      </c>
      <c r="PA89" s="323">
        <v>32463.35</v>
      </c>
      <c r="PB89" s="323">
        <v>30129.260000000002</v>
      </c>
      <c r="PC89" s="323">
        <v>38537.769999999997</v>
      </c>
      <c r="PD89" s="323">
        <v>32788.61</v>
      </c>
      <c r="PE89" s="323">
        <v>26117.810000000005</v>
      </c>
      <c r="PF89" s="323">
        <v>32011.599999999999</v>
      </c>
      <c r="PG89" s="323">
        <v>25508.980000000003</v>
      </c>
      <c r="PH89" s="323">
        <v>30171.1</v>
      </c>
      <c r="PI89" s="323">
        <v>33266.61</v>
      </c>
      <c r="PJ89" s="323">
        <v>35317.980000000003</v>
      </c>
      <c r="PK89" s="323">
        <v>32691.340000000004</v>
      </c>
      <c r="PL89" s="323">
        <v>37877.759999999995</v>
      </c>
      <c r="PM89" s="323">
        <v>41091.72</v>
      </c>
      <c r="PN89" s="323">
        <v>46713.32</v>
      </c>
      <c r="PO89" s="323">
        <v>49017</v>
      </c>
      <c r="PP89" s="334"/>
      <c r="PQ89" s="323" t="s">
        <v>300</v>
      </c>
      <c r="PR89" s="323">
        <v>0</v>
      </c>
      <c r="PS89" s="323">
        <v>14450.16</v>
      </c>
      <c r="PT89" s="323">
        <v>0</v>
      </c>
      <c r="PU89" s="323">
        <v>0</v>
      </c>
      <c r="PV89" s="323">
        <v>0</v>
      </c>
      <c r="PW89" s="323">
        <v>0</v>
      </c>
      <c r="PX89" s="323">
        <v>0</v>
      </c>
      <c r="PY89" s="323">
        <v>0</v>
      </c>
      <c r="PZ89" s="323">
        <v>14063.02</v>
      </c>
      <c r="QA89" s="323">
        <v>17821.28</v>
      </c>
      <c r="QB89" s="323">
        <v>17243.809999999998</v>
      </c>
      <c r="QC89" s="323">
        <v>16515.75</v>
      </c>
      <c r="QD89" s="323">
        <v>18849.38</v>
      </c>
      <c r="QE89" s="323">
        <v>17529.170000000002</v>
      </c>
      <c r="QF89" s="323">
        <v>18294.650000000001</v>
      </c>
      <c r="QG89" s="323">
        <v>19585.87</v>
      </c>
      <c r="QH89" s="323">
        <v>17646.88</v>
      </c>
      <c r="QI89" s="323">
        <v>15864.460000000001</v>
      </c>
      <c r="QJ89" s="323">
        <v>17606.800000000003</v>
      </c>
      <c r="QK89" s="323">
        <v>18827.64</v>
      </c>
      <c r="QL89" s="323">
        <v>19985.759999999998</v>
      </c>
      <c r="QM89" s="323">
        <v>19951</v>
      </c>
      <c r="QN89" s="334"/>
      <c r="QO89" s="323" t="s">
        <v>300</v>
      </c>
      <c r="QP89" s="323">
        <v>0</v>
      </c>
      <c r="QQ89" s="323">
        <v>0</v>
      </c>
      <c r="QR89" s="323">
        <v>0</v>
      </c>
      <c r="QS89" s="323">
        <v>0</v>
      </c>
      <c r="QT89" s="323">
        <v>0</v>
      </c>
      <c r="QU89" s="323">
        <v>0</v>
      </c>
      <c r="QV89" s="323">
        <v>0</v>
      </c>
      <c r="QW89" s="323">
        <v>0</v>
      </c>
      <c r="QX89" s="323">
        <v>800</v>
      </c>
      <c r="QY89" s="323">
        <v>800</v>
      </c>
      <c r="QZ89" s="323">
        <v>2727</v>
      </c>
      <c r="RA89" s="323">
        <v>2727</v>
      </c>
      <c r="RB89" s="323">
        <v>2727</v>
      </c>
      <c r="RC89" s="323">
        <v>2727</v>
      </c>
      <c r="RD89" s="323">
        <v>5349.7</v>
      </c>
      <c r="RE89" s="323">
        <v>3708.7</v>
      </c>
      <c r="RF89" s="323">
        <v>3778.1</v>
      </c>
      <c r="RG89" s="323">
        <v>3813.1</v>
      </c>
      <c r="RH89" s="323">
        <v>18980.099999999999</v>
      </c>
      <c r="RI89" s="323">
        <v>19623.54</v>
      </c>
      <c r="RJ89" s="323">
        <v>19104.919999999998</v>
      </c>
      <c r="RK89" s="323">
        <v>19200</v>
      </c>
      <c r="RL89" s="334"/>
      <c r="RM89" s="323" t="s">
        <v>300</v>
      </c>
      <c r="RN89" s="323">
        <v>13705.62</v>
      </c>
      <c r="RO89" s="323">
        <v>14450.16</v>
      </c>
      <c r="RP89" s="323">
        <v>17475.990000000002</v>
      </c>
      <c r="RQ89" s="323">
        <v>29576.76</v>
      </c>
      <c r="RR89" s="323">
        <v>34926.89</v>
      </c>
      <c r="RS89" s="323">
        <v>26780.9</v>
      </c>
      <c r="RT89" s="323">
        <v>27883.01</v>
      </c>
      <c r="RU89" s="323">
        <v>32463.35</v>
      </c>
      <c r="RV89" s="323">
        <v>17312.8</v>
      </c>
      <c r="RW89" s="323">
        <v>6022.4</v>
      </c>
      <c r="RX89" s="323">
        <v>16337.08</v>
      </c>
      <c r="RY89" s="323">
        <v>54674.369999999995</v>
      </c>
      <c r="RZ89" s="323">
        <v>52009.2</v>
      </c>
      <c r="SA89" s="323">
        <v>115772.9</v>
      </c>
      <c r="SB89" s="323">
        <v>138473.95000000001</v>
      </c>
      <c r="SC89" s="323">
        <v>1818.21</v>
      </c>
      <c r="SD89" s="323">
        <v>4428.0600000000004</v>
      </c>
      <c r="SE89" s="323">
        <v>1109.8599999999999</v>
      </c>
      <c r="SF89" s="323">
        <v>1126.1400000000001</v>
      </c>
      <c r="SG89" s="323">
        <v>1139.76</v>
      </c>
      <c r="SH89" s="323">
        <v>3168</v>
      </c>
      <c r="SI89" s="323">
        <v>0</v>
      </c>
    </row>
    <row r="90" spans="1:503">
      <c r="A90" s="319" t="s">
        <v>301</v>
      </c>
      <c r="B90" s="319">
        <v>2835091</v>
      </c>
      <c r="C90" s="319">
        <v>2727393</v>
      </c>
      <c r="D90" s="319">
        <v>3056766</v>
      </c>
      <c r="E90" s="319">
        <v>3095443</v>
      </c>
      <c r="F90" s="319">
        <v>3434591</v>
      </c>
      <c r="G90" s="319">
        <v>3720575</v>
      </c>
      <c r="H90" s="319">
        <v>3884412</v>
      </c>
      <c r="I90" s="319">
        <v>3842561</v>
      </c>
      <c r="J90" s="319">
        <v>4077423.9000000004</v>
      </c>
      <c r="K90" s="319">
        <v>4231299.9759999998</v>
      </c>
      <c r="L90" s="319">
        <v>4273296.9399999995</v>
      </c>
      <c r="M90" s="319">
        <v>4185437.7</v>
      </c>
      <c r="N90" s="319">
        <v>4461684.1899999995</v>
      </c>
      <c r="O90" s="319">
        <v>4185035.0199999996</v>
      </c>
      <c r="P90" s="319">
        <v>4885701.74</v>
      </c>
      <c r="Q90" s="319">
        <v>5251080.370000001</v>
      </c>
      <c r="R90" s="319">
        <v>7790125.8400000008</v>
      </c>
      <c r="S90" s="322"/>
      <c r="T90" s="319"/>
      <c r="U90" s="319"/>
      <c r="V90" s="319"/>
      <c r="W90" s="319"/>
      <c r="X90" s="330"/>
      <c r="Y90" s="319" t="s">
        <v>301</v>
      </c>
      <c r="Z90" s="319">
        <v>85052.73</v>
      </c>
      <c r="AA90" s="319">
        <v>81821.789999999994</v>
      </c>
      <c r="AB90" s="319">
        <v>91702.98</v>
      </c>
      <c r="AC90" s="319">
        <v>92863.29</v>
      </c>
      <c r="AD90" s="319">
        <v>103037.73</v>
      </c>
      <c r="AE90" s="319">
        <v>111617.25</v>
      </c>
      <c r="AF90" s="319">
        <v>111617.25</v>
      </c>
      <c r="AG90" s="319">
        <v>115276.83</v>
      </c>
      <c r="AH90" s="319">
        <v>120878.77000000002</v>
      </c>
      <c r="AI90" s="319">
        <v>120195.01000000001</v>
      </c>
      <c r="AJ90" s="319">
        <v>119832.59999999999</v>
      </c>
      <c r="AK90" s="319">
        <v>129635.36</v>
      </c>
      <c r="AL90" s="319">
        <v>133090.57999999996</v>
      </c>
      <c r="AM90" s="319">
        <v>136915.72999999998</v>
      </c>
      <c r="AN90" s="319">
        <v>139052.31999999998</v>
      </c>
      <c r="AO90" s="319">
        <v>146463.03</v>
      </c>
      <c r="AP90" s="319">
        <v>160704.48000000001</v>
      </c>
      <c r="AQ90" s="322"/>
      <c r="AR90" s="319"/>
      <c r="AS90" s="319"/>
      <c r="AT90" s="319"/>
      <c r="AU90" s="319"/>
      <c r="AV90" s="334"/>
      <c r="AW90" s="319" t="s">
        <v>301</v>
      </c>
      <c r="AX90" s="319">
        <v>85052.73</v>
      </c>
      <c r="AY90" s="319">
        <v>109095.72</v>
      </c>
      <c r="AZ90" s="319">
        <v>91702.98</v>
      </c>
      <c r="BA90" s="319">
        <v>92863.29</v>
      </c>
      <c r="BB90" s="319">
        <v>103037.73</v>
      </c>
      <c r="BC90" s="319">
        <v>111617.25</v>
      </c>
      <c r="BD90" s="319">
        <v>116532.36</v>
      </c>
      <c r="BE90" s="319">
        <v>115276.83</v>
      </c>
      <c r="BF90" s="319">
        <v>127831.12000000001</v>
      </c>
      <c r="BG90" s="319">
        <v>129080.90000000001</v>
      </c>
      <c r="BH90" s="319">
        <v>135308.57999999999</v>
      </c>
      <c r="BI90" s="319">
        <v>124897.79000000001</v>
      </c>
      <c r="BJ90" s="319">
        <v>158926.6</v>
      </c>
      <c r="BK90" s="319">
        <v>150736.40999999997</v>
      </c>
      <c r="BL90" s="319">
        <v>160324.36000000002</v>
      </c>
      <c r="BM90" s="319">
        <v>162254.23000000001</v>
      </c>
      <c r="BN90" s="319">
        <v>172047.09</v>
      </c>
      <c r="BO90" s="322"/>
      <c r="BP90" s="319"/>
      <c r="BQ90" s="319"/>
      <c r="BR90" s="319"/>
      <c r="BS90" s="319"/>
      <c r="BT90" s="334"/>
      <c r="BU90" s="322" t="s">
        <v>301</v>
      </c>
      <c r="BV90" s="322">
        <v>28350.91</v>
      </c>
      <c r="BW90" s="322">
        <v>0</v>
      </c>
      <c r="BX90" s="322">
        <v>30567.66</v>
      </c>
      <c r="BY90" s="322">
        <v>0</v>
      </c>
      <c r="BZ90" s="322">
        <v>34345.910000000003</v>
      </c>
      <c r="CA90" s="322">
        <v>37205.75</v>
      </c>
      <c r="CB90" s="322">
        <v>38844.120000000003</v>
      </c>
      <c r="CC90" s="322">
        <v>0</v>
      </c>
      <c r="CD90" s="322">
        <v>41665.79</v>
      </c>
      <c r="CE90" s="322">
        <v>69820.45</v>
      </c>
      <c r="CF90" s="322">
        <v>116328.98999999999</v>
      </c>
      <c r="CG90" s="322">
        <v>31629.09</v>
      </c>
      <c r="CH90" s="322">
        <v>48910.57</v>
      </c>
      <c r="CI90" s="322">
        <v>6985.26</v>
      </c>
      <c r="CJ90" s="322">
        <v>52814.12</v>
      </c>
      <c r="CK90" s="322">
        <v>6537.88</v>
      </c>
      <c r="CL90" s="322">
        <v>152027.57</v>
      </c>
      <c r="CM90" s="322"/>
      <c r="CN90" s="322"/>
      <c r="CO90" s="322"/>
      <c r="CP90" s="322"/>
      <c r="CQ90" s="322"/>
      <c r="CR90" s="334"/>
      <c r="CS90" s="322" t="s">
        <v>301</v>
      </c>
      <c r="CT90" s="322">
        <v>85052.73</v>
      </c>
      <c r="CU90" s="322">
        <v>54547.86</v>
      </c>
      <c r="CV90" s="322">
        <v>61135.32</v>
      </c>
      <c r="CW90" s="322">
        <v>61908.86</v>
      </c>
      <c r="CX90" s="322">
        <v>68691.820000000007</v>
      </c>
      <c r="CY90" s="322">
        <v>74411.5</v>
      </c>
      <c r="CZ90" s="322">
        <v>77688.240000000005</v>
      </c>
      <c r="DA90" s="322">
        <v>76851.22</v>
      </c>
      <c r="DB90" s="322">
        <v>71816.13</v>
      </c>
      <c r="DC90" s="322">
        <v>73196.975999999981</v>
      </c>
      <c r="DD90" s="322">
        <v>88842.43</v>
      </c>
      <c r="DE90" s="322">
        <v>102296.70999999998</v>
      </c>
      <c r="DF90" s="322">
        <v>98920.440000000017</v>
      </c>
      <c r="DG90" s="322">
        <v>99441.479999999981</v>
      </c>
      <c r="DH90" s="322">
        <v>105535.06000000001</v>
      </c>
      <c r="DI90" s="322">
        <v>120630.87000000001</v>
      </c>
      <c r="DJ90" s="322">
        <v>109789.23</v>
      </c>
      <c r="DK90" s="322"/>
      <c r="DL90" s="322"/>
      <c r="DM90" s="322"/>
      <c r="DN90" s="322"/>
      <c r="DO90" s="322"/>
      <c r="DP90" s="334"/>
      <c r="DQ90" s="322" t="s">
        <v>301</v>
      </c>
      <c r="DR90" s="322">
        <v>0</v>
      </c>
      <c r="DS90" s="322">
        <v>0</v>
      </c>
      <c r="DT90" s="322">
        <v>0</v>
      </c>
      <c r="DU90" s="322">
        <v>0</v>
      </c>
      <c r="DV90" s="322">
        <v>0</v>
      </c>
      <c r="DW90" s="322">
        <v>0</v>
      </c>
      <c r="DX90" s="322">
        <v>0</v>
      </c>
      <c r="DY90" s="322">
        <v>0</v>
      </c>
      <c r="DZ90" s="322">
        <v>0</v>
      </c>
      <c r="EA90" s="322">
        <v>0</v>
      </c>
      <c r="EB90" s="322">
        <v>0</v>
      </c>
      <c r="EC90" s="322">
        <v>0</v>
      </c>
      <c r="ED90" s="322">
        <v>0</v>
      </c>
      <c r="EE90" s="322">
        <v>0</v>
      </c>
      <c r="EF90" s="322">
        <v>0</v>
      </c>
      <c r="EG90" s="322">
        <v>0</v>
      </c>
      <c r="EH90" s="322">
        <v>0</v>
      </c>
      <c r="EI90" s="322"/>
      <c r="EJ90" s="322"/>
      <c r="EK90" s="322"/>
      <c r="EL90" s="322"/>
      <c r="EM90" s="322"/>
      <c r="EN90" s="334"/>
      <c r="EO90" s="322" t="s">
        <v>301</v>
      </c>
      <c r="EP90" s="322">
        <v>28350.91</v>
      </c>
      <c r="EQ90" s="322">
        <v>27273.93</v>
      </c>
      <c r="ER90" s="322">
        <v>30567.66</v>
      </c>
      <c r="ES90" s="322">
        <v>61908.86</v>
      </c>
      <c r="ET90" s="322">
        <v>34345.910000000003</v>
      </c>
      <c r="EU90" s="322">
        <v>37205.75</v>
      </c>
      <c r="EV90" s="322">
        <v>38844.120000000003</v>
      </c>
      <c r="EW90" s="322">
        <v>76851.22</v>
      </c>
      <c r="EX90" s="322">
        <v>66294</v>
      </c>
      <c r="EY90" s="322">
        <v>65174.850000000006</v>
      </c>
      <c r="EZ90" s="322">
        <v>65085.17</v>
      </c>
      <c r="FA90" s="322">
        <v>66130.989999999991</v>
      </c>
      <c r="FB90" s="322">
        <v>75057.88</v>
      </c>
      <c r="FC90" s="322">
        <v>85758.15</v>
      </c>
      <c r="FD90" s="322">
        <v>91440.75</v>
      </c>
      <c r="FE90" s="322">
        <v>96869.11</v>
      </c>
      <c r="FF90" s="322">
        <v>103477.86999999998</v>
      </c>
      <c r="FG90" s="322"/>
      <c r="FH90" s="322"/>
      <c r="FI90" s="322"/>
      <c r="FJ90" s="322"/>
      <c r="FK90" s="322"/>
      <c r="FL90" s="334"/>
      <c r="FM90" s="322" t="s">
        <v>301</v>
      </c>
      <c r="FN90" s="322">
        <v>56701.82</v>
      </c>
      <c r="FO90" s="322">
        <v>81821.789999999994</v>
      </c>
      <c r="FP90" s="322">
        <v>91702.98</v>
      </c>
      <c r="FQ90" s="322">
        <v>92863.29</v>
      </c>
      <c r="FR90" s="322">
        <v>103037.73</v>
      </c>
      <c r="FS90" s="322">
        <v>74411.5</v>
      </c>
      <c r="FT90" s="322">
        <v>116532.36</v>
      </c>
      <c r="FU90" s="322">
        <v>115276.83</v>
      </c>
      <c r="FV90" s="322">
        <v>103150.27999999998</v>
      </c>
      <c r="FW90" s="322">
        <v>101660.48000000001</v>
      </c>
      <c r="FX90" s="322">
        <v>105167.03</v>
      </c>
      <c r="FY90" s="322">
        <v>116738.79</v>
      </c>
      <c r="FZ90" s="322">
        <v>113695.85999999999</v>
      </c>
      <c r="GA90" s="322">
        <v>113253.81999999999</v>
      </c>
      <c r="GB90" s="322">
        <v>124006.06000000001</v>
      </c>
      <c r="GC90" s="322">
        <v>133755.82</v>
      </c>
      <c r="GD90" s="322">
        <v>149071.93000000002</v>
      </c>
      <c r="GE90" s="322"/>
      <c r="GF90" s="340"/>
      <c r="GG90" s="704"/>
      <c r="GH90" s="704"/>
      <c r="GI90" s="704"/>
      <c r="GJ90" s="334"/>
      <c r="GK90" s="322" t="s">
        <v>301</v>
      </c>
      <c r="GL90" s="322">
        <v>85052.73</v>
      </c>
      <c r="GM90" s="322">
        <v>81821.789999999994</v>
      </c>
      <c r="GN90" s="322">
        <v>91702.98</v>
      </c>
      <c r="GO90" s="322">
        <v>92863.29</v>
      </c>
      <c r="GP90" s="322">
        <v>103037.73</v>
      </c>
      <c r="GQ90" s="322">
        <v>111617.25</v>
      </c>
      <c r="GR90" s="322">
        <v>116532.36</v>
      </c>
      <c r="GS90" s="322">
        <v>115276.83</v>
      </c>
      <c r="GT90" s="322">
        <v>126548.43</v>
      </c>
      <c r="GU90" s="322">
        <v>131857.54</v>
      </c>
      <c r="GV90" s="322">
        <v>122887.98999999998</v>
      </c>
      <c r="GW90" s="322">
        <v>128256.47000000003</v>
      </c>
      <c r="GX90" s="322">
        <v>139295.09999999998</v>
      </c>
      <c r="GY90" s="322">
        <v>126279.01</v>
      </c>
      <c r="GZ90" s="322">
        <v>129977.36000000002</v>
      </c>
      <c r="HA90" s="322">
        <v>136767.24</v>
      </c>
      <c r="HB90" s="322">
        <v>138750.28999999998</v>
      </c>
      <c r="HC90" s="322"/>
      <c r="HD90" s="322"/>
      <c r="HE90" s="322"/>
      <c r="HF90" s="322"/>
      <c r="HG90" s="322"/>
      <c r="HH90" s="334"/>
      <c r="HI90" s="322" t="s">
        <v>301</v>
      </c>
      <c r="HJ90" s="322">
        <v>0</v>
      </c>
      <c r="HK90" s="322">
        <v>0</v>
      </c>
      <c r="HL90" s="322">
        <v>0</v>
      </c>
      <c r="HM90" s="322">
        <v>0</v>
      </c>
      <c r="HN90" s="322">
        <v>0</v>
      </c>
      <c r="HO90" s="322">
        <v>0</v>
      </c>
      <c r="HP90" s="322">
        <v>0</v>
      </c>
      <c r="HQ90" s="322">
        <v>0</v>
      </c>
      <c r="HR90" s="322">
        <v>4869.7</v>
      </c>
      <c r="HS90" s="322">
        <v>3415.62</v>
      </c>
      <c r="HT90" s="322">
        <v>4425.46</v>
      </c>
      <c r="HU90" s="322">
        <v>5820.17</v>
      </c>
      <c r="HV90" s="322">
        <v>5263.74</v>
      </c>
      <c r="HW90" s="322">
        <v>8427.9</v>
      </c>
      <c r="HX90" s="322">
        <v>20727.110000000004</v>
      </c>
      <c r="HY90" s="322">
        <v>24419.200000000001</v>
      </c>
      <c r="HZ90" s="322">
        <v>34174.629999999997</v>
      </c>
      <c r="IA90" s="322"/>
      <c r="IB90" s="322"/>
      <c r="IC90" s="322"/>
      <c r="ID90" s="322"/>
      <c r="IE90" s="322"/>
      <c r="IF90" s="334"/>
      <c r="IG90" s="322" t="s">
        <v>301</v>
      </c>
      <c r="IH90" s="322">
        <v>0</v>
      </c>
      <c r="II90" s="322">
        <v>0</v>
      </c>
      <c r="IJ90" s="322">
        <v>0</v>
      </c>
      <c r="IK90" s="322">
        <v>0</v>
      </c>
      <c r="IL90" s="322">
        <v>0</v>
      </c>
      <c r="IM90" s="322">
        <v>0</v>
      </c>
      <c r="IN90" s="322">
        <v>0</v>
      </c>
      <c r="IO90" s="322">
        <v>0</v>
      </c>
      <c r="IP90" s="322">
        <v>8165.8</v>
      </c>
      <c r="IQ90" s="322">
        <v>9703.7599999999984</v>
      </c>
      <c r="IR90" s="322">
        <v>9245.5</v>
      </c>
      <c r="IS90" s="322">
        <v>10382.699999999997</v>
      </c>
      <c r="IT90" s="322">
        <v>11520.52</v>
      </c>
      <c r="IU90" s="322">
        <v>13360.330000000002</v>
      </c>
      <c r="IV90" s="322"/>
      <c r="IW90" s="322"/>
      <c r="IX90" s="322"/>
      <c r="IY90" s="322"/>
      <c r="IZ90" s="322"/>
      <c r="JA90" s="322"/>
      <c r="JB90" s="322"/>
      <c r="JC90" s="322"/>
      <c r="JD90" s="334"/>
      <c r="JE90" s="322" t="s">
        <v>301</v>
      </c>
      <c r="JF90" s="322">
        <v>0</v>
      </c>
      <c r="JG90" s="322">
        <v>0</v>
      </c>
      <c r="JH90" s="322">
        <v>0</v>
      </c>
      <c r="JI90" s="322">
        <v>30954.43</v>
      </c>
      <c r="JJ90" s="322">
        <v>0</v>
      </c>
      <c r="JK90" s="322">
        <v>0</v>
      </c>
      <c r="JL90" s="322">
        <v>0</v>
      </c>
      <c r="JM90" s="322">
        <v>0</v>
      </c>
      <c r="JN90" s="322">
        <v>16108.59</v>
      </c>
      <c r="JO90" s="322">
        <v>10241.34</v>
      </c>
      <c r="JP90" s="322">
        <v>11027.500000000002</v>
      </c>
      <c r="JQ90" s="322">
        <v>12909.470000000001</v>
      </c>
      <c r="JR90" s="322">
        <v>15398.579999999998</v>
      </c>
      <c r="JS90" s="322">
        <v>10528.96</v>
      </c>
      <c r="JT90" s="322">
        <v>12158.480000000001</v>
      </c>
      <c r="JU90" s="322">
        <v>17613.5</v>
      </c>
      <c r="JV90" s="322">
        <v>10548.640000000001</v>
      </c>
      <c r="JW90" s="322"/>
      <c r="JX90" s="322"/>
      <c r="JY90" s="322"/>
      <c r="JZ90" s="322"/>
      <c r="KA90" s="322"/>
      <c r="KB90" s="334"/>
      <c r="KC90" s="322" t="s">
        <v>301</v>
      </c>
      <c r="KD90" s="322">
        <v>0</v>
      </c>
      <c r="KE90" s="322">
        <v>0</v>
      </c>
      <c r="KF90" s="322">
        <v>30567.66</v>
      </c>
      <c r="KG90" s="322">
        <v>30954.43</v>
      </c>
      <c r="KH90" s="322">
        <v>34345.910000000003</v>
      </c>
      <c r="KI90" s="322">
        <v>37205.75</v>
      </c>
      <c r="KJ90" s="322">
        <v>38844.120000000003</v>
      </c>
      <c r="KK90" s="322">
        <v>38425.61</v>
      </c>
      <c r="KL90" s="322">
        <v>21567.470000000005</v>
      </c>
      <c r="KM90" s="322">
        <v>19699.419999999998</v>
      </c>
      <c r="KN90" s="322">
        <v>20169.059999999998</v>
      </c>
      <c r="KO90" s="322">
        <v>21732.38</v>
      </c>
      <c r="KP90" s="322">
        <v>22381.379999999997</v>
      </c>
      <c r="KQ90" s="322">
        <v>30524.300000000003</v>
      </c>
      <c r="KR90" s="322">
        <v>31421.3</v>
      </c>
      <c r="KS90" s="322">
        <v>41817.620000000003</v>
      </c>
      <c r="KT90" s="322">
        <v>58809.09</v>
      </c>
      <c r="KU90" s="322"/>
      <c r="KV90" s="322"/>
      <c r="KW90" s="322"/>
      <c r="KX90" s="322"/>
      <c r="KY90" s="322"/>
      <c r="KZ90" s="334"/>
      <c r="LA90" s="322" t="s">
        <v>301</v>
      </c>
      <c r="LB90" s="322">
        <v>255158.19</v>
      </c>
      <c r="LC90" s="322">
        <v>327287.15999999997</v>
      </c>
      <c r="LD90" s="322">
        <v>427947.24</v>
      </c>
      <c r="LE90" s="322">
        <v>371453.16</v>
      </c>
      <c r="LF90" s="322">
        <v>480842.74</v>
      </c>
      <c r="LG90" s="322">
        <v>595292</v>
      </c>
      <c r="LH90" s="322">
        <v>427285.32</v>
      </c>
      <c r="LI90" s="322">
        <v>576384.15</v>
      </c>
      <c r="LJ90" s="322">
        <v>578443.01</v>
      </c>
      <c r="LK90" s="322">
        <v>565858.10000000009</v>
      </c>
      <c r="LL90" s="322">
        <v>585879.1399999999</v>
      </c>
      <c r="LM90" s="322">
        <v>643528.59</v>
      </c>
      <c r="LN90" s="322">
        <v>734949.69</v>
      </c>
      <c r="LO90" s="322">
        <v>577984.54999999993</v>
      </c>
      <c r="LP90" s="322">
        <v>747563.01</v>
      </c>
      <c r="LQ90" s="322">
        <v>776135.98</v>
      </c>
      <c r="LR90" s="322">
        <v>784304.02</v>
      </c>
      <c r="LS90" s="322"/>
      <c r="LT90" s="322"/>
      <c r="LU90" s="322"/>
      <c r="LV90" s="322"/>
      <c r="LW90" s="322"/>
      <c r="LX90" s="334"/>
      <c r="LY90" s="322" t="s">
        <v>301</v>
      </c>
      <c r="LZ90" s="322">
        <v>425263.65</v>
      </c>
      <c r="MA90" s="322">
        <v>463656.81</v>
      </c>
      <c r="MB90" s="322">
        <v>550217.88</v>
      </c>
      <c r="MC90" s="322">
        <v>619088.6</v>
      </c>
      <c r="MD90" s="322">
        <v>652572.29</v>
      </c>
      <c r="ME90" s="322">
        <v>744115</v>
      </c>
      <c r="MF90" s="322">
        <v>815726.52</v>
      </c>
      <c r="MG90" s="322">
        <v>845363.42</v>
      </c>
      <c r="MH90" s="322">
        <v>870676.65</v>
      </c>
      <c r="MI90" s="322">
        <v>951516.79000000027</v>
      </c>
      <c r="MJ90" s="322">
        <v>956864.54</v>
      </c>
      <c r="MK90" s="322">
        <v>0</v>
      </c>
      <c r="ML90" s="322">
        <v>0</v>
      </c>
      <c r="MM90" s="322">
        <v>0</v>
      </c>
      <c r="MN90" s="322">
        <v>0</v>
      </c>
      <c r="MO90" s="322">
        <v>0</v>
      </c>
      <c r="MP90" s="322">
        <v>0</v>
      </c>
      <c r="MQ90" s="322"/>
      <c r="MR90" s="322"/>
      <c r="MS90" s="322"/>
      <c r="MT90" s="322"/>
      <c r="MU90" s="322"/>
      <c r="MV90" s="334"/>
      <c r="MW90" s="322" t="s">
        <v>301</v>
      </c>
      <c r="MX90" s="322">
        <v>1275790.95</v>
      </c>
      <c r="MY90" s="322">
        <v>1281874.71</v>
      </c>
      <c r="MZ90" s="322">
        <v>1344977.04</v>
      </c>
      <c r="NA90" s="322">
        <v>1300086.06</v>
      </c>
      <c r="NB90" s="322">
        <v>1476874.13</v>
      </c>
      <c r="NC90" s="322">
        <v>1637053</v>
      </c>
      <c r="ND90" s="322">
        <v>1709141.28</v>
      </c>
      <c r="NE90" s="322">
        <v>1537024.4</v>
      </c>
      <c r="NF90" s="322">
        <v>1581766.9100000004</v>
      </c>
      <c r="NG90" s="322">
        <v>1655078.5899999996</v>
      </c>
      <c r="NH90" s="322">
        <v>1601903.5100000002</v>
      </c>
      <c r="NI90" s="322">
        <v>1800067.28</v>
      </c>
      <c r="NJ90" s="322">
        <v>2035090.1099999999</v>
      </c>
      <c r="NK90" s="322">
        <v>2077198.8199999998</v>
      </c>
      <c r="NL90" s="322">
        <v>2288059.3300000005</v>
      </c>
      <c r="NM90" s="322">
        <v>2573692.1500000004</v>
      </c>
      <c r="NN90" s="322">
        <v>2916379.3700000006</v>
      </c>
      <c r="NO90" s="322"/>
      <c r="NP90" s="322"/>
      <c r="NQ90" s="322"/>
      <c r="NR90" s="322"/>
      <c r="NS90" s="322"/>
      <c r="NT90" s="334"/>
      <c r="NU90" s="322" t="s">
        <v>301</v>
      </c>
      <c r="NV90" s="322">
        <v>85052.73</v>
      </c>
      <c r="NW90" s="322">
        <v>81821.789999999994</v>
      </c>
      <c r="NX90" s="322">
        <v>91702.98</v>
      </c>
      <c r="NY90" s="322">
        <v>92863.29</v>
      </c>
      <c r="NZ90" s="322">
        <v>103037.73</v>
      </c>
      <c r="OA90" s="322">
        <v>111617.25</v>
      </c>
      <c r="OB90" s="322">
        <v>116532.36</v>
      </c>
      <c r="OC90" s="322">
        <v>115276.83</v>
      </c>
      <c r="OD90" s="322">
        <v>142423.94</v>
      </c>
      <c r="OE90" s="322">
        <v>147008.07999999999</v>
      </c>
      <c r="OF90" s="322">
        <v>148090.66999999998</v>
      </c>
      <c r="OG90" s="322">
        <v>169912.32000000007</v>
      </c>
      <c r="OH90" s="322">
        <v>199322.36000000002</v>
      </c>
      <c r="OI90" s="322">
        <v>203742.34</v>
      </c>
      <c r="OJ90" s="322">
        <v>235216.52000000002</v>
      </c>
      <c r="OK90" s="322">
        <v>312175</v>
      </c>
      <c r="OL90" s="322">
        <v>330086.87999999989</v>
      </c>
      <c r="OM90" s="322"/>
      <c r="ON90" s="322"/>
      <c r="OO90" s="322"/>
      <c r="OP90" s="322"/>
      <c r="OQ90" s="322"/>
      <c r="OR90" s="334"/>
      <c r="OS90" s="322" t="s">
        <v>301</v>
      </c>
      <c r="OT90" s="322">
        <v>85052.73</v>
      </c>
      <c r="OU90" s="322">
        <v>81821.789999999994</v>
      </c>
      <c r="OV90" s="322">
        <v>91702.98</v>
      </c>
      <c r="OW90" s="322">
        <v>92863.29</v>
      </c>
      <c r="OX90" s="322">
        <v>68691.820000000007</v>
      </c>
      <c r="OY90" s="322">
        <v>0</v>
      </c>
      <c r="OZ90" s="322">
        <v>116532.36</v>
      </c>
      <c r="PA90" s="322">
        <v>76851.22</v>
      </c>
      <c r="PB90" s="322">
        <v>63399.8</v>
      </c>
      <c r="PC90" s="322">
        <v>63419.8</v>
      </c>
      <c r="PD90" s="322">
        <v>63419.8</v>
      </c>
      <c r="PE90" s="322">
        <v>63419.8</v>
      </c>
      <c r="PF90" s="322">
        <v>63419.8</v>
      </c>
      <c r="PG90" s="322">
        <v>63419.8</v>
      </c>
      <c r="PH90" s="322">
        <v>63419.8</v>
      </c>
      <c r="PI90" s="322">
        <v>63419.8</v>
      </c>
      <c r="PJ90" s="322">
        <v>69827.520000000004</v>
      </c>
      <c r="PK90" s="322"/>
      <c r="PL90" s="322"/>
      <c r="PM90" s="322"/>
      <c r="PN90" s="322"/>
      <c r="PO90" s="322"/>
      <c r="PP90" s="334"/>
      <c r="PQ90" s="322" t="s">
        <v>301</v>
      </c>
      <c r="PR90" s="322">
        <v>28350.91</v>
      </c>
      <c r="PS90" s="322">
        <v>27273.93</v>
      </c>
      <c r="PT90" s="322">
        <v>30567.66</v>
      </c>
      <c r="PU90" s="322">
        <v>30954.43</v>
      </c>
      <c r="PV90" s="322">
        <v>34345.910000000003</v>
      </c>
      <c r="PW90" s="322">
        <v>37205.75</v>
      </c>
      <c r="PX90" s="322">
        <v>38844.120000000003</v>
      </c>
      <c r="PY90" s="322">
        <v>38425.61</v>
      </c>
      <c r="PZ90" s="322">
        <v>28869.230000000003</v>
      </c>
      <c r="QA90" s="322">
        <v>36945.03</v>
      </c>
      <c r="QB90" s="322">
        <v>41990.689999999995</v>
      </c>
      <c r="QC90" s="322">
        <v>31057.97</v>
      </c>
      <c r="QD90" s="322">
        <v>35692.169999999991</v>
      </c>
      <c r="QE90" s="322">
        <v>43794.63</v>
      </c>
      <c r="QF90" s="322">
        <v>33179.939999999995</v>
      </c>
      <c r="QG90" s="322">
        <v>51592.88</v>
      </c>
      <c r="QH90" s="322">
        <v>39758.610000000008</v>
      </c>
      <c r="QI90" s="322"/>
      <c r="QJ90" s="322"/>
      <c r="QK90" s="322"/>
      <c r="QL90" s="322"/>
      <c r="QM90" s="322"/>
      <c r="QN90" s="334"/>
      <c r="QO90" s="322" t="s">
        <v>301</v>
      </c>
      <c r="QP90" s="322">
        <v>0</v>
      </c>
      <c r="QQ90" s="322">
        <v>0</v>
      </c>
      <c r="QR90" s="322">
        <v>0</v>
      </c>
      <c r="QS90" s="322">
        <v>0</v>
      </c>
      <c r="QT90" s="322">
        <v>0</v>
      </c>
      <c r="QU90" s="322">
        <v>0</v>
      </c>
      <c r="QV90" s="322">
        <v>0</v>
      </c>
      <c r="QW90" s="322">
        <v>0</v>
      </c>
      <c r="QX90" s="322">
        <v>0</v>
      </c>
      <c r="QY90" s="322">
        <v>0</v>
      </c>
      <c r="QZ90" s="322">
        <v>0</v>
      </c>
      <c r="RA90" s="322">
        <v>0</v>
      </c>
      <c r="RB90" s="322">
        <v>0</v>
      </c>
      <c r="RC90" s="322">
        <v>0</v>
      </c>
      <c r="RD90" s="322">
        <v>0</v>
      </c>
      <c r="RE90" s="322">
        <v>0</v>
      </c>
      <c r="RF90" s="322">
        <v>0</v>
      </c>
      <c r="RG90" s="322"/>
      <c r="RH90" s="322"/>
      <c r="RI90" s="322"/>
      <c r="RJ90" s="322"/>
      <c r="RK90" s="322"/>
      <c r="RL90" s="334"/>
      <c r="RM90" s="322" t="s">
        <v>301</v>
      </c>
      <c r="RN90" s="322">
        <v>226807.28</v>
      </c>
      <c r="RO90" s="322">
        <v>27273.93</v>
      </c>
      <c r="RP90" s="322">
        <v>0</v>
      </c>
      <c r="RQ90" s="322">
        <v>30954.43</v>
      </c>
      <c r="RR90" s="322">
        <v>34345.910000000003</v>
      </c>
      <c r="RS90" s="322">
        <v>0</v>
      </c>
      <c r="RT90" s="322">
        <v>0</v>
      </c>
      <c r="RU90" s="322">
        <v>0</v>
      </c>
      <c r="RV90" s="322">
        <v>19686.89</v>
      </c>
      <c r="RW90" s="322">
        <v>21629.24</v>
      </c>
      <c r="RX90" s="322">
        <v>69887.09</v>
      </c>
      <c r="RY90" s="322">
        <v>709528.89</v>
      </c>
      <c r="RZ90" s="322">
        <v>554980.30999999994</v>
      </c>
      <c r="SA90" s="322">
        <v>420090.35000000003</v>
      </c>
      <c r="SB90" s="322">
        <v>611690.62</v>
      </c>
      <c r="SC90" s="322">
        <v>530993.39</v>
      </c>
      <c r="SD90" s="322">
        <v>2482403.44</v>
      </c>
      <c r="SE90" s="322"/>
      <c r="SF90" s="322"/>
      <c r="SG90" s="322"/>
      <c r="SH90" s="322"/>
      <c r="SI90" s="322"/>
    </row>
    <row r="91" spans="1:503">
      <c r="A91" s="319" t="s">
        <v>73</v>
      </c>
      <c r="B91" s="319">
        <v>341956</v>
      </c>
      <c r="C91" s="319">
        <v>382408</v>
      </c>
      <c r="D91" s="319">
        <v>361425</v>
      </c>
      <c r="E91" s="319">
        <v>576869</v>
      </c>
      <c r="F91" s="319">
        <v>351886</v>
      </c>
      <c r="G91" s="319">
        <v>368407</v>
      </c>
      <c r="H91" s="319">
        <v>357443</v>
      </c>
      <c r="I91" s="319">
        <v>350440</v>
      </c>
      <c r="J91" s="319">
        <v>402121.47</v>
      </c>
      <c r="K91" s="319">
        <v>405795.52399999998</v>
      </c>
      <c r="L91" s="319">
        <v>428506.41000000003</v>
      </c>
      <c r="M91" s="319">
        <v>450251.63</v>
      </c>
      <c r="N91" s="319">
        <v>446378.54</v>
      </c>
      <c r="O91" s="319">
        <v>438141</v>
      </c>
      <c r="P91" s="319">
        <v>455390.93</v>
      </c>
      <c r="Q91" s="319">
        <v>528715.92000000004</v>
      </c>
      <c r="R91" s="319">
        <v>599916.73</v>
      </c>
      <c r="S91" s="322">
        <v>636719.6</v>
      </c>
      <c r="T91" s="319">
        <v>744516.19000000006</v>
      </c>
      <c r="U91" s="319">
        <v>650773.5</v>
      </c>
      <c r="V91" s="319">
        <v>662659.19999999995</v>
      </c>
      <c r="W91" s="319">
        <v>769460.69</v>
      </c>
      <c r="X91" s="330"/>
      <c r="Y91" s="319" t="s">
        <v>73</v>
      </c>
      <c r="Z91" s="319">
        <v>37615.160000000003</v>
      </c>
      <c r="AA91" s="319">
        <v>38240.800000000003</v>
      </c>
      <c r="AB91" s="319">
        <v>36142.5</v>
      </c>
      <c r="AC91" s="319">
        <v>46149.52</v>
      </c>
      <c r="AD91" s="319">
        <v>45745.18</v>
      </c>
      <c r="AE91" s="319">
        <v>47892.91</v>
      </c>
      <c r="AF91" s="319">
        <v>47892.91</v>
      </c>
      <c r="AG91" s="319">
        <v>45557.2</v>
      </c>
      <c r="AH91" s="319">
        <v>47158.54</v>
      </c>
      <c r="AI91" s="319">
        <v>47207.67</v>
      </c>
      <c r="AJ91" s="319">
        <v>47033.599999999999</v>
      </c>
      <c r="AK91" s="319">
        <v>47236.36</v>
      </c>
      <c r="AL91" s="319">
        <v>47167.86</v>
      </c>
      <c r="AM91" s="319">
        <v>47577.120000000003</v>
      </c>
      <c r="AN91" s="319">
        <v>47335.96</v>
      </c>
      <c r="AO91" s="319">
        <v>60681</v>
      </c>
      <c r="AP91" s="319">
        <v>61395.7</v>
      </c>
      <c r="AQ91" s="322">
        <v>61433.41</v>
      </c>
      <c r="AR91" s="319">
        <v>63534.66</v>
      </c>
      <c r="AS91" s="319">
        <v>63532.66</v>
      </c>
      <c r="AT91" s="319">
        <v>63574.94</v>
      </c>
      <c r="AU91" s="319">
        <v>66388</v>
      </c>
      <c r="AV91" s="334"/>
      <c r="AW91" s="319" t="s">
        <v>73</v>
      </c>
      <c r="AX91" s="319">
        <v>37615.160000000003</v>
      </c>
      <c r="AY91" s="319">
        <v>38240.800000000003</v>
      </c>
      <c r="AZ91" s="319">
        <v>39756.75</v>
      </c>
      <c r="BA91" s="319">
        <v>40380.83</v>
      </c>
      <c r="BB91" s="319">
        <v>38707.46</v>
      </c>
      <c r="BC91" s="319">
        <v>36840.700000000004</v>
      </c>
      <c r="BD91" s="319">
        <v>42893.159999999996</v>
      </c>
      <c r="BE91" s="319">
        <v>38548.400000000001</v>
      </c>
      <c r="BF91" s="319">
        <v>40664.68</v>
      </c>
      <c r="BG91" s="319">
        <v>41096.269999999997</v>
      </c>
      <c r="BH91" s="319">
        <v>40730.239999999998</v>
      </c>
      <c r="BI91" s="319">
        <v>41802.29</v>
      </c>
      <c r="BJ91" s="319">
        <v>42643.02</v>
      </c>
      <c r="BK91" s="319">
        <v>44429.13</v>
      </c>
      <c r="BL91" s="319">
        <v>45532.689999999995</v>
      </c>
      <c r="BM91" s="319">
        <v>60881.14</v>
      </c>
      <c r="BN91" s="319">
        <v>62656.569999999992</v>
      </c>
      <c r="BO91" s="322">
        <v>54871.81</v>
      </c>
      <c r="BP91" s="319">
        <v>57494.369999999995</v>
      </c>
      <c r="BQ91" s="319">
        <v>59431.659999999996</v>
      </c>
      <c r="BR91" s="319">
        <v>74550.359999999986</v>
      </c>
      <c r="BS91" s="319">
        <v>77130.490000000005</v>
      </c>
      <c r="BT91" s="334"/>
      <c r="BU91" s="322" t="s">
        <v>73</v>
      </c>
      <c r="BV91" s="322">
        <v>6839.12</v>
      </c>
      <c r="BW91" s="322">
        <v>0</v>
      </c>
      <c r="BX91" s="322">
        <v>7228.5</v>
      </c>
      <c r="BY91" s="322">
        <v>0</v>
      </c>
      <c r="BZ91" s="322">
        <v>21113.16</v>
      </c>
      <c r="CA91" s="322">
        <v>11052.21</v>
      </c>
      <c r="CB91" s="322">
        <v>7148.86</v>
      </c>
      <c r="CC91" s="322">
        <v>0</v>
      </c>
      <c r="CD91" s="322">
        <v>13102.83</v>
      </c>
      <c r="CE91" s="322">
        <v>0</v>
      </c>
      <c r="CF91" s="322">
        <v>13242.42</v>
      </c>
      <c r="CG91" s="322">
        <v>2601.85</v>
      </c>
      <c r="CH91" s="322">
        <v>19699.019999999997</v>
      </c>
      <c r="CI91" s="322">
        <v>0</v>
      </c>
      <c r="CJ91" s="322">
        <v>17686.739999999998</v>
      </c>
      <c r="CK91" s="322">
        <v>280</v>
      </c>
      <c r="CL91" s="322">
        <v>22718.46</v>
      </c>
      <c r="CM91" s="322">
        <v>8103.99</v>
      </c>
      <c r="CN91" s="322">
        <v>17030</v>
      </c>
      <c r="CO91" s="322">
        <v>0</v>
      </c>
      <c r="CP91" s="322">
        <v>18837.150000000001</v>
      </c>
      <c r="CQ91" s="322">
        <v>9115.25</v>
      </c>
      <c r="CR91" s="334"/>
      <c r="CS91" s="322" t="s">
        <v>73</v>
      </c>
      <c r="CT91" s="322">
        <v>30776.04</v>
      </c>
      <c r="CU91" s="322">
        <v>38240.800000000003</v>
      </c>
      <c r="CV91" s="322">
        <v>28914</v>
      </c>
      <c r="CW91" s="322">
        <v>190366.77</v>
      </c>
      <c r="CX91" s="322">
        <v>56301.760000000002</v>
      </c>
      <c r="CY91" s="322">
        <v>47892.91</v>
      </c>
      <c r="CZ91" s="322">
        <v>32169.87</v>
      </c>
      <c r="DA91" s="322">
        <v>31539.599999999999</v>
      </c>
      <c r="DB91" s="322">
        <v>35261.07</v>
      </c>
      <c r="DC91" s="322">
        <v>35776.300000000003</v>
      </c>
      <c r="DD91" s="322">
        <v>32980.06</v>
      </c>
      <c r="DE91" s="322">
        <v>29807.979999999996</v>
      </c>
      <c r="DF91" s="322">
        <v>31205.050000000003</v>
      </c>
      <c r="DG91" s="322">
        <v>36794.979999999996</v>
      </c>
      <c r="DH91" s="322">
        <v>45150.400000000001</v>
      </c>
      <c r="DI91" s="322">
        <v>59252.25</v>
      </c>
      <c r="DJ91" s="322">
        <v>63303.27</v>
      </c>
      <c r="DK91" s="322">
        <v>40801.53</v>
      </c>
      <c r="DL91" s="322">
        <v>47328</v>
      </c>
      <c r="DM91" s="322">
        <v>57325.5</v>
      </c>
      <c r="DN91" s="322">
        <v>90735.88</v>
      </c>
      <c r="DO91" s="322">
        <v>100000</v>
      </c>
      <c r="DP91" s="334"/>
      <c r="DQ91" s="322" t="s">
        <v>73</v>
      </c>
      <c r="DR91" s="322">
        <v>27356.48</v>
      </c>
      <c r="DS91" s="322">
        <v>26768.560000000001</v>
      </c>
      <c r="DT91" s="322">
        <v>25299.75</v>
      </c>
      <c r="DU91" s="322">
        <v>23074.76</v>
      </c>
      <c r="DV91" s="322">
        <v>10556.58</v>
      </c>
      <c r="DW91" s="322">
        <v>14736.28</v>
      </c>
      <c r="DX91" s="322">
        <v>14297.72</v>
      </c>
      <c r="DY91" s="322">
        <v>14017.6</v>
      </c>
      <c r="DZ91" s="322">
        <v>13439.69</v>
      </c>
      <c r="EA91" s="322">
        <v>12656.519999999999</v>
      </c>
      <c r="EB91" s="322">
        <v>12458.49</v>
      </c>
      <c r="EC91" s="322">
        <v>13196.76</v>
      </c>
      <c r="ED91" s="322">
        <v>13507.64</v>
      </c>
      <c r="EE91" s="322">
        <v>13536.27</v>
      </c>
      <c r="EF91" s="322">
        <v>13375.95</v>
      </c>
      <c r="EG91" s="322">
        <v>17942.96</v>
      </c>
      <c r="EH91" s="322">
        <v>18641.350000000002</v>
      </c>
      <c r="EI91" s="322">
        <v>19793.37</v>
      </c>
      <c r="EJ91" s="322">
        <v>20210.350000000002</v>
      </c>
      <c r="EK91" s="322">
        <v>19727.390000000003</v>
      </c>
      <c r="EL91" s="322">
        <v>20263.5</v>
      </c>
      <c r="EM91" s="322">
        <v>21700</v>
      </c>
      <c r="EN91" s="334"/>
      <c r="EO91" s="322" t="s">
        <v>73</v>
      </c>
      <c r="EP91" s="322">
        <v>13678.24</v>
      </c>
      <c r="EQ91" s="322">
        <v>15296.32</v>
      </c>
      <c r="ER91" s="322">
        <v>14457</v>
      </c>
      <c r="ES91" s="322">
        <v>17306.07</v>
      </c>
      <c r="ET91" s="322">
        <v>17594.3</v>
      </c>
      <c r="EU91" s="322">
        <v>18420.349999999999</v>
      </c>
      <c r="EV91" s="322">
        <v>17872.150000000001</v>
      </c>
      <c r="EW91" s="322">
        <v>24530.799999999999</v>
      </c>
      <c r="EX91" s="322">
        <v>22887.15</v>
      </c>
      <c r="EY91" s="322">
        <v>23181.02</v>
      </c>
      <c r="EZ91" s="322">
        <v>22770.13</v>
      </c>
      <c r="FA91" s="322">
        <v>23290.080000000002</v>
      </c>
      <c r="FB91" s="322">
        <v>23138.04</v>
      </c>
      <c r="FC91" s="322">
        <v>23188.06</v>
      </c>
      <c r="FD91" s="322">
        <v>23186.39</v>
      </c>
      <c r="FE91" s="322">
        <v>30264.16</v>
      </c>
      <c r="FF91" s="322">
        <v>31420.42</v>
      </c>
      <c r="FG91" s="322">
        <v>32007.710000000003</v>
      </c>
      <c r="FH91" s="322">
        <v>32965.17</v>
      </c>
      <c r="FI91" s="322">
        <v>32103.940000000002</v>
      </c>
      <c r="FJ91" s="322">
        <v>32280.03</v>
      </c>
      <c r="FK91" s="322">
        <v>34744</v>
      </c>
      <c r="FL91" s="334"/>
      <c r="FM91" s="322" t="s">
        <v>73</v>
      </c>
      <c r="FN91" s="322">
        <v>34195.599999999999</v>
      </c>
      <c r="FO91" s="322">
        <v>34416.720000000001</v>
      </c>
      <c r="FP91" s="322">
        <v>36142.5</v>
      </c>
      <c r="FQ91" s="322">
        <v>34612.14</v>
      </c>
      <c r="FR91" s="322">
        <v>35188.6</v>
      </c>
      <c r="FS91" s="322">
        <v>36840.699999999997</v>
      </c>
      <c r="FT91" s="322">
        <v>39318.730000000003</v>
      </c>
      <c r="FU91" s="322">
        <v>38548.400000000001</v>
      </c>
      <c r="FV91" s="322">
        <v>39096.25</v>
      </c>
      <c r="FW91" s="322">
        <v>38918.239999999998</v>
      </c>
      <c r="FX91" s="322">
        <v>38418.49</v>
      </c>
      <c r="FY91" s="322">
        <v>38402.75</v>
      </c>
      <c r="FZ91" s="322">
        <v>39857.789999999994</v>
      </c>
      <c r="GA91" s="322">
        <v>39621.980000000003</v>
      </c>
      <c r="GB91" s="322">
        <v>40536.99</v>
      </c>
      <c r="GC91" s="322">
        <v>41003.620000000003</v>
      </c>
      <c r="GD91" s="322">
        <v>40494.129999999997</v>
      </c>
      <c r="GE91" s="322">
        <v>51668.97</v>
      </c>
      <c r="GF91" s="340">
        <v>48509.38</v>
      </c>
      <c r="GG91" s="704">
        <v>50759.34</v>
      </c>
      <c r="GH91" s="704">
        <v>49236.439999999995</v>
      </c>
      <c r="GI91" s="704">
        <v>51040</v>
      </c>
      <c r="GJ91" s="334"/>
      <c r="GK91" s="322" t="s">
        <v>73</v>
      </c>
      <c r="GL91" s="322">
        <v>0</v>
      </c>
      <c r="GM91" s="322">
        <v>0</v>
      </c>
      <c r="GN91" s="322">
        <v>0</v>
      </c>
      <c r="GO91" s="322">
        <v>0</v>
      </c>
      <c r="GP91" s="322">
        <v>0</v>
      </c>
      <c r="GQ91" s="322">
        <v>0</v>
      </c>
      <c r="GR91" s="322">
        <v>0</v>
      </c>
      <c r="GS91" s="322">
        <v>0</v>
      </c>
      <c r="GT91" s="322">
        <v>0</v>
      </c>
      <c r="GU91" s="322">
        <v>0</v>
      </c>
      <c r="GV91" s="322">
        <v>0</v>
      </c>
      <c r="GW91" s="322">
        <v>0</v>
      </c>
      <c r="GX91" s="322">
        <v>0</v>
      </c>
      <c r="GY91" s="322">
        <v>0</v>
      </c>
      <c r="GZ91" s="322">
        <v>0</v>
      </c>
      <c r="HA91" s="322">
        <v>33329.350000000006</v>
      </c>
      <c r="HB91" s="322">
        <v>34302.97</v>
      </c>
      <c r="HC91" s="322">
        <v>34522.579999999994</v>
      </c>
      <c r="HD91" s="322">
        <v>34745.050000000003</v>
      </c>
      <c r="HE91" s="322">
        <v>34749.69</v>
      </c>
      <c r="HF91" s="322">
        <v>34188.46</v>
      </c>
      <c r="HG91" s="322">
        <v>35800</v>
      </c>
      <c r="HH91" s="334"/>
      <c r="HI91" s="322" t="s">
        <v>73</v>
      </c>
      <c r="HJ91" s="322">
        <v>3419.56</v>
      </c>
      <c r="HK91" s="322">
        <v>3824.08</v>
      </c>
      <c r="HL91" s="322">
        <v>3614.25</v>
      </c>
      <c r="HM91" s="322">
        <v>5768.69</v>
      </c>
      <c r="HN91" s="322">
        <v>3518.86</v>
      </c>
      <c r="HO91" s="322">
        <v>3684.07</v>
      </c>
      <c r="HP91" s="322">
        <v>3574.43</v>
      </c>
      <c r="HQ91" s="322">
        <v>3504.4</v>
      </c>
      <c r="HR91" s="322">
        <v>2813.68</v>
      </c>
      <c r="HS91" s="322">
        <v>2776.28</v>
      </c>
      <c r="HT91" s="322">
        <v>2244.2200000000003</v>
      </c>
      <c r="HU91" s="322">
        <v>3374.18</v>
      </c>
      <c r="HV91" s="322">
        <v>1735.69</v>
      </c>
      <c r="HW91" s="322">
        <v>3512.57</v>
      </c>
      <c r="HX91" s="322">
        <v>7350.45</v>
      </c>
      <c r="HY91" s="322">
        <v>7942.62</v>
      </c>
      <c r="HZ91" s="322">
        <v>8716.66</v>
      </c>
      <c r="IA91" s="322">
        <v>8891.2099999999991</v>
      </c>
      <c r="IB91" s="322">
        <v>12965.19</v>
      </c>
      <c r="IC91" s="322">
        <v>7190.8300000000008</v>
      </c>
      <c r="ID91" s="322">
        <v>10741.339999999998</v>
      </c>
      <c r="IE91" s="322">
        <v>14300</v>
      </c>
      <c r="IF91" s="334"/>
      <c r="IG91" s="322" t="s">
        <v>73</v>
      </c>
      <c r="IH91" s="322">
        <v>3419.56</v>
      </c>
      <c r="II91" s="322">
        <v>3824.08</v>
      </c>
      <c r="IJ91" s="322">
        <v>3614.25</v>
      </c>
      <c r="IK91" s="322">
        <v>0</v>
      </c>
      <c r="IL91" s="322">
        <v>3518.86</v>
      </c>
      <c r="IM91" s="322">
        <v>3684.07</v>
      </c>
      <c r="IN91" s="322">
        <v>3574.43</v>
      </c>
      <c r="IO91" s="322">
        <v>3504.4</v>
      </c>
      <c r="IP91" s="322">
        <v>1953.52</v>
      </c>
      <c r="IQ91" s="322">
        <v>2080.1039999999998</v>
      </c>
      <c r="IR91" s="322">
        <v>2439.1</v>
      </c>
      <c r="IS91" s="322">
        <v>2939.15</v>
      </c>
      <c r="IT91" s="322">
        <v>2637.84</v>
      </c>
      <c r="IU91" s="322">
        <v>2845.94</v>
      </c>
      <c r="IV91" s="322"/>
      <c r="IW91" s="322"/>
      <c r="IX91" s="322"/>
      <c r="IY91" s="322"/>
      <c r="IZ91" s="322"/>
      <c r="JA91" s="322"/>
      <c r="JB91" s="322"/>
      <c r="JC91" s="322"/>
      <c r="JD91" s="334"/>
      <c r="JE91" s="322" t="s">
        <v>73</v>
      </c>
      <c r="JF91" s="322">
        <v>3419.56</v>
      </c>
      <c r="JG91" s="322">
        <v>11472.24</v>
      </c>
      <c r="JH91" s="322">
        <v>3614.25</v>
      </c>
      <c r="JI91" s="322">
        <v>5768.69</v>
      </c>
      <c r="JJ91" s="322">
        <v>7037.72</v>
      </c>
      <c r="JK91" s="322">
        <v>3684.07</v>
      </c>
      <c r="JL91" s="322">
        <v>3574.43</v>
      </c>
      <c r="JM91" s="322">
        <v>3504.4</v>
      </c>
      <c r="JN91" s="322">
        <v>3348.7300000000005</v>
      </c>
      <c r="JO91" s="322">
        <v>5357.09</v>
      </c>
      <c r="JP91" s="322">
        <v>3806.1899999999996</v>
      </c>
      <c r="JQ91" s="322">
        <v>4107.8500000000004</v>
      </c>
      <c r="JR91" s="322">
        <v>6999.42</v>
      </c>
      <c r="JS91" s="322">
        <v>3864.12</v>
      </c>
      <c r="JT91" s="322">
        <v>4365.7300000000005</v>
      </c>
      <c r="JU91" s="322">
        <v>6266.5699999999988</v>
      </c>
      <c r="JV91" s="322">
        <v>4136.41</v>
      </c>
      <c r="JW91" s="322">
        <v>4529.2</v>
      </c>
      <c r="JX91" s="322">
        <v>14251.329999999998</v>
      </c>
      <c r="JY91" s="322">
        <v>14456.7</v>
      </c>
      <c r="JZ91" s="322">
        <v>14322.16</v>
      </c>
      <c r="KA91" s="322">
        <v>16790.919999999998</v>
      </c>
      <c r="KB91" s="334"/>
      <c r="KC91" s="322" t="s">
        <v>73</v>
      </c>
      <c r="KD91" s="322">
        <v>3419.56</v>
      </c>
      <c r="KE91" s="322">
        <v>7648.16</v>
      </c>
      <c r="KF91" s="322">
        <v>7228.5</v>
      </c>
      <c r="KG91" s="322">
        <v>5768.69</v>
      </c>
      <c r="KH91" s="322">
        <v>7037.72</v>
      </c>
      <c r="KI91" s="322">
        <v>11052.21</v>
      </c>
      <c r="KJ91" s="322">
        <v>14297.72</v>
      </c>
      <c r="KK91" s="322">
        <v>14017.6</v>
      </c>
      <c r="KL91" s="322">
        <v>12687.29</v>
      </c>
      <c r="KM91" s="322">
        <v>14294</v>
      </c>
      <c r="KN91" s="322">
        <v>13432.49</v>
      </c>
      <c r="KO91" s="322">
        <v>13290.599999999999</v>
      </c>
      <c r="KP91" s="322">
        <v>13349.69</v>
      </c>
      <c r="KQ91" s="322">
        <v>13867.44</v>
      </c>
      <c r="KR91" s="322">
        <v>12981.93</v>
      </c>
      <c r="KS91" s="322">
        <v>16553.849999999999</v>
      </c>
      <c r="KT91" s="322">
        <v>16495.11</v>
      </c>
      <c r="KU91" s="322">
        <v>16949.689999999999</v>
      </c>
      <c r="KV91" s="322">
        <v>17260.07</v>
      </c>
      <c r="KW91" s="322">
        <v>17256.650000000001</v>
      </c>
      <c r="KX91" s="322">
        <v>17827.07</v>
      </c>
      <c r="KY91" s="322">
        <v>19700</v>
      </c>
      <c r="KZ91" s="334"/>
      <c r="LA91" s="322" t="s">
        <v>73</v>
      </c>
      <c r="LB91" s="322">
        <v>37615.160000000003</v>
      </c>
      <c r="LC91" s="322">
        <v>42064.88</v>
      </c>
      <c r="LD91" s="322">
        <v>43371</v>
      </c>
      <c r="LE91" s="322">
        <v>103836.42</v>
      </c>
      <c r="LF91" s="322">
        <v>98528.08</v>
      </c>
      <c r="LG91" s="322">
        <v>40524.769999999997</v>
      </c>
      <c r="LH91" s="322">
        <v>39318.730000000003</v>
      </c>
      <c r="LI91" s="322">
        <v>42052.800000000003</v>
      </c>
      <c r="LJ91" s="322">
        <v>55274.659999999996</v>
      </c>
      <c r="LK91" s="322">
        <v>53550.380000000005</v>
      </c>
      <c r="LL91" s="322">
        <v>51206.989999999991</v>
      </c>
      <c r="LM91" s="322">
        <v>52296.46</v>
      </c>
      <c r="LN91" s="322">
        <v>51026.78</v>
      </c>
      <c r="LO91" s="322">
        <v>50705.59</v>
      </c>
      <c r="LP91" s="322">
        <v>50789.840000000004</v>
      </c>
      <c r="LQ91" s="322">
        <v>53234.95</v>
      </c>
      <c r="LR91" s="322">
        <v>51353.21</v>
      </c>
      <c r="LS91" s="322">
        <v>106981.81999999999</v>
      </c>
      <c r="LT91" s="322">
        <v>151133.26</v>
      </c>
      <c r="LU91" s="322">
        <v>123630.19</v>
      </c>
      <c r="LV91" s="322">
        <v>86771.62</v>
      </c>
      <c r="LW91" s="322">
        <v>98492.52</v>
      </c>
      <c r="LX91" s="334"/>
      <c r="LY91" s="322" t="s">
        <v>73</v>
      </c>
      <c r="LZ91" s="322">
        <v>0</v>
      </c>
      <c r="MA91" s="322">
        <v>0</v>
      </c>
      <c r="MB91" s="322">
        <v>0</v>
      </c>
      <c r="MC91" s="322">
        <v>0</v>
      </c>
      <c r="MD91" s="322">
        <v>0</v>
      </c>
      <c r="ME91" s="322">
        <v>0</v>
      </c>
      <c r="MF91" s="322">
        <v>0</v>
      </c>
      <c r="MG91" s="322">
        <v>0</v>
      </c>
      <c r="MH91" s="322">
        <v>0</v>
      </c>
      <c r="MI91" s="322">
        <v>0</v>
      </c>
      <c r="MJ91" s="322">
        <v>0</v>
      </c>
      <c r="MK91" s="322">
        <v>0</v>
      </c>
      <c r="ML91" s="322">
        <v>0</v>
      </c>
      <c r="MM91" s="322">
        <v>0</v>
      </c>
      <c r="MN91" s="322">
        <v>0</v>
      </c>
      <c r="MO91" s="322">
        <v>0</v>
      </c>
      <c r="MP91" s="322">
        <v>0</v>
      </c>
      <c r="MQ91" s="322">
        <v>0</v>
      </c>
      <c r="MR91" s="322">
        <v>0</v>
      </c>
      <c r="MS91" s="322">
        <v>0</v>
      </c>
      <c r="MT91" s="322">
        <v>0</v>
      </c>
      <c r="MU91" s="322">
        <v>0</v>
      </c>
      <c r="MV91" s="334"/>
      <c r="MW91" s="322" t="s">
        <v>73</v>
      </c>
      <c r="MX91" s="322">
        <v>0</v>
      </c>
      <c r="MY91" s="322">
        <v>0</v>
      </c>
      <c r="MZ91" s="322">
        <v>0</v>
      </c>
      <c r="NA91" s="322">
        <v>0</v>
      </c>
      <c r="NB91" s="322">
        <v>0</v>
      </c>
      <c r="NC91" s="322">
        <v>0</v>
      </c>
      <c r="ND91" s="322">
        <v>0</v>
      </c>
      <c r="NE91" s="322">
        <v>0</v>
      </c>
      <c r="NF91" s="322">
        <v>0</v>
      </c>
      <c r="NG91" s="322">
        <v>0</v>
      </c>
      <c r="NH91" s="322">
        <v>0</v>
      </c>
      <c r="NI91" s="322">
        <v>0</v>
      </c>
      <c r="NJ91" s="322">
        <v>0</v>
      </c>
      <c r="NK91" s="322">
        <v>0</v>
      </c>
      <c r="NL91" s="322">
        <v>0</v>
      </c>
      <c r="NM91" s="322">
        <v>0</v>
      </c>
      <c r="NN91" s="322">
        <v>0</v>
      </c>
      <c r="NO91" s="322">
        <v>0</v>
      </c>
      <c r="NP91" s="322">
        <v>0</v>
      </c>
      <c r="NQ91" s="322">
        <v>0</v>
      </c>
      <c r="NR91" s="322">
        <v>0</v>
      </c>
      <c r="NS91" s="322">
        <v>0</v>
      </c>
      <c r="NT91" s="334"/>
      <c r="NU91" s="322" t="s">
        <v>73</v>
      </c>
      <c r="NV91" s="322">
        <v>0</v>
      </c>
      <c r="NW91" s="322">
        <v>0</v>
      </c>
      <c r="NX91" s="322">
        <v>0</v>
      </c>
      <c r="NY91" s="322">
        <v>0</v>
      </c>
      <c r="NZ91" s="322">
        <v>0</v>
      </c>
      <c r="OA91" s="322">
        <v>0</v>
      </c>
      <c r="OB91" s="322">
        <v>0</v>
      </c>
      <c r="OC91" s="322">
        <v>0</v>
      </c>
      <c r="OD91" s="322">
        <v>0</v>
      </c>
      <c r="OE91" s="322">
        <v>0</v>
      </c>
      <c r="OF91" s="322">
        <v>0</v>
      </c>
      <c r="OG91" s="322">
        <v>0</v>
      </c>
      <c r="OH91" s="322">
        <v>0</v>
      </c>
      <c r="OI91" s="322">
        <v>0</v>
      </c>
      <c r="OJ91" s="322">
        <v>0</v>
      </c>
      <c r="OK91" s="322">
        <v>0</v>
      </c>
      <c r="OL91" s="322">
        <v>0</v>
      </c>
      <c r="OM91" s="322">
        <v>0</v>
      </c>
      <c r="ON91" s="322">
        <v>0</v>
      </c>
      <c r="OO91" s="322">
        <v>0</v>
      </c>
      <c r="OP91" s="322">
        <v>0</v>
      </c>
      <c r="OQ91" s="322">
        <v>0</v>
      </c>
      <c r="OR91" s="334"/>
      <c r="OS91" s="322" t="s">
        <v>73</v>
      </c>
      <c r="OT91" s="322">
        <v>0</v>
      </c>
      <c r="OU91" s="322">
        <v>0</v>
      </c>
      <c r="OV91" s="322">
        <v>0</v>
      </c>
      <c r="OW91" s="322">
        <v>0</v>
      </c>
      <c r="OX91" s="322">
        <v>0</v>
      </c>
      <c r="OY91" s="322">
        <v>0</v>
      </c>
      <c r="OZ91" s="322">
        <v>0</v>
      </c>
      <c r="PA91" s="322">
        <v>0</v>
      </c>
      <c r="PB91" s="322">
        <v>0</v>
      </c>
      <c r="PC91" s="322">
        <v>0</v>
      </c>
      <c r="PD91" s="322">
        <v>0</v>
      </c>
      <c r="PE91" s="322">
        <v>0</v>
      </c>
      <c r="PF91" s="322">
        <v>0</v>
      </c>
      <c r="PG91" s="322">
        <v>0</v>
      </c>
      <c r="PH91" s="322">
        <v>0</v>
      </c>
      <c r="PI91" s="322">
        <v>0</v>
      </c>
      <c r="PJ91" s="322">
        <v>0</v>
      </c>
      <c r="PK91" s="322">
        <v>0</v>
      </c>
      <c r="PL91" s="322">
        <v>0</v>
      </c>
      <c r="PM91" s="322">
        <v>0</v>
      </c>
      <c r="PN91" s="322">
        <v>0</v>
      </c>
      <c r="PO91" s="322">
        <v>0</v>
      </c>
      <c r="PP91" s="334"/>
      <c r="PQ91" s="322" t="s">
        <v>73</v>
      </c>
      <c r="PR91" s="322">
        <v>0</v>
      </c>
      <c r="PS91" s="322">
        <v>0</v>
      </c>
      <c r="PT91" s="322">
        <v>0</v>
      </c>
      <c r="PU91" s="322">
        <v>0</v>
      </c>
      <c r="PV91" s="322">
        <v>0</v>
      </c>
      <c r="PW91" s="322">
        <v>0</v>
      </c>
      <c r="PX91" s="322">
        <v>0</v>
      </c>
      <c r="PY91" s="322">
        <v>0</v>
      </c>
      <c r="PZ91" s="322">
        <v>0</v>
      </c>
      <c r="QA91" s="322">
        <v>0</v>
      </c>
      <c r="QB91" s="322">
        <v>0</v>
      </c>
      <c r="QC91" s="322">
        <v>0</v>
      </c>
      <c r="QD91" s="322">
        <v>0</v>
      </c>
      <c r="QE91" s="322">
        <v>0</v>
      </c>
      <c r="QF91" s="322">
        <v>0</v>
      </c>
      <c r="QG91" s="322">
        <v>0</v>
      </c>
      <c r="QH91" s="322">
        <v>0</v>
      </c>
      <c r="QI91" s="322">
        <v>0</v>
      </c>
      <c r="QJ91" s="322">
        <v>0</v>
      </c>
      <c r="QK91" s="322">
        <v>0</v>
      </c>
      <c r="QL91" s="322">
        <v>0</v>
      </c>
      <c r="QM91" s="322">
        <v>0</v>
      </c>
      <c r="QN91" s="334"/>
      <c r="QO91" s="322" t="s">
        <v>73</v>
      </c>
      <c r="QP91" s="322">
        <v>3419.56</v>
      </c>
      <c r="QQ91" s="322">
        <v>3824.08</v>
      </c>
      <c r="QR91" s="322">
        <v>3614.25</v>
      </c>
      <c r="QS91" s="322">
        <v>5768.69</v>
      </c>
      <c r="QT91" s="322">
        <v>7037.72</v>
      </c>
      <c r="QU91" s="322">
        <v>3684.07</v>
      </c>
      <c r="QV91" s="322">
        <v>10723.29</v>
      </c>
      <c r="QW91" s="322">
        <v>7008.8</v>
      </c>
      <c r="QX91" s="322">
        <v>15298.56</v>
      </c>
      <c r="QY91" s="322">
        <v>11699.68</v>
      </c>
      <c r="QZ91" s="322">
        <v>10567.04</v>
      </c>
      <c r="RA91" s="322">
        <v>8633.16</v>
      </c>
      <c r="RB91" s="322">
        <v>8483.16</v>
      </c>
      <c r="RC91" s="322">
        <v>10433.16</v>
      </c>
      <c r="RD91" s="322">
        <v>15833.16</v>
      </c>
      <c r="RE91" s="322">
        <v>1560</v>
      </c>
      <c r="RF91" s="322">
        <v>9060</v>
      </c>
      <c r="RG91" s="322">
        <v>1560</v>
      </c>
      <c r="RH91" s="322">
        <v>1560</v>
      </c>
      <c r="RI91" s="322">
        <v>1950.08</v>
      </c>
      <c r="RJ91" s="322">
        <v>1950.08</v>
      </c>
      <c r="RK91" s="322">
        <v>2535</v>
      </c>
      <c r="RL91" s="334"/>
      <c r="RM91" s="322" t="s">
        <v>73</v>
      </c>
      <c r="RN91" s="322">
        <v>99167.24</v>
      </c>
      <c r="RO91" s="322">
        <v>118546.48</v>
      </c>
      <c r="RP91" s="322">
        <v>108427.5</v>
      </c>
      <c r="RQ91" s="322">
        <v>98067.73</v>
      </c>
      <c r="RR91" s="322">
        <v>0</v>
      </c>
      <c r="RS91" s="322">
        <v>88417.68</v>
      </c>
      <c r="RT91" s="322">
        <v>82211.89</v>
      </c>
      <c r="RU91" s="322">
        <v>84105.600000000006</v>
      </c>
      <c r="RV91" s="322">
        <v>98983.44</v>
      </c>
      <c r="RW91" s="322">
        <v>108933.37</v>
      </c>
      <c r="RX91" s="322">
        <v>102594.24000000001</v>
      </c>
      <c r="RY91" s="322">
        <v>158187.16</v>
      </c>
      <c r="RZ91" s="322">
        <v>143192.43</v>
      </c>
      <c r="SA91" s="322">
        <v>144650.9</v>
      </c>
      <c r="SB91" s="322">
        <v>118035.25</v>
      </c>
      <c r="SC91" s="322">
        <v>136262.07</v>
      </c>
      <c r="SD91" s="322">
        <v>155375.79999999999</v>
      </c>
      <c r="SE91" s="322">
        <v>194604.31000000003</v>
      </c>
      <c r="SF91" s="322">
        <v>223287.1</v>
      </c>
      <c r="SG91" s="322">
        <v>167158.87</v>
      </c>
      <c r="SH91" s="322">
        <v>147380.16999999998</v>
      </c>
      <c r="SI91" s="322">
        <v>201077.25</v>
      </c>
    </row>
    <row r="92" spans="1:503">
      <c r="A92" s="319" t="s">
        <v>74</v>
      </c>
      <c r="B92" s="319">
        <v>784048</v>
      </c>
      <c r="C92" s="319">
        <v>559588</v>
      </c>
      <c r="D92" s="319">
        <v>609494</v>
      </c>
      <c r="E92" s="319">
        <v>626776</v>
      </c>
      <c r="F92" s="319">
        <v>707491</v>
      </c>
      <c r="G92" s="319">
        <v>692327</v>
      </c>
      <c r="H92" s="319">
        <v>679346</v>
      </c>
      <c r="I92" s="319">
        <v>720936</v>
      </c>
      <c r="J92" s="319">
        <v>814371.31</v>
      </c>
      <c r="K92" s="319">
        <v>693533.22</v>
      </c>
      <c r="L92" s="319">
        <v>715403.76</v>
      </c>
      <c r="M92" s="319">
        <v>738874.92999999993</v>
      </c>
      <c r="N92" s="319">
        <v>672679.38</v>
      </c>
      <c r="O92" s="319">
        <v>715997.58000000007</v>
      </c>
      <c r="P92" s="319">
        <v>701658.33000000007</v>
      </c>
      <c r="Q92" s="319">
        <v>693266.95000000007</v>
      </c>
      <c r="R92" s="319">
        <v>826818.9</v>
      </c>
      <c r="S92" s="322">
        <v>825680.25</v>
      </c>
      <c r="T92" s="319">
        <v>1016387.0700000001</v>
      </c>
      <c r="U92" s="319">
        <v>861884.35</v>
      </c>
      <c r="V92" s="319">
        <v>954406.37</v>
      </c>
      <c r="W92" s="319">
        <v>1062749.23</v>
      </c>
      <c r="X92" s="330"/>
      <c r="Y92" s="319" t="s">
        <v>74</v>
      </c>
      <c r="Z92" s="319">
        <v>39202.400000000001</v>
      </c>
      <c r="AA92" s="319">
        <v>33575.279999999999</v>
      </c>
      <c r="AB92" s="319">
        <v>36569.64</v>
      </c>
      <c r="AC92" s="319">
        <v>43874.32</v>
      </c>
      <c r="AD92" s="319">
        <v>49524.37</v>
      </c>
      <c r="AE92" s="319">
        <v>48462.89</v>
      </c>
      <c r="AF92" s="319">
        <v>55386.16</v>
      </c>
      <c r="AG92" s="319">
        <v>57674.879999999997</v>
      </c>
      <c r="AH92" s="319">
        <v>57495.02</v>
      </c>
      <c r="AI92" s="319">
        <v>58047.979999999996</v>
      </c>
      <c r="AJ92" s="319">
        <v>59755.26</v>
      </c>
      <c r="AK92" s="319">
        <v>65203.94</v>
      </c>
      <c r="AL92" s="319">
        <v>62349.100000000006</v>
      </c>
      <c r="AM92" s="319">
        <v>59577.41</v>
      </c>
      <c r="AN92" s="319">
        <v>61503.05</v>
      </c>
      <c r="AO92" s="319">
        <v>62147.78</v>
      </c>
      <c r="AP92" s="319">
        <v>123497.59000000001</v>
      </c>
      <c r="AQ92" s="322">
        <v>146146.59</v>
      </c>
      <c r="AR92" s="319">
        <v>286932.67</v>
      </c>
      <c r="AS92" s="319">
        <v>146426.6</v>
      </c>
      <c r="AT92" s="319">
        <v>162779.85</v>
      </c>
      <c r="AU92" s="319">
        <v>126744.72</v>
      </c>
      <c r="AV92" s="334"/>
      <c r="AW92" s="319" t="s">
        <v>74</v>
      </c>
      <c r="AX92" s="319">
        <v>39202.400000000001</v>
      </c>
      <c r="AY92" s="319">
        <v>39171.160000000003</v>
      </c>
      <c r="AZ92" s="319">
        <v>42664.58</v>
      </c>
      <c r="BA92" s="319">
        <v>43874.320000000007</v>
      </c>
      <c r="BB92" s="319">
        <v>42449.46</v>
      </c>
      <c r="BC92" s="319">
        <v>48462.890000000007</v>
      </c>
      <c r="BD92" s="319">
        <v>47554.22</v>
      </c>
      <c r="BE92" s="319">
        <v>50465.520000000004</v>
      </c>
      <c r="BF92" s="319">
        <v>51022.06</v>
      </c>
      <c r="BG92" s="319">
        <v>53261.159999999996</v>
      </c>
      <c r="BH92" s="319">
        <v>61754.240000000005</v>
      </c>
      <c r="BI92" s="319">
        <v>58039.869999999988</v>
      </c>
      <c r="BJ92" s="319">
        <v>56826.820000000007</v>
      </c>
      <c r="BK92" s="319">
        <v>57911.03</v>
      </c>
      <c r="BL92" s="319">
        <v>60105.79</v>
      </c>
      <c r="BM92" s="319">
        <v>62662.59</v>
      </c>
      <c r="BN92" s="319">
        <v>67522.989999999991</v>
      </c>
      <c r="BO92" s="322">
        <v>59788.390000000007</v>
      </c>
      <c r="BP92" s="319">
        <v>58222.15</v>
      </c>
      <c r="BQ92" s="319">
        <v>73883.539999999994</v>
      </c>
      <c r="BR92" s="319">
        <v>89189.83</v>
      </c>
      <c r="BS92" s="319">
        <v>89989.53</v>
      </c>
      <c r="BT92" s="334"/>
      <c r="BU92" s="322" t="s">
        <v>74</v>
      </c>
      <c r="BV92" s="322">
        <v>7840.48</v>
      </c>
      <c r="BW92" s="322">
        <v>0</v>
      </c>
      <c r="BX92" s="322">
        <v>12189.88</v>
      </c>
      <c r="BY92" s="322">
        <v>0</v>
      </c>
      <c r="BZ92" s="322">
        <v>7074.91</v>
      </c>
      <c r="CA92" s="322">
        <v>0</v>
      </c>
      <c r="CB92" s="322">
        <v>13586.92</v>
      </c>
      <c r="CC92" s="322">
        <v>0</v>
      </c>
      <c r="CD92" s="322">
        <v>13546.71</v>
      </c>
      <c r="CE92" s="322">
        <v>40</v>
      </c>
      <c r="CF92" s="322">
        <v>19386.830000000002</v>
      </c>
      <c r="CG92" s="322">
        <v>1186.6300000000001</v>
      </c>
      <c r="CH92" s="322">
        <v>26469</v>
      </c>
      <c r="CI92" s="322">
        <v>254.59</v>
      </c>
      <c r="CJ92" s="322">
        <v>20371.09</v>
      </c>
      <c r="CK92" s="322">
        <v>1020</v>
      </c>
      <c r="CL92" s="322">
        <v>40249.82</v>
      </c>
      <c r="CM92" s="322">
        <v>0</v>
      </c>
      <c r="CN92" s="322">
        <v>38470.33</v>
      </c>
      <c r="CO92" s="322">
        <v>19939</v>
      </c>
      <c r="CP92" s="322">
        <v>35565.81</v>
      </c>
      <c r="CQ92" s="322">
        <v>6200</v>
      </c>
      <c r="CR92" s="334"/>
      <c r="CS92" s="322" t="s">
        <v>74</v>
      </c>
      <c r="CT92" s="322">
        <v>290097.76</v>
      </c>
      <c r="CU92" s="322">
        <v>61554.68</v>
      </c>
      <c r="CV92" s="322">
        <v>67044.34</v>
      </c>
      <c r="CW92" s="322">
        <v>68945.36</v>
      </c>
      <c r="CX92" s="322">
        <v>99048.74</v>
      </c>
      <c r="CY92" s="322">
        <v>69232.7</v>
      </c>
      <c r="CZ92" s="322">
        <v>54347.68</v>
      </c>
      <c r="DA92" s="322">
        <v>43256.160000000003</v>
      </c>
      <c r="DB92" s="322">
        <v>52030.400000000001</v>
      </c>
      <c r="DC92" s="322">
        <v>58123.93</v>
      </c>
      <c r="DD92" s="322">
        <v>86007.249999999985</v>
      </c>
      <c r="DE92" s="322">
        <v>82686.200000000012</v>
      </c>
      <c r="DF92" s="322">
        <v>67895.34</v>
      </c>
      <c r="DG92" s="322">
        <v>65616.670000000013</v>
      </c>
      <c r="DH92" s="322">
        <v>64481.58</v>
      </c>
      <c r="DI92" s="322">
        <v>61071.220000000008</v>
      </c>
      <c r="DJ92" s="322">
        <v>57316.63</v>
      </c>
      <c r="DK92" s="322">
        <v>58157.5</v>
      </c>
      <c r="DL92" s="322">
        <v>64892.95</v>
      </c>
      <c r="DM92" s="322">
        <v>53621.520000000004</v>
      </c>
      <c r="DN92" s="322">
        <v>69951.790000000008</v>
      </c>
      <c r="DO92" s="322">
        <v>145092.83000000002</v>
      </c>
      <c r="DP92" s="334"/>
      <c r="DQ92" s="322" t="s">
        <v>74</v>
      </c>
      <c r="DR92" s="322">
        <v>31361.919999999998</v>
      </c>
      <c r="DS92" s="322">
        <v>33575.279999999999</v>
      </c>
      <c r="DT92" s="322">
        <v>30474.7</v>
      </c>
      <c r="DU92" s="322">
        <v>31338.799999999999</v>
      </c>
      <c r="DV92" s="322">
        <v>35374.550000000003</v>
      </c>
      <c r="DW92" s="322">
        <v>41539.620000000003</v>
      </c>
      <c r="DX92" s="322">
        <v>33967.300000000003</v>
      </c>
      <c r="DY92" s="322">
        <v>36046.800000000003</v>
      </c>
      <c r="DZ92" s="322">
        <v>54319.020000000004</v>
      </c>
      <c r="EA92" s="322">
        <v>65492.79</v>
      </c>
      <c r="EB92" s="322">
        <v>60836.59</v>
      </c>
      <c r="EC92" s="322">
        <v>60042.96</v>
      </c>
      <c r="ED92" s="322">
        <v>50706.27</v>
      </c>
      <c r="EE92" s="322">
        <v>51032.91</v>
      </c>
      <c r="EF92" s="322">
        <v>47672.490000000005</v>
      </c>
      <c r="EG92" s="322">
        <v>44798.42</v>
      </c>
      <c r="EH92" s="322">
        <v>50462.979999999996</v>
      </c>
      <c r="EI92" s="322">
        <v>50024.369999999995</v>
      </c>
      <c r="EJ92" s="322">
        <v>48526.94</v>
      </c>
      <c r="EK92" s="322">
        <v>48524.52</v>
      </c>
      <c r="EL92" s="322">
        <v>48492.09</v>
      </c>
      <c r="EM92" s="322">
        <v>74500</v>
      </c>
      <c r="EN92" s="334"/>
      <c r="EO92" s="322" t="s">
        <v>74</v>
      </c>
      <c r="EP92" s="322">
        <v>15680.96</v>
      </c>
      <c r="EQ92" s="322">
        <v>11191.76</v>
      </c>
      <c r="ER92" s="322">
        <v>12189.88</v>
      </c>
      <c r="ES92" s="322">
        <v>18803.28</v>
      </c>
      <c r="ET92" s="322">
        <v>14149.82</v>
      </c>
      <c r="EU92" s="322">
        <v>13846.54</v>
      </c>
      <c r="EV92" s="322">
        <v>20380.38</v>
      </c>
      <c r="EW92" s="322">
        <v>28837.439999999999</v>
      </c>
      <c r="EX92" s="322">
        <v>29280.93</v>
      </c>
      <c r="EY92" s="322">
        <v>26464.959999999999</v>
      </c>
      <c r="EZ92" s="322">
        <v>25955.91</v>
      </c>
      <c r="FA92" s="322">
        <v>28808.099999999995</v>
      </c>
      <c r="FB92" s="322">
        <v>28924.530000000002</v>
      </c>
      <c r="FC92" s="322">
        <v>29926.02</v>
      </c>
      <c r="FD92" s="322">
        <v>30540.2</v>
      </c>
      <c r="FE92" s="322">
        <v>29896.82</v>
      </c>
      <c r="FF92" s="322">
        <v>34752.659999999996</v>
      </c>
      <c r="FG92" s="322">
        <v>33657.380000000005</v>
      </c>
      <c r="FH92" s="322">
        <v>38178.869999999995</v>
      </c>
      <c r="FI92" s="322">
        <v>35807.79</v>
      </c>
      <c r="FJ92" s="322">
        <v>36332.25</v>
      </c>
      <c r="FK92" s="322">
        <v>36841</v>
      </c>
      <c r="FL92" s="334"/>
      <c r="FM92" s="322" t="s">
        <v>74</v>
      </c>
      <c r="FN92" s="322">
        <v>39202.400000000001</v>
      </c>
      <c r="FO92" s="322">
        <v>39171.160000000003</v>
      </c>
      <c r="FP92" s="322">
        <v>42664.58</v>
      </c>
      <c r="FQ92" s="322">
        <v>50142.080000000002</v>
      </c>
      <c r="FR92" s="322">
        <v>49524.37</v>
      </c>
      <c r="FS92" s="322">
        <v>48462.89</v>
      </c>
      <c r="FT92" s="322">
        <v>54347.68</v>
      </c>
      <c r="FU92" s="322">
        <v>57674.879999999997</v>
      </c>
      <c r="FV92" s="322">
        <v>54559.920000000006</v>
      </c>
      <c r="FW92" s="322">
        <v>54920.280000000006</v>
      </c>
      <c r="FX92" s="322">
        <v>55487.180000000008</v>
      </c>
      <c r="FY92" s="322">
        <v>55421.04</v>
      </c>
      <c r="FZ92" s="322">
        <v>54295.689999999995</v>
      </c>
      <c r="GA92" s="322">
        <v>56618.01</v>
      </c>
      <c r="GB92" s="322">
        <v>55916.1</v>
      </c>
      <c r="GC92" s="322">
        <v>57084.54</v>
      </c>
      <c r="GD92" s="322">
        <v>61153.979999999996</v>
      </c>
      <c r="GE92" s="322">
        <v>59757.159999999996</v>
      </c>
      <c r="GF92" s="340">
        <v>60264.189999999995</v>
      </c>
      <c r="GG92" s="704">
        <v>62969.810000000005</v>
      </c>
      <c r="GH92" s="704">
        <v>64341.599999999991</v>
      </c>
      <c r="GI92" s="704">
        <v>65355.03</v>
      </c>
      <c r="GJ92" s="334"/>
      <c r="GK92" s="322" t="s">
        <v>74</v>
      </c>
      <c r="GL92" s="322">
        <v>7840.48</v>
      </c>
      <c r="GM92" s="322">
        <v>11191.76</v>
      </c>
      <c r="GN92" s="322">
        <v>6094.94</v>
      </c>
      <c r="GO92" s="322">
        <v>12535.52</v>
      </c>
      <c r="GP92" s="322">
        <v>7074.91</v>
      </c>
      <c r="GQ92" s="322">
        <v>6923.27</v>
      </c>
      <c r="GR92" s="322">
        <v>20380.38</v>
      </c>
      <c r="GS92" s="322">
        <v>14418.72</v>
      </c>
      <c r="GT92" s="322">
        <v>15763.200000000003</v>
      </c>
      <c r="GU92" s="322">
        <v>11252.899999999998</v>
      </c>
      <c r="GV92" s="322">
        <v>1556.3999999999999</v>
      </c>
      <c r="GW92" s="322">
        <v>53862.810000000005</v>
      </c>
      <c r="GX92" s="322">
        <v>38325.049999999996</v>
      </c>
      <c r="GY92" s="322">
        <v>41577.94</v>
      </c>
      <c r="GZ92" s="322">
        <v>41273.03</v>
      </c>
      <c r="HA92" s="322">
        <v>43312.020000000011</v>
      </c>
      <c r="HB92" s="322">
        <v>53171.519999999997</v>
      </c>
      <c r="HC92" s="322">
        <v>44308.770000000004</v>
      </c>
      <c r="HD92" s="322">
        <v>45934.89</v>
      </c>
      <c r="HE92" s="322">
        <v>49587.73000000001</v>
      </c>
      <c r="HF92" s="322">
        <v>52147.24</v>
      </c>
      <c r="HG92" s="322">
        <v>54482.5</v>
      </c>
      <c r="HH92" s="334"/>
      <c r="HI92" s="322" t="s">
        <v>74</v>
      </c>
      <c r="HJ92" s="322">
        <v>0</v>
      </c>
      <c r="HK92" s="322">
        <v>0</v>
      </c>
      <c r="HL92" s="322">
        <v>0</v>
      </c>
      <c r="HM92" s="322">
        <v>0</v>
      </c>
      <c r="HN92" s="322">
        <v>0</v>
      </c>
      <c r="HO92" s="322">
        <v>0</v>
      </c>
      <c r="HP92" s="322">
        <v>0</v>
      </c>
      <c r="HQ92" s="322">
        <v>0</v>
      </c>
      <c r="HR92" s="322">
        <v>0</v>
      </c>
      <c r="HS92" s="322">
        <v>0</v>
      </c>
      <c r="HT92" s="322">
        <v>0</v>
      </c>
      <c r="HU92" s="322">
        <v>0</v>
      </c>
      <c r="HV92" s="322">
        <v>0</v>
      </c>
      <c r="HW92" s="322">
        <v>0</v>
      </c>
      <c r="HX92" s="322">
        <v>0</v>
      </c>
      <c r="HY92" s="322">
        <v>0</v>
      </c>
      <c r="HZ92" s="322">
        <v>0</v>
      </c>
      <c r="IA92" s="322">
        <v>0</v>
      </c>
      <c r="IB92" s="322">
        <v>0</v>
      </c>
      <c r="IC92" s="322">
        <v>0</v>
      </c>
      <c r="ID92" s="322">
        <v>0</v>
      </c>
      <c r="IE92" s="322">
        <v>0</v>
      </c>
      <c r="IF92" s="334"/>
      <c r="IG92" s="322" t="s">
        <v>74</v>
      </c>
      <c r="IH92" s="322">
        <v>7840.48</v>
      </c>
      <c r="II92" s="322">
        <v>5595.88</v>
      </c>
      <c r="IJ92" s="322">
        <v>6094.94</v>
      </c>
      <c r="IK92" s="322">
        <v>6267.76</v>
      </c>
      <c r="IL92" s="322">
        <v>7074.91</v>
      </c>
      <c r="IM92" s="322">
        <v>6923.27</v>
      </c>
      <c r="IN92" s="322">
        <v>6793.46</v>
      </c>
      <c r="IO92" s="322">
        <v>7209.36</v>
      </c>
      <c r="IP92" s="322">
        <v>6689.6799999999994</v>
      </c>
      <c r="IQ92" s="322">
        <v>7362.369999999999</v>
      </c>
      <c r="IR92" s="322">
        <v>6537.77</v>
      </c>
      <c r="IS92" s="322">
        <v>3668.5</v>
      </c>
      <c r="IT92" s="322">
        <v>4055</v>
      </c>
      <c r="IU92" s="322">
        <v>4668</v>
      </c>
      <c r="IV92" s="322"/>
      <c r="IW92" s="322"/>
      <c r="IX92" s="322"/>
      <c r="IY92" s="322"/>
      <c r="IZ92" s="322"/>
      <c r="JA92" s="322"/>
      <c r="JB92" s="322"/>
      <c r="JC92" s="322"/>
      <c r="JD92" s="334"/>
      <c r="JE92" s="322" t="s">
        <v>74</v>
      </c>
      <c r="JF92" s="322">
        <v>7840.48</v>
      </c>
      <c r="JG92" s="322">
        <v>5595.88</v>
      </c>
      <c r="JH92" s="322">
        <v>6094.94</v>
      </c>
      <c r="JI92" s="322">
        <v>0</v>
      </c>
      <c r="JJ92" s="322">
        <v>0</v>
      </c>
      <c r="JK92" s="322">
        <v>0</v>
      </c>
      <c r="JL92" s="322">
        <v>6793.46</v>
      </c>
      <c r="JM92" s="322">
        <v>0</v>
      </c>
      <c r="JN92" s="322">
        <v>2380.7999999999997</v>
      </c>
      <c r="JO92" s="322">
        <v>2683.45</v>
      </c>
      <c r="JP92" s="322">
        <v>2877.8399999999997</v>
      </c>
      <c r="JQ92" s="322">
        <v>2970.05</v>
      </c>
      <c r="JR92" s="322">
        <v>3553.42</v>
      </c>
      <c r="JS92" s="322">
        <v>3356.82</v>
      </c>
      <c r="JT92" s="322">
        <v>9345.74</v>
      </c>
      <c r="JU92" s="322">
        <v>9731.64</v>
      </c>
      <c r="JV92" s="322">
        <v>11758.779999999999</v>
      </c>
      <c r="JW92" s="322">
        <v>10785</v>
      </c>
      <c r="JX92" s="322">
        <v>20688.87</v>
      </c>
      <c r="JY92" s="322">
        <v>20966.71</v>
      </c>
      <c r="JZ92" s="322">
        <v>21684.35</v>
      </c>
      <c r="KA92" s="322">
        <v>25083.89</v>
      </c>
      <c r="KB92" s="334"/>
      <c r="KC92" s="322" t="s">
        <v>74</v>
      </c>
      <c r="KD92" s="322">
        <v>7840.48</v>
      </c>
      <c r="KE92" s="322">
        <v>5595.88</v>
      </c>
      <c r="KF92" s="322">
        <v>6094.94</v>
      </c>
      <c r="KG92" s="322">
        <v>6267.76</v>
      </c>
      <c r="KH92" s="322">
        <v>7074.91</v>
      </c>
      <c r="KI92" s="322">
        <v>13846.54</v>
      </c>
      <c r="KJ92" s="322">
        <v>13586.92</v>
      </c>
      <c r="KK92" s="322">
        <v>14418.72</v>
      </c>
      <c r="KL92" s="322">
        <v>12860.07</v>
      </c>
      <c r="KM92" s="322">
        <v>13173.89</v>
      </c>
      <c r="KN92" s="322">
        <v>13295.529999999999</v>
      </c>
      <c r="KO92" s="322">
        <v>13096.1</v>
      </c>
      <c r="KP92" s="322">
        <v>13410.949999999999</v>
      </c>
      <c r="KQ92" s="322">
        <v>14671.970000000001</v>
      </c>
      <c r="KR92" s="322">
        <v>15150.11</v>
      </c>
      <c r="KS92" s="322">
        <v>15893.42</v>
      </c>
      <c r="KT92" s="322">
        <v>19264.2</v>
      </c>
      <c r="KU92" s="322">
        <v>16330.56</v>
      </c>
      <c r="KV92" s="322">
        <v>16859.900000000001</v>
      </c>
      <c r="KW92" s="322">
        <v>16800</v>
      </c>
      <c r="KX92" s="322">
        <v>17120.72</v>
      </c>
      <c r="KY92" s="322">
        <v>18522.480000000003</v>
      </c>
      <c r="KZ92" s="334"/>
      <c r="LA92" s="322" t="s">
        <v>74</v>
      </c>
      <c r="LB92" s="322">
        <v>15680.96</v>
      </c>
      <c r="LC92" s="322">
        <v>44767.040000000001</v>
      </c>
      <c r="LD92" s="322">
        <v>30474.7</v>
      </c>
      <c r="LE92" s="322">
        <v>31338.799999999999</v>
      </c>
      <c r="LF92" s="322">
        <v>49524.37</v>
      </c>
      <c r="LG92" s="322">
        <v>48462.89</v>
      </c>
      <c r="LH92" s="322">
        <v>33967.300000000003</v>
      </c>
      <c r="LI92" s="322">
        <v>79302.960000000006</v>
      </c>
      <c r="LJ92" s="322">
        <v>70696.87</v>
      </c>
      <c r="LK92" s="322">
        <v>37332.54</v>
      </c>
      <c r="LL92" s="322">
        <v>60733.41</v>
      </c>
      <c r="LM92" s="322">
        <v>46429.69</v>
      </c>
      <c r="LN92" s="322">
        <v>32299.42</v>
      </c>
      <c r="LO92" s="322">
        <v>41716.44</v>
      </c>
      <c r="LP92" s="322">
        <v>43351.71</v>
      </c>
      <c r="LQ92" s="322">
        <v>44942.06</v>
      </c>
      <c r="LR92" s="322">
        <v>45380.66</v>
      </c>
      <c r="LS92" s="322">
        <v>45038.78</v>
      </c>
      <c r="LT92" s="322">
        <v>44592.41</v>
      </c>
      <c r="LU92" s="322">
        <v>49175.35</v>
      </c>
      <c r="LV92" s="322">
        <v>70824.600000000006</v>
      </c>
      <c r="LW92" s="322">
        <v>104794.69</v>
      </c>
      <c r="LX92" s="334"/>
      <c r="LY92" s="322" t="s">
        <v>74</v>
      </c>
      <c r="LZ92" s="322">
        <v>196012</v>
      </c>
      <c r="MA92" s="322">
        <v>179068.16</v>
      </c>
      <c r="MB92" s="322">
        <v>207227.96</v>
      </c>
      <c r="MC92" s="322">
        <v>200568.32000000001</v>
      </c>
      <c r="MD92" s="322">
        <v>219322.21</v>
      </c>
      <c r="ME92" s="322">
        <v>221544.64</v>
      </c>
      <c r="MF92" s="322">
        <v>183423.42</v>
      </c>
      <c r="MG92" s="322">
        <v>173024.64000000001</v>
      </c>
      <c r="MH92" s="322">
        <v>236948.04000000004</v>
      </c>
      <c r="MI92" s="322">
        <v>162399.26999999999</v>
      </c>
      <c r="MJ92" s="322">
        <v>165119.53</v>
      </c>
      <c r="MK92" s="322">
        <v>168739.95</v>
      </c>
      <c r="ML92" s="322">
        <v>157431.78999999998</v>
      </c>
      <c r="MM92" s="322">
        <v>175919.13999999998</v>
      </c>
      <c r="MN92" s="322">
        <v>166579.44</v>
      </c>
      <c r="MO92" s="322">
        <v>166445.09000000003</v>
      </c>
      <c r="MP92" s="322">
        <v>174808.67</v>
      </c>
      <c r="MQ92" s="322">
        <v>179607.41</v>
      </c>
      <c r="MR92" s="322">
        <v>184885.69999999998</v>
      </c>
      <c r="MS92" s="322">
        <v>182725.90999999997</v>
      </c>
      <c r="MT92" s="322">
        <v>191861.68</v>
      </c>
      <c r="MU92" s="322">
        <v>199804.73</v>
      </c>
      <c r="MV92" s="334"/>
      <c r="MW92" s="322" t="s">
        <v>74</v>
      </c>
      <c r="MX92" s="322">
        <v>0</v>
      </c>
      <c r="MY92" s="322">
        <v>0</v>
      </c>
      <c r="MZ92" s="322">
        <v>0</v>
      </c>
      <c r="NA92" s="322">
        <v>0</v>
      </c>
      <c r="NB92" s="322">
        <v>0</v>
      </c>
      <c r="NC92" s="322">
        <v>0</v>
      </c>
      <c r="ND92" s="322">
        <v>0</v>
      </c>
      <c r="NE92" s="322">
        <v>0</v>
      </c>
      <c r="NF92" s="322">
        <v>0</v>
      </c>
      <c r="NG92" s="322">
        <v>0</v>
      </c>
      <c r="NH92" s="322">
        <v>0</v>
      </c>
      <c r="NI92" s="322">
        <v>0</v>
      </c>
      <c r="NJ92" s="322">
        <v>0</v>
      </c>
      <c r="NK92" s="322">
        <v>0</v>
      </c>
      <c r="NL92" s="322">
        <v>0</v>
      </c>
      <c r="NM92" s="322">
        <v>0</v>
      </c>
      <c r="NN92" s="322">
        <v>0</v>
      </c>
      <c r="NO92" s="322">
        <v>0</v>
      </c>
      <c r="NP92" s="322">
        <v>0</v>
      </c>
      <c r="NQ92" s="322">
        <v>0</v>
      </c>
      <c r="NR92" s="322">
        <v>0</v>
      </c>
      <c r="NS92" s="322">
        <v>0</v>
      </c>
      <c r="NT92" s="334"/>
      <c r="NU92" s="322" t="s">
        <v>74</v>
      </c>
      <c r="NV92" s="322">
        <v>39202.400000000001</v>
      </c>
      <c r="NW92" s="322">
        <v>44767.040000000001</v>
      </c>
      <c r="NX92" s="322">
        <v>48759.519999999997</v>
      </c>
      <c r="NY92" s="322">
        <v>50142.080000000002</v>
      </c>
      <c r="NZ92" s="322">
        <v>49524.37</v>
      </c>
      <c r="OA92" s="322">
        <v>48462.89</v>
      </c>
      <c r="OB92" s="322">
        <v>47554.22</v>
      </c>
      <c r="OC92" s="322">
        <v>57674.879999999997</v>
      </c>
      <c r="OD92" s="322">
        <v>54878.400000000001</v>
      </c>
      <c r="OE92" s="322">
        <v>50050.780000000006</v>
      </c>
      <c r="OF92" s="322">
        <v>47749.89</v>
      </c>
      <c r="OG92" s="322">
        <v>59528.6</v>
      </c>
      <c r="OH92" s="322">
        <v>53093.53</v>
      </c>
      <c r="OI92" s="322">
        <v>55236.35</v>
      </c>
      <c r="OJ92" s="322">
        <v>56223.06</v>
      </c>
      <c r="OK92" s="322">
        <v>53386.45</v>
      </c>
      <c r="OL92" s="322">
        <v>58347.78</v>
      </c>
      <c r="OM92" s="322">
        <v>58347.78</v>
      </c>
      <c r="ON92" s="322">
        <v>72868.3</v>
      </c>
      <c r="OO92" s="322">
        <v>75155.62999999999</v>
      </c>
      <c r="OP92" s="322">
        <v>64144.05</v>
      </c>
      <c r="OQ92" s="322">
        <v>65507.83</v>
      </c>
      <c r="OR92" s="334"/>
      <c r="OS92" s="322" t="s">
        <v>74</v>
      </c>
      <c r="OT92" s="322">
        <v>23521.439999999999</v>
      </c>
      <c r="OU92" s="322">
        <v>39171.160000000003</v>
      </c>
      <c r="OV92" s="322">
        <v>48759.519999999997</v>
      </c>
      <c r="OW92" s="322">
        <v>56409.84</v>
      </c>
      <c r="OX92" s="322">
        <v>35374.550000000003</v>
      </c>
      <c r="OY92" s="322">
        <v>27693.08</v>
      </c>
      <c r="OZ92" s="322">
        <v>40760.76</v>
      </c>
      <c r="PA92" s="322">
        <v>36046.800000000003</v>
      </c>
      <c r="PB92" s="322">
        <v>33879.75</v>
      </c>
      <c r="PC92" s="322">
        <v>49363.33</v>
      </c>
      <c r="PD92" s="322">
        <v>26460</v>
      </c>
      <c r="PE92" s="322">
        <v>18658.400000000001</v>
      </c>
      <c r="PF92" s="322">
        <v>0</v>
      </c>
      <c r="PG92" s="322">
        <v>0</v>
      </c>
      <c r="PH92" s="322">
        <v>0</v>
      </c>
      <c r="PI92" s="322">
        <v>0</v>
      </c>
      <c r="PJ92" s="322">
        <v>0</v>
      </c>
      <c r="PK92" s="322">
        <v>0</v>
      </c>
      <c r="PL92" s="322">
        <v>0</v>
      </c>
      <c r="PM92" s="322">
        <v>0</v>
      </c>
      <c r="PN92" s="322">
        <v>0</v>
      </c>
      <c r="PO92" s="322">
        <v>0</v>
      </c>
      <c r="PP92" s="334"/>
      <c r="PQ92" s="322" t="s">
        <v>74</v>
      </c>
      <c r="PR92" s="322">
        <v>7840.48</v>
      </c>
      <c r="PS92" s="322">
        <v>0</v>
      </c>
      <c r="PT92" s="322">
        <v>6094.94</v>
      </c>
      <c r="PU92" s="322">
        <v>0</v>
      </c>
      <c r="PV92" s="322">
        <v>0</v>
      </c>
      <c r="PW92" s="322">
        <v>6923.27</v>
      </c>
      <c r="PX92" s="322">
        <v>6793.46</v>
      </c>
      <c r="PY92" s="322">
        <v>7209.36</v>
      </c>
      <c r="PZ92" s="322">
        <v>8520.4</v>
      </c>
      <c r="QA92" s="322">
        <v>9328.2899999999991</v>
      </c>
      <c r="QB92" s="322">
        <v>7026.08</v>
      </c>
      <c r="QC92" s="322">
        <v>7973.73</v>
      </c>
      <c r="QD92" s="322">
        <v>7026.08</v>
      </c>
      <c r="QE92" s="322">
        <v>7820</v>
      </c>
      <c r="QF92" s="322">
        <v>7820</v>
      </c>
      <c r="QG92" s="322">
        <v>7820</v>
      </c>
      <c r="QH92" s="322">
        <v>9000</v>
      </c>
      <c r="QI92" s="322">
        <v>16248.66</v>
      </c>
      <c r="QJ92" s="322">
        <v>10650</v>
      </c>
      <c r="QK92" s="322">
        <v>12950</v>
      </c>
      <c r="QL92" s="322">
        <v>9500</v>
      </c>
      <c r="QM92" s="322">
        <v>9500</v>
      </c>
      <c r="QN92" s="334"/>
      <c r="QO92" s="322" t="s">
        <v>74</v>
      </c>
      <c r="QP92" s="322">
        <v>0</v>
      </c>
      <c r="QQ92" s="322">
        <v>0</v>
      </c>
      <c r="QR92" s="322">
        <v>0</v>
      </c>
      <c r="QS92" s="322">
        <v>0</v>
      </c>
      <c r="QT92" s="322">
        <v>28299.64</v>
      </c>
      <c r="QU92" s="322">
        <v>27693.08</v>
      </c>
      <c r="QV92" s="322">
        <v>27173.84</v>
      </c>
      <c r="QW92" s="322">
        <v>14418.72</v>
      </c>
      <c r="QX92" s="322">
        <v>27326.35</v>
      </c>
      <c r="QY92" s="322">
        <v>12021.01</v>
      </c>
      <c r="QZ92" s="322">
        <v>1391.48</v>
      </c>
      <c r="RA92" s="322">
        <v>1290.3599999999999</v>
      </c>
      <c r="RB92" s="322">
        <v>3334.3599999999997</v>
      </c>
      <c r="RC92" s="322">
        <v>1328.8</v>
      </c>
      <c r="RD92" s="322">
        <v>5324.9400000000005</v>
      </c>
      <c r="RE92" s="322">
        <v>2692.88</v>
      </c>
      <c r="RF92" s="322">
        <v>5827.6399999999994</v>
      </c>
      <c r="RG92" s="322">
        <v>2672.92</v>
      </c>
      <c r="RH92" s="322">
        <v>7039.9</v>
      </c>
      <c r="RI92" s="322">
        <v>2450.2399999999998</v>
      </c>
      <c r="RJ92" s="322">
        <v>8780.51</v>
      </c>
      <c r="RK92" s="322">
        <v>5330</v>
      </c>
      <c r="RL92" s="334"/>
      <c r="RM92" s="322" t="s">
        <v>74</v>
      </c>
      <c r="RN92" s="322">
        <v>7840.48</v>
      </c>
      <c r="RO92" s="322">
        <v>5595.88</v>
      </c>
      <c r="RP92" s="322">
        <v>0</v>
      </c>
      <c r="RQ92" s="322">
        <v>6267.76</v>
      </c>
      <c r="RR92" s="322">
        <v>7074.91</v>
      </c>
      <c r="RS92" s="322">
        <v>13846.54</v>
      </c>
      <c r="RT92" s="322">
        <v>13586.92</v>
      </c>
      <c r="RU92" s="322">
        <v>43256.160000000003</v>
      </c>
      <c r="RV92" s="322">
        <v>32173.69</v>
      </c>
      <c r="RW92" s="322">
        <v>12290.29</v>
      </c>
      <c r="RX92" s="322">
        <v>2807.07</v>
      </c>
      <c r="RY92" s="322">
        <v>0</v>
      </c>
      <c r="RZ92" s="322">
        <v>12458.03</v>
      </c>
      <c r="SA92" s="322">
        <v>48765.48</v>
      </c>
      <c r="SB92" s="322">
        <v>16000</v>
      </c>
      <c r="SC92" s="322">
        <v>11505.82</v>
      </c>
      <c r="SD92" s="322">
        <v>14303</v>
      </c>
      <c r="SE92" s="322">
        <v>33760</v>
      </c>
      <c r="SF92" s="322">
        <v>11040</v>
      </c>
      <c r="SG92" s="322">
        <v>10650</v>
      </c>
      <c r="SH92" s="322">
        <v>11690</v>
      </c>
      <c r="SI92" s="322">
        <v>10000</v>
      </c>
    </row>
    <row r="93" spans="1:503">
      <c r="A93" s="319" t="s">
        <v>75</v>
      </c>
      <c r="B93" s="319">
        <v>2865016</v>
      </c>
      <c r="C93" s="319">
        <v>2657148</v>
      </c>
      <c r="D93" s="319">
        <v>3147072</v>
      </c>
      <c r="E93" s="319">
        <v>2853393</v>
      </c>
      <c r="F93" s="319">
        <v>3360373</v>
      </c>
      <c r="G93" s="319">
        <v>2681469</v>
      </c>
      <c r="H93" s="319">
        <v>3096798</v>
      </c>
      <c r="I93" s="319">
        <v>3417369</v>
      </c>
      <c r="J93" s="319">
        <v>3494394.4800000004</v>
      </c>
      <c r="K93" s="319">
        <v>3528534.84</v>
      </c>
      <c r="L93" s="319">
        <v>3814470.3099999996</v>
      </c>
      <c r="M93" s="319">
        <v>3181851.1260000002</v>
      </c>
      <c r="N93" s="319">
        <v>3504124.64</v>
      </c>
      <c r="O93" s="319">
        <v>3980508.5029999996</v>
      </c>
      <c r="P93" s="319">
        <v>4150258.8499999992</v>
      </c>
      <c r="Q93" s="319">
        <v>4386820.76</v>
      </c>
      <c r="R93" s="319">
        <v>4696432.09</v>
      </c>
      <c r="S93" s="322">
        <v>5297238.7700000005</v>
      </c>
      <c r="T93" s="319">
        <v>5249632.6100000003</v>
      </c>
      <c r="U93" s="319">
        <v>5204710.33</v>
      </c>
      <c r="V93" s="319">
        <v>6111784.0200000005</v>
      </c>
      <c r="W93" s="319">
        <v>5843676.5700000003</v>
      </c>
      <c r="X93" s="330"/>
      <c r="Y93" s="319" t="s">
        <v>75</v>
      </c>
      <c r="Z93" s="319">
        <v>57300.32</v>
      </c>
      <c r="AA93" s="319">
        <v>79714.44</v>
      </c>
      <c r="AB93" s="319">
        <v>62941.440000000002</v>
      </c>
      <c r="AC93" s="319">
        <v>85601.79</v>
      </c>
      <c r="AD93" s="319">
        <v>100811.19</v>
      </c>
      <c r="AE93" s="319">
        <v>107258.76</v>
      </c>
      <c r="AF93" s="319">
        <v>80444.070000000007</v>
      </c>
      <c r="AG93" s="319">
        <v>102521.07</v>
      </c>
      <c r="AH93" s="319">
        <v>93269.08</v>
      </c>
      <c r="AI93" s="319">
        <v>95494.010000000009</v>
      </c>
      <c r="AJ93" s="319">
        <v>99658.03</v>
      </c>
      <c r="AK93" s="319">
        <v>100715.14000000001</v>
      </c>
      <c r="AL93" s="319">
        <v>103153.01000000001</v>
      </c>
      <c r="AM93" s="319">
        <v>103757.34</v>
      </c>
      <c r="AN93" s="319">
        <v>106787.46</v>
      </c>
      <c r="AO93" s="319">
        <v>110102.14</v>
      </c>
      <c r="AP93" s="319">
        <v>112806.07</v>
      </c>
      <c r="AQ93" s="322">
        <v>113360.44</v>
      </c>
      <c r="AR93" s="319">
        <v>117810.6</v>
      </c>
      <c r="AS93" s="319">
        <v>119836.26</v>
      </c>
      <c r="AT93" s="319">
        <v>123251.27</v>
      </c>
      <c r="AU93" s="319">
        <v>129436</v>
      </c>
      <c r="AV93" s="334"/>
      <c r="AW93" s="319" t="s">
        <v>75</v>
      </c>
      <c r="AX93" s="319">
        <v>57300.32</v>
      </c>
      <c r="AY93" s="319">
        <v>53142.96</v>
      </c>
      <c r="AZ93" s="319">
        <v>62941.440000000002</v>
      </c>
      <c r="BA93" s="319">
        <v>57067.86</v>
      </c>
      <c r="BB93" s="319">
        <v>67207.460000000006</v>
      </c>
      <c r="BC93" s="319">
        <v>53629.380000000005</v>
      </c>
      <c r="BD93" s="319">
        <v>61935.96</v>
      </c>
      <c r="BE93" s="319">
        <v>68347.38</v>
      </c>
      <c r="BF93" s="319">
        <v>68039.11</v>
      </c>
      <c r="BG93" s="319">
        <v>73420.73</v>
      </c>
      <c r="BH93" s="319">
        <v>77097.53</v>
      </c>
      <c r="BI93" s="319">
        <v>78781.91</v>
      </c>
      <c r="BJ93" s="319">
        <v>78492.639999999999</v>
      </c>
      <c r="BK93" s="319">
        <v>79072.17</v>
      </c>
      <c r="BL93" s="319">
        <v>80971.47</v>
      </c>
      <c r="BM93" s="319">
        <v>83212.069999999992</v>
      </c>
      <c r="BN93" s="319">
        <v>86329.569999999992</v>
      </c>
      <c r="BO93" s="322">
        <v>89110.78</v>
      </c>
      <c r="BP93" s="319">
        <v>89400.33</v>
      </c>
      <c r="BQ93" s="319">
        <v>92688.069999999992</v>
      </c>
      <c r="BR93" s="319">
        <v>94704.79</v>
      </c>
      <c r="BS93" s="319">
        <v>99881</v>
      </c>
      <c r="BT93" s="334"/>
      <c r="BU93" s="322" t="s">
        <v>75</v>
      </c>
      <c r="BV93" s="322">
        <v>85950.48</v>
      </c>
      <c r="BW93" s="322">
        <v>26571.48</v>
      </c>
      <c r="BX93" s="322">
        <v>62941.440000000002</v>
      </c>
      <c r="BY93" s="322">
        <v>28533.93</v>
      </c>
      <c r="BZ93" s="322">
        <v>67207.460000000006</v>
      </c>
      <c r="CA93" s="322">
        <v>53629.38</v>
      </c>
      <c r="CB93" s="322">
        <v>61935.96</v>
      </c>
      <c r="CC93" s="322">
        <v>34173.69</v>
      </c>
      <c r="CD93" s="322">
        <v>78414.010000000009</v>
      </c>
      <c r="CE93" s="322">
        <v>42024.479999999996</v>
      </c>
      <c r="CF93" s="322">
        <v>111501.79</v>
      </c>
      <c r="CG93" s="322">
        <v>51436.05</v>
      </c>
      <c r="CH93" s="322">
        <v>127505.54</v>
      </c>
      <c r="CI93" s="322">
        <v>52443.44</v>
      </c>
      <c r="CJ93" s="322">
        <v>124162.70999999999</v>
      </c>
      <c r="CK93" s="322">
        <v>59601.969999999994</v>
      </c>
      <c r="CL93" s="322">
        <v>148012.88</v>
      </c>
      <c r="CM93" s="322">
        <v>111553.67</v>
      </c>
      <c r="CN93" s="322">
        <v>134574.84</v>
      </c>
      <c r="CO93" s="322">
        <v>88679.540000000008</v>
      </c>
      <c r="CP93" s="322">
        <v>161231.54999999999</v>
      </c>
      <c r="CQ93" s="322">
        <v>122102.75</v>
      </c>
      <c r="CR93" s="334"/>
      <c r="CS93" s="322" t="s">
        <v>75</v>
      </c>
      <c r="CT93" s="322">
        <v>257851.44</v>
      </c>
      <c r="CU93" s="322">
        <v>132857.4</v>
      </c>
      <c r="CV93" s="322">
        <v>283236.47999999998</v>
      </c>
      <c r="CW93" s="322">
        <v>199737.51</v>
      </c>
      <c r="CX93" s="322">
        <v>369641.03</v>
      </c>
      <c r="CY93" s="322">
        <v>134073.45000000001</v>
      </c>
      <c r="CZ93" s="322">
        <v>185807.88</v>
      </c>
      <c r="DA93" s="322">
        <v>170868.45</v>
      </c>
      <c r="DB93" s="322">
        <v>677451.22000000009</v>
      </c>
      <c r="DC93" s="322">
        <v>480011.12000000005</v>
      </c>
      <c r="DD93" s="322">
        <v>234268.46999999997</v>
      </c>
      <c r="DE93" s="322">
        <v>155222.34</v>
      </c>
      <c r="DF93" s="322">
        <v>131290.73000000001</v>
      </c>
      <c r="DG93" s="322">
        <v>166749.43</v>
      </c>
      <c r="DH93" s="322">
        <v>126643.48</v>
      </c>
      <c r="DI93" s="322">
        <v>172117.69999999998</v>
      </c>
      <c r="DJ93" s="322">
        <v>357964.38</v>
      </c>
      <c r="DK93" s="322">
        <v>783441.95000000007</v>
      </c>
      <c r="DL93" s="322">
        <v>422421.14999999997</v>
      </c>
      <c r="DM93" s="322">
        <v>453781.95999999996</v>
      </c>
      <c r="DN93" s="322">
        <v>1349465.62</v>
      </c>
      <c r="DO93" s="322">
        <v>596928.5</v>
      </c>
      <c r="DP93" s="334"/>
      <c r="DQ93" s="322" t="s">
        <v>75</v>
      </c>
      <c r="DR93" s="322">
        <v>343801.92</v>
      </c>
      <c r="DS93" s="322">
        <v>372000.72</v>
      </c>
      <c r="DT93" s="322">
        <v>409119.36</v>
      </c>
      <c r="DU93" s="322">
        <v>428008.95</v>
      </c>
      <c r="DV93" s="322">
        <v>436848.49</v>
      </c>
      <c r="DW93" s="322">
        <v>214517.52</v>
      </c>
      <c r="DX93" s="322">
        <v>216775.86</v>
      </c>
      <c r="DY93" s="322">
        <v>239215.83</v>
      </c>
      <c r="DZ93" s="322">
        <v>220734.75999999998</v>
      </c>
      <c r="EA93" s="322">
        <v>266800.71000000002</v>
      </c>
      <c r="EB93" s="322">
        <v>300323.27999999997</v>
      </c>
      <c r="EC93" s="322">
        <v>257611.32</v>
      </c>
      <c r="ED93" s="322">
        <v>277533.69</v>
      </c>
      <c r="EE93" s="322">
        <v>304933.58999999997</v>
      </c>
      <c r="EF93" s="322">
        <v>294906.28999999998</v>
      </c>
      <c r="EG93" s="322">
        <v>314679.78999999998</v>
      </c>
      <c r="EH93" s="322">
        <v>329023</v>
      </c>
      <c r="EI93" s="322">
        <v>316000.56</v>
      </c>
      <c r="EJ93" s="322">
        <v>329908.09000000003</v>
      </c>
      <c r="EK93" s="322">
        <v>408025.77</v>
      </c>
      <c r="EL93" s="322">
        <v>345919.4</v>
      </c>
      <c r="EM93" s="322">
        <v>450000</v>
      </c>
      <c r="EN93" s="334"/>
      <c r="EO93" s="322" t="s">
        <v>75</v>
      </c>
      <c r="EP93" s="322">
        <v>57300.32</v>
      </c>
      <c r="EQ93" s="322">
        <v>53142.96</v>
      </c>
      <c r="ER93" s="322">
        <v>31470.720000000001</v>
      </c>
      <c r="ES93" s="322">
        <v>57067.86</v>
      </c>
      <c r="ET93" s="322">
        <v>33603.730000000003</v>
      </c>
      <c r="EU93" s="322">
        <v>53629.38</v>
      </c>
      <c r="EV93" s="322">
        <v>61935.96</v>
      </c>
      <c r="EW93" s="322">
        <v>68347.38</v>
      </c>
      <c r="EX93" s="322">
        <v>52448.959999999999</v>
      </c>
      <c r="EY93" s="322">
        <v>53152.56</v>
      </c>
      <c r="EZ93" s="322">
        <v>57405.79</v>
      </c>
      <c r="FA93" s="322">
        <v>71944.990000000005</v>
      </c>
      <c r="FB93" s="322">
        <v>71850.509999999995</v>
      </c>
      <c r="FC93" s="322">
        <v>72003.81</v>
      </c>
      <c r="FD93" s="322">
        <v>73100.11</v>
      </c>
      <c r="FE93" s="322">
        <v>75231.360000000001</v>
      </c>
      <c r="FF93" s="322">
        <v>77967.680000000008</v>
      </c>
      <c r="FG93" s="322">
        <v>79043.8</v>
      </c>
      <c r="FH93" s="322">
        <v>82140.510000000009</v>
      </c>
      <c r="FI93" s="322">
        <v>83430.73000000001</v>
      </c>
      <c r="FJ93" s="322">
        <v>84750.42</v>
      </c>
      <c r="FK93" s="322">
        <v>91088</v>
      </c>
      <c r="FL93" s="334"/>
      <c r="FM93" s="322" t="s">
        <v>75</v>
      </c>
      <c r="FN93" s="322">
        <v>114600.64</v>
      </c>
      <c r="FO93" s="322">
        <v>106285.92</v>
      </c>
      <c r="FP93" s="322">
        <v>125882.88</v>
      </c>
      <c r="FQ93" s="322">
        <v>114135.72</v>
      </c>
      <c r="FR93" s="322">
        <v>100811.19</v>
      </c>
      <c r="FS93" s="322">
        <v>107258.76</v>
      </c>
      <c r="FT93" s="322">
        <v>123871.92</v>
      </c>
      <c r="FU93" s="322">
        <v>102521.07</v>
      </c>
      <c r="FV93" s="322">
        <v>110047.53</v>
      </c>
      <c r="FW93" s="322">
        <v>115194.67</v>
      </c>
      <c r="FX93" s="322">
        <v>120793.60000000001</v>
      </c>
      <c r="FY93" s="322">
        <v>123966.88</v>
      </c>
      <c r="FZ93" s="322">
        <v>124108.49</v>
      </c>
      <c r="GA93" s="322">
        <v>126151.40999999999</v>
      </c>
      <c r="GB93" s="322">
        <v>128132.72</v>
      </c>
      <c r="GC93" s="322">
        <v>132240.72999999998</v>
      </c>
      <c r="GD93" s="322">
        <v>130047.01000000001</v>
      </c>
      <c r="GE93" s="322">
        <v>131018.56</v>
      </c>
      <c r="GF93" s="340">
        <v>137094.74</v>
      </c>
      <c r="GG93" s="704">
        <v>137464.22</v>
      </c>
      <c r="GH93" s="704">
        <v>141289.01</v>
      </c>
      <c r="GI93" s="704">
        <v>153071</v>
      </c>
      <c r="GJ93" s="334"/>
      <c r="GK93" s="322" t="s">
        <v>75</v>
      </c>
      <c r="GL93" s="322">
        <v>85950.48</v>
      </c>
      <c r="GM93" s="322">
        <v>79714.44</v>
      </c>
      <c r="GN93" s="322">
        <v>62941.440000000002</v>
      </c>
      <c r="GO93" s="322">
        <v>85601.79</v>
      </c>
      <c r="GP93" s="322">
        <v>100811.19</v>
      </c>
      <c r="GQ93" s="322">
        <v>107258.76</v>
      </c>
      <c r="GR93" s="322">
        <v>92903.94</v>
      </c>
      <c r="GS93" s="322">
        <v>102521.07</v>
      </c>
      <c r="GT93" s="322">
        <v>90641.45</v>
      </c>
      <c r="GU93" s="322">
        <v>99958.55</v>
      </c>
      <c r="GV93" s="322">
        <v>102824.45</v>
      </c>
      <c r="GW93" s="322">
        <v>101717.81000000001</v>
      </c>
      <c r="GX93" s="322">
        <v>104850.9</v>
      </c>
      <c r="GY93" s="322">
        <v>105350.48</v>
      </c>
      <c r="GZ93" s="322">
        <v>105719.46</v>
      </c>
      <c r="HA93" s="322">
        <v>104550.07</v>
      </c>
      <c r="HB93" s="322">
        <v>94608.35</v>
      </c>
      <c r="HC93" s="322">
        <v>95840.599999999991</v>
      </c>
      <c r="HD93" s="322">
        <v>96682.44</v>
      </c>
      <c r="HE93" s="322">
        <v>100902.34999999999</v>
      </c>
      <c r="HF93" s="322">
        <v>98702.080000000002</v>
      </c>
      <c r="HG93" s="322">
        <v>106499.5</v>
      </c>
      <c r="HH93" s="334"/>
      <c r="HI93" s="322" t="s">
        <v>75</v>
      </c>
      <c r="HJ93" s="322">
        <v>28650.16</v>
      </c>
      <c r="HK93" s="322">
        <v>26571.48</v>
      </c>
      <c r="HL93" s="322">
        <v>31470.720000000001</v>
      </c>
      <c r="HM93" s="322">
        <v>0</v>
      </c>
      <c r="HN93" s="322">
        <v>0</v>
      </c>
      <c r="HO93" s="322">
        <v>26814.69</v>
      </c>
      <c r="HP93" s="322">
        <v>0</v>
      </c>
      <c r="HQ93" s="322">
        <v>34173.69</v>
      </c>
      <c r="HR93" s="322">
        <v>12790.91</v>
      </c>
      <c r="HS93" s="322">
        <v>12175.199999999999</v>
      </c>
      <c r="HT93" s="322">
        <v>9985.16</v>
      </c>
      <c r="HU93" s="322">
        <v>58257.79</v>
      </c>
      <c r="HV93" s="322">
        <v>49623.450000000004</v>
      </c>
      <c r="HW93" s="322">
        <v>45149.58</v>
      </c>
      <c r="HX93" s="322">
        <v>50018.420000000006</v>
      </c>
      <c r="HY93" s="322">
        <v>31377.469999999998</v>
      </c>
      <c r="HZ93" s="322">
        <v>34532.93</v>
      </c>
      <c r="IA93" s="322">
        <v>29383.88</v>
      </c>
      <c r="IB93" s="322">
        <v>24440.11</v>
      </c>
      <c r="IC93" s="322">
        <v>26652.74</v>
      </c>
      <c r="ID93" s="322">
        <v>27589.96</v>
      </c>
      <c r="IE93" s="322">
        <v>28000</v>
      </c>
      <c r="IF93" s="334"/>
      <c r="IG93" s="322" t="s">
        <v>75</v>
      </c>
      <c r="IH93" s="322">
        <v>28650.16</v>
      </c>
      <c r="II93" s="322">
        <v>26571.48</v>
      </c>
      <c r="IJ93" s="322">
        <v>31470.720000000001</v>
      </c>
      <c r="IK93" s="322">
        <v>28533.93</v>
      </c>
      <c r="IL93" s="322">
        <v>33603.730000000003</v>
      </c>
      <c r="IM93" s="322">
        <v>26814.69</v>
      </c>
      <c r="IN93" s="322">
        <v>30967.98</v>
      </c>
      <c r="IO93" s="322">
        <v>34173.69</v>
      </c>
      <c r="IP93" s="322">
        <v>10904.06</v>
      </c>
      <c r="IQ93" s="322">
        <v>25341.17</v>
      </c>
      <c r="IR93" s="322">
        <v>23299.09</v>
      </c>
      <c r="IS93" s="322">
        <v>0</v>
      </c>
      <c r="IT93" s="322">
        <v>0</v>
      </c>
      <c r="IU93" s="322">
        <v>0</v>
      </c>
      <c r="IV93" s="322"/>
      <c r="IW93" s="322"/>
      <c r="IX93" s="322"/>
      <c r="IY93" s="322"/>
      <c r="IZ93" s="322"/>
      <c r="JA93" s="322"/>
      <c r="JB93" s="322"/>
      <c r="JC93" s="322"/>
      <c r="JD93" s="334"/>
      <c r="JE93" s="322" t="s">
        <v>75</v>
      </c>
      <c r="JF93" s="322">
        <v>28650.16</v>
      </c>
      <c r="JG93" s="322">
        <v>26571.48</v>
      </c>
      <c r="JH93" s="322">
        <v>31470.720000000001</v>
      </c>
      <c r="JI93" s="322">
        <v>0</v>
      </c>
      <c r="JJ93" s="322">
        <v>0</v>
      </c>
      <c r="JK93" s="322">
        <v>0</v>
      </c>
      <c r="JL93" s="322">
        <v>0</v>
      </c>
      <c r="JM93" s="322">
        <v>0</v>
      </c>
      <c r="JN93" s="322">
        <v>9203.0699999999979</v>
      </c>
      <c r="JO93" s="322">
        <v>13094.050000000001</v>
      </c>
      <c r="JP93" s="322">
        <v>9654.3599999999988</v>
      </c>
      <c r="JQ93" s="322">
        <v>2401.02</v>
      </c>
      <c r="JR93" s="322">
        <v>2511.6799999999998</v>
      </c>
      <c r="JS93" s="322">
        <v>2520.3200000000002</v>
      </c>
      <c r="JT93" s="322">
        <v>2339.63</v>
      </c>
      <c r="JU93" s="322">
        <v>2874.61</v>
      </c>
      <c r="JV93" s="322">
        <v>2082.35</v>
      </c>
      <c r="JW93" s="322">
        <v>2046.6999999999998</v>
      </c>
      <c r="JX93" s="322">
        <v>1839.51</v>
      </c>
      <c r="JY93" s="322">
        <v>1282.3900000000001</v>
      </c>
      <c r="JZ93" s="322">
        <v>1825.7900000000002</v>
      </c>
      <c r="KA93" s="322">
        <v>5200</v>
      </c>
      <c r="KB93" s="334"/>
      <c r="KC93" s="322" t="s">
        <v>75</v>
      </c>
      <c r="KD93" s="322">
        <v>28650.16</v>
      </c>
      <c r="KE93" s="322">
        <v>26571.48</v>
      </c>
      <c r="KF93" s="322">
        <v>31470.720000000001</v>
      </c>
      <c r="KG93" s="322">
        <v>28533.93</v>
      </c>
      <c r="KH93" s="322">
        <v>33603.730000000003</v>
      </c>
      <c r="KI93" s="322">
        <v>53629.38</v>
      </c>
      <c r="KJ93" s="322">
        <v>61935.96</v>
      </c>
      <c r="KK93" s="322">
        <v>34173.69</v>
      </c>
      <c r="KL93" s="322">
        <v>47372.59</v>
      </c>
      <c r="KM93" s="322">
        <v>53669.02</v>
      </c>
      <c r="KN93" s="322">
        <v>62313.829999999994</v>
      </c>
      <c r="KO93" s="322">
        <v>72520.260000000009</v>
      </c>
      <c r="KP93" s="322">
        <v>85303.360000000001</v>
      </c>
      <c r="KQ93" s="322">
        <v>90327.57</v>
      </c>
      <c r="KR93" s="322">
        <v>97038.399999999994</v>
      </c>
      <c r="KS93" s="322">
        <v>107565.48</v>
      </c>
      <c r="KT93" s="322">
        <v>115235.52999999998</v>
      </c>
      <c r="KU93" s="322">
        <v>114654.03</v>
      </c>
      <c r="KV93" s="322">
        <v>116580.08</v>
      </c>
      <c r="KW93" s="322">
        <v>110350.04999999999</v>
      </c>
      <c r="KX93" s="322">
        <v>107704.76000000001</v>
      </c>
      <c r="KY93" s="322">
        <v>120324.5</v>
      </c>
      <c r="KZ93" s="334"/>
      <c r="LA93" s="322" t="s">
        <v>75</v>
      </c>
      <c r="LB93" s="322">
        <v>200551.12</v>
      </c>
      <c r="LC93" s="322">
        <v>239143.32</v>
      </c>
      <c r="LD93" s="322">
        <v>472060.8</v>
      </c>
      <c r="LE93" s="322">
        <v>342407.16</v>
      </c>
      <c r="LF93" s="322">
        <v>403244.76</v>
      </c>
      <c r="LG93" s="322">
        <v>268146.90000000002</v>
      </c>
      <c r="LH93" s="322">
        <v>340647.78</v>
      </c>
      <c r="LI93" s="322">
        <v>341736.9</v>
      </c>
      <c r="LJ93" s="322">
        <v>327077.97000000003</v>
      </c>
      <c r="LK93" s="322">
        <v>439404.53</v>
      </c>
      <c r="LL93" s="322">
        <v>497962.65</v>
      </c>
      <c r="LM93" s="322">
        <v>523955.00999999995</v>
      </c>
      <c r="LN93" s="322">
        <v>547998.84</v>
      </c>
      <c r="LO93" s="322">
        <v>544912.2699999999</v>
      </c>
      <c r="LP93" s="322">
        <v>625460.42999999993</v>
      </c>
      <c r="LQ93" s="322">
        <v>704467.55999999994</v>
      </c>
      <c r="LR93" s="322">
        <v>587332.05999999982</v>
      </c>
      <c r="LS93" s="322">
        <v>512539.42</v>
      </c>
      <c r="LT93" s="322">
        <v>578288.68000000005</v>
      </c>
      <c r="LU93" s="322">
        <v>576107.14</v>
      </c>
      <c r="LV93" s="322">
        <v>672918.5</v>
      </c>
      <c r="LW93" s="322">
        <v>818574.32000000007</v>
      </c>
      <c r="LX93" s="334"/>
      <c r="LY93" s="322" t="s">
        <v>75</v>
      </c>
      <c r="LZ93" s="322">
        <v>487052.72</v>
      </c>
      <c r="MA93" s="322">
        <v>478286.64</v>
      </c>
      <c r="MB93" s="322">
        <v>503531.52000000002</v>
      </c>
      <c r="MC93" s="322">
        <v>513610.74</v>
      </c>
      <c r="MD93" s="322">
        <v>537659.68000000005</v>
      </c>
      <c r="ME93" s="322">
        <v>0</v>
      </c>
      <c r="MF93" s="322">
        <v>0</v>
      </c>
      <c r="MG93" s="322">
        <v>0</v>
      </c>
      <c r="MH93" s="322">
        <v>0</v>
      </c>
      <c r="MI93" s="322">
        <v>1555.5</v>
      </c>
      <c r="MJ93" s="322">
        <v>68805</v>
      </c>
      <c r="MK93" s="322">
        <v>0</v>
      </c>
      <c r="ML93" s="322">
        <v>0</v>
      </c>
      <c r="MM93" s="322">
        <v>0</v>
      </c>
      <c r="MN93" s="322">
        <v>0</v>
      </c>
      <c r="MO93" s="322">
        <v>0</v>
      </c>
      <c r="MP93" s="322">
        <v>0</v>
      </c>
      <c r="MQ93" s="322">
        <v>0</v>
      </c>
      <c r="MR93" s="322">
        <v>0</v>
      </c>
      <c r="MS93" s="322">
        <v>0</v>
      </c>
      <c r="MT93" s="322">
        <v>0</v>
      </c>
      <c r="MU93" s="322">
        <v>0</v>
      </c>
      <c r="MV93" s="334"/>
      <c r="MW93" s="322" t="s">
        <v>75</v>
      </c>
      <c r="MX93" s="322">
        <v>343801.92</v>
      </c>
      <c r="MY93" s="322">
        <v>451715.16</v>
      </c>
      <c r="MZ93" s="322">
        <v>503531.52000000002</v>
      </c>
      <c r="NA93" s="322">
        <v>485076.81</v>
      </c>
      <c r="NB93" s="322">
        <v>772885.79</v>
      </c>
      <c r="NC93" s="322">
        <v>0</v>
      </c>
      <c r="ND93" s="322">
        <v>0</v>
      </c>
      <c r="NE93" s="322">
        <v>0</v>
      </c>
      <c r="NF93" s="322">
        <v>0</v>
      </c>
      <c r="NG93" s="322">
        <v>0</v>
      </c>
      <c r="NH93" s="322">
        <v>0</v>
      </c>
      <c r="NI93" s="322">
        <v>0</v>
      </c>
      <c r="NJ93" s="322">
        <v>0</v>
      </c>
      <c r="NK93" s="322">
        <v>0</v>
      </c>
      <c r="NL93" s="322">
        <v>0</v>
      </c>
      <c r="NM93" s="322">
        <v>0</v>
      </c>
      <c r="NN93" s="322">
        <v>0</v>
      </c>
      <c r="NO93" s="322">
        <v>0</v>
      </c>
      <c r="NP93" s="322">
        <v>0</v>
      </c>
      <c r="NQ93" s="322">
        <v>0</v>
      </c>
      <c r="NR93" s="322">
        <v>0</v>
      </c>
      <c r="NS93" s="322">
        <v>0</v>
      </c>
      <c r="NT93" s="334"/>
      <c r="NU93" s="322" t="s">
        <v>75</v>
      </c>
      <c r="NV93" s="322">
        <v>229201.28</v>
      </c>
      <c r="NW93" s="322">
        <v>212571.84</v>
      </c>
      <c r="NX93" s="322">
        <v>157353.60000000001</v>
      </c>
      <c r="NY93" s="322">
        <v>171203.58</v>
      </c>
      <c r="NZ93" s="322">
        <v>168018.65</v>
      </c>
      <c r="OA93" s="322">
        <v>214517.52</v>
      </c>
      <c r="OB93" s="322">
        <v>185807.88</v>
      </c>
      <c r="OC93" s="322">
        <v>239215.83</v>
      </c>
      <c r="OD93" s="322">
        <v>231548.58999999997</v>
      </c>
      <c r="OE93" s="322">
        <v>284075.48</v>
      </c>
      <c r="OF93" s="322">
        <v>298496.73</v>
      </c>
      <c r="OG93" s="322">
        <v>288589.43000000005</v>
      </c>
      <c r="OH93" s="322">
        <v>308183.89999999997</v>
      </c>
      <c r="OI93" s="322">
        <v>301601.89299999998</v>
      </c>
      <c r="OJ93" s="322">
        <v>307030.51</v>
      </c>
      <c r="OK93" s="322">
        <v>328809.2</v>
      </c>
      <c r="OL93" s="322">
        <v>325985.83999999997</v>
      </c>
      <c r="OM93" s="322">
        <v>332563.59999999998</v>
      </c>
      <c r="ON93" s="322">
        <v>328895.74</v>
      </c>
      <c r="OO93" s="322">
        <v>345211.47000000003</v>
      </c>
      <c r="OP93" s="322">
        <v>365710.28</v>
      </c>
      <c r="OQ93" s="322">
        <v>371307</v>
      </c>
      <c r="OR93" s="334"/>
      <c r="OS93" s="322" t="s">
        <v>75</v>
      </c>
      <c r="OT93" s="322">
        <v>257851.44</v>
      </c>
      <c r="OU93" s="322">
        <v>239143.32</v>
      </c>
      <c r="OV93" s="322">
        <v>251765.76000000001</v>
      </c>
      <c r="OW93" s="322">
        <v>199737.51</v>
      </c>
      <c r="OX93" s="322">
        <v>100811.19</v>
      </c>
      <c r="OY93" s="322">
        <v>107258.76</v>
      </c>
      <c r="OZ93" s="322">
        <v>123871.92</v>
      </c>
      <c r="PA93" s="322">
        <v>136694.76</v>
      </c>
      <c r="PB93" s="322">
        <v>114115.52999999998</v>
      </c>
      <c r="PC93" s="322">
        <v>113632.73</v>
      </c>
      <c r="PD93" s="322">
        <v>111591.24000000002</v>
      </c>
      <c r="PE93" s="322">
        <v>109257.22600000001</v>
      </c>
      <c r="PF93" s="322">
        <v>108243.63999999998</v>
      </c>
      <c r="PG93" s="322">
        <v>105432.54000000001</v>
      </c>
      <c r="PH93" s="322">
        <v>122403.93000000002</v>
      </c>
      <c r="PI93" s="322">
        <v>104884.26999999999</v>
      </c>
      <c r="PJ93" s="322">
        <v>90584.36</v>
      </c>
      <c r="PK93" s="322">
        <v>103580.59</v>
      </c>
      <c r="PL93" s="322">
        <v>108659.25000000001</v>
      </c>
      <c r="PM93" s="322">
        <v>95843.05</v>
      </c>
      <c r="PN93" s="322">
        <v>100331.12</v>
      </c>
      <c r="PO93" s="322">
        <v>130000</v>
      </c>
      <c r="PP93" s="334"/>
      <c r="PQ93" s="322" t="s">
        <v>75</v>
      </c>
      <c r="PR93" s="322">
        <v>28650.16</v>
      </c>
      <c r="PS93" s="322">
        <v>26571.48</v>
      </c>
      <c r="PT93" s="322">
        <v>31470.720000000001</v>
      </c>
      <c r="PU93" s="322">
        <v>28533.93</v>
      </c>
      <c r="PV93" s="322">
        <v>33603.730000000003</v>
      </c>
      <c r="PW93" s="322">
        <v>26814.69</v>
      </c>
      <c r="PX93" s="322">
        <v>30967.98</v>
      </c>
      <c r="PY93" s="322">
        <v>34173.69</v>
      </c>
      <c r="PZ93" s="322">
        <v>35476.379999999997</v>
      </c>
      <c r="QA93" s="322">
        <v>24889.84</v>
      </c>
      <c r="QB93" s="322">
        <v>38423.99</v>
      </c>
      <c r="QC93" s="322">
        <v>45098.05</v>
      </c>
      <c r="QD93" s="322">
        <v>28004.5</v>
      </c>
      <c r="QE93" s="322">
        <v>43809.36</v>
      </c>
      <c r="QF93" s="322">
        <v>37304.819999999992</v>
      </c>
      <c r="QG93" s="322">
        <v>39052.81</v>
      </c>
      <c r="QH93" s="322">
        <v>38977.370000000003</v>
      </c>
      <c r="QI93" s="322">
        <v>46262.409999999996</v>
      </c>
      <c r="QJ93" s="322">
        <v>43266.12</v>
      </c>
      <c r="QK93" s="322">
        <v>46931.29</v>
      </c>
      <c r="QL93" s="322">
        <v>45737.820000000007</v>
      </c>
      <c r="QM93" s="322">
        <v>48936</v>
      </c>
      <c r="QN93" s="334"/>
      <c r="QO93" s="322" t="s">
        <v>75</v>
      </c>
      <c r="QP93" s="322">
        <v>0</v>
      </c>
      <c r="QQ93" s="322">
        <v>0</v>
      </c>
      <c r="QR93" s="322">
        <v>0</v>
      </c>
      <c r="QS93" s="322">
        <v>0</v>
      </c>
      <c r="QT93" s="322">
        <v>0</v>
      </c>
      <c r="QU93" s="322">
        <v>0</v>
      </c>
      <c r="QV93" s="322">
        <v>0</v>
      </c>
      <c r="QW93" s="322">
        <v>0</v>
      </c>
      <c r="QX93" s="322">
        <v>2425.1799999999998</v>
      </c>
      <c r="QY93" s="322">
        <v>2180.06</v>
      </c>
      <c r="QZ93" s="322">
        <v>7393.96</v>
      </c>
      <c r="RA93" s="322">
        <v>2140.7399999999998</v>
      </c>
      <c r="RB93" s="322">
        <v>4256.41</v>
      </c>
      <c r="RC93" s="322">
        <v>1636.82</v>
      </c>
      <c r="RD93" s="322">
        <v>2898.98</v>
      </c>
      <c r="RE93" s="322">
        <v>1297.03</v>
      </c>
      <c r="RF93" s="322">
        <v>1908.74</v>
      </c>
      <c r="RG93" s="322">
        <v>944.67</v>
      </c>
      <c r="RH93" s="322">
        <v>1877.75</v>
      </c>
      <c r="RI93" s="322">
        <v>1749.13</v>
      </c>
      <c r="RJ93" s="322">
        <v>1051.68</v>
      </c>
      <c r="RK93" s="322">
        <v>10000</v>
      </c>
      <c r="RL93" s="334"/>
      <c r="RM93" s="322" t="s">
        <v>75</v>
      </c>
      <c r="RN93" s="322">
        <v>143250.79999999999</v>
      </c>
      <c r="RO93" s="322">
        <v>0</v>
      </c>
      <c r="RP93" s="322">
        <v>0</v>
      </c>
      <c r="RQ93" s="322">
        <v>0</v>
      </c>
      <c r="RR93" s="322">
        <v>0</v>
      </c>
      <c r="RS93" s="322">
        <v>1126216.98</v>
      </c>
      <c r="RT93" s="322">
        <v>1424527.08</v>
      </c>
      <c r="RU93" s="322">
        <v>1674510.81</v>
      </c>
      <c r="RV93" s="322">
        <v>1296353.31</v>
      </c>
      <c r="RW93" s="322">
        <v>1332460.43</v>
      </c>
      <c r="RX93" s="322">
        <v>1582671.3599999999</v>
      </c>
      <c r="RY93" s="322">
        <v>1138235.1599999999</v>
      </c>
      <c r="RZ93" s="322">
        <v>1351213.35</v>
      </c>
      <c r="SA93" s="322">
        <v>1834656.48</v>
      </c>
      <c r="SB93" s="322">
        <v>1865340.0299999998</v>
      </c>
      <c r="SC93" s="322">
        <v>2014756.5</v>
      </c>
      <c r="SD93" s="322">
        <v>2163033.9700000002</v>
      </c>
      <c r="SE93" s="322">
        <v>2435893.1100000003</v>
      </c>
      <c r="SF93" s="322">
        <v>2635752.67</v>
      </c>
      <c r="SG93" s="322">
        <v>2515774.17</v>
      </c>
      <c r="SH93" s="322">
        <v>2389599.9700000002</v>
      </c>
      <c r="SI93" s="322">
        <v>2387328</v>
      </c>
    </row>
    <row r="94" spans="1:503">
      <c r="A94" s="319" t="s">
        <v>76</v>
      </c>
      <c r="B94" s="319">
        <v>566615</v>
      </c>
      <c r="C94" s="319">
        <v>562072</v>
      </c>
      <c r="D94" s="319">
        <v>738526</v>
      </c>
      <c r="E94" s="319">
        <v>782057</v>
      </c>
      <c r="F94" s="319">
        <v>809464</v>
      </c>
      <c r="G94" s="319">
        <v>823706</v>
      </c>
      <c r="H94" s="319">
        <v>852997</v>
      </c>
      <c r="I94" s="319">
        <v>798458</v>
      </c>
      <c r="J94" s="319">
        <v>909323.83</v>
      </c>
      <c r="K94" s="319">
        <v>950682.04999999993</v>
      </c>
      <c r="L94" s="319">
        <v>1058414.8199999998</v>
      </c>
      <c r="M94" s="319">
        <v>1004523.5599999999</v>
      </c>
      <c r="N94" s="319">
        <v>1057177.4500000002</v>
      </c>
      <c r="O94" s="319">
        <v>1038970.6600000001</v>
      </c>
      <c r="P94" s="319">
        <v>1040752.6000000001</v>
      </c>
      <c r="Q94" s="319">
        <v>949062.13</v>
      </c>
      <c r="R94" s="319">
        <v>1001598.51</v>
      </c>
      <c r="S94" s="322">
        <v>1007516.3199999998</v>
      </c>
      <c r="T94" s="319">
        <v>1107617.8900000001</v>
      </c>
      <c r="U94" s="319">
        <v>1308063.8200000003</v>
      </c>
      <c r="V94" s="319">
        <v>1262696.4400000002</v>
      </c>
      <c r="W94" s="319">
        <v>1200132.2200000002</v>
      </c>
      <c r="X94" s="330"/>
      <c r="Y94" s="319" t="s">
        <v>76</v>
      </c>
      <c r="Z94" s="319">
        <v>33996.9</v>
      </c>
      <c r="AA94" s="319">
        <v>33724.32</v>
      </c>
      <c r="AB94" s="319">
        <v>36926.300000000003</v>
      </c>
      <c r="AC94" s="319">
        <v>62564.56</v>
      </c>
      <c r="AD94" s="319">
        <v>64757.120000000003</v>
      </c>
      <c r="AE94" s="319">
        <v>65896.479999999996</v>
      </c>
      <c r="AF94" s="319">
        <v>65896.479999999996</v>
      </c>
      <c r="AG94" s="319">
        <v>71861.22</v>
      </c>
      <c r="AH94" s="319">
        <v>75179.840000000011</v>
      </c>
      <c r="AI94" s="319">
        <v>72641.33</v>
      </c>
      <c r="AJ94" s="319">
        <v>70942.61</v>
      </c>
      <c r="AK94" s="319">
        <v>79085.67</v>
      </c>
      <c r="AL94" s="319">
        <v>83926.26999999999</v>
      </c>
      <c r="AM94" s="319">
        <v>85744.000000000015</v>
      </c>
      <c r="AN94" s="319">
        <v>82372.60000000002</v>
      </c>
      <c r="AO94" s="319">
        <v>86534.989999999991</v>
      </c>
      <c r="AP94" s="319">
        <v>86280.78</v>
      </c>
      <c r="AQ94" s="322">
        <v>85460.530000000013</v>
      </c>
      <c r="AR94" s="319">
        <v>91346.09</v>
      </c>
      <c r="AS94" s="319">
        <v>91829.569999999992</v>
      </c>
      <c r="AT94" s="319">
        <v>90137.099999999991</v>
      </c>
      <c r="AU94" s="319">
        <v>97481</v>
      </c>
      <c r="AV94" s="334"/>
      <c r="AW94" s="319" t="s">
        <v>76</v>
      </c>
      <c r="AX94" s="319">
        <v>39663.050000000003</v>
      </c>
      <c r="AY94" s="319">
        <v>39345.040000000001</v>
      </c>
      <c r="AZ94" s="319">
        <v>36926.300000000003</v>
      </c>
      <c r="BA94" s="319">
        <v>46923.42</v>
      </c>
      <c r="BB94" s="319">
        <v>48567.839999999997</v>
      </c>
      <c r="BC94" s="319">
        <v>41185.300000000003</v>
      </c>
      <c r="BD94" s="319">
        <v>51179.82</v>
      </c>
      <c r="BE94" s="319">
        <v>55892.060000000005</v>
      </c>
      <c r="BF94" s="319">
        <v>53612.409999999996</v>
      </c>
      <c r="BG94" s="319">
        <v>57462.99</v>
      </c>
      <c r="BH94" s="319">
        <v>63727.659999999996</v>
      </c>
      <c r="BI94" s="319">
        <v>75609.490000000005</v>
      </c>
      <c r="BJ94" s="319">
        <v>80945.53</v>
      </c>
      <c r="BK94" s="319">
        <v>82267.320000000022</v>
      </c>
      <c r="BL94" s="319">
        <v>81820.98</v>
      </c>
      <c r="BM94" s="319">
        <v>82797.209999999992</v>
      </c>
      <c r="BN94" s="319">
        <v>83432.37</v>
      </c>
      <c r="BO94" s="322">
        <v>82588.630000000019</v>
      </c>
      <c r="BP94" s="319">
        <v>87770.12999999999</v>
      </c>
      <c r="BQ94" s="319">
        <v>88093.069999999992</v>
      </c>
      <c r="BR94" s="319">
        <v>93181.19</v>
      </c>
      <c r="BS94" s="319">
        <v>95225</v>
      </c>
      <c r="BT94" s="334"/>
      <c r="BU94" s="322" t="s">
        <v>76</v>
      </c>
      <c r="BV94" s="322">
        <v>22664.6</v>
      </c>
      <c r="BW94" s="322">
        <v>5620.72</v>
      </c>
      <c r="BX94" s="322">
        <v>22155.78</v>
      </c>
      <c r="BY94" s="322">
        <v>0</v>
      </c>
      <c r="BZ94" s="322">
        <v>24283.919999999998</v>
      </c>
      <c r="CA94" s="322">
        <v>8237.06</v>
      </c>
      <c r="CB94" s="322">
        <v>17059.939999999999</v>
      </c>
      <c r="CC94" s="322">
        <v>7984.58</v>
      </c>
      <c r="CD94" s="322">
        <v>50361.929999999993</v>
      </c>
      <c r="CE94" s="322">
        <v>0</v>
      </c>
      <c r="CF94" s="322">
        <v>30992.71</v>
      </c>
      <c r="CG94" s="322">
        <v>9478.0499999999993</v>
      </c>
      <c r="CH94" s="322">
        <v>60215.960000000006</v>
      </c>
      <c r="CI94" s="322">
        <v>55226.590000000004</v>
      </c>
      <c r="CJ94" s="322">
        <v>40347.729999999996</v>
      </c>
      <c r="CK94" s="322">
        <v>13127.960000000001</v>
      </c>
      <c r="CL94" s="322">
        <v>58316.47</v>
      </c>
      <c r="CM94" s="322">
        <v>26703.93</v>
      </c>
      <c r="CN94" s="322">
        <v>44809.930000000008</v>
      </c>
      <c r="CO94" s="322">
        <v>24083.03</v>
      </c>
      <c r="CP94" s="322">
        <v>66800.079999999987</v>
      </c>
      <c r="CQ94" s="322">
        <v>0</v>
      </c>
      <c r="CR94" s="334"/>
      <c r="CS94" s="322" t="s">
        <v>76</v>
      </c>
      <c r="CT94" s="322">
        <v>33996.9</v>
      </c>
      <c r="CU94" s="322">
        <v>39345.040000000001</v>
      </c>
      <c r="CV94" s="322">
        <v>59082.080000000002</v>
      </c>
      <c r="CW94" s="322">
        <v>39102.85</v>
      </c>
      <c r="CX94" s="322">
        <v>48567.839999999997</v>
      </c>
      <c r="CY94" s="322">
        <v>49422.36</v>
      </c>
      <c r="CZ94" s="322">
        <v>25589.91</v>
      </c>
      <c r="DA94" s="322">
        <v>39922.9</v>
      </c>
      <c r="DB94" s="322">
        <v>66260.09</v>
      </c>
      <c r="DC94" s="322">
        <v>164580.03000000003</v>
      </c>
      <c r="DD94" s="322">
        <v>108861.22</v>
      </c>
      <c r="DE94" s="322">
        <v>82600.789999999994</v>
      </c>
      <c r="DF94" s="322">
        <v>91902.87000000001</v>
      </c>
      <c r="DG94" s="322">
        <v>87787.450000000012</v>
      </c>
      <c r="DH94" s="322">
        <v>66373.98</v>
      </c>
      <c r="DI94" s="322">
        <v>73124.760000000024</v>
      </c>
      <c r="DJ94" s="322">
        <v>75109.240000000005</v>
      </c>
      <c r="DK94" s="322">
        <v>72887.529999999984</v>
      </c>
      <c r="DL94" s="322">
        <v>80303.319999999978</v>
      </c>
      <c r="DM94" s="322">
        <v>74321.73000000001</v>
      </c>
      <c r="DN94" s="322">
        <v>95088.92</v>
      </c>
      <c r="DO94" s="322">
        <v>80000</v>
      </c>
      <c r="DP94" s="334"/>
      <c r="DQ94" s="322" t="s">
        <v>76</v>
      </c>
      <c r="DR94" s="322">
        <v>56661.5</v>
      </c>
      <c r="DS94" s="322">
        <v>67448.639999999999</v>
      </c>
      <c r="DT94" s="322">
        <v>73852.600000000006</v>
      </c>
      <c r="DU94" s="322">
        <v>93846.84</v>
      </c>
      <c r="DV94" s="322">
        <v>105230.32</v>
      </c>
      <c r="DW94" s="322">
        <v>131792.95999999999</v>
      </c>
      <c r="DX94" s="322">
        <v>127949.55</v>
      </c>
      <c r="DY94" s="322">
        <v>111784.12</v>
      </c>
      <c r="DZ94" s="322">
        <v>108303.09</v>
      </c>
      <c r="EA94" s="322">
        <v>110135.57</v>
      </c>
      <c r="EB94" s="322">
        <v>101162.17999999998</v>
      </c>
      <c r="EC94" s="322">
        <v>7802.6799999999994</v>
      </c>
      <c r="ED94" s="322">
        <v>11050.39</v>
      </c>
      <c r="EE94" s="322">
        <v>18683.86</v>
      </c>
      <c r="EF94" s="322">
        <v>15227.68</v>
      </c>
      <c r="EG94" s="322">
        <v>20149.18</v>
      </c>
      <c r="EH94" s="322">
        <v>19422.059999999998</v>
      </c>
      <c r="EI94" s="322">
        <v>13581.86</v>
      </c>
      <c r="EJ94" s="322">
        <v>-1954.4500000000016</v>
      </c>
      <c r="EK94" s="322">
        <v>10692.230000000001</v>
      </c>
      <c r="EL94" s="322">
        <v>35362.479999999989</v>
      </c>
      <c r="EM94" s="322">
        <v>35887.119999999995</v>
      </c>
      <c r="EN94" s="334"/>
      <c r="EO94" s="322" t="s">
        <v>76</v>
      </c>
      <c r="EP94" s="322">
        <v>11332.3</v>
      </c>
      <c r="EQ94" s="322">
        <v>16862.16</v>
      </c>
      <c r="ER94" s="322">
        <v>14770.52</v>
      </c>
      <c r="ES94" s="322">
        <v>23461.71</v>
      </c>
      <c r="ET94" s="322">
        <v>24283.919999999998</v>
      </c>
      <c r="EU94" s="322">
        <v>24711.18</v>
      </c>
      <c r="EV94" s="322">
        <v>25589.91</v>
      </c>
      <c r="EW94" s="322">
        <v>31938.32</v>
      </c>
      <c r="EX94" s="322">
        <v>32545.210000000003</v>
      </c>
      <c r="EY94" s="322">
        <v>32844.120000000003</v>
      </c>
      <c r="EZ94" s="322">
        <v>32792.199999999997</v>
      </c>
      <c r="FA94" s="322">
        <v>38303.680000000008</v>
      </c>
      <c r="FB94" s="322">
        <v>40151.430000000008</v>
      </c>
      <c r="FC94" s="322">
        <v>39301.839999999989</v>
      </c>
      <c r="FD94" s="322">
        <v>39279.299999999996</v>
      </c>
      <c r="FE94" s="322">
        <v>40891.03</v>
      </c>
      <c r="FF94" s="322">
        <v>37519.57</v>
      </c>
      <c r="FG94" s="322">
        <v>37845.80000000001</v>
      </c>
      <c r="FH94" s="322">
        <v>43219.759999999995</v>
      </c>
      <c r="FI94" s="322">
        <v>45770.040000000008</v>
      </c>
      <c r="FJ94" s="322">
        <v>43857.850000000006</v>
      </c>
      <c r="FK94" s="322">
        <v>46430</v>
      </c>
      <c r="FL94" s="334"/>
      <c r="FM94" s="322" t="s">
        <v>76</v>
      </c>
      <c r="FN94" s="322">
        <v>39663.050000000003</v>
      </c>
      <c r="FO94" s="322">
        <v>39345.040000000001</v>
      </c>
      <c r="FP94" s="322">
        <v>44311.56</v>
      </c>
      <c r="FQ94" s="322">
        <v>54743.99</v>
      </c>
      <c r="FR94" s="322">
        <v>48567.839999999997</v>
      </c>
      <c r="FS94" s="322">
        <v>49422.36</v>
      </c>
      <c r="FT94" s="322">
        <v>59709.79</v>
      </c>
      <c r="FU94" s="322">
        <v>55892.06</v>
      </c>
      <c r="FV94" s="322">
        <v>60268.009999999995</v>
      </c>
      <c r="FW94" s="322">
        <v>64043.12</v>
      </c>
      <c r="FX94" s="322">
        <v>66038.819999999992</v>
      </c>
      <c r="FY94" s="322">
        <v>87573.809999999983</v>
      </c>
      <c r="FZ94" s="322">
        <v>83101.56</v>
      </c>
      <c r="GA94" s="322">
        <v>85195.35000000002</v>
      </c>
      <c r="GB94" s="322">
        <v>90398.000000000015</v>
      </c>
      <c r="GC94" s="322">
        <v>88148.46</v>
      </c>
      <c r="GD94" s="322">
        <v>77930.5</v>
      </c>
      <c r="GE94" s="322">
        <v>81110.599999999991</v>
      </c>
      <c r="GF94" s="340">
        <v>88505.79</v>
      </c>
      <c r="GG94" s="704">
        <v>90573.12999999999</v>
      </c>
      <c r="GH94" s="704">
        <v>89712.37000000001</v>
      </c>
      <c r="GI94" s="704">
        <v>92050</v>
      </c>
      <c r="GJ94" s="334"/>
      <c r="GK94" s="322" t="s">
        <v>76</v>
      </c>
      <c r="GL94" s="322">
        <v>0</v>
      </c>
      <c r="GM94" s="322">
        <v>11241.44</v>
      </c>
      <c r="GN94" s="322">
        <v>14770.52</v>
      </c>
      <c r="GO94" s="322">
        <v>15641.14</v>
      </c>
      <c r="GP94" s="322">
        <v>16189.28</v>
      </c>
      <c r="GQ94" s="322">
        <v>8237.06</v>
      </c>
      <c r="GR94" s="322">
        <v>17059.939999999999</v>
      </c>
      <c r="GS94" s="322">
        <v>7984.58</v>
      </c>
      <c r="GT94" s="322">
        <v>13570.57</v>
      </c>
      <c r="GU94" s="322">
        <v>15209.829999999998</v>
      </c>
      <c r="GV94" s="322">
        <v>17810.52</v>
      </c>
      <c r="GW94" s="322">
        <v>22959.440000000002</v>
      </c>
      <c r="GX94" s="322">
        <v>27308.369999999995</v>
      </c>
      <c r="GY94" s="322">
        <v>29632.230000000003</v>
      </c>
      <c r="GZ94" s="322">
        <v>26206.900000000005</v>
      </c>
      <c r="HA94" s="322">
        <v>26658.37</v>
      </c>
      <c r="HB94" s="322">
        <v>29076.810000000005</v>
      </c>
      <c r="HC94" s="322">
        <v>28399.34</v>
      </c>
      <c r="HD94" s="322">
        <v>28988.16</v>
      </c>
      <c r="HE94" s="322">
        <v>28611.660000000003</v>
      </c>
      <c r="HF94" s="322">
        <v>27125.450000000004</v>
      </c>
      <c r="HG94" s="322">
        <v>32170</v>
      </c>
      <c r="HH94" s="334"/>
      <c r="HI94" s="322" t="s">
        <v>76</v>
      </c>
      <c r="HJ94" s="322">
        <v>16998.45</v>
      </c>
      <c r="HK94" s="322">
        <v>5620.72</v>
      </c>
      <c r="HL94" s="322">
        <v>7385.26</v>
      </c>
      <c r="HM94" s="322">
        <v>7820.57</v>
      </c>
      <c r="HN94" s="322">
        <v>8094.64</v>
      </c>
      <c r="HO94" s="322">
        <v>8237.06</v>
      </c>
      <c r="HP94" s="322">
        <v>8529.9699999999993</v>
      </c>
      <c r="HQ94" s="322">
        <v>7984.58</v>
      </c>
      <c r="HR94" s="322">
        <v>4323.67</v>
      </c>
      <c r="HS94" s="322">
        <v>9393.7699999999986</v>
      </c>
      <c r="HT94" s="322">
        <v>14468.059999999998</v>
      </c>
      <c r="HU94" s="322">
        <v>25312.039999999997</v>
      </c>
      <c r="HV94" s="322">
        <v>22066.579999999998</v>
      </c>
      <c r="HW94" s="322">
        <v>19131.649999999998</v>
      </c>
      <c r="HX94" s="322">
        <v>25052.65</v>
      </c>
      <c r="HY94" s="322">
        <v>25126.469999999998</v>
      </c>
      <c r="HZ94" s="322">
        <v>25392.97</v>
      </c>
      <c r="IA94" s="322">
        <v>24059.65</v>
      </c>
      <c r="IB94" s="322">
        <v>19924.239999999998</v>
      </c>
      <c r="IC94" s="322">
        <v>26557.3</v>
      </c>
      <c r="ID94" s="322">
        <v>36150.21</v>
      </c>
      <c r="IE94" s="322">
        <v>43789.600000000006</v>
      </c>
      <c r="IF94" s="334"/>
      <c r="IG94" s="322" t="s">
        <v>76</v>
      </c>
      <c r="IH94" s="322">
        <v>5666.15</v>
      </c>
      <c r="II94" s="322">
        <v>5620.72</v>
      </c>
      <c r="IJ94" s="322">
        <v>7385.26</v>
      </c>
      <c r="IK94" s="322">
        <v>7820.57</v>
      </c>
      <c r="IL94" s="322">
        <v>8094.64</v>
      </c>
      <c r="IM94" s="322">
        <v>8237.06</v>
      </c>
      <c r="IN94" s="322">
        <v>8529.9699999999993</v>
      </c>
      <c r="IO94" s="322">
        <v>7984.58</v>
      </c>
      <c r="IP94" s="322">
        <v>8329.56</v>
      </c>
      <c r="IQ94" s="322">
        <v>2664.9199999999996</v>
      </c>
      <c r="IR94" s="322">
        <v>0</v>
      </c>
      <c r="IS94" s="322">
        <v>3933.24</v>
      </c>
      <c r="IT94" s="322">
        <v>0</v>
      </c>
      <c r="IU94" s="322">
        <v>0</v>
      </c>
      <c r="IV94" s="322"/>
      <c r="IW94" s="322"/>
      <c r="IX94" s="322"/>
      <c r="IY94" s="322"/>
      <c r="IZ94" s="322"/>
      <c r="JA94" s="322"/>
      <c r="JB94" s="322"/>
      <c r="JC94" s="322"/>
      <c r="JD94" s="334"/>
      <c r="JE94" s="322" t="s">
        <v>76</v>
      </c>
      <c r="JF94" s="322">
        <v>5666.15</v>
      </c>
      <c r="JG94" s="322">
        <v>5620.72</v>
      </c>
      <c r="JH94" s="322">
        <v>0</v>
      </c>
      <c r="JI94" s="322">
        <v>0</v>
      </c>
      <c r="JJ94" s="322">
        <v>0</v>
      </c>
      <c r="JK94" s="322">
        <v>0</v>
      </c>
      <c r="JL94" s="322">
        <v>0</v>
      </c>
      <c r="JM94" s="322">
        <v>0</v>
      </c>
      <c r="JN94" s="322">
        <v>107.3</v>
      </c>
      <c r="JO94" s="322">
        <v>97.64</v>
      </c>
      <c r="JP94" s="322">
        <v>0</v>
      </c>
      <c r="JQ94" s="322">
        <v>0</v>
      </c>
      <c r="JR94" s="322">
        <v>0</v>
      </c>
      <c r="JS94" s="322">
        <v>0</v>
      </c>
      <c r="JT94" s="322">
        <v>0</v>
      </c>
      <c r="JU94" s="322">
        <v>0</v>
      </c>
      <c r="JV94" s="322">
        <v>730.49</v>
      </c>
      <c r="JW94" s="322">
        <v>771.74</v>
      </c>
      <c r="JX94" s="322">
        <v>570.41</v>
      </c>
      <c r="JY94" s="322">
        <v>703.65</v>
      </c>
      <c r="JZ94" s="322">
        <v>918.85</v>
      </c>
      <c r="KA94" s="322">
        <v>2022.4</v>
      </c>
      <c r="KB94" s="334"/>
      <c r="KC94" s="322" t="s">
        <v>76</v>
      </c>
      <c r="KD94" s="322">
        <v>5666.15</v>
      </c>
      <c r="KE94" s="322">
        <v>11241.44</v>
      </c>
      <c r="KF94" s="322">
        <v>14770.52</v>
      </c>
      <c r="KG94" s="322">
        <v>15641.14</v>
      </c>
      <c r="KH94" s="322">
        <v>16189.28</v>
      </c>
      <c r="KI94" s="322">
        <v>16474.12</v>
      </c>
      <c r="KJ94" s="322">
        <v>17059.939999999999</v>
      </c>
      <c r="KK94" s="322">
        <v>15969.16</v>
      </c>
      <c r="KL94" s="322">
        <v>17143.03</v>
      </c>
      <c r="KM94" s="322">
        <v>16592.63</v>
      </c>
      <c r="KN94" s="322">
        <v>16867.060000000001</v>
      </c>
      <c r="KO94" s="322">
        <v>21242.65</v>
      </c>
      <c r="KP94" s="322">
        <v>21308.2</v>
      </c>
      <c r="KQ94" s="322">
        <v>21177.67</v>
      </c>
      <c r="KR94" s="322">
        <v>21229.23</v>
      </c>
      <c r="KS94" s="322">
        <v>21173.359999999997</v>
      </c>
      <c r="KT94" s="322">
        <v>21268.49</v>
      </c>
      <c r="KU94" s="322">
        <v>19414.46</v>
      </c>
      <c r="KV94" s="322">
        <v>20282.27</v>
      </c>
      <c r="KW94" s="322">
        <v>18757.32</v>
      </c>
      <c r="KX94" s="322">
        <v>18759.05</v>
      </c>
      <c r="KY94" s="322">
        <v>23010</v>
      </c>
      <c r="KZ94" s="334"/>
      <c r="LA94" s="322" t="s">
        <v>76</v>
      </c>
      <c r="LB94" s="322">
        <v>45329.2</v>
      </c>
      <c r="LC94" s="322">
        <v>56207.199999999997</v>
      </c>
      <c r="LD94" s="322">
        <v>73852.600000000006</v>
      </c>
      <c r="LE94" s="322">
        <v>54743.99</v>
      </c>
      <c r="LF94" s="322">
        <v>32378.560000000001</v>
      </c>
      <c r="LG94" s="322">
        <v>57659.42</v>
      </c>
      <c r="LH94" s="322">
        <v>25589.91</v>
      </c>
      <c r="LI94" s="322">
        <v>55892.06</v>
      </c>
      <c r="LJ94" s="322">
        <v>91818.73000000001</v>
      </c>
      <c r="LK94" s="322">
        <v>42824.34</v>
      </c>
      <c r="LL94" s="322">
        <v>61382.260000000009</v>
      </c>
      <c r="LM94" s="322">
        <v>122879.45000000001</v>
      </c>
      <c r="LN94" s="322">
        <v>86240.92</v>
      </c>
      <c r="LO94" s="322">
        <v>88524.650000000009</v>
      </c>
      <c r="LP94" s="322">
        <v>93758.91</v>
      </c>
      <c r="LQ94" s="322">
        <v>54539.249999999993</v>
      </c>
      <c r="LR94" s="322">
        <v>70179.340000000011</v>
      </c>
      <c r="LS94" s="322">
        <v>105779.56999999999</v>
      </c>
      <c r="LT94" s="322">
        <v>124458.22000000003</v>
      </c>
      <c r="LU94" s="322">
        <v>135852.19</v>
      </c>
      <c r="LV94" s="322">
        <v>160187.71000000002</v>
      </c>
      <c r="LW94" s="322">
        <v>122972.8</v>
      </c>
      <c r="LX94" s="334"/>
      <c r="LY94" s="322" t="s">
        <v>76</v>
      </c>
      <c r="LZ94" s="322">
        <v>124655.3</v>
      </c>
      <c r="MA94" s="322">
        <v>118035.12</v>
      </c>
      <c r="MB94" s="322">
        <v>184631.5</v>
      </c>
      <c r="MC94" s="322">
        <v>195514.25</v>
      </c>
      <c r="MD94" s="322">
        <v>194271.35999999999</v>
      </c>
      <c r="ME94" s="322">
        <v>197689.44</v>
      </c>
      <c r="MF94" s="322">
        <v>213249.25</v>
      </c>
      <c r="MG94" s="322">
        <v>159691.6</v>
      </c>
      <c r="MH94" s="322">
        <v>170956.53999999998</v>
      </c>
      <c r="MI94" s="322">
        <v>195982.85</v>
      </c>
      <c r="MJ94" s="322">
        <v>184961.31</v>
      </c>
      <c r="MK94" s="322">
        <v>223272.96000000002</v>
      </c>
      <c r="ML94" s="322">
        <v>237131.27000000002</v>
      </c>
      <c r="MM94" s="322">
        <v>237358.76</v>
      </c>
      <c r="MN94" s="322">
        <v>253898.15</v>
      </c>
      <c r="MO94" s="322">
        <v>229487.90999999997</v>
      </c>
      <c r="MP94" s="322">
        <v>233590.53999999998</v>
      </c>
      <c r="MQ94" s="322">
        <v>238175.81999999998</v>
      </c>
      <c r="MR94" s="322">
        <v>253483.01999999996</v>
      </c>
      <c r="MS94" s="322">
        <v>233446.84000000003</v>
      </c>
      <c r="MT94" s="322">
        <v>271979.91000000003</v>
      </c>
      <c r="MU94" s="322">
        <v>279000</v>
      </c>
      <c r="MV94" s="334"/>
      <c r="MW94" s="322" t="s">
        <v>76</v>
      </c>
      <c r="MX94" s="322">
        <v>11332.3</v>
      </c>
      <c r="MY94" s="322">
        <v>16862.16</v>
      </c>
      <c r="MZ94" s="322">
        <v>36926.300000000003</v>
      </c>
      <c r="NA94" s="322">
        <v>31282.28</v>
      </c>
      <c r="NB94" s="322">
        <v>56662.48</v>
      </c>
      <c r="NC94" s="322">
        <v>49422.36</v>
      </c>
      <c r="ND94" s="322">
        <v>68239.759999999995</v>
      </c>
      <c r="NE94" s="322">
        <v>47907.48</v>
      </c>
      <c r="NF94" s="322">
        <v>30663.05</v>
      </c>
      <c r="NG94" s="322">
        <v>42386.18</v>
      </c>
      <c r="NH94" s="322">
        <v>38988.04</v>
      </c>
      <c r="NI94" s="322">
        <v>39376.57</v>
      </c>
      <c r="NJ94" s="322">
        <v>38279.24</v>
      </c>
      <c r="NK94" s="322">
        <v>51052.040000000008</v>
      </c>
      <c r="NL94" s="322">
        <v>42617.23</v>
      </c>
      <c r="NM94" s="322">
        <v>32327.850000000002</v>
      </c>
      <c r="NN94" s="322">
        <v>38881.340000000004</v>
      </c>
      <c r="NO94" s="322">
        <v>53225.39</v>
      </c>
      <c r="NP94" s="322">
        <v>84424.93</v>
      </c>
      <c r="NQ94" s="322">
        <v>106718.55</v>
      </c>
      <c r="NR94" s="322">
        <v>79321.150000000009</v>
      </c>
      <c r="NS94" s="322">
        <v>85719</v>
      </c>
      <c r="NT94" s="334"/>
      <c r="NU94" s="322" t="s">
        <v>76</v>
      </c>
      <c r="NV94" s="322">
        <v>45329.2</v>
      </c>
      <c r="NW94" s="322">
        <v>44965.760000000002</v>
      </c>
      <c r="NX94" s="322">
        <v>44311.56</v>
      </c>
      <c r="NY94" s="322">
        <v>54743.99</v>
      </c>
      <c r="NZ94" s="322">
        <v>56662.48</v>
      </c>
      <c r="OA94" s="322">
        <v>57659.42</v>
      </c>
      <c r="OB94" s="322">
        <v>59709.79</v>
      </c>
      <c r="OC94" s="322">
        <v>55892.06</v>
      </c>
      <c r="OD94" s="322">
        <v>58609.810000000012</v>
      </c>
      <c r="OE94" s="322">
        <v>59401.599999999999</v>
      </c>
      <c r="OF94" s="322">
        <v>59835.78</v>
      </c>
      <c r="OG94" s="322">
        <v>68898.819999999992</v>
      </c>
      <c r="OH94" s="322">
        <v>70026.909999999974</v>
      </c>
      <c r="OI94" s="322">
        <v>70442.390000000014</v>
      </c>
      <c r="OJ94" s="322">
        <v>72153.100000000006</v>
      </c>
      <c r="OK94" s="322">
        <v>70554.63999999997</v>
      </c>
      <c r="OL94" s="322">
        <v>67742.509999999995</v>
      </c>
      <c r="OM94" s="322">
        <v>63774.14</v>
      </c>
      <c r="ON94" s="322">
        <v>67355.75</v>
      </c>
      <c r="OO94" s="322">
        <v>80347.56</v>
      </c>
      <c r="OP94" s="322">
        <v>81882.179999999993</v>
      </c>
      <c r="OQ94" s="322">
        <v>86627</v>
      </c>
      <c r="OR94" s="334"/>
      <c r="OS94" s="322" t="s">
        <v>76</v>
      </c>
      <c r="OT94" s="322">
        <v>39663.050000000003</v>
      </c>
      <c r="OU94" s="322">
        <v>39345.040000000001</v>
      </c>
      <c r="OV94" s="322">
        <v>44311.56</v>
      </c>
      <c r="OW94" s="322">
        <v>39102.85</v>
      </c>
      <c r="OX94" s="322">
        <v>32378.560000000001</v>
      </c>
      <c r="OY94" s="322">
        <v>32948.239999999998</v>
      </c>
      <c r="OZ94" s="322">
        <v>34119.879999999997</v>
      </c>
      <c r="PA94" s="322">
        <v>39922.9</v>
      </c>
      <c r="PB94" s="322">
        <v>39919.290000000008</v>
      </c>
      <c r="PC94" s="322">
        <v>37871.340000000004</v>
      </c>
      <c r="PD94" s="322">
        <v>41422.050000000003</v>
      </c>
      <c r="PE94" s="322">
        <v>48313.88</v>
      </c>
      <c r="PF94" s="322">
        <v>48804.19</v>
      </c>
      <c r="PG94" s="322">
        <v>48984.30999999999</v>
      </c>
      <c r="PH94" s="322">
        <v>48842.000000000007</v>
      </c>
      <c r="PI94" s="322">
        <v>49824.020000000004</v>
      </c>
      <c r="PJ94" s="322">
        <v>37497.409999999996</v>
      </c>
      <c r="PK94" s="322">
        <v>55573.2</v>
      </c>
      <c r="PL94" s="322">
        <v>47804.02</v>
      </c>
      <c r="PM94" s="322">
        <v>48678.78</v>
      </c>
      <c r="PN94" s="322">
        <v>49526.509999999995</v>
      </c>
      <c r="PO94" s="322">
        <v>52473.3</v>
      </c>
      <c r="PP94" s="334"/>
      <c r="PQ94" s="322" t="s">
        <v>76</v>
      </c>
      <c r="PR94" s="322">
        <v>0</v>
      </c>
      <c r="PS94" s="322">
        <v>5620.72</v>
      </c>
      <c r="PT94" s="322">
        <v>7385.26</v>
      </c>
      <c r="PU94" s="322">
        <v>7820.57</v>
      </c>
      <c r="PV94" s="322">
        <v>8094.64</v>
      </c>
      <c r="PW94" s="322">
        <v>8237.06</v>
      </c>
      <c r="PX94" s="322">
        <v>8529.9699999999993</v>
      </c>
      <c r="PY94" s="322">
        <v>15969.16</v>
      </c>
      <c r="PZ94" s="322">
        <v>13183.730000000001</v>
      </c>
      <c r="QA94" s="322">
        <v>10855.79</v>
      </c>
      <c r="QB94" s="322">
        <v>19457.55</v>
      </c>
      <c r="QC94" s="322">
        <v>16780.34</v>
      </c>
      <c r="QD94" s="322">
        <v>24467.759999999998</v>
      </c>
      <c r="QE94" s="322">
        <v>17991.959999999995</v>
      </c>
      <c r="QF94" s="322">
        <v>17353.839999999997</v>
      </c>
      <c r="QG94" s="322">
        <v>16641.669999999998</v>
      </c>
      <c r="QH94" s="322">
        <v>21613.839999999997</v>
      </c>
      <c r="QI94" s="322">
        <v>18164.129999999997</v>
      </c>
      <c r="QJ94" s="322">
        <v>26326.3</v>
      </c>
      <c r="QK94" s="322">
        <v>18581.629999999997</v>
      </c>
      <c r="QL94" s="322">
        <v>22705.43</v>
      </c>
      <c r="QM94" s="322">
        <v>25275</v>
      </c>
      <c r="QN94" s="334"/>
      <c r="QO94" s="322" t="s">
        <v>76</v>
      </c>
      <c r="QP94" s="322">
        <v>0</v>
      </c>
      <c r="QQ94" s="322">
        <v>0</v>
      </c>
      <c r="QR94" s="322">
        <v>0</v>
      </c>
      <c r="QS94" s="322">
        <v>0</v>
      </c>
      <c r="QT94" s="322">
        <v>0</v>
      </c>
      <c r="QU94" s="322">
        <v>0</v>
      </c>
      <c r="QV94" s="322">
        <v>0</v>
      </c>
      <c r="QW94" s="322">
        <v>0</v>
      </c>
      <c r="QX94" s="322">
        <v>0</v>
      </c>
      <c r="QY94" s="322">
        <v>0</v>
      </c>
      <c r="QZ94" s="322">
        <v>0</v>
      </c>
      <c r="RA94" s="322">
        <v>0</v>
      </c>
      <c r="RB94" s="322">
        <v>0</v>
      </c>
      <c r="RC94" s="322">
        <v>0</v>
      </c>
      <c r="RD94" s="322">
        <v>0</v>
      </c>
      <c r="RE94" s="322">
        <v>0</v>
      </c>
      <c r="RF94" s="322">
        <v>0</v>
      </c>
      <c r="RG94" s="322">
        <v>0</v>
      </c>
      <c r="RH94" s="322">
        <v>0</v>
      </c>
      <c r="RI94" s="322">
        <v>0</v>
      </c>
      <c r="RJ94" s="322">
        <v>0</v>
      </c>
      <c r="RK94" s="322">
        <v>0</v>
      </c>
      <c r="RL94" s="334"/>
      <c r="RM94" s="322" t="s">
        <v>76</v>
      </c>
      <c r="RN94" s="322">
        <v>28330.75</v>
      </c>
      <c r="RO94" s="322">
        <v>0</v>
      </c>
      <c r="RP94" s="322">
        <v>14770.52</v>
      </c>
      <c r="RQ94" s="322">
        <v>31282.28</v>
      </c>
      <c r="RR94" s="322">
        <v>16189.28</v>
      </c>
      <c r="RS94" s="322">
        <v>8237.06</v>
      </c>
      <c r="RT94" s="322">
        <v>17059.939999999999</v>
      </c>
      <c r="RU94" s="322">
        <v>7984.58</v>
      </c>
      <c r="RV94" s="322">
        <v>14167.97</v>
      </c>
      <c r="RW94" s="322">
        <v>15694</v>
      </c>
      <c r="RX94" s="322">
        <v>128704.79000000001</v>
      </c>
      <c r="RY94" s="322">
        <v>31100</v>
      </c>
      <c r="RZ94" s="322">
        <v>30250</v>
      </c>
      <c r="SA94" s="322">
        <v>468.59</v>
      </c>
      <c r="SB94" s="322">
        <v>23820.32</v>
      </c>
      <c r="SC94" s="322">
        <v>17955</v>
      </c>
      <c r="SD94" s="322">
        <v>17613.780000000002</v>
      </c>
      <c r="SE94" s="322">
        <v>0</v>
      </c>
      <c r="SF94" s="322">
        <v>0</v>
      </c>
      <c r="SG94" s="322">
        <v>184445.54</v>
      </c>
      <c r="SH94" s="322">
        <v>0</v>
      </c>
      <c r="SI94" s="322">
        <v>0</v>
      </c>
    </row>
    <row r="95" spans="1:503">
      <c r="A95" s="319" t="s">
        <v>77</v>
      </c>
      <c r="B95" s="319">
        <v>691828</v>
      </c>
      <c r="C95" s="319">
        <v>769718</v>
      </c>
      <c r="D95" s="319">
        <v>760553</v>
      </c>
      <c r="E95" s="319">
        <v>749766</v>
      </c>
      <c r="F95" s="319">
        <v>817203</v>
      </c>
      <c r="G95" s="319">
        <v>863522</v>
      </c>
      <c r="H95" s="319">
        <v>897090</v>
      </c>
      <c r="I95" s="319">
        <v>983439</v>
      </c>
      <c r="J95" s="319">
        <v>1038622.7</v>
      </c>
      <c r="K95" s="319">
        <v>1061686.17</v>
      </c>
      <c r="L95" s="319">
        <v>1107585.27</v>
      </c>
      <c r="M95" s="319"/>
      <c r="N95" s="319">
        <v>1132792.1300000001</v>
      </c>
      <c r="O95" s="319">
        <v>1073869.2899999998</v>
      </c>
      <c r="P95" s="319">
        <v>1152711.24</v>
      </c>
      <c r="Q95" s="319">
        <v>1153711.21</v>
      </c>
      <c r="R95" s="319">
        <v>1170246.77</v>
      </c>
      <c r="S95" s="322">
        <v>1303429.3900000001</v>
      </c>
      <c r="T95" s="319">
        <v>1264059.412</v>
      </c>
      <c r="U95" s="319">
        <v>1196044.4500000002</v>
      </c>
      <c r="V95" s="319">
        <v>1367988.43</v>
      </c>
      <c r="W95" s="319">
        <v>1486308.23</v>
      </c>
      <c r="X95" s="330"/>
      <c r="Y95" s="319" t="s">
        <v>77</v>
      </c>
      <c r="Z95" s="319">
        <v>41509.68</v>
      </c>
      <c r="AA95" s="319">
        <v>38485.9</v>
      </c>
      <c r="AB95" s="319">
        <v>38027.65</v>
      </c>
      <c r="AC95" s="319">
        <v>59981.279999999999</v>
      </c>
      <c r="AD95" s="319">
        <v>57204.21</v>
      </c>
      <c r="AE95" s="319">
        <v>69081.759999999995</v>
      </c>
      <c r="AF95" s="319">
        <v>69081.759999999995</v>
      </c>
      <c r="AG95" s="319">
        <v>78675.12</v>
      </c>
      <c r="AH95" s="319">
        <v>82021.81</v>
      </c>
      <c r="AI95" s="319">
        <v>87440.5</v>
      </c>
      <c r="AJ95" s="319">
        <v>74680.12</v>
      </c>
      <c r="AK95" s="319"/>
      <c r="AL95" s="319">
        <v>77084.479999999996</v>
      </c>
      <c r="AM95" s="319">
        <v>108532.84000000001</v>
      </c>
      <c r="AN95" s="319">
        <v>86423.65</v>
      </c>
      <c r="AO95" s="319">
        <v>89293.440000000002</v>
      </c>
      <c r="AP95" s="319">
        <v>91337.789999999979</v>
      </c>
      <c r="AQ95" s="322">
        <v>133769.28000000003</v>
      </c>
      <c r="AR95" s="319">
        <v>99411.819999999978</v>
      </c>
      <c r="AS95" s="319">
        <v>99974.140000000029</v>
      </c>
      <c r="AT95" s="319">
        <v>100611.81999999999</v>
      </c>
      <c r="AU95" s="319">
        <v>107410.46</v>
      </c>
      <c r="AV95" s="334"/>
      <c r="AW95" s="319" t="s">
        <v>77</v>
      </c>
      <c r="AX95" s="319">
        <v>48427.960000000006</v>
      </c>
      <c r="AY95" s="319">
        <v>46183.08</v>
      </c>
      <c r="AZ95" s="319">
        <v>45633.18</v>
      </c>
      <c r="BA95" s="319">
        <v>52483.62</v>
      </c>
      <c r="BB95" s="319">
        <v>57204.210000000006</v>
      </c>
      <c r="BC95" s="319">
        <v>60446.540000000008</v>
      </c>
      <c r="BD95" s="319">
        <v>62796.3</v>
      </c>
      <c r="BE95" s="319">
        <v>59006.34</v>
      </c>
      <c r="BF95" s="319">
        <v>62364.06</v>
      </c>
      <c r="BG95" s="319">
        <v>65472.17</v>
      </c>
      <c r="BH95" s="319">
        <v>62924.939999999995</v>
      </c>
      <c r="BI95" s="319"/>
      <c r="BJ95" s="319">
        <v>67953.02</v>
      </c>
      <c r="BK95" s="319">
        <v>70885.84</v>
      </c>
      <c r="BL95" s="319">
        <v>72620.610000000015</v>
      </c>
      <c r="BM95" s="319">
        <v>74970.44</v>
      </c>
      <c r="BN95" s="319">
        <v>75870.28</v>
      </c>
      <c r="BO95" s="322">
        <v>79301.22</v>
      </c>
      <c r="BP95" s="319">
        <v>82171.750000000015</v>
      </c>
      <c r="BQ95" s="319">
        <v>80715.81</v>
      </c>
      <c r="BR95" s="319">
        <v>91810.280000000013</v>
      </c>
      <c r="BS95" s="319">
        <v>87150.399999999994</v>
      </c>
      <c r="BT95" s="334"/>
      <c r="BU95" s="322" t="s">
        <v>77</v>
      </c>
      <c r="BV95" s="322">
        <v>13836.56</v>
      </c>
      <c r="BW95" s="322">
        <v>7697.18</v>
      </c>
      <c r="BX95" s="322">
        <v>15211.06</v>
      </c>
      <c r="BY95" s="322">
        <v>0</v>
      </c>
      <c r="BZ95" s="322">
        <v>24516.09</v>
      </c>
      <c r="CA95" s="322">
        <v>0</v>
      </c>
      <c r="CB95" s="322">
        <v>17941.8</v>
      </c>
      <c r="CC95" s="322">
        <v>9834.39</v>
      </c>
      <c r="CD95" s="322">
        <v>23730.93</v>
      </c>
      <c r="CE95" s="322">
        <v>17696.580000000002</v>
      </c>
      <c r="CF95" s="322">
        <v>35316.35</v>
      </c>
      <c r="CG95" s="322"/>
      <c r="CH95" s="322">
        <v>47725.67</v>
      </c>
      <c r="CI95" s="322">
        <v>13418.17</v>
      </c>
      <c r="CJ95" s="322">
        <v>38024.020000000004</v>
      </c>
      <c r="CK95" s="322">
        <v>11310.89</v>
      </c>
      <c r="CL95" s="322">
        <v>49622.9</v>
      </c>
      <c r="CM95" s="322">
        <v>15333.16</v>
      </c>
      <c r="CN95" s="322">
        <v>41677.85</v>
      </c>
      <c r="CO95" s="322">
        <v>16153.91</v>
      </c>
      <c r="CP95" s="322">
        <v>82676.37</v>
      </c>
      <c r="CQ95" s="322">
        <v>22070</v>
      </c>
      <c r="CR95" s="334"/>
      <c r="CS95" s="322" t="s">
        <v>77</v>
      </c>
      <c r="CT95" s="322">
        <v>76101.08</v>
      </c>
      <c r="CU95" s="322">
        <v>53880.26</v>
      </c>
      <c r="CV95" s="322">
        <v>30422.12</v>
      </c>
      <c r="CW95" s="322">
        <v>44985.96</v>
      </c>
      <c r="CX95" s="322">
        <v>65376.24</v>
      </c>
      <c r="CY95" s="322">
        <v>77716.98</v>
      </c>
      <c r="CZ95" s="322">
        <v>53825.4</v>
      </c>
      <c r="DA95" s="322">
        <v>59006.34</v>
      </c>
      <c r="DB95" s="322">
        <v>46225.31</v>
      </c>
      <c r="DC95" s="322">
        <v>68932.53</v>
      </c>
      <c r="DD95" s="322">
        <v>60702.02</v>
      </c>
      <c r="DE95" s="322"/>
      <c r="DF95" s="322">
        <v>74651.03</v>
      </c>
      <c r="DG95" s="322">
        <v>58992.04</v>
      </c>
      <c r="DH95" s="322">
        <v>54325.000000000007</v>
      </c>
      <c r="DI95" s="322">
        <v>143551.39000000001</v>
      </c>
      <c r="DJ95" s="322">
        <v>122263.71999999999</v>
      </c>
      <c r="DK95" s="322">
        <v>58916.75</v>
      </c>
      <c r="DL95" s="322">
        <v>85112.35</v>
      </c>
      <c r="DM95" s="322">
        <v>74340.410000000018</v>
      </c>
      <c r="DN95" s="322">
        <v>64960.480000000003</v>
      </c>
      <c r="DO95" s="322">
        <v>79347</v>
      </c>
      <c r="DP95" s="334"/>
      <c r="DQ95" s="322" t="s">
        <v>77</v>
      </c>
      <c r="DR95" s="322">
        <v>55346.239999999998</v>
      </c>
      <c r="DS95" s="322">
        <v>76971.8</v>
      </c>
      <c r="DT95" s="322">
        <v>83660.83</v>
      </c>
      <c r="DU95" s="322">
        <v>82474.259999999995</v>
      </c>
      <c r="DV95" s="322">
        <v>73548.27</v>
      </c>
      <c r="DW95" s="322">
        <v>69081.759999999995</v>
      </c>
      <c r="DX95" s="322">
        <v>80738.100000000006</v>
      </c>
      <c r="DY95" s="322">
        <v>88509.51</v>
      </c>
      <c r="DZ95" s="322">
        <v>98839.48</v>
      </c>
      <c r="EA95" s="322">
        <v>97467.849999999977</v>
      </c>
      <c r="EB95" s="322">
        <v>96396.98</v>
      </c>
      <c r="EC95" s="322"/>
      <c r="ED95" s="322">
        <v>109943.16</v>
      </c>
      <c r="EE95" s="322">
        <v>103020.95999999999</v>
      </c>
      <c r="EF95" s="322">
        <v>109607.44</v>
      </c>
      <c r="EG95" s="322">
        <v>99413.58</v>
      </c>
      <c r="EH95" s="322">
        <v>98390.23</v>
      </c>
      <c r="EI95" s="322">
        <v>98939.999999999985</v>
      </c>
      <c r="EJ95" s="322">
        <v>101802.64999999998</v>
      </c>
      <c r="EK95" s="322">
        <v>104921.81</v>
      </c>
      <c r="EL95" s="322">
        <v>102745.79</v>
      </c>
      <c r="EM95" s="322">
        <v>111000</v>
      </c>
      <c r="EN95" s="334"/>
      <c r="EO95" s="322" t="s">
        <v>77</v>
      </c>
      <c r="EP95" s="322">
        <v>13836.56</v>
      </c>
      <c r="EQ95" s="322">
        <v>15394.36</v>
      </c>
      <c r="ER95" s="322">
        <v>15211.06</v>
      </c>
      <c r="ES95" s="322">
        <v>22492.98</v>
      </c>
      <c r="ET95" s="322">
        <v>24516.09</v>
      </c>
      <c r="EU95" s="322">
        <v>25905.66</v>
      </c>
      <c r="EV95" s="322">
        <v>26912.7</v>
      </c>
      <c r="EW95" s="322">
        <v>39337.56</v>
      </c>
      <c r="EX95" s="322">
        <v>36947.07</v>
      </c>
      <c r="EY95" s="322">
        <v>36826.51</v>
      </c>
      <c r="EZ95" s="322">
        <v>36980.78</v>
      </c>
      <c r="FA95" s="322"/>
      <c r="FB95" s="322">
        <v>39523.050000000003</v>
      </c>
      <c r="FC95" s="322">
        <v>42092.47</v>
      </c>
      <c r="FD95" s="322">
        <v>42400.380000000005</v>
      </c>
      <c r="FE95" s="322">
        <v>43770.02</v>
      </c>
      <c r="FF95" s="322">
        <v>44892.029999999992</v>
      </c>
      <c r="FG95" s="322">
        <v>44923.58</v>
      </c>
      <c r="FH95" s="322">
        <v>49753.502</v>
      </c>
      <c r="FI95" s="322">
        <v>48272.53</v>
      </c>
      <c r="FJ95" s="322">
        <v>48805.590000000004</v>
      </c>
      <c r="FK95" s="322">
        <v>51028.4</v>
      </c>
      <c r="FL95" s="334"/>
      <c r="FM95" s="322" t="s">
        <v>77</v>
      </c>
      <c r="FN95" s="322">
        <v>41509.68</v>
      </c>
      <c r="FO95" s="322">
        <v>38485.9</v>
      </c>
      <c r="FP95" s="322">
        <v>38027.65</v>
      </c>
      <c r="FQ95" s="322">
        <v>44985.96</v>
      </c>
      <c r="FR95" s="322">
        <v>40860.15</v>
      </c>
      <c r="FS95" s="322">
        <v>43176.1</v>
      </c>
      <c r="FT95" s="322">
        <v>44854.5</v>
      </c>
      <c r="FU95" s="322">
        <v>49171.95</v>
      </c>
      <c r="FV95" s="322">
        <v>58859.31</v>
      </c>
      <c r="FW95" s="322">
        <v>58034.85</v>
      </c>
      <c r="FX95" s="322">
        <v>62045.650000000009</v>
      </c>
      <c r="FY95" s="322"/>
      <c r="FZ95" s="322">
        <v>62941.68</v>
      </c>
      <c r="GA95" s="322">
        <v>61560.52</v>
      </c>
      <c r="GB95" s="322">
        <v>66134.990000000005</v>
      </c>
      <c r="GC95" s="322">
        <v>69457.829999999987</v>
      </c>
      <c r="GD95" s="322">
        <v>71793.62999999999</v>
      </c>
      <c r="GE95" s="322">
        <v>74310.259999999995</v>
      </c>
      <c r="GF95" s="340">
        <v>79113.240000000005</v>
      </c>
      <c r="GG95" s="704">
        <v>80482.22</v>
      </c>
      <c r="GH95" s="704">
        <v>79374.149999999994</v>
      </c>
      <c r="GI95" s="704">
        <v>86728.4</v>
      </c>
      <c r="GJ95" s="334"/>
      <c r="GK95" s="322" t="s">
        <v>77</v>
      </c>
      <c r="GL95" s="322">
        <v>20754.84</v>
      </c>
      <c r="GM95" s="322">
        <v>23091.54</v>
      </c>
      <c r="GN95" s="322">
        <v>22816.59</v>
      </c>
      <c r="GO95" s="322">
        <v>22492.98</v>
      </c>
      <c r="GP95" s="322">
        <v>32688.12</v>
      </c>
      <c r="GQ95" s="322">
        <v>34540.879999999997</v>
      </c>
      <c r="GR95" s="322">
        <v>35883.599999999999</v>
      </c>
      <c r="GS95" s="322">
        <v>29503.17</v>
      </c>
      <c r="GT95" s="322">
        <v>32890.800000000003</v>
      </c>
      <c r="GU95" s="322">
        <v>29362.11</v>
      </c>
      <c r="GV95" s="322">
        <v>25564.44</v>
      </c>
      <c r="GW95" s="322"/>
      <c r="GX95" s="322">
        <v>51559.92</v>
      </c>
      <c r="GY95" s="322">
        <v>55658.810000000005</v>
      </c>
      <c r="GZ95" s="322">
        <v>55094.12</v>
      </c>
      <c r="HA95" s="322">
        <v>54418.23</v>
      </c>
      <c r="HB95" s="322">
        <v>56347.59</v>
      </c>
      <c r="HC95" s="322">
        <v>58090.87000000001</v>
      </c>
      <c r="HD95" s="322">
        <v>60838.939999999995</v>
      </c>
      <c r="HE95" s="322">
        <v>59962.359999999993</v>
      </c>
      <c r="HF95" s="322">
        <v>61472.88</v>
      </c>
      <c r="HG95" s="322">
        <v>62667.4</v>
      </c>
      <c r="HH95" s="334"/>
      <c r="HI95" s="322" t="s">
        <v>77</v>
      </c>
      <c r="HJ95" s="322">
        <v>0</v>
      </c>
      <c r="HK95" s="322">
        <v>0</v>
      </c>
      <c r="HL95" s="322">
        <v>0</v>
      </c>
      <c r="HM95" s="322">
        <v>0</v>
      </c>
      <c r="HN95" s="322">
        <v>0</v>
      </c>
      <c r="HO95" s="322">
        <v>0</v>
      </c>
      <c r="HP95" s="322">
        <v>0</v>
      </c>
      <c r="HQ95" s="322">
        <v>0</v>
      </c>
      <c r="HR95" s="322">
        <v>0</v>
      </c>
      <c r="HS95" s="322">
        <v>7511.0700000000006</v>
      </c>
      <c r="HT95" s="322">
        <v>43696.11</v>
      </c>
      <c r="HU95" s="322"/>
      <c r="HV95" s="322">
        <v>13875.54</v>
      </c>
      <c r="HW95" s="322">
        <v>13218.170000000002</v>
      </c>
      <c r="HX95" s="322">
        <v>14469.119999999999</v>
      </c>
      <c r="HY95" s="322">
        <v>13986.369999999999</v>
      </c>
      <c r="HZ95" s="322">
        <v>11236.949999999999</v>
      </c>
      <c r="IA95" s="322">
        <v>16072.310000000001</v>
      </c>
      <c r="IB95" s="322">
        <v>14489.590000000002</v>
      </c>
      <c r="IC95" s="322">
        <v>18731.25</v>
      </c>
      <c r="ID95" s="322">
        <v>14447.91</v>
      </c>
      <c r="IE95" s="322">
        <v>36300</v>
      </c>
      <c r="IF95" s="334"/>
      <c r="IG95" s="322" t="s">
        <v>77</v>
      </c>
      <c r="IH95" s="322">
        <v>6918.28</v>
      </c>
      <c r="II95" s="322">
        <v>7697.18</v>
      </c>
      <c r="IJ95" s="322">
        <v>7605.53</v>
      </c>
      <c r="IK95" s="322">
        <v>7497.66</v>
      </c>
      <c r="IL95" s="322">
        <v>8172.03</v>
      </c>
      <c r="IM95" s="322">
        <v>8635.2199999999993</v>
      </c>
      <c r="IN95" s="322">
        <v>8970.9</v>
      </c>
      <c r="IO95" s="322">
        <v>9834.39</v>
      </c>
      <c r="IP95" s="322">
        <v>8901.380000000001</v>
      </c>
      <c r="IQ95" s="322">
        <v>0</v>
      </c>
      <c r="IR95" s="322">
        <v>0</v>
      </c>
      <c r="IS95" s="322"/>
      <c r="IT95" s="322">
        <v>0</v>
      </c>
      <c r="IU95" s="322">
        <v>0</v>
      </c>
      <c r="IV95" s="322"/>
      <c r="IW95" s="322"/>
      <c r="IX95" s="322"/>
      <c r="IY95" s="322"/>
      <c r="IZ95" s="322"/>
      <c r="JA95" s="322"/>
      <c r="JB95" s="322"/>
      <c r="JC95" s="322"/>
      <c r="JD95" s="334"/>
      <c r="JE95" s="322" t="s">
        <v>77</v>
      </c>
      <c r="JF95" s="322">
        <v>0</v>
      </c>
      <c r="JG95" s="322">
        <v>0</v>
      </c>
      <c r="JH95" s="322">
        <v>0</v>
      </c>
      <c r="JI95" s="322">
        <v>0</v>
      </c>
      <c r="JJ95" s="322">
        <v>8172.03</v>
      </c>
      <c r="JK95" s="322">
        <v>0</v>
      </c>
      <c r="JL95" s="322">
        <v>0</v>
      </c>
      <c r="JM95" s="322">
        <v>0</v>
      </c>
      <c r="JN95" s="322">
        <v>9306.91</v>
      </c>
      <c r="JO95" s="322">
        <v>4919.7700000000004</v>
      </c>
      <c r="JP95" s="322">
        <v>2830.47</v>
      </c>
      <c r="JQ95" s="322"/>
      <c r="JR95" s="322">
        <v>6816.5300000000007</v>
      </c>
      <c r="JS95" s="322">
        <v>6382.8600000000006</v>
      </c>
      <c r="JT95" s="322">
        <v>4675.8100000000004</v>
      </c>
      <c r="JU95" s="322">
        <v>5192.9699999999993</v>
      </c>
      <c r="JV95" s="322">
        <v>1808.9500000000003</v>
      </c>
      <c r="JW95" s="322">
        <v>3369.09</v>
      </c>
      <c r="JX95" s="322">
        <v>4658.9900000000007</v>
      </c>
      <c r="JY95" s="322">
        <v>932.81999999999994</v>
      </c>
      <c r="JZ95" s="322">
        <v>8862.5400000000009</v>
      </c>
      <c r="KA95" s="322">
        <v>6650</v>
      </c>
      <c r="KB95" s="334"/>
      <c r="KC95" s="322" t="s">
        <v>77</v>
      </c>
      <c r="KD95" s="322">
        <v>6918.28</v>
      </c>
      <c r="KE95" s="322">
        <v>15394.36</v>
      </c>
      <c r="KF95" s="322">
        <v>7605.53</v>
      </c>
      <c r="KG95" s="322">
        <v>7497.66</v>
      </c>
      <c r="KH95" s="322">
        <v>8172.03</v>
      </c>
      <c r="KI95" s="322">
        <v>17270.439999999999</v>
      </c>
      <c r="KJ95" s="322">
        <v>17941.8</v>
      </c>
      <c r="KK95" s="322">
        <v>19668.78</v>
      </c>
      <c r="KL95" s="322">
        <v>21736.880000000001</v>
      </c>
      <c r="KM95" s="322">
        <v>22697.129999999997</v>
      </c>
      <c r="KN95" s="322">
        <v>17178.669999999998</v>
      </c>
      <c r="KO95" s="322"/>
      <c r="KP95" s="322">
        <v>22378.720000000001</v>
      </c>
      <c r="KQ95" s="322">
        <v>23394.94</v>
      </c>
      <c r="KR95" s="322">
        <v>23295.93</v>
      </c>
      <c r="KS95" s="322">
        <v>24121.73</v>
      </c>
      <c r="KT95" s="322">
        <v>24226.48</v>
      </c>
      <c r="KU95" s="322">
        <v>24563.03</v>
      </c>
      <c r="KV95" s="322">
        <v>25425.43</v>
      </c>
      <c r="KW95" s="322">
        <v>25587.8</v>
      </c>
      <c r="KX95" s="322">
        <v>25569.260000000002</v>
      </c>
      <c r="KY95" s="322">
        <v>26471</v>
      </c>
      <c r="KZ95" s="334"/>
      <c r="LA95" s="322" t="s">
        <v>77</v>
      </c>
      <c r="LB95" s="322">
        <v>69182.8</v>
      </c>
      <c r="LC95" s="322">
        <v>61577.440000000002</v>
      </c>
      <c r="LD95" s="322">
        <v>76055.3</v>
      </c>
      <c r="LE95" s="322">
        <v>29990.639999999999</v>
      </c>
      <c r="LF95" s="322">
        <v>49032.18</v>
      </c>
      <c r="LG95" s="322">
        <v>77716.98</v>
      </c>
      <c r="LH95" s="322">
        <v>62796.3</v>
      </c>
      <c r="LI95" s="322">
        <v>59006.34</v>
      </c>
      <c r="LJ95" s="322">
        <v>60594.17</v>
      </c>
      <c r="LK95" s="322">
        <v>96595.75</v>
      </c>
      <c r="LL95" s="322">
        <v>105816.52</v>
      </c>
      <c r="LM95" s="322"/>
      <c r="LN95" s="322">
        <v>122780.67000000001</v>
      </c>
      <c r="LO95" s="322">
        <v>107933.68</v>
      </c>
      <c r="LP95" s="322">
        <v>140793.03999999998</v>
      </c>
      <c r="LQ95" s="322">
        <v>88831.45</v>
      </c>
      <c r="LR95" s="322">
        <v>98111.44</v>
      </c>
      <c r="LS95" s="322">
        <v>92816.4</v>
      </c>
      <c r="LT95" s="322">
        <v>95531.109999999986</v>
      </c>
      <c r="LU95" s="322">
        <v>98705.680000000008</v>
      </c>
      <c r="LV95" s="322">
        <v>110260.08</v>
      </c>
      <c r="LW95" s="322">
        <v>114750</v>
      </c>
      <c r="LX95" s="334"/>
      <c r="LY95" s="322" t="s">
        <v>77</v>
      </c>
      <c r="LZ95" s="322">
        <v>117610.76</v>
      </c>
      <c r="MA95" s="322">
        <v>169337.96</v>
      </c>
      <c r="MB95" s="322">
        <v>167321.66</v>
      </c>
      <c r="MC95" s="322">
        <v>164948.51999999999</v>
      </c>
      <c r="MD95" s="322">
        <v>163440.6</v>
      </c>
      <c r="ME95" s="322">
        <v>172704.4</v>
      </c>
      <c r="MF95" s="322">
        <v>188388.9</v>
      </c>
      <c r="MG95" s="322">
        <v>196687.8</v>
      </c>
      <c r="MH95" s="322">
        <v>198877.13</v>
      </c>
      <c r="MI95" s="322">
        <v>227579.68</v>
      </c>
      <c r="MJ95" s="322">
        <v>220263.32000000004</v>
      </c>
      <c r="MK95" s="322"/>
      <c r="ML95" s="322">
        <v>214628.12000000002</v>
      </c>
      <c r="MM95" s="322">
        <v>208200.73</v>
      </c>
      <c r="MN95" s="322">
        <v>214829.02</v>
      </c>
      <c r="MO95" s="322">
        <v>212825.40999999997</v>
      </c>
      <c r="MP95" s="322">
        <v>211939.25</v>
      </c>
      <c r="MQ95" s="322">
        <v>204034.83</v>
      </c>
      <c r="MR95" s="322">
        <v>259847.44</v>
      </c>
      <c r="MS95" s="322">
        <v>219710.62</v>
      </c>
      <c r="MT95" s="322">
        <v>222238.55000000002</v>
      </c>
      <c r="MU95" s="322">
        <v>239258.8</v>
      </c>
      <c r="MV95" s="334"/>
      <c r="MW95" s="322" t="s">
        <v>77</v>
      </c>
      <c r="MX95" s="322">
        <v>76101.08</v>
      </c>
      <c r="MY95" s="322">
        <v>92366.16</v>
      </c>
      <c r="MZ95" s="322">
        <v>83660.83</v>
      </c>
      <c r="NA95" s="322">
        <v>89971.92</v>
      </c>
      <c r="NB95" s="322">
        <v>65376.24</v>
      </c>
      <c r="NC95" s="322">
        <v>60446.54</v>
      </c>
      <c r="ND95" s="322">
        <v>71767.199999999997</v>
      </c>
      <c r="NE95" s="322">
        <v>88509.51</v>
      </c>
      <c r="NF95" s="322">
        <v>95082.610000000015</v>
      </c>
      <c r="NG95" s="322">
        <v>81984.409999999989</v>
      </c>
      <c r="NH95" s="322">
        <v>71890.030000000013</v>
      </c>
      <c r="NI95" s="322"/>
      <c r="NJ95" s="322">
        <v>57675.310000000005</v>
      </c>
      <c r="NK95" s="322">
        <v>52480.01</v>
      </c>
      <c r="NL95" s="322">
        <v>82477.789999999994</v>
      </c>
      <c r="NM95" s="322">
        <v>78617.119999999995</v>
      </c>
      <c r="NN95" s="322">
        <v>55709.73</v>
      </c>
      <c r="NO95" s="322">
        <v>67588.03</v>
      </c>
      <c r="NP95" s="322">
        <v>57454.97</v>
      </c>
      <c r="NQ95" s="322">
        <v>58270.340000000004</v>
      </c>
      <c r="NR95" s="322">
        <v>108821.18000000001</v>
      </c>
      <c r="NS95" s="322">
        <v>110600</v>
      </c>
      <c r="NT95" s="334"/>
      <c r="NU95" s="322" t="s">
        <v>77</v>
      </c>
      <c r="NV95" s="322">
        <v>48427.96</v>
      </c>
      <c r="NW95" s="322">
        <v>53880.26</v>
      </c>
      <c r="NX95" s="322">
        <v>45633.18</v>
      </c>
      <c r="NY95" s="322">
        <v>59981.279999999999</v>
      </c>
      <c r="NZ95" s="322">
        <v>65376.24</v>
      </c>
      <c r="OA95" s="322">
        <v>69081.759999999995</v>
      </c>
      <c r="OB95" s="322">
        <v>71767.199999999997</v>
      </c>
      <c r="OC95" s="322">
        <v>78675.12</v>
      </c>
      <c r="OD95" s="322">
        <v>76183.14</v>
      </c>
      <c r="OE95" s="322">
        <v>71012.08</v>
      </c>
      <c r="OF95" s="322">
        <v>68074.080000000002</v>
      </c>
      <c r="OG95" s="322"/>
      <c r="OH95" s="322">
        <v>72015.600000000006</v>
      </c>
      <c r="OI95" s="322">
        <v>75984.929999999993</v>
      </c>
      <c r="OJ95" s="322">
        <v>77501.969999999987</v>
      </c>
      <c r="OK95" s="322">
        <v>78088.409999999989</v>
      </c>
      <c r="OL95" s="322">
        <v>81517.99000000002</v>
      </c>
      <c r="OM95" s="322">
        <v>83898.89</v>
      </c>
      <c r="ON95" s="322">
        <v>87758.8</v>
      </c>
      <c r="OO95" s="322">
        <v>89994.040000000008</v>
      </c>
      <c r="OP95" s="322">
        <v>106889.73999999999</v>
      </c>
      <c r="OQ95" s="322">
        <v>131194.4</v>
      </c>
      <c r="OR95" s="334"/>
      <c r="OS95" s="322" t="s">
        <v>77</v>
      </c>
      <c r="OT95" s="322">
        <v>34591.4</v>
      </c>
      <c r="OU95" s="322">
        <v>46183.08</v>
      </c>
      <c r="OV95" s="322">
        <v>45633.18</v>
      </c>
      <c r="OW95" s="322">
        <v>37488.300000000003</v>
      </c>
      <c r="OX95" s="322">
        <v>32688.12</v>
      </c>
      <c r="OY95" s="322">
        <v>43176.1</v>
      </c>
      <c r="OZ95" s="322">
        <v>44854.5</v>
      </c>
      <c r="PA95" s="322">
        <v>78675.12</v>
      </c>
      <c r="PB95" s="322">
        <v>68301.010000000009</v>
      </c>
      <c r="PC95" s="322">
        <v>45600.700000000004</v>
      </c>
      <c r="PD95" s="322">
        <v>88328.689999999988</v>
      </c>
      <c r="PE95" s="322"/>
      <c r="PF95" s="322">
        <v>38994.649999999994</v>
      </c>
      <c r="PG95" s="322">
        <v>43693.040000000008</v>
      </c>
      <c r="PH95" s="322">
        <v>39352.949999999997</v>
      </c>
      <c r="PI95" s="322">
        <v>36315.129999999997</v>
      </c>
      <c r="PJ95" s="322">
        <v>26619.43</v>
      </c>
      <c r="PK95" s="322">
        <v>27859.16</v>
      </c>
      <c r="PL95" s="322">
        <v>38720.19</v>
      </c>
      <c r="PM95" s="322">
        <v>45085.07</v>
      </c>
      <c r="PN95" s="322">
        <v>61284.960000000006</v>
      </c>
      <c r="PO95" s="322">
        <v>63640</v>
      </c>
      <c r="PP95" s="334"/>
      <c r="PQ95" s="322" t="s">
        <v>77</v>
      </c>
      <c r="PR95" s="322">
        <v>6918.28</v>
      </c>
      <c r="PS95" s="322">
        <v>7697.18</v>
      </c>
      <c r="PT95" s="322">
        <v>7605.53</v>
      </c>
      <c r="PU95" s="322">
        <v>7497.66</v>
      </c>
      <c r="PV95" s="322">
        <v>8172.03</v>
      </c>
      <c r="PW95" s="322">
        <v>8635.2199999999993</v>
      </c>
      <c r="PX95" s="322">
        <v>8970.9</v>
      </c>
      <c r="PY95" s="322">
        <v>9834.39</v>
      </c>
      <c r="PZ95" s="322">
        <v>10322.040000000001</v>
      </c>
      <c r="QA95" s="322">
        <v>10417.379999999999</v>
      </c>
      <c r="QB95" s="322">
        <v>10330.1</v>
      </c>
      <c r="QC95" s="322"/>
      <c r="QD95" s="322">
        <v>12158.98</v>
      </c>
      <c r="QE95" s="322">
        <v>13333.279999999999</v>
      </c>
      <c r="QF95" s="322">
        <v>14642.4</v>
      </c>
      <c r="QG95" s="322">
        <v>11945.8</v>
      </c>
      <c r="QH95" s="322">
        <v>12390.6</v>
      </c>
      <c r="QI95" s="322">
        <v>15268.199999999999</v>
      </c>
      <c r="QJ95" s="322">
        <v>15157</v>
      </c>
      <c r="QK95" s="322">
        <v>13830</v>
      </c>
      <c r="QL95" s="322">
        <v>15229.08</v>
      </c>
      <c r="QM95" s="322">
        <v>18407.2</v>
      </c>
      <c r="QN95" s="334"/>
      <c r="QO95" s="322" t="s">
        <v>77</v>
      </c>
      <c r="QP95" s="322">
        <v>0</v>
      </c>
      <c r="QQ95" s="322">
        <v>0</v>
      </c>
      <c r="QR95" s="322">
        <v>0</v>
      </c>
      <c r="QS95" s="322">
        <v>0</v>
      </c>
      <c r="QT95" s="322">
        <v>0</v>
      </c>
      <c r="QU95" s="322">
        <v>0</v>
      </c>
      <c r="QV95" s="322">
        <v>0</v>
      </c>
      <c r="QW95" s="322">
        <v>0</v>
      </c>
      <c r="QX95" s="322">
        <v>0</v>
      </c>
      <c r="QY95" s="322">
        <v>0</v>
      </c>
      <c r="QZ95" s="322">
        <v>0</v>
      </c>
      <c r="RA95" s="322"/>
      <c r="RB95" s="322">
        <v>0</v>
      </c>
      <c r="RC95" s="322">
        <v>0</v>
      </c>
      <c r="RD95" s="322">
        <v>0</v>
      </c>
      <c r="RE95" s="322">
        <v>0</v>
      </c>
      <c r="RF95" s="322">
        <v>0</v>
      </c>
      <c r="RG95" s="322">
        <v>0</v>
      </c>
      <c r="RH95" s="322">
        <v>0</v>
      </c>
      <c r="RI95" s="322">
        <v>0</v>
      </c>
      <c r="RJ95" s="322">
        <v>0</v>
      </c>
      <c r="RK95" s="322">
        <v>0</v>
      </c>
      <c r="RL95" s="334"/>
      <c r="RM95" s="322" t="s">
        <v>77</v>
      </c>
      <c r="RN95" s="322">
        <v>13836.56</v>
      </c>
      <c r="RO95" s="322">
        <v>15394.36</v>
      </c>
      <c r="RP95" s="322">
        <v>30422.12</v>
      </c>
      <c r="RQ95" s="322">
        <v>14995.32</v>
      </c>
      <c r="RR95" s="322">
        <v>32688.12</v>
      </c>
      <c r="RS95" s="322">
        <v>25905.66</v>
      </c>
      <c r="RT95" s="322">
        <v>26912.7</v>
      </c>
      <c r="RU95" s="322">
        <v>29503.17</v>
      </c>
      <c r="RV95" s="322">
        <v>47438.66</v>
      </c>
      <c r="RW95" s="322">
        <v>32135.1</v>
      </c>
      <c r="RX95" s="322">
        <v>24566</v>
      </c>
      <c r="RY95" s="322"/>
      <c r="RZ95" s="322">
        <v>40086</v>
      </c>
      <c r="SA95" s="322">
        <v>15086</v>
      </c>
      <c r="SB95" s="322">
        <v>16043</v>
      </c>
      <c r="SC95" s="322">
        <v>17601</v>
      </c>
      <c r="SD95" s="322">
        <v>36167.78</v>
      </c>
      <c r="SE95" s="322">
        <v>204374.33000000002</v>
      </c>
      <c r="SF95" s="322">
        <v>65133.789999999994</v>
      </c>
      <c r="SG95" s="322">
        <v>60373.64</v>
      </c>
      <c r="SH95" s="322">
        <v>61927.770000000004</v>
      </c>
      <c r="SI95" s="322">
        <v>91634.77</v>
      </c>
    </row>
    <row r="96" spans="1:503">
      <c r="A96" s="319" t="s">
        <v>78</v>
      </c>
      <c r="B96" s="319">
        <v>1961377</v>
      </c>
      <c r="C96" s="319">
        <v>2069703</v>
      </c>
      <c r="D96" s="319">
        <v>2713108</v>
      </c>
      <c r="E96" s="319">
        <v>2266561</v>
      </c>
      <c r="F96" s="319">
        <v>2577114</v>
      </c>
      <c r="G96" s="319">
        <v>2577367</v>
      </c>
      <c r="H96" s="319">
        <v>2377048</v>
      </c>
      <c r="I96" s="319">
        <v>2693125</v>
      </c>
      <c r="J96" s="319">
        <v>2886888.2</v>
      </c>
      <c r="K96" s="319">
        <v>3051032.8200000003</v>
      </c>
      <c r="L96" s="319">
        <v>3155457.4299999997</v>
      </c>
      <c r="M96" s="319">
        <v>3283325.01</v>
      </c>
      <c r="N96" s="319">
        <v>3480816.48</v>
      </c>
      <c r="O96" s="319">
        <v>6117556.0099999998</v>
      </c>
      <c r="P96" s="319">
        <v>3310281.4400000004</v>
      </c>
      <c r="Q96" s="319">
        <v>5234734.07</v>
      </c>
      <c r="R96" s="319">
        <v>3680697.5500000003</v>
      </c>
      <c r="S96" s="322">
        <v>3724400.66</v>
      </c>
      <c r="T96" s="319">
        <v>4545240.87</v>
      </c>
      <c r="U96" s="319"/>
      <c r="V96" s="319"/>
      <c r="W96" s="319"/>
      <c r="X96" s="330"/>
      <c r="Y96" s="319" t="s">
        <v>78</v>
      </c>
      <c r="Z96" s="319">
        <v>58841.31</v>
      </c>
      <c r="AA96" s="319">
        <v>62091.09</v>
      </c>
      <c r="AB96" s="319">
        <v>54262.16</v>
      </c>
      <c r="AC96" s="319">
        <v>90662.44</v>
      </c>
      <c r="AD96" s="319">
        <v>77313.42</v>
      </c>
      <c r="AE96" s="319">
        <v>77321.009999999995</v>
      </c>
      <c r="AF96" s="319">
        <v>103094.68</v>
      </c>
      <c r="AG96" s="319">
        <v>80793.75</v>
      </c>
      <c r="AH96" s="319">
        <v>91950.17</v>
      </c>
      <c r="AI96" s="319">
        <v>92396</v>
      </c>
      <c r="AJ96" s="319">
        <v>92476.29</v>
      </c>
      <c r="AK96" s="319">
        <v>93251.400000000009</v>
      </c>
      <c r="AL96" s="319">
        <v>93427.56</v>
      </c>
      <c r="AM96" s="319">
        <v>93614.46</v>
      </c>
      <c r="AN96" s="319">
        <v>93574.93</v>
      </c>
      <c r="AO96" s="319">
        <v>93003.92</v>
      </c>
      <c r="AP96" s="319">
        <v>96252.26999999999</v>
      </c>
      <c r="AQ96" s="322">
        <v>97851.739999999991</v>
      </c>
      <c r="AR96" s="319">
        <v>99305.41</v>
      </c>
      <c r="AS96" s="319"/>
      <c r="AT96" s="319"/>
      <c r="AU96" s="319"/>
      <c r="AV96" s="334"/>
      <c r="AW96" s="319" t="s">
        <v>78</v>
      </c>
      <c r="AX96" s="319">
        <v>78455.08</v>
      </c>
      <c r="AY96" s="319">
        <v>82788.12</v>
      </c>
      <c r="AZ96" s="319">
        <v>81393.239999999991</v>
      </c>
      <c r="BA96" s="319">
        <v>90662.44</v>
      </c>
      <c r="BB96" s="319">
        <v>103084.56</v>
      </c>
      <c r="BC96" s="319">
        <v>103094.68000000001</v>
      </c>
      <c r="BD96" s="319">
        <v>95081.919999999998</v>
      </c>
      <c r="BE96" s="319">
        <v>107725</v>
      </c>
      <c r="BF96" s="319">
        <v>94405.86</v>
      </c>
      <c r="BG96" s="319">
        <v>100884.95999999999</v>
      </c>
      <c r="BH96" s="319">
        <v>98208.5</v>
      </c>
      <c r="BI96" s="319">
        <v>101825.01</v>
      </c>
      <c r="BJ96" s="319">
        <v>109070.62</v>
      </c>
      <c r="BK96" s="319">
        <v>148693.29</v>
      </c>
      <c r="BL96" s="319">
        <v>134862.54</v>
      </c>
      <c r="BM96" s="319">
        <v>123787.37000000001</v>
      </c>
      <c r="BN96" s="319">
        <v>135951.11000000002</v>
      </c>
      <c r="BO96" s="322">
        <v>136736.76999999999</v>
      </c>
      <c r="BP96" s="319">
        <v>139336.71</v>
      </c>
      <c r="BQ96" s="319"/>
      <c r="BR96" s="319"/>
      <c r="BS96" s="319"/>
      <c r="BT96" s="334"/>
      <c r="BU96" s="322" t="s">
        <v>78</v>
      </c>
      <c r="BV96" s="322">
        <v>117682.62</v>
      </c>
      <c r="BW96" s="322">
        <v>82788.12</v>
      </c>
      <c r="BX96" s="322">
        <v>108524.32</v>
      </c>
      <c r="BY96" s="322">
        <v>90662.44</v>
      </c>
      <c r="BZ96" s="322">
        <v>154626.84</v>
      </c>
      <c r="CA96" s="322">
        <v>77321.009999999995</v>
      </c>
      <c r="CB96" s="322">
        <v>118852.4</v>
      </c>
      <c r="CC96" s="322">
        <v>107725</v>
      </c>
      <c r="CD96" s="322">
        <v>141276.30000000002</v>
      </c>
      <c r="CE96" s="322">
        <v>76835.75999999998</v>
      </c>
      <c r="CF96" s="322">
        <v>129531.54999999999</v>
      </c>
      <c r="CG96" s="322">
        <v>100180.29</v>
      </c>
      <c r="CH96" s="322">
        <v>93106.19</v>
      </c>
      <c r="CI96" s="322">
        <v>49785.47</v>
      </c>
      <c r="CJ96" s="322">
        <v>76048.969999999987</v>
      </c>
      <c r="CK96" s="322">
        <v>65209.23</v>
      </c>
      <c r="CL96" s="322">
        <v>111381.40000000001</v>
      </c>
      <c r="CM96" s="322">
        <v>89007.38</v>
      </c>
      <c r="CN96" s="322">
        <v>94159.5</v>
      </c>
      <c r="CO96" s="322"/>
      <c r="CP96" s="322"/>
      <c r="CQ96" s="322"/>
      <c r="CR96" s="334"/>
      <c r="CS96" s="322" t="s">
        <v>78</v>
      </c>
      <c r="CT96" s="322">
        <v>78455.08</v>
      </c>
      <c r="CU96" s="322">
        <v>82788.12</v>
      </c>
      <c r="CV96" s="322">
        <v>81393.240000000005</v>
      </c>
      <c r="CW96" s="322">
        <v>90662.44</v>
      </c>
      <c r="CX96" s="322">
        <v>103084.56</v>
      </c>
      <c r="CY96" s="322">
        <v>103094.68</v>
      </c>
      <c r="CZ96" s="322">
        <v>142622.88</v>
      </c>
      <c r="DA96" s="322">
        <v>161587.5</v>
      </c>
      <c r="DB96" s="322">
        <v>169207.78999999998</v>
      </c>
      <c r="DC96" s="322">
        <v>226294.59</v>
      </c>
      <c r="DD96" s="322">
        <v>203340.87000000002</v>
      </c>
      <c r="DE96" s="322">
        <v>211469.95</v>
      </c>
      <c r="DF96" s="322">
        <v>212537.54</v>
      </c>
      <c r="DG96" s="322">
        <v>215942.35000000003</v>
      </c>
      <c r="DH96" s="322">
        <v>277823.32</v>
      </c>
      <c r="DI96" s="322">
        <v>257622.05000000002</v>
      </c>
      <c r="DJ96" s="322">
        <v>253039.31</v>
      </c>
      <c r="DK96" s="322">
        <v>267317.81</v>
      </c>
      <c r="DL96" s="322">
        <v>265234.40999999997</v>
      </c>
      <c r="DM96" s="322"/>
      <c r="DN96" s="322"/>
      <c r="DO96" s="322"/>
      <c r="DP96" s="334"/>
      <c r="DQ96" s="322" t="s">
        <v>78</v>
      </c>
      <c r="DR96" s="322">
        <v>274592.78000000003</v>
      </c>
      <c r="DS96" s="322">
        <v>289758.42</v>
      </c>
      <c r="DT96" s="322">
        <v>325572.96000000002</v>
      </c>
      <c r="DU96" s="322">
        <v>249321.71</v>
      </c>
      <c r="DV96" s="322">
        <v>231940.26</v>
      </c>
      <c r="DW96" s="322">
        <v>257736.7</v>
      </c>
      <c r="DX96" s="322">
        <v>237704.8</v>
      </c>
      <c r="DY96" s="322">
        <v>242381.25</v>
      </c>
      <c r="DZ96" s="322">
        <v>271073.93</v>
      </c>
      <c r="EA96" s="322">
        <v>336601.46000000008</v>
      </c>
      <c r="EB96" s="322">
        <v>360423.82</v>
      </c>
      <c r="EC96" s="322">
        <v>388850.23000000004</v>
      </c>
      <c r="ED96" s="322">
        <v>460430.26999999996</v>
      </c>
      <c r="EE96" s="322">
        <v>491071.83999999991</v>
      </c>
      <c r="EF96" s="322">
        <v>520893.18999999994</v>
      </c>
      <c r="EG96" s="322">
        <v>583523.41999999981</v>
      </c>
      <c r="EH96" s="322">
        <v>629721.29</v>
      </c>
      <c r="EI96" s="322">
        <v>656884.44999999995</v>
      </c>
      <c r="EJ96" s="322">
        <v>666536.53999999992</v>
      </c>
      <c r="EK96" s="322"/>
      <c r="EL96" s="322"/>
      <c r="EM96" s="322"/>
      <c r="EN96" s="334"/>
      <c r="EO96" s="322" t="s">
        <v>78</v>
      </c>
      <c r="EP96" s="322">
        <v>98068.85</v>
      </c>
      <c r="EQ96" s="322">
        <v>103485.15</v>
      </c>
      <c r="ER96" s="322">
        <v>108524.32</v>
      </c>
      <c r="ES96" s="322">
        <v>113328.05</v>
      </c>
      <c r="ET96" s="322">
        <v>103084.56</v>
      </c>
      <c r="EU96" s="322">
        <v>103094.68</v>
      </c>
      <c r="EV96" s="322">
        <v>118852.4</v>
      </c>
      <c r="EW96" s="322">
        <v>107725</v>
      </c>
      <c r="EX96" s="322">
        <v>123032.45</v>
      </c>
      <c r="EY96" s="322">
        <v>127426.72</v>
      </c>
      <c r="EZ96" s="322">
        <v>127937.69</v>
      </c>
      <c r="FA96" s="322">
        <v>170944.49000000002</v>
      </c>
      <c r="FB96" s="322">
        <v>184115.71000000002</v>
      </c>
      <c r="FC96" s="322">
        <v>197110.95</v>
      </c>
      <c r="FD96" s="322">
        <v>196193.9</v>
      </c>
      <c r="FE96" s="322">
        <v>181770.14</v>
      </c>
      <c r="FF96" s="322">
        <v>196163.98</v>
      </c>
      <c r="FG96" s="322">
        <v>188202.18999999997</v>
      </c>
      <c r="FH96" s="322">
        <v>204073.18000000002</v>
      </c>
      <c r="FI96" s="322"/>
      <c r="FJ96" s="322"/>
      <c r="FK96" s="322"/>
      <c r="FL96" s="334"/>
      <c r="FM96" s="322" t="s">
        <v>78</v>
      </c>
      <c r="FN96" s="322">
        <v>0</v>
      </c>
      <c r="FO96" s="322">
        <v>0</v>
      </c>
      <c r="FP96" s="322">
        <v>0</v>
      </c>
      <c r="FQ96" s="322">
        <v>0</v>
      </c>
      <c r="FR96" s="322">
        <v>0</v>
      </c>
      <c r="FS96" s="322">
        <v>0</v>
      </c>
      <c r="FT96" s="322">
        <v>0</v>
      </c>
      <c r="FU96" s="322">
        <v>0</v>
      </c>
      <c r="FV96" s="322">
        <v>0</v>
      </c>
      <c r="FW96" s="322">
        <v>0</v>
      </c>
      <c r="FX96" s="322">
        <v>0</v>
      </c>
      <c r="FY96" s="322">
        <v>0</v>
      </c>
      <c r="FZ96" s="322">
        <v>0</v>
      </c>
      <c r="GA96" s="322">
        <v>0</v>
      </c>
      <c r="GB96" s="322">
        <v>0</v>
      </c>
      <c r="GC96" s="322">
        <v>0</v>
      </c>
      <c r="GD96" s="322">
        <v>0</v>
      </c>
      <c r="GE96" s="322">
        <v>0</v>
      </c>
      <c r="GF96" s="340">
        <v>0</v>
      </c>
      <c r="GG96" s="704"/>
      <c r="GH96" s="704"/>
      <c r="GI96" s="704"/>
      <c r="GJ96" s="334"/>
      <c r="GK96" s="322" t="s">
        <v>78</v>
      </c>
      <c r="GL96" s="322">
        <v>78455.08</v>
      </c>
      <c r="GM96" s="322">
        <v>82788.12</v>
      </c>
      <c r="GN96" s="322">
        <v>81393.240000000005</v>
      </c>
      <c r="GO96" s="322">
        <v>113328.05</v>
      </c>
      <c r="GP96" s="322">
        <v>103084.56</v>
      </c>
      <c r="GQ96" s="322">
        <v>103094.68</v>
      </c>
      <c r="GR96" s="322">
        <v>118852.4</v>
      </c>
      <c r="GS96" s="322">
        <v>107725</v>
      </c>
      <c r="GT96" s="322">
        <v>115038.15999999999</v>
      </c>
      <c r="GU96" s="322">
        <v>113826.95</v>
      </c>
      <c r="GV96" s="322">
        <v>114264.46</v>
      </c>
      <c r="GW96" s="322">
        <v>119154.51000000001</v>
      </c>
      <c r="GX96" s="322">
        <v>120182.62999999999</v>
      </c>
      <c r="GY96" s="322">
        <v>126984.59999999999</v>
      </c>
      <c r="GZ96" s="322">
        <v>122368.54</v>
      </c>
      <c r="HA96" s="322">
        <v>127868.40000000001</v>
      </c>
      <c r="HB96" s="322">
        <v>140753.41</v>
      </c>
      <c r="HC96" s="322">
        <v>131409.96</v>
      </c>
      <c r="HD96" s="322">
        <v>137596.82</v>
      </c>
      <c r="HE96" s="322"/>
      <c r="HF96" s="322"/>
      <c r="HG96" s="322"/>
      <c r="HH96" s="334"/>
      <c r="HI96" s="322" t="s">
        <v>78</v>
      </c>
      <c r="HJ96" s="322">
        <v>39227.54</v>
      </c>
      <c r="HK96" s="322">
        <v>20697.03</v>
      </c>
      <c r="HL96" s="322">
        <v>27131.08</v>
      </c>
      <c r="HM96" s="322">
        <v>22665.61</v>
      </c>
      <c r="HN96" s="322">
        <v>25771.14</v>
      </c>
      <c r="HO96" s="322">
        <v>25773.67</v>
      </c>
      <c r="HP96" s="322">
        <v>23770.48</v>
      </c>
      <c r="HQ96" s="322">
        <v>26931.25</v>
      </c>
      <c r="HR96" s="322">
        <v>21216.83</v>
      </c>
      <c r="HS96" s="322">
        <v>22456.690000000002</v>
      </c>
      <c r="HT96" s="322">
        <v>16742.400000000001</v>
      </c>
      <c r="HU96" s="322">
        <v>21366.510000000002</v>
      </c>
      <c r="HV96" s="322">
        <v>63382</v>
      </c>
      <c r="HW96" s="322">
        <v>55501.759999999995</v>
      </c>
      <c r="HX96" s="322">
        <v>63685.320000000007</v>
      </c>
      <c r="HY96" s="322">
        <v>60725.479999999996</v>
      </c>
      <c r="HZ96" s="322">
        <v>66325.989999999991</v>
      </c>
      <c r="IA96" s="322">
        <v>66329.98</v>
      </c>
      <c r="IB96" s="322">
        <v>51523.170000000006</v>
      </c>
      <c r="IC96" s="322"/>
      <c r="ID96" s="322"/>
      <c r="IE96" s="322"/>
      <c r="IF96" s="334"/>
      <c r="IG96" s="322" t="s">
        <v>78</v>
      </c>
      <c r="IH96" s="322">
        <v>39227.54</v>
      </c>
      <c r="II96" s="322">
        <v>41394.06</v>
      </c>
      <c r="IJ96" s="322">
        <v>27131.08</v>
      </c>
      <c r="IK96" s="322">
        <v>45331.22</v>
      </c>
      <c r="IL96" s="322">
        <v>25771.14</v>
      </c>
      <c r="IM96" s="322">
        <v>51547.34</v>
      </c>
      <c r="IN96" s="322">
        <v>47540.959999999999</v>
      </c>
      <c r="IO96" s="322">
        <v>26931.25</v>
      </c>
      <c r="IP96" s="322">
        <v>13774.93</v>
      </c>
      <c r="IQ96" s="322">
        <v>31989.780000000002</v>
      </c>
      <c r="IR96" s="322">
        <v>32764.92</v>
      </c>
      <c r="IS96" s="322">
        <v>49158.86</v>
      </c>
      <c r="IT96" s="322">
        <v>0</v>
      </c>
      <c r="IU96" s="322">
        <v>0</v>
      </c>
      <c r="IV96" s="322"/>
      <c r="IW96" s="322"/>
      <c r="IX96" s="322"/>
      <c r="IY96" s="322"/>
      <c r="IZ96" s="322"/>
      <c r="JA96" s="322"/>
      <c r="JB96" s="322"/>
      <c r="JC96" s="322"/>
      <c r="JD96" s="334"/>
      <c r="JE96" s="322" t="s">
        <v>78</v>
      </c>
      <c r="JF96" s="322">
        <v>19613.77</v>
      </c>
      <c r="JG96" s="322">
        <v>0</v>
      </c>
      <c r="JH96" s="322">
        <v>0</v>
      </c>
      <c r="JI96" s="322">
        <v>0</v>
      </c>
      <c r="JJ96" s="322">
        <v>0</v>
      </c>
      <c r="JK96" s="322">
        <v>0</v>
      </c>
      <c r="JL96" s="322">
        <v>0</v>
      </c>
      <c r="JM96" s="322">
        <v>0</v>
      </c>
      <c r="JN96" s="322">
        <v>5044.95</v>
      </c>
      <c r="JO96" s="322">
        <v>19030.809999999998</v>
      </c>
      <c r="JP96" s="322">
        <v>6862.3099999999995</v>
      </c>
      <c r="JQ96" s="322">
        <v>7585.9800000000005</v>
      </c>
      <c r="JR96" s="322">
        <v>4959.34</v>
      </c>
      <c r="JS96" s="322">
        <v>13430.569999999998</v>
      </c>
      <c r="JT96" s="322">
        <v>15396.019999999999</v>
      </c>
      <c r="JU96" s="322">
        <v>12251.17</v>
      </c>
      <c r="JV96" s="322">
        <v>8242.98</v>
      </c>
      <c r="JW96" s="322">
        <v>9818.9700000000012</v>
      </c>
      <c r="JX96" s="322">
        <v>14052.42</v>
      </c>
      <c r="JY96" s="322"/>
      <c r="JZ96" s="322"/>
      <c r="KA96" s="322"/>
      <c r="KB96" s="334"/>
      <c r="KC96" s="322" t="s">
        <v>78</v>
      </c>
      <c r="KD96" s="322">
        <v>0</v>
      </c>
      <c r="KE96" s="322">
        <v>20697.03</v>
      </c>
      <c r="KF96" s="322">
        <v>27131.08</v>
      </c>
      <c r="KG96" s="322">
        <v>22665.61</v>
      </c>
      <c r="KH96" s="322">
        <v>0</v>
      </c>
      <c r="KI96" s="322">
        <v>25773.67</v>
      </c>
      <c r="KJ96" s="322">
        <v>23770.48</v>
      </c>
      <c r="KK96" s="322">
        <v>26931.25</v>
      </c>
      <c r="KL96" s="322">
        <v>39247.040000000001</v>
      </c>
      <c r="KM96" s="322">
        <v>59218.879999999997</v>
      </c>
      <c r="KN96" s="322">
        <v>67196.63</v>
      </c>
      <c r="KO96" s="322">
        <v>70427.790000000008</v>
      </c>
      <c r="KP96" s="322">
        <v>72437.430000000008</v>
      </c>
      <c r="KQ96" s="322">
        <v>80629.040000000008</v>
      </c>
      <c r="KR96" s="322">
        <v>91599.209999999992</v>
      </c>
      <c r="KS96" s="322">
        <v>86253.69</v>
      </c>
      <c r="KT96" s="322">
        <v>94821.239999999991</v>
      </c>
      <c r="KU96" s="322">
        <v>103079.11</v>
      </c>
      <c r="KV96" s="322">
        <v>114880.82</v>
      </c>
      <c r="KW96" s="322"/>
      <c r="KX96" s="322"/>
      <c r="KY96" s="322"/>
      <c r="KZ96" s="334"/>
      <c r="LA96" s="322" t="s">
        <v>78</v>
      </c>
      <c r="LB96" s="322">
        <v>176523.93</v>
      </c>
      <c r="LC96" s="322">
        <v>227667.33</v>
      </c>
      <c r="LD96" s="322">
        <v>162786.48000000001</v>
      </c>
      <c r="LE96" s="322">
        <v>203990.49</v>
      </c>
      <c r="LF96" s="322">
        <v>128855.7</v>
      </c>
      <c r="LG96" s="322">
        <v>128868.35</v>
      </c>
      <c r="LH96" s="322">
        <v>118852.4</v>
      </c>
      <c r="LI96" s="322">
        <v>188518.75</v>
      </c>
      <c r="LJ96" s="322">
        <v>165145.81</v>
      </c>
      <c r="LK96" s="322">
        <v>231386.6</v>
      </c>
      <c r="LL96" s="322">
        <v>249149.27999999997</v>
      </c>
      <c r="LM96" s="322">
        <v>420409.27</v>
      </c>
      <c r="LN96" s="322">
        <v>431452.67</v>
      </c>
      <c r="LO96" s="322">
        <v>458695.19999999995</v>
      </c>
      <c r="LP96" s="322">
        <v>427359.54</v>
      </c>
      <c r="LQ96" s="322">
        <v>765238.89</v>
      </c>
      <c r="LR96" s="322">
        <v>485328.22000000003</v>
      </c>
      <c r="LS96" s="322">
        <v>482947.74</v>
      </c>
      <c r="LT96" s="322">
        <v>1115519.8900000001</v>
      </c>
      <c r="LU96" s="322"/>
      <c r="LV96" s="322"/>
      <c r="LW96" s="322"/>
      <c r="LX96" s="334"/>
      <c r="LY96" s="322" t="s">
        <v>78</v>
      </c>
      <c r="LZ96" s="322">
        <v>509958.02</v>
      </c>
      <c r="MA96" s="322">
        <v>558819.81000000006</v>
      </c>
      <c r="MB96" s="322">
        <v>624014.84</v>
      </c>
      <c r="MC96" s="322">
        <v>611971.47</v>
      </c>
      <c r="MD96" s="322">
        <v>644278.5</v>
      </c>
      <c r="ME96" s="322">
        <v>644341.75</v>
      </c>
      <c r="MF96" s="322">
        <v>641802.96</v>
      </c>
      <c r="MG96" s="322">
        <v>700212.5</v>
      </c>
      <c r="MH96" s="322">
        <v>788693.5</v>
      </c>
      <c r="MI96" s="322">
        <v>756373.46</v>
      </c>
      <c r="MJ96" s="322">
        <v>763906.42999999993</v>
      </c>
      <c r="MK96" s="322">
        <v>570527.37999999989</v>
      </c>
      <c r="ML96" s="322">
        <v>689091.03</v>
      </c>
      <c r="MM96" s="322">
        <v>695349.65</v>
      </c>
      <c r="MN96" s="322">
        <v>618727.34000000008</v>
      </c>
      <c r="MO96" s="322">
        <v>707857.8</v>
      </c>
      <c r="MP96" s="322">
        <v>738237.05</v>
      </c>
      <c r="MQ96" s="322">
        <v>754101.8</v>
      </c>
      <c r="MR96" s="322">
        <v>851204.59000000008</v>
      </c>
      <c r="MS96" s="322"/>
      <c r="MT96" s="322"/>
      <c r="MU96" s="322"/>
      <c r="MV96" s="334"/>
      <c r="MW96" s="322" t="s">
        <v>78</v>
      </c>
      <c r="MX96" s="322">
        <v>0</v>
      </c>
      <c r="MY96" s="322">
        <v>0</v>
      </c>
      <c r="MZ96" s="322">
        <v>0</v>
      </c>
      <c r="NA96" s="322">
        <v>0</v>
      </c>
      <c r="NB96" s="322">
        <v>0</v>
      </c>
      <c r="NC96" s="322">
        <v>0</v>
      </c>
      <c r="ND96" s="322">
        <v>0</v>
      </c>
      <c r="NE96" s="322">
        <v>0</v>
      </c>
      <c r="NF96" s="322">
        <v>0</v>
      </c>
      <c r="NG96" s="322">
        <v>0</v>
      </c>
      <c r="NH96" s="322">
        <v>0</v>
      </c>
      <c r="NI96" s="322">
        <v>226678.24</v>
      </c>
      <c r="NJ96" s="322">
        <v>238447.8</v>
      </c>
      <c r="NK96" s="322">
        <v>230297.75</v>
      </c>
      <c r="NL96" s="322">
        <v>260122.82000000004</v>
      </c>
      <c r="NM96" s="322">
        <v>263458.21000000002</v>
      </c>
      <c r="NN96" s="322">
        <v>260913.72</v>
      </c>
      <c r="NO96" s="322">
        <v>281236.89</v>
      </c>
      <c r="NP96" s="322">
        <v>293245.51</v>
      </c>
      <c r="NQ96" s="322"/>
      <c r="NR96" s="322"/>
      <c r="NS96" s="322"/>
      <c r="NT96" s="334"/>
      <c r="NU96" s="322" t="s">
        <v>78</v>
      </c>
      <c r="NV96" s="322">
        <v>117682.62</v>
      </c>
      <c r="NW96" s="322">
        <v>124182.18</v>
      </c>
      <c r="NX96" s="322">
        <v>108524.32</v>
      </c>
      <c r="NY96" s="322">
        <v>135993.66</v>
      </c>
      <c r="NZ96" s="322">
        <v>128855.7</v>
      </c>
      <c r="OA96" s="322">
        <v>128868.35</v>
      </c>
      <c r="OB96" s="322">
        <v>142622.88</v>
      </c>
      <c r="OC96" s="322">
        <v>134656.25</v>
      </c>
      <c r="OD96" s="322">
        <v>136049.08999999997</v>
      </c>
      <c r="OE96" s="322">
        <v>154981.72999999998</v>
      </c>
      <c r="OF96" s="322">
        <v>148840.30000000002</v>
      </c>
      <c r="OG96" s="322">
        <v>165410.78</v>
      </c>
      <c r="OH96" s="322">
        <v>168262.59</v>
      </c>
      <c r="OI96" s="322">
        <v>225933.05000000005</v>
      </c>
      <c r="OJ96" s="322">
        <v>186341.9</v>
      </c>
      <c r="OK96" s="322">
        <v>175951.84000000005</v>
      </c>
      <c r="OL96" s="322">
        <v>176015.82</v>
      </c>
      <c r="OM96" s="322">
        <v>182828.37</v>
      </c>
      <c r="ON96" s="322">
        <v>206894.69999999998</v>
      </c>
      <c r="OO96" s="322"/>
      <c r="OP96" s="322"/>
      <c r="OQ96" s="322"/>
      <c r="OR96" s="334"/>
      <c r="OS96" s="322" t="s">
        <v>78</v>
      </c>
      <c r="OT96" s="322">
        <v>254979.01</v>
      </c>
      <c r="OU96" s="322">
        <v>269061.39</v>
      </c>
      <c r="OV96" s="322">
        <v>298441.88</v>
      </c>
      <c r="OW96" s="322">
        <v>362649.76</v>
      </c>
      <c r="OX96" s="322">
        <v>721591.92</v>
      </c>
      <c r="OY96" s="322">
        <v>231963.03</v>
      </c>
      <c r="OZ96" s="322">
        <v>237704.8</v>
      </c>
      <c r="PA96" s="322">
        <v>377037.5</v>
      </c>
      <c r="PB96" s="322">
        <v>395644.07000000007</v>
      </c>
      <c r="PC96" s="322">
        <v>406281.38000000006</v>
      </c>
      <c r="PD96" s="322">
        <v>394684.91</v>
      </c>
      <c r="PE96" s="322">
        <v>154652.24</v>
      </c>
      <c r="PF96" s="322">
        <v>165484.91999999998</v>
      </c>
      <c r="PG96" s="322">
        <v>158525.64000000001</v>
      </c>
      <c r="PH96" s="322">
        <v>159723.45000000001</v>
      </c>
      <c r="PI96" s="322">
        <v>159794.22</v>
      </c>
      <c r="PJ96" s="322">
        <v>171077.25</v>
      </c>
      <c r="PK96" s="322">
        <v>192540.98</v>
      </c>
      <c r="PL96" s="322">
        <v>206969.25</v>
      </c>
      <c r="PM96" s="322"/>
      <c r="PN96" s="322"/>
      <c r="PO96" s="322"/>
      <c r="PP96" s="334"/>
      <c r="PQ96" s="322" t="s">
        <v>78</v>
      </c>
      <c r="PR96" s="322">
        <v>19613.77</v>
      </c>
      <c r="PS96" s="322">
        <v>20697.03</v>
      </c>
      <c r="PT96" s="322">
        <v>0</v>
      </c>
      <c r="PU96" s="322">
        <v>22665.61</v>
      </c>
      <c r="PV96" s="322">
        <v>25771.14</v>
      </c>
      <c r="PW96" s="322">
        <v>25773.67</v>
      </c>
      <c r="PX96" s="322">
        <v>23770.48</v>
      </c>
      <c r="PY96" s="322">
        <v>26931.25</v>
      </c>
      <c r="PZ96" s="322">
        <v>23690.98</v>
      </c>
      <c r="QA96" s="322">
        <v>24302.05</v>
      </c>
      <c r="QB96" s="322">
        <v>34824.07</v>
      </c>
      <c r="QC96" s="322">
        <v>33497.9</v>
      </c>
      <c r="QD96" s="322">
        <v>22455.5</v>
      </c>
      <c r="QE96" s="322">
        <v>21905</v>
      </c>
      <c r="QF96" s="322">
        <v>28090.5</v>
      </c>
      <c r="QG96" s="322">
        <v>34801.07</v>
      </c>
      <c r="QH96" s="322">
        <v>48036.92</v>
      </c>
      <c r="QI96" s="322">
        <v>36714.160000000003</v>
      </c>
      <c r="QJ96" s="322">
        <v>36253.000000000007</v>
      </c>
      <c r="QK96" s="322"/>
      <c r="QL96" s="322"/>
      <c r="QM96" s="322"/>
      <c r="QN96" s="334"/>
      <c r="QO96" s="322" t="s">
        <v>78</v>
      </c>
      <c r="QP96" s="322">
        <v>0</v>
      </c>
      <c r="QQ96" s="322">
        <v>0</v>
      </c>
      <c r="QR96" s="322">
        <v>0</v>
      </c>
      <c r="QS96" s="322">
        <v>0</v>
      </c>
      <c r="QT96" s="322">
        <v>0</v>
      </c>
      <c r="QU96" s="322">
        <v>0</v>
      </c>
      <c r="QV96" s="322">
        <v>0</v>
      </c>
      <c r="QW96" s="322">
        <v>0</v>
      </c>
      <c r="QX96" s="322">
        <v>6500</v>
      </c>
      <c r="QY96" s="322">
        <v>6000</v>
      </c>
      <c r="QZ96" s="322">
        <v>6000</v>
      </c>
      <c r="RA96" s="322">
        <v>6000</v>
      </c>
      <c r="RB96" s="322">
        <v>7000</v>
      </c>
      <c r="RC96" s="322">
        <v>7000</v>
      </c>
      <c r="RD96" s="322">
        <v>7250</v>
      </c>
      <c r="RE96" s="322">
        <v>7000</v>
      </c>
      <c r="RF96" s="322">
        <v>7500</v>
      </c>
      <c r="RG96" s="322">
        <v>7000</v>
      </c>
      <c r="RH96" s="322">
        <v>7000</v>
      </c>
      <c r="RI96" s="322"/>
      <c r="RJ96" s="322"/>
      <c r="RK96" s="322"/>
      <c r="RL96" s="334"/>
      <c r="RM96" s="322" t="s">
        <v>78</v>
      </c>
      <c r="RN96" s="322">
        <v>0</v>
      </c>
      <c r="RO96" s="322">
        <v>0</v>
      </c>
      <c r="RP96" s="322">
        <v>596883.76</v>
      </c>
      <c r="RQ96" s="322">
        <v>0</v>
      </c>
      <c r="RR96" s="322">
        <v>0</v>
      </c>
      <c r="RS96" s="322">
        <v>489699.73</v>
      </c>
      <c r="RT96" s="322">
        <v>190163.84</v>
      </c>
      <c r="RU96" s="322">
        <v>269312.5</v>
      </c>
      <c r="RV96" s="322">
        <v>265498</v>
      </c>
      <c r="RW96" s="322">
        <v>264745</v>
      </c>
      <c r="RX96" s="322">
        <v>308303</v>
      </c>
      <c r="RY96" s="322">
        <v>371934.18</v>
      </c>
      <c r="RZ96" s="322">
        <v>344972.68</v>
      </c>
      <c r="SA96" s="322">
        <v>2835891.92</v>
      </c>
      <c r="SB96" s="322">
        <v>30219.95</v>
      </c>
      <c r="SC96" s="322">
        <v>1528617.17</v>
      </c>
      <c r="SD96" s="322">
        <v>60935.59</v>
      </c>
      <c r="SE96" s="322">
        <v>40392.36</v>
      </c>
      <c r="SF96" s="322">
        <v>41454.949999999997</v>
      </c>
      <c r="SG96" s="322"/>
      <c r="SH96" s="322"/>
      <c r="SI96" s="322"/>
    </row>
    <row r="97" spans="1:503">
      <c r="A97" s="319" t="s">
        <v>79</v>
      </c>
      <c r="B97" s="319">
        <v>1777361</v>
      </c>
      <c r="C97" s="319">
        <v>1508602</v>
      </c>
      <c r="D97" s="319">
        <v>2041337</v>
      </c>
      <c r="E97" s="319">
        <v>3594094</v>
      </c>
      <c r="F97" s="319">
        <v>3985052</v>
      </c>
      <c r="G97" s="319">
        <v>4405940</v>
      </c>
      <c r="H97" s="319">
        <v>5404509</v>
      </c>
      <c r="I97" s="319">
        <v>6232739</v>
      </c>
      <c r="J97" s="319">
        <v>5938344.7999999989</v>
      </c>
      <c r="K97" s="319">
        <v>6631694.4800000004</v>
      </c>
      <c r="L97" s="319">
        <v>6920449.5599999996</v>
      </c>
      <c r="M97" s="319">
        <v>6793170.5000000009</v>
      </c>
      <c r="N97" s="319">
        <v>7549324.9399999995</v>
      </c>
      <c r="O97" s="319">
        <v>6002420.6400000006</v>
      </c>
      <c r="P97" s="319">
        <v>5853892.5700000003</v>
      </c>
      <c r="Q97" s="319">
        <v>6584374.0599999996</v>
      </c>
      <c r="R97" s="319">
        <v>6230012.0499999998</v>
      </c>
      <c r="S97" s="322">
        <v>6772276.9000000004</v>
      </c>
      <c r="T97" s="319">
        <v>7020554.6499999985</v>
      </c>
      <c r="U97" s="319">
        <v>7081165.3099999996</v>
      </c>
      <c r="V97" s="319">
        <v>7298793.0800000001</v>
      </c>
      <c r="W97" s="319">
        <v>8000801</v>
      </c>
      <c r="X97" s="330"/>
      <c r="Y97" s="319" t="s">
        <v>79</v>
      </c>
      <c r="Z97" s="319">
        <v>71094.44</v>
      </c>
      <c r="AA97" s="319">
        <v>75430.100000000006</v>
      </c>
      <c r="AB97" s="319">
        <v>81653.48</v>
      </c>
      <c r="AC97" s="319">
        <v>107822.82</v>
      </c>
      <c r="AD97" s="319">
        <v>119551.56</v>
      </c>
      <c r="AE97" s="319">
        <v>88118.8</v>
      </c>
      <c r="AF97" s="319">
        <v>88118.8</v>
      </c>
      <c r="AG97" s="319">
        <v>124654.78</v>
      </c>
      <c r="AH97" s="319">
        <v>125682.97</v>
      </c>
      <c r="AI97" s="319">
        <v>109463.54999999999</v>
      </c>
      <c r="AJ97" s="319">
        <v>122584.21</v>
      </c>
      <c r="AK97" s="319">
        <v>142660.35</v>
      </c>
      <c r="AL97" s="319">
        <v>148156.69999999998</v>
      </c>
      <c r="AM97" s="319">
        <v>175388.78999999998</v>
      </c>
      <c r="AN97" s="319">
        <v>170140.51</v>
      </c>
      <c r="AO97" s="319">
        <v>163465.47</v>
      </c>
      <c r="AP97" s="319">
        <v>176272.62</v>
      </c>
      <c r="AQ97" s="322">
        <v>212589.64</v>
      </c>
      <c r="AR97" s="319">
        <v>211146.07</v>
      </c>
      <c r="AS97" s="319">
        <v>211505.67</v>
      </c>
      <c r="AT97" s="319">
        <v>214043.33000000002</v>
      </c>
      <c r="AU97" s="319">
        <v>219448</v>
      </c>
      <c r="AV97" s="334"/>
      <c r="AW97" s="319" t="s">
        <v>79</v>
      </c>
      <c r="AX97" s="319">
        <v>71094.44</v>
      </c>
      <c r="AY97" s="319">
        <v>75430.100000000006</v>
      </c>
      <c r="AZ97" s="319">
        <v>81653.48</v>
      </c>
      <c r="BA97" s="319">
        <v>71881.88</v>
      </c>
      <c r="BB97" s="319">
        <v>79701.040000000008</v>
      </c>
      <c r="BC97" s="319">
        <v>132178.19999999998</v>
      </c>
      <c r="BD97" s="319">
        <v>108090.18000000001</v>
      </c>
      <c r="BE97" s="319">
        <v>124654.78</v>
      </c>
      <c r="BF97" s="319">
        <v>166435.13</v>
      </c>
      <c r="BG97" s="319">
        <v>162631</v>
      </c>
      <c r="BH97" s="319">
        <v>174281.67999999996</v>
      </c>
      <c r="BI97" s="319">
        <v>167906.79</v>
      </c>
      <c r="BJ97" s="319">
        <v>183716.82000000004</v>
      </c>
      <c r="BK97" s="319">
        <v>170156.19999999998</v>
      </c>
      <c r="BL97" s="319">
        <v>143193.31</v>
      </c>
      <c r="BM97" s="319">
        <v>149187.07999999999</v>
      </c>
      <c r="BN97" s="319">
        <v>146365.32999999999</v>
      </c>
      <c r="BO97" s="322">
        <v>149741.31000000003</v>
      </c>
      <c r="BP97" s="319">
        <v>151194.47999999998</v>
      </c>
      <c r="BQ97" s="319">
        <v>156923.67000000004</v>
      </c>
      <c r="BR97" s="319">
        <v>157569.24000000002</v>
      </c>
      <c r="BS97" s="319">
        <v>172063</v>
      </c>
      <c r="BT97" s="334"/>
      <c r="BU97" s="322" t="s">
        <v>79</v>
      </c>
      <c r="BV97" s="322">
        <v>142188.88</v>
      </c>
      <c r="BW97" s="322">
        <v>90516.12</v>
      </c>
      <c r="BX97" s="322">
        <v>122480.22</v>
      </c>
      <c r="BY97" s="322">
        <v>107822.82</v>
      </c>
      <c r="BZ97" s="322">
        <v>159402.07999999999</v>
      </c>
      <c r="CA97" s="322">
        <v>88118.8</v>
      </c>
      <c r="CB97" s="322">
        <v>162135.26999999999</v>
      </c>
      <c r="CC97" s="322">
        <v>124654.78</v>
      </c>
      <c r="CD97" s="322">
        <v>248364.75</v>
      </c>
      <c r="CE97" s="322">
        <v>141673.99</v>
      </c>
      <c r="CF97" s="322">
        <v>172679.04000000001</v>
      </c>
      <c r="CG97" s="322">
        <v>128141.71999999999</v>
      </c>
      <c r="CH97" s="322">
        <v>249887.72</v>
      </c>
      <c r="CI97" s="322">
        <v>124229.21</v>
      </c>
      <c r="CJ97" s="322">
        <v>239869.27</v>
      </c>
      <c r="CK97" s="322">
        <v>135016.76</v>
      </c>
      <c r="CL97" s="322">
        <v>246551.43999999997</v>
      </c>
      <c r="CM97" s="322">
        <v>138948.34</v>
      </c>
      <c r="CN97" s="322">
        <v>198745.47999999998</v>
      </c>
      <c r="CO97" s="322">
        <v>169244.71000000002</v>
      </c>
      <c r="CP97" s="322">
        <v>281395.89999999997</v>
      </c>
      <c r="CQ97" s="322">
        <v>192353</v>
      </c>
      <c r="CR97" s="334"/>
      <c r="CS97" s="322" t="s">
        <v>79</v>
      </c>
      <c r="CT97" s="322">
        <v>88868.05</v>
      </c>
      <c r="CU97" s="322">
        <v>75430.100000000006</v>
      </c>
      <c r="CV97" s="322">
        <v>81653.48</v>
      </c>
      <c r="CW97" s="322">
        <v>215645.64</v>
      </c>
      <c r="CX97" s="322">
        <v>239103.12</v>
      </c>
      <c r="CY97" s="322">
        <v>264356.40000000002</v>
      </c>
      <c r="CZ97" s="322">
        <v>216180.36</v>
      </c>
      <c r="DA97" s="322">
        <v>124654.78</v>
      </c>
      <c r="DB97" s="322">
        <v>163217.69</v>
      </c>
      <c r="DC97" s="322">
        <v>142257.94</v>
      </c>
      <c r="DD97" s="322">
        <v>154271.88</v>
      </c>
      <c r="DE97" s="322">
        <v>126027.77000000002</v>
      </c>
      <c r="DF97" s="322">
        <v>158028.05999999997</v>
      </c>
      <c r="DG97" s="322">
        <v>163290.45000000004</v>
      </c>
      <c r="DH97" s="322">
        <v>152169.98999999996</v>
      </c>
      <c r="DI97" s="322">
        <v>247305.21</v>
      </c>
      <c r="DJ97" s="322">
        <v>232170.49999999997</v>
      </c>
      <c r="DK97" s="322">
        <v>273459.67000000004</v>
      </c>
      <c r="DL97" s="322">
        <v>315362.7900000001</v>
      </c>
      <c r="DM97" s="322">
        <v>334125.96999999997</v>
      </c>
      <c r="DN97" s="322">
        <v>352461.43</v>
      </c>
      <c r="DO97" s="322">
        <v>324178</v>
      </c>
      <c r="DP97" s="334"/>
      <c r="DQ97" s="322" t="s">
        <v>79</v>
      </c>
      <c r="DR97" s="322">
        <v>71094.44</v>
      </c>
      <c r="DS97" s="322">
        <v>90516.12</v>
      </c>
      <c r="DT97" s="322">
        <v>102066.85</v>
      </c>
      <c r="DU97" s="322">
        <v>287527.52</v>
      </c>
      <c r="DV97" s="322">
        <v>318804.15999999997</v>
      </c>
      <c r="DW97" s="322">
        <v>396534.6</v>
      </c>
      <c r="DX97" s="322">
        <v>432360.72</v>
      </c>
      <c r="DY97" s="322">
        <v>498619.12</v>
      </c>
      <c r="DZ97" s="322">
        <v>572284.44999999995</v>
      </c>
      <c r="EA97" s="322">
        <v>619117.78</v>
      </c>
      <c r="EB97" s="322">
        <v>639195.23</v>
      </c>
      <c r="EC97" s="322">
        <v>741101.33</v>
      </c>
      <c r="ED97" s="322">
        <v>772889.40999999992</v>
      </c>
      <c r="EE97" s="322">
        <v>785935.2300000001</v>
      </c>
      <c r="EF97" s="322">
        <v>786911.73</v>
      </c>
      <c r="EG97" s="322">
        <v>807118.31000000017</v>
      </c>
      <c r="EH97" s="322">
        <v>776109.96</v>
      </c>
      <c r="EI97" s="322">
        <v>846965.3899999999</v>
      </c>
      <c r="EJ97" s="322">
        <v>841346.98</v>
      </c>
      <c r="EK97" s="322">
        <v>979171.9</v>
      </c>
      <c r="EL97" s="322">
        <v>906872.98</v>
      </c>
      <c r="EM97" s="322">
        <v>1043374</v>
      </c>
      <c r="EN97" s="334"/>
      <c r="EO97" s="322" t="s">
        <v>79</v>
      </c>
      <c r="EP97" s="322">
        <v>35547.22</v>
      </c>
      <c r="EQ97" s="322">
        <v>45258.06</v>
      </c>
      <c r="ER97" s="322">
        <v>40826.74</v>
      </c>
      <c r="ES97" s="322">
        <v>35940.94</v>
      </c>
      <c r="ET97" s="322">
        <v>39850.519999999997</v>
      </c>
      <c r="EU97" s="322">
        <v>44059.4</v>
      </c>
      <c r="EV97" s="322">
        <v>54045.09</v>
      </c>
      <c r="EW97" s="322">
        <v>62327.39</v>
      </c>
      <c r="EX97" s="322">
        <v>75913.919999999998</v>
      </c>
      <c r="EY97" s="322">
        <v>75986.319999999992</v>
      </c>
      <c r="EZ97" s="322">
        <v>79411.12</v>
      </c>
      <c r="FA97" s="322">
        <v>82897.540000000008</v>
      </c>
      <c r="FB97" s="322">
        <v>88634.12</v>
      </c>
      <c r="FC97" s="322">
        <v>87461.14</v>
      </c>
      <c r="FD97" s="322">
        <v>84979.59</v>
      </c>
      <c r="FE97" s="322">
        <v>88834.8</v>
      </c>
      <c r="FF97" s="322">
        <v>90370.760000000009</v>
      </c>
      <c r="FG97" s="322">
        <v>89638.71</v>
      </c>
      <c r="FH97" s="322">
        <v>92825.279999999999</v>
      </c>
      <c r="FI97" s="322">
        <v>91847.14999999998</v>
      </c>
      <c r="FJ97" s="322">
        <v>94867.8</v>
      </c>
      <c r="FK97" s="322">
        <v>96734</v>
      </c>
      <c r="FL97" s="334"/>
      <c r="FM97" s="322" t="s">
        <v>79</v>
      </c>
      <c r="FN97" s="322">
        <v>106641.66</v>
      </c>
      <c r="FO97" s="322">
        <v>120688.16</v>
      </c>
      <c r="FP97" s="322">
        <v>102066.85</v>
      </c>
      <c r="FQ97" s="322">
        <v>143763.76</v>
      </c>
      <c r="FR97" s="322">
        <v>159402.07999999999</v>
      </c>
      <c r="FS97" s="322">
        <v>176237.6</v>
      </c>
      <c r="FT97" s="322">
        <v>162135.26999999999</v>
      </c>
      <c r="FU97" s="322">
        <v>186982.17</v>
      </c>
      <c r="FV97" s="322">
        <v>210243.58000000002</v>
      </c>
      <c r="FW97" s="322">
        <v>224316.47</v>
      </c>
      <c r="FX97" s="322">
        <v>220098.98</v>
      </c>
      <c r="FY97" s="322">
        <v>238996.31</v>
      </c>
      <c r="FZ97" s="322">
        <v>243522.80000000002</v>
      </c>
      <c r="GA97" s="322">
        <v>237047.12999999998</v>
      </c>
      <c r="GB97" s="322">
        <v>238361.87</v>
      </c>
      <c r="GC97" s="322">
        <v>251444.4</v>
      </c>
      <c r="GD97" s="322">
        <v>258285.72</v>
      </c>
      <c r="GE97" s="322">
        <v>271278.37</v>
      </c>
      <c r="GF97" s="340">
        <v>277408.74</v>
      </c>
      <c r="GG97" s="704">
        <v>280500.13</v>
      </c>
      <c r="GH97" s="704">
        <v>287597.5</v>
      </c>
      <c r="GI97" s="704">
        <v>315954</v>
      </c>
      <c r="GJ97" s="334"/>
      <c r="GK97" s="322" t="s">
        <v>79</v>
      </c>
      <c r="GL97" s="322">
        <v>71094.44</v>
      </c>
      <c r="GM97" s="322">
        <v>90516.12</v>
      </c>
      <c r="GN97" s="322">
        <v>81653.48</v>
      </c>
      <c r="GO97" s="322">
        <v>71881.88</v>
      </c>
      <c r="GP97" s="322">
        <v>79701.039999999994</v>
      </c>
      <c r="GQ97" s="322">
        <v>88118.8</v>
      </c>
      <c r="GR97" s="322">
        <v>54045.09</v>
      </c>
      <c r="GS97" s="322">
        <v>124654.78</v>
      </c>
      <c r="GT97" s="322">
        <v>100970.78</v>
      </c>
      <c r="GU97" s="322">
        <v>104828.48999999999</v>
      </c>
      <c r="GV97" s="322">
        <v>108583.39</v>
      </c>
      <c r="GW97" s="322">
        <v>169831.40000000002</v>
      </c>
      <c r="GX97" s="322">
        <v>169173.93000000002</v>
      </c>
      <c r="GY97" s="322">
        <v>165619.15000000002</v>
      </c>
      <c r="GZ97" s="322">
        <v>160859.42000000001</v>
      </c>
      <c r="HA97" s="322">
        <v>166485.17000000001</v>
      </c>
      <c r="HB97" s="322">
        <v>165989.31999999998</v>
      </c>
      <c r="HC97" s="322">
        <v>164300.31000000003</v>
      </c>
      <c r="HD97" s="322">
        <v>167992.7</v>
      </c>
      <c r="HE97" s="322">
        <v>177144.25</v>
      </c>
      <c r="HF97" s="322">
        <v>167749.57</v>
      </c>
      <c r="HG97" s="322">
        <v>170273</v>
      </c>
      <c r="HH97" s="334"/>
      <c r="HI97" s="322" t="s">
        <v>79</v>
      </c>
      <c r="HJ97" s="322">
        <v>0</v>
      </c>
      <c r="HK97" s="322">
        <v>0</v>
      </c>
      <c r="HL97" s="322">
        <v>0</v>
      </c>
      <c r="HM97" s="322">
        <v>35940.94</v>
      </c>
      <c r="HN97" s="322">
        <v>0</v>
      </c>
      <c r="HO97" s="322">
        <v>0</v>
      </c>
      <c r="HP97" s="322">
        <v>0</v>
      </c>
      <c r="HQ97" s="322">
        <v>0</v>
      </c>
      <c r="HR97" s="322">
        <v>14144.43</v>
      </c>
      <c r="HS97" s="322">
        <v>47043.17</v>
      </c>
      <c r="HT97" s="322">
        <v>45590.63</v>
      </c>
      <c r="HU97" s="322">
        <v>62743.6</v>
      </c>
      <c r="HV97" s="322">
        <v>63564.09</v>
      </c>
      <c r="HW97" s="322">
        <v>52845.969999999994</v>
      </c>
      <c r="HX97" s="322">
        <v>48467.519999999997</v>
      </c>
      <c r="HY97" s="322">
        <v>47137.399999999994</v>
      </c>
      <c r="HZ97" s="322">
        <v>55924.4</v>
      </c>
      <c r="IA97" s="322">
        <v>74179.08</v>
      </c>
      <c r="IB97" s="322">
        <v>77515.960000000006</v>
      </c>
      <c r="IC97" s="322">
        <v>75969.03</v>
      </c>
      <c r="ID97" s="322">
        <v>75506.209999999992</v>
      </c>
      <c r="IE97" s="322">
        <v>84079</v>
      </c>
      <c r="IF97" s="334"/>
      <c r="IG97" s="322" t="s">
        <v>79</v>
      </c>
      <c r="IH97" s="322">
        <v>0</v>
      </c>
      <c r="II97" s="322">
        <v>0</v>
      </c>
      <c r="IJ97" s="322">
        <v>0</v>
      </c>
      <c r="IK97" s="322">
        <v>35940.94</v>
      </c>
      <c r="IL97" s="322">
        <v>39850.519999999997</v>
      </c>
      <c r="IM97" s="322">
        <v>44059.4</v>
      </c>
      <c r="IN97" s="322">
        <v>54045.09</v>
      </c>
      <c r="IO97" s="322">
        <v>62327.39</v>
      </c>
      <c r="IP97" s="322">
        <v>44442.499999999993</v>
      </c>
      <c r="IQ97" s="322">
        <v>0</v>
      </c>
      <c r="IR97" s="322">
        <v>0</v>
      </c>
      <c r="IS97" s="322">
        <v>0</v>
      </c>
      <c r="IT97" s="322">
        <v>0</v>
      </c>
      <c r="IU97" s="322">
        <v>0</v>
      </c>
      <c r="IV97" s="322"/>
      <c r="IW97" s="322"/>
      <c r="IX97" s="322"/>
      <c r="IY97" s="322"/>
      <c r="IZ97" s="322"/>
      <c r="JA97" s="322"/>
      <c r="JB97" s="322"/>
      <c r="JC97" s="322"/>
      <c r="JD97" s="334"/>
      <c r="JE97" s="322" t="s">
        <v>79</v>
      </c>
      <c r="JF97" s="322">
        <v>35547.22</v>
      </c>
      <c r="JG97" s="322">
        <v>75430.100000000006</v>
      </c>
      <c r="JH97" s="322">
        <v>163306.96</v>
      </c>
      <c r="JI97" s="322">
        <v>179704.7</v>
      </c>
      <c r="JJ97" s="322">
        <v>79701.039999999994</v>
      </c>
      <c r="JK97" s="322">
        <v>88118.8</v>
      </c>
      <c r="JL97" s="322">
        <v>54045.09</v>
      </c>
      <c r="JM97" s="322">
        <v>62327.39</v>
      </c>
      <c r="JN97" s="322">
        <v>102410.12999999999</v>
      </c>
      <c r="JO97" s="322">
        <v>99500.53</v>
      </c>
      <c r="JP97" s="322">
        <v>91140.33</v>
      </c>
      <c r="JQ97" s="322">
        <v>75749.039999999994</v>
      </c>
      <c r="JR97" s="322">
        <v>85259.12</v>
      </c>
      <c r="JS97" s="322">
        <v>83186.03</v>
      </c>
      <c r="JT97" s="322">
        <v>82255.509999999995</v>
      </c>
      <c r="JU97" s="322">
        <v>93061.819999999992</v>
      </c>
      <c r="JV97" s="322">
        <v>76166.509999999995</v>
      </c>
      <c r="JW97" s="322">
        <v>85217.06</v>
      </c>
      <c r="JX97" s="322">
        <v>86467.9</v>
      </c>
      <c r="JY97" s="322">
        <v>95264.26</v>
      </c>
      <c r="JZ97" s="322">
        <v>80316.11</v>
      </c>
      <c r="KA97" s="322">
        <v>119696</v>
      </c>
      <c r="KB97" s="334"/>
      <c r="KC97" s="322" t="s">
        <v>79</v>
      </c>
      <c r="KD97" s="322">
        <v>35547.22</v>
      </c>
      <c r="KE97" s="322">
        <v>30172.04</v>
      </c>
      <c r="KF97" s="322">
        <v>61240.11</v>
      </c>
      <c r="KG97" s="322">
        <v>35940.94</v>
      </c>
      <c r="KH97" s="322">
        <v>39850.519999999997</v>
      </c>
      <c r="KI97" s="322">
        <v>44059.4</v>
      </c>
      <c r="KJ97" s="322">
        <v>54045.09</v>
      </c>
      <c r="KK97" s="322">
        <v>62327.39</v>
      </c>
      <c r="KL97" s="322">
        <v>60988.49</v>
      </c>
      <c r="KM97" s="322">
        <v>61963.199999999997</v>
      </c>
      <c r="KN97" s="322">
        <v>56970.559999999998</v>
      </c>
      <c r="KO97" s="322">
        <v>54350.53</v>
      </c>
      <c r="KP97" s="322">
        <v>54656.399999999994</v>
      </c>
      <c r="KQ97" s="322">
        <v>60616.069999999992</v>
      </c>
      <c r="KR97" s="322">
        <v>60973.479999999996</v>
      </c>
      <c r="KS97" s="322">
        <v>64489.779999999992</v>
      </c>
      <c r="KT97" s="322">
        <v>62613.89</v>
      </c>
      <c r="KU97" s="322">
        <v>61231.13</v>
      </c>
      <c r="KV97" s="322">
        <v>62188.299999999996</v>
      </c>
      <c r="KW97" s="322">
        <v>62260.350000000006</v>
      </c>
      <c r="KX97" s="322">
        <v>65188.33</v>
      </c>
      <c r="KY97" s="322">
        <v>78250</v>
      </c>
      <c r="KZ97" s="334"/>
      <c r="LA97" s="322" t="s">
        <v>79</v>
      </c>
      <c r="LB97" s="322">
        <v>266604.15000000002</v>
      </c>
      <c r="LC97" s="322">
        <v>271548.36</v>
      </c>
      <c r="LD97" s="322">
        <v>653227.84</v>
      </c>
      <c r="LE97" s="322">
        <v>646936.92000000004</v>
      </c>
      <c r="LF97" s="322">
        <v>717309.36</v>
      </c>
      <c r="LG97" s="322">
        <v>616831.6</v>
      </c>
      <c r="LH97" s="322">
        <v>702586.17</v>
      </c>
      <c r="LI97" s="322">
        <v>997238.24</v>
      </c>
      <c r="LJ97" s="322">
        <v>881501.46</v>
      </c>
      <c r="LK97" s="322">
        <v>907154.97999999986</v>
      </c>
      <c r="LL97" s="322">
        <v>847915.20000000007</v>
      </c>
      <c r="LM97" s="322">
        <v>894139.49000000011</v>
      </c>
      <c r="LN97" s="322">
        <v>893507.97</v>
      </c>
      <c r="LO97" s="322">
        <v>764305.49999999988</v>
      </c>
      <c r="LP97" s="322">
        <v>725956.24</v>
      </c>
      <c r="LQ97" s="322">
        <v>713632.6</v>
      </c>
      <c r="LR97" s="322">
        <v>597529.65</v>
      </c>
      <c r="LS97" s="322">
        <v>708819.15000000014</v>
      </c>
      <c r="LT97" s="322">
        <v>780256.42</v>
      </c>
      <c r="LU97" s="322">
        <v>842373.97999999986</v>
      </c>
      <c r="LV97" s="322">
        <v>808104.59999999986</v>
      </c>
      <c r="LW97" s="322">
        <v>902450</v>
      </c>
      <c r="LX97" s="334"/>
      <c r="LY97" s="322" t="s">
        <v>79</v>
      </c>
      <c r="LZ97" s="322">
        <v>0</v>
      </c>
      <c r="MA97" s="322">
        <v>0</v>
      </c>
      <c r="MB97" s="322">
        <v>0</v>
      </c>
      <c r="MC97" s="322">
        <v>826641.62</v>
      </c>
      <c r="MD97" s="322">
        <v>916561.96</v>
      </c>
      <c r="ME97" s="322">
        <v>1013366.2</v>
      </c>
      <c r="MF97" s="322">
        <v>1134946.8899999999</v>
      </c>
      <c r="MG97" s="322">
        <v>1246547.8</v>
      </c>
      <c r="MH97" s="322">
        <v>1245039.1199999999</v>
      </c>
      <c r="MI97" s="322">
        <v>1235065.0999999999</v>
      </c>
      <c r="MJ97" s="322">
        <v>1295961.79</v>
      </c>
      <c r="MK97" s="322">
        <v>1409653.1000000003</v>
      </c>
      <c r="ML97" s="322">
        <v>1669015.89</v>
      </c>
      <c r="MM97" s="322">
        <v>1475574.2200000002</v>
      </c>
      <c r="MN97" s="322">
        <v>1388428.54</v>
      </c>
      <c r="MO97" s="322">
        <v>1496334.8899999997</v>
      </c>
      <c r="MP97" s="322">
        <v>1641593.5899999996</v>
      </c>
      <c r="MQ97" s="322">
        <v>1650734.3900000004</v>
      </c>
      <c r="MR97" s="322">
        <v>1659805.9199999997</v>
      </c>
      <c r="MS97" s="322">
        <v>1576283.1299999997</v>
      </c>
      <c r="MT97" s="322">
        <v>1586726.8599999999</v>
      </c>
      <c r="MU97" s="322">
        <v>1694530</v>
      </c>
      <c r="MV97" s="334"/>
      <c r="MW97" s="322" t="s">
        <v>79</v>
      </c>
      <c r="MX97" s="322">
        <v>0</v>
      </c>
      <c r="MY97" s="322">
        <v>0</v>
      </c>
      <c r="MZ97" s="322">
        <v>0</v>
      </c>
      <c r="NA97" s="322">
        <v>251586.58</v>
      </c>
      <c r="NB97" s="322">
        <v>358654.68</v>
      </c>
      <c r="NC97" s="322">
        <v>528712.80000000005</v>
      </c>
      <c r="ND97" s="322">
        <v>486405.81</v>
      </c>
      <c r="NE97" s="322">
        <v>560946.51</v>
      </c>
      <c r="NF97" s="322">
        <v>582922.51</v>
      </c>
      <c r="NG97" s="322">
        <v>614292.56999999995</v>
      </c>
      <c r="NH97" s="322">
        <v>609151.33999999985</v>
      </c>
      <c r="NI97" s="322">
        <v>634066.98999999987</v>
      </c>
      <c r="NJ97" s="322">
        <v>631106.12999999989</v>
      </c>
      <c r="NK97" s="322">
        <v>640344.52000000014</v>
      </c>
      <c r="NL97" s="322">
        <v>665523.24</v>
      </c>
      <c r="NM97" s="322">
        <v>694151.47000000009</v>
      </c>
      <c r="NN97" s="322">
        <v>676553.71000000008</v>
      </c>
      <c r="NO97" s="322">
        <v>695849.06</v>
      </c>
      <c r="NP97" s="322">
        <v>701024.41999999993</v>
      </c>
      <c r="NQ97" s="322">
        <v>721348.53</v>
      </c>
      <c r="NR97" s="322">
        <v>734664.18999999983</v>
      </c>
      <c r="NS97" s="322">
        <v>762057</v>
      </c>
      <c r="NT97" s="334"/>
      <c r="NU97" s="322" t="s">
        <v>79</v>
      </c>
      <c r="NV97" s="322">
        <v>0</v>
      </c>
      <c r="NW97" s="322">
        <v>0</v>
      </c>
      <c r="NX97" s="322">
        <v>0</v>
      </c>
      <c r="NY97" s="322">
        <v>251586.58</v>
      </c>
      <c r="NZ97" s="322">
        <v>278953.64</v>
      </c>
      <c r="OA97" s="322">
        <v>308415.8</v>
      </c>
      <c r="OB97" s="322">
        <v>324270.53999999998</v>
      </c>
      <c r="OC97" s="322">
        <v>373964.34</v>
      </c>
      <c r="OD97" s="322">
        <v>382280.39999999997</v>
      </c>
      <c r="OE97" s="322">
        <v>387036.52000000008</v>
      </c>
      <c r="OF97" s="322">
        <v>402364.61</v>
      </c>
      <c r="OG97" s="322">
        <v>418732.09</v>
      </c>
      <c r="OH97" s="322">
        <v>442600.39000000013</v>
      </c>
      <c r="OI97" s="322">
        <v>414538.22000000003</v>
      </c>
      <c r="OJ97" s="322">
        <v>431573.94000000012</v>
      </c>
      <c r="OK97" s="322">
        <v>444700.92000000004</v>
      </c>
      <c r="OL97" s="322">
        <v>453079.99000000005</v>
      </c>
      <c r="OM97" s="322">
        <v>455832.25</v>
      </c>
      <c r="ON97" s="322">
        <v>474041.20999999996</v>
      </c>
      <c r="OO97" s="322">
        <v>480796.22000000003</v>
      </c>
      <c r="OP97" s="322">
        <v>509371.54000000004</v>
      </c>
      <c r="OQ97" s="322">
        <v>551681</v>
      </c>
      <c r="OR97" s="334"/>
      <c r="OS97" s="322" t="s">
        <v>79</v>
      </c>
      <c r="OT97" s="322">
        <v>0</v>
      </c>
      <c r="OU97" s="322">
        <v>0</v>
      </c>
      <c r="OV97" s="322">
        <v>0</v>
      </c>
      <c r="OW97" s="322">
        <v>35940.94</v>
      </c>
      <c r="OX97" s="322">
        <v>39850.519999999997</v>
      </c>
      <c r="OY97" s="322">
        <v>44059.4</v>
      </c>
      <c r="OZ97" s="322">
        <v>54045.09</v>
      </c>
      <c r="PA97" s="322">
        <v>62327.39</v>
      </c>
      <c r="PB97" s="322">
        <v>76818.51999999999</v>
      </c>
      <c r="PC97" s="322">
        <v>86895.53</v>
      </c>
      <c r="PD97" s="322">
        <v>94826.19</v>
      </c>
      <c r="PE97" s="322">
        <v>102945.73999999999</v>
      </c>
      <c r="PF97" s="322">
        <v>102406.31999999999</v>
      </c>
      <c r="PG97" s="322">
        <v>98276.55</v>
      </c>
      <c r="PH97" s="322">
        <v>100371.37</v>
      </c>
      <c r="PI97" s="322">
        <v>100358.69</v>
      </c>
      <c r="PJ97" s="322">
        <v>82732.11</v>
      </c>
      <c r="PK97" s="322">
        <v>96840.85</v>
      </c>
      <c r="PL97" s="322">
        <v>96107.85000000002</v>
      </c>
      <c r="PM97" s="322">
        <v>105006.54000000001</v>
      </c>
      <c r="PN97" s="322">
        <v>106112.6</v>
      </c>
      <c r="PO97" s="322">
        <v>123821</v>
      </c>
      <c r="PP97" s="334"/>
      <c r="PQ97" s="322" t="s">
        <v>79</v>
      </c>
      <c r="PR97" s="322">
        <v>0</v>
      </c>
      <c r="PS97" s="322">
        <v>0</v>
      </c>
      <c r="PT97" s="322">
        <v>0</v>
      </c>
      <c r="PU97" s="322">
        <v>35940.94</v>
      </c>
      <c r="PV97" s="322">
        <v>0</v>
      </c>
      <c r="PW97" s="322">
        <v>44059.4</v>
      </c>
      <c r="PX97" s="322">
        <v>54045.09</v>
      </c>
      <c r="PY97" s="322">
        <v>0</v>
      </c>
      <c r="PZ97" s="322">
        <v>27749.54</v>
      </c>
      <c r="QA97" s="322">
        <v>33707.4</v>
      </c>
      <c r="QB97" s="322">
        <v>35352.839999999997</v>
      </c>
      <c r="QC97" s="322">
        <v>33133.360000000001</v>
      </c>
      <c r="QD97" s="322">
        <v>30845.79</v>
      </c>
      <c r="QE97" s="322">
        <v>41108.800000000003</v>
      </c>
      <c r="QF97" s="322">
        <v>37515.089999999997</v>
      </c>
      <c r="QG97" s="322">
        <v>39447.96</v>
      </c>
      <c r="QH97" s="322">
        <v>34595.03</v>
      </c>
      <c r="QI97" s="322">
        <v>40647.949999999997</v>
      </c>
      <c r="QJ97" s="322">
        <v>41775.67</v>
      </c>
      <c r="QK97" s="322">
        <v>43600.869999999995</v>
      </c>
      <c r="QL97" s="322">
        <v>51890.07</v>
      </c>
      <c r="QM97" s="322">
        <v>62640</v>
      </c>
      <c r="QN97" s="334"/>
      <c r="QO97" s="322" t="s">
        <v>79</v>
      </c>
      <c r="QP97" s="322">
        <v>0</v>
      </c>
      <c r="QQ97" s="322">
        <v>0</v>
      </c>
      <c r="QR97" s="322">
        <v>0</v>
      </c>
      <c r="QS97" s="322">
        <v>0</v>
      </c>
      <c r="QT97" s="322">
        <v>0</v>
      </c>
      <c r="QU97" s="322">
        <v>0</v>
      </c>
      <c r="QV97" s="322">
        <v>0</v>
      </c>
      <c r="QW97" s="322">
        <v>0</v>
      </c>
      <c r="QX97" s="322">
        <v>0</v>
      </c>
      <c r="QY97" s="322">
        <v>0</v>
      </c>
      <c r="QZ97" s="322">
        <v>0</v>
      </c>
      <c r="RA97" s="322">
        <v>0</v>
      </c>
      <c r="RB97" s="322">
        <v>0</v>
      </c>
      <c r="RC97" s="322">
        <v>0</v>
      </c>
      <c r="RD97" s="322">
        <v>0</v>
      </c>
      <c r="RE97" s="322">
        <v>0</v>
      </c>
      <c r="RF97" s="322">
        <v>0</v>
      </c>
      <c r="RG97" s="322">
        <v>0</v>
      </c>
      <c r="RH97" s="322">
        <v>0</v>
      </c>
      <c r="RI97" s="322">
        <v>0</v>
      </c>
      <c r="RJ97" s="322">
        <v>0</v>
      </c>
      <c r="RK97" s="322">
        <v>0</v>
      </c>
      <c r="RL97" s="334"/>
      <c r="RM97" s="322" t="s">
        <v>79</v>
      </c>
      <c r="RN97" s="322">
        <v>782038.84</v>
      </c>
      <c r="RO97" s="322">
        <v>467666.62</v>
      </c>
      <c r="RP97" s="322">
        <v>469507.51</v>
      </c>
      <c r="RQ97" s="322">
        <v>215645.64</v>
      </c>
      <c r="RR97" s="322">
        <v>318804.15999999997</v>
      </c>
      <c r="RS97" s="322">
        <v>396534.6</v>
      </c>
      <c r="RT97" s="322">
        <v>1188991.98</v>
      </c>
      <c r="RU97" s="322">
        <v>1433529.97</v>
      </c>
      <c r="RV97" s="322">
        <v>577405.92999999993</v>
      </c>
      <c r="RW97" s="322">
        <v>1302090.21</v>
      </c>
      <c r="RX97" s="322">
        <v>1475329.26</v>
      </c>
      <c r="RY97" s="322">
        <v>1038419.38</v>
      </c>
      <c r="RZ97" s="322">
        <v>1290057.2999999998</v>
      </c>
      <c r="SA97" s="322">
        <v>408993.51</v>
      </c>
      <c r="SB97" s="322">
        <v>252313.58000000002</v>
      </c>
      <c r="SC97" s="322">
        <v>668536.32999999996</v>
      </c>
      <c r="SD97" s="322">
        <v>157032.51999999999</v>
      </c>
      <c r="SE97" s="322">
        <v>491834.45</v>
      </c>
      <c r="SF97" s="322">
        <v>517698.48000000004</v>
      </c>
      <c r="SG97" s="322">
        <v>408048.94999999995</v>
      </c>
      <c r="SH97" s="322">
        <v>547904.82000000007</v>
      </c>
      <c r="SI97" s="322">
        <v>804220</v>
      </c>
    </row>
    <row r="98" spans="1:503">
      <c r="A98" s="319" t="s">
        <v>80</v>
      </c>
      <c r="B98" s="319">
        <v>675374</v>
      </c>
      <c r="C98" s="319">
        <v>676959</v>
      </c>
      <c r="D98" s="319">
        <v>857522</v>
      </c>
      <c r="E98" s="319">
        <v>943272</v>
      </c>
      <c r="F98" s="319">
        <v>966195</v>
      </c>
      <c r="G98" s="319">
        <v>1013942</v>
      </c>
      <c r="H98" s="319">
        <v>946889</v>
      </c>
      <c r="I98" s="319">
        <v>933763</v>
      </c>
      <c r="J98" s="319">
        <v>1026019.5199999998</v>
      </c>
      <c r="K98" s="319">
        <v>1002508.9099999999</v>
      </c>
      <c r="L98" s="319">
        <v>1052598.7999999998</v>
      </c>
      <c r="M98" s="319">
        <v>1048025.54</v>
      </c>
      <c r="N98" s="319">
        <v>1191117.24</v>
      </c>
      <c r="O98" s="319">
        <v>1196032.22</v>
      </c>
      <c r="P98" s="319">
        <v>1298105.6299999999</v>
      </c>
      <c r="Q98" s="319"/>
      <c r="R98" s="319">
        <v>1377457.87</v>
      </c>
      <c r="S98" s="322">
        <v>1406465.11</v>
      </c>
      <c r="T98" s="319">
        <v>1471562.96</v>
      </c>
      <c r="U98" s="319">
        <v>1408353.27</v>
      </c>
      <c r="V98" s="319">
        <v>1571557.63</v>
      </c>
      <c r="W98" s="319">
        <v>2074523.94</v>
      </c>
      <c r="X98" s="330"/>
      <c r="Y98" s="319" t="s">
        <v>80</v>
      </c>
      <c r="Z98" s="319">
        <v>54029.919999999998</v>
      </c>
      <c r="AA98" s="319">
        <v>47387.13</v>
      </c>
      <c r="AB98" s="319">
        <v>51451.32</v>
      </c>
      <c r="AC98" s="319">
        <v>75461.759999999995</v>
      </c>
      <c r="AD98" s="319">
        <v>77295.600000000006</v>
      </c>
      <c r="AE98" s="319">
        <v>81115.360000000001</v>
      </c>
      <c r="AF98" s="319">
        <v>91254.78</v>
      </c>
      <c r="AG98" s="319">
        <v>84038.67</v>
      </c>
      <c r="AH98" s="319">
        <v>85047.069999999992</v>
      </c>
      <c r="AI98" s="319">
        <v>84567.749999999985</v>
      </c>
      <c r="AJ98" s="319">
        <v>85277.21</v>
      </c>
      <c r="AK98" s="319">
        <v>85324.250000000015</v>
      </c>
      <c r="AL98" s="319">
        <v>87556.150000000009</v>
      </c>
      <c r="AM98" s="319">
        <v>97460.12</v>
      </c>
      <c r="AN98" s="319">
        <v>103647.1</v>
      </c>
      <c r="AO98" s="319"/>
      <c r="AP98" s="319">
        <v>82099.219999999987</v>
      </c>
      <c r="AQ98" s="322">
        <v>81875.25</v>
      </c>
      <c r="AR98" s="319">
        <v>90634.220000000016</v>
      </c>
      <c r="AS98" s="319">
        <v>83132.149999999994</v>
      </c>
      <c r="AT98" s="319">
        <v>86378.93</v>
      </c>
      <c r="AU98" s="319">
        <v>94245.6</v>
      </c>
      <c r="AV98" s="334"/>
      <c r="AW98" s="319" t="s">
        <v>80</v>
      </c>
      <c r="AX98" s="319">
        <v>47276.180000000008</v>
      </c>
      <c r="AY98" s="319">
        <v>47387.130000000005</v>
      </c>
      <c r="AZ98" s="319">
        <v>51451.32</v>
      </c>
      <c r="BA98" s="319">
        <v>75461.759999999995</v>
      </c>
      <c r="BB98" s="319">
        <v>77295.600000000006</v>
      </c>
      <c r="BC98" s="319">
        <v>70975.94</v>
      </c>
      <c r="BD98" s="319">
        <v>75751.12</v>
      </c>
      <c r="BE98" s="319">
        <v>65363.41</v>
      </c>
      <c r="BF98" s="319">
        <v>57320.659999999996</v>
      </c>
      <c r="BG98" s="319">
        <v>60305.49</v>
      </c>
      <c r="BH98" s="319">
        <v>63628.09</v>
      </c>
      <c r="BI98" s="319">
        <v>62921.21</v>
      </c>
      <c r="BJ98" s="319">
        <v>63828.78</v>
      </c>
      <c r="BK98" s="319">
        <v>65672.62999999999</v>
      </c>
      <c r="BL98" s="319">
        <v>69189.77</v>
      </c>
      <c r="BM98" s="319"/>
      <c r="BN98" s="319">
        <v>67878.560000000012</v>
      </c>
      <c r="BO98" s="322">
        <v>70246.42</v>
      </c>
      <c r="BP98" s="319">
        <v>80408.389999999985</v>
      </c>
      <c r="BQ98" s="319">
        <v>73624.67</v>
      </c>
      <c r="BR98" s="319">
        <v>72962.559999999998</v>
      </c>
      <c r="BS98" s="319">
        <v>72730</v>
      </c>
      <c r="BT98" s="334"/>
      <c r="BU98" s="322" t="s">
        <v>80</v>
      </c>
      <c r="BV98" s="322">
        <v>33768.699999999997</v>
      </c>
      <c r="BW98" s="322">
        <v>20308.77</v>
      </c>
      <c r="BX98" s="322">
        <v>34300.879999999997</v>
      </c>
      <c r="BY98" s="322">
        <v>18865.439999999999</v>
      </c>
      <c r="BZ98" s="322">
        <v>57971.7</v>
      </c>
      <c r="CA98" s="322">
        <v>40557.68</v>
      </c>
      <c r="CB98" s="322">
        <v>37875.56</v>
      </c>
      <c r="CC98" s="322">
        <v>18675.259999999998</v>
      </c>
      <c r="CD98" s="322">
        <v>60246.61</v>
      </c>
      <c r="CE98" s="322">
        <v>13106.24</v>
      </c>
      <c r="CF98" s="322">
        <v>49355.22</v>
      </c>
      <c r="CG98" s="322">
        <v>24209.53</v>
      </c>
      <c r="CH98" s="322">
        <v>68775.69</v>
      </c>
      <c r="CI98" s="322">
        <v>25028.82</v>
      </c>
      <c r="CJ98" s="322">
        <v>53427.130000000005</v>
      </c>
      <c r="CK98" s="322"/>
      <c r="CL98" s="322">
        <v>91747.81</v>
      </c>
      <c r="CM98" s="322">
        <v>19761.509999999998</v>
      </c>
      <c r="CN98" s="322">
        <v>59296.51</v>
      </c>
      <c r="CO98" s="322">
        <v>18866.93</v>
      </c>
      <c r="CP98" s="322">
        <v>81339.23</v>
      </c>
      <c r="CQ98" s="322">
        <v>85000</v>
      </c>
      <c r="CR98" s="334"/>
      <c r="CS98" s="322" t="s">
        <v>80</v>
      </c>
      <c r="CT98" s="322">
        <v>60783.66</v>
      </c>
      <c r="CU98" s="322">
        <v>67695.899999999994</v>
      </c>
      <c r="CV98" s="322">
        <v>205805.28</v>
      </c>
      <c r="CW98" s="322">
        <v>132058.07999999999</v>
      </c>
      <c r="CX98" s="322">
        <v>106281.45</v>
      </c>
      <c r="CY98" s="322">
        <v>121673.04</v>
      </c>
      <c r="CZ98" s="322">
        <v>56813.34</v>
      </c>
      <c r="DA98" s="322">
        <v>46688.15</v>
      </c>
      <c r="DB98" s="322">
        <v>43343.359999999993</v>
      </c>
      <c r="DC98" s="322">
        <v>50588.68</v>
      </c>
      <c r="DD98" s="322">
        <v>52861.929999999993</v>
      </c>
      <c r="DE98" s="322">
        <v>46410.15</v>
      </c>
      <c r="DF98" s="322">
        <v>52397.869999999995</v>
      </c>
      <c r="DG98" s="322">
        <v>65688.509999999995</v>
      </c>
      <c r="DH98" s="322">
        <v>67543.209999999992</v>
      </c>
      <c r="DI98" s="322"/>
      <c r="DJ98" s="322">
        <v>56849.65</v>
      </c>
      <c r="DK98" s="322">
        <v>61921.759999999995</v>
      </c>
      <c r="DL98" s="322">
        <v>64647.969999999994</v>
      </c>
      <c r="DM98" s="322">
        <v>62455.020000000004</v>
      </c>
      <c r="DN98" s="322">
        <v>59779.43</v>
      </c>
      <c r="DO98" s="322">
        <v>78900</v>
      </c>
      <c r="DP98" s="334"/>
      <c r="DQ98" s="322" t="s">
        <v>80</v>
      </c>
      <c r="DR98" s="322">
        <v>33768.699999999997</v>
      </c>
      <c r="DS98" s="322">
        <v>33847.949999999997</v>
      </c>
      <c r="DT98" s="322">
        <v>34300.879999999997</v>
      </c>
      <c r="DU98" s="322">
        <v>37730.879999999997</v>
      </c>
      <c r="DV98" s="322">
        <v>38647.800000000003</v>
      </c>
      <c r="DW98" s="322">
        <v>40557.68</v>
      </c>
      <c r="DX98" s="322">
        <v>47344.45</v>
      </c>
      <c r="DY98" s="322">
        <v>46688.15</v>
      </c>
      <c r="DZ98" s="322">
        <v>46235.869999999995</v>
      </c>
      <c r="EA98" s="322">
        <v>49573.36</v>
      </c>
      <c r="EB98" s="322">
        <v>54009.73</v>
      </c>
      <c r="EC98" s="322">
        <v>55471.57</v>
      </c>
      <c r="ED98" s="322">
        <v>57426.86</v>
      </c>
      <c r="EE98" s="322">
        <v>57701.13</v>
      </c>
      <c r="EF98" s="322">
        <v>58800.93</v>
      </c>
      <c r="EG98" s="322"/>
      <c r="EH98" s="322">
        <v>60977.9</v>
      </c>
      <c r="EI98" s="322">
        <v>65078.220000000008</v>
      </c>
      <c r="EJ98" s="322">
        <v>64309.35</v>
      </c>
      <c r="EK98" s="322">
        <v>67974.990000000005</v>
      </c>
      <c r="EL98" s="322">
        <v>63598.270000000004</v>
      </c>
      <c r="EM98" s="322">
        <v>69000</v>
      </c>
      <c r="EN98" s="334"/>
      <c r="EO98" s="322" t="s">
        <v>80</v>
      </c>
      <c r="EP98" s="322">
        <v>40522.44</v>
      </c>
      <c r="EQ98" s="322">
        <v>40617.54</v>
      </c>
      <c r="ER98" s="322">
        <v>42876.1</v>
      </c>
      <c r="ES98" s="322">
        <v>56596.32</v>
      </c>
      <c r="ET98" s="322">
        <v>48309.75</v>
      </c>
      <c r="EU98" s="322">
        <v>50697.1</v>
      </c>
      <c r="EV98" s="322">
        <v>56813.34</v>
      </c>
      <c r="EW98" s="322">
        <v>56025.78</v>
      </c>
      <c r="EX98" s="322">
        <v>62815.26</v>
      </c>
      <c r="EY98" s="322">
        <v>62511.19</v>
      </c>
      <c r="EZ98" s="322">
        <v>59574.630000000005</v>
      </c>
      <c r="FA98" s="322">
        <v>68604.009999999995</v>
      </c>
      <c r="FB98" s="322">
        <v>88571.78</v>
      </c>
      <c r="FC98" s="322">
        <v>86478.26999999999</v>
      </c>
      <c r="FD98" s="322">
        <v>88814.14</v>
      </c>
      <c r="FE98" s="322"/>
      <c r="FF98" s="322">
        <v>101111.74</v>
      </c>
      <c r="FG98" s="322">
        <v>114736.39</v>
      </c>
      <c r="FH98" s="322">
        <v>97380.07</v>
      </c>
      <c r="FI98" s="322">
        <v>96652.49</v>
      </c>
      <c r="FJ98" s="322">
        <v>97821.349999999991</v>
      </c>
      <c r="FK98" s="322">
        <v>109319.4</v>
      </c>
      <c r="FL98" s="334"/>
      <c r="FM98" s="322" t="s">
        <v>80</v>
      </c>
      <c r="FN98" s="322">
        <v>0</v>
      </c>
      <c r="FO98" s="322">
        <v>6769.59</v>
      </c>
      <c r="FP98" s="322">
        <v>0</v>
      </c>
      <c r="FQ98" s="322">
        <v>9432.7199999999993</v>
      </c>
      <c r="FR98" s="322">
        <v>0</v>
      </c>
      <c r="FS98" s="322">
        <v>0</v>
      </c>
      <c r="FT98" s="322">
        <v>0</v>
      </c>
      <c r="FU98" s="322">
        <v>0</v>
      </c>
      <c r="FV98" s="322">
        <v>4349.92</v>
      </c>
      <c r="FW98" s="322">
        <v>4447.75</v>
      </c>
      <c r="FX98" s="322">
        <v>11227.31</v>
      </c>
      <c r="FY98" s="322">
        <v>0</v>
      </c>
      <c r="FZ98" s="322">
        <v>0</v>
      </c>
      <c r="GA98" s="322">
        <v>0</v>
      </c>
      <c r="GB98" s="322">
        <v>0</v>
      </c>
      <c r="GC98" s="322"/>
      <c r="GD98" s="322">
        <v>0</v>
      </c>
      <c r="GE98" s="322">
        <v>0</v>
      </c>
      <c r="GF98" s="340">
        <v>0</v>
      </c>
      <c r="GG98" s="704">
        <v>0</v>
      </c>
      <c r="GH98" s="704">
        <v>0</v>
      </c>
      <c r="GI98" s="704">
        <v>0</v>
      </c>
      <c r="GJ98" s="334"/>
      <c r="GK98" s="322" t="s">
        <v>80</v>
      </c>
      <c r="GL98" s="322">
        <v>13507.48</v>
      </c>
      <c r="GM98" s="322">
        <v>13539.18</v>
      </c>
      <c r="GN98" s="322">
        <v>17150.439999999999</v>
      </c>
      <c r="GO98" s="322">
        <v>0</v>
      </c>
      <c r="GP98" s="322">
        <v>0</v>
      </c>
      <c r="GQ98" s="322">
        <v>0</v>
      </c>
      <c r="GR98" s="322">
        <v>0</v>
      </c>
      <c r="GS98" s="322">
        <v>56025.78</v>
      </c>
      <c r="GT98" s="322">
        <v>56518.090000000004</v>
      </c>
      <c r="GU98" s="322">
        <v>56222.289999999994</v>
      </c>
      <c r="GV98" s="322">
        <v>56881.3</v>
      </c>
      <c r="GW98" s="322">
        <v>65748.84</v>
      </c>
      <c r="GX98" s="322">
        <v>62579.81</v>
      </c>
      <c r="GY98" s="322">
        <v>65707.61</v>
      </c>
      <c r="GZ98" s="322">
        <v>63765.74</v>
      </c>
      <c r="HA98" s="322"/>
      <c r="HB98" s="322">
        <v>71704.58</v>
      </c>
      <c r="HC98" s="322">
        <v>71704.58</v>
      </c>
      <c r="HD98" s="322">
        <v>73314.430000000008</v>
      </c>
      <c r="HE98" s="322">
        <v>76792.570000000007</v>
      </c>
      <c r="HF98" s="322">
        <v>81401.11</v>
      </c>
      <c r="HG98" s="322">
        <v>86209.8</v>
      </c>
      <c r="HH98" s="334"/>
      <c r="HI98" s="322" t="s">
        <v>80</v>
      </c>
      <c r="HJ98" s="322">
        <v>6753.74</v>
      </c>
      <c r="HK98" s="322">
        <v>6769.59</v>
      </c>
      <c r="HL98" s="322">
        <v>17150.439999999999</v>
      </c>
      <c r="HM98" s="322">
        <v>28298.16</v>
      </c>
      <c r="HN98" s="322">
        <v>28985.85</v>
      </c>
      <c r="HO98" s="322">
        <v>30418.26</v>
      </c>
      <c r="HP98" s="322">
        <v>28406.67</v>
      </c>
      <c r="HQ98" s="322">
        <v>18675.259999999998</v>
      </c>
      <c r="HR98" s="322">
        <v>14098.619999999999</v>
      </c>
      <c r="HS98" s="322">
        <v>9953.77</v>
      </c>
      <c r="HT98" s="322">
        <v>10764.029999999999</v>
      </c>
      <c r="HU98" s="322">
        <v>10342.64</v>
      </c>
      <c r="HV98" s="322">
        <v>10665.02</v>
      </c>
      <c r="HW98" s="322">
        <v>12742.39</v>
      </c>
      <c r="HX98" s="322">
        <v>11871.75</v>
      </c>
      <c r="HY98" s="322"/>
      <c r="HZ98" s="322">
        <v>12252.33</v>
      </c>
      <c r="IA98" s="322">
        <v>21489.22</v>
      </c>
      <c r="IB98" s="322">
        <v>13122.97</v>
      </c>
      <c r="IC98" s="322">
        <v>13058.55</v>
      </c>
      <c r="ID98" s="322">
        <v>10546.600000000002</v>
      </c>
      <c r="IE98" s="322">
        <v>16410</v>
      </c>
      <c r="IF98" s="334"/>
      <c r="IG98" s="322" t="s">
        <v>80</v>
      </c>
      <c r="IH98" s="322">
        <v>13507.48</v>
      </c>
      <c r="II98" s="322">
        <v>6769.59</v>
      </c>
      <c r="IJ98" s="322">
        <v>0</v>
      </c>
      <c r="IK98" s="322">
        <v>0</v>
      </c>
      <c r="IL98" s="322">
        <v>0</v>
      </c>
      <c r="IM98" s="322">
        <v>0</v>
      </c>
      <c r="IN98" s="322">
        <v>0</v>
      </c>
      <c r="IO98" s="322">
        <v>0</v>
      </c>
      <c r="IP98" s="322">
        <v>0</v>
      </c>
      <c r="IQ98" s="322">
        <v>0</v>
      </c>
      <c r="IR98" s="322">
        <v>0</v>
      </c>
      <c r="IS98" s="322">
        <v>0</v>
      </c>
      <c r="IT98" s="322">
        <v>0</v>
      </c>
      <c r="IU98" s="322">
        <v>0</v>
      </c>
      <c r="IV98" s="322"/>
      <c r="IW98" s="322"/>
      <c r="IX98" s="322"/>
      <c r="IY98" s="322"/>
      <c r="IZ98" s="322"/>
      <c r="JA98" s="322"/>
      <c r="JB98" s="322"/>
      <c r="JC98" s="322"/>
      <c r="JD98" s="334"/>
      <c r="JE98" s="322" t="s">
        <v>80</v>
      </c>
      <c r="JF98" s="322">
        <v>6753.74</v>
      </c>
      <c r="JG98" s="322">
        <v>6769.59</v>
      </c>
      <c r="JH98" s="322">
        <v>17150.439999999999</v>
      </c>
      <c r="JI98" s="322">
        <v>9432.7199999999993</v>
      </c>
      <c r="JJ98" s="322">
        <v>9661.9500000000007</v>
      </c>
      <c r="JK98" s="322">
        <v>10139.42</v>
      </c>
      <c r="JL98" s="322">
        <v>9468.89</v>
      </c>
      <c r="JM98" s="322">
        <v>9337.6299999999992</v>
      </c>
      <c r="JN98" s="322">
        <v>14947.829999999998</v>
      </c>
      <c r="JO98" s="322">
        <v>18315.169999999998</v>
      </c>
      <c r="JP98" s="322">
        <v>19677.980000000003</v>
      </c>
      <c r="JQ98" s="322">
        <v>22526.34</v>
      </c>
      <c r="JR98" s="322">
        <v>15988.73</v>
      </c>
      <c r="JS98" s="322">
        <v>11162.6</v>
      </c>
      <c r="JT98" s="322">
        <v>31580.359999999997</v>
      </c>
      <c r="JU98" s="322"/>
      <c r="JV98" s="322">
        <v>13266.909999999998</v>
      </c>
      <c r="JW98" s="322">
        <v>13673.5</v>
      </c>
      <c r="JX98" s="322">
        <v>24867.930000000004</v>
      </c>
      <c r="JY98" s="322">
        <v>21370.35</v>
      </c>
      <c r="JZ98" s="322">
        <v>31867.56</v>
      </c>
      <c r="KA98" s="322">
        <v>49196.4</v>
      </c>
      <c r="KB98" s="334"/>
      <c r="KC98" s="322" t="s">
        <v>80</v>
      </c>
      <c r="KD98" s="322">
        <v>6753.74</v>
      </c>
      <c r="KE98" s="322">
        <v>20308.77</v>
      </c>
      <c r="KF98" s="322">
        <v>17150.439999999999</v>
      </c>
      <c r="KG98" s="322">
        <v>18865.439999999999</v>
      </c>
      <c r="KH98" s="322">
        <v>19323.900000000001</v>
      </c>
      <c r="KI98" s="322">
        <v>30418.26</v>
      </c>
      <c r="KJ98" s="322">
        <v>28406.67</v>
      </c>
      <c r="KK98" s="322">
        <v>28012.89</v>
      </c>
      <c r="KL98" s="322">
        <v>27631.349999999995</v>
      </c>
      <c r="KM98" s="322">
        <v>29005.33</v>
      </c>
      <c r="KN98" s="322">
        <v>30708.37</v>
      </c>
      <c r="KO98" s="322">
        <v>31605.29</v>
      </c>
      <c r="KP98" s="322">
        <v>34256.229999999996</v>
      </c>
      <c r="KQ98" s="322">
        <v>36446.210000000006</v>
      </c>
      <c r="KR98" s="322">
        <v>36720.67</v>
      </c>
      <c r="KS98" s="322"/>
      <c r="KT98" s="322">
        <v>35363.659999999996</v>
      </c>
      <c r="KU98" s="322">
        <v>37085.509999999995</v>
      </c>
      <c r="KV98" s="322">
        <v>36217.519999999997</v>
      </c>
      <c r="KW98" s="322">
        <v>37054.379999999997</v>
      </c>
      <c r="KX98" s="322">
        <v>37845.05999999999</v>
      </c>
      <c r="KY98" s="322">
        <v>46500</v>
      </c>
      <c r="KZ98" s="334"/>
      <c r="LA98" s="322" t="s">
        <v>80</v>
      </c>
      <c r="LB98" s="322">
        <v>47276.18</v>
      </c>
      <c r="LC98" s="322">
        <v>47387.13</v>
      </c>
      <c r="LD98" s="322">
        <v>34300.879999999997</v>
      </c>
      <c r="LE98" s="322">
        <v>47163.6</v>
      </c>
      <c r="LF98" s="322">
        <v>57971.7</v>
      </c>
      <c r="LG98" s="322">
        <v>81115.360000000001</v>
      </c>
      <c r="LH98" s="322">
        <v>66282.23</v>
      </c>
      <c r="LI98" s="322">
        <v>65363.41</v>
      </c>
      <c r="LJ98" s="322">
        <v>57222.799999999988</v>
      </c>
      <c r="LK98" s="322">
        <v>57419.960000000006</v>
      </c>
      <c r="LL98" s="322">
        <v>59427.419999999991</v>
      </c>
      <c r="LM98" s="322">
        <v>60887.670000000006</v>
      </c>
      <c r="LN98" s="322">
        <v>63411.89</v>
      </c>
      <c r="LO98" s="322">
        <v>65863.540000000008</v>
      </c>
      <c r="LP98" s="322">
        <v>68876.639999999999</v>
      </c>
      <c r="LQ98" s="322"/>
      <c r="LR98" s="322">
        <v>71254.850000000006</v>
      </c>
      <c r="LS98" s="322">
        <v>72807.239999999991</v>
      </c>
      <c r="LT98" s="322">
        <v>73682.419999999984</v>
      </c>
      <c r="LU98" s="322">
        <v>75695.78</v>
      </c>
      <c r="LV98" s="322">
        <v>156291.78999999998</v>
      </c>
      <c r="LW98" s="322">
        <v>238002.02</v>
      </c>
      <c r="LX98" s="334"/>
      <c r="LY98" s="322" t="s">
        <v>80</v>
      </c>
      <c r="LZ98" s="322">
        <v>195858.46</v>
      </c>
      <c r="MA98" s="322">
        <v>196318.11</v>
      </c>
      <c r="MB98" s="322">
        <v>180079.62</v>
      </c>
      <c r="MC98" s="322">
        <v>273548.88</v>
      </c>
      <c r="MD98" s="322">
        <v>289858.5</v>
      </c>
      <c r="ME98" s="322">
        <v>314322.02</v>
      </c>
      <c r="MF98" s="322">
        <v>331411.15000000002</v>
      </c>
      <c r="MG98" s="322">
        <v>317479.42</v>
      </c>
      <c r="MH98" s="322">
        <v>335892.35</v>
      </c>
      <c r="MI98" s="322">
        <v>331152.53000000003</v>
      </c>
      <c r="MJ98" s="322">
        <v>379246.01999999996</v>
      </c>
      <c r="MK98" s="322">
        <v>373735.69999999995</v>
      </c>
      <c r="ML98" s="322">
        <v>416647.61000000004</v>
      </c>
      <c r="MM98" s="322">
        <v>450125.55</v>
      </c>
      <c r="MN98" s="322">
        <v>458734.13</v>
      </c>
      <c r="MO98" s="322"/>
      <c r="MP98" s="322">
        <v>481887.18</v>
      </c>
      <c r="MQ98" s="322">
        <v>509010.51000000007</v>
      </c>
      <c r="MR98" s="322">
        <v>533501.96000000008</v>
      </c>
      <c r="MS98" s="322">
        <v>519640.15</v>
      </c>
      <c r="MT98" s="322">
        <v>483606.29000000004</v>
      </c>
      <c r="MU98" s="322">
        <v>644295.43999999994</v>
      </c>
      <c r="MV98" s="334"/>
      <c r="MW98" s="322" t="s">
        <v>80</v>
      </c>
      <c r="MX98" s="322">
        <v>47276.18</v>
      </c>
      <c r="MY98" s="322">
        <v>33847.949999999997</v>
      </c>
      <c r="MZ98" s="322">
        <v>68601.759999999995</v>
      </c>
      <c r="NA98" s="322">
        <v>47163.6</v>
      </c>
      <c r="NB98" s="322">
        <v>57971.7</v>
      </c>
      <c r="NC98" s="322">
        <v>50697.1</v>
      </c>
      <c r="ND98" s="322">
        <v>28406.67</v>
      </c>
      <c r="NE98" s="322">
        <v>28012.89</v>
      </c>
      <c r="NF98" s="322">
        <v>52663.62</v>
      </c>
      <c r="NG98" s="322">
        <v>78419.429999999993</v>
      </c>
      <c r="NH98" s="322">
        <v>31332.28</v>
      </c>
      <c r="NI98" s="322">
        <v>46557.249999999993</v>
      </c>
      <c r="NJ98" s="322">
        <v>70957.33</v>
      </c>
      <c r="NK98" s="322">
        <v>72609.86</v>
      </c>
      <c r="NL98" s="322">
        <v>81605.039999999994</v>
      </c>
      <c r="NM98" s="322"/>
      <c r="NN98" s="322">
        <v>87165.01</v>
      </c>
      <c r="NO98" s="322">
        <v>132032.51999999999</v>
      </c>
      <c r="NP98" s="322">
        <v>118613.26999999999</v>
      </c>
      <c r="NQ98" s="322">
        <v>131897.99</v>
      </c>
      <c r="NR98" s="322">
        <v>145346.45000000001</v>
      </c>
      <c r="NS98" s="322">
        <v>146000</v>
      </c>
      <c r="NT98" s="334"/>
      <c r="NU98" s="322" t="s">
        <v>80</v>
      </c>
      <c r="NV98" s="322">
        <v>40522.44</v>
      </c>
      <c r="NW98" s="322">
        <v>40617.54</v>
      </c>
      <c r="NX98" s="322">
        <v>42876.1</v>
      </c>
      <c r="NY98" s="322">
        <v>56596.32</v>
      </c>
      <c r="NZ98" s="322">
        <v>57971.7</v>
      </c>
      <c r="OA98" s="322">
        <v>60836.52</v>
      </c>
      <c r="OB98" s="322">
        <v>56813.34</v>
      </c>
      <c r="OC98" s="322">
        <v>56025.78</v>
      </c>
      <c r="OD98" s="322">
        <v>67607.219999999987</v>
      </c>
      <c r="OE98" s="322">
        <v>57956.69</v>
      </c>
      <c r="OF98" s="322">
        <v>59136.86</v>
      </c>
      <c r="OG98" s="322">
        <v>60277.24</v>
      </c>
      <c r="OH98" s="322">
        <v>61862.28</v>
      </c>
      <c r="OI98" s="322">
        <v>64916.5</v>
      </c>
      <c r="OJ98" s="322">
        <v>66269.649999999994</v>
      </c>
      <c r="OK98" s="322"/>
      <c r="OL98" s="322">
        <v>84966.99</v>
      </c>
      <c r="OM98" s="322">
        <v>95039.01</v>
      </c>
      <c r="ON98" s="322">
        <v>94690.39999999998</v>
      </c>
      <c r="OO98" s="322">
        <v>104744.88</v>
      </c>
      <c r="OP98" s="322">
        <v>86439.19</v>
      </c>
      <c r="OQ98" s="322">
        <v>193809.4</v>
      </c>
      <c r="OR98" s="334"/>
      <c r="OS98" s="322" t="s">
        <v>80</v>
      </c>
      <c r="OT98" s="322">
        <v>27014.959999999999</v>
      </c>
      <c r="OU98" s="322">
        <v>27078.36</v>
      </c>
      <c r="OV98" s="322">
        <v>34300.879999999997</v>
      </c>
      <c r="OW98" s="322">
        <v>18865.439999999999</v>
      </c>
      <c r="OX98" s="322">
        <v>9661.9500000000007</v>
      </c>
      <c r="OY98" s="322">
        <v>10139.42</v>
      </c>
      <c r="OZ98" s="322">
        <v>9468.89</v>
      </c>
      <c r="PA98" s="322">
        <v>9337.6299999999992</v>
      </c>
      <c r="PB98" s="322">
        <v>6767.65</v>
      </c>
      <c r="PC98" s="322">
        <v>7602.7599999999993</v>
      </c>
      <c r="PD98" s="322">
        <v>8381.89</v>
      </c>
      <c r="PE98" s="322">
        <v>11674.599999999999</v>
      </c>
      <c r="PF98" s="322">
        <v>9479.42</v>
      </c>
      <c r="PG98" s="322">
        <v>8685.31</v>
      </c>
      <c r="PH98" s="322">
        <v>9344.56</v>
      </c>
      <c r="PI98" s="322"/>
      <c r="PJ98" s="322">
        <v>11601.03</v>
      </c>
      <c r="PK98" s="322">
        <v>8877.9</v>
      </c>
      <c r="PL98" s="322">
        <v>16432.989999999998</v>
      </c>
      <c r="PM98" s="322">
        <v>12600.61</v>
      </c>
      <c r="PN98" s="322">
        <v>10203.77</v>
      </c>
      <c r="PO98" s="322">
        <v>25000</v>
      </c>
      <c r="PP98" s="334"/>
      <c r="PQ98" s="322" t="s">
        <v>80</v>
      </c>
      <c r="PR98" s="322">
        <v>0</v>
      </c>
      <c r="PS98" s="322">
        <v>6769.59</v>
      </c>
      <c r="PT98" s="322">
        <v>8575.2199999999993</v>
      </c>
      <c r="PU98" s="322">
        <v>9432.7199999999993</v>
      </c>
      <c r="PV98" s="322">
        <v>9661.9500000000007</v>
      </c>
      <c r="PW98" s="322">
        <v>10139.42</v>
      </c>
      <c r="PX98" s="322">
        <v>9468.89</v>
      </c>
      <c r="PY98" s="322">
        <v>9337.6299999999992</v>
      </c>
      <c r="PZ98" s="322">
        <v>14043.980000000001</v>
      </c>
      <c r="QA98" s="322">
        <v>19117.940000000002</v>
      </c>
      <c r="QB98" s="322">
        <v>18105.449999999997</v>
      </c>
      <c r="QC98" s="322">
        <v>19712.539999999997</v>
      </c>
      <c r="QD98" s="322">
        <v>25547.079999999998</v>
      </c>
      <c r="QE98" s="322">
        <v>9500</v>
      </c>
      <c r="QF98" s="322">
        <v>25645.200000000001</v>
      </c>
      <c r="QG98" s="322"/>
      <c r="QH98" s="322">
        <v>27554.58</v>
      </c>
      <c r="QI98" s="322">
        <v>28567.27</v>
      </c>
      <c r="QJ98" s="322">
        <v>18116.46</v>
      </c>
      <c r="QK98" s="322">
        <v>12672</v>
      </c>
      <c r="QL98" s="322">
        <v>14349.16</v>
      </c>
      <c r="QM98" s="322">
        <v>24900</v>
      </c>
      <c r="QN98" s="334"/>
      <c r="QO98" s="322" t="s">
        <v>80</v>
      </c>
      <c r="QP98" s="322">
        <v>0</v>
      </c>
      <c r="QQ98" s="322">
        <v>0</v>
      </c>
      <c r="QR98" s="322">
        <v>0</v>
      </c>
      <c r="QS98" s="322">
        <v>0</v>
      </c>
      <c r="QT98" s="322">
        <v>0</v>
      </c>
      <c r="QU98" s="322">
        <v>0</v>
      </c>
      <c r="QV98" s="322">
        <v>0</v>
      </c>
      <c r="QW98" s="322">
        <v>0</v>
      </c>
      <c r="QX98" s="322">
        <v>0</v>
      </c>
      <c r="QY98" s="322">
        <v>0</v>
      </c>
      <c r="QZ98" s="322">
        <v>0</v>
      </c>
      <c r="RA98" s="322">
        <v>0</v>
      </c>
      <c r="RB98" s="322">
        <v>0</v>
      </c>
      <c r="RC98" s="322">
        <v>0</v>
      </c>
      <c r="RD98" s="322">
        <v>0</v>
      </c>
      <c r="RE98" s="322"/>
      <c r="RF98" s="322">
        <v>0</v>
      </c>
      <c r="RG98" s="322">
        <v>0</v>
      </c>
      <c r="RH98" s="322">
        <v>0</v>
      </c>
      <c r="RI98" s="322">
        <v>0</v>
      </c>
      <c r="RJ98" s="322">
        <v>0</v>
      </c>
      <c r="RK98" s="322">
        <v>0</v>
      </c>
      <c r="RL98" s="334"/>
      <c r="RM98" s="322" t="s">
        <v>80</v>
      </c>
      <c r="RN98" s="322">
        <v>0</v>
      </c>
      <c r="RO98" s="322">
        <v>6769.59</v>
      </c>
      <c r="RP98" s="322">
        <v>0</v>
      </c>
      <c r="RQ98" s="322">
        <v>28298.16</v>
      </c>
      <c r="RR98" s="322">
        <v>19323.900000000001</v>
      </c>
      <c r="RS98" s="322">
        <v>10139.42</v>
      </c>
      <c r="RT98" s="322">
        <v>18937.78</v>
      </c>
      <c r="RU98" s="322">
        <v>18675.259999999998</v>
      </c>
      <c r="RV98" s="322">
        <v>19036.66</v>
      </c>
      <c r="RW98" s="322">
        <v>12200</v>
      </c>
      <c r="RX98" s="322">
        <v>2782.68</v>
      </c>
      <c r="RY98" s="322">
        <v>366.71</v>
      </c>
      <c r="RZ98" s="322">
        <v>529.49</v>
      </c>
      <c r="SA98" s="322">
        <v>68.67</v>
      </c>
      <c r="SB98" s="322">
        <v>2269.61</v>
      </c>
      <c r="SC98" s="322"/>
      <c r="SD98" s="322">
        <v>17786.419999999998</v>
      </c>
      <c r="SE98" s="322">
        <v>0</v>
      </c>
      <c r="SF98" s="322">
        <v>3000</v>
      </c>
      <c r="SG98" s="322">
        <v>0</v>
      </c>
      <c r="SH98" s="322">
        <v>51780.88</v>
      </c>
      <c r="SI98" s="322">
        <v>45005.88</v>
      </c>
    </row>
    <row r="99" spans="1:503">
      <c r="A99" s="319" t="s">
        <v>81</v>
      </c>
      <c r="B99" s="319">
        <v>1029846</v>
      </c>
      <c r="C99" s="319">
        <v>1101109</v>
      </c>
      <c r="D99" s="319">
        <v>1270167</v>
      </c>
      <c r="E99" s="319">
        <v>1219304</v>
      </c>
      <c r="F99" s="319">
        <v>1281650</v>
      </c>
      <c r="G99" s="319">
        <v>1340069</v>
      </c>
      <c r="H99" s="319">
        <v>1226298</v>
      </c>
      <c r="I99" s="319">
        <v>1389678</v>
      </c>
      <c r="J99" s="319">
        <v>1506722.8199999998</v>
      </c>
      <c r="K99" s="319">
        <v>1479651.1099999999</v>
      </c>
      <c r="L99" s="319">
        <v>1650758.44</v>
      </c>
      <c r="M99" s="319">
        <v>1889289.27</v>
      </c>
      <c r="N99" s="319">
        <v>2375064.67</v>
      </c>
      <c r="O99" s="319">
        <v>2796082.1399999997</v>
      </c>
      <c r="P99" s="319">
        <v>3093172.6599999997</v>
      </c>
      <c r="Q99" s="319">
        <v>3084473.88</v>
      </c>
      <c r="R99" s="319">
        <v>3227726.6100000003</v>
      </c>
      <c r="S99" s="322">
        <v>3034218.29</v>
      </c>
      <c r="T99" s="319">
        <v>3301845.1510000001</v>
      </c>
      <c r="U99" s="319"/>
      <c r="V99" s="319"/>
      <c r="W99" s="319"/>
      <c r="X99" s="330"/>
      <c r="Y99" s="319" t="s">
        <v>81</v>
      </c>
      <c r="Z99" s="319">
        <v>51492.3</v>
      </c>
      <c r="AA99" s="319">
        <v>55055.45</v>
      </c>
      <c r="AB99" s="319">
        <v>63508.35</v>
      </c>
      <c r="AC99" s="319">
        <v>85351.28</v>
      </c>
      <c r="AD99" s="319">
        <v>76899</v>
      </c>
      <c r="AE99" s="319">
        <v>80404.14</v>
      </c>
      <c r="AF99" s="319">
        <v>93804.83</v>
      </c>
      <c r="AG99" s="319">
        <v>83380.679999999993</v>
      </c>
      <c r="AH99" s="319">
        <v>83031.600000000006</v>
      </c>
      <c r="AI99" s="319">
        <v>85642.999999999985</v>
      </c>
      <c r="AJ99" s="319">
        <v>84684.069999999992</v>
      </c>
      <c r="AK99" s="319">
        <v>87227.86</v>
      </c>
      <c r="AL99" s="319">
        <v>85694.46</v>
      </c>
      <c r="AM99" s="319">
        <v>86128.92</v>
      </c>
      <c r="AN99" s="319">
        <v>87195</v>
      </c>
      <c r="AO99" s="319">
        <v>86294.13</v>
      </c>
      <c r="AP99" s="319">
        <v>91962.13</v>
      </c>
      <c r="AQ99" s="322">
        <v>86960.310000000012</v>
      </c>
      <c r="AR99" s="319">
        <v>87328.700000000012</v>
      </c>
      <c r="AS99" s="319"/>
      <c r="AT99" s="319"/>
      <c r="AU99" s="319"/>
      <c r="AV99" s="334"/>
      <c r="AW99" s="319" t="s">
        <v>81</v>
      </c>
      <c r="AX99" s="319">
        <v>82387.680000000008</v>
      </c>
      <c r="AY99" s="319">
        <v>77077.63</v>
      </c>
      <c r="AZ99" s="319">
        <v>88911.69</v>
      </c>
      <c r="BA99" s="319">
        <v>97544.320000000007</v>
      </c>
      <c r="BB99" s="319">
        <v>102532</v>
      </c>
      <c r="BC99" s="319">
        <v>93804.83</v>
      </c>
      <c r="BD99" s="319">
        <v>85840.860000000015</v>
      </c>
      <c r="BE99" s="319">
        <v>111174.24</v>
      </c>
      <c r="BF99" s="319">
        <v>110083.24</v>
      </c>
      <c r="BG99" s="319">
        <v>112315.19</v>
      </c>
      <c r="BH99" s="319">
        <v>129383.75000000001</v>
      </c>
      <c r="BI99" s="319">
        <v>133472.61000000002</v>
      </c>
      <c r="BJ99" s="319">
        <v>144544.21000000002</v>
      </c>
      <c r="BK99" s="319">
        <v>136498.21</v>
      </c>
      <c r="BL99" s="319">
        <v>138929.55999999997</v>
      </c>
      <c r="BM99" s="319">
        <v>139466.04</v>
      </c>
      <c r="BN99" s="319">
        <v>147621.15</v>
      </c>
      <c r="BO99" s="322">
        <v>143399.87</v>
      </c>
      <c r="BP99" s="319">
        <v>145431.33000000002</v>
      </c>
      <c r="BQ99" s="319"/>
      <c r="BR99" s="319"/>
      <c r="BS99" s="319"/>
      <c r="BT99" s="334"/>
      <c r="BU99" s="322" t="s">
        <v>81</v>
      </c>
      <c r="BV99" s="322">
        <v>51492.3</v>
      </c>
      <c r="BW99" s="322">
        <v>11011.09</v>
      </c>
      <c r="BX99" s="322">
        <v>38105.01</v>
      </c>
      <c r="BY99" s="322">
        <v>12193.04</v>
      </c>
      <c r="BZ99" s="322">
        <v>51266</v>
      </c>
      <c r="CA99" s="322">
        <v>13400.69</v>
      </c>
      <c r="CB99" s="322">
        <v>49051.92</v>
      </c>
      <c r="CC99" s="322">
        <v>13896.78</v>
      </c>
      <c r="CD99" s="322">
        <v>57694.530000000006</v>
      </c>
      <c r="CE99" s="322">
        <v>16906.420000000002</v>
      </c>
      <c r="CF99" s="322">
        <v>85073.23000000001</v>
      </c>
      <c r="CG99" s="322">
        <v>13846.519999999999</v>
      </c>
      <c r="CH99" s="322">
        <v>97996.39</v>
      </c>
      <c r="CI99" s="322">
        <v>19966.570000000003</v>
      </c>
      <c r="CJ99" s="322">
        <v>96961.63</v>
      </c>
      <c r="CK99" s="322">
        <v>18466.990000000002</v>
      </c>
      <c r="CL99" s="322">
        <v>97417.229999999981</v>
      </c>
      <c r="CM99" s="322">
        <v>28040.499999999996</v>
      </c>
      <c r="CN99" s="322">
        <v>46725.740000000005</v>
      </c>
      <c r="CO99" s="322"/>
      <c r="CP99" s="322"/>
      <c r="CQ99" s="322"/>
      <c r="CR99" s="334"/>
      <c r="CS99" s="322" t="s">
        <v>81</v>
      </c>
      <c r="CT99" s="322">
        <v>61790.76</v>
      </c>
      <c r="CU99" s="322">
        <v>55055.45</v>
      </c>
      <c r="CV99" s="322">
        <v>76210.02</v>
      </c>
      <c r="CW99" s="322">
        <v>48772.160000000003</v>
      </c>
      <c r="CX99" s="322">
        <v>89715.5</v>
      </c>
      <c r="CY99" s="322">
        <v>107205.52</v>
      </c>
      <c r="CZ99" s="322">
        <v>85840.86</v>
      </c>
      <c r="DA99" s="322">
        <v>97277.46</v>
      </c>
      <c r="DB99" s="322">
        <v>108246.76000000001</v>
      </c>
      <c r="DC99" s="322">
        <v>100658.44</v>
      </c>
      <c r="DD99" s="322">
        <v>97259.58</v>
      </c>
      <c r="DE99" s="322">
        <v>101861.04</v>
      </c>
      <c r="DF99" s="322">
        <v>95219.94</v>
      </c>
      <c r="DG99" s="322">
        <v>75977.259999999995</v>
      </c>
      <c r="DH99" s="322">
        <v>54757.720000000008</v>
      </c>
      <c r="DI99" s="322">
        <v>52944.020000000004</v>
      </c>
      <c r="DJ99" s="322">
        <v>52172.610000000008</v>
      </c>
      <c r="DK99" s="322">
        <v>65570.649999999994</v>
      </c>
      <c r="DL99" s="322">
        <v>67065.740999999995</v>
      </c>
      <c r="DM99" s="322"/>
      <c r="DN99" s="322"/>
      <c r="DO99" s="322"/>
      <c r="DP99" s="334"/>
      <c r="DQ99" s="322" t="s">
        <v>81</v>
      </c>
      <c r="DR99" s="322">
        <v>123581.52</v>
      </c>
      <c r="DS99" s="322">
        <v>121121.99</v>
      </c>
      <c r="DT99" s="322">
        <v>127016.7</v>
      </c>
      <c r="DU99" s="322">
        <v>146316.48000000001</v>
      </c>
      <c r="DV99" s="322">
        <v>179431</v>
      </c>
      <c r="DW99" s="322">
        <v>187609.66</v>
      </c>
      <c r="DX99" s="322">
        <v>171681.72</v>
      </c>
      <c r="DY99" s="322">
        <v>180658.14</v>
      </c>
      <c r="DZ99" s="322">
        <v>213213.13</v>
      </c>
      <c r="EA99" s="322">
        <v>210823.04000000001</v>
      </c>
      <c r="EB99" s="322">
        <v>245952.56</v>
      </c>
      <c r="EC99" s="322">
        <v>302405.71000000002</v>
      </c>
      <c r="ED99" s="322">
        <v>314376.86999999994</v>
      </c>
      <c r="EE99" s="322">
        <v>452710.42000000004</v>
      </c>
      <c r="EF99" s="322">
        <v>529873.11</v>
      </c>
      <c r="EG99" s="322">
        <v>546815.56000000006</v>
      </c>
      <c r="EH99" s="322">
        <v>623817.59</v>
      </c>
      <c r="EI99" s="322">
        <v>585528.43000000005</v>
      </c>
      <c r="EJ99" s="322">
        <v>586093.20000000007</v>
      </c>
      <c r="EK99" s="322"/>
      <c r="EL99" s="322"/>
      <c r="EM99" s="322"/>
      <c r="EN99" s="334"/>
      <c r="EO99" s="322" t="s">
        <v>81</v>
      </c>
      <c r="EP99" s="322">
        <v>51492.3</v>
      </c>
      <c r="EQ99" s="322">
        <v>44044.36</v>
      </c>
      <c r="ER99" s="322">
        <v>50806.68</v>
      </c>
      <c r="ES99" s="322">
        <v>48772.160000000003</v>
      </c>
      <c r="ET99" s="322">
        <v>51266</v>
      </c>
      <c r="EU99" s="322">
        <v>53602.76</v>
      </c>
      <c r="EV99" s="322">
        <v>61314.9</v>
      </c>
      <c r="EW99" s="322">
        <v>55587.12</v>
      </c>
      <c r="EX99" s="322">
        <v>60793.07</v>
      </c>
      <c r="EY99" s="322">
        <v>61413.88</v>
      </c>
      <c r="EZ99" s="322">
        <v>61553.689999999995</v>
      </c>
      <c r="FA99" s="322">
        <v>107332.86999999998</v>
      </c>
      <c r="FB99" s="322">
        <v>104144.93</v>
      </c>
      <c r="FC99" s="322">
        <v>112300.28</v>
      </c>
      <c r="FD99" s="322">
        <v>107949.82</v>
      </c>
      <c r="FE99" s="322">
        <v>111605.29000000001</v>
      </c>
      <c r="FF99" s="322">
        <v>102870.95999999999</v>
      </c>
      <c r="FG99" s="322">
        <v>116185.18</v>
      </c>
      <c r="FH99" s="322">
        <v>107596.54000000001</v>
      </c>
      <c r="FI99" s="322"/>
      <c r="FJ99" s="322"/>
      <c r="FK99" s="322"/>
      <c r="FL99" s="334"/>
      <c r="FM99" s="322" t="s">
        <v>81</v>
      </c>
      <c r="FN99" s="322">
        <v>0</v>
      </c>
      <c r="FO99" s="322">
        <v>11011.09</v>
      </c>
      <c r="FP99" s="322">
        <v>12701.67</v>
      </c>
      <c r="FQ99" s="322">
        <v>12193.04</v>
      </c>
      <c r="FR99" s="322">
        <v>12816.5</v>
      </c>
      <c r="FS99" s="322">
        <v>0</v>
      </c>
      <c r="FT99" s="322">
        <v>0</v>
      </c>
      <c r="FU99" s="322">
        <v>0</v>
      </c>
      <c r="FV99" s="322">
        <v>0</v>
      </c>
      <c r="FW99" s="322">
        <v>0</v>
      </c>
      <c r="FX99" s="322">
        <v>0</v>
      </c>
      <c r="FY99" s="322">
        <v>0</v>
      </c>
      <c r="FZ99" s="322">
        <v>0</v>
      </c>
      <c r="GA99" s="322">
        <v>0</v>
      </c>
      <c r="GB99" s="322">
        <v>0</v>
      </c>
      <c r="GC99" s="322">
        <v>0</v>
      </c>
      <c r="GD99" s="322">
        <v>0</v>
      </c>
      <c r="GE99" s="322">
        <v>0</v>
      </c>
      <c r="GF99" s="340">
        <v>0</v>
      </c>
      <c r="GG99" s="704"/>
      <c r="GH99" s="704"/>
      <c r="GI99" s="704"/>
      <c r="GJ99" s="334"/>
      <c r="GK99" s="322" t="s">
        <v>81</v>
      </c>
      <c r="GL99" s="322">
        <v>30895.38</v>
      </c>
      <c r="GM99" s="322">
        <v>33033.269999999997</v>
      </c>
      <c r="GN99" s="322">
        <v>38105.01</v>
      </c>
      <c r="GO99" s="322">
        <v>36579.120000000003</v>
      </c>
      <c r="GP99" s="322">
        <v>25633</v>
      </c>
      <c r="GQ99" s="322">
        <v>26801.38</v>
      </c>
      <c r="GR99" s="322">
        <v>36788.94</v>
      </c>
      <c r="GS99" s="322">
        <v>41690.339999999997</v>
      </c>
      <c r="GT99" s="322">
        <v>30415.75</v>
      </c>
      <c r="GU99" s="322">
        <v>41854.03</v>
      </c>
      <c r="GV99" s="322">
        <v>46154.67</v>
      </c>
      <c r="GW99" s="322">
        <v>46847</v>
      </c>
      <c r="GX99" s="322">
        <v>49472.82</v>
      </c>
      <c r="GY99" s="322">
        <v>44201.69</v>
      </c>
      <c r="GZ99" s="322">
        <v>43848.9</v>
      </c>
      <c r="HA99" s="322">
        <v>66321.69</v>
      </c>
      <c r="HB99" s="322">
        <v>61763.38</v>
      </c>
      <c r="HC99" s="322">
        <v>64959.840000000004</v>
      </c>
      <c r="HD99" s="322">
        <v>62958.37</v>
      </c>
      <c r="HE99" s="322"/>
      <c r="HF99" s="322"/>
      <c r="HG99" s="322"/>
      <c r="HH99" s="334"/>
      <c r="HI99" s="322" t="s">
        <v>81</v>
      </c>
      <c r="HJ99" s="322">
        <v>0</v>
      </c>
      <c r="HK99" s="322">
        <v>0</v>
      </c>
      <c r="HL99" s="322">
        <v>0</v>
      </c>
      <c r="HM99" s="322">
        <v>0</v>
      </c>
      <c r="HN99" s="322">
        <v>12816.5</v>
      </c>
      <c r="HO99" s="322">
        <v>13400.69</v>
      </c>
      <c r="HP99" s="322">
        <v>12262.98</v>
      </c>
      <c r="HQ99" s="322">
        <v>13896.78</v>
      </c>
      <c r="HR99" s="322">
        <v>7347.2699999999995</v>
      </c>
      <c r="HS99" s="322">
        <v>6798.9199999999992</v>
      </c>
      <c r="HT99" s="322">
        <v>6976.11</v>
      </c>
      <c r="HU99" s="322">
        <v>6470.61</v>
      </c>
      <c r="HV99" s="322">
        <v>7960.02</v>
      </c>
      <c r="HW99" s="322">
        <v>12434.23</v>
      </c>
      <c r="HX99" s="322">
        <v>12843.68</v>
      </c>
      <c r="HY99" s="322">
        <v>12957.77</v>
      </c>
      <c r="HZ99" s="322">
        <v>14858.1</v>
      </c>
      <c r="IA99" s="322">
        <v>15722.96</v>
      </c>
      <c r="IB99" s="322">
        <v>13835.22</v>
      </c>
      <c r="IC99" s="322"/>
      <c r="ID99" s="322"/>
      <c r="IE99" s="322"/>
      <c r="IF99" s="334"/>
      <c r="IG99" s="322" t="s">
        <v>81</v>
      </c>
      <c r="IH99" s="322">
        <v>10298.459999999999</v>
      </c>
      <c r="II99" s="322">
        <v>11011.09</v>
      </c>
      <c r="IJ99" s="322">
        <v>12701.67</v>
      </c>
      <c r="IK99" s="322">
        <v>12193.04</v>
      </c>
      <c r="IL99" s="322">
        <v>12816.5</v>
      </c>
      <c r="IM99" s="322">
        <v>13400.69</v>
      </c>
      <c r="IN99" s="322">
        <v>12262.98</v>
      </c>
      <c r="IO99" s="322">
        <v>13896.78</v>
      </c>
      <c r="IP99" s="322">
        <v>5911.26</v>
      </c>
      <c r="IQ99" s="322">
        <v>6757.11</v>
      </c>
      <c r="IR99" s="322">
        <v>6935.01</v>
      </c>
      <c r="IS99" s="322">
        <v>7294.48</v>
      </c>
      <c r="IT99" s="322">
        <v>8105.74</v>
      </c>
      <c r="IU99" s="322">
        <v>0</v>
      </c>
      <c r="IV99" s="322"/>
      <c r="IW99" s="322"/>
      <c r="IX99" s="322"/>
      <c r="IY99" s="322"/>
      <c r="IZ99" s="322"/>
      <c r="JA99" s="322"/>
      <c r="JB99" s="322"/>
      <c r="JC99" s="322"/>
      <c r="JD99" s="334"/>
      <c r="JE99" s="322" t="s">
        <v>81</v>
      </c>
      <c r="JF99" s="322">
        <v>30895.38</v>
      </c>
      <c r="JG99" s="322">
        <v>33033.269999999997</v>
      </c>
      <c r="JH99" s="322">
        <v>38105.01</v>
      </c>
      <c r="JI99" s="322">
        <v>36579.120000000003</v>
      </c>
      <c r="JJ99" s="322">
        <v>64082.5</v>
      </c>
      <c r="JK99" s="322">
        <v>40202.07</v>
      </c>
      <c r="JL99" s="322">
        <v>36788.94</v>
      </c>
      <c r="JM99" s="322">
        <v>69483.899999999994</v>
      </c>
      <c r="JN99" s="322">
        <v>33933.919999999998</v>
      </c>
      <c r="JO99" s="322">
        <v>34419.160000000003</v>
      </c>
      <c r="JP99" s="322">
        <v>50150.58</v>
      </c>
      <c r="JQ99" s="322">
        <v>45027.020000000004</v>
      </c>
      <c r="JR99" s="322">
        <v>261738</v>
      </c>
      <c r="JS99" s="322">
        <v>317198.34000000003</v>
      </c>
      <c r="JT99" s="322">
        <v>346464.12000000005</v>
      </c>
      <c r="JU99" s="322">
        <v>355340.76</v>
      </c>
      <c r="JV99" s="322">
        <v>308208.27999999997</v>
      </c>
      <c r="JW99" s="322">
        <v>362025.5</v>
      </c>
      <c r="JX99" s="322">
        <v>364916.17</v>
      </c>
      <c r="JY99" s="322"/>
      <c r="JZ99" s="322"/>
      <c r="KA99" s="322"/>
      <c r="KB99" s="334"/>
      <c r="KC99" s="322" t="s">
        <v>81</v>
      </c>
      <c r="KD99" s="322">
        <v>10298.459999999999</v>
      </c>
      <c r="KE99" s="322">
        <v>11011.09</v>
      </c>
      <c r="KF99" s="322">
        <v>12701.67</v>
      </c>
      <c r="KG99" s="322">
        <v>12193.04</v>
      </c>
      <c r="KH99" s="322">
        <v>12816.5</v>
      </c>
      <c r="KI99" s="322">
        <v>40202.07</v>
      </c>
      <c r="KJ99" s="322">
        <v>36788.94</v>
      </c>
      <c r="KK99" s="322">
        <v>41690.339999999997</v>
      </c>
      <c r="KL99" s="322">
        <v>41403.65</v>
      </c>
      <c r="KM99" s="322">
        <v>41444.99</v>
      </c>
      <c r="KN99" s="322">
        <v>45037.25</v>
      </c>
      <c r="KO99" s="322">
        <v>46104.729999999996</v>
      </c>
      <c r="KP99" s="322">
        <v>43221.74</v>
      </c>
      <c r="KQ99" s="322">
        <v>42787.66</v>
      </c>
      <c r="KR99" s="322">
        <v>42760.67</v>
      </c>
      <c r="KS99" s="322">
        <v>43549.18</v>
      </c>
      <c r="KT99" s="322">
        <v>42793.98</v>
      </c>
      <c r="KU99" s="322">
        <v>46655.829999999994</v>
      </c>
      <c r="KV99" s="322">
        <v>46721.950000000004</v>
      </c>
      <c r="KW99" s="322"/>
      <c r="KX99" s="322"/>
      <c r="KY99" s="322"/>
      <c r="KZ99" s="334"/>
      <c r="LA99" s="322" t="s">
        <v>81</v>
      </c>
      <c r="LB99" s="322">
        <v>92686.14</v>
      </c>
      <c r="LC99" s="322">
        <v>121121.99</v>
      </c>
      <c r="LD99" s="322">
        <v>177823.38</v>
      </c>
      <c r="LE99" s="322">
        <v>109737.36</v>
      </c>
      <c r="LF99" s="322">
        <v>76899</v>
      </c>
      <c r="LG99" s="322">
        <v>134006.9</v>
      </c>
      <c r="LH99" s="322">
        <v>49051.92</v>
      </c>
      <c r="LI99" s="322">
        <v>83380.679999999993</v>
      </c>
      <c r="LJ99" s="322">
        <v>79348.39</v>
      </c>
      <c r="LK99" s="322">
        <v>87578.74</v>
      </c>
      <c r="LL99" s="322">
        <v>103063.31</v>
      </c>
      <c r="LM99" s="322">
        <v>150830.17000000001</v>
      </c>
      <c r="LN99" s="322">
        <v>144709.85999999999</v>
      </c>
      <c r="LO99" s="322">
        <v>141080.71</v>
      </c>
      <c r="LP99" s="322">
        <v>284750.09999999998</v>
      </c>
      <c r="LQ99" s="322">
        <v>174477.31</v>
      </c>
      <c r="LR99" s="322">
        <v>166221.73000000001</v>
      </c>
      <c r="LS99" s="322">
        <v>164601.58000000002</v>
      </c>
      <c r="LT99" s="322">
        <v>156450.70000000001</v>
      </c>
      <c r="LU99" s="322"/>
      <c r="LV99" s="322"/>
      <c r="LW99" s="322"/>
      <c r="LX99" s="334"/>
      <c r="LY99" s="322" t="s">
        <v>81</v>
      </c>
      <c r="LZ99" s="322">
        <v>185372.28</v>
      </c>
      <c r="MA99" s="322">
        <v>220221.8</v>
      </c>
      <c r="MB99" s="322">
        <v>165121.71</v>
      </c>
      <c r="MC99" s="322">
        <v>170702.56</v>
      </c>
      <c r="MD99" s="322">
        <v>192247.5</v>
      </c>
      <c r="ME99" s="322">
        <v>187609.66</v>
      </c>
      <c r="MF99" s="322">
        <v>171681.72</v>
      </c>
      <c r="MG99" s="322">
        <v>208451.7</v>
      </c>
      <c r="MH99" s="322">
        <v>211861.25000000003</v>
      </c>
      <c r="MI99" s="322">
        <v>244239.45</v>
      </c>
      <c r="MJ99" s="322">
        <v>268179.21000000002</v>
      </c>
      <c r="MK99" s="322">
        <v>327609.63</v>
      </c>
      <c r="ML99" s="322">
        <v>309454.31</v>
      </c>
      <c r="MM99" s="322">
        <v>282017.77999999997</v>
      </c>
      <c r="MN99" s="322">
        <v>272283.46999999997</v>
      </c>
      <c r="MO99" s="322">
        <v>298713.61</v>
      </c>
      <c r="MP99" s="322">
        <v>305708.94</v>
      </c>
      <c r="MQ99" s="322">
        <v>320449.34999999998</v>
      </c>
      <c r="MR99" s="322">
        <v>379929.45000000007</v>
      </c>
      <c r="MS99" s="322"/>
      <c r="MT99" s="322"/>
      <c r="MU99" s="322"/>
      <c r="MV99" s="334"/>
      <c r="MW99" s="322" t="s">
        <v>81</v>
      </c>
      <c r="MX99" s="322">
        <v>92686.14</v>
      </c>
      <c r="MY99" s="322">
        <v>132133.07999999999</v>
      </c>
      <c r="MZ99" s="322">
        <v>165121.71</v>
      </c>
      <c r="NA99" s="322">
        <v>158509.51999999999</v>
      </c>
      <c r="NB99" s="322">
        <v>153798</v>
      </c>
      <c r="NC99" s="322">
        <v>147407.59</v>
      </c>
      <c r="ND99" s="322">
        <v>147155.76</v>
      </c>
      <c r="NE99" s="322">
        <v>166761.35999999999</v>
      </c>
      <c r="NF99" s="322">
        <v>161658.41999999998</v>
      </c>
      <c r="NG99" s="322">
        <v>169072.53999999998</v>
      </c>
      <c r="NH99" s="322">
        <v>182098.48</v>
      </c>
      <c r="NI99" s="322">
        <v>230005.82</v>
      </c>
      <c r="NJ99" s="322">
        <v>354966.5</v>
      </c>
      <c r="NK99" s="322">
        <v>639194.64999999991</v>
      </c>
      <c r="NL99" s="322">
        <v>692665.92999999993</v>
      </c>
      <c r="NM99" s="322">
        <v>769986.71</v>
      </c>
      <c r="NN99" s="322">
        <v>772781.08</v>
      </c>
      <c r="NO99" s="322">
        <v>663345.97999999986</v>
      </c>
      <c r="NP99" s="322">
        <v>784517.80999999994</v>
      </c>
      <c r="NQ99" s="322"/>
      <c r="NR99" s="322"/>
      <c r="NS99" s="322"/>
      <c r="NT99" s="334"/>
      <c r="NU99" s="322" t="s">
        <v>81</v>
      </c>
      <c r="NV99" s="322">
        <v>72089.22</v>
      </c>
      <c r="NW99" s="322">
        <v>66066.539999999994</v>
      </c>
      <c r="NX99" s="322">
        <v>76210.02</v>
      </c>
      <c r="NY99" s="322">
        <v>85351.28</v>
      </c>
      <c r="NZ99" s="322">
        <v>76899</v>
      </c>
      <c r="OA99" s="322">
        <v>93804.83</v>
      </c>
      <c r="OB99" s="322">
        <v>85840.86</v>
      </c>
      <c r="OC99" s="322">
        <v>97277.46</v>
      </c>
      <c r="OD99" s="322">
        <v>114989.95999999999</v>
      </c>
      <c r="OE99" s="322">
        <v>131607.80000000002</v>
      </c>
      <c r="OF99" s="322">
        <v>142101.82000000004</v>
      </c>
      <c r="OG99" s="322">
        <v>181231.71</v>
      </c>
      <c r="OH99" s="322">
        <v>187265.16000000003</v>
      </c>
      <c r="OI99" s="322">
        <v>196535.66999999995</v>
      </c>
      <c r="OJ99" s="322">
        <v>203054.75000000003</v>
      </c>
      <c r="OK99" s="322">
        <v>216297.33999999997</v>
      </c>
      <c r="OL99" s="322">
        <v>220997.43999999997</v>
      </c>
      <c r="OM99" s="322">
        <v>226659.26</v>
      </c>
      <c r="ON99" s="322">
        <v>235515.58</v>
      </c>
      <c r="OO99" s="322"/>
      <c r="OP99" s="322"/>
      <c r="OQ99" s="322"/>
      <c r="OR99" s="334"/>
      <c r="OS99" s="322" t="s">
        <v>81</v>
      </c>
      <c r="OT99" s="322">
        <v>61790.76</v>
      </c>
      <c r="OU99" s="322">
        <v>55055.45</v>
      </c>
      <c r="OV99" s="322">
        <v>76210.02</v>
      </c>
      <c r="OW99" s="322">
        <v>73158.240000000005</v>
      </c>
      <c r="OX99" s="322">
        <v>38449.5</v>
      </c>
      <c r="OY99" s="322">
        <v>53602.76</v>
      </c>
      <c r="OZ99" s="322">
        <v>49051.92</v>
      </c>
      <c r="PA99" s="322">
        <v>55587.12</v>
      </c>
      <c r="PB99" s="322">
        <v>60499.92</v>
      </c>
      <c r="PC99" s="322">
        <v>45450</v>
      </c>
      <c r="PD99" s="322">
        <v>66040.070000000007</v>
      </c>
      <c r="PE99" s="322">
        <v>51555</v>
      </c>
      <c r="PF99" s="322">
        <v>64484.13</v>
      </c>
      <c r="PG99" s="322">
        <v>61920</v>
      </c>
      <c r="PH99" s="322">
        <v>65000.04</v>
      </c>
      <c r="PI99" s="322">
        <v>74439.960000000006</v>
      </c>
      <c r="PJ99" s="322">
        <v>72000</v>
      </c>
      <c r="PK99" s="322">
        <v>75804</v>
      </c>
      <c r="PL99" s="322">
        <v>75800.039999999994</v>
      </c>
      <c r="PM99" s="322"/>
      <c r="PN99" s="322"/>
      <c r="PO99" s="322"/>
      <c r="PP99" s="334"/>
      <c r="PQ99" s="322" t="s">
        <v>81</v>
      </c>
      <c r="PR99" s="322">
        <v>10298.459999999999</v>
      </c>
      <c r="PS99" s="322">
        <v>11011.09</v>
      </c>
      <c r="PT99" s="322">
        <v>12701.67</v>
      </c>
      <c r="PU99" s="322">
        <v>12193.04</v>
      </c>
      <c r="PV99" s="322">
        <v>12816.5</v>
      </c>
      <c r="PW99" s="322">
        <v>13400.69</v>
      </c>
      <c r="PX99" s="322">
        <v>12262.98</v>
      </c>
      <c r="PY99" s="322">
        <v>13896.78</v>
      </c>
      <c r="PZ99" s="322">
        <v>16476.14</v>
      </c>
      <c r="QA99" s="322">
        <v>17572.940000000002</v>
      </c>
      <c r="QB99" s="322">
        <v>21995.25</v>
      </c>
      <c r="QC99" s="322">
        <v>26175.019999999997</v>
      </c>
      <c r="QD99" s="322">
        <v>20254.5</v>
      </c>
      <c r="QE99" s="322">
        <v>22471.3</v>
      </c>
      <c r="QF99" s="322">
        <v>25375.65</v>
      </c>
      <c r="QG99" s="322">
        <v>21213.489999999998</v>
      </c>
      <c r="QH99" s="322">
        <v>20001.16</v>
      </c>
      <c r="QI99" s="322">
        <v>23330.16</v>
      </c>
      <c r="QJ99" s="322">
        <v>16115.16</v>
      </c>
      <c r="QK99" s="322"/>
      <c r="QL99" s="322"/>
      <c r="QM99" s="322"/>
      <c r="QN99" s="334"/>
      <c r="QO99" s="322" t="s">
        <v>81</v>
      </c>
      <c r="QP99" s="322">
        <v>0</v>
      </c>
      <c r="QQ99" s="322">
        <v>0</v>
      </c>
      <c r="QR99" s="322">
        <v>0</v>
      </c>
      <c r="QS99" s="322">
        <v>0</v>
      </c>
      <c r="QT99" s="322">
        <v>0</v>
      </c>
      <c r="QU99" s="322">
        <v>0</v>
      </c>
      <c r="QV99" s="322">
        <v>0</v>
      </c>
      <c r="QW99" s="322">
        <v>0</v>
      </c>
      <c r="QX99" s="322">
        <v>0</v>
      </c>
      <c r="QY99" s="322">
        <v>0</v>
      </c>
      <c r="QZ99" s="322">
        <v>0</v>
      </c>
      <c r="RA99" s="322">
        <v>0</v>
      </c>
      <c r="RB99" s="322">
        <v>0</v>
      </c>
      <c r="RC99" s="322">
        <v>0</v>
      </c>
      <c r="RD99" s="322">
        <v>0</v>
      </c>
      <c r="RE99" s="322">
        <v>0</v>
      </c>
      <c r="RF99" s="322">
        <v>4504.7699999999995</v>
      </c>
      <c r="RG99" s="322">
        <v>58.96</v>
      </c>
      <c r="RH99" s="322">
        <v>472.18</v>
      </c>
      <c r="RI99" s="322"/>
      <c r="RJ99" s="322"/>
      <c r="RK99" s="322"/>
      <c r="RL99" s="334"/>
      <c r="RM99" s="322" t="s">
        <v>81</v>
      </c>
      <c r="RN99" s="322">
        <v>10298.459999999999</v>
      </c>
      <c r="RO99" s="322">
        <v>33033.269999999997</v>
      </c>
      <c r="RP99" s="322">
        <v>38105.01</v>
      </c>
      <c r="RQ99" s="322">
        <v>60965.2</v>
      </c>
      <c r="RR99" s="322">
        <v>38449.5</v>
      </c>
      <c r="RS99" s="322">
        <v>40202.07</v>
      </c>
      <c r="RT99" s="322">
        <v>36788.94</v>
      </c>
      <c r="RU99" s="322">
        <v>41690.339999999997</v>
      </c>
      <c r="RV99" s="322">
        <v>109661.86</v>
      </c>
      <c r="RW99" s="322">
        <v>65095.459999999992</v>
      </c>
      <c r="RX99" s="322">
        <v>8119.8</v>
      </c>
      <c r="RY99" s="322">
        <v>21271.27</v>
      </c>
      <c r="RZ99" s="322">
        <v>81455.09</v>
      </c>
      <c r="SA99" s="322">
        <v>132583.81</v>
      </c>
      <c r="SB99" s="322">
        <v>38458.509999999995</v>
      </c>
      <c r="SC99" s="322">
        <v>95584.03</v>
      </c>
      <c r="SD99" s="322">
        <v>122026.08</v>
      </c>
      <c r="SE99" s="322">
        <v>44919.929999999993</v>
      </c>
      <c r="SF99" s="322">
        <v>124371.27</v>
      </c>
      <c r="SG99" s="322"/>
      <c r="SH99" s="322"/>
      <c r="SI99" s="322"/>
    </row>
    <row r="100" spans="1:503">
      <c r="A100" s="319" t="s">
        <v>82</v>
      </c>
      <c r="B100" s="319">
        <v>1479063</v>
      </c>
      <c r="C100" s="319">
        <v>1513196</v>
      </c>
      <c r="D100" s="319">
        <v>1668578</v>
      </c>
      <c r="E100" s="319">
        <v>1638668</v>
      </c>
      <c r="F100" s="319">
        <v>1731250</v>
      </c>
      <c r="G100" s="319">
        <v>1799561</v>
      </c>
      <c r="H100" s="319">
        <v>2007308</v>
      </c>
      <c r="I100" s="319">
        <v>2056342</v>
      </c>
      <c r="J100" s="319">
        <v>2120056.8899999997</v>
      </c>
      <c r="K100" s="319">
        <v>2319022.04</v>
      </c>
      <c r="L100" s="319">
        <v>2412635.21</v>
      </c>
      <c r="M100" s="319">
        <v>2304401.0099999998</v>
      </c>
      <c r="N100" s="319">
        <v>2904442.6000000006</v>
      </c>
      <c r="O100" s="319">
        <v>3258118.09</v>
      </c>
      <c r="P100" s="319">
        <v>3461937.08</v>
      </c>
      <c r="Q100" s="319">
        <v>3106814.32</v>
      </c>
      <c r="R100" s="319">
        <v>3401634.7200000007</v>
      </c>
      <c r="S100" s="322">
        <v>3258151.37</v>
      </c>
      <c r="T100" s="319"/>
      <c r="U100" s="319">
        <v>4207428.1399999997</v>
      </c>
      <c r="V100" s="319">
        <v>4406225.4800000004</v>
      </c>
      <c r="W100" s="319">
        <v>4766910.1499999994</v>
      </c>
      <c r="X100" s="330"/>
      <c r="Y100" s="319" t="s">
        <v>82</v>
      </c>
      <c r="Z100" s="319">
        <v>59162.52</v>
      </c>
      <c r="AA100" s="319">
        <v>60527.839999999997</v>
      </c>
      <c r="AB100" s="319">
        <v>66743.12</v>
      </c>
      <c r="AC100" s="319">
        <v>81933.399999999994</v>
      </c>
      <c r="AD100" s="319">
        <v>86562.5</v>
      </c>
      <c r="AE100" s="319">
        <v>89978.05</v>
      </c>
      <c r="AF100" s="319">
        <v>89978.05</v>
      </c>
      <c r="AG100" s="319">
        <v>82253.679999999993</v>
      </c>
      <c r="AH100" s="319">
        <v>89312.49</v>
      </c>
      <c r="AI100" s="319">
        <v>91169.13</v>
      </c>
      <c r="AJ100" s="319">
        <v>90513.44</v>
      </c>
      <c r="AK100" s="319">
        <v>91429.22</v>
      </c>
      <c r="AL100" s="319">
        <v>95171.069999999992</v>
      </c>
      <c r="AM100" s="319">
        <v>97548.47</v>
      </c>
      <c r="AN100" s="319">
        <v>96280.1</v>
      </c>
      <c r="AO100" s="319">
        <v>95522.450000000012</v>
      </c>
      <c r="AP100" s="319">
        <v>96314.21</v>
      </c>
      <c r="AQ100" s="322">
        <v>95168.97</v>
      </c>
      <c r="AR100" s="319"/>
      <c r="AS100" s="319">
        <v>104212.16</v>
      </c>
      <c r="AT100" s="319">
        <v>106532.23</v>
      </c>
      <c r="AU100" s="319">
        <v>106977.32</v>
      </c>
      <c r="AV100" s="334"/>
      <c r="AW100" s="319" t="s">
        <v>82</v>
      </c>
      <c r="AX100" s="319">
        <v>118325.04000000001</v>
      </c>
      <c r="AY100" s="319">
        <v>121055.68000000001</v>
      </c>
      <c r="AZ100" s="319">
        <v>116800.46</v>
      </c>
      <c r="BA100" s="319">
        <v>131093.44</v>
      </c>
      <c r="BB100" s="319">
        <v>155812.5</v>
      </c>
      <c r="BC100" s="319">
        <v>143964.88</v>
      </c>
      <c r="BD100" s="319">
        <v>160584.64000000001</v>
      </c>
      <c r="BE100" s="319">
        <v>164507.36000000002</v>
      </c>
      <c r="BF100" s="319">
        <v>177207.08000000002</v>
      </c>
      <c r="BG100" s="319">
        <v>174383.03</v>
      </c>
      <c r="BH100" s="319">
        <v>172238.72000000003</v>
      </c>
      <c r="BI100" s="319">
        <v>173251.91999999998</v>
      </c>
      <c r="BJ100" s="319">
        <v>184108.06999999998</v>
      </c>
      <c r="BK100" s="319">
        <v>190996.65</v>
      </c>
      <c r="BL100" s="319">
        <v>189393.50999999998</v>
      </c>
      <c r="BM100" s="319">
        <v>192351.06999999998</v>
      </c>
      <c r="BN100" s="319">
        <v>180509.55</v>
      </c>
      <c r="BO100" s="322">
        <v>172983.73</v>
      </c>
      <c r="BP100" s="319"/>
      <c r="BQ100" s="319">
        <v>175836.74</v>
      </c>
      <c r="BR100" s="319">
        <v>176966.00999999998</v>
      </c>
      <c r="BS100" s="319">
        <v>181911.03999999998</v>
      </c>
      <c r="BT100" s="334"/>
      <c r="BU100" s="322" t="s">
        <v>82</v>
      </c>
      <c r="BV100" s="322">
        <v>44371.89</v>
      </c>
      <c r="BW100" s="322">
        <v>15131.96</v>
      </c>
      <c r="BX100" s="322">
        <v>50057.34</v>
      </c>
      <c r="BY100" s="322">
        <v>16386.68</v>
      </c>
      <c r="BZ100" s="322">
        <v>51937.5</v>
      </c>
      <c r="CA100" s="322">
        <v>17995.61</v>
      </c>
      <c r="CB100" s="322">
        <v>60219.24</v>
      </c>
      <c r="CC100" s="322">
        <v>20563.419999999998</v>
      </c>
      <c r="CD100" s="322">
        <v>46777.460000000006</v>
      </c>
      <c r="CE100" s="322">
        <v>10496.029999999999</v>
      </c>
      <c r="CF100" s="322">
        <v>49846.66</v>
      </c>
      <c r="CG100" s="322">
        <v>20043.97</v>
      </c>
      <c r="CH100" s="322">
        <v>70269.3</v>
      </c>
      <c r="CI100" s="322">
        <v>4225.7700000000004</v>
      </c>
      <c r="CJ100" s="322">
        <v>55556.619999999995</v>
      </c>
      <c r="CK100" s="322">
        <v>3777.7299999999996</v>
      </c>
      <c r="CL100" s="322">
        <v>82321.19</v>
      </c>
      <c r="CM100" s="322">
        <v>4008.68</v>
      </c>
      <c r="CN100" s="322"/>
      <c r="CO100" s="322">
        <v>25464.17</v>
      </c>
      <c r="CP100" s="322">
        <v>84334.650000000009</v>
      </c>
      <c r="CQ100" s="322">
        <v>38750</v>
      </c>
      <c r="CR100" s="334"/>
      <c r="CS100" s="322" t="s">
        <v>82</v>
      </c>
      <c r="CT100" s="322">
        <v>103534.41</v>
      </c>
      <c r="CU100" s="322">
        <v>105923.72</v>
      </c>
      <c r="CV100" s="322">
        <v>116800.46</v>
      </c>
      <c r="CW100" s="322">
        <v>114706.76</v>
      </c>
      <c r="CX100" s="322">
        <v>138500</v>
      </c>
      <c r="CY100" s="322">
        <v>125969.27</v>
      </c>
      <c r="CZ100" s="322">
        <v>120438.48</v>
      </c>
      <c r="DA100" s="322">
        <v>102817.1</v>
      </c>
      <c r="DB100" s="322">
        <v>121799.98999999999</v>
      </c>
      <c r="DC100" s="322">
        <v>140004.81999999998</v>
      </c>
      <c r="DD100" s="322">
        <v>122408.36999999998</v>
      </c>
      <c r="DE100" s="322">
        <v>137975.69</v>
      </c>
      <c r="DF100" s="322">
        <v>147293.85</v>
      </c>
      <c r="DG100" s="322">
        <v>198335.45</v>
      </c>
      <c r="DH100" s="322">
        <v>105185.84999999998</v>
      </c>
      <c r="DI100" s="322">
        <v>95436.58</v>
      </c>
      <c r="DJ100" s="322">
        <v>104038.9</v>
      </c>
      <c r="DK100" s="322">
        <v>130859.27000000002</v>
      </c>
      <c r="DL100" s="322"/>
      <c r="DM100" s="322">
        <v>161362.41</v>
      </c>
      <c r="DN100" s="322">
        <v>147877.34</v>
      </c>
      <c r="DO100" s="322">
        <v>318258.83999999997</v>
      </c>
      <c r="DP100" s="334"/>
      <c r="DQ100" s="322" t="s">
        <v>82</v>
      </c>
      <c r="DR100" s="322">
        <v>73953.149999999994</v>
      </c>
      <c r="DS100" s="322">
        <v>90791.76</v>
      </c>
      <c r="DT100" s="322">
        <v>83428.899999999994</v>
      </c>
      <c r="DU100" s="322">
        <v>98320.08</v>
      </c>
      <c r="DV100" s="322">
        <v>138500</v>
      </c>
      <c r="DW100" s="322">
        <v>161960.49</v>
      </c>
      <c r="DX100" s="322">
        <v>180657.72</v>
      </c>
      <c r="DY100" s="322">
        <v>205634.2</v>
      </c>
      <c r="DZ100" s="322">
        <v>203825.07</v>
      </c>
      <c r="EA100" s="322">
        <v>239225.85</v>
      </c>
      <c r="EB100" s="322">
        <v>280620.32</v>
      </c>
      <c r="EC100" s="322">
        <v>287152.73000000004</v>
      </c>
      <c r="ED100" s="322">
        <v>351077.92</v>
      </c>
      <c r="EE100" s="322">
        <v>370302.62999999995</v>
      </c>
      <c r="EF100" s="322">
        <v>357464.76</v>
      </c>
      <c r="EG100" s="322">
        <v>371488.54000000004</v>
      </c>
      <c r="EH100" s="322">
        <v>377340.89</v>
      </c>
      <c r="EI100" s="322">
        <v>390443.45</v>
      </c>
      <c r="EJ100" s="322"/>
      <c r="EK100" s="322">
        <v>494521.25</v>
      </c>
      <c r="EL100" s="322">
        <v>592677.50999999989</v>
      </c>
      <c r="EM100" s="322">
        <v>683329.75</v>
      </c>
      <c r="EN100" s="334"/>
      <c r="EO100" s="322" t="s">
        <v>82</v>
      </c>
      <c r="EP100" s="322">
        <v>59162.52</v>
      </c>
      <c r="EQ100" s="322">
        <v>60527.839999999997</v>
      </c>
      <c r="ER100" s="322">
        <v>0</v>
      </c>
      <c r="ES100" s="322">
        <v>65546.720000000001</v>
      </c>
      <c r="ET100" s="322">
        <v>69250</v>
      </c>
      <c r="EU100" s="322">
        <v>71982.44</v>
      </c>
      <c r="EV100" s="322">
        <v>60219.24</v>
      </c>
      <c r="EW100" s="322">
        <v>61690.26</v>
      </c>
      <c r="EX100" s="322">
        <v>68800.290000000008</v>
      </c>
      <c r="EY100" s="322">
        <v>68362.28</v>
      </c>
      <c r="EZ100" s="322">
        <v>69161.049999999988</v>
      </c>
      <c r="FA100" s="322">
        <v>94003.04</v>
      </c>
      <c r="FB100" s="322">
        <v>102849.36</v>
      </c>
      <c r="FC100" s="322">
        <v>111009.13</v>
      </c>
      <c r="FD100" s="322">
        <v>107168.46</v>
      </c>
      <c r="FE100" s="322">
        <v>107405.87000000001</v>
      </c>
      <c r="FF100" s="322">
        <v>134624.29</v>
      </c>
      <c r="FG100" s="322">
        <v>134391.48000000001</v>
      </c>
      <c r="FH100" s="322"/>
      <c r="FI100" s="322">
        <v>137938.72</v>
      </c>
      <c r="FJ100" s="322">
        <v>136002.32</v>
      </c>
      <c r="FK100" s="322">
        <v>140429.20000000001</v>
      </c>
      <c r="FL100" s="334"/>
      <c r="FM100" s="322" t="s">
        <v>82</v>
      </c>
      <c r="FN100" s="322">
        <v>0</v>
      </c>
      <c r="FO100" s="322">
        <v>0</v>
      </c>
      <c r="FP100" s="322">
        <v>66743.12</v>
      </c>
      <c r="FQ100" s="322">
        <v>0</v>
      </c>
      <c r="FR100" s="322">
        <v>0</v>
      </c>
      <c r="FS100" s="322">
        <v>0</v>
      </c>
      <c r="FT100" s="322">
        <v>0</v>
      </c>
      <c r="FU100" s="322">
        <v>0</v>
      </c>
      <c r="FV100" s="322">
        <v>0</v>
      </c>
      <c r="FW100" s="322">
        <v>0</v>
      </c>
      <c r="FX100" s="322">
        <v>0</v>
      </c>
      <c r="FY100" s="322">
        <v>0</v>
      </c>
      <c r="FZ100" s="322">
        <v>0</v>
      </c>
      <c r="GA100" s="322">
        <v>0</v>
      </c>
      <c r="GB100" s="322">
        <v>0</v>
      </c>
      <c r="GC100" s="322">
        <v>0</v>
      </c>
      <c r="GD100" s="322">
        <v>0</v>
      </c>
      <c r="GE100" s="322">
        <v>0</v>
      </c>
      <c r="GF100" s="340"/>
      <c r="GG100" s="704">
        <v>0</v>
      </c>
      <c r="GH100" s="704">
        <v>0</v>
      </c>
      <c r="GI100" s="704">
        <v>0</v>
      </c>
      <c r="GJ100" s="334"/>
      <c r="GK100" s="322" t="s">
        <v>82</v>
      </c>
      <c r="GL100" s="322">
        <v>44371.89</v>
      </c>
      <c r="GM100" s="322">
        <v>45395.88</v>
      </c>
      <c r="GN100" s="322">
        <v>50057.34</v>
      </c>
      <c r="GO100" s="322">
        <v>65546.720000000001</v>
      </c>
      <c r="GP100" s="322">
        <v>69250</v>
      </c>
      <c r="GQ100" s="322">
        <v>89978.05</v>
      </c>
      <c r="GR100" s="322">
        <v>80292.320000000007</v>
      </c>
      <c r="GS100" s="322">
        <v>82253.679999999993</v>
      </c>
      <c r="GT100" s="322">
        <v>85660.969999999987</v>
      </c>
      <c r="GU100" s="322">
        <v>87107.29</v>
      </c>
      <c r="GV100" s="322">
        <v>86864.28</v>
      </c>
      <c r="GW100" s="322">
        <v>85304.53</v>
      </c>
      <c r="GX100" s="322">
        <v>85347.470000000016</v>
      </c>
      <c r="GY100" s="322">
        <v>87008.73000000001</v>
      </c>
      <c r="GZ100" s="322">
        <v>86753.09</v>
      </c>
      <c r="HA100" s="322">
        <v>87679.650000000009</v>
      </c>
      <c r="HB100" s="322">
        <v>87399.47</v>
      </c>
      <c r="HC100" s="322">
        <v>88163.920000000013</v>
      </c>
      <c r="HD100" s="322"/>
      <c r="HE100" s="322">
        <v>90976.530000000013</v>
      </c>
      <c r="HF100" s="322">
        <v>93053.829999999987</v>
      </c>
      <c r="HG100" s="322">
        <v>95582.58</v>
      </c>
      <c r="HH100" s="334"/>
      <c r="HI100" s="322" t="s">
        <v>82</v>
      </c>
      <c r="HJ100" s="322">
        <v>14790.63</v>
      </c>
      <c r="HK100" s="322">
        <v>30263.919999999998</v>
      </c>
      <c r="HL100" s="322">
        <v>33371.56</v>
      </c>
      <c r="HM100" s="322">
        <v>49160.04</v>
      </c>
      <c r="HN100" s="322">
        <v>34625</v>
      </c>
      <c r="HO100" s="322">
        <v>35991.22</v>
      </c>
      <c r="HP100" s="322">
        <v>80292.320000000007</v>
      </c>
      <c r="HQ100" s="322">
        <v>82253.679999999993</v>
      </c>
      <c r="HR100" s="322">
        <v>24828.729999999996</v>
      </c>
      <c r="HS100" s="322">
        <v>26507.870000000003</v>
      </c>
      <c r="HT100" s="322">
        <v>28441.699999999997</v>
      </c>
      <c r="HU100" s="322">
        <v>27384.41</v>
      </c>
      <c r="HV100" s="322">
        <v>32283.949999999997</v>
      </c>
      <c r="HW100" s="322">
        <v>35258.689999999995</v>
      </c>
      <c r="HX100" s="322">
        <v>37253.83</v>
      </c>
      <c r="HY100" s="322">
        <v>36390.75</v>
      </c>
      <c r="HZ100" s="322">
        <v>35473.629999999997</v>
      </c>
      <c r="IA100" s="322">
        <v>44396.380000000005</v>
      </c>
      <c r="IB100" s="322"/>
      <c r="IC100" s="322">
        <v>34243.759999999995</v>
      </c>
      <c r="ID100" s="322">
        <v>35434.829999999994</v>
      </c>
      <c r="IE100" s="322">
        <v>54800</v>
      </c>
      <c r="IF100" s="334"/>
      <c r="IG100" s="322" t="s">
        <v>82</v>
      </c>
      <c r="IH100" s="322">
        <v>44371.89</v>
      </c>
      <c r="II100" s="322">
        <v>0</v>
      </c>
      <c r="IJ100" s="322">
        <v>0</v>
      </c>
      <c r="IK100" s="322">
        <v>0</v>
      </c>
      <c r="IL100" s="322">
        <v>0</v>
      </c>
      <c r="IM100" s="322">
        <v>0</v>
      </c>
      <c r="IN100" s="322">
        <v>0</v>
      </c>
      <c r="IO100" s="322">
        <v>0</v>
      </c>
      <c r="IP100" s="322">
        <v>0</v>
      </c>
      <c r="IQ100" s="322">
        <v>0</v>
      </c>
      <c r="IR100" s="322">
        <v>0</v>
      </c>
      <c r="IS100" s="322">
        <v>0</v>
      </c>
      <c r="IT100" s="322">
        <v>0</v>
      </c>
      <c r="IU100" s="322">
        <v>0</v>
      </c>
      <c r="IV100" s="322"/>
      <c r="IW100" s="322"/>
      <c r="IX100" s="322"/>
      <c r="IY100" s="322"/>
      <c r="IZ100" s="322"/>
      <c r="JA100" s="322"/>
      <c r="JB100" s="322"/>
      <c r="JC100" s="322"/>
      <c r="JD100" s="334"/>
      <c r="JE100" s="322" t="s">
        <v>82</v>
      </c>
      <c r="JF100" s="322">
        <v>14790.63</v>
      </c>
      <c r="JG100" s="322">
        <v>15131.96</v>
      </c>
      <c r="JH100" s="322">
        <v>16685.78</v>
      </c>
      <c r="JI100" s="322">
        <v>32773.360000000001</v>
      </c>
      <c r="JJ100" s="322">
        <v>34625</v>
      </c>
      <c r="JK100" s="322">
        <v>17995.61</v>
      </c>
      <c r="JL100" s="322">
        <v>20073.080000000002</v>
      </c>
      <c r="JM100" s="322">
        <v>20563.419999999998</v>
      </c>
      <c r="JN100" s="322">
        <v>23390.909999999996</v>
      </c>
      <c r="JO100" s="322">
        <v>19462.800000000003</v>
      </c>
      <c r="JP100" s="322">
        <v>15003.369999999999</v>
      </c>
      <c r="JQ100" s="322">
        <v>21961.440000000002</v>
      </c>
      <c r="JR100" s="322">
        <v>24444.199999999997</v>
      </c>
      <c r="JS100" s="322">
        <v>24502.61</v>
      </c>
      <c r="JT100" s="322">
        <v>23502.489999999998</v>
      </c>
      <c r="JU100" s="322">
        <v>20715.54</v>
      </c>
      <c r="JV100" s="322">
        <v>27383.93</v>
      </c>
      <c r="JW100" s="322">
        <v>20975.17</v>
      </c>
      <c r="JX100" s="322"/>
      <c r="JY100" s="322">
        <v>21681.03</v>
      </c>
      <c r="JZ100" s="322">
        <v>24872.120000000003</v>
      </c>
      <c r="KA100" s="322">
        <v>27170</v>
      </c>
      <c r="KB100" s="334"/>
      <c r="KC100" s="322" t="s">
        <v>82</v>
      </c>
      <c r="KD100" s="322">
        <v>29581.26</v>
      </c>
      <c r="KE100" s="322">
        <v>45395.88</v>
      </c>
      <c r="KF100" s="322">
        <v>33371.56</v>
      </c>
      <c r="KG100" s="322">
        <v>49160.04</v>
      </c>
      <c r="KH100" s="322">
        <v>51937.5</v>
      </c>
      <c r="KI100" s="322">
        <v>53986.83</v>
      </c>
      <c r="KJ100" s="322">
        <v>40146.160000000003</v>
      </c>
      <c r="KK100" s="322">
        <v>41126.839999999997</v>
      </c>
      <c r="KL100" s="322">
        <v>46660.62</v>
      </c>
      <c r="KM100" s="322">
        <v>47648.74</v>
      </c>
      <c r="KN100" s="322">
        <v>50838.5</v>
      </c>
      <c r="KO100" s="322">
        <v>51370.100000000013</v>
      </c>
      <c r="KP100" s="322">
        <v>54741.250000000007</v>
      </c>
      <c r="KQ100" s="322">
        <v>64701.189999999995</v>
      </c>
      <c r="KR100" s="322">
        <v>63211.71</v>
      </c>
      <c r="KS100" s="322">
        <v>65798.259999999995</v>
      </c>
      <c r="KT100" s="322">
        <v>69247.28</v>
      </c>
      <c r="KU100" s="322">
        <v>74297.259999999995</v>
      </c>
      <c r="KV100" s="322"/>
      <c r="KW100" s="322">
        <v>90982.03</v>
      </c>
      <c r="KX100" s="322">
        <v>94793.54</v>
      </c>
      <c r="KY100" s="322">
        <v>96198.489999999991</v>
      </c>
      <c r="KZ100" s="334"/>
      <c r="LA100" s="322" t="s">
        <v>82</v>
      </c>
      <c r="LB100" s="322">
        <v>118325.04</v>
      </c>
      <c r="LC100" s="322">
        <v>90791.76</v>
      </c>
      <c r="LD100" s="322">
        <v>133486.24</v>
      </c>
      <c r="LE100" s="322">
        <v>114706.76</v>
      </c>
      <c r="LF100" s="322">
        <v>121187.5</v>
      </c>
      <c r="LG100" s="322">
        <v>89978.05</v>
      </c>
      <c r="LH100" s="322">
        <v>160584.64000000001</v>
      </c>
      <c r="LI100" s="322">
        <v>185070.78</v>
      </c>
      <c r="LJ100" s="322">
        <v>129586.76999999999</v>
      </c>
      <c r="LK100" s="322">
        <v>231613.29000000004</v>
      </c>
      <c r="LL100" s="322">
        <v>285992.75</v>
      </c>
      <c r="LM100" s="322">
        <v>186413.41</v>
      </c>
      <c r="LN100" s="322">
        <v>262911.68</v>
      </c>
      <c r="LO100" s="322">
        <v>239416.77000000002</v>
      </c>
      <c r="LP100" s="322">
        <v>221007.46999999997</v>
      </c>
      <c r="LQ100" s="322">
        <v>208598.38</v>
      </c>
      <c r="LR100" s="322">
        <v>218250.47999999998</v>
      </c>
      <c r="LS100" s="322">
        <v>244725.2</v>
      </c>
      <c r="LT100" s="322"/>
      <c r="LU100" s="322">
        <v>271845.13</v>
      </c>
      <c r="LV100" s="322">
        <v>252883.38</v>
      </c>
      <c r="LW100" s="322">
        <v>285201.17</v>
      </c>
      <c r="LX100" s="334"/>
      <c r="LY100" s="322" t="s">
        <v>82</v>
      </c>
      <c r="LZ100" s="322">
        <v>281021.96999999997</v>
      </c>
      <c r="MA100" s="322">
        <v>332903.12</v>
      </c>
      <c r="MB100" s="322">
        <v>317029.82</v>
      </c>
      <c r="MC100" s="322">
        <v>327733.59999999998</v>
      </c>
      <c r="MD100" s="322">
        <v>328937.5</v>
      </c>
      <c r="ME100" s="322">
        <v>467885.86</v>
      </c>
      <c r="MF100" s="322">
        <v>381388.52</v>
      </c>
      <c r="MG100" s="322">
        <v>431831.82</v>
      </c>
      <c r="MH100" s="322">
        <v>471468.92</v>
      </c>
      <c r="MI100" s="322">
        <v>554833.90999999992</v>
      </c>
      <c r="MJ100" s="322">
        <v>428921.93999999994</v>
      </c>
      <c r="MK100" s="322">
        <v>562707.16000000015</v>
      </c>
      <c r="ML100" s="322">
        <v>789126.98000000033</v>
      </c>
      <c r="MM100" s="322">
        <v>1117477.24</v>
      </c>
      <c r="MN100" s="322">
        <v>883026.90000000014</v>
      </c>
      <c r="MO100" s="322">
        <v>639564.28</v>
      </c>
      <c r="MP100" s="322">
        <v>797671.15</v>
      </c>
      <c r="MQ100" s="322">
        <v>638373.42000000004</v>
      </c>
      <c r="MR100" s="322"/>
      <c r="MS100" s="322">
        <v>867734.85</v>
      </c>
      <c r="MT100" s="322">
        <v>832649.78999999992</v>
      </c>
      <c r="MU100" s="322">
        <v>870351.5</v>
      </c>
      <c r="MV100" s="334"/>
      <c r="MW100" s="322" t="s">
        <v>82</v>
      </c>
      <c r="MX100" s="322">
        <v>162696.93</v>
      </c>
      <c r="MY100" s="322">
        <v>166451.56</v>
      </c>
      <c r="MZ100" s="322">
        <v>183543.58</v>
      </c>
      <c r="NA100" s="322">
        <v>180253.48</v>
      </c>
      <c r="NB100" s="322">
        <v>190437.5</v>
      </c>
      <c r="NC100" s="322">
        <v>53986.83</v>
      </c>
      <c r="ND100" s="322">
        <v>220803.88</v>
      </c>
      <c r="NE100" s="322">
        <v>246761.04</v>
      </c>
      <c r="NF100" s="322">
        <v>257025.63</v>
      </c>
      <c r="NG100" s="322">
        <v>277882.25</v>
      </c>
      <c r="NH100" s="322">
        <v>280872.32999999996</v>
      </c>
      <c r="NI100" s="322">
        <v>229722.57000000004</v>
      </c>
      <c r="NJ100" s="322">
        <v>338047.15</v>
      </c>
      <c r="NK100" s="322">
        <v>321848.2</v>
      </c>
      <c r="NL100" s="322">
        <v>604378.58000000007</v>
      </c>
      <c r="NM100" s="322">
        <v>791234.92999999993</v>
      </c>
      <c r="NN100" s="322">
        <v>833762.68</v>
      </c>
      <c r="NO100" s="322">
        <v>846677.04</v>
      </c>
      <c r="NP100" s="322"/>
      <c r="NQ100" s="322">
        <v>1017202.8</v>
      </c>
      <c r="NR100" s="322">
        <v>1189871.4099999999</v>
      </c>
      <c r="NS100" s="322">
        <v>1159674.5899999999</v>
      </c>
      <c r="NT100" s="334"/>
      <c r="NU100" s="322" t="s">
        <v>82</v>
      </c>
      <c r="NV100" s="322">
        <v>88743.78</v>
      </c>
      <c r="NW100" s="322">
        <v>105923.72</v>
      </c>
      <c r="NX100" s="322">
        <v>100114.68</v>
      </c>
      <c r="NY100" s="322">
        <v>114706.76</v>
      </c>
      <c r="NZ100" s="322">
        <v>103875</v>
      </c>
      <c r="OA100" s="322">
        <v>125969.27</v>
      </c>
      <c r="OB100" s="322">
        <v>120438.48</v>
      </c>
      <c r="OC100" s="322">
        <v>143943.94</v>
      </c>
      <c r="OD100" s="322">
        <v>157502.73999999996</v>
      </c>
      <c r="OE100" s="322">
        <v>169500.29000000004</v>
      </c>
      <c r="OF100" s="322">
        <v>175142.87999999998</v>
      </c>
      <c r="OG100" s="322">
        <v>179931.79</v>
      </c>
      <c r="OH100" s="322">
        <v>182432.87000000002</v>
      </c>
      <c r="OI100" s="322">
        <v>182013.32</v>
      </c>
      <c r="OJ100" s="322">
        <v>183782.33999999997</v>
      </c>
      <c r="OK100" s="322">
        <v>184609.39</v>
      </c>
      <c r="OL100" s="322">
        <v>193314.75</v>
      </c>
      <c r="OM100" s="322">
        <v>198299.62999999998</v>
      </c>
      <c r="ON100" s="322"/>
      <c r="OO100" s="322">
        <v>218173.48</v>
      </c>
      <c r="OP100" s="322">
        <v>222610.05000000002</v>
      </c>
      <c r="OQ100" s="322">
        <v>225080.78999999998</v>
      </c>
      <c r="OR100" s="334"/>
      <c r="OS100" s="322" t="s">
        <v>82</v>
      </c>
      <c r="OT100" s="322">
        <v>207068.82</v>
      </c>
      <c r="OU100" s="322">
        <v>211847.44</v>
      </c>
      <c r="OV100" s="322">
        <v>250286.7</v>
      </c>
      <c r="OW100" s="322">
        <v>180253.48</v>
      </c>
      <c r="OX100" s="322">
        <v>138500</v>
      </c>
      <c r="OY100" s="322">
        <v>161960.49</v>
      </c>
      <c r="OZ100" s="322">
        <v>180657.72</v>
      </c>
      <c r="PA100" s="322">
        <v>143943.94</v>
      </c>
      <c r="PB100" s="322">
        <v>133196.49000000002</v>
      </c>
      <c r="PC100" s="322">
        <v>103958.23</v>
      </c>
      <c r="PD100" s="322">
        <v>122419.72</v>
      </c>
      <c r="PE100" s="322">
        <v>104133.82999999999</v>
      </c>
      <c r="PF100" s="322">
        <v>111032.57</v>
      </c>
      <c r="PG100" s="322">
        <v>129008.84999999999</v>
      </c>
      <c r="PH100" s="322">
        <v>103806.08</v>
      </c>
      <c r="PI100" s="322">
        <v>113586.66</v>
      </c>
      <c r="PJ100" s="322">
        <v>115570.75</v>
      </c>
      <c r="PK100" s="322">
        <v>135321.81</v>
      </c>
      <c r="PL100" s="322"/>
      <c r="PM100" s="322">
        <v>135660.80000000002</v>
      </c>
      <c r="PN100" s="322">
        <v>144081.4</v>
      </c>
      <c r="PO100" s="322">
        <v>156200</v>
      </c>
      <c r="PP100" s="334"/>
      <c r="PQ100" s="322" t="s">
        <v>82</v>
      </c>
      <c r="PR100" s="322">
        <v>0</v>
      </c>
      <c r="PS100" s="322">
        <v>15131.96</v>
      </c>
      <c r="PT100" s="322">
        <v>16685.78</v>
      </c>
      <c r="PU100" s="322">
        <v>16386.68</v>
      </c>
      <c r="PV100" s="322">
        <v>17312.5</v>
      </c>
      <c r="PW100" s="322">
        <v>17995.61</v>
      </c>
      <c r="PX100" s="322">
        <v>20073.080000000002</v>
      </c>
      <c r="PY100" s="322">
        <v>20563.419999999998</v>
      </c>
      <c r="PZ100" s="322">
        <v>28979.700000000004</v>
      </c>
      <c r="QA100" s="322">
        <v>28990.2</v>
      </c>
      <c r="QB100" s="322">
        <v>29071.3</v>
      </c>
      <c r="QC100" s="322">
        <v>25863.56</v>
      </c>
      <c r="QD100" s="322">
        <v>29042.28</v>
      </c>
      <c r="QE100" s="322">
        <v>22947.579999999998</v>
      </c>
      <c r="QF100" s="322">
        <v>32261.760000000002</v>
      </c>
      <c r="QG100" s="322">
        <v>25634.16</v>
      </c>
      <c r="QH100" s="322">
        <v>26662.199999999997</v>
      </c>
      <c r="QI100" s="322">
        <v>27218.39</v>
      </c>
      <c r="QJ100" s="322"/>
      <c r="QK100" s="322">
        <v>23986.609999999997</v>
      </c>
      <c r="QL100" s="322">
        <v>34942.199999999997</v>
      </c>
      <c r="QM100" s="322">
        <v>37974.14</v>
      </c>
      <c r="QN100" s="334"/>
      <c r="QO100" s="322" t="s">
        <v>82</v>
      </c>
      <c r="QP100" s="322">
        <v>0</v>
      </c>
      <c r="QQ100" s="322">
        <v>0</v>
      </c>
      <c r="QR100" s="322">
        <v>0</v>
      </c>
      <c r="QS100" s="322">
        <v>0</v>
      </c>
      <c r="QT100" s="322">
        <v>0</v>
      </c>
      <c r="QU100" s="322">
        <v>0</v>
      </c>
      <c r="QV100" s="322">
        <v>0</v>
      </c>
      <c r="QW100" s="322">
        <v>0</v>
      </c>
      <c r="QX100" s="322">
        <v>4500</v>
      </c>
      <c r="QY100" s="322">
        <v>4500</v>
      </c>
      <c r="QZ100" s="322">
        <v>2500</v>
      </c>
      <c r="RA100" s="322">
        <v>2500</v>
      </c>
      <c r="RB100" s="322">
        <v>2500</v>
      </c>
      <c r="RC100" s="322">
        <v>2500</v>
      </c>
      <c r="RD100" s="322">
        <v>1500</v>
      </c>
      <c r="RE100" s="322">
        <v>1000</v>
      </c>
      <c r="RF100" s="322">
        <v>1000</v>
      </c>
      <c r="RG100" s="322">
        <v>1000</v>
      </c>
      <c r="RH100" s="322"/>
      <c r="RI100" s="322">
        <v>2000</v>
      </c>
      <c r="RJ100" s="322">
        <v>1000</v>
      </c>
      <c r="RK100" s="322">
        <v>2000</v>
      </c>
      <c r="RL100" s="334"/>
      <c r="RM100" s="322" t="s">
        <v>82</v>
      </c>
      <c r="RN100" s="322">
        <v>14790.63</v>
      </c>
      <c r="RO100" s="322">
        <v>0</v>
      </c>
      <c r="RP100" s="322">
        <v>33371.56</v>
      </c>
      <c r="RQ100" s="322">
        <v>0</v>
      </c>
      <c r="RR100" s="322">
        <v>0</v>
      </c>
      <c r="RS100" s="322">
        <v>71982.44</v>
      </c>
      <c r="RT100" s="322">
        <v>20073.080000000002</v>
      </c>
      <c r="RU100" s="322">
        <v>20563.419999999998</v>
      </c>
      <c r="RV100" s="322">
        <v>34319.5</v>
      </c>
      <c r="RW100" s="322">
        <v>40174.81</v>
      </c>
      <c r="RX100" s="322">
        <v>119736.88</v>
      </c>
      <c r="RY100" s="322">
        <v>23067.5</v>
      </c>
      <c r="RZ100" s="322">
        <v>41630.449999999997</v>
      </c>
      <c r="SA100" s="322">
        <v>50675.82</v>
      </c>
      <c r="SB100" s="322">
        <v>18450</v>
      </c>
      <c r="SC100" s="322">
        <v>8345</v>
      </c>
      <c r="SD100" s="322">
        <v>11571.15</v>
      </c>
      <c r="SE100" s="322">
        <v>9528.75</v>
      </c>
      <c r="SF100" s="322"/>
      <c r="SG100" s="322">
        <v>328264.62</v>
      </c>
      <c r="SH100" s="322">
        <v>195516.5</v>
      </c>
      <c r="SI100" s="322">
        <v>158150.63</v>
      </c>
    </row>
    <row r="101" spans="1:503">
      <c r="A101" s="319" t="s">
        <v>83</v>
      </c>
      <c r="B101" s="319">
        <v>1518568</v>
      </c>
      <c r="C101" s="319">
        <v>1757972</v>
      </c>
      <c r="D101" s="319">
        <v>1855029</v>
      </c>
      <c r="E101" s="319">
        <v>1708766</v>
      </c>
      <c r="F101" s="319">
        <v>1895140</v>
      </c>
      <c r="G101" s="319">
        <v>2091927</v>
      </c>
      <c r="H101" s="319">
        <v>2293881</v>
      </c>
      <c r="I101" s="319">
        <v>2219559</v>
      </c>
      <c r="J101" s="319">
        <v>2854970.2600000007</v>
      </c>
      <c r="K101" s="319"/>
      <c r="L101" s="319"/>
      <c r="M101" s="319"/>
      <c r="N101" s="319"/>
      <c r="O101" s="319"/>
      <c r="P101" s="319"/>
      <c r="Q101" s="319"/>
      <c r="R101" s="319"/>
      <c r="S101" s="322"/>
      <c r="T101" s="319"/>
      <c r="U101" s="319"/>
      <c r="V101" s="319"/>
      <c r="W101" s="319"/>
      <c r="X101" s="330"/>
      <c r="Y101" s="319" t="s">
        <v>83</v>
      </c>
      <c r="Z101" s="319">
        <v>60742.720000000001</v>
      </c>
      <c r="AA101" s="319">
        <v>70318.880000000005</v>
      </c>
      <c r="AB101" s="319">
        <v>74201.16</v>
      </c>
      <c r="AC101" s="319">
        <v>85438.3</v>
      </c>
      <c r="AD101" s="319">
        <v>75805.600000000006</v>
      </c>
      <c r="AE101" s="319">
        <v>104596.35</v>
      </c>
      <c r="AF101" s="319">
        <v>104596.35</v>
      </c>
      <c r="AG101" s="319">
        <v>110977.95</v>
      </c>
      <c r="AH101" s="319">
        <v>114883.04000000001</v>
      </c>
      <c r="AI101" s="319"/>
      <c r="AJ101" s="319"/>
      <c r="AK101" s="319"/>
      <c r="AL101" s="319"/>
      <c r="AM101" s="319"/>
      <c r="AN101" s="319"/>
      <c r="AO101" s="319"/>
      <c r="AP101" s="319"/>
      <c r="AQ101" s="322"/>
      <c r="AR101" s="319"/>
      <c r="AS101" s="319"/>
      <c r="AT101" s="319"/>
      <c r="AU101" s="319"/>
      <c r="AV101" s="334"/>
      <c r="AW101" s="319" t="s">
        <v>83</v>
      </c>
      <c r="AX101" s="319">
        <v>106299.76000000001</v>
      </c>
      <c r="AY101" s="319">
        <v>105478.31999999999</v>
      </c>
      <c r="AZ101" s="319">
        <v>111301.73999999999</v>
      </c>
      <c r="BA101" s="319">
        <v>119613.62000000001</v>
      </c>
      <c r="BB101" s="319">
        <v>132659.80000000002</v>
      </c>
      <c r="BC101" s="319">
        <v>125515.62</v>
      </c>
      <c r="BD101" s="319">
        <v>137632.85999999999</v>
      </c>
      <c r="BE101" s="319">
        <v>133173.54</v>
      </c>
      <c r="BF101" s="319">
        <v>147121.97999999998</v>
      </c>
      <c r="BG101" s="319"/>
      <c r="BH101" s="319"/>
      <c r="BI101" s="319"/>
      <c r="BJ101" s="319"/>
      <c r="BK101" s="319"/>
      <c r="BL101" s="319"/>
      <c r="BM101" s="319"/>
      <c r="BN101" s="319"/>
      <c r="BO101" s="322"/>
      <c r="BP101" s="319"/>
      <c r="BQ101" s="319"/>
      <c r="BR101" s="319"/>
      <c r="BS101" s="319"/>
      <c r="BT101" s="334"/>
      <c r="BU101" s="322" t="s">
        <v>83</v>
      </c>
      <c r="BV101" s="322">
        <v>45557.04</v>
      </c>
      <c r="BW101" s="322">
        <v>0</v>
      </c>
      <c r="BX101" s="322">
        <v>37100.58</v>
      </c>
      <c r="BY101" s="322">
        <v>17087.66</v>
      </c>
      <c r="BZ101" s="322">
        <v>56854.2</v>
      </c>
      <c r="CA101" s="322">
        <v>0</v>
      </c>
      <c r="CB101" s="322">
        <v>68816.429999999993</v>
      </c>
      <c r="CC101" s="322">
        <v>22195.59</v>
      </c>
      <c r="CD101" s="322">
        <v>84926.739999999991</v>
      </c>
      <c r="CE101" s="322"/>
      <c r="CF101" s="322"/>
      <c r="CG101" s="322"/>
      <c r="CH101" s="322"/>
      <c r="CI101" s="322"/>
      <c r="CJ101" s="322"/>
      <c r="CK101" s="322"/>
      <c r="CL101" s="322"/>
      <c r="CM101" s="322"/>
      <c r="CN101" s="322"/>
      <c r="CO101" s="322"/>
      <c r="CP101" s="322"/>
      <c r="CQ101" s="322"/>
      <c r="CR101" s="334"/>
      <c r="CS101" s="322" t="s">
        <v>83</v>
      </c>
      <c r="CT101" s="322">
        <v>30371.360000000001</v>
      </c>
      <c r="CU101" s="322">
        <v>35159.440000000002</v>
      </c>
      <c r="CV101" s="322">
        <v>148402.32</v>
      </c>
      <c r="CW101" s="322">
        <v>222139.58</v>
      </c>
      <c r="CX101" s="322">
        <v>189514</v>
      </c>
      <c r="CY101" s="322">
        <v>188273.43</v>
      </c>
      <c r="CZ101" s="322">
        <v>160571.67000000001</v>
      </c>
      <c r="DA101" s="322">
        <v>199760.31</v>
      </c>
      <c r="DB101" s="322">
        <v>394483.59000000008</v>
      </c>
      <c r="DC101" s="322"/>
      <c r="DD101" s="322"/>
      <c r="DE101" s="322"/>
      <c r="DF101" s="322"/>
      <c r="DG101" s="322"/>
      <c r="DH101" s="322"/>
      <c r="DI101" s="322"/>
      <c r="DJ101" s="322"/>
      <c r="DK101" s="322"/>
      <c r="DL101" s="322"/>
      <c r="DM101" s="322"/>
      <c r="DN101" s="322"/>
      <c r="DO101" s="322"/>
      <c r="DP101" s="334"/>
      <c r="DQ101" s="322" t="s">
        <v>83</v>
      </c>
      <c r="DR101" s="322">
        <v>0</v>
      </c>
      <c r="DS101" s="322">
        <v>158217.48000000001</v>
      </c>
      <c r="DT101" s="322">
        <v>0</v>
      </c>
      <c r="DU101" s="322">
        <v>0</v>
      </c>
      <c r="DV101" s="322">
        <v>0</v>
      </c>
      <c r="DW101" s="322">
        <v>0</v>
      </c>
      <c r="DX101" s="322">
        <v>0</v>
      </c>
      <c r="DY101" s="322">
        <v>0</v>
      </c>
      <c r="DZ101" s="322">
        <v>0</v>
      </c>
      <c r="EA101" s="322"/>
      <c r="EB101" s="322"/>
      <c r="EC101" s="322"/>
      <c r="ED101" s="322"/>
      <c r="EE101" s="322"/>
      <c r="EF101" s="322"/>
      <c r="EG101" s="322"/>
      <c r="EH101" s="322"/>
      <c r="EI101" s="322"/>
      <c r="EJ101" s="322"/>
      <c r="EK101" s="322"/>
      <c r="EL101" s="322"/>
      <c r="EM101" s="322"/>
      <c r="EN101" s="334"/>
      <c r="EO101" s="322" t="s">
        <v>83</v>
      </c>
      <c r="EP101" s="322">
        <v>30371.360000000001</v>
      </c>
      <c r="EQ101" s="322">
        <v>17579.72</v>
      </c>
      <c r="ER101" s="322">
        <v>18550.29</v>
      </c>
      <c r="ES101" s="322">
        <v>34175.32</v>
      </c>
      <c r="ET101" s="322">
        <v>37902.800000000003</v>
      </c>
      <c r="EU101" s="322">
        <v>41838.54</v>
      </c>
      <c r="EV101" s="322">
        <v>45877.62</v>
      </c>
      <c r="EW101" s="322">
        <v>44391.18</v>
      </c>
      <c r="EX101" s="322">
        <v>39543.71</v>
      </c>
      <c r="EY101" s="322"/>
      <c r="EZ101" s="322"/>
      <c r="FA101" s="322"/>
      <c r="FB101" s="322"/>
      <c r="FC101" s="322"/>
      <c r="FD101" s="322"/>
      <c r="FE101" s="322"/>
      <c r="FF101" s="322"/>
      <c r="FG101" s="322"/>
      <c r="FH101" s="322"/>
      <c r="FI101" s="322"/>
      <c r="FJ101" s="322"/>
      <c r="FK101" s="322"/>
      <c r="FL101" s="334"/>
      <c r="FM101" s="322" t="s">
        <v>83</v>
      </c>
      <c r="FN101" s="322">
        <v>106299.76</v>
      </c>
      <c r="FO101" s="322">
        <v>123058.04</v>
      </c>
      <c r="FP101" s="322">
        <v>129852.03</v>
      </c>
      <c r="FQ101" s="322">
        <v>136701.28</v>
      </c>
      <c r="FR101" s="322">
        <v>132659.79999999999</v>
      </c>
      <c r="FS101" s="322">
        <v>146434.89000000001</v>
      </c>
      <c r="FT101" s="322">
        <v>160571.67000000001</v>
      </c>
      <c r="FU101" s="322">
        <v>177564.72</v>
      </c>
      <c r="FV101" s="322">
        <v>173895.82</v>
      </c>
      <c r="FW101" s="322"/>
      <c r="FX101" s="322"/>
      <c r="FY101" s="322"/>
      <c r="FZ101" s="322"/>
      <c r="GA101" s="322"/>
      <c r="GB101" s="322"/>
      <c r="GC101" s="322"/>
      <c r="GD101" s="322"/>
      <c r="GE101" s="322"/>
      <c r="GF101" s="340"/>
      <c r="GG101" s="704"/>
      <c r="GH101" s="704"/>
      <c r="GI101" s="704"/>
      <c r="GJ101" s="334"/>
      <c r="GK101" s="322" t="s">
        <v>83</v>
      </c>
      <c r="GL101" s="322">
        <v>15185.68</v>
      </c>
      <c r="GM101" s="322">
        <v>52739.16</v>
      </c>
      <c r="GN101" s="322">
        <v>55650.87</v>
      </c>
      <c r="GO101" s="322">
        <v>51262.98</v>
      </c>
      <c r="GP101" s="322">
        <v>56854.2</v>
      </c>
      <c r="GQ101" s="322">
        <v>62757.81</v>
      </c>
      <c r="GR101" s="322">
        <v>68816.429999999993</v>
      </c>
      <c r="GS101" s="322">
        <v>66586.77</v>
      </c>
      <c r="GT101" s="322">
        <v>89404.709999999992</v>
      </c>
      <c r="GU101" s="322"/>
      <c r="GV101" s="322"/>
      <c r="GW101" s="322"/>
      <c r="GX101" s="322"/>
      <c r="GY101" s="322"/>
      <c r="GZ101" s="322"/>
      <c r="HA101" s="322"/>
      <c r="HB101" s="322"/>
      <c r="HC101" s="322"/>
      <c r="HD101" s="322"/>
      <c r="HE101" s="322"/>
      <c r="HF101" s="322"/>
      <c r="HG101" s="322"/>
      <c r="HH101" s="334"/>
      <c r="HI101" s="322" t="s">
        <v>83</v>
      </c>
      <c r="HJ101" s="322">
        <v>15185.68</v>
      </c>
      <c r="HK101" s="322">
        <v>17579.72</v>
      </c>
      <c r="HL101" s="322">
        <v>18550.29</v>
      </c>
      <c r="HM101" s="322">
        <v>17087.66</v>
      </c>
      <c r="HN101" s="322">
        <v>18951.400000000001</v>
      </c>
      <c r="HO101" s="322">
        <v>20919.27</v>
      </c>
      <c r="HP101" s="322">
        <v>22938.81</v>
      </c>
      <c r="HQ101" s="322">
        <v>22195.59</v>
      </c>
      <c r="HR101" s="322">
        <v>19640.989999999998</v>
      </c>
      <c r="HS101" s="322"/>
      <c r="HT101" s="322"/>
      <c r="HU101" s="322"/>
      <c r="HV101" s="322"/>
      <c r="HW101" s="322"/>
      <c r="HX101" s="322"/>
      <c r="HY101" s="322"/>
      <c r="HZ101" s="322"/>
      <c r="IA101" s="322"/>
      <c r="IB101" s="322"/>
      <c r="IC101" s="322"/>
      <c r="ID101" s="322"/>
      <c r="IE101" s="322"/>
      <c r="IF101" s="334"/>
      <c r="IG101" s="322" t="s">
        <v>83</v>
      </c>
      <c r="IH101" s="322">
        <v>15185.68</v>
      </c>
      <c r="II101" s="322">
        <v>35159.440000000002</v>
      </c>
      <c r="IJ101" s="322">
        <v>18550.29</v>
      </c>
      <c r="IK101" s="322">
        <v>17087.66</v>
      </c>
      <c r="IL101" s="322">
        <v>18951.400000000001</v>
      </c>
      <c r="IM101" s="322">
        <v>20919.27</v>
      </c>
      <c r="IN101" s="322">
        <v>22938.81</v>
      </c>
      <c r="IO101" s="322">
        <v>22195.59</v>
      </c>
      <c r="IP101" s="322">
        <v>19171.53</v>
      </c>
      <c r="IQ101" s="322"/>
      <c r="IR101" s="322"/>
      <c r="IS101" s="322"/>
      <c r="IT101" s="322"/>
      <c r="IU101" s="322"/>
      <c r="IV101" s="322"/>
      <c r="IW101" s="322"/>
      <c r="IX101" s="322"/>
      <c r="IY101" s="322"/>
      <c r="IZ101" s="322"/>
      <c r="JA101" s="322"/>
      <c r="JB101" s="322"/>
      <c r="JC101" s="322"/>
      <c r="JD101" s="334"/>
      <c r="JE101" s="322" t="s">
        <v>83</v>
      </c>
      <c r="JF101" s="322">
        <v>0</v>
      </c>
      <c r="JG101" s="322">
        <v>0</v>
      </c>
      <c r="JH101" s="322">
        <v>0</v>
      </c>
      <c r="JI101" s="322">
        <v>0</v>
      </c>
      <c r="JJ101" s="322">
        <v>0</v>
      </c>
      <c r="JK101" s="322">
        <v>0</v>
      </c>
      <c r="JL101" s="322">
        <v>22938.81</v>
      </c>
      <c r="JM101" s="322">
        <v>0</v>
      </c>
      <c r="JN101" s="322">
        <v>0</v>
      </c>
      <c r="JO101" s="322"/>
      <c r="JP101" s="322"/>
      <c r="JQ101" s="322"/>
      <c r="JR101" s="322"/>
      <c r="JS101" s="322"/>
      <c r="JT101" s="322"/>
      <c r="JU101" s="322"/>
      <c r="JV101" s="322"/>
      <c r="JW101" s="322"/>
      <c r="JX101" s="322"/>
      <c r="JY101" s="322"/>
      <c r="JZ101" s="322"/>
      <c r="KA101" s="322"/>
      <c r="KB101" s="334"/>
      <c r="KC101" s="322" t="s">
        <v>83</v>
      </c>
      <c r="KD101" s="322">
        <v>15185.68</v>
      </c>
      <c r="KE101" s="322">
        <v>17579.72</v>
      </c>
      <c r="KF101" s="322">
        <v>18550.29</v>
      </c>
      <c r="KG101" s="322">
        <v>17087.66</v>
      </c>
      <c r="KH101" s="322">
        <v>18951.400000000001</v>
      </c>
      <c r="KI101" s="322">
        <v>20919.27</v>
      </c>
      <c r="KJ101" s="322">
        <v>22938.81</v>
      </c>
      <c r="KK101" s="322">
        <v>22195.59</v>
      </c>
      <c r="KL101" s="322">
        <v>24441.37</v>
      </c>
      <c r="KM101" s="322"/>
      <c r="KN101" s="322"/>
      <c r="KO101" s="322"/>
      <c r="KP101" s="322"/>
      <c r="KQ101" s="322"/>
      <c r="KR101" s="322"/>
      <c r="KS101" s="322"/>
      <c r="KT101" s="322"/>
      <c r="KU101" s="322"/>
      <c r="KV101" s="322"/>
      <c r="KW101" s="322"/>
      <c r="KX101" s="322"/>
      <c r="KY101" s="322"/>
      <c r="KZ101" s="334"/>
      <c r="LA101" s="322" t="s">
        <v>83</v>
      </c>
      <c r="LB101" s="322">
        <v>182228.16</v>
      </c>
      <c r="LC101" s="322">
        <v>140637.76000000001</v>
      </c>
      <c r="LD101" s="322">
        <v>352455.51</v>
      </c>
      <c r="LE101" s="322">
        <v>512629.8</v>
      </c>
      <c r="LF101" s="322">
        <v>549590.6</v>
      </c>
      <c r="LG101" s="322">
        <v>585739.56000000006</v>
      </c>
      <c r="LH101" s="322">
        <v>550531.43999999994</v>
      </c>
      <c r="LI101" s="322">
        <v>643672.11</v>
      </c>
      <c r="LJ101" s="322">
        <v>678918.91</v>
      </c>
      <c r="LK101" s="322"/>
      <c r="LL101" s="322"/>
      <c r="LM101" s="322"/>
      <c r="LN101" s="322"/>
      <c r="LO101" s="322"/>
      <c r="LP101" s="322"/>
      <c r="LQ101" s="322"/>
      <c r="LR101" s="322"/>
      <c r="LS101" s="322"/>
      <c r="LT101" s="322"/>
      <c r="LU101" s="322"/>
      <c r="LV101" s="322"/>
      <c r="LW101" s="322"/>
      <c r="LX101" s="334"/>
      <c r="LY101" s="322" t="s">
        <v>83</v>
      </c>
      <c r="LZ101" s="322">
        <v>0</v>
      </c>
      <c r="MA101" s="322">
        <v>0</v>
      </c>
      <c r="MB101" s="322">
        <v>0</v>
      </c>
      <c r="MC101" s="322">
        <v>0</v>
      </c>
      <c r="MD101" s="322">
        <v>0</v>
      </c>
      <c r="ME101" s="322">
        <v>0</v>
      </c>
      <c r="MF101" s="322">
        <v>0</v>
      </c>
      <c r="MG101" s="322">
        <v>0</v>
      </c>
      <c r="MH101" s="322">
        <v>0</v>
      </c>
      <c r="MI101" s="322"/>
      <c r="MJ101" s="322"/>
      <c r="MK101" s="322"/>
      <c r="ML101" s="322"/>
      <c r="MM101" s="322"/>
      <c r="MN101" s="322"/>
      <c r="MO101" s="322"/>
      <c r="MP101" s="322"/>
      <c r="MQ101" s="322"/>
      <c r="MR101" s="322"/>
      <c r="MS101" s="322"/>
      <c r="MT101" s="322"/>
      <c r="MU101" s="322"/>
      <c r="MV101" s="334"/>
      <c r="MW101" s="322" t="s">
        <v>83</v>
      </c>
      <c r="MX101" s="322">
        <v>0</v>
      </c>
      <c r="MY101" s="322">
        <v>0</v>
      </c>
      <c r="MZ101" s="322">
        <v>0</v>
      </c>
      <c r="NA101" s="322">
        <v>0</v>
      </c>
      <c r="NB101" s="322">
        <v>0</v>
      </c>
      <c r="NC101" s="322">
        <v>0</v>
      </c>
      <c r="ND101" s="322">
        <v>0</v>
      </c>
      <c r="NE101" s="322">
        <v>0</v>
      </c>
      <c r="NF101" s="322">
        <v>0</v>
      </c>
      <c r="NG101" s="322"/>
      <c r="NH101" s="322"/>
      <c r="NI101" s="322"/>
      <c r="NJ101" s="322"/>
      <c r="NK101" s="322"/>
      <c r="NL101" s="322"/>
      <c r="NM101" s="322"/>
      <c r="NN101" s="322"/>
      <c r="NO101" s="322"/>
      <c r="NP101" s="322"/>
      <c r="NQ101" s="322"/>
      <c r="NR101" s="322"/>
      <c r="NS101" s="322"/>
      <c r="NT101" s="334"/>
      <c r="NU101" s="322" t="s">
        <v>83</v>
      </c>
      <c r="NV101" s="322">
        <v>167042.48000000001</v>
      </c>
      <c r="NW101" s="322">
        <v>193376.92</v>
      </c>
      <c r="NX101" s="322">
        <v>185502.9</v>
      </c>
      <c r="NY101" s="322">
        <v>187964.26</v>
      </c>
      <c r="NZ101" s="322">
        <v>208465.4</v>
      </c>
      <c r="OA101" s="322">
        <v>209192.7</v>
      </c>
      <c r="OB101" s="322">
        <v>229388.1</v>
      </c>
      <c r="OC101" s="322">
        <v>288542.67</v>
      </c>
      <c r="OD101" s="322">
        <v>324501.93000000005</v>
      </c>
      <c r="OE101" s="322"/>
      <c r="OF101" s="322"/>
      <c r="OG101" s="322"/>
      <c r="OH101" s="322"/>
      <c r="OI101" s="322"/>
      <c r="OJ101" s="322"/>
      <c r="OK101" s="322"/>
      <c r="OL101" s="322"/>
      <c r="OM101" s="322"/>
      <c r="ON101" s="322"/>
      <c r="OO101" s="322"/>
      <c r="OP101" s="322"/>
      <c r="OQ101" s="322"/>
      <c r="OR101" s="334"/>
      <c r="OS101" s="322" t="s">
        <v>83</v>
      </c>
      <c r="OT101" s="322">
        <v>136671.12</v>
      </c>
      <c r="OU101" s="322">
        <v>140637.76000000001</v>
      </c>
      <c r="OV101" s="322">
        <v>166952.60999999999</v>
      </c>
      <c r="OW101" s="322">
        <v>119613.62</v>
      </c>
      <c r="OX101" s="322">
        <v>56854.2</v>
      </c>
      <c r="OY101" s="322">
        <v>83677.08</v>
      </c>
      <c r="OZ101" s="322">
        <v>91755.24</v>
      </c>
      <c r="PA101" s="322">
        <v>88782.36</v>
      </c>
      <c r="PB101" s="322">
        <v>95223.05</v>
      </c>
      <c r="PC101" s="322"/>
      <c r="PD101" s="322"/>
      <c r="PE101" s="322"/>
      <c r="PF101" s="322"/>
      <c r="PG101" s="322"/>
      <c r="PH101" s="322"/>
      <c r="PI101" s="322"/>
      <c r="PJ101" s="322"/>
      <c r="PK101" s="322"/>
      <c r="PL101" s="322"/>
      <c r="PM101" s="322"/>
      <c r="PN101" s="322"/>
      <c r="PO101" s="322"/>
      <c r="PP101" s="334"/>
      <c r="PQ101" s="322" t="s">
        <v>83</v>
      </c>
      <c r="PR101" s="322">
        <v>15185.68</v>
      </c>
      <c r="PS101" s="322">
        <v>17579.72</v>
      </c>
      <c r="PT101" s="322">
        <v>18550.29</v>
      </c>
      <c r="PU101" s="322">
        <v>17087.66</v>
      </c>
      <c r="PV101" s="322">
        <v>18951.400000000001</v>
      </c>
      <c r="PW101" s="322">
        <v>20919.27</v>
      </c>
      <c r="PX101" s="322">
        <v>45877.62</v>
      </c>
      <c r="PY101" s="322">
        <v>22195.59</v>
      </c>
      <c r="PZ101" s="322">
        <v>18789.650000000001</v>
      </c>
      <c r="QA101" s="322"/>
      <c r="QB101" s="322"/>
      <c r="QC101" s="322"/>
      <c r="QD101" s="322"/>
      <c r="QE101" s="322"/>
      <c r="QF101" s="322"/>
      <c r="QG101" s="322"/>
      <c r="QH101" s="322"/>
      <c r="QI101" s="322"/>
      <c r="QJ101" s="322"/>
      <c r="QK101" s="322"/>
      <c r="QL101" s="322"/>
      <c r="QM101" s="322"/>
      <c r="QN101" s="334"/>
      <c r="QO101" s="322" t="s">
        <v>83</v>
      </c>
      <c r="QP101" s="322">
        <v>182228.16</v>
      </c>
      <c r="QQ101" s="322">
        <v>123058.04</v>
      </c>
      <c r="QR101" s="322">
        <v>111301.74</v>
      </c>
      <c r="QS101" s="322">
        <v>0</v>
      </c>
      <c r="QT101" s="322">
        <v>0</v>
      </c>
      <c r="QU101" s="322">
        <v>0</v>
      </c>
      <c r="QV101" s="322">
        <v>0</v>
      </c>
      <c r="QW101" s="322">
        <v>0</v>
      </c>
      <c r="QX101" s="322">
        <v>156622.69</v>
      </c>
      <c r="QY101" s="322"/>
      <c r="QZ101" s="322"/>
      <c r="RA101" s="322"/>
      <c r="RB101" s="322"/>
      <c r="RC101" s="322"/>
      <c r="RD101" s="322"/>
      <c r="RE101" s="322"/>
      <c r="RF101" s="322"/>
      <c r="RG101" s="322"/>
      <c r="RH101" s="322"/>
      <c r="RI101" s="322"/>
      <c r="RJ101" s="322"/>
      <c r="RK101" s="322"/>
      <c r="RL101" s="334"/>
      <c r="RM101" s="322" t="s">
        <v>83</v>
      </c>
      <c r="RN101" s="322">
        <v>394827.68</v>
      </c>
      <c r="RO101" s="322">
        <v>509811.88</v>
      </c>
      <c r="RP101" s="322">
        <v>389556.09</v>
      </c>
      <c r="RQ101" s="322">
        <v>153788.94</v>
      </c>
      <c r="RR101" s="322">
        <v>322173.8</v>
      </c>
      <c r="RS101" s="322">
        <v>460223.94</v>
      </c>
      <c r="RT101" s="322">
        <v>527592.63</v>
      </c>
      <c r="RU101" s="322">
        <v>355129.44</v>
      </c>
      <c r="RV101" s="322">
        <v>471842</v>
      </c>
      <c r="RW101" s="322"/>
      <c r="RX101" s="322"/>
      <c r="RY101" s="322"/>
      <c r="RZ101" s="322"/>
      <c r="SA101" s="322"/>
      <c r="SB101" s="322"/>
      <c r="SC101" s="322"/>
      <c r="SD101" s="322"/>
      <c r="SE101" s="322"/>
      <c r="SF101" s="322"/>
      <c r="SG101" s="322"/>
      <c r="SH101" s="322"/>
      <c r="SI101" s="322"/>
    </row>
    <row r="102" spans="1:503">
      <c r="A102" s="319" t="s">
        <v>84</v>
      </c>
      <c r="B102" s="319">
        <v>1486442</v>
      </c>
      <c r="C102" s="319">
        <v>1558126</v>
      </c>
      <c r="D102" s="319">
        <v>1572485</v>
      </c>
      <c r="E102" s="319">
        <v>1553511</v>
      </c>
      <c r="F102" s="319">
        <v>1826866</v>
      </c>
      <c r="G102" s="319">
        <v>2211352</v>
      </c>
      <c r="H102" s="319">
        <v>2175714</v>
      </c>
      <c r="I102" s="319">
        <v>2752129</v>
      </c>
      <c r="J102" s="319">
        <v>2257445.46</v>
      </c>
      <c r="K102" s="319">
        <v>2289040.5</v>
      </c>
      <c r="L102" s="319">
        <v>2743437.05</v>
      </c>
      <c r="M102" s="319">
        <v>2755528.66</v>
      </c>
      <c r="N102" s="319">
        <v>2912581.87</v>
      </c>
      <c r="O102" s="319">
        <v>2597869.44</v>
      </c>
      <c r="P102" s="319">
        <v>2320701.7400000002</v>
      </c>
      <c r="Q102" s="319">
        <v>2433066.9300000002</v>
      </c>
      <c r="R102" s="319">
        <v>2408816.63</v>
      </c>
      <c r="S102" s="322">
        <v>3171058.8099999996</v>
      </c>
      <c r="T102" s="319">
        <v>2942217.92</v>
      </c>
      <c r="U102" s="319">
        <v>3182845</v>
      </c>
      <c r="V102" s="319">
        <v>3683585.92</v>
      </c>
      <c r="W102" s="319">
        <v>4008585</v>
      </c>
      <c r="X102" s="330"/>
      <c r="Y102" s="319" t="s">
        <v>84</v>
      </c>
      <c r="Z102" s="319">
        <v>74322.100000000006</v>
      </c>
      <c r="AA102" s="319">
        <v>77906.3</v>
      </c>
      <c r="AB102" s="319">
        <v>78624.25</v>
      </c>
      <c r="AC102" s="319">
        <v>108745.77</v>
      </c>
      <c r="AD102" s="319">
        <v>109611.96</v>
      </c>
      <c r="AE102" s="319">
        <v>110567.6</v>
      </c>
      <c r="AF102" s="319">
        <v>110567.6</v>
      </c>
      <c r="AG102" s="319">
        <v>110085.16</v>
      </c>
      <c r="AH102" s="319">
        <v>133179</v>
      </c>
      <c r="AI102" s="319">
        <v>122522</v>
      </c>
      <c r="AJ102" s="319">
        <v>123898.53000000001</v>
      </c>
      <c r="AK102" s="319">
        <v>132596</v>
      </c>
      <c r="AL102" s="319">
        <v>127633.23999999999</v>
      </c>
      <c r="AM102" s="319">
        <v>126032.16</v>
      </c>
      <c r="AN102" s="319">
        <v>133731.27000000002</v>
      </c>
      <c r="AO102" s="319">
        <v>126297.73999999999</v>
      </c>
      <c r="AP102" s="319">
        <v>127508.32</v>
      </c>
      <c r="AQ102" s="322">
        <v>129781.62999999999</v>
      </c>
      <c r="AR102" s="319">
        <v>131340.23000000001</v>
      </c>
      <c r="AS102" s="319">
        <v>136762.93</v>
      </c>
      <c r="AT102" s="319">
        <v>122902.99</v>
      </c>
      <c r="AU102" s="319">
        <v>130670</v>
      </c>
      <c r="AV102" s="334"/>
      <c r="AW102" s="319" t="s">
        <v>84</v>
      </c>
      <c r="AX102" s="319">
        <v>89186.51999999999</v>
      </c>
      <c r="AY102" s="319">
        <v>93487.56</v>
      </c>
      <c r="AZ102" s="319">
        <v>110073.95000000001</v>
      </c>
      <c r="BA102" s="319">
        <v>108745.77</v>
      </c>
      <c r="BB102" s="319">
        <v>109611.95999999999</v>
      </c>
      <c r="BC102" s="319">
        <v>110567.6</v>
      </c>
      <c r="BD102" s="319">
        <v>174057.12</v>
      </c>
      <c r="BE102" s="319">
        <v>137606.45000000001</v>
      </c>
      <c r="BF102" s="319">
        <v>155144</v>
      </c>
      <c r="BG102" s="319">
        <v>134121.25999999998</v>
      </c>
      <c r="BH102" s="319">
        <v>147632.74999999997</v>
      </c>
      <c r="BI102" s="319">
        <v>157309.25999999998</v>
      </c>
      <c r="BJ102" s="319">
        <v>164266.20999999996</v>
      </c>
      <c r="BK102" s="319">
        <v>134415.17000000001</v>
      </c>
      <c r="BL102" s="319">
        <v>134291.63</v>
      </c>
      <c r="BM102" s="319">
        <v>132189.91</v>
      </c>
      <c r="BN102" s="319">
        <v>136083.67000000001</v>
      </c>
      <c r="BO102" s="322">
        <v>169377.05000000002</v>
      </c>
      <c r="BP102" s="319">
        <v>181405.86</v>
      </c>
      <c r="BQ102" s="319">
        <v>175090.24000000002</v>
      </c>
      <c r="BR102" s="319">
        <v>170293.96</v>
      </c>
      <c r="BS102" s="319">
        <v>134800</v>
      </c>
      <c r="BT102" s="334"/>
      <c r="BU102" s="322" t="s">
        <v>84</v>
      </c>
      <c r="BV102" s="322">
        <v>59457.68</v>
      </c>
      <c r="BW102" s="322">
        <v>46743.78</v>
      </c>
      <c r="BX102" s="322">
        <v>62899.4</v>
      </c>
      <c r="BY102" s="322">
        <v>31070.22</v>
      </c>
      <c r="BZ102" s="322">
        <v>73074.64</v>
      </c>
      <c r="CA102" s="322">
        <v>22113.52</v>
      </c>
      <c r="CB102" s="322">
        <v>65271.42</v>
      </c>
      <c r="CC102" s="322">
        <v>55042.58</v>
      </c>
      <c r="CD102" s="322">
        <v>108307</v>
      </c>
      <c r="CE102" s="322">
        <v>42681.119999999995</v>
      </c>
      <c r="CF102" s="322">
        <v>134194.54</v>
      </c>
      <c r="CG102" s="322">
        <v>55467.320000000007</v>
      </c>
      <c r="CH102" s="322">
        <v>172452.39</v>
      </c>
      <c r="CI102" s="322">
        <v>78272.11</v>
      </c>
      <c r="CJ102" s="322">
        <v>126649.63</v>
      </c>
      <c r="CK102" s="322">
        <v>73143.87</v>
      </c>
      <c r="CL102" s="322">
        <v>194911.87000000002</v>
      </c>
      <c r="CM102" s="322">
        <v>90184.730000000025</v>
      </c>
      <c r="CN102" s="322">
        <v>161847.77999999997</v>
      </c>
      <c r="CO102" s="322">
        <v>119328.03000000001</v>
      </c>
      <c r="CP102" s="322">
        <v>206132.27</v>
      </c>
      <c r="CQ102" s="322">
        <v>91179</v>
      </c>
      <c r="CR102" s="334"/>
      <c r="CS102" s="322" t="s">
        <v>84</v>
      </c>
      <c r="CT102" s="322">
        <v>59457.68</v>
      </c>
      <c r="CU102" s="322">
        <v>109068.82</v>
      </c>
      <c r="CV102" s="322">
        <v>110073.95</v>
      </c>
      <c r="CW102" s="322">
        <v>77675.55</v>
      </c>
      <c r="CX102" s="322">
        <v>91343.3</v>
      </c>
      <c r="CY102" s="322">
        <v>110567.6</v>
      </c>
      <c r="CZ102" s="322">
        <v>87028.56</v>
      </c>
      <c r="DA102" s="322">
        <v>220170.32</v>
      </c>
      <c r="DB102" s="322">
        <v>157990</v>
      </c>
      <c r="DC102" s="322">
        <v>131877</v>
      </c>
      <c r="DD102" s="322">
        <v>132447.28</v>
      </c>
      <c r="DE102" s="322">
        <v>109896</v>
      </c>
      <c r="DF102" s="322">
        <v>100441.77</v>
      </c>
      <c r="DG102" s="322">
        <v>88768.44</v>
      </c>
      <c r="DH102" s="322">
        <v>75559.91</v>
      </c>
      <c r="DI102" s="322">
        <v>101675.87</v>
      </c>
      <c r="DJ102" s="322">
        <v>185066.33</v>
      </c>
      <c r="DK102" s="322">
        <v>529160.56000000006</v>
      </c>
      <c r="DL102" s="322">
        <v>216418.22</v>
      </c>
      <c r="DM102" s="322">
        <v>229327.16999999998</v>
      </c>
      <c r="DN102" s="322">
        <v>876576.4</v>
      </c>
      <c r="DO102" s="322">
        <v>295280</v>
      </c>
      <c r="DP102" s="334"/>
      <c r="DQ102" s="322" t="s">
        <v>84</v>
      </c>
      <c r="DR102" s="322">
        <v>0</v>
      </c>
      <c r="DS102" s="322">
        <v>0</v>
      </c>
      <c r="DT102" s="322">
        <v>0</v>
      </c>
      <c r="DU102" s="322">
        <v>0</v>
      </c>
      <c r="DV102" s="322">
        <v>0</v>
      </c>
      <c r="DW102" s="322">
        <v>0</v>
      </c>
      <c r="DX102" s="322">
        <v>0</v>
      </c>
      <c r="DY102" s="322">
        <v>0</v>
      </c>
      <c r="DZ102" s="322">
        <v>0</v>
      </c>
      <c r="EA102" s="322">
        <v>0</v>
      </c>
      <c r="EB102" s="322">
        <v>0</v>
      </c>
      <c r="EC102" s="322">
        <v>0</v>
      </c>
      <c r="ED102" s="322">
        <v>0</v>
      </c>
      <c r="EE102" s="322">
        <v>0</v>
      </c>
      <c r="EF102" s="322">
        <v>0</v>
      </c>
      <c r="EG102" s="322">
        <v>0</v>
      </c>
      <c r="EH102" s="322">
        <v>0</v>
      </c>
      <c r="EI102" s="322">
        <v>0</v>
      </c>
      <c r="EJ102" s="322">
        <v>0</v>
      </c>
      <c r="EK102" s="322">
        <v>0</v>
      </c>
      <c r="EL102" s="322">
        <v>0</v>
      </c>
      <c r="EM102" s="322">
        <v>778655</v>
      </c>
      <c r="EN102" s="334"/>
      <c r="EO102" s="322" t="s">
        <v>84</v>
      </c>
      <c r="EP102" s="322">
        <v>44593.26</v>
      </c>
      <c r="EQ102" s="322">
        <v>31162.52</v>
      </c>
      <c r="ER102" s="322">
        <v>47174.55</v>
      </c>
      <c r="ES102" s="322">
        <v>46605.33</v>
      </c>
      <c r="ET102" s="322">
        <v>54805.98</v>
      </c>
      <c r="EU102" s="322">
        <v>44227.040000000001</v>
      </c>
      <c r="EV102" s="322">
        <v>43514.28</v>
      </c>
      <c r="EW102" s="322">
        <v>55042.58</v>
      </c>
      <c r="EX102" s="322">
        <v>63592</v>
      </c>
      <c r="EY102" s="322">
        <v>67291.78</v>
      </c>
      <c r="EZ102" s="322">
        <v>67622.179999999993</v>
      </c>
      <c r="FA102" s="322">
        <v>69881</v>
      </c>
      <c r="FB102" s="322">
        <v>70276.460000000006</v>
      </c>
      <c r="FC102" s="322">
        <v>65616.319999999992</v>
      </c>
      <c r="FD102" s="322">
        <v>63892.850000000006</v>
      </c>
      <c r="FE102" s="322">
        <v>74980.349999999991</v>
      </c>
      <c r="FF102" s="322">
        <v>66750.47</v>
      </c>
      <c r="FG102" s="322">
        <v>65917.27</v>
      </c>
      <c r="FH102" s="322">
        <v>71137.090000000011</v>
      </c>
      <c r="FI102" s="322">
        <v>61480.320000000007</v>
      </c>
      <c r="FJ102" s="322">
        <v>64688.119999999995</v>
      </c>
      <c r="FK102" s="322">
        <v>59300</v>
      </c>
      <c r="FL102" s="334"/>
      <c r="FM102" s="322" t="s">
        <v>84</v>
      </c>
      <c r="FN102" s="322">
        <v>104050.94</v>
      </c>
      <c r="FO102" s="322">
        <v>109068.82</v>
      </c>
      <c r="FP102" s="322">
        <v>110073.95</v>
      </c>
      <c r="FQ102" s="322">
        <v>124280.88</v>
      </c>
      <c r="FR102" s="322">
        <v>127880.62</v>
      </c>
      <c r="FS102" s="322">
        <v>132681.12</v>
      </c>
      <c r="FT102" s="322">
        <v>152299.98000000001</v>
      </c>
      <c r="FU102" s="322">
        <v>137606.45000000001</v>
      </c>
      <c r="FV102" s="322">
        <v>125260.58000000002</v>
      </c>
      <c r="FW102" s="322">
        <v>134221</v>
      </c>
      <c r="FX102" s="322">
        <v>142457.06</v>
      </c>
      <c r="FY102" s="322">
        <v>147822</v>
      </c>
      <c r="FZ102" s="322">
        <v>144557.07</v>
      </c>
      <c r="GA102" s="322">
        <v>140539.28</v>
      </c>
      <c r="GB102" s="322">
        <v>146748.33000000002</v>
      </c>
      <c r="GC102" s="322">
        <v>138924.69</v>
      </c>
      <c r="GD102" s="322">
        <v>153349.38999999998</v>
      </c>
      <c r="GE102" s="322">
        <v>163064.90999999995</v>
      </c>
      <c r="GF102" s="340">
        <v>171774.81</v>
      </c>
      <c r="GG102" s="704">
        <v>196985.72</v>
      </c>
      <c r="GH102" s="704">
        <v>183236.41</v>
      </c>
      <c r="GI102" s="704">
        <v>167690</v>
      </c>
      <c r="GJ102" s="334"/>
      <c r="GK102" s="322" t="s">
        <v>84</v>
      </c>
      <c r="GL102" s="322">
        <v>59457.68</v>
      </c>
      <c r="GM102" s="322">
        <v>62325.04</v>
      </c>
      <c r="GN102" s="322">
        <v>78624.25</v>
      </c>
      <c r="GO102" s="322">
        <v>77675.55</v>
      </c>
      <c r="GP102" s="322">
        <v>91343.3</v>
      </c>
      <c r="GQ102" s="322">
        <v>0</v>
      </c>
      <c r="GR102" s="322">
        <v>65271.42</v>
      </c>
      <c r="GS102" s="322">
        <v>110085.16</v>
      </c>
      <c r="GT102" s="322">
        <v>109332</v>
      </c>
      <c r="GU102" s="322">
        <v>111900</v>
      </c>
      <c r="GV102" s="322">
        <v>114874.19000000002</v>
      </c>
      <c r="GW102" s="322">
        <v>120451</v>
      </c>
      <c r="GX102" s="322">
        <v>120523.80000000002</v>
      </c>
      <c r="GY102" s="322">
        <v>118003.00000000001</v>
      </c>
      <c r="GZ102" s="322">
        <v>97945.359999999986</v>
      </c>
      <c r="HA102" s="322">
        <v>91102.95</v>
      </c>
      <c r="HB102" s="322">
        <v>94040.180000000008</v>
      </c>
      <c r="HC102" s="322">
        <v>118446.26</v>
      </c>
      <c r="HD102" s="322">
        <v>124780.12</v>
      </c>
      <c r="HE102" s="322">
        <v>128324.59</v>
      </c>
      <c r="HF102" s="322">
        <v>111640.36</v>
      </c>
      <c r="HG102" s="322">
        <v>101357</v>
      </c>
      <c r="HH102" s="334"/>
      <c r="HI102" s="322" t="s">
        <v>84</v>
      </c>
      <c r="HJ102" s="322">
        <v>0</v>
      </c>
      <c r="HK102" s="322">
        <v>0</v>
      </c>
      <c r="HL102" s="322">
        <v>0</v>
      </c>
      <c r="HM102" s="322">
        <v>0</v>
      </c>
      <c r="HN102" s="322">
        <v>0</v>
      </c>
      <c r="HO102" s="322">
        <v>110567.6</v>
      </c>
      <c r="HP102" s="322">
        <v>43514.28</v>
      </c>
      <c r="HQ102" s="322">
        <v>27521.29</v>
      </c>
      <c r="HR102" s="322">
        <v>47396</v>
      </c>
      <c r="HS102" s="322">
        <v>54387.78</v>
      </c>
      <c r="HT102" s="322">
        <v>51416.15</v>
      </c>
      <c r="HU102" s="322">
        <v>52196</v>
      </c>
      <c r="HV102" s="322">
        <v>50946.399999999994</v>
      </c>
      <c r="HW102" s="322">
        <v>48427.490000000005</v>
      </c>
      <c r="HX102" s="322">
        <v>77284.149999999994</v>
      </c>
      <c r="HY102" s="322">
        <v>77364.260000000009</v>
      </c>
      <c r="HZ102" s="322">
        <v>83588.19</v>
      </c>
      <c r="IA102" s="322">
        <v>88773.989999999991</v>
      </c>
      <c r="IB102" s="322">
        <v>90069.36</v>
      </c>
      <c r="IC102" s="322">
        <v>83051.400000000009</v>
      </c>
      <c r="ID102" s="322">
        <v>80533.560000000012</v>
      </c>
      <c r="IE102" s="322">
        <v>78980</v>
      </c>
      <c r="IF102" s="334"/>
      <c r="IG102" s="322" t="s">
        <v>84</v>
      </c>
      <c r="IH102" s="322">
        <v>29728.84</v>
      </c>
      <c r="II102" s="322">
        <v>31162.52</v>
      </c>
      <c r="IJ102" s="322">
        <v>31449.7</v>
      </c>
      <c r="IK102" s="322">
        <v>31070.22</v>
      </c>
      <c r="IL102" s="322">
        <v>36537.32</v>
      </c>
      <c r="IM102" s="322">
        <v>44227.040000000001</v>
      </c>
      <c r="IN102" s="322">
        <v>43514.28</v>
      </c>
      <c r="IO102" s="322">
        <v>27521.29</v>
      </c>
      <c r="IP102" s="322">
        <v>37410</v>
      </c>
      <c r="IQ102" s="322">
        <v>41159.78</v>
      </c>
      <c r="IR102" s="322">
        <v>45236.54</v>
      </c>
      <c r="IS102" s="322">
        <v>42807</v>
      </c>
      <c r="IT102" s="322">
        <v>40022.350000000006</v>
      </c>
      <c r="IU102" s="322">
        <v>32626.87</v>
      </c>
      <c r="IV102" s="322"/>
      <c r="IW102" s="322"/>
      <c r="IX102" s="322"/>
      <c r="IY102" s="322"/>
      <c r="IZ102" s="322"/>
      <c r="JA102" s="322"/>
      <c r="JB102" s="322"/>
      <c r="JC102" s="322"/>
      <c r="JD102" s="334"/>
      <c r="JE102" s="322" t="s">
        <v>84</v>
      </c>
      <c r="JF102" s="322">
        <v>14864.42</v>
      </c>
      <c r="JG102" s="322">
        <v>15581.26</v>
      </c>
      <c r="JH102" s="322">
        <v>0</v>
      </c>
      <c r="JI102" s="322">
        <v>15535.11</v>
      </c>
      <c r="JJ102" s="322">
        <v>0</v>
      </c>
      <c r="JK102" s="322">
        <v>0</v>
      </c>
      <c r="JL102" s="322">
        <v>21757.14</v>
      </c>
      <c r="JM102" s="322">
        <v>27521.29</v>
      </c>
      <c r="JN102" s="322">
        <v>16965</v>
      </c>
      <c r="JO102" s="322">
        <v>36875.18</v>
      </c>
      <c r="JP102" s="322">
        <v>13521.15</v>
      </c>
      <c r="JQ102" s="322">
        <v>9572</v>
      </c>
      <c r="JR102" s="322">
        <v>11438.21</v>
      </c>
      <c r="JS102" s="322">
        <v>12166.119999999999</v>
      </c>
      <c r="JT102" s="322">
        <v>14187.060000000001</v>
      </c>
      <c r="JU102" s="322">
        <v>7224.29</v>
      </c>
      <c r="JV102" s="322">
        <v>20071.04</v>
      </c>
      <c r="JW102" s="322">
        <v>17319.169999999998</v>
      </c>
      <c r="JX102" s="322">
        <v>20366.21</v>
      </c>
      <c r="JY102" s="322">
        <v>22066.78</v>
      </c>
      <c r="JZ102" s="322">
        <v>20453.36</v>
      </c>
      <c r="KA102" s="322">
        <v>30088</v>
      </c>
      <c r="KB102" s="334"/>
      <c r="KC102" s="322" t="s">
        <v>84</v>
      </c>
      <c r="KD102" s="322">
        <v>14864.42</v>
      </c>
      <c r="KE102" s="322">
        <v>31162.52</v>
      </c>
      <c r="KF102" s="322">
        <v>31449.7</v>
      </c>
      <c r="KG102" s="322">
        <v>31070.22</v>
      </c>
      <c r="KH102" s="322">
        <v>36537.32</v>
      </c>
      <c r="KI102" s="322">
        <v>44227.040000000001</v>
      </c>
      <c r="KJ102" s="322">
        <v>43514.28</v>
      </c>
      <c r="KK102" s="322">
        <v>55042.58</v>
      </c>
      <c r="KL102" s="322">
        <v>75739</v>
      </c>
      <c r="KM102" s="322">
        <v>69165</v>
      </c>
      <c r="KN102" s="322">
        <v>67006.94</v>
      </c>
      <c r="KO102" s="322">
        <v>75315</v>
      </c>
      <c r="KP102" s="322">
        <v>81856.95</v>
      </c>
      <c r="KQ102" s="322">
        <v>63195.489999999991</v>
      </c>
      <c r="KR102" s="322">
        <v>60612.91</v>
      </c>
      <c r="KS102" s="322">
        <v>54223.360000000001</v>
      </c>
      <c r="KT102" s="322">
        <v>55626.720000000008</v>
      </c>
      <c r="KU102" s="322">
        <v>108323.81999999999</v>
      </c>
      <c r="KV102" s="322">
        <v>61474.06</v>
      </c>
      <c r="KW102" s="322">
        <v>54147.94</v>
      </c>
      <c r="KX102" s="322">
        <v>61429.2</v>
      </c>
      <c r="KY102" s="322">
        <v>54850</v>
      </c>
      <c r="KZ102" s="334"/>
      <c r="LA102" s="322" t="s">
        <v>84</v>
      </c>
      <c r="LB102" s="322">
        <v>535119.12</v>
      </c>
      <c r="LC102" s="322">
        <v>451856.54</v>
      </c>
      <c r="LD102" s="322">
        <v>408846.1</v>
      </c>
      <c r="LE102" s="322">
        <v>403912.86</v>
      </c>
      <c r="LF102" s="322">
        <v>566328.46</v>
      </c>
      <c r="LG102" s="322">
        <v>972994.88</v>
      </c>
      <c r="LH102" s="322">
        <v>652714.19999999995</v>
      </c>
      <c r="LI102" s="322">
        <v>1128372.8899999999</v>
      </c>
      <c r="LJ102" s="322">
        <v>355522.30000000005</v>
      </c>
      <c r="LK102" s="322">
        <v>298862.78000000003</v>
      </c>
      <c r="LL102" s="322">
        <v>495404.67</v>
      </c>
      <c r="LM102" s="322">
        <v>386308.07999999996</v>
      </c>
      <c r="LN102" s="322">
        <v>393972.51</v>
      </c>
      <c r="LO102" s="322">
        <v>507940.87999999989</v>
      </c>
      <c r="LP102" s="322">
        <v>333718.56</v>
      </c>
      <c r="LQ102" s="322">
        <v>386445.14</v>
      </c>
      <c r="LR102" s="322">
        <v>377947.04</v>
      </c>
      <c r="LS102" s="322">
        <v>437245.68</v>
      </c>
      <c r="LT102" s="322">
        <v>652997.02</v>
      </c>
      <c r="LU102" s="322">
        <v>806115.67999999993</v>
      </c>
      <c r="LV102" s="322">
        <v>746736.3899999999</v>
      </c>
      <c r="LW102" s="322">
        <v>1129076</v>
      </c>
      <c r="LX102" s="334"/>
      <c r="LY102" s="322" t="s">
        <v>84</v>
      </c>
      <c r="LZ102" s="322">
        <v>0</v>
      </c>
      <c r="MA102" s="322">
        <v>0</v>
      </c>
      <c r="MB102" s="322">
        <v>0</v>
      </c>
      <c r="MC102" s="322">
        <v>0</v>
      </c>
      <c r="MD102" s="322">
        <v>0</v>
      </c>
      <c r="ME102" s="322">
        <v>0</v>
      </c>
      <c r="MF102" s="322">
        <v>0</v>
      </c>
      <c r="MG102" s="322">
        <v>0</v>
      </c>
      <c r="MH102" s="322">
        <v>0</v>
      </c>
      <c r="MI102" s="322">
        <v>0</v>
      </c>
      <c r="MJ102" s="322">
        <v>0</v>
      </c>
      <c r="MK102" s="322">
        <v>0</v>
      </c>
      <c r="ML102" s="322">
        <v>0</v>
      </c>
      <c r="MM102" s="322">
        <v>0</v>
      </c>
      <c r="MN102" s="322">
        <v>0</v>
      </c>
      <c r="MO102" s="322">
        <v>0</v>
      </c>
      <c r="MP102" s="322">
        <v>83888.56</v>
      </c>
      <c r="MQ102" s="322">
        <v>215972.31</v>
      </c>
      <c r="MR102" s="322">
        <v>267589.83</v>
      </c>
      <c r="MS102" s="322">
        <v>265335.12999999995</v>
      </c>
      <c r="MT102" s="322">
        <v>261737.37</v>
      </c>
      <c r="MU102" s="322">
        <v>260965</v>
      </c>
      <c r="MV102" s="334"/>
      <c r="MW102" s="322" t="s">
        <v>84</v>
      </c>
      <c r="MX102" s="322">
        <v>0</v>
      </c>
      <c r="MY102" s="322">
        <v>0</v>
      </c>
      <c r="MZ102" s="322">
        <v>0</v>
      </c>
      <c r="NA102" s="322">
        <v>0</v>
      </c>
      <c r="NB102" s="322">
        <v>0</v>
      </c>
      <c r="NC102" s="322">
        <v>0</v>
      </c>
      <c r="ND102" s="322">
        <v>0</v>
      </c>
      <c r="NE102" s="322">
        <v>0</v>
      </c>
      <c r="NF102" s="322">
        <v>0</v>
      </c>
      <c r="NG102" s="322">
        <v>0</v>
      </c>
      <c r="NH102" s="322">
        <v>0</v>
      </c>
      <c r="NI102" s="322">
        <v>0</v>
      </c>
      <c r="NJ102" s="322">
        <v>0</v>
      </c>
      <c r="NK102" s="322">
        <v>0</v>
      </c>
      <c r="NL102" s="322">
        <v>0</v>
      </c>
      <c r="NM102" s="322">
        <v>0</v>
      </c>
      <c r="NN102" s="322">
        <v>0</v>
      </c>
      <c r="NO102" s="322">
        <v>0</v>
      </c>
      <c r="NP102" s="322">
        <v>0</v>
      </c>
      <c r="NQ102" s="322">
        <v>0</v>
      </c>
      <c r="NR102" s="322">
        <v>0</v>
      </c>
      <c r="NS102" s="322">
        <v>0</v>
      </c>
      <c r="NT102" s="334"/>
      <c r="NU102" s="322" t="s">
        <v>84</v>
      </c>
      <c r="NV102" s="322">
        <v>133779.78</v>
      </c>
      <c r="NW102" s="322">
        <v>171393.86</v>
      </c>
      <c r="NX102" s="322">
        <v>172973.35</v>
      </c>
      <c r="NY102" s="322">
        <v>201956.43</v>
      </c>
      <c r="NZ102" s="322">
        <v>219223.92</v>
      </c>
      <c r="OA102" s="322">
        <v>199021.68</v>
      </c>
      <c r="OB102" s="322">
        <v>239328.54</v>
      </c>
      <c r="OC102" s="322">
        <v>302734.19</v>
      </c>
      <c r="OD102" s="322">
        <v>363505</v>
      </c>
      <c r="OE102" s="322">
        <v>385235.28</v>
      </c>
      <c r="OF102" s="322">
        <v>406902.12</v>
      </c>
      <c r="OG102" s="322">
        <v>464660</v>
      </c>
      <c r="OH102" s="322">
        <v>386954.50999999989</v>
      </c>
      <c r="OI102" s="322">
        <v>379751.09</v>
      </c>
      <c r="OJ102" s="322">
        <v>349024.21</v>
      </c>
      <c r="OK102" s="322">
        <v>296386.95</v>
      </c>
      <c r="OL102" s="322">
        <v>285114.31</v>
      </c>
      <c r="OM102" s="322">
        <v>310546.20999999996</v>
      </c>
      <c r="ON102" s="322">
        <v>326383.14</v>
      </c>
      <c r="OO102" s="322">
        <v>333518.73</v>
      </c>
      <c r="OP102" s="322">
        <v>339984.34</v>
      </c>
      <c r="OQ102" s="322">
        <v>307732</v>
      </c>
      <c r="OR102" s="334"/>
      <c r="OS102" s="322" t="s">
        <v>84</v>
      </c>
      <c r="OT102" s="322">
        <v>118915.36</v>
      </c>
      <c r="OU102" s="322">
        <v>124650.08</v>
      </c>
      <c r="OV102" s="322">
        <v>125798.8</v>
      </c>
      <c r="OW102" s="322">
        <v>108745.77</v>
      </c>
      <c r="OX102" s="322">
        <v>91343.3</v>
      </c>
      <c r="OY102" s="322">
        <v>88454.080000000002</v>
      </c>
      <c r="OZ102" s="322">
        <v>87028.56</v>
      </c>
      <c r="PA102" s="322">
        <v>82563.87</v>
      </c>
      <c r="PB102" s="322">
        <v>82951.399999999994</v>
      </c>
      <c r="PC102" s="322">
        <v>82951</v>
      </c>
      <c r="PD102" s="322">
        <v>82951.399999999994</v>
      </c>
      <c r="PE102" s="322">
        <v>82951</v>
      </c>
      <c r="PF102" s="322">
        <v>82951.399999999994</v>
      </c>
      <c r="PG102" s="322">
        <v>82951.399999999994</v>
      </c>
      <c r="PH102" s="322">
        <v>82951.399999999994</v>
      </c>
      <c r="PI102" s="322">
        <v>82951.399999999994</v>
      </c>
      <c r="PJ102" s="322">
        <v>91332.52</v>
      </c>
      <c r="PK102" s="322">
        <v>91332.52</v>
      </c>
      <c r="PL102" s="322">
        <v>89250</v>
      </c>
      <c r="PM102" s="322">
        <v>93450</v>
      </c>
      <c r="PN102" s="322">
        <v>93450</v>
      </c>
      <c r="PO102" s="322">
        <v>127290</v>
      </c>
      <c r="PP102" s="334"/>
      <c r="PQ102" s="322" t="s">
        <v>84</v>
      </c>
      <c r="PR102" s="322">
        <v>14864.42</v>
      </c>
      <c r="PS102" s="322">
        <v>31162.52</v>
      </c>
      <c r="PT102" s="322">
        <v>15724.85</v>
      </c>
      <c r="PU102" s="322">
        <v>31070.22</v>
      </c>
      <c r="PV102" s="322">
        <v>36537.32</v>
      </c>
      <c r="PW102" s="322">
        <v>22113.52</v>
      </c>
      <c r="PX102" s="322">
        <v>21757.14</v>
      </c>
      <c r="PY102" s="322">
        <v>27521.29</v>
      </c>
      <c r="PZ102" s="322">
        <v>30664</v>
      </c>
      <c r="QA102" s="322">
        <v>45083</v>
      </c>
      <c r="QB102" s="322">
        <v>41786.83</v>
      </c>
      <c r="QC102" s="322">
        <v>67797</v>
      </c>
      <c r="QD102" s="322">
        <v>83368</v>
      </c>
      <c r="QE102" s="322">
        <v>62686.98</v>
      </c>
      <c r="QF102" s="322">
        <v>51795.3</v>
      </c>
      <c r="QG102" s="322">
        <v>41195.29</v>
      </c>
      <c r="QH102" s="322">
        <v>41648.58</v>
      </c>
      <c r="QI102" s="322">
        <v>52065.460000000006</v>
      </c>
      <c r="QJ102" s="322">
        <v>53049.19</v>
      </c>
      <c r="QK102" s="322">
        <v>70361.34</v>
      </c>
      <c r="QL102" s="322">
        <v>26171.729999999996</v>
      </c>
      <c r="QM102" s="322">
        <v>26005</v>
      </c>
      <c r="QN102" s="334"/>
      <c r="QO102" s="322" t="s">
        <v>84</v>
      </c>
      <c r="QP102" s="322">
        <v>0</v>
      </c>
      <c r="QQ102" s="322">
        <v>0</v>
      </c>
      <c r="QR102" s="322">
        <v>0</v>
      </c>
      <c r="QS102" s="322">
        <v>0</v>
      </c>
      <c r="QT102" s="322">
        <v>0</v>
      </c>
      <c r="QU102" s="322">
        <v>0</v>
      </c>
      <c r="QV102" s="322">
        <v>0</v>
      </c>
      <c r="QW102" s="322">
        <v>0</v>
      </c>
      <c r="QX102" s="322">
        <v>0</v>
      </c>
      <c r="QY102" s="322">
        <v>0</v>
      </c>
      <c r="QZ102" s="322">
        <v>0</v>
      </c>
      <c r="RA102" s="322">
        <v>0</v>
      </c>
      <c r="RB102" s="322">
        <v>0</v>
      </c>
      <c r="RC102" s="322">
        <v>0</v>
      </c>
      <c r="RD102" s="322">
        <v>0</v>
      </c>
      <c r="RE102" s="322">
        <v>0</v>
      </c>
      <c r="RF102" s="322">
        <v>0</v>
      </c>
      <c r="RG102" s="322">
        <v>0</v>
      </c>
      <c r="RH102" s="322">
        <v>0</v>
      </c>
      <c r="RI102" s="322">
        <v>0</v>
      </c>
      <c r="RJ102" s="322">
        <v>0</v>
      </c>
      <c r="RK102" s="322">
        <v>0</v>
      </c>
      <c r="RL102" s="334"/>
      <c r="RM102" s="322" t="s">
        <v>84</v>
      </c>
      <c r="RN102" s="322">
        <v>133779.78</v>
      </c>
      <c r="RO102" s="322">
        <v>171393.86</v>
      </c>
      <c r="RP102" s="322">
        <v>188698.2</v>
      </c>
      <c r="RQ102" s="322">
        <v>155351.1</v>
      </c>
      <c r="RR102" s="322">
        <v>182686.6</v>
      </c>
      <c r="RS102" s="322">
        <v>199021.68</v>
      </c>
      <c r="RT102" s="322">
        <v>326357.09999999998</v>
      </c>
      <c r="RU102" s="322">
        <v>247691.61</v>
      </c>
      <c r="RV102" s="322">
        <v>282177.70999999996</v>
      </c>
      <c r="RW102" s="322">
        <v>329506.53999999998</v>
      </c>
      <c r="RX102" s="322">
        <v>676084.72</v>
      </c>
      <c r="RY102" s="322">
        <v>780500</v>
      </c>
      <c r="RZ102" s="322">
        <v>620576</v>
      </c>
      <c r="SA102" s="322">
        <v>592497.02</v>
      </c>
      <c r="SB102" s="322">
        <v>441868.12</v>
      </c>
      <c r="SC102" s="322">
        <v>623057.93000000005</v>
      </c>
      <c r="SD102" s="322">
        <v>301594</v>
      </c>
      <c r="SE102" s="322">
        <v>539797.24</v>
      </c>
      <c r="SF102" s="322">
        <v>322335</v>
      </c>
      <c r="SG102" s="322">
        <v>407499</v>
      </c>
      <c r="SH102" s="322">
        <v>317619.46000000002</v>
      </c>
      <c r="SI102" s="322">
        <v>234668</v>
      </c>
    </row>
    <row r="103" spans="1:503">
      <c r="A103" s="319" t="s">
        <v>85</v>
      </c>
      <c r="B103" s="319">
        <v>846029</v>
      </c>
      <c r="C103" s="319">
        <v>961632</v>
      </c>
      <c r="D103" s="319">
        <v>1035604</v>
      </c>
      <c r="E103" s="319">
        <v>1028585</v>
      </c>
      <c r="F103" s="319">
        <v>1167228</v>
      </c>
      <c r="G103" s="319">
        <v>1280362</v>
      </c>
      <c r="H103" s="319">
        <v>1434826</v>
      </c>
      <c r="I103" s="319">
        <v>1570452</v>
      </c>
      <c r="J103" s="319">
        <v>1563137.23</v>
      </c>
      <c r="K103" s="319">
        <v>1419652.51</v>
      </c>
      <c r="L103" s="319">
        <v>1596683.4100000001</v>
      </c>
      <c r="M103" s="319">
        <v>1476619.2199999997</v>
      </c>
      <c r="N103" s="319">
        <v>1649239.29</v>
      </c>
      <c r="O103" s="319">
        <v>1662453.53</v>
      </c>
      <c r="P103" s="319">
        <v>1948411.3900000001</v>
      </c>
      <c r="Q103" s="319">
        <v>1878584.56</v>
      </c>
      <c r="R103" s="319">
        <v>2060305.4</v>
      </c>
      <c r="S103" s="322">
        <v>2339513.3499999996</v>
      </c>
      <c r="T103" s="319">
        <v>2409844.36</v>
      </c>
      <c r="U103" s="319">
        <v>2539678.14</v>
      </c>
      <c r="V103" s="319">
        <v>2262052.5999999996</v>
      </c>
      <c r="W103" s="319">
        <v>2384789.1</v>
      </c>
      <c r="X103" s="330"/>
      <c r="Y103" s="319" t="s">
        <v>85</v>
      </c>
      <c r="Z103" s="319">
        <v>42301.45</v>
      </c>
      <c r="AA103" s="319">
        <v>48081.599999999999</v>
      </c>
      <c r="AB103" s="319">
        <v>51780.2</v>
      </c>
      <c r="AC103" s="319">
        <v>61715.1</v>
      </c>
      <c r="AD103" s="319">
        <v>70033.679999999993</v>
      </c>
      <c r="AE103" s="319">
        <v>64018.1</v>
      </c>
      <c r="AF103" s="319">
        <v>64018.1</v>
      </c>
      <c r="AG103" s="319">
        <v>62818.080000000002</v>
      </c>
      <c r="AH103" s="319">
        <v>69167.010000000009</v>
      </c>
      <c r="AI103" s="319">
        <v>69848.009999999995</v>
      </c>
      <c r="AJ103" s="319">
        <v>68887.149999999994</v>
      </c>
      <c r="AK103" s="319">
        <v>70885.45</v>
      </c>
      <c r="AL103" s="319">
        <v>75877.26999999999</v>
      </c>
      <c r="AM103" s="319">
        <v>80964.7</v>
      </c>
      <c r="AN103" s="319">
        <v>78816.92</v>
      </c>
      <c r="AO103" s="319">
        <v>80041.87</v>
      </c>
      <c r="AP103" s="319">
        <v>80368.7</v>
      </c>
      <c r="AQ103" s="322">
        <v>78551.42</v>
      </c>
      <c r="AR103" s="319">
        <v>80990.569999999992</v>
      </c>
      <c r="AS103" s="319">
        <v>84446.319999999992</v>
      </c>
      <c r="AT103" s="319">
        <v>85013.01999999999</v>
      </c>
      <c r="AU103" s="319">
        <v>84400</v>
      </c>
      <c r="AV103" s="334"/>
      <c r="AW103" s="319" t="s">
        <v>85</v>
      </c>
      <c r="AX103" s="319">
        <v>67682.320000000007</v>
      </c>
      <c r="AY103" s="319">
        <v>67314.240000000005</v>
      </c>
      <c r="AZ103" s="319">
        <v>72492.280000000013</v>
      </c>
      <c r="BA103" s="319">
        <v>72000.950000000012</v>
      </c>
      <c r="BB103" s="319">
        <v>81705.960000000006</v>
      </c>
      <c r="BC103" s="319">
        <v>76821.72</v>
      </c>
      <c r="BD103" s="319">
        <v>71741.3</v>
      </c>
      <c r="BE103" s="319">
        <v>94227.12</v>
      </c>
      <c r="BF103" s="319">
        <v>77313.340000000011</v>
      </c>
      <c r="BG103" s="319">
        <v>77164.62000000001</v>
      </c>
      <c r="BH103" s="319">
        <v>69729.849999999991</v>
      </c>
      <c r="BI103" s="319">
        <v>59160.939999999995</v>
      </c>
      <c r="BJ103" s="319">
        <v>62819.97</v>
      </c>
      <c r="BK103" s="319">
        <v>61807.950000000004</v>
      </c>
      <c r="BL103" s="319">
        <v>64273.38</v>
      </c>
      <c r="BM103" s="319">
        <v>63820.039999999994</v>
      </c>
      <c r="BN103" s="319">
        <v>64054.78</v>
      </c>
      <c r="BO103" s="322">
        <v>64267.82</v>
      </c>
      <c r="BP103" s="319">
        <v>65379.98</v>
      </c>
      <c r="BQ103" s="319">
        <v>69623.030000000013</v>
      </c>
      <c r="BR103" s="319">
        <v>71157.61</v>
      </c>
      <c r="BS103" s="319">
        <v>73204</v>
      </c>
      <c r="BT103" s="334"/>
      <c r="BU103" s="322" t="s">
        <v>85</v>
      </c>
      <c r="BV103" s="322">
        <v>33841.160000000003</v>
      </c>
      <c r="BW103" s="322">
        <v>9616.32</v>
      </c>
      <c r="BX103" s="322">
        <v>51780.2</v>
      </c>
      <c r="BY103" s="322">
        <v>0</v>
      </c>
      <c r="BZ103" s="322">
        <v>46689.120000000003</v>
      </c>
      <c r="CA103" s="322">
        <v>0</v>
      </c>
      <c r="CB103" s="322">
        <v>43044.78</v>
      </c>
      <c r="CC103" s="322">
        <v>0</v>
      </c>
      <c r="CD103" s="322">
        <v>67971.399999999994</v>
      </c>
      <c r="CE103" s="322">
        <v>35619.369999999995</v>
      </c>
      <c r="CF103" s="322">
        <v>292057.53000000003</v>
      </c>
      <c r="CG103" s="322">
        <v>43079.710000000006</v>
      </c>
      <c r="CH103" s="322">
        <v>120955.42000000001</v>
      </c>
      <c r="CI103" s="322">
        <v>41211.74</v>
      </c>
      <c r="CJ103" s="322">
        <v>121917.57999999999</v>
      </c>
      <c r="CK103" s="322">
        <v>38280.15</v>
      </c>
      <c r="CL103" s="322">
        <v>123574.48000000001</v>
      </c>
      <c r="CM103" s="322">
        <v>46333.96</v>
      </c>
      <c r="CN103" s="322">
        <v>125448.51999999999</v>
      </c>
      <c r="CO103" s="322">
        <v>50877.02</v>
      </c>
      <c r="CP103" s="322">
        <v>97004.340000000011</v>
      </c>
      <c r="CQ103" s="322">
        <v>48904</v>
      </c>
      <c r="CR103" s="334"/>
      <c r="CS103" s="322" t="s">
        <v>85</v>
      </c>
      <c r="CT103" s="322">
        <v>67682.320000000007</v>
      </c>
      <c r="CU103" s="322">
        <v>76930.559999999998</v>
      </c>
      <c r="CV103" s="322">
        <v>72492.28</v>
      </c>
      <c r="CW103" s="322">
        <v>61715.1</v>
      </c>
      <c r="CX103" s="322">
        <v>35016.839999999997</v>
      </c>
      <c r="CY103" s="322">
        <v>51214.48</v>
      </c>
      <c r="CZ103" s="322">
        <v>43044.78</v>
      </c>
      <c r="DA103" s="322">
        <v>47113.56</v>
      </c>
      <c r="DB103" s="322">
        <v>46866.37</v>
      </c>
      <c r="DC103" s="322">
        <v>54098.289999999994</v>
      </c>
      <c r="DD103" s="322">
        <v>53321.23</v>
      </c>
      <c r="DE103" s="322">
        <v>53131.74</v>
      </c>
      <c r="DF103" s="322">
        <v>65348.939999999995</v>
      </c>
      <c r="DG103" s="322">
        <v>54817.039999999994</v>
      </c>
      <c r="DH103" s="322">
        <v>47686.75</v>
      </c>
      <c r="DI103" s="322">
        <v>51064.84</v>
      </c>
      <c r="DJ103" s="322">
        <v>50299.460000000006</v>
      </c>
      <c r="DK103" s="322">
        <v>51695.49</v>
      </c>
      <c r="DL103" s="322">
        <v>55603.4</v>
      </c>
      <c r="DM103" s="322">
        <v>48593.03</v>
      </c>
      <c r="DN103" s="322">
        <v>45223.580000000009</v>
      </c>
      <c r="DO103" s="322">
        <v>52656.479999999996</v>
      </c>
      <c r="DP103" s="334"/>
      <c r="DQ103" s="322" t="s">
        <v>85</v>
      </c>
      <c r="DR103" s="322">
        <v>76142.61</v>
      </c>
      <c r="DS103" s="322">
        <v>96163.199999999997</v>
      </c>
      <c r="DT103" s="322">
        <v>113916.44</v>
      </c>
      <c r="DU103" s="322">
        <v>113144.35</v>
      </c>
      <c r="DV103" s="322">
        <v>198428.76</v>
      </c>
      <c r="DW103" s="322">
        <v>204857.92</v>
      </c>
      <c r="DX103" s="322">
        <v>215223.9</v>
      </c>
      <c r="DY103" s="322">
        <v>219863.28</v>
      </c>
      <c r="DZ103" s="322">
        <v>252731.85000000003</v>
      </c>
      <c r="EA103" s="322">
        <v>241557.66</v>
      </c>
      <c r="EB103" s="322">
        <v>246495.07</v>
      </c>
      <c r="EC103" s="322">
        <v>250997.56000000003</v>
      </c>
      <c r="ED103" s="322">
        <v>279695.27</v>
      </c>
      <c r="EE103" s="322">
        <v>290174.16000000003</v>
      </c>
      <c r="EF103" s="322">
        <v>279410.81</v>
      </c>
      <c r="EG103" s="322">
        <v>278834.67000000004</v>
      </c>
      <c r="EH103" s="322">
        <v>264623.76000000007</v>
      </c>
      <c r="EI103" s="322">
        <v>295965</v>
      </c>
      <c r="EJ103" s="322">
        <v>311416.37</v>
      </c>
      <c r="EK103" s="322">
        <v>360008.23</v>
      </c>
      <c r="EL103" s="322">
        <v>243147.72999999998</v>
      </c>
      <c r="EM103" s="322">
        <v>229493</v>
      </c>
      <c r="EN103" s="334"/>
      <c r="EO103" s="322" t="s">
        <v>85</v>
      </c>
      <c r="EP103" s="322">
        <v>16920.580000000002</v>
      </c>
      <c r="EQ103" s="322">
        <v>19232.64</v>
      </c>
      <c r="ER103" s="322">
        <v>20712.080000000002</v>
      </c>
      <c r="ES103" s="322">
        <v>20571.7</v>
      </c>
      <c r="ET103" s="322">
        <v>23344.560000000001</v>
      </c>
      <c r="EU103" s="322">
        <v>25607.24</v>
      </c>
      <c r="EV103" s="322">
        <v>28696.52</v>
      </c>
      <c r="EW103" s="322">
        <v>31409.040000000001</v>
      </c>
      <c r="EX103" s="322">
        <v>35522.439999999995</v>
      </c>
      <c r="EY103" s="322">
        <v>34380.490000000005</v>
      </c>
      <c r="EZ103" s="322">
        <v>34316.870000000003</v>
      </c>
      <c r="FA103" s="322">
        <v>37871.14</v>
      </c>
      <c r="FB103" s="322">
        <v>38996.03</v>
      </c>
      <c r="FC103" s="322">
        <v>40432.590000000004</v>
      </c>
      <c r="FD103" s="322">
        <v>39983.78</v>
      </c>
      <c r="FE103" s="322">
        <v>40027.61</v>
      </c>
      <c r="FF103" s="322">
        <v>40547.399999999994</v>
      </c>
      <c r="FG103" s="322">
        <v>40676.06</v>
      </c>
      <c r="FH103" s="322">
        <v>41439.01</v>
      </c>
      <c r="FI103" s="322">
        <v>42487.93</v>
      </c>
      <c r="FJ103" s="322">
        <v>42639.6</v>
      </c>
      <c r="FK103" s="322">
        <v>42700</v>
      </c>
      <c r="FL103" s="334"/>
      <c r="FM103" s="322" t="s">
        <v>85</v>
      </c>
      <c r="FN103" s="322">
        <v>50761.74</v>
      </c>
      <c r="FO103" s="322">
        <v>48081.599999999999</v>
      </c>
      <c r="FP103" s="322">
        <v>51780.2</v>
      </c>
      <c r="FQ103" s="322">
        <v>61715.1</v>
      </c>
      <c r="FR103" s="322">
        <v>58361.4</v>
      </c>
      <c r="FS103" s="322">
        <v>64018.1</v>
      </c>
      <c r="FT103" s="322">
        <v>71741.3</v>
      </c>
      <c r="FU103" s="322">
        <v>62818.080000000002</v>
      </c>
      <c r="FV103" s="322">
        <v>75108.42</v>
      </c>
      <c r="FW103" s="322">
        <v>75298.09</v>
      </c>
      <c r="FX103" s="322">
        <v>71211.95</v>
      </c>
      <c r="FY103" s="322">
        <v>77568.12</v>
      </c>
      <c r="FZ103" s="322">
        <v>79837.460000000006</v>
      </c>
      <c r="GA103" s="322">
        <v>84562.280000000013</v>
      </c>
      <c r="GB103" s="322">
        <v>81955.789999999994</v>
      </c>
      <c r="GC103" s="322">
        <v>78847.33</v>
      </c>
      <c r="GD103" s="322">
        <v>80604.460000000006</v>
      </c>
      <c r="GE103" s="322">
        <v>87994.32</v>
      </c>
      <c r="GF103" s="340">
        <v>111453.95999999999</v>
      </c>
      <c r="GG103" s="704">
        <v>104753.4</v>
      </c>
      <c r="GH103" s="704">
        <v>110723.39</v>
      </c>
      <c r="GI103" s="704">
        <v>111151.16</v>
      </c>
      <c r="GJ103" s="334"/>
      <c r="GK103" s="322" t="s">
        <v>85</v>
      </c>
      <c r="GL103" s="322">
        <v>16920.580000000002</v>
      </c>
      <c r="GM103" s="322">
        <v>19232.64</v>
      </c>
      <c r="GN103" s="322">
        <v>20712.080000000002</v>
      </c>
      <c r="GO103" s="322">
        <v>20571.7</v>
      </c>
      <c r="GP103" s="322">
        <v>11672.28</v>
      </c>
      <c r="GQ103" s="322">
        <v>12803.62</v>
      </c>
      <c r="GR103" s="322">
        <v>14348.26</v>
      </c>
      <c r="GS103" s="322">
        <v>15704.52</v>
      </c>
      <c r="GT103" s="322">
        <v>18468.16</v>
      </c>
      <c r="GU103" s="322">
        <v>18883.740000000002</v>
      </c>
      <c r="GV103" s="322">
        <v>19383.73</v>
      </c>
      <c r="GW103" s="322">
        <v>40909.589999999997</v>
      </c>
      <c r="GX103" s="322">
        <v>45532.149999999994</v>
      </c>
      <c r="GY103" s="322">
        <v>47908.2</v>
      </c>
      <c r="GZ103" s="322">
        <v>45867.17</v>
      </c>
      <c r="HA103" s="322">
        <v>51794.99</v>
      </c>
      <c r="HB103" s="322">
        <v>51320.060000000005</v>
      </c>
      <c r="HC103" s="322">
        <v>50127.11</v>
      </c>
      <c r="HD103" s="322">
        <v>50070.46</v>
      </c>
      <c r="HE103" s="322">
        <v>52113.479999999996</v>
      </c>
      <c r="HF103" s="322">
        <v>53483.569999999992</v>
      </c>
      <c r="HG103" s="322">
        <v>60125</v>
      </c>
      <c r="HH103" s="334"/>
      <c r="HI103" s="322" t="s">
        <v>85</v>
      </c>
      <c r="HJ103" s="322">
        <v>8460.2900000000009</v>
      </c>
      <c r="HK103" s="322">
        <v>9616.32</v>
      </c>
      <c r="HL103" s="322">
        <v>10356.040000000001</v>
      </c>
      <c r="HM103" s="322">
        <v>10285.85</v>
      </c>
      <c r="HN103" s="322">
        <v>11672.28</v>
      </c>
      <c r="HO103" s="322">
        <v>12803.62</v>
      </c>
      <c r="HP103" s="322">
        <v>14348.26</v>
      </c>
      <c r="HQ103" s="322">
        <v>0</v>
      </c>
      <c r="HR103" s="322">
        <v>4811.5499999999993</v>
      </c>
      <c r="HS103" s="322">
        <v>8325.77</v>
      </c>
      <c r="HT103" s="322">
        <v>19371.97</v>
      </c>
      <c r="HU103" s="322">
        <v>20615.669999999998</v>
      </c>
      <c r="HV103" s="322">
        <v>19474.03</v>
      </c>
      <c r="HW103" s="322">
        <v>20877.189999999999</v>
      </c>
      <c r="HX103" s="322">
        <v>23371.23</v>
      </c>
      <c r="HY103" s="322">
        <v>12737.59</v>
      </c>
      <c r="HZ103" s="322">
        <v>11331.56</v>
      </c>
      <c r="IA103" s="322">
        <v>11350.630000000001</v>
      </c>
      <c r="IB103" s="322">
        <v>18215.259999999998</v>
      </c>
      <c r="IC103" s="322">
        <v>17735.600000000002</v>
      </c>
      <c r="ID103" s="322">
        <v>11717.18</v>
      </c>
      <c r="IE103" s="322">
        <v>20127</v>
      </c>
      <c r="IF103" s="334"/>
      <c r="IG103" s="322" t="s">
        <v>85</v>
      </c>
      <c r="IH103" s="322">
        <v>8460.2900000000009</v>
      </c>
      <c r="II103" s="322">
        <v>9616.32</v>
      </c>
      <c r="IJ103" s="322">
        <v>10356.040000000001</v>
      </c>
      <c r="IK103" s="322">
        <v>10285.85</v>
      </c>
      <c r="IL103" s="322">
        <v>11672.28</v>
      </c>
      <c r="IM103" s="322">
        <v>12803.62</v>
      </c>
      <c r="IN103" s="322">
        <v>14348.26</v>
      </c>
      <c r="IO103" s="322">
        <v>15704.52</v>
      </c>
      <c r="IP103" s="322">
        <v>884.08</v>
      </c>
      <c r="IQ103" s="322">
        <v>11686.1</v>
      </c>
      <c r="IR103" s="322">
        <v>979.96</v>
      </c>
      <c r="IS103" s="322">
        <v>998.7</v>
      </c>
      <c r="IT103" s="322">
        <v>998.78</v>
      </c>
      <c r="IU103" s="322">
        <v>988.6</v>
      </c>
      <c r="IV103" s="322"/>
      <c r="IW103" s="322"/>
      <c r="IX103" s="322"/>
      <c r="IY103" s="322"/>
      <c r="IZ103" s="322"/>
      <c r="JA103" s="322"/>
      <c r="JB103" s="322"/>
      <c r="JC103" s="322"/>
      <c r="JD103" s="334"/>
      <c r="JE103" s="322" t="s">
        <v>85</v>
      </c>
      <c r="JF103" s="322">
        <v>8460.2900000000009</v>
      </c>
      <c r="JG103" s="322">
        <v>9616.32</v>
      </c>
      <c r="JH103" s="322">
        <v>0</v>
      </c>
      <c r="JI103" s="322">
        <v>0</v>
      </c>
      <c r="JJ103" s="322">
        <v>0</v>
      </c>
      <c r="JK103" s="322">
        <v>0</v>
      </c>
      <c r="JL103" s="322">
        <v>0</v>
      </c>
      <c r="JM103" s="322">
        <v>0</v>
      </c>
      <c r="JN103" s="322">
        <v>7560.63</v>
      </c>
      <c r="JO103" s="322">
        <v>2251.9499999999998</v>
      </c>
      <c r="JP103" s="322">
        <v>4049.62</v>
      </c>
      <c r="JQ103" s="322">
        <v>2965.66</v>
      </c>
      <c r="JR103" s="322">
        <v>3541.85</v>
      </c>
      <c r="JS103" s="322">
        <v>3814.59</v>
      </c>
      <c r="JT103" s="322">
        <v>3032.21</v>
      </c>
      <c r="JU103" s="322">
        <v>2730.57</v>
      </c>
      <c r="JV103" s="322">
        <v>2451.1400000000003</v>
      </c>
      <c r="JW103" s="322">
        <v>2098.13</v>
      </c>
      <c r="JX103" s="322">
        <v>2504.62</v>
      </c>
      <c r="JY103" s="322">
        <v>2623.19</v>
      </c>
      <c r="JZ103" s="322">
        <v>2778.62</v>
      </c>
      <c r="KA103" s="322">
        <v>4645.5</v>
      </c>
      <c r="KB103" s="334"/>
      <c r="KC103" s="322" t="s">
        <v>85</v>
      </c>
      <c r="KD103" s="322">
        <v>8460.2900000000009</v>
      </c>
      <c r="KE103" s="322">
        <v>9616.32</v>
      </c>
      <c r="KF103" s="322">
        <v>10356.040000000001</v>
      </c>
      <c r="KG103" s="322">
        <v>20571.7</v>
      </c>
      <c r="KH103" s="322">
        <v>11672.28</v>
      </c>
      <c r="KI103" s="322">
        <v>25607.24</v>
      </c>
      <c r="KJ103" s="322">
        <v>14348.26</v>
      </c>
      <c r="KK103" s="322">
        <v>15704.52</v>
      </c>
      <c r="KL103" s="322">
        <v>23946.58</v>
      </c>
      <c r="KM103" s="322">
        <v>25880.43</v>
      </c>
      <c r="KN103" s="322">
        <v>25418.14</v>
      </c>
      <c r="KO103" s="322">
        <v>25923.91</v>
      </c>
      <c r="KP103" s="322">
        <v>25491.919999999998</v>
      </c>
      <c r="KQ103" s="322">
        <v>26190.449999999997</v>
      </c>
      <c r="KR103" s="322">
        <v>26553.67</v>
      </c>
      <c r="KS103" s="322">
        <v>25989.62</v>
      </c>
      <c r="KT103" s="322">
        <v>27091.64</v>
      </c>
      <c r="KU103" s="322">
        <v>39628.65</v>
      </c>
      <c r="KV103" s="322">
        <v>39767.520000000004</v>
      </c>
      <c r="KW103" s="322">
        <v>41680.629999999997</v>
      </c>
      <c r="KX103" s="322">
        <v>41488.21</v>
      </c>
      <c r="KY103" s="322">
        <v>41700</v>
      </c>
      <c r="KZ103" s="334"/>
      <c r="LA103" s="322" t="s">
        <v>85</v>
      </c>
      <c r="LB103" s="322">
        <v>59222.03</v>
      </c>
      <c r="LC103" s="322">
        <v>105779.52</v>
      </c>
      <c r="LD103" s="322">
        <v>124272.48</v>
      </c>
      <c r="LE103" s="322">
        <v>144001.9</v>
      </c>
      <c r="LF103" s="322">
        <v>198428.76</v>
      </c>
      <c r="LG103" s="322">
        <v>115232.58</v>
      </c>
      <c r="LH103" s="322">
        <v>143482.6</v>
      </c>
      <c r="LI103" s="322">
        <v>172749.72</v>
      </c>
      <c r="LJ103" s="322">
        <v>103004.34999999998</v>
      </c>
      <c r="LK103" s="322">
        <v>159842.65000000002</v>
      </c>
      <c r="LL103" s="322">
        <v>129733.36</v>
      </c>
      <c r="LM103" s="322">
        <v>141236.77999999997</v>
      </c>
      <c r="LN103" s="322">
        <v>137571.51</v>
      </c>
      <c r="LO103" s="322">
        <v>149031.41</v>
      </c>
      <c r="LP103" s="322">
        <v>241041.87</v>
      </c>
      <c r="LQ103" s="322">
        <v>355905.8</v>
      </c>
      <c r="LR103" s="322">
        <v>393876.64000000007</v>
      </c>
      <c r="LS103" s="322">
        <v>563430.41999999993</v>
      </c>
      <c r="LT103" s="322">
        <v>531888.5199999999</v>
      </c>
      <c r="LU103" s="322">
        <v>408169.74</v>
      </c>
      <c r="LV103" s="322">
        <v>275406.03999999998</v>
      </c>
      <c r="LW103" s="322">
        <v>346750</v>
      </c>
      <c r="LX103" s="334"/>
      <c r="LY103" s="322" t="s">
        <v>85</v>
      </c>
      <c r="LZ103" s="322">
        <v>245348.41</v>
      </c>
      <c r="MA103" s="322">
        <v>259640.64</v>
      </c>
      <c r="MB103" s="322">
        <v>258901</v>
      </c>
      <c r="MC103" s="322">
        <v>267432.09999999998</v>
      </c>
      <c r="MD103" s="322">
        <v>280134.71999999997</v>
      </c>
      <c r="ME103" s="322">
        <v>345697.74</v>
      </c>
      <c r="MF103" s="322">
        <v>401751.28</v>
      </c>
      <c r="MG103" s="322">
        <v>518249.16</v>
      </c>
      <c r="MH103" s="322">
        <v>378553.16</v>
      </c>
      <c r="MI103" s="322">
        <v>275119.99</v>
      </c>
      <c r="MJ103" s="322">
        <v>229587.63</v>
      </c>
      <c r="MK103" s="322">
        <v>262040.62</v>
      </c>
      <c r="ML103" s="322">
        <v>278274.46999999997</v>
      </c>
      <c r="MM103" s="322">
        <v>276990.36</v>
      </c>
      <c r="MN103" s="322">
        <v>288176.99999999994</v>
      </c>
      <c r="MO103" s="322">
        <v>324145.47000000003</v>
      </c>
      <c r="MP103" s="322">
        <v>313549.11000000004</v>
      </c>
      <c r="MQ103" s="322">
        <v>396620.77999999991</v>
      </c>
      <c r="MR103" s="322">
        <v>419122.37</v>
      </c>
      <c r="MS103" s="322">
        <v>443011.43</v>
      </c>
      <c r="MT103" s="322">
        <v>429766.12</v>
      </c>
      <c r="MU103" s="322">
        <v>447900</v>
      </c>
      <c r="MV103" s="334"/>
      <c r="MW103" s="322" t="s">
        <v>85</v>
      </c>
      <c r="MX103" s="322">
        <v>0</v>
      </c>
      <c r="MY103" s="322">
        <v>0</v>
      </c>
      <c r="MZ103" s="322">
        <v>0</v>
      </c>
      <c r="NA103" s="322">
        <v>0</v>
      </c>
      <c r="NB103" s="322">
        <v>0</v>
      </c>
      <c r="NC103" s="322">
        <v>128036.2</v>
      </c>
      <c r="ND103" s="322">
        <v>114786.08</v>
      </c>
      <c r="NE103" s="322">
        <v>125636.16</v>
      </c>
      <c r="NF103" s="322">
        <v>159006.51</v>
      </c>
      <c r="NG103" s="322">
        <v>146794.74000000002</v>
      </c>
      <c r="NH103" s="322">
        <v>166407.16999999998</v>
      </c>
      <c r="NI103" s="322">
        <v>190374.81</v>
      </c>
      <c r="NJ103" s="322">
        <v>194922.06</v>
      </c>
      <c r="NK103" s="322">
        <v>237615.89</v>
      </c>
      <c r="NL103" s="322">
        <v>283865.45000000007</v>
      </c>
      <c r="NM103" s="322">
        <v>270827.13</v>
      </c>
      <c r="NN103" s="322">
        <v>298946.77</v>
      </c>
      <c r="NO103" s="322">
        <v>356880.65</v>
      </c>
      <c r="NP103" s="322">
        <v>367983.75000000006</v>
      </c>
      <c r="NQ103" s="322">
        <v>408991.15</v>
      </c>
      <c r="NR103" s="322">
        <v>442697.81</v>
      </c>
      <c r="NS103" s="322">
        <v>478037</v>
      </c>
      <c r="NT103" s="334"/>
      <c r="NU103" s="322" t="s">
        <v>85</v>
      </c>
      <c r="NV103" s="322">
        <v>67682.320000000007</v>
      </c>
      <c r="NW103" s="322">
        <v>76930.559999999998</v>
      </c>
      <c r="NX103" s="322">
        <v>82848.320000000007</v>
      </c>
      <c r="NY103" s="322">
        <v>92572.65</v>
      </c>
      <c r="NZ103" s="322">
        <v>70033.679999999993</v>
      </c>
      <c r="OA103" s="322">
        <v>89625.34</v>
      </c>
      <c r="OB103" s="322">
        <v>100437.82</v>
      </c>
      <c r="OC103" s="322">
        <v>94227.12</v>
      </c>
      <c r="OD103" s="322">
        <v>98917.39</v>
      </c>
      <c r="OE103" s="322">
        <v>99629.359999999986</v>
      </c>
      <c r="OF103" s="322">
        <v>96530.85</v>
      </c>
      <c r="OG103" s="322">
        <v>97666.48000000001</v>
      </c>
      <c r="OH103" s="322">
        <v>90636.979999999981</v>
      </c>
      <c r="OI103" s="322">
        <v>93778</v>
      </c>
      <c r="OJ103" s="322">
        <v>98113.35</v>
      </c>
      <c r="OK103" s="322">
        <v>59211.770000000004</v>
      </c>
      <c r="OL103" s="322">
        <v>61112.380000000005</v>
      </c>
      <c r="OM103" s="322">
        <v>58412.08</v>
      </c>
      <c r="ON103" s="322">
        <v>58319.9</v>
      </c>
      <c r="OO103" s="322">
        <v>134071.58000000002</v>
      </c>
      <c r="OP103" s="322">
        <v>158994.44</v>
      </c>
      <c r="OQ103" s="322">
        <v>160750</v>
      </c>
      <c r="OR103" s="334"/>
      <c r="OS103" s="322" t="s">
        <v>85</v>
      </c>
      <c r="OT103" s="322">
        <v>33841.160000000003</v>
      </c>
      <c r="OU103" s="322">
        <v>38465.279999999999</v>
      </c>
      <c r="OV103" s="322">
        <v>41424.160000000003</v>
      </c>
      <c r="OW103" s="322">
        <v>30857.55</v>
      </c>
      <c r="OX103" s="322">
        <v>23344.560000000001</v>
      </c>
      <c r="OY103" s="322">
        <v>12803.62</v>
      </c>
      <c r="OZ103" s="322">
        <v>28696.52</v>
      </c>
      <c r="PA103" s="322">
        <v>31409.040000000001</v>
      </c>
      <c r="PB103" s="322">
        <v>29071.29</v>
      </c>
      <c r="PC103" s="322">
        <v>35071.42</v>
      </c>
      <c r="PD103" s="322">
        <v>39042.89</v>
      </c>
      <c r="PE103" s="322">
        <v>39486.53</v>
      </c>
      <c r="PF103" s="322">
        <v>40068.51</v>
      </c>
      <c r="PG103" s="322">
        <v>42958.3</v>
      </c>
      <c r="PH103" s="322">
        <v>43988.04</v>
      </c>
      <c r="PI103" s="322">
        <v>41507.949999999997</v>
      </c>
      <c r="PJ103" s="322">
        <v>40268.79</v>
      </c>
      <c r="PK103" s="322">
        <v>45098.12</v>
      </c>
      <c r="PL103" s="322">
        <v>46317.89</v>
      </c>
      <c r="PM103" s="322">
        <v>43430.13</v>
      </c>
      <c r="PN103" s="322">
        <v>49827.88</v>
      </c>
      <c r="PO103" s="322">
        <v>49827.880000000005</v>
      </c>
      <c r="PP103" s="334"/>
      <c r="PQ103" s="322" t="s">
        <v>85</v>
      </c>
      <c r="PR103" s="322">
        <v>8460.2900000000009</v>
      </c>
      <c r="PS103" s="322">
        <v>9616.32</v>
      </c>
      <c r="PT103" s="322">
        <v>10356.040000000001</v>
      </c>
      <c r="PU103" s="322">
        <v>10285.85</v>
      </c>
      <c r="PV103" s="322">
        <v>11672.28</v>
      </c>
      <c r="PW103" s="322">
        <v>12803.62</v>
      </c>
      <c r="PX103" s="322">
        <v>14348.26</v>
      </c>
      <c r="PY103" s="322">
        <v>31409.040000000001</v>
      </c>
      <c r="PZ103" s="322">
        <v>19094.580000000002</v>
      </c>
      <c r="QA103" s="322">
        <v>16850.719999999998</v>
      </c>
      <c r="QB103" s="322">
        <v>19824.379999999997</v>
      </c>
      <c r="QC103" s="322">
        <v>15867.009999999998</v>
      </c>
      <c r="QD103" s="322">
        <v>19809.96</v>
      </c>
      <c r="QE103" s="322">
        <v>17249.41</v>
      </c>
      <c r="QF103" s="322">
        <v>17064.78</v>
      </c>
      <c r="QG103" s="322">
        <v>20319.16</v>
      </c>
      <c r="QH103" s="322">
        <v>18493.650000000001</v>
      </c>
      <c r="QI103" s="322">
        <v>16474.36</v>
      </c>
      <c r="QJ103" s="322">
        <v>17200.690000000002</v>
      </c>
      <c r="QK103" s="322">
        <v>25293.590000000004</v>
      </c>
      <c r="QL103" s="322">
        <v>20395.349999999999</v>
      </c>
      <c r="QM103" s="322">
        <v>20450</v>
      </c>
      <c r="QN103" s="334"/>
      <c r="QO103" s="322" t="s">
        <v>85</v>
      </c>
      <c r="QP103" s="322">
        <v>0</v>
      </c>
      <c r="QQ103" s="322">
        <v>0</v>
      </c>
      <c r="QR103" s="322">
        <v>0</v>
      </c>
      <c r="QS103" s="322">
        <v>0</v>
      </c>
      <c r="QT103" s="322">
        <v>0</v>
      </c>
      <c r="QU103" s="322">
        <v>0</v>
      </c>
      <c r="QV103" s="322">
        <v>0</v>
      </c>
      <c r="QW103" s="322">
        <v>15704.52</v>
      </c>
      <c r="QX103" s="322">
        <v>3761.13</v>
      </c>
      <c r="QY103" s="322">
        <v>0</v>
      </c>
      <c r="QZ103" s="322">
        <v>0</v>
      </c>
      <c r="RA103" s="322">
        <v>17974.71</v>
      </c>
      <c r="RB103" s="322">
        <v>43386.71</v>
      </c>
      <c r="RC103" s="322">
        <v>70980.740000000005</v>
      </c>
      <c r="RD103" s="322">
        <v>42263</v>
      </c>
      <c r="RE103" s="322">
        <v>43498</v>
      </c>
      <c r="RF103" s="322">
        <v>61425.4</v>
      </c>
      <c r="RG103" s="322">
        <v>43963</v>
      </c>
      <c r="RH103" s="322">
        <v>48359.3</v>
      </c>
      <c r="RI103" s="322">
        <v>48359.3</v>
      </c>
      <c r="RJ103" s="322">
        <v>48359.3</v>
      </c>
      <c r="RK103" s="322">
        <v>48359.3</v>
      </c>
      <c r="RL103" s="334"/>
      <c r="RM103" s="322" t="s">
        <v>85</v>
      </c>
      <c r="RN103" s="322">
        <v>25380.87</v>
      </c>
      <c r="RO103" s="322">
        <v>48081.599999999999</v>
      </c>
      <c r="RP103" s="322">
        <v>31068.12</v>
      </c>
      <c r="RQ103" s="322">
        <v>30857.55</v>
      </c>
      <c r="RR103" s="322">
        <v>23344.560000000001</v>
      </c>
      <c r="RS103" s="322">
        <v>25607.24</v>
      </c>
      <c r="RT103" s="322">
        <v>28696.52</v>
      </c>
      <c r="RU103" s="322">
        <v>15704.52</v>
      </c>
      <c r="RV103" s="322">
        <v>76978</v>
      </c>
      <c r="RW103" s="322">
        <v>16935.830000000002</v>
      </c>
      <c r="RX103" s="322">
        <v>9210.0300000000007</v>
      </c>
      <c r="RY103" s="322">
        <v>27864.09</v>
      </c>
      <c r="RZ103" s="322">
        <v>26000</v>
      </c>
      <c r="SA103" s="322">
        <v>20099.93</v>
      </c>
      <c r="SB103" s="322">
        <v>121028.61</v>
      </c>
      <c r="SC103" s="322">
        <v>39000</v>
      </c>
      <c r="SD103" s="322">
        <v>76365.22</v>
      </c>
      <c r="SE103" s="322">
        <v>89945.35</v>
      </c>
      <c r="SF103" s="322">
        <v>18362.27</v>
      </c>
      <c r="SG103" s="322">
        <v>153409.35999999999</v>
      </c>
      <c r="SH103" s="322">
        <v>25748.81</v>
      </c>
      <c r="SI103" s="322">
        <v>46408.78</v>
      </c>
    </row>
    <row r="104" spans="1:503">
      <c r="A104" s="319" t="s">
        <v>86</v>
      </c>
      <c r="B104" s="319">
        <v>1956866</v>
      </c>
      <c r="C104" s="319">
        <v>1441415</v>
      </c>
      <c r="D104" s="319">
        <v>1467969</v>
      </c>
      <c r="E104" s="319">
        <v>1594327</v>
      </c>
      <c r="F104" s="319">
        <v>1645973</v>
      </c>
      <c r="G104" s="319">
        <v>2263651</v>
      </c>
      <c r="H104" s="319">
        <v>2173464</v>
      </c>
      <c r="I104" s="319">
        <v>2527897</v>
      </c>
      <c r="J104" s="319">
        <v>2692213.85</v>
      </c>
      <c r="K104" s="319"/>
      <c r="L104" s="319"/>
      <c r="M104" s="319"/>
      <c r="N104" s="319"/>
      <c r="O104" s="319">
        <v>3040585.96</v>
      </c>
      <c r="P104" s="319"/>
      <c r="Q104" s="319"/>
      <c r="R104" s="319"/>
      <c r="S104" s="322"/>
      <c r="T104" s="319"/>
      <c r="U104" s="319"/>
      <c r="V104" s="319"/>
      <c r="W104" s="319"/>
      <c r="X104" s="330"/>
      <c r="Y104" s="319" t="s">
        <v>86</v>
      </c>
      <c r="Z104" s="319">
        <v>58705.98</v>
      </c>
      <c r="AA104" s="319">
        <v>57656.6</v>
      </c>
      <c r="AB104" s="319">
        <v>58718.76</v>
      </c>
      <c r="AC104" s="319">
        <v>79716.350000000006</v>
      </c>
      <c r="AD104" s="319">
        <v>82298.649999999994</v>
      </c>
      <c r="AE104" s="319">
        <v>90546.04</v>
      </c>
      <c r="AF104" s="319">
        <v>90546.04</v>
      </c>
      <c r="AG104" s="319">
        <v>75836.91</v>
      </c>
      <c r="AH104" s="319">
        <v>86776.960000000006</v>
      </c>
      <c r="AI104" s="319"/>
      <c r="AJ104" s="319"/>
      <c r="AK104" s="319"/>
      <c r="AL104" s="319"/>
      <c r="AM104" s="319">
        <v>114944.76</v>
      </c>
      <c r="AN104" s="319"/>
      <c r="AO104" s="319"/>
      <c r="AP104" s="319"/>
      <c r="AQ104" s="322"/>
      <c r="AR104" s="319"/>
      <c r="AS104" s="319"/>
      <c r="AT104" s="319"/>
      <c r="AU104" s="319"/>
      <c r="AV104" s="334"/>
      <c r="AW104" s="319" t="s">
        <v>86</v>
      </c>
      <c r="AX104" s="319">
        <v>58705.979999999996</v>
      </c>
      <c r="AY104" s="319">
        <v>57656.6</v>
      </c>
      <c r="AZ104" s="319">
        <v>58718.76</v>
      </c>
      <c r="BA104" s="319">
        <v>79716.350000000006</v>
      </c>
      <c r="BB104" s="319">
        <v>82298.650000000009</v>
      </c>
      <c r="BC104" s="319">
        <v>90546.040000000008</v>
      </c>
      <c r="BD104" s="319">
        <v>86938.559999999998</v>
      </c>
      <c r="BE104" s="319">
        <v>75836.91</v>
      </c>
      <c r="BF104" s="319">
        <v>90724.959999999992</v>
      </c>
      <c r="BG104" s="319"/>
      <c r="BH104" s="319"/>
      <c r="BI104" s="319"/>
      <c r="BJ104" s="319"/>
      <c r="BK104" s="319">
        <v>149420.21000000002</v>
      </c>
      <c r="BL104" s="319"/>
      <c r="BM104" s="319"/>
      <c r="BN104" s="319"/>
      <c r="BO104" s="322"/>
      <c r="BP104" s="319"/>
      <c r="BQ104" s="319"/>
      <c r="BR104" s="319"/>
      <c r="BS104" s="319"/>
      <c r="BT104" s="334"/>
      <c r="BU104" s="322" t="s">
        <v>86</v>
      </c>
      <c r="BV104" s="322">
        <v>39137.32</v>
      </c>
      <c r="BW104" s="322">
        <v>14414.15</v>
      </c>
      <c r="BX104" s="322">
        <v>44039.07</v>
      </c>
      <c r="BY104" s="322">
        <v>31886.54</v>
      </c>
      <c r="BZ104" s="322">
        <v>82298.649999999994</v>
      </c>
      <c r="CA104" s="322">
        <v>45273.02</v>
      </c>
      <c r="CB104" s="322">
        <v>65203.92</v>
      </c>
      <c r="CC104" s="322">
        <v>25278.97</v>
      </c>
      <c r="CD104" s="322">
        <v>131457.92000000001</v>
      </c>
      <c r="CE104" s="322"/>
      <c r="CF104" s="322"/>
      <c r="CG104" s="322"/>
      <c r="CH104" s="322"/>
      <c r="CI104" s="322">
        <v>82269.969999999987</v>
      </c>
      <c r="CJ104" s="322"/>
      <c r="CK104" s="322"/>
      <c r="CL104" s="322"/>
      <c r="CM104" s="322"/>
      <c r="CN104" s="322"/>
      <c r="CO104" s="322"/>
      <c r="CP104" s="322"/>
      <c r="CQ104" s="322"/>
      <c r="CR104" s="334"/>
      <c r="CS104" s="322" t="s">
        <v>86</v>
      </c>
      <c r="CT104" s="322">
        <v>763177.74</v>
      </c>
      <c r="CU104" s="322">
        <v>86484.9</v>
      </c>
      <c r="CV104" s="322">
        <v>58718.76</v>
      </c>
      <c r="CW104" s="322">
        <v>63773.08</v>
      </c>
      <c r="CX104" s="322">
        <v>65838.92</v>
      </c>
      <c r="CY104" s="322">
        <v>90546.04</v>
      </c>
      <c r="CZ104" s="322">
        <v>108673.2</v>
      </c>
      <c r="DA104" s="322">
        <v>101115.88</v>
      </c>
      <c r="DB104" s="322">
        <v>164888.31000000003</v>
      </c>
      <c r="DC104" s="322"/>
      <c r="DD104" s="322"/>
      <c r="DE104" s="322"/>
      <c r="DF104" s="322"/>
      <c r="DG104" s="322">
        <v>245440.56</v>
      </c>
      <c r="DH104" s="322"/>
      <c r="DI104" s="322"/>
      <c r="DJ104" s="322"/>
      <c r="DK104" s="322"/>
      <c r="DL104" s="322"/>
      <c r="DM104" s="322"/>
      <c r="DN104" s="322"/>
      <c r="DO104" s="322"/>
      <c r="DP104" s="334"/>
      <c r="DQ104" s="322" t="s">
        <v>86</v>
      </c>
      <c r="DR104" s="322">
        <v>58705.98</v>
      </c>
      <c r="DS104" s="322">
        <v>72070.75</v>
      </c>
      <c r="DT104" s="322">
        <v>88078.14</v>
      </c>
      <c r="DU104" s="322">
        <v>111602.89</v>
      </c>
      <c r="DV104" s="322">
        <v>131677.84</v>
      </c>
      <c r="DW104" s="322">
        <v>158455.57</v>
      </c>
      <c r="DX104" s="322">
        <v>173877.12</v>
      </c>
      <c r="DY104" s="322">
        <v>202231.76</v>
      </c>
      <c r="DZ104" s="322">
        <v>207319.12</v>
      </c>
      <c r="EA104" s="322"/>
      <c r="EB104" s="322"/>
      <c r="EC104" s="322"/>
      <c r="ED104" s="322"/>
      <c r="EE104" s="322">
        <v>5138.33</v>
      </c>
      <c r="EF104" s="322"/>
      <c r="EG104" s="322"/>
      <c r="EH104" s="322"/>
      <c r="EI104" s="322"/>
      <c r="EJ104" s="322"/>
      <c r="EK104" s="322"/>
      <c r="EL104" s="322"/>
      <c r="EM104" s="322"/>
      <c r="EN104" s="334"/>
      <c r="EO104" s="322" t="s">
        <v>86</v>
      </c>
      <c r="EP104" s="322">
        <v>19568.66</v>
      </c>
      <c r="EQ104" s="322">
        <v>28828.3</v>
      </c>
      <c r="ER104" s="322">
        <v>29359.38</v>
      </c>
      <c r="ES104" s="322">
        <v>31886.54</v>
      </c>
      <c r="ET104" s="322">
        <v>32919.46</v>
      </c>
      <c r="EU104" s="322">
        <v>22636.51</v>
      </c>
      <c r="EV104" s="322">
        <v>43469.279999999999</v>
      </c>
      <c r="EW104" s="322">
        <v>25278.97</v>
      </c>
      <c r="EX104" s="322">
        <v>33689.4</v>
      </c>
      <c r="EY104" s="322"/>
      <c r="EZ104" s="322"/>
      <c r="FA104" s="322"/>
      <c r="FB104" s="322"/>
      <c r="FC104" s="322">
        <v>58789.440000000002</v>
      </c>
      <c r="FD104" s="322"/>
      <c r="FE104" s="322"/>
      <c r="FF104" s="322"/>
      <c r="FG104" s="322"/>
      <c r="FH104" s="322"/>
      <c r="FI104" s="322"/>
      <c r="FJ104" s="322"/>
      <c r="FK104" s="322"/>
      <c r="FL104" s="334"/>
      <c r="FM104" s="322" t="s">
        <v>86</v>
      </c>
      <c r="FN104" s="322">
        <v>78274.64</v>
      </c>
      <c r="FO104" s="322">
        <v>72070.75</v>
      </c>
      <c r="FP104" s="322">
        <v>73398.45</v>
      </c>
      <c r="FQ104" s="322">
        <v>79716.350000000006</v>
      </c>
      <c r="FR104" s="322">
        <v>82298.649999999994</v>
      </c>
      <c r="FS104" s="322">
        <v>90546.04</v>
      </c>
      <c r="FT104" s="322">
        <v>86938.559999999998</v>
      </c>
      <c r="FU104" s="322">
        <v>101115.88</v>
      </c>
      <c r="FV104" s="322">
        <v>89808.709999999992</v>
      </c>
      <c r="FW104" s="322"/>
      <c r="FX104" s="322"/>
      <c r="FY104" s="322"/>
      <c r="FZ104" s="322"/>
      <c r="GA104" s="322">
        <v>121229.08</v>
      </c>
      <c r="GB104" s="322"/>
      <c r="GC104" s="322"/>
      <c r="GD104" s="322"/>
      <c r="GE104" s="322"/>
      <c r="GF104" s="340"/>
      <c r="GG104" s="704"/>
      <c r="GH104" s="704"/>
      <c r="GI104" s="704"/>
      <c r="GJ104" s="334"/>
      <c r="GK104" s="322" t="s">
        <v>86</v>
      </c>
      <c r="GL104" s="322">
        <v>19568.66</v>
      </c>
      <c r="GM104" s="322">
        <v>28828.3</v>
      </c>
      <c r="GN104" s="322">
        <v>29359.38</v>
      </c>
      <c r="GO104" s="322">
        <v>31886.54</v>
      </c>
      <c r="GP104" s="322">
        <v>32919.46</v>
      </c>
      <c r="GQ104" s="322">
        <v>45273.02</v>
      </c>
      <c r="GR104" s="322">
        <v>43469.279999999999</v>
      </c>
      <c r="GS104" s="322">
        <v>75836.91</v>
      </c>
      <c r="GT104" s="322">
        <v>81591.01999999999</v>
      </c>
      <c r="GU104" s="322"/>
      <c r="GV104" s="322"/>
      <c r="GW104" s="322"/>
      <c r="GX104" s="322"/>
      <c r="GY104" s="322">
        <v>107671.40000000001</v>
      </c>
      <c r="GZ104" s="322"/>
      <c r="HA104" s="322"/>
      <c r="HB104" s="322"/>
      <c r="HC104" s="322"/>
      <c r="HD104" s="322"/>
      <c r="HE104" s="322"/>
      <c r="HF104" s="322"/>
      <c r="HG104" s="322"/>
      <c r="HH104" s="334"/>
      <c r="HI104" s="322" t="s">
        <v>86</v>
      </c>
      <c r="HJ104" s="322">
        <v>19568.66</v>
      </c>
      <c r="HK104" s="322">
        <v>14414.15</v>
      </c>
      <c r="HL104" s="322">
        <v>14679.69</v>
      </c>
      <c r="HM104" s="322">
        <v>15943.27</v>
      </c>
      <c r="HN104" s="322">
        <v>16459.73</v>
      </c>
      <c r="HO104" s="322">
        <v>22636.51</v>
      </c>
      <c r="HP104" s="322">
        <v>0</v>
      </c>
      <c r="HQ104" s="322">
        <v>25278.97</v>
      </c>
      <c r="HR104" s="322">
        <v>11764.529999999999</v>
      </c>
      <c r="HS104" s="322"/>
      <c r="HT104" s="322"/>
      <c r="HU104" s="322"/>
      <c r="HV104" s="322"/>
      <c r="HW104" s="322">
        <v>60997.01</v>
      </c>
      <c r="HX104" s="322"/>
      <c r="HY104" s="322"/>
      <c r="HZ104" s="322"/>
      <c r="IA104" s="322"/>
      <c r="IB104" s="322"/>
      <c r="IC104" s="322"/>
      <c r="ID104" s="322"/>
      <c r="IE104" s="322"/>
      <c r="IF104" s="334"/>
      <c r="IG104" s="322" t="s">
        <v>86</v>
      </c>
      <c r="IH104" s="322">
        <v>19568.66</v>
      </c>
      <c r="II104" s="322">
        <v>14414.15</v>
      </c>
      <c r="IJ104" s="322">
        <v>14679.69</v>
      </c>
      <c r="IK104" s="322">
        <v>15943.27</v>
      </c>
      <c r="IL104" s="322">
        <v>16459.73</v>
      </c>
      <c r="IM104" s="322">
        <v>22636.51</v>
      </c>
      <c r="IN104" s="322">
        <v>21734.639999999999</v>
      </c>
      <c r="IO104" s="322">
        <v>50557.94</v>
      </c>
      <c r="IP104" s="322">
        <v>56967.259999999995</v>
      </c>
      <c r="IQ104" s="322"/>
      <c r="IR104" s="322"/>
      <c r="IS104" s="322"/>
      <c r="IT104" s="322"/>
      <c r="IU104" s="322">
        <v>57370.58</v>
      </c>
      <c r="IV104" s="322"/>
      <c r="IW104" s="322"/>
      <c r="IX104" s="322"/>
      <c r="IY104" s="322"/>
      <c r="IZ104" s="322"/>
      <c r="JA104" s="322"/>
      <c r="JB104" s="322"/>
      <c r="JC104" s="322"/>
      <c r="JD104" s="334"/>
      <c r="JE104" s="322" t="s">
        <v>86</v>
      </c>
      <c r="JF104" s="322">
        <v>19568.66</v>
      </c>
      <c r="JG104" s="322">
        <v>0</v>
      </c>
      <c r="JH104" s="322">
        <v>0</v>
      </c>
      <c r="JI104" s="322">
        <v>0</v>
      </c>
      <c r="JJ104" s="322">
        <v>0</v>
      </c>
      <c r="JK104" s="322">
        <v>22636.51</v>
      </c>
      <c r="JL104" s="322">
        <v>0</v>
      </c>
      <c r="JM104" s="322">
        <v>50557.94</v>
      </c>
      <c r="JN104" s="322">
        <v>58462.810000000005</v>
      </c>
      <c r="JO104" s="322"/>
      <c r="JP104" s="322"/>
      <c r="JQ104" s="322"/>
      <c r="JR104" s="322"/>
      <c r="JS104" s="322">
        <v>69416.460000000006</v>
      </c>
      <c r="JT104" s="322"/>
      <c r="JU104" s="322"/>
      <c r="JV104" s="322"/>
      <c r="JW104" s="322"/>
      <c r="JX104" s="322"/>
      <c r="JY104" s="322"/>
      <c r="JZ104" s="322"/>
      <c r="KA104" s="322"/>
      <c r="KB104" s="334"/>
      <c r="KC104" s="322" t="s">
        <v>86</v>
      </c>
      <c r="KD104" s="322">
        <v>19568.66</v>
      </c>
      <c r="KE104" s="322">
        <v>14414.15</v>
      </c>
      <c r="KF104" s="322">
        <v>29359.38</v>
      </c>
      <c r="KG104" s="322">
        <v>47829.81</v>
      </c>
      <c r="KH104" s="322">
        <v>32919.46</v>
      </c>
      <c r="KI104" s="322">
        <v>67909.53</v>
      </c>
      <c r="KJ104" s="322">
        <v>65203.92</v>
      </c>
      <c r="KK104" s="322">
        <v>50557.94</v>
      </c>
      <c r="KL104" s="322">
        <v>60133.87</v>
      </c>
      <c r="KM104" s="322"/>
      <c r="KN104" s="322"/>
      <c r="KO104" s="322"/>
      <c r="KP104" s="322"/>
      <c r="KQ104" s="322">
        <v>87069.01999999999</v>
      </c>
      <c r="KR104" s="322"/>
      <c r="KS104" s="322"/>
      <c r="KT104" s="322"/>
      <c r="KU104" s="322"/>
      <c r="KV104" s="322"/>
      <c r="KW104" s="322"/>
      <c r="KX104" s="322"/>
      <c r="KY104" s="322"/>
      <c r="KZ104" s="334"/>
      <c r="LA104" s="322" t="s">
        <v>86</v>
      </c>
      <c r="LB104" s="322">
        <v>195686.6</v>
      </c>
      <c r="LC104" s="322">
        <v>302697.15000000002</v>
      </c>
      <c r="LD104" s="322">
        <v>322953.18</v>
      </c>
      <c r="LE104" s="322">
        <v>207262.51</v>
      </c>
      <c r="LF104" s="322">
        <v>181057.03</v>
      </c>
      <c r="LG104" s="322">
        <v>498003.22</v>
      </c>
      <c r="LH104" s="322">
        <v>304284.96000000002</v>
      </c>
      <c r="LI104" s="322">
        <v>556137.34</v>
      </c>
      <c r="LJ104" s="322">
        <v>559538.21</v>
      </c>
      <c r="LK104" s="322"/>
      <c r="LL104" s="322"/>
      <c r="LM104" s="322"/>
      <c r="LN104" s="322"/>
      <c r="LO104" s="322">
        <v>254211.92</v>
      </c>
      <c r="LP104" s="322"/>
      <c r="LQ104" s="322"/>
      <c r="LR104" s="322"/>
      <c r="LS104" s="322"/>
      <c r="LT104" s="322"/>
      <c r="LU104" s="322"/>
      <c r="LV104" s="322"/>
      <c r="LW104" s="322"/>
      <c r="LX104" s="334"/>
      <c r="LY104" s="322" t="s">
        <v>86</v>
      </c>
      <c r="LZ104" s="322">
        <v>391373.2</v>
      </c>
      <c r="MA104" s="322">
        <v>461252.8</v>
      </c>
      <c r="MB104" s="322">
        <v>440390.7</v>
      </c>
      <c r="MC104" s="322">
        <v>558014.44999999995</v>
      </c>
      <c r="MD104" s="322">
        <v>592550.28</v>
      </c>
      <c r="ME104" s="322">
        <v>724368.32</v>
      </c>
      <c r="MF104" s="322">
        <v>738977.76</v>
      </c>
      <c r="MG104" s="322">
        <v>530858.37</v>
      </c>
      <c r="MH104" s="322">
        <v>509261.24999999994</v>
      </c>
      <c r="MI104" s="322"/>
      <c r="MJ104" s="322"/>
      <c r="MK104" s="322"/>
      <c r="ML104" s="322"/>
      <c r="MM104" s="322">
        <v>799515.36</v>
      </c>
      <c r="MN104" s="322"/>
      <c r="MO104" s="322"/>
      <c r="MP104" s="322"/>
      <c r="MQ104" s="322"/>
      <c r="MR104" s="322"/>
      <c r="MS104" s="322"/>
      <c r="MT104" s="322"/>
      <c r="MU104" s="322"/>
      <c r="MV104" s="334"/>
      <c r="MW104" s="322" t="s">
        <v>86</v>
      </c>
      <c r="MX104" s="322">
        <v>0</v>
      </c>
      <c r="MY104" s="322">
        <v>0</v>
      </c>
      <c r="MZ104" s="322">
        <v>0</v>
      </c>
      <c r="NA104" s="322">
        <v>0</v>
      </c>
      <c r="NB104" s="322">
        <v>0</v>
      </c>
      <c r="NC104" s="322">
        <v>0</v>
      </c>
      <c r="ND104" s="322">
        <v>108673.2</v>
      </c>
      <c r="NE104" s="322">
        <v>278068.67</v>
      </c>
      <c r="NF104" s="322">
        <v>282357.05</v>
      </c>
      <c r="NG104" s="322"/>
      <c r="NH104" s="322"/>
      <c r="NI104" s="322"/>
      <c r="NJ104" s="322"/>
      <c r="NK104" s="322">
        <v>442945.16000000003</v>
      </c>
      <c r="NL104" s="322"/>
      <c r="NM104" s="322"/>
      <c r="NN104" s="322"/>
      <c r="NO104" s="322"/>
      <c r="NP104" s="322"/>
      <c r="NQ104" s="322"/>
      <c r="NR104" s="322"/>
      <c r="NS104" s="322"/>
      <c r="NT104" s="334"/>
      <c r="NU104" s="322" t="s">
        <v>86</v>
      </c>
      <c r="NV104" s="322">
        <v>78274.64</v>
      </c>
      <c r="NW104" s="322">
        <v>86484.9</v>
      </c>
      <c r="NX104" s="322">
        <v>88078.14</v>
      </c>
      <c r="NY104" s="322">
        <v>95659.62</v>
      </c>
      <c r="NZ104" s="322">
        <v>115218.11</v>
      </c>
      <c r="OA104" s="322">
        <v>135819.06</v>
      </c>
      <c r="OB104" s="322">
        <v>152142.48000000001</v>
      </c>
      <c r="OC104" s="322">
        <v>227510.73</v>
      </c>
      <c r="OD104" s="322">
        <v>212768.21999999997</v>
      </c>
      <c r="OE104" s="322"/>
      <c r="OF104" s="322"/>
      <c r="OG104" s="322"/>
      <c r="OH104" s="322"/>
      <c r="OI104" s="322">
        <v>305163.63</v>
      </c>
      <c r="OJ104" s="322"/>
      <c r="OK104" s="322"/>
      <c r="OL104" s="322"/>
      <c r="OM104" s="322"/>
      <c r="ON104" s="322"/>
      <c r="OO104" s="322"/>
      <c r="OP104" s="322"/>
      <c r="OQ104" s="322"/>
      <c r="OR104" s="334"/>
      <c r="OS104" s="322" t="s">
        <v>86</v>
      </c>
      <c r="OT104" s="322">
        <v>78274.64</v>
      </c>
      <c r="OU104" s="322">
        <v>72070.75</v>
      </c>
      <c r="OV104" s="322">
        <v>44039.07</v>
      </c>
      <c r="OW104" s="322">
        <v>95659.62</v>
      </c>
      <c r="OX104" s="322">
        <v>49379.19</v>
      </c>
      <c r="OY104" s="322">
        <v>45273.02</v>
      </c>
      <c r="OZ104" s="322">
        <v>21734.639999999999</v>
      </c>
      <c r="PA104" s="322">
        <v>25278.97</v>
      </c>
      <c r="PB104" s="322">
        <v>24535.87</v>
      </c>
      <c r="PC104" s="322"/>
      <c r="PD104" s="322"/>
      <c r="PE104" s="322"/>
      <c r="PF104" s="322"/>
      <c r="PG104" s="322">
        <v>0</v>
      </c>
      <c r="PH104" s="322"/>
      <c r="PI104" s="322"/>
      <c r="PJ104" s="322"/>
      <c r="PK104" s="322"/>
      <c r="PL104" s="322"/>
      <c r="PM104" s="322"/>
      <c r="PN104" s="322"/>
      <c r="PO104" s="322"/>
      <c r="PP104" s="334"/>
      <c r="PQ104" s="322" t="s">
        <v>86</v>
      </c>
      <c r="PR104" s="322">
        <v>0</v>
      </c>
      <c r="PS104" s="322">
        <v>14414.15</v>
      </c>
      <c r="PT104" s="322">
        <v>14679.69</v>
      </c>
      <c r="PU104" s="322">
        <v>15943.27</v>
      </c>
      <c r="PV104" s="322">
        <v>16459.73</v>
      </c>
      <c r="PW104" s="322">
        <v>22636.51</v>
      </c>
      <c r="PX104" s="322">
        <v>21734.639999999999</v>
      </c>
      <c r="PY104" s="322">
        <v>25278.97</v>
      </c>
      <c r="PZ104" s="322">
        <v>21527.98</v>
      </c>
      <c r="QA104" s="322"/>
      <c r="QB104" s="322"/>
      <c r="QC104" s="322"/>
      <c r="QD104" s="322"/>
      <c r="QE104" s="322">
        <v>30463.07</v>
      </c>
      <c r="QF104" s="322"/>
      <c r="QG104" s="322"/>
      <c r="QH104" s="322"/>
      <c r="QI104" s="322"/>
      <c r="QJ104" s="322"/>
      <c r="QK104" s="322"/>
      <c r="QL104" s="322"/>
      <c r="QM104" s="322"/>
      <c r="QN104" s="334"/>
      <c r="QO104" s="322" t="s">
        <v>86</v>
      </c>
      <c r="QP104" s="322">
        <v>0</v>
      </c>
      <c r="QQ104" s="322">
        <v>0</v>
      </c>
      <c r="QR104" s="322">
        <v>0</v>
      </c>
      <c r="QS104" s="322">
        <v>0</v>
      </c>
      <c r="QT104" s="322">
        <v>16459.73</v>
      </c>
      <c r="QU104" s="322">
        <v>45273.02</v>
      </c>
      <c r="QV104" s="322">
        <v>21734.639999999999</v>
      </c>
      <c r="QW104" s="322">
        <v>0</v>
      </c>
      <c r="QX104" s="322">
        <v>0</v>
      </c>
      <c r="QY104" s="322"/>
      <c r="QZ104" s="322"/>
      <c r="RA104" s="322"/>
      <c r="RB104" s="322"/>
      <c r="RC104" s="322">
        <v>0</v>
      </c>
      <c r="RD104" s="322"/>
      <c r="RE104" s="322"/>
      <c r="RF104" s="322"/>
      <c r="RG104" s="322"/>
      <c r="RH104" s="322"/>
      <c r="RI104" s="322"/>
      <c r="RJ104" s="322"/>
      <c r="RK104" s="322"/>
      <c r="RL104" s="334"/>
      <c r="RM104" s="322" t="s">
        <v>86</v>
      </c>
      <c r="RN104" s="322">
        <v>39137.32</v>
      </c>
      <c r="RO104" s="322">
        <v>43242.45</v>
      </c>
      <c r="RP104" s="322">
        <v>58718.76</v>
      </c>
      <c r="RQ104" s="322">
        <v>31886.54</v>
      </c>
      <c r="RR104" s="322">
        <v>16459.73</v>
      </c>
      <c r="RS104" s="322">
        <v>22636.51</v>
      </c>
      <c r="RT104" s="322">
        <v>21734.639999999999</v>
      </c>
      <c r="RU104" s="322">
        <v>25278.97</v>
      </c>
      <c r="RV104" s="322">
        <v>4014.56</v>
      </c>
      <c r="RW104" s="322"/>
      <c r="RX104" s="322"/>
      <c r="RY104" s="322"/>
      <c r="RZ104" s="322"/>
      <c r="SA104" s="322">
        <v>48530</v>
      </c>
      <c r="SB104" s="322"/>
      <c r="SC104" s="322"/>
      <c r="SD104" s="322"/>
      <c r="SE104" s="322"/>
      <c r="SF104" s="322"/>
      <c r="SG104" s="322"/>
      <c r="SH104" s="322"/>
      <c r="SI104" s="322"/>
    </row>
    <row r="105" spans="1:503">
      <c r="A105" s="321" t="s">
        <v>87</v>
      </c>
      <c r="B105" s="321">
        <v>375495</v>
      </c>
      <c r="C105" s="321">
        <v>442135</v>
      </c>
      <c r="D105" s="321">
        <v>414020</v>
      </c>
      <c r="E105" s="321">
        <v>424516</v>
      </c>
      <c r="F105" s="321">
        <v>308969</v>
      </c>
      <c r="G105" s="321">
        <v>439213</v>
      </c>
      <c r="H105" s="321">
        <v>420087</v>
      </c>
      <c r="I105" s="321">
        <v>445845</v>
      </c>
      <c r="J105" s="321">
        <v>432818.74</v>
      </c>
      <c r="K105" s="321">
        <v>362897.77</v>
      </c>
      <c r="L105" s="321">
        <v>414451.37</v>
      </c>
      <c r="M105" s="321">
        <v>513955.28999999992</v>
      </c>
      <c r="N105" s="321">
        <v>419968.12</v>
      </c>
      <c r="O105" s="321">
        <v>522932.05000000005</v>
      </c>
      <c r="P105" s="321">
        <v>529930.47</v>
      </c>
      <c r="Q105" s="321">
        <v>409557.48</v>
      </c>
      <c r="R105" s="321">
        <v>435176.95</v>
      </c>
      <c r="S105" s="324">
        <v>438821.97</v>
      </c>
      <c r="T105" s="319">
        <v>416864.74</v>
      </c>
      <c r="U105" s="319">
        <v>421928.91000000003</v>
      </c>
      <c r="V105" s="319">
        <v>515944.97</v>
      </c>
      <c r="W105" s="319">
        <v>709520.22</v>
      </c>
      <c r="X105" s="330"/>
      <c r="Y105" s="321" t="s">
        <v>87</v>
      </c>
      <c r="Z105" s="321">
        <v>26284.65</v>
      </c>
      <c r="AA105" s="321">
        <v>13264.05</v>
      </c>
      <c r="AB105" s="321">
        <v>24841.200000000001</v>
      </c>
      <c r="AC105" s="321">
        <v>25470.959999999999</v>
      </c>
      <c r="AD105" s="321">
        <v>24717.52</v>
      </c>
      <c r="AE105" s="321">
        <v>21960.65</v>
      </c>
      <c r="AF105" s="321">
        <v>26352.78</v>
      </c>
      <c r="AG105" s="321">
        <v>22292.25</v>
      </c>
      <c r="AH105" s="321">
        <v>24317.429999999997</v>
      </c>
      <c r="AI105" s="321">
        <v>24537.219999999998</v>
      </c>
      <c r="AJ105" s="321">
        <v>26734.510000000002</v>
      </c>
      <c r="AK105" s="321">
        <v>31612.519999999997</v>
      </c>
      <c r="AL105" s="321">
        <v>32155.479999999996</v>
      </c>
      <c r="AM105" s="321">
        <v>39605.630000000005</v>
      </c>
      <c r="AN105" s="321">
        <v>40334.43</v>
      </c>
      <c r="AO105" s="321">
        <v>42687.51</v>
      </c>
      <c r="AP105" s="321">
        <v>43335.740000000005</v>
      </c>
      <c r="AQ105" s="324">
        <v>43985.79</v>
      </c>
      <c r="AR105" s="321">
        <v>45230.359999999993</v>
      </c>
      <c r="AS105" s="321">
        <v>46707.14</v>
      </c>
      <c r="AT105" s="321">
        <v>64207.479999999996</v>
      </c>
      <c r="AU105" s="321">
        <v>67285.66</v>
      </c>
      <c r="AV105" s="334"/>
      <c r="AW105" s="321" t="s">
        <v>87</v>
      </c>
      <c r="AX105" s="321">
        <v>33794.549999999996</v>
      </c>
      <c r="AY105" s="321">
        <v>39792.15</v>
      </c>
      <c r="AZ105" s="321">
        <v>37261.799999999996</v>
      </c>
      <c r="BA105" s="321">
        <v>33961.279999999999</v>
      </c>
      <c r="BB105" s="321">
        <v>33986.590000000004</v>
      </c>
      <c r="BC105" s="321">
        <v>35137.040000000001</v>
      </c>
      <c r="BD105" s="321">
        <v>33606.959999999999</v>
      </c>
      <c r="BE105" s="321">
        <v>35667.599999999999</v>
      </c>
      <c r="BF105" s="321">
        <v>37070.609999999993</v>
      </c>
      <c r="BG105" s="321">
        <v>37271.97</v>
      </c>
      <c r="BH105" s="321">
        <v>37547.840000000004</v>
      </c>
      <c r="BI105" s="321">
        <v>36401.759999999987</v>
      </c>
      <c r="BJ105" s="321">
        <v>37916.74</v>
      </c>
      <c r="BK105" s="321">
        <v>38413.83</v>
      </c>
      <c r="BL105" s="321">
        <v>38467.9</v>
      </c>
      <c r="BM105" s="321">
        <v>39490.639999999992</v>
      </c>
      <c r="BN105" s="321">
        <v>40006.239999999998</v>
      </c>
      <c r="BO105" s="324">
        <v>40819.020000000004</v>
      </c>
      <c r="BP105" s="321">
        <v>41867.279999999999</v>
      </c>
      <c r="BQ105" s="321">
        <v>42746.630000000005</v>
      </c>
      <c r="BR105" s="321">
        <v>49994.63</v>
      </c>
      <c r="BS105" s="321">
        <v>53427.5</v>
      </c>
      <c r="BT105" s="334"/>
      <c r="BU105" s="324" t="s">
        <v>87</v>
      </c>
      <c r="BV105" s="324">
        <v>11264.85</v>
      </c>
      <c r="BW105" s="324">
        <v>0</v>
      </c>
      <c r="BX105" s="324">
        <v>8280.4</v>
      </c>
      <c r="BY105" s="324">
        <v>4245.16</v>
      </c>
      <c r="BZ105" s="324">
        <v>12358.76</v>
      </c>
      <c r="CA105" s="324">
        <v>0</v>
      </c>
      <c r="CB105" s="324">
        <v>8401.74</v>
      </c>
      <c r="CC105" s="324">
        <v>4458.45</v>
      </c>
      <c r="CD105" s="324">
        <v>10537.79</v>
      </c>
      <c r="CE105" s="324">
        <v>885.95</v>
      </c>
      <c r="CF105" s="324">
        <v>16408.869999999995</v>
      </c>
      <c r="CG105" s="324">
        <v>4321.46</v>
      </c>
      <c r="CH105" s="324">
        <v>16052.7</v>
      </c>
      <c r="CI105" s="324">
        <v>8874.0399999999991</v>
      </c>
      <c r="CJ105" s="324">
        <v>31572.52</v>
      </c>
      <c r="CK105" s="324">
        <v>16080.61</v>
      </c>
      <c r="CL105" s="324">
        <v>28456.550000000003</v>
      </c>
      <c r="CM105" s="324">
        <v>16124.07</v>
      </c>
      <c r="CN105" s="324">
        <v>23879.07</v>
      </c>
      <c r="CO105" s="324">
        <v>9502.34</v>
      </c>
      <c r="CP105" s="324">
        <v>24770.36</v>
      </c>
      <c r="CQ105" s="324">
        <v>10058.89</v>
      </c>
      <c r="CR105" s="334"/>
      <c r="CS105" s="324" t="s">
        <v>87</v>
      </c>
      <c r="CT105" s="324">
        <v>26284.65</v>
      </c>
      <c r="CU105" s="324">
        <v>26528.1</v>
      </c>
      <c r="CV105" s="324">
        <v>24841.200000000001</v>
      </c>
      <c r="CW105" s="324">
        <v>21225.8</v>
      </c>
      <c r="CX105" s="324">
        <v>18538.14</v>
      </c>
      <c r="CY105" s="324">
        <v>21960.65</v>
      </c>
      <c r="CZ105" s="324">
        <v>16803.48</v>
      </c>
      <c r="DA105" s="324">
        <v>17833.8</v>
      </c>
      <c r="DB105" s="324">
        <v>17806.7</v>
      </c>
      <c r="DC105" s="324">
        <v>22093.399999999998</v>
      </c>
      <c r="DD105" s="324">
        <v>38280.869999999995</v>
      </c>
      <c r="DE105" s="324">
        <v>24701.590000000004</v>
      </c>
      <c r="DF105" s="324">
        <v>37567.379999999997</v>
      </c>
      <c r="DG105" s="324">
        <v>36243.85</v>
      </c>
      <c r="DH105" s="324">
        <v>36966.25</v>
      </c>
      <c r="DI105" s="324">
        <v>39290.660000000003</v>
      </c>
      <c r="DJ105" s="324">
        <v>38025.939999999995</v>
      </c>
      <c r="DK105" s="324">
        <v>40768.899999999994</v>
      </c>
      <c r="DL105" s="324">
        <v>30341.649999999998</v>
      </c>
      <c r="DM105" s="324">
        <v>27034.06</v>
      </c>
      <c r="DN105" s="324">
        <v>26831.3</v>
      </c>
      <c r="DO105" s="324">
        <v>31600</v>
      </c>
      <c r="DP105" s="334"/>
      <c r="DQ105" s="324" t="s">
        <v>87</v>
      </c>
      <c r="DR105" s="324">
        <v>15019.8</v>
      </c>
      <c r="DS105" s="324">
        <v>17685.400000000001</v>
      </c>
      <c r="DT105" s="324">
        <v>16560.8</v>
      </c>
      <c r="DU105" s="324">
        <v>12735.48</v>
      </c>
      <c r="DV105" s="324">
        <v>15448.45</v>
      </c>
      <c r="DW105" s="324">
        <v>13176.39</v>
      </c>
      <c r="DX105" s="324">
        <v>21004.35</v>
      </c>
      <c r="DY105" s="324">
        <v>17833.8</v>
      </c>
      <c r="DZ105" s="324">
        <v>19108.41</v>
      </c>
      <c r="EA105" s="324">
        <v>17899.79</v>
      </c>
      <c r="EB105" s="324">
        <v>16545.8</v>
      </c>
      <c r="EC105" s="324">
        <v>19282.86</v>
      </c>
      <c r="ED105" s="324">
        <v>19784.62</v>
      </c>
      <c r="EE105" s="324">
        <v>26287.360000000001</v>
      </c>
      <c r="EF105" s="324">
        <v>28309.03</v>
      </c>
      <c r="EG105" s="324">
        <v>26635.57</v>
      </c>
      <c r="EH105" s="324">
        <v>26723.350000000002</v>
      </c>
      <c r="EI105" s="324">
        <v>23132.6</v>
      </c>
      <c r="EJ105" s="324">
        <v>21390.260000000002</v>
      </c>
      <c r="EK105" s="324">
        <v>20616.599999999999</v>
      </c>
      <c r="EL105" s="324">
        <v>26248.560000000001</v>
      </c>
      <c r="EM105" s="324">
        <v>27988.639999999999</v>
      </c>
      <c r="EN105" s="334"/>
      <c r="EO105" s="324" t="s">
        <v>87</v>
      </c>
      <c r="EP105" s="324">
        <v>15019.8</v>
      </c>
      <c r="EQ105" s="324">
        <v>13264.05</v>
      </c>
      <c r="ER105" s="324">
        <v>12420.6</v>
      </c>
      <c r="ES105" s="324">
        <v>12735.48</v>
      </c>
      <c r="ET105" s="324">
        <v>12358.76</v>
      </c>
      <c r="EU105" s="324">
        <v>13176.39</v>
      </c>
      <c r="EV105" s="324">
        <v>12602.61</v>
      </c>
      <c r="EW105" s="324">
        <v>13375.35</v>
      </c>
      <c r="EX105" s="324">
        <v>14209.009999999998</v>
      </c>
      <c r="EY105" s="324">
        <v>13754.76</v>
      </c>
      <c r="EZ105" s="324">
        <v>14337.93</v>
      </c>
      <c r="FA105" s="324">
        <v>20658.38</v>
      </c>
      <c r="FB105" s="324">
        <v>20294.710000000003</v>
      </c>
      <c r="FC105" s="324">
        <v>20533.880000000005</v>
      </c>
      <c r="FD105" s="324">
        <v>20490.839999999997</v>
      </c>
      <c r="FE105" s="324">
        <v>20112.009999999998</v>
      </c>
      <c r="FF105" s="324">
        <v>21423.5</v>
      </c>
      <c r="FG105" s="324">
        <v>21036.920000000002</v>
      </c>
      <c r="FH105" s="324">
        <v>21499.480000000003</v>
      </c>
      <c r="FI105" s="324">
        <v>22626.350000000002</v>
      </c>
      <c r="FJ105" s="324">
        <v>31294.390000000003</v>
      </c>
      <c r="FK105" s="324">
        <v>32890.1</v>
      </c>
      <c r="FL105" s="334"/>
      <c r="FM105" s="324" t="s">
        <v>87</v>
      </c>
      <c r="FN105" s="324">
        <v>26284.65</v>
      </c>
      <c r="FO105" s="324">
        <v>22106.75</v>
      </c>
      <c r="FP105" s="324">
        <v>20701</v>
      </c>
      <c r="FQ105" s="324">
        <v>21225.8</v>
      </c>
      <c r="FR105" s="324">
        <v>21627.83</v>
      </c>
      <c r="FS105" s="324">
        <v>21960.65</v>
      </c>
      <c r="FT105" s="324">
        <v>21004.35</v>
      </c>
      <c r="FU105" s="324">
        <v>22292.25</v>
      </c>
      <c r="FV105" s="324">
        <v>21107.53</v>
      </c>
      <c r="FW105" s="324">
        <v>22470.580000000005</v>
      </c>
      <c r="FX105" s="324">
        <v>23150.22</v>
      </c>
      <c r="FY105" s="324">
        <v>25886.960000000003</v>
      </c>
      <c r="FZ105" s="324">
        <v>25364.750000000004</v>
      </c>
      <c r="GA105" s="324">
        <v>25332.33</v>
      </c>
      <c r="GB105" s="324">
        <v>27989.300000000003</v>
      </c>
      <c r="GC105" s="324">
        <v>25079.870000000006</v>
      </c>
      <c r="GD105" s="324">
        <v>28197.150000000005</v>
      </c>
      <c r="GE105" s="324">
        <v>28948.079999999998</v>
      </c>
      <c r="GF105" s="342">
        <v>28184.69</v>
      </c>
      <c r="GG105" s="636">
        <v>31944.94</v>
      </c>
      <c r="GH105" s="636">
        <v>38467.500000000007</v>
      </c>
      <c r="GI105" s="636">
        <v>43486.1</v>
      </c>
      <c r="GJ105" s="334"/>
      <c r="GK105" s="324" t="s">
        <v>87</v>
      </c>
      <c r="GL105" s="324">
        <v>0</v>
      </c>
      <c r="GM105" s="324">
        <v>0</v>
      </c>
      <c r="GN105" s="324">
        <v>0</v>
      </c>
      <c r="GO105" s="324">
        <v>0</v>
      </c>
      <c r="GP105" s="324">
        <v>0</v>
      </c>
      <c r="GQ105" s="324">
        <v>0</v>
      </c>
      <c r="GR105" s="324">
        <v>0</v>
      </c>
      <c r="GS105" s="324">
        <v>17833.8</v>
      </c>
      <c r="GT105" s="324">
        <v>17091.650000000001</v>
      </c>
      <c r="GU105" s="324">
        <v>15650.42</v>
      </c>
      <c r="GV105" s="324">
        <v>15779.689999999999</v>
      </c>
      <c r="GW105" s="324">
        <v>21626.850000000002</v>
      </c>
      <c r="GX105" s="324">
        <v>21139.91</v>
      </c>
      <c r="GY105" s="324">
        <v>21382.079999999998</v>
      </c>
      <c r="GZ105" s="324">
        <v>20586.409999999996</v>
      </c>
      <c r="HA105" s="324">
        <v>20915.53</v>
      </c>
      <c r="HB105" s="324">
        <v>21860.850000000002</v>
      </c>
      <c r="HC105" s="324">
        <v>22445.239999999998</v>
      </c>
      <c r="HD105" s="324">
        <v>24067.920000000002</v>
      </c>
      <c r="HE105" s="324">
        <v>23610.080000000002</v>
      </c>
      <c r="HF105" s="324">
        <v>32298.410000000003</v>
      </c>
      <c r="HG105" s="324">
        <v>39706.1</v>
      </c>
      <c r="HH105" s="334"/>
      <c r="HI105" s="324" t="s">
        <v>87</v>
      </c>
      <c r="HJ105" s="324">
        <v>3754.95</v>
      </c>
      <c r="HK105" s="324">
        <v>4421.3500000000004</v>
      </c>
      <c r="HL105" s="324">
        <v>4140.2</v>
      </c>
      <c r="HM105" s="324">
        <v>4245.16</v>
      </c>
      <c r="HN105" s="324">
        <v>0</v>
      </c>
      <c r="HO105" s="324">
        <v>0</v>
      </c>
      <c r="HP105" s="324">
        <v>0</v>
      </c>
      <c r="HQ105" s="324">
        <v>0</v>
      </c>
      <c r="HR105" s="324">
        <v>2448.1800000000003</v>
      </c>
      <c r="HS105" s="324">
        <v>2415.59</v>
      </c>
      <c r="HT105" s="324">
        <v>3000.55</v>
      </c>
      <c r="HU105" s="324">
        <v>0</v>
      </c>
      <c r="HV105" s="324">
        <v>0</v>
      </c>
      <c r="HW105" s="324">
        <v>0</v>
      </c>
      <c r="HX105" s="324">
        <v>0</v>
      </c>
      <c r="HY105" s="324">
        <v>0</v>
      </c>
      <c r="HZ105" s="324">
        <v>0</v>
      </c>
      <c r="IA105" s="324">
        <v>0</v>
      </c>
      <c r="IB105" s="324">
        <v>0</v>
      </c>
      <c r="IC105" s="324">
        <v>0</v>
      </c>
      <c r="ID105" s="324">
        <v>0</v>
      </c>
      <c r="IE105" s="324">
        <v>0</v>
      </c>
      <c r="IF105" s="334"/>
      <c r="IG105" s="324" t="s">
        <v>87</v>
      </c>
      <c r="IH105" s="324">
        <v>3754.95</v>
      </c>
      <c r="II105" s="324">
        <v>4421.3500000000004</v>
      </c>
      <c r="IJ105" s="324">
        <v>4140.2</v>
      </c>
      <c r="IK105" s="324">
        <v>4245.16</v>
      </c>
      <c r="IL105" s="324">
        <v>6179.38</v>
      </c>
      <c r="IM105" s="324">
        <v>0</v>
      </c>
      <c r="IN105" s="324">
        <v>0</v>
      </c>
      <c r="IO105" s="324">
        <v>0</v>
      </c>
      <c r="IP105" s="324">
        <v>509.47</v>
      </c>
      <c r="IQ105" s="324">
        <v>489.15</v>
      </c>
      <c r="IR105" s="324">
        <v>635.20999999999992</v>
      </c>
      <c r="IS105" s="324">
        <v>0</v>
      </c>
      <c r="IT105" s="324">
        <v>0</v>
      </c>
      <c r="IU105" s="324">
        <v>0</v>
      </c>
      <c r="IV105" s="324"/>
      <c r="IW105" s="322"/>
      <c r="IX105" s="324"/>
      <c r="IY105" s="324"/>
      <c r="IZ105" s="324"/>
      <c r="JA105" s="324"/>
      <c r="JB105" s="324"/>
      <c r="JC105" s="324"/>
      <c r="JD105" s="334"/>
      <c r="JE105" s="324" t="s">
        <v>87</v>
      </c>
      <c r="JF105" s="324">
        <v>7509.9</v>
      </c>
      <c r="JG105" s="324">
        <v>0</v>
      </c>
      <c r="JH105" s="324">
        <v>0</v>
      </c>
      <c r="JI105" s="324">
        <v>0</v>
      </c>
      <c r="JJ105" s="324">
        <v>0</v>
      </c>
      <c r="JK105" s="324">
        <v>0</v>
      </c>
      <c r="JL105" s="324">
        <v>0</v>
      </c>
      <c r="JM105" s="324">
        <v>0</v>
      </c>
      <c r="JN105" s="324">
        <v>0</v>
      </c>
      <c r="JO105" s="324">
        <v>0</v>
      </c>
      <c r="JP105" s="324">
        <v>296.16000000000003</v>
      </c>
      <c r="JQ105" s="324">
        <v>8722.1899999999987</v>
      </c>
      <c r="JR105" s="324">
        <v>4098.8700000000008</v>
      </c>
      <c r="JS105" s="324">
        <v>4046.3999999999996</v>
      </c>
      <c r="JT105" s="324">
        <v>4017.1899999999996</v>
      </c>
      <c r="JU105" s="324">
        <v>2460.7700000000004</v>
      </c>
      <c r="JV105" s="324">
        <v>3632.85</v>
      </c>
      <c r="JW105" s="324">
        <v>3550.28</v>
      </c>
      <c r="JX105" s="324">
        <v>3728.0899999999997</v>
      </c>
      <c r="JY105" s="324">
        <v>2829.06</v>
      </c>
      <c r="JZ105" s="324">
        <v>2253.38</v>
      </c>
      <c r="KA105" s="324">
        <v>3358</v>
      </c>
      <c r="KB105" s="334"/>
      <c r="KC105" s="324" t="s">
        <v>87</v>
      </c>
      <c r="KD105" s="324">
        <v>3754.95</v>
      </c>
      <c r="KE105" s="324">
        <v>4421.3500000000004</v>
      </c>
      <c r="KF105" s="324">
        <v>4140.2</v>
      </c>
      <c r="KG105" s="324">
        <v>4245.16</v>
      </c>
      <c r="KH105" s="324">
        <v>6179.38</v>
      </c>
      <c r="KI105" s="324">
        <v>8784.26</v>
      </c>
      <c r="KJ105" s="324">
        <v>8401.74</v>
      </c>
      <c r="KK105" s="324">
        <v>8916.9</v>
      </c>
      <c r="KL105" s="324">
        <v>8111.3399999999992</v>
      </c>
      <c r="KM105" s="324">
        <v>8242.6</v>
      </c>
      <c r="KN105" s="324">
        <v>8428.4900000000016</v>
      </c>
      <c r="KO105" s="324">
        <v>8139.1299999999992</v>
      </c>
      <c r="KP105" s="324">
        <v>8733.75</v>
      </c>
      <c r="KQ105" s="324">
        <v>8529.25</v>
      </c>
      <c r="KR105" s="324">
        <v>8242.24</v>
      </c>
      <c r="KS105" s="324">
        <v>8464.0400000000009</v>
      </c>
      <c r="KT105" s="324">
        <v>8633.6</v>
      </c>
      <c r="KU105" s="324">
        <v>8791.26</v>
      </c>
      <c r="KV105" s="324">
        <v>9022.42</v>
      </c>
      <c r="KW105" s="324">
        <v>9255.7500000000018</v>
      </c>
      <c r="KX105" s="324">
        <v>9501.369999999999</v>
      </c>
      <c r="KY105" s="324">
        <v>9865.32</v>
      </c>
      <c r="KZ105" s="334"/>
      <c r="LA105" s="324" t="s">
        <v>87</v>
      </c>
      <c r="LB105" s="324">
        <v>93873.75</v>
      </c>
      <c r="LC105" s="324">
        <v>190118.05</v>
      </c>
      <c r="LD105" s="324">
        <v>128346.2</v>
      </c>
      <c r="LE105" s="324">
        <v>165561.24</v>
      </c>
      <c r="LF105" s="324">
        <v>27807.21</v>
      </c>
      <c r="LG105" s="324">
        <v>175685.2</v>
      </c>
      <c r="LH105" s="324">
        <v>159633.06</v>
      </c>
      <c r="LI105" s="324">
        <v>173879.55</v>
      </c>
      <c r="LJ105" s="324">
        <v>139156.30000000002</v>
      </c>
      <c r="LK105" s="324">
        <v>69408.89</v>
      </c>
      <c r="LL105" s="324">
        <v>49112.959999999999</v>
      </c>
      <c r="LM105" s="324">
        <v>60533.79</v>
      </c>
      <c r="LN105" s="324">
        <v>51149.47</v>
      </c>
      <c r="LO105" s="324">
        <v>46197.740000000005</v>
      </c>
      <c r="LP105" s="324">
        <v>41746.99</v>
      </c>
      <c r="LQ105" s="324">
        <v>43515.25</v>
      </c>
      <c r="LR105" s="324">
        <v>35623.579999999994</v>
      </c>
      <c r="LS105" s="324">
        <v>46557.69</v>
      </c>
      <c r="LT105" s="324">
        <v>29019.989999999998</v>
      </c>
      <c r="LU105" s="324">
        <v>48884.770000000004</v>
      </c>
      <c r="LV105" s="324">
        <v>41138.949999999997</v>
      </c>
      <c r="LW105" s="324">
        <v>155814</v>
      </c>
      <c r="LX105" s="334"/>
      <c r="LY105" s="324" t="s">
        <v>87</v>
      </c>
      <c r="LZ105" s="324">
        <v>37549.5</v>
      </c>
      <c r="MA105" s="324">
        <v>39792.15</v>
      </c>
      <c r="MB105" s="324">
        <v>33121.599999999999</v>
      </c>
      <c r="MC105" s="324">
        <v>25470.959999999999</v>
      </c>
      <c r="MD105" s="324">
        <v>30896.9</v>
      </c>
      <c r="ME105" s="324">
        <v>30744.91</v>
      </c>
      <c r="MF105" s="324">
        <v>29406.09</v>
      </c>
      <c r="MG105" s="324">
        <v>31209.15</v>
      </c>
      <c r="MH105" s="324">
        <v>28743.339999999997</v>
      </c>
      <c r="MI105" s="324">
        <v>31632.429999999997</v>
      </c>
      <c r="MJ105" s="324">
        <v>38882.86</v>
      </c>
      <c r="MK105" s="324">
        <v>35511.069999999992</v>
      </c>
      <c r="ML105" s="324">
        <v>32476.02</v>
      </c>
      <c r="MM105" s="324">
        <v>30708.720000000001</v>
      </c>
      <c r="MN105" s="324">
        <v>32295.57</v>
      </c>
      <c r="MO105" s="324">
        <v>37272.44</v>
      </c>
      <c r="MP105" s="324">
        <v>38813.040000000001</v>
      </c>
      <c r="MQ105" s="324">
        <v>40313.370000000003</v>
      </c>
      <c r="MR105" s="324">
        <v>40963.29</v>
      </c>
      <c r="MS105" s="324">
        <v>38728.129999999997</v>
      </c>
      <c r="MT105" s="324">
        <v>51188.32</v>
      </c>
      <c r="MU105" s="324">
        <v>75160.899999999994</v>
      </c>
      <c r="MV105" s="334"/>
      <c r="MW105" s="324" t="s">
        <v>87</v>
      </c>
      <c r="MX105" s="324">
        <v>7509.9</v>
      </c>
      <c r="MY105" s="324">
        <v>4421.3500000000004</v>
      </c>
      <c r="MZ105" s="324">
        <v>12420.6</v>
      </c>
      <c r="NA105" s="324">
        <v>16980.64</v>
      </c>
      <c r="NB105" s="324">
        <v>21627.83</v>
      </c>
      <c r="NC105" s="324">
        <v>26352.78</v>
      </c>
      <c r="ND105" s="324">
        <v>33606.959999999999</v>
      </c>
      <c r="NE105" s="324">
        <v>17833.8</v>
      </c>
      <c r="NF105" s="324">
        <v>17425.400000000001</v>
      </c>
      <c r="NG105" s="324">
        <v>13773.8</v>
      </c>
      <c r="NH105" s="324">
        <v>2113.3100000000004</v>
      </c>
      <c r="NI105" s="324">
        <v>14782.81</v>
      </c>
      <c r="NJ105" s="324">
        <v>11132</v>
      </c>
      <c r="NK105" s="324">
        <v>17489.559999999998</v>
      </c>
      <c r="NL105" s="324">
        <v>15862.79</v>
      </c>
      <c r="NM105" s="324">
        <v>7969.25</v>
      </c>
      <c r="NN105" s="324">
        <v>13649.69</v>
      </c>
      <c r="NO105" s="324">
        <v>23724.67</v>
      </c>
      <c r="NP105" s="324">
        <v>19022.29</v>
      </c>
      <c r="NQ105" s="324">
        <v>11083.829999999998</v>
      </c>
      <c r="NR105" s="324">
        <v>10069.780000000001</v>
      </c>
      <c r="NS105" s="324">
        <v>14300</v>
      </c>
      <c r="NT105" s="334"/>
      <c r="NU105" s="324" t="s">
        <v>87</v>
      </c>
      <c r="NV105" s="324">
        <v>37549.5</v>
      </c>
      <c r="NW105" s="324">
        <v>35370.800000000003</v>
      </c>
      <c r="NX105" s="324">
        <v>37261.800000000003</v>
      </c>
      <c r="NY105" s="324">
        <v>38206.44</v>
      </c>
      <c r="NZ105" s="324">
        <v>37076.28</v>
      </c>
      <c r="OA105" s="324">
        <v>43921.3</v>
      </c>
      <c r="OB105" s="324">
        <v>37807.83</v>
      </c>
      <c r="OC105" s="324">
        <v>35667.599999999999</v>
      </c>
      <c r="OD105" s="324">
        <v>36846.22</v>
      </c>
      <c r="OE105" s="324">
        <v>38820.870000000003</v>
      </c>
      <c r="OF105" s="324">
        <v>38277.530000000006</v>
      </c>
      <c r="OG105" s="324">
        <v>36335.759999999995</v>
      </c>
      <c r="OH105" s="324">
        <v>49846.73</v>
      </c>
      <c r="OI105" s="324">
        <v>39203.040000000008</v>
      </c>
      <c r="OJ105" s="324">
        <v>38894.1</v>
      </c>
      <c r="OK105" s="324">
        <v>40123.980000000003</v>
      </c>
      <c r="OL105" s="324">
        <v>41068.92</v>
      </c>
      <c r="OM105" s="324">
        <v>40125.4</v>
      </c>
      <c r="ON105" s="324">
        <v>42260.01</v>
      </c>
      <c r="OO105" s="324">
        <v>42993.450000000004</v>
      </c>
      <c r="OP105" s="324">
        <v>60753.8</v>
      </c>
      <c r="OQ105" s="324">
        <v>64225.5</v>
      </c>
      <c r="OR105" s="334"/>
      <c r="OS105" s="324" t="s">
        <v>87</v>
      </c>
      <c r="OT105" s="324">
        <v>3754.95</v>
      </c>
      <c r="OU105" s="324">
        <v>4421.3500000000004</v>
      </c>
      <c r="OV105" s="324">
        <v>8280.4</v>
      </c>
      <c r="OW105" s="324">
        <v>4245.16</v>
      </c>
      <c r="OX105" s="324">
        <v>0</v>
      </c>
      <c r="OY105" s="324">
        <v>4392.13</v>
      </c>
      <c r="OZ105" s="324">
        <v>0</v>
      </c>
      <c r="PA105" s="324">
        <v>0</v>
      </c>
      <c r="PB105" s="324">
        <v>0</v>
      </c>
      <c r="PC105" s="324">
        <v>3459.36</v>
      </c>
      <c r="PD105" s="324">
        <v>3091.02</v>
      </c>
      <c r="PE105" s="324">
        <v>2940.81</v>
      </c>
      <c r="PF105" s="324">
        <v>2944.45</v>
      </c>
      <c r="PG105" s="324">
        <v>2935.88</v>
      </c>
      <c r="PH105" s="324">
        <v>2511</v>
      </c>
      <c r="PI105" s="324">
        <v>3043.91</v>
      </c>
      <c r="PJ105" s="324">
        <v>2711.7000000000003</v>
      </c>
      <c r="PK105" s="324">
        <v>2858.22</v>
      </c>
      <c r="PL105" s="324">
        <v>3709.37</v>
      </c>
      <c r="PM105" s="324">
        <v>2887.5099999999998</v>
      </c>
      <c r="PN105" s="324">
        <v>2403.1499999999996</v>
      </c>
      <c r="PO105" s="324">
        <v>4000</v>
      </c>
      <c r="PP105" s="334"/>
      <c r="PQ105" s="324" t="s">
        <v>87</v>
      </c>
      <c r="PR105" s="324">
        <v>0</v>
      </c>
      <c r="PS105" s="324">
        <v>4421.3500000000004</v>
      </c>
      <c r="PT105" s="324">
        <v>4140.2</v>
      </c>
      <c r="PU105" s="324">
        <v>4245.16</v>
      </c>
      <c r="PV105" s="324">
        <v>3089.69</v>
      </c>
      <c r="PW105" s="324">
        <v>4392.13</v>
      </c>
      <c r="PX105" s="324">
        <v>4200.87</v>
      </c>
      <c r="PY105" s="324">
        <v>4458.45</v>
      </c>
      <c r="PZ105" s="324">
        <v>5885.19</v>
      </c>
      <c r="QA105" s="324">
        <v>4410.46</v>
      </c>
      <c r="QB105" s="324">
        <v>4530.9000000000005</v>
      </c>
      <c r="QC105" s="324">
        <v>4479.91</v>
      </c>
      <c r="QD105" s="324">
        <v>4847.82</v>
      </c>
      <c r="QE105" s="324">
        <v>6357.1399999999994</v>
      </c>
      <c r="QF105" s="324">
        <v>6271.51</v>
      </c>
      <c r="QG105" s="324">
        <v>6254.3</v>
      </c>
      <c r="QH105" s="324">
        <v>6740.32</v>
      </c>
      <c r="QI105" s="324">
        <v>6288.66</v>
      </c>
      <c r="QJ105" s="324">
        <v>6628.8199999999988</v>
      </c>
      <c r="QK105" s="324">
        <v>6757.61</v>
      </c>
      <c r="QL105" s="324">
        <v>10563.76</v>
      </c>
      <c r="QM105" s="324">
        <v>11775.2</v>
      </c>
      <c r="QN105" s="334"/>
      <c r="QO105" s="324" t="s">
        <v>87</v>
      </c>
      <c r="QP105" s="324">
        <v>3754.95</v>
      </c>
      <c r="QQ105" s="324">
        <v>0</v>
      </c>
      <c r="QR105" s="324">
        <v>4140.2</v>
      </c>
      <c r="QS105" s="324">
        <v>4245.16</v>
      </c>
      <c r="QT105" s="324">
        <v>3089.69</v>
      </c>
      <c r="QU105" s="324">
        <v>4392.13</v>
      </c>
      <c r="QV105" s="324">
        <v>4200.87</v>
      </c>
      <c r="QW105" s="324">
        <v>4458.45</v>
      </c>
      <c r="QX105" s="324">
        <v>2500</v>
      </c>
      <c r="QY105" s="324">
        <v>2500</v>
      </c>
      <c r="QZ105" s="324">
        <v>2500</v>
      </c>
      <c r="RA105" s="324">
        <v>2500</v>
      </c>
      <c r="RB105" s="324">
        <v>5000</v>
      </c>
      <c r="RC105" s="324">
        <v>5600</v>
      </c>
      <c r="RD105" s="324">
        <v>5226</v>
      </c>
      <c r="RE105" s="324">
        <v>5254.88</v>
      </c>
      <c r="RF105" s="324">
        <v>5625</v>
      </c>
      <c r="RG105" s="324">
        <v>6125</v>
      </c>
      <c r="RH105" s="324">
        <v>5000</v>
      </c>
      <c r="RI105" s="324">
        <v>6837.5</v>
      </c>
      <c r="RJ105" s="324">
        <v>6375</v>
      </c>
      <c r="RK105" s="324">
        <v>6000</v>
      </c>
      <c r="RL105" s="334"/>
      <c r="RM105" s="324" t="s">
        <v>87</v>
      </c>
      <c r="RN105" s="324">
        <v>18774.75</v>
      </c>
      <c r="RO105" s="324">
        <v>17685.400000000001</v>
      </c>
      <c r="RP105" s="324">
        <v>28981.4</v>
      </c>
      <c r="RQ105" s="324">
        <v>21225.8</v>
      </c>
      <c r="RR105" s="324">
        <v>33986.589999999997</v>
      </c>
      <c r="RS105" s="324">
        <v>13176.39</v>
      </c>
      <c r="RT105" s="324">
        <v>4200.87</v>
      </c>
      <c r="RU105" s="324">
        <v>17833.8</v>
      </c>
      <c r="RV105" s="324">
        <v>16501.07</v>
      </c>
      <c r="RW105" s="324">
        <v>12278.919999999998</v>
      </c>
      <c r="RX105" s="324">
        <v>74406.900000000009</v>
      </c>
      <c r="RY105" s="324">
        <v>155517.44</v>
      </c>
      <c r="RZ105" s="324">
        <v>37209.78</v>
      </c>
      <c r="SA105" s="324">
        <v>145191.32</v>
      </c>
      <c r="SB105" s="324">
        <v>130146.40000000001</v>
      </c>
      <c r="SC105" s="324">
        <v>21806.26</v>
      </c>
      <c r="SD105" s="324">
        <v>28148.93</v>
      </c>
      <c r="SE105" s="324">
        <v>22226.800000000003</v>
      </c>
      <c r="SF105" s="324">
        <v>18557.25</v>
      </c>
      <c r="SG105" s="324">
        <v>26883.16</v>
      </c>
      <c r="SH105" s="324">
        <v>27584.83</v>
      </c>
      <c r="SI105" s="324">
        <v>39392.06</v>
      </c>
    </row>
    <row r="106" spans="1:503">
      <c r="A106" s="350" t="s">
        <v>88</v>
      </c>
      <c r="B106" s="351">
        <v>1008515</v>
      </c>
      <c r="C106" s="351">
        <v>972701</v>
      </c>
      <c r="D106" s="351">
        <v>1038497</v>
      </c>
      <c r="E106" s="351">
        <v>1144656</v>
      </c>
      <c r="F106" s="351">
        <v>1127363</v>
      </c>
      <c r="G106" s="352">
        <v>1274847</v>
      </c>
      <c r="H106" s="351">
        <v>1333649</v>
      </c>
      <c r="I106" s="351">
        <v>1414658</v>
      </c>
      <c r="J106" s="351">
        <v>1464757.54</v>
      </c>
      <c r="K106" s="351">
        <v>1448361.0649999999</v>
      </c>
      <c r="L106" s="351">
        <v>1470479.2199999997</v>
      </c>
      <c r="M106" s="351">
        <v>1500808.37</v>
      </c>
      <c r="N106" s="351">
        <v>1572090.8199999998</v>
      </c>
      <c r="O106" s="350">
        <v>1497599.47</v>
      </c>
      <c r="P106" s="321">
        <v>1506061.03</v>
      </c>
      <c r="Q106" s="321">
        <v>1685893.56</v>
      </c>
      <c r="R106" s="321">
        <v>1811847.98</v>
      </c>
      <c r="S106" s="324">
        <v>1801331.81</v>
      </c>
      <c r="T106" s="321">
        <v>2499587.4300000002</v>
      </c>
      <c r="U106" s="321">
        <v>1865570.5199999998</v>
      </c>
      <c r="V106" s="321">
        <v>1928530.23</v>
      </c>
      <c r="W106" s="321">
        <v>1925426.46</v>
      </c>
      <c r="X106" s="315"/>
      <c r="Y106" s="321" t="s">
        <v>88</v>
      </c>
      <c r="Z106" s="321">
        <v>50425.75</v>
      </c>
      <c r="AA106" s="321">
        <v>58362.06</v>
      </c>
      <c r="AB106" s="321">
        <v>51924.85</v>
      </c>
      <c r="AC106" s="321">
        <v>57232.800000000003</v>
      </c>
      <c r="AD106" s="321">
        <v>56368.15</v>
      </c>
      <c r="AE106" s="321">
        <v>50993.88</v>
      </c>
      <c r="AF106" s="321">
        <v>63742.35</v>
      </c>
      <c r="AG106" s="321">
        <v>70732.899999999994</v>
      </c>
      <c r="AH106" s="321">
        <v>65750.539999999994</v>
      </c>
      <c r="AI106" s="321">
        <v>66845.239999999991</v>
      </c>
      <c r="AJ106" s="321">
        <v>66369.41</v>
      </c>
      <c r="AK106" s="321">
        <v>67378.689999999988</v>
      </c>
      <c r="AL106" s="321">
        <v>67749.11</v>
      </c>
      <c r="AM106" s="321">
        <v>79073.25999999998</v>
      </c>
      <c r="AN106" s="321">
        <v>78240.37</v>
      </c>
      <c r="AO106" s="321">
        <v>83953.56</v>
      </c>
      <c r="AP106" s="321">
        <v>84022.26</v>
      </c>
      <c r="AQ106" s="324">
        <v>195618.58</v>
      </c>
      <c r="AR106" s="321">
        <v>203097.56</v>
      </c>
      <c r="AS106" s="321">
        <v>221272.66999999998</v>
      </c>
      <c r="AT106" s="321">
        <v>223458.53999999998</v>
      </c>
      <c r="AU106" s="321">
        <v>223650.03999999998</v>
      </c>
      <c r="AV106" s="334"/>
      <c r="AW106" s="321" t="s">
        <v>88</v>
      </c>
      <c r="AX106" s="321">
        <v>60510.899999999994</v>
      </c>
      <c r="AY106" s="321">
        <v>58362.06</v>
      </c>
      <c r="AZ106" s="321">
        <v>62309.82</v>
      </c>
      <c r="BA106" s="321">
        <v>57232.800000000003</v>
      </c>
      <c r="BB106" s="321">
        <v>67641.78</v>
      </c>
      <c r="BC106" s="321">
        <v>63742.350000000006</v>
      </c>
      <c r="BD106" s="321">
        <v>53345.96</v>
      </c>
      <c r="BE106" s="321">
        <v>56586.32</v>
      </c>
      <c r="BF106" s="321">
        <v>54600.560000000005</v>
      </c>
      <c r="BG106" s="321">
        <v>54435.560000000005</v>
      </c>
      <c r="BH106" s="321">
        <v>55682.6</v>
      </c>
      <c r="BI106" s="321">
        <v>76464.909999999989</v>
      </c>
      <c r="BJ106" s="321">
        <v>80258.859999999986</v>
      </c>
      <c r="BK106" s="321">
        <v>57699.26</v>
      </c>
      <c r="BL106" s="321">
        <v>56925.880000000005</v>
      </c>
      <c r="BM106" s="321">
        <v>58303.66</v>
      </c>
      <c r="BN106" s="321">
        <v>60669.21</v>
      </c>
      <c r="BO106" s="324">
        <v>59528.59</v>
      </c>
      <c r="BP106" s="321">
        <v>63364.95</v>
      </c>
      <c r="BQ106" s="321">
        <v>66632.450000000012</v>
      </c>
      <c r="BR106" s="321">
        <v>67581.94</v>
      </c>
      <c r="BS106" s="321">
        <v>67520.040000000008</v>
      </c>
      <c r="BT106" s="334"/>
      <c r="BU106" s="324" t="s">
        <v>88</v>
      </c>
      <c r="BV106" s="324">
        <v>30255.45</v>
      </c>
      <c r="BW106" s="324">
        <v>9727.01</v>
      </c>
      <c r="BX106" s="324">
        <v>31154.91</v>
      </c>
      <c r="BY106" s="324">
        <v>0</v>
      </c>
      <c r="BZ106" s="324">
        <v>56368.15</v>
      </c>
      <c r="CA106" s="324">
        <v>25496.94</v>
      </c>
      <c r="CB106" s="324">
        <v>53345.96</v>
      </c>
      <c r="CC106" s="324">
        <v>14146.58</v>
      </c>
      <c r="CD106" s="324">
        <v>62685.7</v>
      </c>
      <c r="CE106" s="324">
        <v>20293.589999999997</v>
      </c>
      <c r="CF106" s="324">
        <v>77202</v>
      </c>
      <c r="CG106" s="324">
        <v>37205.279999999992</v>
      </c>
      <c r="CH106" s="324">
        <v>92439.4</v>
      </c>
      <c r="CI106" s="324">
        <v>24512.439999999995</v>
      </c>
      <c r="CJ106" s="324">
        <v>83817.98</v>
      </c>
      <c r="CK106" s="324">
        <v>25736.13</v>
      </c>
      <c r="CL106" s="324">
        <v>93181.84</v>
      </c>
      <c r="CM106" s="324">
        <v>63465.039999999994</v>
      </c>
      <c r="CN106" s="324">
        <v>114917.77</v>
      </c>
      <c r="CO106" s="324">
        <v>49782.42</v>
      </c>
      <c r="CP106" s="324">
        <v>141797.84000000003</v>
      </c>
      <c r="CQ106" s="324">
        <v>61890</v>
      </c>
      <c r="CR106" s="334"/>
      <c r="CS106" s="324" t="s">
        <v>88</v>
      </c>
      <c r="CT106" s="324">
        <v>60510.9</v>
      </c>
      <c r="CU106" s="324">
        <v>58362.06</v>
      </c>
      <c r="CV106" s="324">
        <v>51924.85</v>
      </c>
      <c r="CW106" s="324">
        <v>57232.800000000003</v>
      </c>
      <c r="CX106" s="324">
        <v>56368.15</v>
      </c>
      <c r="CY106" s="324">
        <v>63742.35</v>
      </c>
      <c r="CZ106" s="324">
        <v>66682.45</v>
      </c>
      <c r="DA106" s="324">
        <v>70732.899999999994</v>
      </c>
      <c r="DB106" s="324">
        <v>76458.25</v>
      </c>
      <c r="DC106" s="324">
        <v>91848.859999999986</v>
      </c>
      <c r="DD106" s="324">
        <v>76621.179999999993</v>
      </c>
      <c r="DE106" s="324">
        <v>87939.430000000008</v>
      </c>
      <c r="DF106" s="324">
        <v>101331.67</v>
      </c>
      <c r="DG106" s="324">
        <v>78927.880000000019</v>
      </c>
      <c r="DH106" s="324">
        <v>91656.61</v>
      </c>
      <c r="DI106" s="324">
        <v>166418.64000000004</v>
      </c>
      <c r="DJ106" s="324">
        <v>85544.49</v>
      </c>
      <c r="DK106" s="324">
        <v>76878.00999999998</v>
      </c>
      <c r="DL106" s="324">
        <v>355109.89</v>
      </c>
      <c r="DM106" s="324">
        <v>127525.59999999999</v>
      </c>
      <c r="DN106" s="324">
        <v>87834.4</v>
      </c>
      <c r="DO106" s="324">
        <v>104103</v>
      </c>
      <c r="DP106" s="334"/>
      <c r="DQ106" s="324" t="s">
        <v>88</v>
      </c>
      <c r="DR106" s="324">
        <v>90766.35</v>
      </c>
      <c r="DS106" s="324">
        <v>97270.1</v>
      </c>
      <c r="DT106" s="324">
        <v>83079.759999999995</v>
      </c>
      <c r="DU106" s="324">
        <v>103019.04</v>
      </c>
      <c r="DV106" s="324">
        <v>112736.3</v>
      </c>
      <c r="DW106" s="324">
        <v>152981.64000000001</v>
      </c>
      <c r="DX106" s="324">
        <v>186710.86</v>
      </c>
      <c r="DY106" s="324">
        <v>183905.54</v>
      </c>
      <c r="DZ106" s="324">
        <v>202001.84999999995</v>
      </c>
      <c r="EA106" s="324">
        <v>209626.94</v>
      </c>
      <c r="EB106" s="324">
        <v>217770.47999999998</v>
      </c>
      <c r="EC106" s="324">
        <v>251064.49000000002</v>
      </c>
      <c r="ED106" s="324">
        <v>235435.53999999998</v>
      </c>
      <c r="EE106" s="324">
        <v>212168.08000000002</v>
      </c>
      <c r="EF106" s="324">
        <v>242270.15000000002</v>
      </c>
      <c r="EG106" s="324">
        <v>261219.58000000005</v>
      </c>
      <c r="EH106" s="324">
        <v>281407.74</v>
      </c>
      <c r="EI106" s="324">
        <v>270371.42000000004</v>
      </c>
      <c r="EJ106" s="324">
        <v>280886.32</v>
      </c>
      <c r="EK106" s="324">
        <v>275734.55</v>
      </c>
      <c r="EL106" s="324">
        <v>257815.27000000002</v>
      </c>
      <c r="EM106" s="324">
        <v>266100</v>
      </c>
      <c r="EN106" s="334"/>
      <c r="EO106" s="324" t="s">
        <v>88</v>
      </c>
      <c r="EP106" s="324">
        <v>60510.9</v>
      </c>
      <c r="EQ106" s="324">
        <v>58362.06</v>
      </c>
      <c r="ER106" s="324">
        <v>62309.82</v>
      </c>
      <c r="ES106" s="324">
        <v>57232.800000000003</v>
      </c>
      <c r="ET106" s="324">
        <v>67641.78</v>
      </c>
      <c r="EU106" s="324">
        <v>38245.410000000003</v>
      </c>
      <c r="EV106" s="324">
        <v>26672.98</v>
      </c>
      <c r="EW106" s="324">
        <v>28293.16</v>
      </c>
      <c r="EX106" s="324">
        <v>24412.44</v>
      </c>
      <c r="EY106" s="324">
        <v>24341.7</v>
      </c>
      <c r="EZ106" s="324">
        <v>27464.210000000003</v>
      </c>
      <c r="FA106" s="324">
        <v>35085.479999999996</v>
      </c>
      <c r="FB106" s="324">
        <v>34717.530000000006</v>
      </c>
      <c r="FC106" s="324">
        <v>33995.01</v>
      </c>
      <c r="FD106" s="324">
        <v>36607.839999999997</v>
      </c>
      <c r="FE106" s="324">
        <v>42055.17</v>
      </c>
      <c r="FF106" s="324">
        <v>41371.369999999995</v>
      </c>
      <c r="FG106" s="324">
        <v>41226.759999999995</v>
      </c>
      <c r="FH106" s="324">
        <v>41548.53</v>
      </c>
      <c r="FI106" s="324">
        <v>46005.229999999996</v>
      </c>
      <c r="FJ106" s="324">
        <v>42184.5</v>
      </c>
      <c r="FK106" s="324">
        <v>42517.04</v>
      </c>
      <c r="FL106" s="334"/>
      <c r="FM106" s="324" t="s">
        <v>88</v>
      </c>
      <c r="FN106" s="324">
        <v>0</v>
      </c>
      <c r="FO106" s="324">
        <v>0</v>
      </c>
      <c r="FP106" s="324">
        <v>0</v>
      </c>
      <c r="FQ106" s="324">
        <v>0</v>
      </c>
      <c r="FR106" s="324">
        <v>0</v>
      </c>
      <c r="FS106" s="324">
        <v>50993.88</v>
      </c>
      <c r="FT106" s="324">
        <v>80018.94</v>
      </c>
      <c r="FU106" s="324">
        <v>70732.899999999994</v>
      </c>
      <c r="FV106" s="324">
        <v>75079.03</v>
      </c>
      <c r="FW106" s="324">
        <v>81250.62</v>
      </c>
      <c r="FX106" s="324">
        <v>76466.39</v>
      </c>
      <c r="FY106" s="324">
        <v>86425.9</v>
      </c>
      <c r="FZ106" s="324">
        <v>85427.23000000001</v>
      </c>
      <c r="GA106" s="324">
        <v>80795.610000000015</v>
      </c>
      <c r="GB106" s="324">
        <v>64706.06</v>
      </c>
      <c r="GC106" s="324">
        <v>70858.539999999994</v>
      </c>
      <c r="GD106" s="324">
        <v>72436.579999999987</v>
      </c>
      <c r="GE106" s="324">
        <v>71369.930000000008</v>
      </c>
      <c r="GF106" s="342">
        <v>76216.44</v>
      </c>
      <c r="GG106" s="636">
        <v>78420.63</v>
      </c>
      <c r="GH106" s="636">
        <v>98849.43</v>
      </c>
      <c r="GI106" s="636">
        <v>96100</v>
      </c>
      <c r="GJ106" s="334"/>
      <c r="GK106" s="324" t="s">
        <v>88</v>
      </c>
      <c r="GL106" s="324">
        <v>20170.3</v>
      </c>
      <c r="GM106" s="324">
        <v>19454.02</v>
      </c>
      <c r="GN106" s="324">
        <v>20769.939999999999</v>
      </c>
      <c r="GO106" s="324">
        <v>22893.119999999999</v>
      </c>
      <c r="GP106" s="324">
        <v>22547.26</v>
      </c>
      <c r="GQ106" s="324">
        <v>38245.410000000003</v>
      </c>
      <c r="GR106" s="324">
        <v>26672.98</v>
      </c>
      <c r="GS106" s="324">
        <v>28293.16</v>
      </c>
      <c r="GT106" s="324">
        <v>22473.63</v>
      </c>
      <c r="GU106" s="324">
        <v>22226.800000000003</v>
      </c>
      <c r="GV106" s="324">
        <v>28931.899999999994</v>
      </c>
      <c r="GW106" s="324">
        <v>23732.959999999999</v>
      </c>
      <c r="GX106" s="324">
        <v>23596.940000000002</v>
      </c>
      <c r="GY106" s="324">
        <v>22870.54</v>
      </c>
      <c r="GZ106" s="324">
        <v>22061.190000000002</v>
      </c>
      <c r="HA106" s="324">
        <v>50672.340000000004</v>
      </c>
      <c r="HB106" s="324">
        <v>51297.94</v>
      </c>
      <c r="HC106" s="324">
        <v>49745.77</v>
      </c>
      <c r="HD106" s="324">
        <v>50578.720000000001</v>
      </c>
      <c r="HE106" s="324">
        <v>52509.89</v>
      </c>
      <c r="HF106" s="324">
        <v>52658.840000000004</v>
      </c>
      <c r="HG106" s="324">
        <v>53126</v>
      </c>
      <c r="HH106" s="334"/>
      <c r="HI106" s="324" t="s">
        <v>88</v>
      </c>
      <c r="HJ106" s="324">
        <v>0</v>
      </c>
      <c r="HK106" s="324">
        <v>9727.01</v>
      </c>
      <c r="HL106" s="324">
        <v>10384.969999999999</v>
      </c>
      <c r="HM106" s="324">
        <v>11446.56</v>
      </c>
      <c r="HN106" s="324">
        <v>11273.63</v>
      </c>
      <c r="HO106" s="324">
        <v>12748.47</v>
      </c>
      <c r="HP106" s="324">
        <v>13336.49</v>
      </c>
      <c r="HQ106" s="324">
        <v>14146.58</v>
      </c>
      <c r="HR106" s="324">
        <v>8587.01</v>
      </c>
      <c r="HS106" s="324">
        <v>8996.8649999999998</v>
      </c>
      <c r="HT106" s="324">
        <v>10527.15</v>
      </c>
      <c r="HU106" s="324">
        <v>10488.41</v>
      </c>
      <c r="HV106" s="324">
        <v>18731.12</v>
      </c>
      <c r="HW106" s="324">
        <v>9683.2099999999991</v>
      </c>
      <c r="HX106" s="324">
        <v>19375.8</v>
      </c>
      <c r="HY106" s="324">
        <v>16467.939999999999</v>
      </c>
      <c r="HZ106" s="324">
        <v>17510.870000000003</v>
      </c>
      <c r="IA106" s="324">
        <v>23621.22</v>
      </c>
      <c r="IB106" s="324">
        <v>26666.300000000003</v>
      </c>
      <c r="IC106" s="324">
        <v>23640.66</v>
      </c>
      <c r="ID106" s="324">
        <v>15832.46</v>
      </c>
      <c r="IE106" s="324">
        <v>20654</v>
      </c>
      <c r="IF106" s="334"/>
      <c r="IG106" s="324" t="s">
        <v>88</v>
      </c>
      <c r="IH106" s="324">
        <v>10085.15</v>
      </c>
      <c r="II106" s="324">
        <v>9727.01</v>
      </c>
      <c r="IJ106" s="324">
        <v>10384.969999999999</v>
      </c>
      <c r="IK106" s="324">
        <v>11446.56</v>
      </c>
      <c r="IL106" s="324">
        <v>11273.63</v>
      </c>
      <c r="IM106" s="324">
        <v>12748.47</v>
      </c>
      <c r="IN106" s="324">
        <v>13336.49</v>
      </c>
      <c r="IO106" s="324">
        <v>14146.58</v>
      </c>
      <c r="IP106" s="324">
        <v>11602.43</v>
      </c>
      <c r="IQ106" s="324">
        <v>11301.07</v>
      </c>
      <c r="IR106" s="324">
        <v>9913.9399999999987</v>
      </c>
      <c r="IS106" s="324">
        <v>10221.869999999999</v>
      </c>
      <c r="IT106" s="324">
        <v>10107.640000000001</v>
      </c>
      <c r="IU106" s="324">
        <v>8380.98</v>
      </c>
      <c r="IV106" s="324"/>
      <c r="IW106" s="322"/>
      <c r="IX106" s="324"/>
      <c r="IY106" s="324"/>
      <c r="IZ106" s="324"/>
      <c r="JA106" s="324"/>
      <c r="JB106" s="324"/>
      <c r="JC106" s="324"/>
      <c r="JD106" s="334"/>
      <c r="JE106" s="324" t="s">
        <v>88</v>
      </c>
      <c r="JF106" s="324">
        <v>10085.15</v>
      </c>
      <c r="JG106" s="324">
        <v>9727.01</v>
      </c>
      <c r="JH106" s="324">
        <v>10384.969999999999</v>
      </c>
      <c r="JI106" s="324">
        <v>11446.56</v>
      </c>
      <c r="JJ106" s="324">
        <v>11273.63</v>
      </c>
      <c r="JK106" s="324">
        <v>12748.47</v>
      </c>
      <c r="JL106" s="324">
        <v>13336.49</v>
      </c>
      <c r="JM106" s="324">
        <v>14146.58</v>
      </c>
      <c r="JN106" s="324">
        <v>11196.45</v>
      </c>
      <c r="JO106" s="324">
        <v>10914.19</v>
      </c>
      <c r="JP106" s="324">
        <v>15395.220000000001</v>
      </c>
      <c r="JQ106" s="324">
        <v>15727.03</v>
      </c>
      <c r="JR106" s="324">
        <v>15118.31</v>
      </c>
      <c r="JS106" s="324">
        <v>15297.26</v>
      </c>
      <c r="JT106" s="324">
        <v>15279.470000000001</v>
      </c>
      <c r="JU106" s="324">
        <v>17364.04</v>
      </c>
      <c r="JV106" s="324">
        <v>16021.439999999999</v>
      </c>
      <c r="JW106" s="324">
        <v>20833.7</v>
      </c>
      <c r="JX106" s="324">
        <v>17114.46</v>
      </c>
      <c r="JY106" s="324">
        <v>17390.78</v>
      </c>
      <c r="JZ106" s="324">
        <v>17215.559999999998</v>
      </c>
      <c r="KA106" s="324">
        <v>18461.25</v>
      </c>
      <c r="KB106" s="334"/>
      <c r="KC106" s="324" t="s">
        <v>88</v>
      </c>
      <c r="KD106" s="324">
        <v>10085.15</v>
      </c>
      <c r="KE106" s="324">
        <v>19454.02</v>
      </c>
      <c r="KF106" s="324">
        <v>10384.969999999999</v>
      </c>
      <c r="KG106" s="324">
        <v>11446.56</v>
      </c>
      <c r="KH106" s="324">
        <v>11273.63</v>
      </c>
      <c r="KI106" s="324">
        <v>25496.94</v>
      </c>
      <c r="KJ106" s="324">
        <v>13336.49</v>
      </c>
      <c r="KK106" s="324">
        <v>14146.58</v>
      </c>
      <c r="KL106" s="324">
        <v>10517.99</v>
      </c>
      <c r="KM106" s="324">
        <v>33379.620000000003</v>
      </c>
      <c r="KN106" s="324">
        <v>32322.13</v>
      </c>
      <c r="KO106" s="324">
        <v>32638.11</v>
      </c>
      <c r="KP106" s="324">
        <v>32617</v>
      </c>
      <c r="KQ106" s="324">
        <v>42654.96</v>
      </c>
      <c r="KR106" s="324">
        <v>41208.46</v>
      </c>
      <c r="KS106" s="324">
        <v>41228.839999999997</v>
      </c>
      <c r="KT106" s="324">
        <v>41310.68</v>
      </c>
      <c r="KU106" s="324">
        <v>42808.5</v>
      </c>
      <c r="KV106" s="324">
        <v>41408.9</v>
      </c>
      <c r="KW106" s="324">
        <v>42468.76</v>
      </c>
      <c r="KX106" s="324">
        <v>42588.94</v>
      </c>
      <c r="KY106" s="324">
        <v>44003.040000000001</v>
      </c>
      <c r="KZ106" s="334"/>
      <c r="LA106" s="324" t="s">
        <v>88</v>
      </c>
      <c r="LB106" s="324">
        <v>141192.1</v>
      </c>
      <c r="LC106" s="324">
        <v>68089.070000000007</v>
      </c>
      <c r="LD106" s="324">
        <v>62309.82</v>
      </c>
      <c r="LE106" s="324">
        <v>137358.72</v>
      </c>
      <c r="LF106" s="324">
        <v>78915.41</v>
      </c>
      <c r="LG106" s="324">
        <v>114736.23</v>
      </c>
      <c r="LH106" s="324">
        <v>80018.94</v>
      </c>
      <c r="LI106" s="324">
        <v>113172.64</v>
      </c>
      <c r="LJ106" s="324">
        <v>122490.09</v>
      </c>
      <c r="LK106" s="324">
        <v>204757.40999999997</v>
      </c>
      <c r="LL106" s="324">
        <v>139165.69</v>
      </c>
      <c r="LM106" s="324">
        <v>133507.46999999997</v>
      </c>
      <c r="LN106" s="324">
        <v>140854.84</v>
      </c>
      <c r="LO106" s="324">
        <v>152705.16999999995</v>
      </c>
      <c r="LP106" s="324">
        <v>119832.85</v>
      </c>
      <c r="LQ106" s="324">
        <v>116054.01</v>
      </c>
      <c r="LR106" s="324">
        <v>129531.22000000002</v>
      </c>
      <c r="LS106" s="324">
        <v>142803.77999999997</v>
      </c>
      <c r="LT106" s="324">
        <v>135775.61000000002</v>
      </c>
      <c r="LU106" s="324">
        <v>102603.49999999999</v>
      </c>
      <c r="LV106" s="324">
        <v>130802.76000000001</v>
      </c>
      <c r="LW106" s="324">
        <v>127445</v>
      </c>
      <c r="LX106" s="334"/>
      <c r="LY106" s="324" t="s">
        <v>88</v>
      </c>
      <c r="LZ106" s="324">
        <v>221873.3</v>
      </c>
      <c r="MA106" s="324">
        <v>213994.22</v>
      </c>
      <c r="MB106" s="324">
        <v>218084.37</v>
      </c>
      <c r="MC106" s="324">
        <v>217484.64</v>
      </c>
      <c r="MD106" s="324">
        <v>236746.23</v>
      </c>
      <c r="ME106" s="324">
        <v>229472.46</v>
      </c>
      <c r="MF106" s="324">
        <v>240056.82</v>
      </c>
      <c r="MG106" s="324">
        <v>254638.44</v>
      </c>
      <c r="MH106" s="324">
        <v>264369.21999999997</v>
      </c>
      <c r="MI106" s="324">
        <v>251073.79000000004</v>
      </c>
      <c r="MJ106" s="324">
        <v>281249.78000000003</v>
      </c>
      <c r="MK106" s="324">
        <v>282511.51999999996</v>
      </c>
      <c r="ML106" s="324">
        <v>296386.73</v>
      </c>
      <c r="MM106" s="324">
        <v>297500.12</v>
      </c>
      <c r="MN106" s="324">
        <v>274946.62</v>
      </c>
      <c r="MO106" s="324">
        <v>285044.53000000003</v>
      </c>
      <c r="MP106" s="324">
        <v>336874.56000000006</v>
      </c>
      <c r="MQ106" s="324">
        <v>227639.60000000003</v>
      </c>
      <c r="MR106" s="324">
        <v>230845.21999999997</v>
      </c>
      <c r="MS106" s="324">
        <v>235026.54999999996</v>
      </c>
      <c r="MT106" s="324">
        <v>218002.91</v>
      </c>
      <c r="MU106" s="324">
        <v>216140</v>
      </c>
      <c r="MV106" s="334"/>
      <c r="MW106" s="324" t="s">
        <v>88</v>
      </c>
      <c r="MX106" s="324">
        <v>40340.6</v>
      </c>
      <c r="MY106" s="324">
        <v>38908.04</v>
      </c>
      <c r="MZ106" s="324">
        <v>41539.879999999997</v>
      </c>
      <c r="NA106" s="324">
        <v>45786.239999999998</v>
      </c>
      <c r="NB106" s="324">
        <v>45094.52</v>
      </c>
      <c r="NC106" s="324">
        <v>76490.820000000007</v>
      </c>
      <c r="ND106" s="324">
        <v>106691.92</v>
      </c>
      <c r="NE106" s="324">
        <v>198052.12</v>
      </c>
      <c r="NF106" s="324">
        <v>208907.8</v>
      </c>
      <c r="NG106" s="324">
        <v>78700.7</v>
      </c>
      <c r="NH106" s="324">
        <v>88477.760000000024</v>
      </c>
      <c r="NI106" s="324">
        <v>90614.44</v>
      </c>
      <c r="NJ106" s="324">
        <v>65924.049999999988</v>
      </c>
      <c r="NK106" s="324">
        <v>107577.17000000001</v>
      </c>
      <c r="NL106" s="324">
        <v>90388.73000000001</v>
      </c>
      <c r="NM106" s="324">
        <v>125828.18</v>
      </c>
      <c r="NN106" s="324">
        <v>142908.30000000002</v>
      </c>
      <c r="NO106" s="324">
        <v>169632.84</v>
      </c>
      <c r="NP106" s="324">
        <v>173969.81</v>
      </c>
      <c r="NQ106" s="324">
        <v>141961.88</v>
      </c>
      <c r="NR106" s="324">
        <v>148947.72</v>
      </c>
      <c r="NS106" s="324">
        <v>147840</v>
      </c>
      <c r="NT106" s="334"/>
      <c r="NU106" s="324" t="s">
        <v>88</v>
      </c>
      <c r="NV106" s="324">
        <v>90766.35</v>
      </c>
      <c r="NW106" s="324">
        <v>87543.09</v>
      </c>
      <c r="NX106" s="324">
        <v>72694.789999999994</v>
      </c>
      <c r="NY106" s="324">
        <v>91572.479999999996</v>
      </c>
      <c r="NZ106" s="324">
        <v>90189.04</v>
      </c>
      <c r="OA106" s="324">
        <v>89239.29</v>
      </c>
      <c r="OB106" s="324">
        <v>93355.43</v>
      </c>
      <c r="OC106" s="324">
        <v>99026.06</v>
      </c>
      <c r="OD106" s="324">
        <v>95345.4</v>
      </c>
      <c r="OE106" s="324">
        <v>90818.669999999984</v>
      </c>
      <c r="OF106" s="324">
        <v>92079.61</v>
      </c>
      <c r="OG106" s="324">
        <v>85940.069999999992</v>
      </c>
      <c r="OH106" s="324">
        <v>85594.97</v>
      </c>
      <c r="OI106" s="324">
        <v>87778.040000000008</v>
      </c>
      <c r="OJ106" s="324">
        <v>84793.420000000013</v>
      </c>
      <c r="OK106" s="324">
        <v>158069.56000000003</v>
      </c>
      <c r="OL106" s="324">
        <v>164667.59</v>
      </c>
      <c r="OM106" s="324">
        <v>160721.16</v>
      </c>
      <c r="ON106" s="324">
        <v>173273.79</v>
      </c>
      <c r="OO106" s="324">
        <v>186740.96999999997</v>
      </c>
      <c r="OP106" s="324">
        <v>195104.44</v>
      </c>
      <c r="OQ106" s="324">
        <v>197323</v>
      </c>
      <c r="OR106" s="334"/>
      <c r="OS106" s="324" t="s">
        <v>88</v>
      </c>
      <c r="OT106" s="324">
        <v>90766.35</v>
      </c>
      <c r="OU106" s="324">
        <v>97270.1</v>
      </c>
      <c r="OV106" s="324">
        <v>166159.51999999999</v>
      </c>
      <c r="OW106" s="324">
        <v>160251.84</v>
      </c>
      <c r="OX106" s="324">
        <v>135283.56</v>
      </c>
      <c r="OY106" s="324">
        <v>152981.64000000001</v>
      </c>
      <c r="OZ106" s="324">
        <v>133364.9</v>
      </c>
      <c r="PA106" s="324">
        <v>84879.48</v>
      </c>
      <c r="PB106" s="324">
        <v>98841.4</v>
      </c>
      <c r="PC106" s="324">
        <v>95209.94</v>
      </c>
      <c r="PD106" s="324">
        <v>81678.399999999994</v>
      </c>
      <c r="PE106" s="324">
        <v>70016.83</v>
      </c>
      <c r="PF106" s="324">
        <v>71307.240000000005</v>
      </c>
      <c r="PG106" s="324">
        <v>75183.12000000001</v>
      </c>
      <c r="PH106" s="324">
        <v>73023.91</v>
      </c>
      <c r="PI106" s="324">
        <v>76420.89</v>
      </c>
      <c r="PJ106" s="324">
        <v>78750.81</v>
      </c>
      <c r="PK106" s="324">
        <v>69817.700000000012</v>
      </c>
      <c r="PL106" s="324">
        <v>67830.149999999994</v>
      </c>
      <c r="PM106" s="324">
        <v>79036.959999999992</v>
      </c>
      <c r="PN106" s="324">
        <v>74349.350000000006</v>
      </c>
      <c r="PO106" s="324">
        <v>75000</v>
      </c>
      <c r="PP106" s="334"/>
      <c r="PQ106" s="324" t="s">
        <v>88</v>
      </c>
      <c r="PR106" s="324">
        <v>10085.15</v>
      </c>
      <c r="PS106" s="324">
        <v>9727.01</v>
      </c>
      <c r="PT106" s="324">
        <v>10384.969999999999</v>
      </c>
      <c r="PU106" s="324">
        <v>11446.56</v>
      </c>
      <c r="PV106" s="324">
        <v>11273.63</v>
      </c>
      <c r="PW106" s="324">
        <v>12748.47</v>
      </c>
      <c r="PX106" s="324">
        <v>13336.49</v>
      </c>
      <c r="PY106" s="324">
        <v>14146.58</v>
      </c>
      <c r="PZ106" s="324">
        <v>12760.190000000002</v>
      </c>
      <c r="QA106" s="324">
        <v>17032.37</v>
      </c>
      <c r="QB106" s="324">
        <v>14043.41</v>
      </c>
      <c r="QC106" s="324">
        <v>15516.120000000003</v>
      </c>
      <c r="QD106" s="324">
        <v>20680</v>
      </c>
      <c r="QE106" s="324">
        <v>15384.56</v>
      </c>
      <c r="QF106" s="324">
        <v>17048.91</v>
      </c>
      <c r="QG106" s="324">
        <v>16071.38</v>
      </c>
      <c r="QH106" s="324">
        <v>15687.369999999999</v>
      </c>
      <c r="QI106" s="324">
        <v>15581.25</v>
      </c>
      <c r="QJ106" s="324">
        <v>17591.349999999999</v>
      </c>
      <c r="QK106" s="324">
        <v>14970.64</v>
      </c>
      <c r="QL106" s="324">
        <v>15075.72</v>
      </c>
      <c r="QM106" s="324">
        <v>17249.96</v>
      </c>
      <c r="QN106" s="334"/>
      <c r="QO106" s="324" t="s">
        <v>88</v>
      </c>
      <c r="QP106" s="324">
        <v>0</v>
      </c>
      <c r="QQ106" s="324">
        <v>0</v>
      </c>
      <c r="QR106" s="324">
        <v>20769.939999999999</v>
      </c>
      <c r="QS106" s="324">
        <v>22893.119999999999</v>
      </c>
      <c r="QT106" s="324">
        <v>22547.26</v>
      </c>
      <c r="QU106" s="324">
        <v>25496.94</v>
      </c>
      <c r="QV106" s="324">
        <v>13336.49</v>
      </c>
      <c r="QW106" s="324">
        <v>28293.16</v>
      </c>
      <c r="QX106" s="324">
        <v>14477.56</v>
      </c>
      <c r="QY106" s="324">
        <v>24307.130000000005</v>
      </c>
      <c r="QZ106" s="324">
        <v>22014.280000000006</v>
      </c>
      <c r="RA106" s="324">
        <v>43506.89</v>
      </c>
      <c r="RB106" s="324">
        <v>46496.72</v>
      </c>
      <c r="RC106" s="324">
        <v>46700.04</v>
      </c>
      <c r="RD106" s="324">
        <v>46776.78</v>
      </c>
      <c r="RE106" s="324">
        <v>32085.469999999998</v>
      </c>
      <c r="RF106" s="324">
        <v>33961.550000000003</v>
      </c>
      <c r="RG106" s="324">
        <v>38055.899999999994</v>
      </c>
      <c r="RH106" s="324">
        <v>33814.090000000004</v>
      </c>
      <c r="RI106" s="324">
        <v>34099</v>
      </c>
      <c r="RJ106" s="324">
        <v>36041.24</v>
      </c>
      <c r="RK106" s="324">
        <v>42445.2</v>
      </c>
      <c r="RL106" s="334"/>
      <c r="RM106" s="324" t="s">
        <v>88</v>
      </c>
      <c r="RN106" s="324">
        <v>10085.15</v>
      </c>
      <c r="RO106" s="324">
        <v>48635.05</v>
      </c>
      <c r="RP106" s="324">
        <v>41539.879999999997</v>
      </c>
      <c r="RQ106" s="324">
        <v>57232.800000000003</v>
      </c>
      <c r="RR106" s="324">
        <v>22547.26</v>
      </c>
      <c r="RS106" s="324">
        <v>25496.94</v>
      </c>
      <c r="RT106" s="324">
        <v>40009.47</v>
      </c>
      <c r="RU106" s="324">
        <v>42439.74</v>
      </c>
      <c r="RV106" s="324">
        <v>22200</v>
      </c>
      <c r="RW106" s="324">
        <v>51000</v>
      </c>
      <c r="RX106" s="324">
        <v>56703.68</v>
      </c>
      <c r="RY106" s="324">
        <v>44822.469999999994</v>
      </c>
      <c r="RZ106" s="324">
        <v>47315.92</v>
      </c>
      <c r="SA106" s="324">
        <v>48712.76</v>
      </c>
      <c r="SB106" s="324">
        <v>47100</v>
      </c>
      <c r="SC106" s="324">
        <v>42000</v>
      </c>
      <c r="SD106" s="324">
        <v>58696.009999999995</v>
      </c>
      <c r="SE106" s="324">
        <v>61612.06</v>
      </c>
      <c r="SF106" s="324">
        <v>395577.57000000007</v>
      </c>
      <c r="SG106" s="324">
        <v>69747.37999999999</v>
      </c>
      <c r="SH106" s="324">
        <v>62388.37</v>
      </c>
      <c r="SI106" s="324">
        <v>48000</v>
      </c>
    </row>
    <row r="107" spans="1:503">
      <c r="B107" s="128"/>
      <c r="C107" s="128"/>
      <c r="D107" s="128"/>
      <c r="E107" s="128"/>
      <c r="F107" s="128"/>
      <c r="G107" s="129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258"/>
      <c r="V107" s="118"/>
      <c r="W107" s="118"/>
      <c r="X107" s="118"/>
      <c r="Y107" s="118"/>
      <c r="AJ107" s="128"/>
      <c r="AK107" s="128"/>
      <c r="AL107" s="128"/>
      <c r="AN107" s="118"/>
      <c r="AO107" s="118"/>
      <c r="AP107" s="118"/>
      <c r="BC107" s="128"/>
      <c r="BD107" s="128"/>
      <c r="BE107" s="128"/>
      <c r="BK107" s="118"/>
      <c r="BL107" s="118"/>
      <c r="BM107" s="118"/>
      <c r="BV107" s="128"/>
      <c r="BW107" s="128"/>
      <c r="BX107" s="128"/>
      <c r="CH107" s="118"/>
      <c r="CI107" s="118"/>
      <c r="CJ107" s="118"/>
      <c r="CO107" s="128"/>
      <c r="CP107" s="128"/>
      <c r="CQ107" s="128"/>
      <c r="DE107" s="118"/>
      <c r="DF107" s="118"/>
      <c r="DG107" s="118"/>
      <c r="DH107" s="128"/>
      <c r="DI107" s="128"/>
      <c r="DJ107" s="128"/>
      <c r="EA107" s="128"/>
      <c r="EB107" s="128"/>
      <c r="EC107" s="128"/>
      <c r="ED107" s="118"/>
      <c r="ES107" s="128"/>
      <c r="ET107" s="128"/>
      <c r="EU107" s="128"/>
      <c r="EY107" s="118"/>
      <c r="EZ107" s="118"/>
      <c r="FA107" s="118"/>
      <c r="FP107" s="128"/>
      <c r="FQ107" s="128"/>
      <c r="FR107" s="128"/>
      <c r="FV107" s="118"/>
      <c r="FW107" s="118"/>
      <c r="FX107" s="118"/>
      <c r="GM107" s="128"/>
      <c r="GN107" s="128"/>
      <c r="GO107" s="128"/>
      <c r="GS107" s="118"/>
      <c r="GT107" s="118"/>
      <c r="GU107" s="118"/>
      <c r="HJ107" s="128"/>
      <c r="HK107" s="128"/>
      <c r="HL107" s="128"/>
      <c r="HP107" s="118"/>
      <c r="HQ107" s="118"/>
      <c r="HR107" s="118"/>
      <c r="IG107" s="128"/>
      <c r="IH107" s="128"/>
      <c r="II107" s="128"/>
      <c r="IM107" s="118"/>
      <c r="IN107" s="118"/>
      <c r="IO107" s="118"/>
      <c r="JD107" s="128"/>
      <c r="JE107" s="128"/>
      <c r="JF107" s="128"/>
      <c r="JJ107" s="118"/>
      <c r="JK107" s="118"/>
      <c r="JL107" s="118"/>
      <c r="KA107" s="128"/>
      <c r="KB107" s="128"/>
      <c r="KC107" s="128"/>
      <c r="KG107" s="118"/>
      <c r="KH107" s="118"/>
      <c r="KI107" s="118"/>
      <c r="KX107" s="128"/>
      <c r="KY107" s="128"/>
      <c r="KZ107" s="128"/>
      <c r="LD107" s="118"/>
      <c r="LE107" s="118"/>
      <c r="LF107" s="118"/>
      <c r="LU107" s="128"/>
      <c r="LV107" s="128"/>
      <c r="LW107" s="128"/>
      <c r="MA107" s="118"/>
      <c r="MB107" s="118"/>
      <c r="MC107" s="118"/>
      <c r="MR107" s="128"/>
      <c r="MS107" s="128"/>
      <c r="MT107" s="128"/>
      <c r="MX107" s="118"/>
      <c r="MY107" s="118"/>
      <c r="MZ107" s="118"/>
      <c r="NO107" s="128"/>
      <c r="NP107" s="128"/>
      <c r="NQ107" s="128"/>
      <c r="NU107" s="118"/>
      <c r="NV107" s="118"/>
      <c r="NW107" s="118"/>
      <c r="OH107" s="128"/>
      <c r="OI107" s="128"/>
      <c r="OJ107" s="128"/>
      <c r="OK107" s="128"/>
      <c r="OL107" s="128"/>
      <c r="OM107" s="128"/>
      <c r="ON107" s="128"/>
      <c r="OR107" s="118"/>
      <c r="OS107" s="118"/>
      <c r="OT107" s="118"/>
      <c r="PE107" s="128"/>
      <c r="PF107" s="128"/>
      <c r="PG107" s="128"/>
      <c r="PH107" s="128"/>
      <c r="PI107" s="128"/>
      <c r="PJ107" s="128"/>
      <c r="PK107" s="128"/>
      <c r="PL107" s="118"/>
      <c r="PM107" s="118"/>
      <c r="PN107" s="118"/>
      <c r="PO107" s="118"/>
      <c r="PP107" s="118"/>
      <c r="PQ107" s="118"/>
      <c r="QB107" s="128"/>
      <c r="QC107" s="128"/>
      <c r="QD107" s="128"/>
      <c r="QE107" s="128"/>
      <c r="QF107" s="128"/>
      <c r="QG107" s="128"/>
      <c r="QH107" s="128"/>
      <c r="QI107" s="118"/>
      <c r="QJ107" s="118"/>
      <c r="QK107" s="118"/>
      <c r="QL107" s="118"/>
      <c r="QM107" s="118"/>
      <c r="QN107" s="118"/>
      <c r="RE107" s="118"/>
      <c r="RF107" s="118"/>
      <c r="RG107" s="118"/>
      <c r="RH107" s="118"/>
      <c r="RI107" s="118"/>
      <c r="RJ107" s="118"/>
      <c r="RK107" s="118"/>
    </row>
    <row r="108" spans="1:503"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258"/>
      <c r="V108" s="118"/>
      <c r="W108" s="118"/>
      <c r="X108" s="118"/>
      <c r="Y108" s="118"/>
      <c r="AJ108" s="128"/>
      <c r="AK108" s="128"/>
      <c r="AL108" s="128"/>
      <c r="AN108" s="118"/>
      <c r="AO108" s="118"/>
      <c r="AP108" s="118"/>
      <c r="BC108" s="128"/>
      <c r="BD108" s="128"/>
      <c r="BE108" s="128"/>
      <c r="BK108" s="118"/>
      <c r="BL108" s="118"/>
      <c r="BM108" s="118"/>
      <c r="BV108" s="128"/>
      <c r="BW108" s="128"/>
      <c r="BX108" s="128"/>
      <c r="CH108" s="118"/>
      <c r="CI108" s="118"/>
      <c r="CJ108" s="118"/>
      <c r="CO108" s="128"/>
      <c r="CP108" s="128"/>
      <c r="CQ108" s="128"/>
      <c r="DE108" s="118"/>
      <c r="DF108" s="118"/>
      <c r="DG108" s="118"/>
      <c r="DH108" s="128"/>
      <c r="DI108" s="128"/>
      <c r="DJ108" s="128"/>
      <c r="EA108" s="128"/>
      <c r="EB108" s="128"/>
      <c r="EC108" s="128"/>
      <c r="ED108" s="118"/>
      <c r="ES108" s="128"/>
      <c r="ET108" s="128"/>
      <c r="EU108" s="128"/>
      <c r="EY108" s="118"/>
      <c r="EZ108" s="118"/>
      <c r="FA108" s="118"/>
      <c r="FP108" s="128"/>
      <c r="FQ108" s="128"/>
      <c r="FR108" s="128"/>
      <c r="FV108" s="118"/>
      <c r="FW108" s="118"/>
      <c r="FX108" s="118"/>
      <c r="GM108" s="128"/>
      <c r="GN108" s="128"/>
      <c r="GO108" s="128"/>
      <c r="GS108" s="118"/>
      <c r="GT108" s="118"/>
      <c r="GU108" s="118"/>
      <c r="HJ108" s="128"/>
      <c r="HK108" s="128"/>
      <c r="HL108" s="128"/>
      <c r="HP108" s="118"/>
      <c r="HQ108" s="118"/>
      <c r="HR108" s="118"/>
      <c r="IG108" s="128"/>
      <c r="IH108" s="128"/>
      <c r="II108" s="128"/>
      <c r="IM108" s="118"/>
      <c r="IN108" s="118"/>
      <c r="IO108" s="118"/>
      <c r="JD108" s="128"/>
      <c r="JE108" s="128"/>
      <c r="JF108" s="128"/>
      <c r="JJ108" s="118"/>
      <c r="JK108" s="118"/>
      <c r="JL108" s="118"/>
      <c r="KA108" s="128"/>
      <c r="KB108" s="128"/>
      <c r="KC108" s="128"/>
      <c r="KG108" s="118"/>
      <c r="KH108" s="118"/>
      <c r="KI108" s="118"/>
      <c r="KX108" s="128"/>
      <c r="KY108" s="128"/>
      <c r="KZ108" s="128"/>
      <c r="LD108" s="118"/>
      <c r="LE108" s="118"/>
      <c r="LF108" s="118"/>
      <c r="LU108" s="128"/>
      <c r="LV108" s="128"/>
      <c r="LW108" s="128"/>
      <c r="MA108" s="118"/>
      <c r="MB108" s="118"/>
      <c r="MC108" s="118"/>
      <c r="MR108" s="128"/>
      <c r="MS108" s="128"/>
      <c r="MT108" s="128"/>
      <c r="MX108" s="118"/>
      <c r="MY108" s="118"/>
      <c r="MZ108" s="118"/>
      <c r="NO108" s="128"/>
      <c r="NP108" s="128"/>
      <c r="NQ108" s="128"/>
      <c r="NU108" s="118"/>
      <c r="NV108" s="118"/>
      <c r="NW108" s="118"/>
      <c r="OH108" s="128"/>
      <c r="OI108" s="128"/>
      <c r="OJ108" s="128"/>
      <c r="OK108" s="128"/>
      <c r="OL108" s="128"/>
      <c r="OM108" s="128"/>
      <c r="ON108" s="128"/>
      <c r="OR108" s="118"/>
      <c r="OS108" s="118"/>
      <c r="OT108" s="118"/>
      <c r="PE108" s="128"/>
      <c r="PF108" s="128"/>
      <c r="PG108" s="128"/>
      <c r="PH108" s="128"/>
      <c r="PI108" s="128"/>
      <c r="PJ108" s="128"/>
      <c r="PK108" s="128"/>
      <c r="PL108" s="118"/>
      <c r="PM108" s="118"/>
      <c r="PN108" s="118"/>
      <c r="PO108" s="118"/>
      <c r="PP108" s="118"/>
      <c r="PQ108" s="118"/>
      <c r="QB108" s="128"/>
      <c r="QC108" s="128"/>
      <c r="QD108" s="128"/>
      <c r="QE108" s="128"/>
      <c r="QF108" s="128"/>
      <c r="QG108" s="128"/>
      <c r="QH108" s="128"/>
      <c r="QI108" s="118"/>
      <c r="QJ108" s="118"/>
      <c r="QK108" s="118"/>
      <c r="QL108" s="118"/>
      <c r="QM108" s="118"/>
      <c r="QN108" s="118"/>
      <c r="RE108" s="118"/>
      <c r="RF108" s="118"/>
      <c r="RG108" s="118"/>
      <c r="RH108" s="118"/>
      <c r="RI108" s="118"/>
      <c r="RJ108" s="118"/>
      <c r="RK108" s="118"/>
    </row>
    <row r="109" spans="1:503">
      <c r="U109" s="258"/>
      <c r="V109" s="118"/>
      <c r="W109" s="118"/>
      <c r="X109" s="118"/>
      <c r="Y109" s="118"/>
      <c r="AJ109" s="122"/>
      <c r="AK109" s="122"/>
      <c r="AL109" s="122"/>
      <c r="AN109" s="118"/>
      <c r="AO109" s="118"/>
      <c r="AP109" s="118"/>
      <c r="BC109" s="122"/>
      <c r="BD109" s="122"/>
      <c r="BE109" s="122"/>
      <c r="BK109" s="118"/>
      <c r="BL109" s="118"/>
      <c r="BM109" s="118"/>
      <c r="BV109" s="122"/>
      <c r="BW109" s="122"/>
      <c r="BX109" s="122"/>
      <c r="CH109" s="118"/>
      <c r="CI109" s="118"/>
      <c r="CJ109" s="118"/>
      <c r="CO109" s="122"/>
      <c r="CP109" s="122"/>
      <c r="CQ109" s="122"/>
      <c r="DE109" s="118"/>
      <c r="DF109" s="118"/>
      <c r="DG109" s="118"/>
      <c r="DH109" s="122"/>
      <c r="DI109" s="122"/>
      <c r="DJ109" s="122"/>
      <c r="EA109" s="122"/>
      <c r="ED109" s="118"/>
      <c r="ES109" s="122"/>
      <c r="ET109" s="122"/>
      <c r="EU109" s="122"/>
      <c r="EY109" s="118"/>
      <c r="EZ109" s="118"/>
      <c r="FA109" s="118"/>
      <c r="FP109" s="122"/>
      <c r="FQ109" s="122"/>
      <c r="FR109" s="122"/>
      <c r="FV109" s="118"/>
      <c r="FW109" s="118"/>
      <c r="FX109" s="118"/>
      <c r="GM109" s="122"/>
      <c r="GN109" s="122"/>
      <c r="GO109" s="122"/>
      <c r="GS109" s="118"/>
      <c r="GT109" s="118"/>
      <c r="GU109" s="118"/>
      <c r="HJ109" s="122"/>
      <c r="HK109" s="122"/>
      <c r="HL109" s="122"/>
      <c r="HP109" s="118"/>
      <c r="HQ109" s="118"/>
      <c r="HR109" s="118"/>
      <c r="IG109" s="122"/>
      <c r="IH109" s="122"/>
      <c r="II109" s="122"/>
      <c r="IM109" s="118"/>
      <c r="IN109" s="118"/>
      <c r="IO109" s="118"/>
      <c r="JD109" s="122"/>
      <c r="JE109" s="122"/>
      <c r="JF109" s="122"/>
      <c r="JJ109" s="118"/>
      <c r="JK109" s="118"/>
      <c r="JL109" s="118"/>
      <c r="KA109" s="122"/>
      <c r="KB109" s="122"/>
      <c r="KC109" s="122"/>
      <c r="KG109" s="118"/>
      <c r="KH109" s="118"/>
      <c r="KI109" s="118"/>
      <c r="KX109" s="122"/>
      <c r="KY109" s="122"/>
      <c r="KZ109" s="122"/>
      <c r="LD109" s="118"/>
      <c r="LE109" s="118"/>
      <c r="LF109" s="118"/>
      <c r="LU109" s="122"/>
      <c r="LV109" s="122"/>
      <c r="LW109" s="122"/>
      <c r="MA109" s="118"/>
      <c r="MB109" s="118"/>
      <c r="MC109" s="118"/>
      <c r="MR109" s="122"/>
      <c r="MS109" s="122"/>
      <c r="MT109" s="122"/>
      <c r="MX109" s="118"/>
      <c r="MY109" s="118"/>
      <c r="MZ109" s="118"/>
      <c r="NO109" s="122"/>
      <c r="NP109" s="122"/>
      <c r="NQ109" s="122"/>
      <c r="NU109" s="118"/>
      <c r="NV109" s="118"/>
      <c r="NW109" s="118"/>
      <c r="OH109" s="122"/>
      <c r="OI109" s="122"/>
      <c r="OJ109" s="122"/>
      <c r="OK109" s="122"/>
      <c r="OL109" s="122"/>
      <c r="OM109" s="122"/>
      <c r="ON109" s="122"/>
      <c r="OR109" s="118"/>
      <c r="OS109" s="118"/>
      <c r="OT109" s="118"/>
      <c r="PE109" s="122"/>
      <c r="PF109" s="122"/>
      <c r="PG109" s="122"/>
      <c r="PH109" s="122"/>
      <c r="PI109" s="122"/>
      <c r="PJ109" s="122"/>
      <c r="PL109" s="118"/>
      <c r="PM109" s="118"/>
      <c r="PN109" s="118"/>
      <c r="PO109" s="118"/>
      <c r="PP109" s="118"/>
      <c r="PQ109" s="118"/>
      <c r="QB109" s="122"/>
      <c r="QC109" s="122"/>
      <c r="QD109" s="122"/>
      <c r="QE109" s="122"/>
      <c r="QF109" s="122"/>
      <c r="QG109" s="122"/>
      <c r="QI109" s="118"/>
      <c r="QJ109" s="118"/>
      <c r="QK109" s="118"/>
      <c r="QL109" s="118"/>
      <c r="QM109" s="118"/>
      <c r="QN109" s="118"/>
      <c r="RE109" s="118"/>
      <c r="RF109" s="118"/>
      <c r="RG109" s="118"/>
      <c r="RH109" s="118"/>
      <c r="RI109" s="118"/>
      <c r="RJ109" s="118"/>
      <c r="RK109" s="118"/>
    </row>
    <row r="110" spans="1:503">
      <c r="U110" s="258"/>
      <c r="V110" s="118"/>
      <c r="W110" s="118"/>
      <c r="X110" s="118"/>
      <c r="Y110" s="118"/>
      <c r="AJ110" s="122"/>
      <c r="AK110" s="122"/>
      <c r="AL110" s="122"/>
      <c r="AN110" s="118"/>
      <c r="AO110" s="118"/>
      <c r="AP110" s="118"/>
      <c r="BC110" s="122"/>
      <c r="BD110" s="122"/>
      <c r="BE110" s="122"/>
      <c r="BK110" s="118"/>
      <c r="BL110" s="118"/>
      <c r="BM110" s="118"/>
      <c r="BV110" s="122"/>
      <c r="BW110" s="122"/>
      <c r="BX110" s="122"/>
      <c r="CH110" s="118"/>
      <c r="CI110" s="118"/>
      <c r="CJ110" s="118"/>
      <c r="CO110" s="122"/>
      <c r="CP110" s="122"/>
      <c r="CQ110" s="122"/>
      <c r="DE110" s="118"/>
      <c r="DF110" s="118"/>
      <c r="DG110" s="118"/>
      <c r="DH110" s="122"/>
      <c r="DI110" s="122"/>
      <c r="DJ110" s="122"/>
      <c r="EA110" s="122"/>
      <c r="ED110" s="118"/>
      <c r="ES110" s="122"/>
      <c r="ET110" s="122"/>
      <c r="EU110" s="122"/>
      <c r="EY110" s="118"/>
      <c r="EZ110" s="118"/>
      <c r="FA110" s="118"/>
      <c r="FP110" s="122"/>
      <c r="FQ110" s="122"/>
      <c r="FR110" s="122"/>
      <c r="FV110" s="118"/>
      <c r="FW110" s="118"/>
      <c r="FX110" s="118"/>
      <c r="GM110" s="122"/>
      <c r="GN110" s="122"/>
      <c r="GO110" s="122"/>
      <c r="GS110" s="118"/>
      <c r="GT110" s="118"/>
      <c r="GU110" s="118"/>
      <c r="HJ110" s="122"/>
      <c r="HK110" s="122"/>
      <c r="HL110" s="122"/>
      <c r="HP110" s="118"/>
      <c r="HQ110" s="118"/>
      <c r="HR110" s="118"/>
      <c r="IG110" s="122"/>
      <c r="IH110" s="122"/>
      <c r="II110" s="122"/>
      <c r="IM110" s="118"/>
      <c r="IN110" s="118"/>
      <c r="IO110" s="118"/>
      <c r="JD110" s="122"/>
      <c r="JE110" s="122"/>
      <c r="JF110" s="122"/>
      <c r="JJ110" s="118"/>
      <c r="JK110" s="118"/>
      <c r="JL110" s="118"/>
      <c r="KA110" s="122"/>
      <c r="KB110" s="122"/>
      <c r="KC110" s="122"/>
      <c r="KG110" s="118"/>
      <c r="KH110" s="118"/>
      <c r="KI110" s="118"/>
      <c r="KX110" s="122"/>
      <c r="KY110" s="122"/>
      <c r="KZ110" s="122"/>
      <c r="LD110" s="118"/>
      <c r="LE110" s="118"/>
      <c r="LF110" s="118"/>
      <c r="LU110" s="122"/>
      <c r="LV110" s="122"/>
      <c r="LW110" s="122"/>
      <c r="MA110" s="118"/>
      <c r="MB110" s="118"/>
      <c r="MC110" s="118"/>
      <c r="MR110" s="122"/>
      <c r="MS110" s="122"/>
      <c r="MT110" s="122"/>
      <c r="MX110" s="118"/>
      <c r="MY110" s="118"/>
      <c r="MZ110" s="118"/>
      <c r="NO110" s="122"/>
      <c r="NP110" s="122"/>
      <c r="NQ110" s="122"/>
      <c r="NU110" s="118"/>
      <c r="NV110" s="118"/>
      <c r="NW110" s="118"/>
      <c r="OH110" s="122"/>
      <c r="OI110" s="122"/>
      <c r="OJ110" s="122"/>
      <c r="OK110" s="122"/>
      <c r="OL110" s="122"/>
      <c r="OM110" s="122"/>
      <c r="ON110" s="122"/>
      <c r="OR110" s="118"/>
      <c r="OS110" s="118"/>
      <c r="OT110" s="118"/>
      <c r="PE110" s="122"/>
      <c r="PF110" s="122"/>
      <c r="PG110" s="122"/>
      <c r="PH110" s="122"/>
      <c r="PI110" s="122"/>
      <c r="PJ110" s="122"/>
      <c r="PL110" s="118"/>
      <c r="PM110" s="118"/>
      <c r="PN110" s="118"/>
      <c r="PO110" s="118"/>
      <c r="PP110" s="118"/>
      <c r="PQ110" s="118"/>
      <c r="QB110" s="122"/>
      <c r="QC110" s="122"/>
      <c r="QD110" s="122"/>
      <c r="QE110" s="122"/>
      <c r="QF110" s="122"/>
      <c r="QG110" s="122"/>
      <c r="QI110" s="118"/>
      <c r="QJ110" s="118"/>
      <c r="QK110" s="118"/>
      <c r="QL110" s="118"/>
      <c r="QM110" s="118"/>
      <c r="QN110" s="118"/>
      <c r="RE110" s="118"/>
      <c r="RF110" s="118"/>
      <c r="RG110" s="118"/>
      <c r="RH110" s="118"/>
      <c r="RI110" s="118"/>
      <c r="RJ110" s="118"/>
      <c r="RK110" s="118"/>
    </row>
    <row r="111" spans="1:503">
      <c r="U111" s="258"/>
      <c r="V111" s="118"/>
      <c r="W111" s="118"/>
      <c r="X111" s="118"/>
      <c r="Y111" s="118"/>
      <c r="AJ111" s="122"/>
      <c r="AK111" s="122"/>
      <c r="AL111" s="122"/>
      <c r="AN111" s="118"/>
      <c r="AO111" s="118"/>
      <c r="AP111" s="118"/>
      <c r="BC111" s="122"/>
      <c r="BD111" s="122"/>
      <c r="BE111" s="122"/>
      <c r="BK111" s="118"/>
      <c r="BL111" s="118"/>
      <c r="BM111" s="118"/>
      <c r="BV111" s="122"/>
      <c r="BW111" s="122"/>
      <c r="BX111" s="122"/>
      <c r="CH111" s="118"/>
      <c r="CI111" s="118"/>
      <c r="CJ111" s="118"/>
      <c r="CO111" s="122"/>
      <c r="CP111" s="122"/>
      <c r="CQ111" s="122"/>
      <c r="DE111" s="118"/>
      <c r="DF111" s="118"/>
      <c r="DG111" s="118"/>
      <c r="DH111" s="122"/>
      <c r="DI111" s="122"/>
      <c r="DJ111" s="122"/>
      <c r="EA111" s="122"/>
      <c r="ED111" s="118"/>
      <c r="ES111" s="122"/>
      <c r="ET111" s="122"/>
      <c r="EU111" s="122"/>
      <c r="EY111" s="118"/>
      <c r="EZ111" s="118"/>
      <c r="FA111" s="118"/>
      <c r="FP111" s="122"/>
      <c r="FQ111" s="122"/>
      <c r="FR111" s="122"/>
      <c r="FV111" s="118"/>
      <c r="FW111" s="118"/>
      <c r="FX111" s="118"/>
      <c r="GM111" s="122"/>
      <c r="GN111" s="122"/>
      <c r="GO111" s="122"/>
      <c r="GS111" s="118"/>
      <c r="GT111" s="118"/>
      <c r="GU111" s="118"/>
      <c r="HJ111" s="122"/>
      <c r="HK111" s="122"/>
      <c r="HL111" s="122"/>
      <c r="HP111" s="118"/>
      <c r="HQ111" s="118"/>
      <c r="HR111" s="118"/>
      <c r="IG111" s="122"/>
      <c r="IH111" s="122"/>
      <c r="II111" s="122"/>
      <c r="IM111" s="118"/>
      <c r="IN111" s="118"/>
      <c r="IO111" s="118"/>
      <c r="JD111" s="122"/>
      <c r="JE111" s="122"/>
      <c r="JF111" s="122"/>
      <c r="JJ111" s="118"/>
      <c r="JK111" s="118"/>
      <c r="JL111" s="118"/>
      <c r="KA111" s="122"/>
      <c r="KB111" s="122"/>
      <c r="KC111" s="122"/>
      <c r="KG111" s="118"/>
      <c r="KH111" s="118"/>
      <c r="KI111" s="118"/>
      <c r="KX111" s="122"/>
      <c r="KY111" s="122"/>
      <c r="KZ111" s="122"/>
      <c r="LD111" s="118"/>
      <c r="LE111" s="118"/>
      <c r="LF111" s="118"/>
      <c r="LU111" s="122"/>
      <c r="LV111" s="122"/>
      <c r="LW111" s="122"/>
      <c r="MA111" s="118"/>
      <c r="MB111" s="118"/>
      <c r="MC111" s="118"/>
      <c r="MR111" s="122"/>
      <c r="MS111" s="122"/>
      <c r="MT111" s="122"/>
      <c r="MX111" s="118"/>
      <c r="MY111" s="118"/>
      <c r="MZ111" s="118"/>
      <c r="NO111" s="122"/>
      <c r="NP111" s="122"/>
      <c r="NQ111" s="122"/>
      <c r="NU111" s="118"/>
      <c r="NV111" s="118"/>
      <c r="NW111" s="118"/>
      <c r="OH111" s="122"/>
      <c r="OI111" s="122"/>
      <c r="OJ111" s="122"/>
      <c r="OK111" s="122"/>
      <c r="OL111" s="122"/>
      <c r="OM111" s="122"/>
      <c r="ON111" s="122"/>
      <c r="OR111" s="118"/>
      <c r="OS111" s="118"/>
      <c r="OT111" s="118"/>
      <c r="PE111" s="122"/>
      <c r="PF111" s="122"/>
      <c r="PG111" s="122"/>
      <c r="PH111" s="122"/>
      <c r="PI111" s="122"/>
      <c r="PJ111" s="122"/>
      <c r="PL111" s="118"/>
      <c r="PM111" s="118"/>
      <c r="PN111" s="118"/>
      <c r="PO111" s="118"/>
      <c r="PP111" s="118"/>
      <c r="PQ111" s="118"/>
      <c r="QB111" s="122"/>
      <c r="QC111" s="122"/>
      <c r="QD111" s="122"/>
      <c r="QE111" s="122"/>
      <c r="QF111" s="122"/>
      <c r="QG111" s="122"/>
      <c r="QI111" s="118"/>
      <c r="QJ111" s="118"/>
      <c r="QK111" s="118"/>
      <c r="QL111" s="118"/>
      <c r="QM111" s="118"/>
      <c r="QN111" s="118"/>
      <c r="RE111" s="118"/>
      <c r="RF111" s="118"/>
      <c r="RG111" s="118"/>
      <c r="RH111" s="118"/>
      <c r="RI111" s="118"/>
      <c r="RJ111" s="118"/>
      <c r="RK111" s="118"/>
    </row>
    <row r="112" spans="1:503">
      <c r="A112" s="395" t="s">
        <v>227</v>
      </c>
      <c r="B112" s="932" t="s">
        <v>624</v>
      </c>
      <c r="C112" s="933"/>
      <c r="D112" s="864"/>
      <c r="E112" s="933"/>
      <c r="F112" s="933"/>
      <c r="G112" s="933"/>
      <c r="H112" s="934"/>
      <c r="U112" s="258"/>
      <c r="V112" s="118"/>
      <c r="W112" s="118"/>
      <c r="X112" s="118"/>
      <c r="Y112" s="945" t="s">
        <v>439</v>
      </c>
      <c r="Z112" s="946"/>
      <c r="AA112" s="117" t="s">
        <v>440</v>
      </c>
      <c r="AN112" s="118"/>
      <c r="AW112" s="116" t="s">
        <v>134</v>
      </c>
      <c r="AX112" s="1011" t="s">
        <v>442</v>
      </c>
      <c r="AY112" s="1012"/>
      <c r="AZ112" s="1012"/>
      <c r="BA112" s="1012"/>
      <c r="BB112" s="1013"/>
      <c r="BC112" s="1014" t="s">
        <v>457</v>
      </c>
      <c r="BD112" s="1015"/>
      <c r="BE112" s="1015"/>
      <c r="BF112" s="1016"/>
      <c r="BK112" s="118"/>
      <c r="BL112" s="118"/>
      <c r="BM112" s="118"/>
      <c r="BU112" s="998" t="s">
        <v>136</v>
      </c>
      <c r="BV112" s="999"/>
      <c r="BW112" s="999"/>
      <c r="BX112" s="1008" t="s">
        <v>444</v>
      </c>
      <c r="BY112" s="1009"/>
      <c r="CH112" s="118"/>
      <c r="CI112" s="118"/>
      <c r="CJ112" s="118"/>
      <c r="CS112" s="998" t="s">
        <v>137</v>
      </c>
      <c r="CT112" s="1000"/>
      <c r="CU112" s="1011" t="s">
        <v>443</v>
      </c>
      <c r="CV112" s="1013"/>
      <c r="DE112" s="118"/>
      <c r="DF112" s="118"/>
      <c r="DG112" s="118"/>
      <c r="DQ112" s="945" t="s">
        <v>118</v>
      </c>
      <c r="DR112" s="946"/>
      <c r="DS112" s="948" t="s">
        <v>447</v>
      </c>
      <c r="DT112" s="949"/>
      <c r="DU112" s="950"/>
      <c r="EB112" s="118"/>
      <c r="EC112" s="118"/>
      <c r="ED112" s="118"/>
      <c r="EK112" s="953"/>
      <c r="EL112" s="954"/>
      <c r="EM112" s="955"/>
      <c r="EN112" s="947"/>
      <c r="EO112" s="807" t="s">
        <v>135</v>
      </c>
      <c r="EP112" s="808"/>
      <c r="EQ112" s="117" t="s">
        <v>441</v>
      </c>
      <c r="ER112" s="122"/>
      <c r="EY112" s="118"/>
      <c r="EZ112" s="118"/>
      <c r="FA112" s="118"/>
      <c r="FM112" s="1003" t="s">
        <v>128</v>
      </c>
      <c r="FN112" s="1005"/>
      <c r="FO112" s="1011" t="s">
        <v>447</v>
      </c>
      <c r="FP112" s="1012"/>
      <c r="FQ112" s="1012"/>
      <c r="FR112" s="1013"/>
      <c r="FV112" s="118"/>
      <c r="FW112" s="118"/>
      <c r="FX112" s="118"/>
      <c r="GK112" s="1003" t="s">
        <v>132</v>
      </c>
      <c r="GL112" s="1005"/>
      <c r="GM112" s="1011" t="s">
        <v>447</v>
      </c>
      <c r="GN112" s="1012"/>
      <c r="GO112" s="1013"/>
      <c r="GS112" s="118"/>
      <c r="GT112" s="118"/>
      <c r="GU112" s="118"/>
      <c r="HJ112" s="122"/>
      <c r="HK112" s="122"/>
      <c r="HL112" s="122"/>
      <c r="HO112" s="118" t="s">
        <v>113</v>
      </c>
      <c r="HP112" s="118"/>
      <c r="HQ112" s="118"/>
      <c r="HR112" s="118"/>
      <c r="IG112" s="122"/>
      <c r="IH112" s="122"/>
      <c r="II112" s="122"/>
      <c r="IM112" s="118"/>
      <c r="IN112" s="118"/>
      <c r="IO112" s="118"/>
      <c r="JD112" s="122"/>
      <c r="JE112" s="122"/>
      <c r="JF112" s="122"/>
      <c r="JJ112" s="118"/>
      <c r="JK112" s="118"/>
      <c r="JL112" s="118"/>
      <c r="KA112" s="122"/>
      <c r="KB112" s="122"/>
      <c r="KC112" s="122"/>
      <c r="KG112" s="118"/>
      <c r="KH112" s="118"/>
      <c r="KI112" s="118"/>
      <c r="KX112" s="122"/>
      <c r="KY112" s="122"/>
      <c r="KZ112" s="122"/>
      <c r="LD112" s="118"/>
      <c r="LE112" s="118"/>
      <c r="LF112" s="118"/>
      <c r="LU112" s="122"/>
      <c r="LV112" s="122"/>
      <c r="LW112" s="122"/>
      <c r="MA112" s="118"/>
      <c r="MB112" s="118"/>
      <c r="MC112" s="118"/>
      <c r="MR112" s="122"/>
      <c r="MS112" s="122"/>
      <c r="MT112" s="122"/>
      <c r="MX112" s="118"/>
      <c r="MY112" s="118"/>
      <c r="MZ112" s="118"/>
      <c r="NO112" s="122"/>
      <c r="NP112" s="122"/>
      <c r="NQ112" s="122"/>
      <c r="NU112" s="118"/>
      <c r="NV112" s="118"/>
      <c r="NW112" s="118"/>
      <c r="OH112" s="122"/>
      <c r="OI112" s="122"/>
      <c r="OJ112" s="122"/>
      <c r="OK112" s="122"/>
      <c r="OL112" s="122"/>
      <c r="OM112" s="122"/>
      <c r="ON112" s="122"/>
      <c r="OR112" s="118"/>
      <c r="OS112" s="118"/>
      <c r="OT112" s="118"/>
      <c r="PE112" s="122"/>
      <c r="PF112" s="122"/>
      <c r="PG112" s="122"/>
      <c r="PH112" s="122"/>
      <c r="PI112" s="122"/>
      <c r="PJ112" s="122"/>
      <c r="PL112" s="118"/>
      <c r="PM112" s="118"/>
      <c r="PN112" s="118"/>
      <c r="PO112" s="118"/>
      <c r="PP112" s="118"/>
      <c r="PQ112" s="118"/>
      <c r="QB112" s="122"/>
      <c r="QC112" s="122"/>
      <c r="QD112" s="122"/>
      <c r="QE112" s="122"/>
      <c r="QF112" s="122"/>
      <c r="QG112" s="122"/>
      <c r="QI112" s="118"/>
      <c r="QJ112" s="118"/>
      <c r="QK112" s="118"/>
      <c r="QL112" s="118"/>
      <c r="QM112" s="118"/>
      <c r="QN112" s="118"/>
      <c r="RE112" s="118"/>
      <c r="RF112" s="118"/>
      <c r="RG112" s="118"/>
      <c r="RH112" s="118"/>
      <c r="RI112" s="118"/>
      <c r="RJ112" s="118"/>
      <c r="RK112" s="118"/>
    </row>
    <row r="113" spans="1:479">
      <c r="A113" s="181"/>
      <c r="B113" s="117" t="s">
        <v>625</v>
      </c>
      <c r="C113" s="117"/>
      <c r="D113" s="122"/>
      <c r="E113" s="117"/>
      <c r="F113" s="117"/>
      <c r="G113" s="117"/>
      <c r="H113" s="117"/>
      <c r="U113" s="258"/>
      <c r="V113" s="118"/>
      <c r="W113" s="118"/>
      <c r="X113" s="118"/>
      <c r="Y113" s="118"/>
      <c r="AN113" s="118"/>
      <c r="AO113" s="118"/>
      <c r="AP113" s="118"/>
      <c r="BK113" s="118"/>
      <c r="BL113" s="118"/>
      <c r="BM113" s="118"/>
      <c r="CH113" s="118"/>
      <c r="CI113" s="118"/>
      <c r="CJ113" s="118"/>
      <c r="DE113" s="118"/>
      <c r="DF113" s="118"/>
      <c r="DG113" s="118"/>
      <c r="EB113" s="118"/>
      <c r="EC113" s="118"/>
      <c r="ED113" s="118"/>
      <c r="EY113" s="118"/>
      <c r="EZ113" s="118"/>
      <c r="FA113" s="118"/>
      <c r="FV113" s="118"/>
      <c r="FW113" s="118"/>
      <c r="FX113" s="118"/>
      <c r="GS113" s="118"/>
      <c r="GT113" s="118"/>
      <c r="GU113" s="118"/>
      <c r="HJ113" s="122"/>
      <c r="HK113" s="122"/>
      <c r="HL113" s="122"/>
      <c r="HP113" s="118"/>
      <c r="HQ113" s="118"/>
      <c r="HR113" s="118"/>
      <c r="IG113" s="122"/>
      <c r="IH113" s="122"/>
      <c r="II113" s="122"/>
      <c r="IM113" s="118"/>
      <c r="IN113" s="118"/>
      <c r="IO113" s="118"/>
      <c r="JD113" s="122"/>
      <c r="JE113" s="122"/>
      <c r="JF113" s="122"/>
      <c r="JJ113" s="118"/>
      <c r="JK113" s="118"/>
      <c r="JL113" s="118"/>
      <c r="KA113" s="122"/>
      <c r="KB113" s="122"/>
      <c r="KC113" s="122"/>
      <c r="KG113" s="118"/>
      <c r="KH113" s="118"/>
      <c r="KI113" s="118"/>
      <c r="KX113" s="122"/>
      <c r="KY113" s="122"/>
      <c r="KZ113" s="122"/>
      <c r="LD113" s="118"/>
      <c r="LE113" s="118"/>
      <c r="LF113" s="118"/>
      <c r="LU113" s="122"/>
      <c r="LV113" s="122"/>
      <c r="LW113" s="122"/>
      <c r="MA113" s="118"/>
      <c r="MB113" s="118"/>
      <c r="MC113" s="118"/>
      <c r="MR113" s="122"/>
      <c r="MS113" s="122"/>
      <c r="MT113" s="122"/>
      <c r="MX113" s="118"/>
      <c r="MY113" s="118"/>
      <c r="MZ113" s="118"/>
      <c r="NO113" s="122"/>
      <c r="NP113" s="122"/>
      <c r="NQ113" s="122"/>
      <c r="NU113" s="118"/>
      <c r="NV113" s="118"/>
      <c r="NW113" s="118"/>
      <c r="OH113" s="122"/>
      <c r="OI113" s="122"/>
      <c r="OJ113" s="122"/>
      <c r="OK113" s="122"/>
      <c r="OL113" s="122"/>
      <c r="OM113" s="122"/>
      <c r="ON113" s="122"/>
      <c r="OR113" s="118"/>
      <c r="OS113" s="118"/>
      <c r="OT113" s="118"/>
      <c r="PE113" s="122"/>
      <c r="PF113" s="122"/>
      <c r="PG113" s="122"/>
      <c r="PH113" s="122"/>
      <c r="PI113" s="122"/>
      <c r="PJ113" s="122"/>
      <c r="PL113" s="118"/>
      <c r="PM113" s="118"/>
      <c r="PN113" s="118"/>
      <c r="PO113" s="118"/>
      <c r="PP113" s="118"/>
      <c r="PQ113" s="118"/>
      <c r="QB113" s="122"/>
      <c r="QC113" s="122"/>
      <c r="QD113" s="122"/>
      <c r="QE113" s="122"/>
      <c r="QF113" s="122"/>
      <c r="QG113" s="122"/>
      <c r="QI113" s="118"/>
      <c r="QJ113" s="118"/>
      <c r="QK113" s="118"/>
      <c r="QL113" s="118"/>
      <c r="QM113" s="118"/>
      <c r="QN113" s="118"/>
      <c r="RE113" s="118"/>
      <c r="RF113" s="118"/>
      <c r="RG113" s="118"/>
      <c r="RH113" s="118"/>
      <c r="RI113" s="118"/>
      <c r="RJ113" s="118"/>
      <c r="RK113" s="118"/>
    </row>
    <row r="114" spans="1:479">
      <c r="A114" s="122"/>
      <c r="B114" s="122" t="s">
        <v>626</v>
      </c>
      <c r="C114" s="122"/>
      <c r="D114" s="122"/>
      <c r="E114" s="122"/>
      <c r="F114" s="122"/>
      <c r="G114" s="122"/>
      <c r="H114" s="122"/>
      <c r="U114" s="258"/>
      <c r="V114" s="118"/>
      <c r="W114" s="118"/>
      <c r="X114" s="118"/>
      <c r="Y114" s="118"/>
      <c r="AN114" s="328"/>
      <c r="AO114" s="328"/>
      <c r="AP114" s="328"/>
      <c r="AQ114" s="328"/>
      <c r="AR114" s="328"/>
      <c r="AS114" s="328"/>
      <c r="AT114" s="328"/>
      <c r="AU114" s="328"/>
      <c r="BK114" s="118"/>
      <c r="BL114" s="118"/>
      <c r="BM114" s="118"/>
      <c r="CH114" s="118"/>
      <c r="CI114" s="118"/>
      <c r="CJ114" s="118"/>
      <c r="DE114" s="118"/>
      <c r="DF114" s="118"/>
      <c r="DG114" s="118"/>
      <c r="DQ114" s="328"/>
      <c r="DR114" s="328"/>
      <c r="DS114" s="328"/>
      <c r="DT114" s="328"/>
      <c r="DU114" s="328"/>
      <c r="DV114" s="328"/>
      <c r="DW114" s="328"/>
      <c r="DX114" s="328"/>
      <c r="DY114" s="328"/>
      <c r="DZ114" s="328"/>
      <c r="EA114" s="328"/>
      <c r="EB114" s="328"/>
      <c r="EC114" s="328"/>
      <c r="ED114" s="328"/>
      <c r="EE114" s="328"/>
      <c r="EF114" s="328"/>
      <c r="EG114" s="328"/>
      <c r="EH114" s="328"/>
      <c r="EI114" s="328"/>
      <c r="EJ114" s="328"/>
      <c r="EK114" s="328"/>
      <c r="EL114" s="328"/>
      <c r="EM114" s="328"/>
      <c r="EN114" s="328"/>
      <c r="EY114" s="118"/>
      <c r="EZ114" s="118"/>
      <c r="FA114" s="118"/>
      <c r="FM114" s="122"/>
      <c r="FN114" s="122"/>
      <c r="FO114" s="122"/>
      <c r="FV114" s="118"/>
      <c r="FW114" s="118"/>
      <c r="FX114" s="118"/>
      <c r="GS114" s="118"/>
      <c r="GT114" s="118"/>
      <c r="GU114" s="118"/>
      <c r="HJ114" s="122"/>
      <c r="HK114" s="122"/>
      <c r="HL114" s="122"/>
      <c r="HP114" s="118"/>
      <c r="HQ114" s="118"/>
      <c r="HR114" s="118"/>
      <c r="IG114" s="122"/>
      <c r="IH114" s="122"/>
      <c r="II114" s="122"/>
      <c r="IM114" s="118"/>
      <c r="IN114" s="118"/>
      <c r="IO114" s="118"/>
      <c r="JD114" s="122"/>
      <c r="JE114" s="122"/>
      <c r="JF114" s="122"/>
      <c r="JJ114" s="118"/>
      <c r="JK114" s="118"/>
      <c r="JL114" s="118"/>
      <c r="KA114" s="122"/>
      <c r="KB114" s="122"/>
      <c r="KC114" s="122"/>
      <c r="KG114" s="118"/>
      <c r="KH114" s="118"/>
      <c r="KI114" s="118"/>
      <c r="KX114" s="122"/>
      <c r="KY114" s="122"/>
      <c r="KZ114" s="122"/>
      <c r="LD114" s="118"/>
      <c r="LE114" s="118"/>
      <c r="LF114" s="118"/>
      <c r="LU114" s="122"/>
      <c r="LV114" s="122"/>
      <c r="LW114" s="122"/>
      <c r="MA114" s="118"/>
      <c r="MB114" s="118"/>
      <c r="MC114" s="118"/>
      <c r="MR114" s="122"/>
      <c r="MS114" s="122"/>
      <c r="MT114" s="122"/>
      <c r="MX114" s="118"/>
      <c r="MY114" s="118"/>
      <c r="MZ114" s="118"/>
      <c r="NO114" s="122"/>
      <c r="NP114" s="122"/>
      <c r="NQ114" s="122"/>
      <c r="NU114" s="118"/>
      <c r="NV114" s="118"/>
      <c r="NW114" s="118"/>
      <c r="OH114" s="122"/>
      <c r="OI114" s="122"/>
      <c r="OJ114" s="122"/>
      <c r="OK114" s="122"/>
      <c r="OL114" s="122"/>
      <c r="OM114" s="122"/>
      <c r="ON114" s="122"/>
      <c r="OR114" s="118"/>
      <c r="OS114" s="118"/>
      <c r="OT114" s="118"/>
      <c r="PE114" s="122"/>
      <c r="PF114" s="122"/>
      <c r="PG114" s="122"/>
      <c r="PH114" s="122"/>
      <c r="PI114" s="122"/>
      <c r="PJ114" s="122"/>
      <c r="PL114" s="118"/>
      <c r="PM114" s="118"/>
      <c r="PN114" s="118"/>
      <c r="PO114" s="118"/>
      <c r="PP114" s="118"/>
      <c r="PQ114" s="118"/>
      <c r="QB114" s="122"/>
      <c r="QC114" s="122"/>
      <c r="QD114" s="122"/>
      <c r="QE114" s="122"/>
      <c r="QF114" s="122"/>
      <c r="QG114" s="122"/>
      <c r="QI114" s="118"/>
      <c r="QJ114" s="118"/>
      <c r="QK114" s="118"/>
      <c r="QL114" s="118"/>
      <c r="QM114" s="118"/>
      <c r="QN114" s="118"/>
      <c r="RE114" s="118"/>
      <c r="RF114" s="118"/>
      <c r="RG114" s="118"/>
      <c r="RH114" s="118"/>
      <c r="RI114" s="118"/>
      <c r="RJ114" s="118"/>
      <c r="RK114" s="118"/>
    </row>
    <row r="115" spans="1:479">
      <c r="A115" s="915" t="s">
        <v>439</v>
      </c>
      <c r="B115" s="916"/>
      <c r="C115" s="117" t="s">
        <v>440</v>
      </c>
      <c r="D115" s="122"/>
      <c r="E115" s="117"/>
      <c r="F115" s="117"/>
      <c r="G115" s="117"/>
      <c r="H115" s="117"/>
      <c r="U115" s="258"/>
      <c r="V115" s="118"/>
      <c r="W115" s="118"/>
      <c r="X115" s="118"/>
      <c r="Y115" s="316" t="s">
        <v>0</v>
      </c>
      <c r="Z115" s="318" t="s">
        <v>409</v>
      </c>
      <c r="AA115" s="318" t="s">
        <v>410</v>
      </c>
      <c r="AB115" s="318" t="s">
        <v>411</v>
      </c>
      <c r="AC115" s="318" t="s">
        <v>412</v>
      </c>
      <c r="AD115" s="318" t="s">
        <v>413</v>
      </c>
      <c r="AE115" s="318" t="s">
        <v>414</v>
      </c>
      <c r="AF115" s="318" t="s">
        <v>415</v>
      </c>
      <c r="AG115" s="318" t="s">
        <v>416</v>
      </c>
      <c r="AH115" s="318" t="s">
        <v>417</v>
      </c>
      <c r="AI115" s="318" t="s">
        <v>418</v>
      </c>
      <c r="AJ115" s="318" t="s">
        <v>419</v>
      </c>
      <c r="AK115" s="318" t="s">
        <v>420</v>
      </c>
      <c r="AL115" s="318" t="s">
        <v>421</v>
      </c>
      <c r="AM115" s="318" t="s">
        <v>422</v>
      </c>
      <c r="AN115" s="318" t="s">
        <v>423</v>
      </c>
      <c r="AO115" s="318" t="s">
        <v>355</v>
      </c>
      <c r="AP115" s="318" t="s">
        <v>399</v>
      </c>
      <c r="AQ115" s="318" t="s">
        <v>424</v>
      </c>
      <c r="AR115" s="813" t="s">
        <v>446</v>
      </c>
      <c r="AS115" s="813" t="s">
        <v>523</v>
      </c>
      <c r="AT115" s="813" t="s">
        <v>524</v>
      </c>
      <c r="AU115" s="813" t="s">
        <v>525</v>
      </c>
      <c r="AW115" s="327" t="s">
        <v>0</v>
      </c>
      <c r="AX115" s="327" t="s">
        <v>409</v>
      </c>
      <c r="AY115" s="327" t="s">
        <v>410</v>
      </c>
      <c r="AZ115" s="327" t="s">
        <v>411</v>
      </c>
      <c r="BA115" s="327" t="s">
        <v>412</v>
      </c>
      <c r="BB115" s="327" t="s">
        <v>413</v>
      </c>
      <c r="BC115" s="327" t="s">
        <v>414</v>
      </c>
      <c r="BD115" s="327" t="s">
        <v>415</v>
      </c>
      <c r="BE115" s="327" t="s">
        <v>416</v>
      </c>
      <c r="BF115" s="327" t="s">
        <v>417</v>
      </c>
      <c r="BG115" s="327" t="s">
        <v>418</v>
      </c>
      <c r="BH115" s="327" t="s">
        <v>419</v>
      </c>
      <c r="BI115" s="327" t="s">
        <v>420</v>
      </c>
      <c r="BJ115" s="327" t="s">
        <v>421</v>
      </c>
      <c r="BK115" s="327" t="s">
        <v>422</v>
      </c>
      <c r="BL115" s="327" t="s">
        <v>423</v>
      </c>
      <c r="BM115" s="327" t="s">
        <v>355</v>
      </c>
      <c r="BN115" s="327" t="s">
        <v>399</v>
      </c>
      <c r="BO115" s="339" t="s">
        <v>424</v>
      </c>
      <c r="BP115" s="814" t="s">
        <v>446</v>
      </c>
      <c r="BQ115" s="814" t="s">
        <v>523</v>
      </c>
      <c r="BR115" s="815" t="s">
        <v>524</v>
      </c>
      <c r="BS115" s="815" t="s">
        <v>525</v>
      </c>
      <c r="BU115" s="345" t="s">
        <v>0</v>
      </c>
      <c r="BV115" s="339" t="s">
        <v>409</v>
      </c>
      <c r="BW115" s="339" t="s">
        <v>410</v>
      </c>
      <c r="BX115" s="339" t="s">
        <v>411</v>
      </c>
      <c r="BY115" s="339" t="s">
        <v>412</v>
      </c>
      <c r="BZ115" s="339" t="s">
        <v>413</v>
      </c>
      <c r="CA115" s="339" t="s">
        <v>414</v>
      </c>
      <c r="CB115" s="339" t="s">
        <v>415</v>
      </c>
      <c r="CC115" s="339" t="s">
        <v>416</v>
      </c>
      <c r="CD115" s="339" t="s">
        <v>417</v>
      </c>
      <c r="CE115" s="339" t="s">
        <v>418</v>
      </c>
      <c r="CF115" s="339" t="s">
        <v>419</v>
      </c>
      <c r="CG115" s="339" t="s">
        <v>420</v>
      </c>
      <c r="CH115" s="339" t="s">
        <v>421</v>
      </c>
      <c r="CI115" s="339" t="s">
        <v>422</v>
      </c>
      <c r="CJ115" s="339" t="s">
        <v>423</v>
      </c>
      <c r="CK115" s="339" t="s">
        <v>355</v>
      </c>
      <c r="CL115" s="339" t="s">
        <v>399</v>
      </c>
      <c r="CM115" s="339" t="s">
        <v>424</v>
      </c>
      <c r="CN115" s="814" t="s">
        <v>446</v>
      </c>
      <c r="CO115" s="814" t="s">
        <v>523</v>
      </c>
      <c r="CP115" s="814" t="s">
        <v>524</v>
      </c>
      <c r="CQ115" s="815" t="s">
        <v>525</v>
      </c>
      <c r="CR115" s="116"/>
      <c r="CS115" s="345" t="s">
        <v>0</v>
      </c>
      <c r="CT115" s="339" t="s">
        <v>409</v>
      </c>
      <c r="CU115" s="339" t="s">
        <v>410</v>
      </c>
      <c r="CV115" s="339" t="s">
        <v>411</v>
      </c>
      <c r="CW115" s="339" t="s">
        <v>412</v>
      </c>
      <c r="CX115" s="339" t="s">
        <v>413</v>
      </c>
      <c r="CY115" s="339" t="s">
        <v>414</v>
      </c>
      <c r="CZ115" s="339" t="s">
        <v>415</v>
      </c>
      <c r="DA115" s="339" t="s">
        <v>416</v>
      </c>
      <c r="DB115" s="339" t="s">
        <v>417</v>
      </c>
      <c r="DC115" s="339" t="s">
        <v>418</v>
      </c>
      <c r="DD115" s="339" t="s">
        <v>419</v>
      </c>
      <c r="DE115" s="339" t="s">
        <v>420</v>
      </c>
      <c r="DF115" s="339" t="s">
        <v>421</v>
      </c>
      <c r="DG115" s="339" t="s">
        <v>422</v>
      </c>
      <c r="DH115" s="339" t="s">
        <v>423</v>
      </c>
      <c r="DI115" s="339" t="s">
        <v>355</v>
      </c>
      <c r="DJ115" s="339" t="s">
        <v>399</v>
      </c>
      <c r="DK115" s="339" t="s">
        <v>424</v>
      </c>
      <c r="DL115" s="814" t="s">
        <v>446</v>
      </c>
      <c r="DM115" s="814" t="s">
        <v>523</v>
      </c>
      <c r="DN115" s="814" t="s">
        <v>524</v>
      </c>
      <c r="DO115" s="815" t="s">
        <v>525</v>
      </c>
      <c r="DQ115" s="345" t="s">
        <v>0</v>
      </c>
      <c r="DR115" s="339" t="s">
        <v>409</v>
      </c>
      <c r="DS115" s="339" t="s">
        <v>410</v>
      </c>
      <c r="DT115" s="339" t="s">
        <v>411</v>
      </c>
      <c r="DU115" s="339" t="s">
        <v>412</v>
      </c>
      <c r="DV115" s="339" t="s">
        <v>413</v>
      </c>
      <c r="DW115" s="339" t="s">
        <v>414</v>
      </c>
      <c r="DX115" s="339" t="s">
        <v>415</v>
      </c>
      <c r="DY115" s="339" t="s">
        <v>416</v>
      </c>
      <c r="DZ115" s="339" t="s">
        <v>417</v>
      </c>
      <c r="EA115" s="339" t="s">
        <v>418</v>
      </c>
      <c r="EB115" s="339" t="s">
        <v>419</v>
      </c>
      <c r="EC115" s="339" t="s">
        <v>420</v>
      </c>
      <c r="ED115" s="339" t="s">
        <v>421</v>
      </c>
      <c r="EE115" s="339" t="s">
        <v>422</v>
      </c>
      <c r="EF115" s="339" t="s">
        <v>423</v>
      </c>
      <c r="EG115" s="339" t="s">
        <v>355</v>
      </c>
      <c r="EH115" s="339" t="s">
        <v>399</v>
      </c>
      <c r="EI115" s="339" t="s">
        <v>424</v>
      </c>
      <c r="EJ115" s="814" t="s">
        <v>446</v>
      </c>
      <c r="EK115" s="814" t="s">
        <v>523</v>
      </c>
      <c r="EL115" s="814" t="s">
        <v>524</v>
      </c>
      <c r="EM115" s="815" t="s">
        <v>525</v>
      </c>
      <c r="EO115" s="325" t="s">
        <v>0</v>
      </c>
      <c r="EP115" s="326" t="s">
        <v>409</v>
      </c>
      <c r="EQ115" s="326" t="s">
        <v>410</v>
      </c>
      <c r="ER115" s="326" t="s">
        <v>411</v>
      </c>
      <c r="ES115" s="326" t="s">
        <v>412</v>
      </c>
      <c r="ET115" s="326" t="s">
        <v>413</v>
      </c>
      <c r="EU115" s="326" t="s">
        <v>414</v>
      </c>
      <c r="EV115" s="326" t="s">
        <v>415</v>
      </c>
      <c r="EW115" s="326" t="s">
        <v>416</v>
      </c>
      <c r="EX115" s="326" t="s">
        <v>417</v>
      </c>
      <c r="EY115" s="326" t="s">
        <v>418</v>
      </c>
      <c r="EZ115" s="326" t="s">
        <v>419</v>
      </c>
      <c r="FA115" s="326" t="s">
        <v>420</v>
      </c>
      <c r="FB115" s="326" t="s">
        <v>421</v>
      </c>
      <c r="FC115" s="326" t="s">
        <v>422</v>
      </c>
      <c r="FD115" s="326" t="s">
        <v>423</v>
      </c>
      <c r="FE115" s="326" t="s">
        <v>355</v>
      </c>
      <c r="FF115" s="327" t="s">
        <v>399</v>
      </c>
      <c r="FG115" s="339" t="s">
        <v>424</v>
      </c>
      <c r="FH115" s="340" t="s">
        <v>446</v>
      </c>
      <c r="FI115" s="340" t="s">
        <v>523</v>
      </c>
      <c r="FJ115" s="340" t="s">
        <v>524</v>
      </c>
      <c r="FK115" s="336" t="s">
        <v>525</v>
      </c>
      <c r="FL115" s="116"/>
      <c r="FM115" s="345" t="s">
        <v>0</v>
      </c>
      <c r="FN115" s="339" t="s">
        <v>409</v>
      </c>
      <c r="FO115" s="339" t="s">
        <v>410</v>
      </c>
      <c r="FP115" s="339" t="s">
        <v>411</v>
      </c>
      <c r="FQ115" s="339" t="s">
        <v>412</v>
      </c>
      <c r="FR115" s="339" t="s">
        <v>413</v>
      </c>
      <c r="FS115" s="339" t="s">
        <v>414</v>
      </c>
      <c r="FT115" s="339" t="s">
        <v>415</v>
      </c>
      <c r="FU115" s="339" t="s">
        <v>416</v>
      </c>
      <c r="FV115" s="339" t="s">
        <v>417</v>
      </c>
      <c r="FW115" s="339" t="s">
        <v>418</v>
      </c>
      <c r="FX115" s="339" t="s">
        <v>419</v>
      </c>
      <c r="FY115" s="339" t="s">
        <v>420</v>
      </c>
      <c r="FZ115" s="339" t="s">
        <v>421</v>
      </c>
      <c r="GA115" s="339" t="s">
        <v>422</v>
      </c>
      <c r="GB115" s="339" t="s">
        <v>423</v>
      </c>
      <c r="GC115" s="339" t="s">
        <v>355</v>
      </c>
      <c r="GD115" s="339" t="s">
        <v>399</v>
      </c>
      <c r="GE115" s="339" t="s">
        <v>424</v>
      </c>
      <c r="GF115" s="814" t="s">
        <v>446</v>
      </c>
      <c r="GG115" s="814" t="s">
        <v>523</v>
      </c>
      <c r="GH115" s="814" t="s">
        <v>524</v>
      </c>
      <c r="GI115" s="815" t="s">
        <v>525</v>
      </c>
      <c r="GK115" s="345" t="s">
        <v>0</v>
      </c>
      <c r="GL115" s="339" t="s">
        <v>409</v>
      </c>
      <c r="GM115" s="339" t="s">
        <v>410</v>
      </c>
      <c r="GN115" s="339" t="s">
        <v>411</v>
      </c>
      <c r="GO115" s="339" t="s">
        <v>412</v>
      </c>
      <c r="GP115" s="339" t="s">
        <v>413</v>
      </c>
      <c r="GQ115" s="339" t="s">
        <v>414</v>
      </c>
      <c r="GR115" s="339" t="s">
        <v>415</v>
      </c>
      <c r="GS115" s="339" t="s">
        <v>416</v>
      </c>
      <c r="GT115" s="339" t="s">
        <v>417</v>
      </c>
      <c r="GU115" s="339" t="s">
        <v>418</v>
      </c>
      <c r="GV115" s="339" t="s">
        <v>419</v>
      </c>
      <c r="GW115" s="339" t="s">
        <v>420</v>
      </c>
      <c r="GX115" s="339" t="s">
        <v>421</v>
      </c>
      <c r="GY115" s="339" t="s">
        <v>422</v>
      </c>
      <c r="GZ115" s="339" t="s">
        <v>423</v>
      </c>
      <c r="HA115" s="339" t="s">
        <v>355</v>
      </c>
      <c r="HB115" s="339" t="s">
        <v>399</v>
      </c>
      <c r="HC115" s="339" t="s">
        <v>424</v>
      </c>
      <c r="HD115" s="814" t="s">
        <v>446</v>
      </c>
      <c r="HE115" s="814" t="s">
        <v>523</v>
      </c>
      <c r="HF115" s="814" t="s">
        <v>524</v>
      </c>
      <c r="HG115" s="815" t="s">
        <v>525</v>
      </c>
      <c r="HJ115" s="122"/>
      <c r="HK115" s="122"/>
      <c r="HL115" s="122"/>
      <c r="HP115" s="118"/>
      <c r="HQ115" s="118"/>
      <c r="HR115" s="118"/>
      <c r="IG115" s="122"/>
      <c r="IH115" s="122"/>
      <c r="II115" s="122"/>
      <c r="IM115" s="118"/>
      <c r="IN115" s="118"/>
      <c r="IO115" s="118"/>
      <c r="JD115" s="122"/>
      <c r="JE115" s="122"/>
      <c r="JF115" s="122"/>
      <c r="JJ115" s="118"/>
      <c r="JK115" s="118"/>
      <c r="JL115" s="118"/>
      <c r="KA115" s="122"/>
      <c r="KB115" s="122"/>
      <c r="KC115" s="122"/>
      <c r="KG115" s="118"/>
      <c r="KH115" s="118"/>
      <c r="KI115" s="118"/>
      <c r="KX115" s="122"/>
      <c r="KY115" s="122"/>
      <c r="KZ115" s="122"/>
      <c r="LD115" s="118"/>
      <c r="LE115" s="118"/>
      <c r="LF115" s="118"/>
      <c r="LU115" s="122"/>
      <c r="LV115" s="122"/>
      <c r="LW115" s="122"/>
      <c r="MA115" s="118"/>
      <c r="MB115" s="118"/>
      <c r="MC115" s="118"/>
      <c r="MR115" s="122"/>
      <c r="MS115" s="122"/>
      <c r="MT115" s="122"/>
      <c r="MX115" s="118"/>
      <c r="MY115" s="118"/>
      <c r="MZ115" s="118"/>
      <c r="NO115" s="122"/>
      <c r="NP115" s="122"/>
      <c r="NQ115" s="122"/>
      <c r="NU115" s="118"/>
      <c r="NV115" s="118"/>
      <c r="NW115" s="118"/>
      <c r="OH115" s="122"/>
      <c r="OI115" s="122"/>
      <c r="OJ115" s="122"/>
      <c r="OK115" s="122"/>
      <c r="OL115" s="122"/>
      <c r="OM115" s="122"/>
      <c r="ON115" s="122"/>
      <c r="OR115" s="118"/>
      <c r="OS115" s="118"/>
      <c r="OT115" s="118"/>
      <c r="PE115" s="122"/>
      <c r="PF115" s="122"/>
      <c r="PG115" s="122"/>
      <c r="PH115" s="122"/>
      <c r="PI115" s="122"/>
      <c r="PJ115" s="122"/>
      <c r="PL115" s="118"/>
      <c r="PM115" s="118"/>
      <c r="PN115" s="118"/>
      <c r="PO115" s="118"/>
      <c r="PP115" s="118"/>
      <c r="PQ115" s="118"/>
      <c r="QB115" s="122"/>
      <c r="QC115" s="122"/>
      <c r="QD115" s="122"/>
      <c r="QE115" s="122"/>
      <c r="QF115" s="122"/>
      <c r="QG115" s="122"/>
      <c r="QI115" s="118"/>
      <c r="QJ115" s="118"/>
      <c r="QK115" s="118"/>
      <c r="QL115" s="118"/>
      <c r="QM115" s="118"/>
      <c r="QN115" s="118"/>
      <c r="RE115" s="118"/>
      <c r="RF115" s="118"/>
      <c r="RG115" s="118"/>
      <c r="RH115" s="118"/>
      <c r="RI115" s="118"/>
      <c r="RJ115" s="118"/>
      <c r="RK115" s="118"/>
    </row>
    <row r="116" spans="1:479">
      <c r="A116" s="116" t="s">
        <v>134</v>
      </c>
      <c r="B116" s="117"/>
      <c r="C116" s="918" t="s">
        <v>553</v>
      </c>
      <c r="D116" s="122"/>
      <c r="E116" s="117"/>
      <c r="F116" s="117"/>
      <c r="G116" s="117"/>
      <c r="H116" s="117"/>
      <c r="U116" s="258"/>
      <c r="V116" s="118"/>
      <c r="W116" s="118"/>
      <c r="X116" s="118"/>
      <c r="Y116" s="277" t="s">
        <v>1</v>
      </c>
      <c r="Z116" s="319">
        <f t="shared" ref="Z116:Z147" si="0">Z18+AX18+BV18+CT18+EP18+FN18+GL18</f>
        <v>499269.28</v>
      </c>
      <c r="AA116" s="319">
        <f t="shared" ref="AA116:AA147" si="1">AA18+AY18+BW18+CU18+EQ18+FO18+GM18</f>
        <v>443537</v>
      </c>
      <c r="AB116" s="319">
        <f t="shared" ref="AB116:AB147" si="2">AB18+AZ18+BX18+CV18+ER18+FP18+GN18</f>
        <v>529472.70000000007</v>
      </c>
      <c r="AC116" s="319">
        <f t="shared" ref="AC116:AC147" si="3">AC18+BA18+BY18+CW18+ES18+FQ18+GO18</f>
        <v>536491.76</v>
      </c>
      <c r="AD116" s="319">
        <f t="shared" ref="AD116:AD147" si="4">AD18+BB18+BZ18+CX18+ET18+FR18+GP18</f>
        <v>580567.35</v>
      </c>
      <c r="AE116" s="319">
        <f t="shared" ref="AE116:AE147" si="5">AE18+BC18+CA18+CY18+EU18+FS18+GQ18</f>
        <v>523729.5</v>
      </c>
      <c r="AF116" s="319">
        <f t="shared" ref="AF116:AF147" si="6">AF18+BD18+CB18+CZ18+EV18+FT18+GR18</f>
        <v>602034.88</v>
      </c>
      <c r="AG116" s="319">
        <f t="shared" ref="AG116:AG147" si="7">AG18+BE18+CC18+DA18+EW18+FU18+GS18</f>
        <v>701059.52</v>
      </c>
      <c r="AH116" s="319">
        <f t="shared" ref="AH116:AH147" si="8">AH18+BF18+CD18+DB18+EX18+FV18+GT18</f>
        <v>627569.48</v>
      </c>
      <c r="AI116" s="319">
        <f t="shared" ref="AI116:AI147" si="9">AI18+BG18+CE18+DC18+EY18+FW18+GU18</f>
        <v>532271.22</v>
      </c>
      <c r="AJ116" s="319">
        <f t="shared" ref="AJ116:AJ147" si="10">AJ18+BH18+CF18+DD18+EZ18+FX18+GV18</f>
        <v>630498.35</v>
      </c>
      <c r="AK116" s="319">
        <f t="shared" ref="AK116:AK147" si="11">AK18+BI18+CG18+DE18+FA18+FY18+GW18</f>
        <v>584529.38</v>
      </c>
      <c r="AL116" s="319">
        <f t="shared" ref="AL116:AL147" si="12">AL18+BJ18+CH18+DF18+FB18+FZ18+GX18</f>
        <v>696650.74000000011</v>
      </c>
      <c r="AM116" s="319">
        <f t="shared" ref="AM116:AM147" si="13">AM18+BK18+CI18+DG18+FC18+GA18+GY18</f>
        <v>626065.61</v>
      </c>
      <c r="AN116" s="319">
        <f t="shared" ref="AN116:AN147" si="14">AN18+BL18+CJ18+DH18+FD18+GB18+GZ18</f>
        <v>718365.01</v>
      </c>
      <c r="AO116" s="319">
        <f t="shared" ref="AO116:AO147" si="15">AO18+BM18+CK18+DI18+FE18+GC18+HA18</f>
        <v>672178.41999999993</v>
      </c>
      <c r="AP116" s="319">
        <f t="shared" ref="AP116:AP147" si="16">AP18+BN18+CL18+DJ18+FF18+GD18+HB18</f>
        <v>877363.63</v>
      </c>
      <c r="AQ116" s="319">
        <f t="shared" ref="AQ116:AQ147" si="17">AQ18+BO18+CM18+DK18+FG18+GE18+HC18</f>
        <v>794891.17000000016</v>
      </c>
      <c r="AR116" s="319">
        <f t="shared" ref="AR116:AR147" si="18">AR18+BP18+CN18+DL18+FH18+GF18+HD18</f>
        <v>986398.7</v>
      </c>
      <c r="AS116" s="319">
        <f t="shared" ref="AS116:AS147" si="19">AS18+BQ18+CO18+DM18+FI18+GG18+HE18</f>
        <v>1005599.07</v>
      </c>
      <c r="AT116" s="319">
        <f t="shared" ref="AT116:AT147" si="20">AT18+BR18+CP18+DN18+FJ18+GH18+HF18</f>
        <v>884067.71</v>
      </c>
      <c r="AU116" s="319">
        <f t="shared" ref="AU116:AU147" si="21">AU18+BS18+CQ18+DO18+FK18+GI18+HG18</f>
        <v>904508.04</v>
      </c>
      <c r="AW116" s="322" t="s">
        <v>1</v>
      </c>
      <c r="AX116" s="322">
        <f t="shared" ref="AX116:AX147" si="22">HJ18+IH18+JF18+OT18</f>
        <v>390732.48000000004</v>
      </c>
      <c r="AY116" s="322">
        <f t="shared" ref="AY116:AY147" si="23">HK18+II18+JG18+OU18</f>
        <v>443537</v>
      </c>
      <c r="AZ116" s="322">
        <f t="shared" ref="AZ116:AZ147" si="24">HL18+IJ18+JH18+OV18</f>
        <v>370630.89</v>
      </c>
      <c r="BA116" s="322">
        <f t="shared" ref="BA116:BA147" si="25">HM18+IK18+JI18+OW18</f>
        <v>344887.56</v>
      </c>
      <c r="BB116" s="322">
        <f t="shared" ref="BB116:BB147" si="26">HN18+IL18+JJ18+OX18</f>
        <v>281487.2</v>
      </c>
      <c r="BC116" s="322">
        <f t="shared" ref="BC116:BC147" si="27">HO18+IM18+JK18+OY18</f>
        <v>226949.45</v>
      </c>
      <c r="BD116" s="322">
        <f t="shared" ref="BD116:BD147" si="28">HP18+IN18+JL18+OZ18</f>
        <v>285970.34999999998</v>
      </c>
      <c r="BE116" s="322">
        <f t="shared" ref="BE116:BE147" si="29">HQ18+IO18+JM18+PA18</f>
        <v>75113.52</v>
      </c>
      <c r="BF116" s="322">
        <f t="shared" ref="BF116:BF147" si="30">HR18+IP18+JN18+PB18</f>
        <v>83872.41</v>
      </c>
      <c r="BG116" s="322">
        <f t="shared" ref="BG116:BG147" si="31">HS18+IQ18+JO18+PC18</f>
        <v>79975.37</v>
      </c>
      <c r="BH116" s="322">
        <f t="shared" ref="BH116:BH147" si="32">HT18+IR18+JP18+PD18</f>
        <v>73576.069999999992</v>
      </c>
      <c r="BI116" s="322">
        <f t="shared" ref="BI116:BI147" si="33">HU18+IS18+JQ18+PE18</f>
        <v>63498.729999999996</v>
      </c>
      <c r="BJ116" s="322">
        <f t="shared" ref="BJ116:BJ147" si="34">HV18+IT18+JR18+PF18</f>
        <v>106840.65</v>
      </c>
      <c r="BK116" s="322">
        <f t="shared" ref="BK116:BK147" si="35">HW18+IU18+JS18+PG18</f>
        <v>94073.52</v>
      </c>
      <c r="BL116" s="322">
        <f t="shared" ref="BL116:BL147" si="36">HX18+IV18+JT18+PH18</f>
        <v>153153.9</v>
      </c>
      <c r="BM116" s="322">
        <f t="shared" ref="BM116:BM147" si="37">HY18+IW18+JU18+PI18</f>
        <v>97606.400000000009</v>
      </c>
      <c r="BN116" s="322">
        <f t="shared" ref="BN116:BN147" si="38">HZ18+IX18+JV18+PJ18</f>
        <v>106253.83</v>
      </c>
      <c r="BO116" s="322">
        <f t="shared" ref="BO116:BO147" si="39">IA18+IY18+JW18+PK18</f>
        <v>148467.82999999999</v>
      </c>
      <c r="BP116" s="322">
        <f t="shared" ref="BP116:BP147" si="40">IB18+IZ18+JX18+PL18</f>
        <v>39121.949999999997</v>
      </c>
      <c r="BQ116" s="322">
        <f t="shared" ref="BQ116:BQ147" si="41">IC18+JA18+JY18+PM18</f>
        <v>401678.84999999992</v>
      </c>
      <c r="BR116" s="322">
        <f t="shared" ref="BR116:BR147" si="42">ID18+JB18+JZ18+PN18</f>
        <v>214402.21</v>
      </c>
      <c r="BS116" s="322">
        <f t="shared" ref="BS116:BS147" si="43">IE18+JC18+KA18+PO18</f>
        <v>339362.83999999997</v>
      </c>
      <c r="BU116" s="343" t="s">
        <v>1</v>
      </c>
      <c r="BV116" s="343">
        <f t="shared" ref="BV116:BV147" si="44">KD18+PR18</f>
        <v>21707.360000000001</v>
      </c>
      <c r="BW116" s="343">
        <f t="shared" ref="BW116:BW147" si="45">KE18+PS18</f>
        <v>44353.7</v>
      </c>
      <c r="BX116" s="343">
        <f t="shared" ref="BX116:BX147" si="46">KF18+PT18</f>
        <v>70596.36</v>
      </c>
      <c r="BY116" s="343">
        <f t="shared" ref="BY116:BY147" si="47">KG18+PU18</f>
        <v>57481.259999999995</v>
      </c>
      <c r="BZ116" s="343">
        <f t="shared" ref="BZ116:BZ147" si="48">KH18+PV18</f>
        <v>87964.75</v>
      </c>
      <c r="CA116" s="343">
        <f t="shared" ref="CA116:CA147" si="49">KI18+PW18</f>
        <v>69830.600000000006</v>
      </c>
      <c r="CB116" s="343">
        <f t="shared" ref="CB116:CB147" si="50">KJ18+PX18</f>
        <v>76258.759999999995</v>
      </c>
      <c r="CC116" s="343">
        <f t="shared" ref="CC116:CC147" si="51">KK18+PY18</f>
        <v>75113.52</v>
      </c>
      <c r="CD116" s="343">
        <f t="shared" ref="CD116:CD147" si="52">KL18+PZ18</f>
        <v>78511.459999999992</v>
      </c>
      <c r="CE116" s="343">
        <f t="shared" ref="CE116:CE147" si="53">KM18+QA18</f>
        <v>84885.040000000008</v>
      </c>
      <c r="CF116" s="343">
        <f t="shared" ref="CF116:CF147" si="54">KN18+QB18</f>
        <v>90921.670000000013</v>
      </c>
      <c r="CG116" s="343">
        <f t="shared" ref="CG116:CG147" si="55">KO18+QC18</f>
        <v>89481.09</v>
      </c>
      <c r="CH116" s="343">
        <f t="shared" ref="CH116:CH147" si="56">KP18+QD18</f>
        <v>102529.52</v>
      </c>
      <c r="CI116" s="343">
        <f t="shared" ref="CI116:CI147" si="57">KQ18+QE18</f>
        <v>90125.61</v>
      </c>
      <c r="CJ116" s="343">
        <f t="shared" ref="CJ116:CJ147" si="58">KR18+QF18</f>
        <v>112901.23000000001</v>
      </c>
      <c r="CK116" s="343">
        <f t="shared" ref="CK116:CK147" si="59">KS18+QG18</f>
        <v>118660.09999999999</v>
      </c>
      <c r="CL116" s="343">
        <f t="shared" ref="CL116:CL147" si="60">KT18+QH18</f>
        <v>122147.80000000002</v>
      </c>
      <c r="CM116" s="343">
        <f t="shared" ref="CM116:CM147" si="61">KU18+QI18</f>
        <v>129443.44</v>
      </c>
      <c r="CN116" s="343">
        <f t="shared" ref="CN116:CN147" si="62">KV18+QJ18</f>
        <v>143636.11000000002</v>
      </c>
      <c r="CO116" s="343">
        <f t="shared" ref="CO116:CO147" si="63">KW18+QK18</f>
        <v>150587.31</v>
      </c>
      <c r="CP116" s="343">
        <f t="shared" ref="CP116:CP147" si="64">KX18+QL18</f>
        <v>174829.24</v>
      </c>
      <c r="CQ116" s="343">
        <f t="shared" ref="CQ116:CQ147" si="65">KY18+QM18</f>
        <v>168441.91999999998</v>
      </c>
      <c r="CR116" s="122"/>
      <c r="CS116" s="343" t="s">
        <v>1</v>
      </c>
      <c r="CT116" s="343">
        <f t="shared" ref="CT116:CT147" si="66">QP18+LB18</f>
        <v>260488.32000000001</v>
      </c>
      <c r="CU116" s="343">
        <f t="shared" ref="CU116:CU147" si="67">QQ18+LC18</f>
        <v>310475.90000000002</v>
      </c>
      <c r="CV116" s="343">
        <f t="shared" ref="CV116:CV147" si="68">QR18+LD18</f>
        <v>282385.44</v>
      </c>
      <c r="CW116" s="343">
        <f t="shared" ref="CW116:CW147" si="69">QS18+LE18</f>
        <v>402368.82</v>
      </c>
      <c r="CX116" s="343">
        <f t="shared" ref="CX116:CX147" si="70">QT18+LF18</f>
        <v>281487.2</v>
      </c>
      <c r="CY116" s="343">
        <f t="shared" ref="CY116:CY147" si="71">QU18+LG18</f>
        <v>453898.9</v>
      </c>
      <c r="CZ116" s="343">
        <f t="shared" ref="CZ116:CZ147" si="72">QV18+LH18</f>
        <v>228776.28</v>
      </c>
      <c r="DA116" s="343">
        <f t="shared" ref="DA116:DA147" si="73">QW18+LI18</f>
        <v>901362.24</v>
      </c>
      <c r="DB116" s="343">
        <f t="shared" ref="DB116:DB147" si="74">QX18+LJ18</f>
        <v>305637.69999999995</v>
      </c>
      <c r="DC116" s="343">
        <f t="shared" ref="DC116:DC147" si="75">QY18+LK18</f>
        <v>259800.54000000004</v>
      </c>
      <c r="DD116" s="343">
        <f t="shared" ref="DD116:DD147" si="76">QZ18+LL18</f>
        <v>320738.44999999995</v>
      </c>
      <c r="DE116" s="343">
        <f t="shared" ref="DE116:DE147" si="77">RA18+LM18</f>
        <v>277536.04000000004</v>
      </c>
      <c r="DF116" s="343">
        <f t="shared" ref="DF116:DF147" si="78">RB18+LN18</f>
        <v>560572.55999999994</v>
      </c>
      <c r="DG116" s="343">
        <f t="shared" ref="DG116:DG147" si="79">RC18+LO18</f>
        <v>572060.96000000008</v>
      </c>
      <c r="DH116" s="343">
        <f t="shared" ref="DH116:DH147" si="80">RD18+LP18</f>
        <v>744002.12000000011</v>
      </c>
      <c r="DI116" s="343">
        <f t="shared" ref="DI116:DI147" si="81">RE18+LQ18</f>
        <v>532917.27</v>
      </c>
      <c r="DJ116" s="343">
        <f t="shared" ref="DJ116:DJ147" si="82">RF18+LR18</f>
        <v>617558.22000000009</v>
      </c>
      <c r="DK116" s="343">
        <f t="shared" ref="DK116:DK147" si="83">RG18+LS18</f>
        <v>542768.24</v>
      </c>
      <c r="DL116" s="343">
        <f t="shared" ref="DL116:DL147" si="84">RH18+LT18</f>
        <v>427663.46</v>
      </c>
      <c r="DM116" s="343">
        <f t="shared" ref="DM116:DM147" si="85">RI18+LU18</f>
        <v>395173.78</v>
      </c>
      <c r="DN116" s="343">
        <f t="shared" ref="DN116:DN147" si="86">RJ18+LV18</f>
        <v>352811.72</v>
      </c>
      <c r="DO116" s="343">
        <f t="shared" ref="DO116:DO147" si="87">RK18+LW18</f>
        <v>443006.1</v>
      </c>
      <c r="DQ116" s="343" t="s">
        <v>1</v>
      </c>
      <c r="DR116" s="343">
        <f t="shared" ref="DR116:EM116" si="88">DR18</f>
        <v>238780.96</v>
      </c>
      <c r="DS116" s="343">
        <f t="shared" si="88"/>
        <v>266122.2</v>
      </c>
      <c r="DT116" s="343">
        <f t="shared" si="88"/>
        <v>176490.9</v>
      </c>
      <c r="DU116" s="343">
        <f t="shared" si="88"/>
        <v>229925.04</v>
      </c>
      <c r="DV116" s="343">
        <f t="shared" si="88"/>
        <v>263894.25</v>
      </c>
      <c r="DW116" s="343">
        <f t="shared" si="88"/>
        <v>192034.15</v>
      </c>
      <c r="DX116" s="343">
        <f t="shared" si="88"/>
        <v>133452.82999999999</v>
      </c>
      <c r="DY116" s="343">
        <f t="shared" si="88"/>
        <v>150227.04</v>
      </c>
      <c r="DZ116" s="343">
        <f t="shared" si="88"/>
        <v>222180.56</v>
      </c>
      <c r="EA116" s="343">
        <f t="shared" si="88"/>
        <v>243292.00999999998</v>
      </c>
      <c r="EB116" s="343">
        <f t="shared" si="88"/>
        <v>244287.68</v>
      </c>
      <c r="EC116" s="343">
        <f t="shared" si="88"/>
        <v>249534.93000000002</v>
      </c>
      <c r="ED116" s="343">
        <f t="shared" si="88"/>
        <v>274933.40000000002</v>
      </c>
      <c r="EE116" s="343">
        <f t="shared" si="88"/>
        <v>283245.64999999997</v>
      </c>
      <c r="EF116" s="343">
        <f t="shared" si="88"/>
        <v>357041.81</v>
      </c>
      <c r="EG116" s="343">
        <f t="shared" si="88"/>
        <v>359697.54000000004</v>
      </c>
      <c r="EH116" s="343">
        <f t="shared" si="88"/>
        <v>405579.9</v>
      </c>
      <c r="EI116" s="343">
        <f t="shared" si="88"/>
        <v>397611</v>
      </c>
      <c r="EJ116" s="343">
        <f t="shared" si="88"/>
        <v>401241.33</v>
      </c>
      <c r="EK116" s="343">
        <f t="shared" si="88"/>
        <v>393666.12</v>
      </c>
      <c r="EL116" s="343">
        <f t="shared" si="88"/>
        <v>365114.93000000011</v>
      </c>
      <c r="EM116" s="343">
        <f t="shared" si="88"/>
        <v>525799</v>
      </c>
      <c r="EO116" s="319" t="s">
        <v>1</v>
      </c>
      <c r="EP116" s="319">
        <f t="shared" ref="EP116:EP147" si="89">LZ18+MX18</f>
        <v>520976.64000000001</v>
      </c>
      <c r="EQ116" s="319">
        <f t="shared" ref="EQ116:EQ147" si="90">MA18+MY18</f>
        <v>554421.25</v>
      </c>
      <c r="ER116" s="319">
        <f t="shared" ref="ER116:ER147" si="91">MB18+MZ18</f>
        <v>105894.54</v>
      </c>
      <c r="ES116" s="319">
        <f t="shared" ref="ES116:ES147" si="92">MC18+NA18</f>
        <v>134122.94</v>
      </c>
      <c r="ET116" s="319">
        <f t="shared" ref="ET116:ET147" si="93">MD18+NB18</f>
        <v>87964.75</v>
      </c>
      <c r="EU116" s="319">
        <f t="shared" ref="EU116:EU147" si="94">ME18+NC18</f>
        <v>34915.300000000003</v>
      </c>
      <c r="EV116" s="319">
        <f t="shared" ref="EV116:EV147" si="95">MF18+ND18</f>
        <v>0</v>
      </c>
      <c r="EW116" s="319">
        <f t="shared" ref="EW116:EW147" si="96">MG18+NE18</f>
        <v>0</v>
      </c>
      <c r="EX116" s="319">
        <f t="shared" ref="EX116:EX147" si="97">MH18+NF18</f>
        <v>0</v>
      </c>
      <c r="EY116" s="319">
        <f t="shared" ref="EY116:EY147" si="98">MI18+NG18</f>
        <v>0</v>
      </c>
      <c r="EZ116" s="319">
        <f t="shared" ref="EZ116:EZ147" si="99">MJ18+NH18</f>
        <v>0</v>
      </c>
      <c r="FA116" s="319">
        <f t="shared" ref="FA116:FA147" si="100">MK18+NI18</f>
        <v>0</v>
      </c>
      <c r="FB116" s="319">
        <f t="shared" ref="FB116:FB147" si="101">ML18+NJ18</f>
        <v>0</v>
      </c>
      <c r="FC116" s="319">
        <f t="shared" ref="FC116:FC147" si="102">MM18+NK18</f>
        <v>0</v>
      </c>
      <c r="FD116" s="319">
        <f t="shared" ref="FD116:FD147" si="103">MN18+NL18</f>
        <v>0</v>
      </c>
      <c r="FE116" s="319">
        <f t="shared" ref="FE116:FE147" si="104">MO18+NM18</f>
        <v>0</v>
      </c>
      <c r="FF116" s="322">
        <f t="shared" ref="FF116:FF147" si="105">MP18+NN18</f>
        <v>0</v>
      </c>
      <c r="FG116" s="322">
        <f t="shared" ref="FG116:FG147" si="106">MQ18+NO18</f>
        <v>0</v>
      </c>
      <c r="FH116" s="322">
        <f t="shared" ref="FH116:FH147" si="107">MR18+NP18</f>
        <v>0</v>
      </c>
      <c r="FI116" s="322">
        <f t="shared" ref="FI116:FI147" si="108">MS18+NQ18</f>
        <v>0</v>
      </c>
      <c r="FJ116" s="322">
        <f t="shared" ref="FJ116:FJ147" si="109">MT18+NR18</f>
        <v>0</v>
      </c>
      <c r="FK116" s="322">
        <f t="shared" ref="FK116:FK147" si="110">MU18+NS18</f>
        <v>0</v>
      </c>
      <c r="FL116" s="122"/>
      <c r="FM116" s="343" t="s">
        <v>1</v>
      </c>
      <c r="FN116" s="343">
        <f t="shared" ref="FN116:FN147" si="111">NV18</f>
        <v>151951.51999999999</v>
      </c>
      <c r="FO116" s="343">
        <f t="shared" ref="FO116:FO147" si="112">NW18</f>
        <v>155237.95000000001</v>
      </c>
      <c r="FP116" s="343">
        <f t="shared" ref="FP116:FP147" si="113">NX18</f>
        <v>141192.72</v>
      </c>
      <c r="FQ116" s="343">
        <f t="shared" ref="FQ116:FQ147" si="114">NY18</f>
        <v>172443.78</v>
      </c>
      <c r="FR116" s="343">
        <f t="shared" ref="FR116:FR147" si="115">NZ18</f>
        <v>175929.5</v>
      </c>
      <c r="FS116" s="343">
        <f t="shared" ref="FS116:FS147" si="116">OA18</f>
        <v>174576.5</v>
      </c>
      <c r="FT116" s="343">
        <f t="shared" ref="FT116:FT147" si="117">OB18</f>
        <v>171582.21</v>
      </c>
      <c r="FU116" s="343">
        <f t="shared" ref="FU116:FU147" si="118">OC18</f>
        <v>200302.72</v>
      </c>
      <c r="FV116" s="343">
        <f t="shared" ref="FV116:FV147" si="119">OD18</f>
        <v>208224.53999999998</v>
      </c>
      <c r="FW116" s="343">
        <f t="shared" ref="FW116:FW147" si="120">OE18</f>
        <v>218643.87000000002</v>
      </c>
      <c r="FX116" s="343">
        <f t="shared" ref="FX116:FX147" si="121">OF18</f>
        <v>217860.31</v>
      </c>
      <c r="FY116" s="343">
        <f t="shared" ref="FY116:FY147" si="122">OG18</f>
        <v>222369.58000000002</v>
      </c>
      <c r="FZ116" s="343">
        <f t="shared" ref="FZ116:FZ147" si="123">OH18</f>
        <v>235089.53000000003</v>
      </c>
      <c r="GA116" s="343">
        <f t="shared" ref="GA116:GA147" si="124">OI18</f>
        <v>230986.61999999997</v>
      </c>
      <c r="GB116" s="343">
        <f t="shared" ref="GB116:GB147" si="125">OJ18</f>
        <v>226141.84</v>
      </c>
      <c r="GC116" s="343">
        <f t="shared" ref="GC116:GC147" si="126">OK18</f>
        <v>235702.90999999997</v>
      </c>
      <c r="GD116" s="343">
        <f t="shared" ref="GD116:GD147" si="127">OL18</f>
        <v>247589.16999999998</v>
      </c>
      <c r="GE116" s="343">
        <f t="shared" ref="GE116:GE147" si="128">OM18</f>
        <v>278611.17</v>
      </c>
      <c r="GF116" s="343">
        <f t="shared" ref="GF116:GF147" si="129">ON18</f>
        <v>281672.8</v>
      </c>
      <c r="GG116" s="343">
        <f t="shared" ref="GG116:GG147" si="130">OO18</f>
        <v>303686.68</v>
      </c>
      <c r="GH116" s="343">
        <f t="shared" ref="GH116:GH147" si="131">OP18</f>
        <v>311647.76</v>
      </c>
      <c r="GI116" s="343">
        <f t="shared" ref="GI116:GI147" si="132">OQ18</f>
        <v>341056</v>
      </c>
      <c r="GK116" s="343" t="s">
        <v>1</v>
      </c>
      <c r="GL116" s="343">
        <f t="shared" ref="GL116:GL147" si="133">RN18</f>
        <v>86829.440000000002</v>
      </c>
      <c r="GM116" s="343">
        <f t="shared" ref="GM116:GM147" si="134">RO18</f>
        <v>0</v>
      </c>
      <c r="GN116" s="343">
        <f t="shared" ref="GN116:GN147" si="135">RP18</f>
        <v>88245.45</v>
      </c>
      <c r="GO116" s="343">
        <f t="shared" ref="GO116:GO147" si="136">RQ18</f>
        <v>38320.839999999997</v>
      </c>
      <c r="GP116" s="343">
        <f t="shared" ref="GP116:GP147" si="137">RR18</f>
        <v>0</v>
      </c>
      <c r="GQ116" s="343">
        <f t="shared" ref="GQ116:GQ147" si="138">RS18</f>
        <v>69830.600000000006</v>
      </c>
      <c r="GR116" s="343">
        <f t="shared" ref="GR116:GR147" si="139">RT18</f>
        <v>400358.49</v>
      </c>
      <c r="GS116" s="343">
        <f t="shared" ref="GS116:GS147" si="140">RU18</f>
        <v>400605.44</v>
      </c>
      <c r="GT116" s="343">
        <f t="shared" ref="GT116:GT147" si="141">RV18</f>
        <v>595392.38</v>
      </c>
      <c r="GU116" s="343">
        <f t="shared" ref="GU116:GU147" si="142">RW18</f>
        <v>418220</v>
      </c>
      <c r="GV116" s="343">
        <f t="shared" ref="GV116:GV147" si="143">RX18</f>
        <v>189602.94</v>
      </c>
      <c r="GW116" s="343">
        <f t="shared" ref="GW116:GW147" si="144">RY18</f>
        <v>163963</v>
      </c>
      <c r="GX116" s="343">
        <f t="shared" ref="GX116:GX147" si="145">RZ18</f>
        <v>338335.93</v>
      </c>
      <c r="GY116" s="343">
        <f t="shared" ref="GY116:GY147" si="146">SA18</f>
        <v>170384</v>
      </c>
      <c r="GZ116" s="343">
        <f t="shared" ref="GZ116:GZ147" si="147">SB18</f>
        <v>111263</v>
      </c>
      <c r="HA116" s="343">
        <f t="shared" ref="HA116:HA147" si="148">SC18</f>
        <v>183200</v>
      </c>
      <c r="HB116" s="343">
        <f t="shared" ref="HB116:HB147" si="149">SD18</f>
        <v>183600</v>
      </c>
      <c r="HC116" s="343">
        <f t="shared" ref="HC116:HC147" si="150">SE18</f>
        <v>218700</v>
      </c>
      <c r="HD116" s="343">
        <f t="shared" ref="HD116:HD147" si="151">SF18</f>
        <v>226790</v>
      </c>
      <c r="HE116" s="343">
        <f t="shared" ref="HE116:HE147" si="152">SG18</f>
        <v>93500</v>
      </c>
      <c r="HF116" s="343">
        <f t="shared" ref="HF116:HF147" si="153">SH18</f>
        <v>85000</v>
      </c>
      <c r="HG116" s="343">
        <f t="shared" ref="HG116:HG147" si="154">SI18</f>
        <v>0</v>
      </c>
      <c r="HJ116" s="122"/>
      <c r="HK116" s="122"/>
      <c r="HL116" s="122"/>
      <c r="HP116" s="118"/>
      <c r="HQ116" s="118"/>
      <c r="HR116" s="118"/>
      <c r="IG116" s="122"/>
      <c r="IH116" s="122"/>
      <c r="II116" s="122"/>
      <c r="IM116" s="118"/>
      <c r="IN116" s="118"/>
      <c r="IO116" s="118"/>
      <c r="JD116" s="122"/>
      <c r="JE116" s="122"/>
      <c r="JF116" s="122"/>
      <c r="JJ116" s="118"/>
      <c r="JK116" s="118"/>
      <c r="JL116" s="118"/>
      <c r="KA116" s="122"/>
      <c r="KB116" s="122"/>
      <c r="KC116" s="122"/>
      <c r="KG116" s="118"/>
      <c r="KH116" s="118"/>
      <c r="KI116" s="118"/>
      <c r="KX116" s="122"/>
      <c r="KY116" s="122"/>
      <c r="KZ116" s="122"/>
      <c r="LD116" s="118"/>
      <c r="LE116" s="118"/>
      <c r="LF116" s="118"/>
      <c r="LU116" s="122"/>
      <c r="LV116" s="122"/>
      <c r="LW116" s="122"/>
      <c r="MA116" s="118"/>
      <c r="MB116" s="118"/>
      <c r="MC116" s="118"/>
      <c r="MR116" s="122"/>
      <c r="MS116" s="122"/>
      <c r="MT116" s="122"/>
      <c r="MX116" s="118"/>
      <c r="MY116" s="118"/>
      <c r="MZ116" s="118"/>
      <c r="NO116" s="122"/>
      <c r="NP116" s="122"/>
      <c r="NQ116" s="122"/>
      <c r="NU116" s="118"/>
      <c r="NV116" s="118"/>
      <c r="NW116" s="118"/>
      <c r="OH116" s="122"/>
      <c r="OI116" s="122"/>
      <c r="OJ116" s="122"/>
      <c r="OK116" s="122"/>
      <c r="OL116" s="122"/>
      <c r="OM116" s="122"/>
      <c r="ON116" s="122"/>
      <c r="OR116" s="118"/>
      <c r="OS116" s="118"/>
      <c r="OT116" s="118"/>
      <c r="PE116" s="122"/>
      <c r="PF116" s="122"/>
      <c r="PG116" s="122"/>
      <c r="PH116" s="122"/>
      <c r="PI116" s="122"/>
      <c r="PJ116" s="122"/>
      <c r="PL116" s="118"/>
      <c r="PM116" s="118"/>
      <c r="PN116" s="118"/>
      <c r="PO116" s="118"/>
      <c r="PP116" s="118"/>
      <c r="PQ116" s="118"/>
      <c r="QB116" s="122"/>
      <c r="QC116" s="122"/>
      <c r="QD116" s="122"/>
      <c r="QE116" s="122"/>
      <c r="QF116" s="122"/>
      <c r="QG116" s="122"/>
      <c r="QI116" s="118"/>
      <c r="QJ116" s="118"/>
      <c r="QK116" s="118"/>
      <c r="QL116" s="118"/>
      <c r="QM116" s="118"/>
      <c r="QN116" s="118"/>
      <c r="RE116" s="118"/>
      <c r="RF116" s="118"/>
      <c r="RG116" s="118"/>
      <c r="RH116" s="118"/>
      <c r="RI116" s="118"/>
      <c r="RJ116" s="118"/>
      <c r="RK116" s="118"/>
    </row>
    <row r="117" spans="1:479">
      <c r="A117" s="912" t="s">
        <v>136</v>
      </c>
      <c r="B117" s="913"/>
      <c r="C117" s="917" t="s">
        <v>444</v>
      </c>
      <c r="D117" s="122"/>
      <c r="E117" s="117"/>
      <c r="F117" s="117"/>
      <c r="G117" s="117"/>
      <c r="H117" s="117"/>
      <c r="U117" s="258"/>
      <c r="V117" s="118"/>
      <c r="W117" s="118"/>
      <c r="X117" s="118"/>
      <c r="Y117" s="277" t="s">
        <v>2</v>
      </c>
      <c r="Z117" s="319">
        <f t="shared" si="0"/>
        <v>297680.88</v>
      </c>
      <c r="AA117" s="319">
        <f t="shared" si="1"/>
        <v>285668.25</v>
      </c>
      <c r="AB117" s="319">
        <f t="shared" si="2"/>
        <v>314570.45999999996</v>
      </c>
      <c r="AC117" s="319">
        <f t="shared" si="3"/>
        <v>350903.52</v>
      </c>
      <c r="AD117" s="319">
        <f t="shared" si="4"/>
        <v>432989.93</v>
      </c>
      <c r="AE117" s="319">
        <f t="shared" si="5"/>
        <v>461545.20000000007</v>
      </c>
      <c r="AF117" s="319">
        <f t="shared" si="6"/>
        <v>478215.99</v>
      </c>
      <c r="AG117" s="319">
        <f t="shared" si="7"/>
        <v>391839.19999999995</v>
      </c>
      <c r="AH117" s="319">
        <f t="shared" si="8"/>
        <v>487854</v>
      </c>
      <c r="AI117" s="319">
        <f t="shared" si="9"/>
        <v>522981</v>
      </c>
      <c r="AJ117" s="319">
        <f t="shared" si="10"/>
        <v>484203</v>
      </c>
      <c r="AK117" s="319">
        <f t="shared" si="11"/>
        <v>526339</v>
      </c>
      <c r="AL117" s="319">
        <f t="shared" si="12"/>
        <v>535828</v>
      </c>
      <c r="AM117" s="319">
        <f t="shared" si="13"/>
        <v>490279</v>
      </c>
      <c r="AN117" s="319">
        <f t="shared" si="14"/>
        <v>523057</v>
      </c>
      <c r="AO117" s="319">
        <f t="shared" si="15"/>
        <v>508449</v>
      </c>
      <c r="AP117" s="319">
        <f t="shared" si="16"/>
        <v>575309</v>
      </c>
      <c r="AQ117" s="319">
        <f t="shared" si="17"/>
        <v>514534</v>
      </c>
      <c r="AR117" s="319">
        <f t="shared" si="18"/>
        <v>504521</v>
      </c>
      <c r="AS117" s="319">
        <f t="shared" si="19"/>
        <v>474412</v>
      </c>
      <c r="AT117" s="319">
        <f t="shared" si="20"/>
        <v>561917</v>
      </c>
      <c r="AU117" s="319">
        <f t="shared" si="21"/>
        <v>544572</v>
      </c>
      <c r="AW117" s="322" t="s">
        <v>2</v>
      </c>
      <c r="AX117" s="322">
        <f t="shared" si="22"/>
        <v>63788.76</v>
      </c>
      <c r="AY117" s="322">
        <f t="shared" si="23"/>
        <v>89781.45</v>
      </c>
      <c r="AZ117" s="322">
        <f t="shared" si="24"/>
        <v>82781.7</v>
      </c>
      <c r="BA117" s="322">
        <f t="shared" si="25"/>
        <v>68231.239999999991</v>
      </c>
      <c r="BB117" s="322">
        <f t="shared" si="26"/>
        <v>63364.38</v>
      </c>
      <c r="BC117" s="322">
        <f t="shared" si="27"/>
        <v>92309.04</v>
      </c>
      <c r="BD117" s="322">
        <f t="shared" si="28"/>
        <v>123345.18</v>
      </c>
      <c r="BE117" s="322">
        <f t="shared" si="29"/>
        <v>117551.76</v>
      </c>
      <c r="BF117" s="322">
        <f t="shared" si="30"/>
        <v>70852</v>
      </c>
      <c r="BG117" s="322">
        <f t="shared" si="31"/>
        <v>74011</v>
      </c>
      <c r="BH117" s="322">
        <f t="shared" si="32"/>
        <v>76318</v>
      </c>
      <c r="BI117" s="322">
        <f t="shared" si="33"/>
        <v>100143</v>
      </c>
      <c r="BJ117" s="322">
        <f t="shared" si="34"/>
        <v>104452</v>
      </c>
      <c r="BK117" s="322">
        <f t="shared" si="35"/>
        <v>99306</v>
      </c>
      <c r="BL117" s="322">
        <f t="shared" si="36"/>
        <v>115252</v>
      </c>
      <c r="BM117" s="322">
        <f t="shared" si="37"/>
        <v>114211</v>
      </c>
      <c r="BN117" s="322">
        <f t="shared" si="38"/>
        <v>107370</v>
      </c>
      <c r="BO117" s="340">
        <f t="shared" si="39"/>
        <v>115862</v>
      </c>
      <c r="BP117" s="340">
        <f t="shared" si="40"/>
        <v>101836</v>
      </c>
      <c r="BQ117" s="340">
        <f t="shared" si="41"/>
        <v>101013</v>
      </c>
      <c r="BR117" s="340">
        <f t="shared" si="42"/>
        <v>108374</v>
      </c>
      <c r="BS117" s="340">
        <f t="shared" si="43"/>
        <v>169881</v>
      </c>
      <c r="BU117" s="340" t="s">
        <v>2</v>
      </c>
      <c r="BV117" s="340">
        <f t="shared" si="44"/>
        <v>14175.28</v>
      </c>
      <c r="BW117" s="340">
        <f t="shared" si="45"/>
        <v>24485.85</v>
      </c>
      <c r="BX117" s="340">
        <f t="shared" si="46"/>
        <v>24834.510000000002</v>
      </c>
      <c r="BY117" s="340">
        <f t="shared" si="47"/>
        <v>29241.96</v>
      </c>
      <c r="BZ117" s="340">
        <f t="shared" si="48"/>
        <v>31682.19</v>
      </c>
      <c r="CA117" s="340">
        <f t="shared" si="49"/>
        <v>34615.89</v>
      </c>
      <c r="CB117" s="340">
        <f t="shared" si="50"/>
        <v>41115.06</v>
      </c>
      <c r="CC117" s="340">
        <f t="shared" si="51"/>
        <v>39183.919999999998</v>
      </c>
      <c r="CD117" s="340">
        <f t="shared" si="52"/>
        <v>43462</v>
      </c>
      <c r="CE117" s="340">
        <f t="shared" si="53"/>
        <v>45579</v>
      </c>
      <c r="CF117" s="340">
        <f t="shared" si="54"/>
        <v>47657</v>
      </c>
      <c r="CG117" s="340">
        <f t="shared" si="55"/>
        <v>43062</v>
      </c>
      <c r="CH117" s="340">
        <f t="shared" si="56"/>
        <v>41491</v>
      </c>
      <c r="CI117" s="340">
        <f t="shared" si="57"/>
        <v>48277</v>
      </c>
      <c r="CJ117" s="340">
        <f t="shared" si="58"/>
        <v>44295</v>
      </c>
      <c r="CK117" s="340">
        <f t="shared" si="59"/>
        <v>46284</v>
      </c>
      <c r="CL117" s="340">
        <f t="shared" si="60"/>
        <v>46027</v>
      </c>
      <c r="CM117" s="340">
        <f t="shared" si="61"/>
        <v>45249</v>
      </c>
      <c r="CN117" s="340">
        <f t="shared" si="62"/>
        <v>41192</v>
      </c>
      <c r="CO117" s="340">
        <f t="shared" si="63"/>
        <v>40491</v>
      </c>
      <c r="CP117" s="340">
        <f t="shared" si="64"/>
        <v>42262</v>
      </c>
      <c r="CQ117" s="340">
        <f t="shared" si="65"/>
        <v>57380</v>
      </c>
      <c r="CR117" s="122"/>
      <c r="CS117" s="340" t="s">
        <v>2</v>
      </c>
      <c r="CT117" s="340">
        <f t="shared" si="66"/>
        <v>170103.36</v>
      </c>
      <c r="CU117" s="340">
        <f t="shared" si="67"/>
        <v>212210.7</v>
      </c>
      <c r="CV117" s="340">
        <f t="shared" si="68"/>
        <v>215232.42</v>
      </c>
      <c r="CW117" s="340">
        <f t="shared" si="69"/>
        <v>243683</v>
      </c>
      <c r="CX117" s="340">
        <f t="shared" si="70"/>
        <v>211214.6</v>
      </c>
      <c r="CY117" s="340">
        <f t="shared" si="71"/>
        <v>253849.86000000002</v>
      </c>
      <c r="CZ117" s="340">
        <f t="shared" si="72"/>
        <v>424855.62</v>
      </c>
      <c r="DA117" s="340">
        <f t="shared" si="73"/>
        <v>1077557.8</v>
      </c>
      <c r="DB117" s="340">
        <f t="shared" si="74"/>
        <v>415995</v>
      </c>
      <c r="DC117" s="340">
        <f t="shared" si="75"/>
        <v>509143</v>
      </c>
      <c r="DD117" s="340">
        <f t="shared" si="76"/>
        <v>665047</v>
      </c>
      <c r="DE117" s="340">
        <f t="shared" si="77"/>
        <v>777416</v>
      </c>
      <c r="DF117" s="340">
        <f t="shared" si="78"/>
        <v>923026</v>
      </c>
      <c r="DG117" s="340">
        <f t="shared" si="79"/>
        <v>721345</v>
      </c>
      <c r="DH117" s="340">
        <f t="shared" si="80"/>
        <v>914724</v>
      </c>
      <c r="DI117" s="340">
        <f t="shared" si="81"/>
        <v>644255</v>
      </c>
      <c r="DJ117" s="340">
        <f t="shared" si="82"/>
        <v>493315</v>
      </c>
      <c r="DK117" s="340">
        <f t="shared" si="83"/>
        <v>913311</v>
      </c>
      <c r="DL117" s="340">
        <f t="shared" si="84"/>
        <v>446047</v>
      </c>
      <c r="DM117" s="340">
        <f t="shared" si="85"/>
        <v>767930</v>
      </c>
      <c r="DN117" s="340">
        <f t="shared" si="86"/>
        <v>716552</v>
      </c>
      <c r="DO117" s="340">
        <f t="shared" si="87"/>
        <v>748708</v>
      </c>
      <c r="DQ117" s="340" t="s">
        <v>2</v>
      </c>
      <c r="DR117" s="340">
        <f t="shared" ref="DR117:EM117" si="155">DR19</f>
        <v>63788.76</v>
      </c>
      <c r="DS117" s="340">
        <f t="shared" si="155"/>
        <v>97943.4</v>
      </c>
      <c r="DT117" s="340">
        <f t="shared" si="155"/>
        <v>91059.87</v>
      </c>
      <c r="DU117" s="340">
        <f t="shared" si="155"/>
        <v>116967.84</v>
      </c>
      <c r="DV117" s="340">
        <f t="shared" si="155"/>
        <v>126728.76</v>
      </c>
      <c r="DW117" s="340">
        <f t="shared" si="155"/>
        <v>138463.56</v>
      </c>
      <c r="DX117" s="340">
        <f t="shared" si="155"/>
        <v>150755.22</v>
      </c>
      <c r="DY117" s="340">
        <f t="shared" si="155"/>
        <v>195919.6</v>
      </c>
      <c r="DZ117" s="340">
        <f t="shared" si="155"/>
        <v>211001</v>
      </c>
      <c r="EA117" s="340">
        <f t="shared" si="155"/>
        <v>212412</v>
      </c>
      <c r="EB117" s="340">
        <f t="shared" si="155"/>
        <v>203255</v>
      </c>
      <c r="EC117" s="340">
        <f t="shared" si="155"/>
        <v>214698</v>
      </c>
      <c r="ED117" s="340">
        <f t="shared" si="155"/>
        <v>258340</v>
      </c>
      <c r="EE117" s="340">
        <f t="shared" si="155"/>
        <v>264901</v>
      </c>
      <c r="EF117" s="340">
        <f t="shared" si="155"/>
        <v>223331</v>
      </c>
      <c r="EG117" s="340">
        <f t="shared" si="155"/>
        <v>257884</v>
      </c>
      <c r="EH117" s="340">
        <f t="shared" si="155"/>
        <v>274457</v>
      </c>
      <c r="EI117" s="340">
        <f t="shared" si="155"/>
        <v>235918</v>
      </c>
      <c r="EJ117" s="340">
        <f t="shared" si="155"/>
        <v>206859</v>
      </c>
      <c r="EK117" s="340">
        <f t="shared" si="155"/>
        <v>215363</v>
      </c>
      <c r="EL117" s="340">
        <f t="shared" si="155"/>
        <v>236210</v>
      </c>
      <c r="EM117" s="340">
        <f t="shared" si="155"/>
        <v>244102.57</v>
      </c>
      <c r="EO117" s="319" t="s">
        <v>2</v>
      </c>
      <c r="EP117" s="319">
        <f t="shared" si="89"/>
        <v>0</v>
      </c>
      <c r="EQ117" s="319">
        <f t="shared" si="90"/>
        <v>0</v>
      </c>
      <c r="ER117" s="319">
        <f t="shared" si="91"/>
        <v>0</v>
      </c>
      <c r="ES117" s="319">
        <f t="shared" si="92"/>
        <v>0</v>
      </c>
      <c r="ET117" s="319">
        <f t="shared" si="93"/>
        <v>0</v>
      </c>
      <c r="EU117" s="319">
        <f t="shared" si="94"/>
        <v>0</v>
      </c>
      <c r="EV117" s="319">
        <f t="shared" si="95"/>
        <v>0</v>
      </c>
      <c r="EW117" s="319">
        <f t="shared" si="96"/>
        <v>0</v>
      </c>
      <c r="EX117" s="319">
        <f t="shared" si="97"/>
        <v>0</v>
      </c>
      <c r="EY117" s="319">
        <f t="shared" si="98"/>
        <v>0</v>
      </c>
      <c r="EZ117" s="319">
        <f t="shared" si="99"/>
        <v>0</v>
      </c>
      <c r="FA117" s="319">
        <f t="shared" si="100"/>
        <v>0</v>
      </c>
      <c r="FB117" s="319">
        <f t="shared" si="101"/>
        <v>0</v>
      </c>
      <c r="FC117" s="319">
        <f t="shared" si="102"/>
        <v>0</v>
      </c>
      <c r="FD117" s="319">
        <f t="shared" si="103"/>
        <v>0</v>
      </c>
      <c r="FE117" s="319">
        <f t="shared" si="104"/>
        <v>0</v>
      </c>
      <c r="FF117" s="322">
        <f t="shared" si="105"/>
        <v>0</v>
      </c>
      <c r="FG117" s="336">
        <f t="shared" si="106"/>
        <v>0</v>
      </c>
      <c r="FH117" s="336">
        <f t="shared" si="107"/>
        <v>0</v>
      </c>
      <c r="FI117" s="336">
        <f t="shared" si="108"/>
        <v>0</v>
      </c>
      <c r="FJ117" s="336">
        <f t="shared" si="109"/>
        <v>0</v>
      </c>
      <c r="FK117" s="336">
        <f t="shared" si="110"/>
        <v>0</v>
      </c>
      <c r="FL117" s="122"/>
      <c r="FM117" s="340" t="s">
        <v>2</v>
      </c>
      <c r="FN117" s="340">
        <f t="shared" si="111"/>
        <v>56701.120000000003</v>
      </c>
      <c r="FO117" s="340">
        <f t="shared" si="112"/>
        <v>57133.65</v>
      </c>
      <c r="FP117" s="340">
        <f t="shared" si="113"/>
        <v>66225.36</v>
      </c>
      <c r="FQ117" s="340">
        <f t="shared" si="114"/>
        <v>77978.559999999998</v>
      </c>
      <c r="FR117" s="340">
        <f t="shared" si="115"/>
        <v>84485.84</v>
      </c>
      <c r="FS117" s="340">
        <f t="shared" si="116"/>
        <v>80770.41</v>
      </c>
      <c r="FT117" s="340">
        <f t="shared" si="117"/>
        <v>95935.14</v>
      </c>
      <c r="FU117" s="340">
        <f t="shared" si="118"/>
        <v>78367.839999999997</v>
      </c>
      <c r="FV117" s="340">
        <f t="shared" si="119"/>
        <v>90612</v>
      </c>
      <c r="FW117" s="340">
        <f t="shared" si="120"/>
        <v>88149</v>
      </c>
      <c r="FX117" s="340">
        <f t="shared" si="121"/>
        <v>101474</v>
      </c>
      <c r="FY117" s="340">
        <f t="shared" si="122"/>
        <v>103805</v>
      </c>
      <c r="FZ117" s="340">
        <f t="shared" si="123"/>
        <v>101412</v>
      </c>
      <c r="GA117" s="340">
        <f t="shared" si="124"/>
        <v>103952</v>
      </c>
      <c r="GB117" s="340">
        <f t="shared" si="125"/>
        <v>108576</v>
      </c>
      <c r="GC117" s="340">
        <f t="shared" si="126"/>
        <v>105022</v>
      </c>
      <c r="GD117" s="340">
        <f t="shared" si="127"/>
        <v>103747</v>
      </c>
      <c r="GE117" s="340">
        <f t="shared" si="128"/>
        <v>116934</v>
      </c>
      <c r="GF117" s="340">
        <f t="shared" si="129"/>
        <v>117704</v>
      </c>
      <c r="GG117" s="340">
        <f t="shared" si="130"/>
        <v>139333</v>
      </c>
      <c r="GH117" s="340">
        <f t="shared" si="131"/>
        <v>140589</v>
      </c>
      <c r="GI117" s="340">
        <f t="shared" si="132"/>
        <v>153200</v>
      </c>
      <c r="GK117" s="340" t="s">
        <v>2</v>
      </c>
      <c r="GL117" s="340">
        <f t="shared" si="133"/>
        <v>42525.84</v>
      </c>
      <c r="GM117" s="340">
        <f t="shared" si="134"/>
        <v>48971.7</v>
      </c>
      <c r="GN117" s="340">
        <f t="shared" si="135"/>
        <v>33112.68</v>
      </c>
      <c r="GO117" s="340">
        <f t="shared" si="136"/>
        <v>87725.88</v>
      </c>
      <c r="GP117" s="340">
        <f t="shared" si="137"/>
        <v>105607.3</v>
      </c>
      <c r="GQ117" s="340">
        <f t="shared" si="138"/>
        <v>92309.04</v>
      </c>
      <c r="GR117" s="340">
        <f t="shared" si="139"/>
        <v>41115.06</v>
      </c>
      <c r="GS117" s="340">
        <f t="shared" si="140"/>
        <v>58775.88</v>
      </c>
      <c r="GT117" s="340">
        <f t="shared" si="141"/>
        <v>50000</v>
      </c>
      <c r="GU117" s="340">
        <f t="shared" si="142"/>
        <v>260000</v>
      </c>
      <c r="GV117" s="340">
        <f t="shared" si="143"/>
        <v>300000</v>
      </c>
      <c r="GW117" s="340">
        <f t="shared" si="144"/>
        <v>0</v>
      </c>
      <c r="GX117" s="340">
        <f t="shared" si="145"/>
        <v>180000</v>
      </c>
      <c r="GY117" s="340">
        <f t="shared" si="146"/>
        <v>288000</v>
      </c>
      <c r="GZ117" s="340">
        <f t="shared" si="147"/>
        <v>788159</v>
      </c>
      <c r="HA117" s="340">
        <f t="shared" si="148"/>
        <v>425303</v>
      </c>
      <c r="HB117" s="340">
        <f t="shared" si="149"/>
        <v>566192</v>
      </c>
      <c r="HC117" s="340">
        <f t="shared" si="150"/>
        <v>620000</v>
      </c>
      <c r="HD117" s="340">
        <f t="shared" si="151"/>
        <v>570000</v>
      </c>
      <c r="HE117" s="340">
        <f t="shared" si="152"/>
        <v>648629</v>
      </c>
      <c r="HF117" s="340">
        <f t="shared" si="153"/>
        <v>961887</v>
      </c>
      <c r="HG117" s="340">
        <f t="shared" si="154"/>
        <v>1012020</v>
      </c>
      <c r="HJ117" s="122"/>
      <c r="HK117" s="122"/>
      <c r="HL117" s="122"/>
      <c r="HP117" s="118"/>
      <c r="HQ117" s="118"/>
      <c r="HR117" s="118"/>
      <c r="IG117" s="122"/>
      <c r="IH117" s="122"/>
      <c r="II117" s="122"/>
      <c r="IM117" s="118"/>
      <c r="IN117" s="118"/>
      <c r="IO117" s="118"/>
      <c r="JD117" s="122"/>
      <c r="JE117" s="122"/>
      <c r="JF117" s="122"/>
      <c r="JJ117" s="118"/>
      <c r="JK117" s="118"/>
      <c r="JL117" s="118"/>
      <c r="KA117" s="122"/>
      <c r="KB117" s="122"/>
      <c r="KC117" s="122"/>
      <c r="KG117" s="118"/>
      <c r="KH117" s="118"/>
      <c r="KI117" s="118"/>
      <c r="KX117" s="122"/>
      <c r="KY117" s="122"/>
      <c r="KZ117" s="122"/>
      <c r="LD117" s="118"/>
      <c r="LE117" s="118"/>
      <c r="LF117" s="118"/>
      <c r="LU117" s="122"/>
      <c r="LV117" s="122"/>
      <c r="LW117" s="122"/>
      <c r="MA117" s="118"/>
      <c r="MB117" s="118"/>
      <c r="MC117" s="118"/>
      <c r="MR117" s="122"/>
      <c r="MS117" s="122"/>
      <c r="MT117" s="122"/>
      <c r="MX117" s="118"/>
      <c r="MY117" s="118"/>
      <c r="MZ117" s="118"/>
      <c r="NO117" s="122"/>
      <c r="NP117" s="122"/>
      <c r="NQ117" s="122"/>
      <c r="NU117" s="118"/>
      <c r="NV117" s="118"/>
      <c r="NW117" s="118"/>
      <c r="OH117" s="122"/>
      <c r="OI117" s="122"/>
      <c r="OJ117" s="122"/>
      <c r="OK117" s="122"/>
      <c r="OL117" s="122"/>
      <c r="OM117" s="122"/>
      <c r="ON117" s="122"/>
      <c r="OR117" s="118"/>
      <c r="OS117" s="118"/>
      <c r="OT117" s="118"/>
      <c r="PE117" s="122"/>
      <c r="PF117" s="122"/>
      <c r="PG117" s="122"/>
      <c r="PH117" s="122"/>
      <c r="PI117" s="122"/>
      <c r="PJ117" s="122"/>
      <c r="PL117" s="118"/>
      <c r="PM117" s="118"/>
      <c r="PN117" s="118"/>
      <c r="PO117" s="118"/>
      <c r="PP117" s="118"/>
      <c r="PQ117" s="118"/>
      <c r="QB117" s="122"/>
      <c r="QC117" s="122"/>
      <c r="QD117" s="122"/>
      <c r="QE117" s="122"/>
      <c r="QF117" s="122"/>
      <c r="QG117" s="122"/>
      <c r="QI117" s="118"/>
      <c r="QJ117" s="118"/>
      <c r="QK117" s="118"/>
      <c r="QL117" s="118"/>
      <c r="QM117" s="118"/>
      <c r="QN117" s="118"/>
      <c r="RE117" s="118"/>
      <c r="RF117" s="118"/>
      <c r="RG117" s="118"/>
      <c r="RH117" s="118"/>
      <c r="RI117" s="118"/>
      <c r="RJ117" s="118"/>
      <c r="RK117" s="118"/>
    </row>
    <row r="118" spans="1:479">
      <c r="A118" s="122"/>
      <c r="B118" s="122"/>
      <c r="C118" s="921" t="s">
        <v>627</v>
      </c>
      <c r="D118" s="122"/>
      <c r="E118" s="920"/>
      <c r="F118" s="922"/>
      <c r="G118" s="122"/>
      <c r="H118" s="122"/>
      <c r="U118" s="258"/>
      <c r="V118" s="118"/>
      <c r="W118" s="118"/>
      <c r="X118" s="117" t="s">
        <v>94</v>
      </c>
      <c r="Y118" s="277" t="s">
        <v>3</v>
      </c>
      <c r="Z118" s="319">
        <f t="shared" si="0"/>
        <v>251643.51999999999</v>
      </c>
      <c r="AA118" s="319">
        <f t="shared" si="1"/>
        <v>232422.24</v>
      </c>
      <c r="AB118" s="319">
        <f t="shared" si="2"/>
        <v>279805.92</v>
      </c>
      <c r="AC118" s="319">
        <f t="shared" si="3"/>
        <v>306607.67999999993</v>
      </c>
      <c r="AD118" s="319">
        <f t="shared" si="4"/>
        <v>458942.87000000005</v>
      </c>
      <c r="AE118" s="319">
        <f t="shared" si="5"/>
        <v>322865.39999999997</v>
      </c>
      <c r="AF118" s="319">
        <f t="shared" si="6"/>
        <v>329395.83999999997</v>
      </c>
      <c r="AG118" s="319">
        <f t="shared" si="7"/>
        <v>352458.28</v>
      </c>
      <c r="AH118" s="319">
        <f t="shared" si="8"/>
        <v>387164.24999999994</v>
      </c>
      <c r="AI118" s="319">
        <f t="shared" si="9"/>
        <v>363968.01</v>
      </c>
      <c r="AJ118" s="319">
        <f t="shared" si="10"/>
        <v>391509.49</v>
      </c>
      <c r="AK118" s="319">
        <f t="shared" si="11"/>
        <v>462856.16000000003</v>
      </c>
      <c r="AL118" s="319">
        <f t="shared" si="12"/>
        <v>550064.8899999999</v>
      </c>
      <c r="AM118" s="319">
        <f t="shared" si="13"/>
        <v>601609.41</v>
      </c>
      <c r="AN118" s="319">
        <f t="shared" si="14"/>
        <v>557559.99</v>
      </c>
      <c r="AO118" s="319">
        <f t="shared" si="15"/>
        <v>480012.53</v>
      </c>
      <c r="AP118" s="319">
        <f t="shared" si="16"/>
        <v>541928</v>
      </c>
      <c r="AQ118" s="319">
        <f t="shared" si="17"/>
        <v>587388</v>
      </c>
      <c r="AR118" s="319">
        <f t="shared" si="18"/>
        <v>602777</v>
      </c>
      <c r="AS118" s="319">
        <f t="shared" si="19"/>
        <v>531146</v>
      </c>
      <c r="AT118" s="319">
        <f t="shared" si="20"/>
        <v>649198.07999999996</v>
      </c>
      <c r="AU118" s="319">
        <f t="shared" si="21"/>
        <v>1084105</v>
      </c>
      <c r="AW118" s="322" t="s">
        <v>3</v>
      </c>
      <c r="AX118" s="322">
        <f t="shared" si="22"/>
        <v>39319.300000000003</v>
      </c>
      <c r="AY118" s="322">
        <f t="shared" si="23"/>
        <v>32058.240000000002</v>
      </c>
      <c r="AZ118" s="322">
        <f t="shared" si="24"/>
        <v>28945.439999999999</v>
      </c>
      <c r="BA118" s="322">
        <f t="shared" si="25"/>
        <v>38325.96</v>
      </c>
      <c r="BB118" s="322">
        <f t="shared" si="26"/>
        <v>21346.18</v>
      </c>
      <c r="BC118" s="322">
        <f t="shared" si="27"/>
        <v>19567.599999999999</v>
      </c>
      <c r="BD118" s="322">
        <f t="shared" si="28"/>
        <v>20927.12</v>
      </c>
      <c r="BE118" s="322">
        <f t="shared" si="29"/>
        <v>20732.84</v>
      </c>
      <c r="BF118" s="322">
        <f t="shared" si="30"/>
        <v>17770.25</v>
      </c>
      <c r="BG118" s="322">
        <f t="shared" si="31"/>
        <v>17839.900000000001</v>
      </c>
      <c r="BH118" s="322">
        <f t="shared" si="32"/>
        <v>18412.28</v>
      </c>
      <c r="BI118" s="322">
        <f t="shared" si="33"/>
        <v>19276.400000000001</v>
      </c>
      <c r="BJ118" s="322">
        <f t="shared" si="34"/>
        <v>12302.51</v>
      </c>
      <c r="BK118" s="322">
        <f t="shared" si="35"/>
        <v>17874.98</v>
      </c>
      <c r="BL118" s="322">
        <f t="shared" si="36"/>
        <v>22237.960000000003</v>
      </c>
      <c r="BM118" s="322">
        <f t="shared" si="37"/>
        <v>22617.190000000002</v>
      </c>
      <c r="BN118" s="322">
        <f t="shared" si="38"/>
        <v>21018.33</v>
      </c>
      <c r="BO118" s="340">
        <f t="shared" si="39"/>
        <v>29133</v>
      </c>
      <c r="BP118" s="340">
        <f t="shared" si="40"/>
        <v>38313</v>
      </c>
      <c r="BQ118" s="340">
        <f t="shared" si="41"/>
        <v>25894</v>
      </c>
      <c r="BR118" s="340">
        <f t="shared" si="42"/>
        <v>30100.6</v>
      </c>
      <c r="BS118" s="340">
        <f t="shared" si="43"/>
        <v>44374</v>
      </c>
      <c r="BU118" s="340" t="s">
        <v>3</v>
      </c>
      <c r="BV118" s="340">
        <f t="shared" si="44"/>
        <v>0</v>
      </c>
      <c r="BW118" s="340">
        <f t="shared" si="45"/>
        <v>16029.12</v>
      </c>
      <c r="BX118" s="340">
        <f t="shared" si="46"/>
        <v>19296.96</v>
      </c>
      <c r="BY118" s="340">
        <f t="shared" si="47"/>
        <v>19162.98</v>
      </c>
      <c r="BZ118" s="340">
        <f t="shared" si="48"/>
        <v>32019.27</v>
      </c>
      <c r="CA118" s="340">
        <f t="shared" si="49"/>
        <v>29351.399999999998</v>
      </c>
      <c r="CB118" s="340">
        <f t="shared" si="50"/>
        <v>31390.68</v>
      </c>
      <c r="CC118" s="340">
        <f t="shared" si="51"/>
        <v>31099.260000000002</v>
      </c>
      <c r="CD118" s="340">
        <f t="shared" si="52"/>
        <v>28652.219999999998</v>
      </c>
      <c r="CE118" s="340">
        <f t="shared" si="53"/>
        <v>34564.31</v>
      </c>
      <c r="CF118" s="340">
        <f t="shared" si="54"/>
        <v>35322.36</v>
      </c>
      <c r="CG118" s="340">
        <f t="shared" si="55"/>
        <v>36861.599999999999</v>
      </c>
      <c r="CH118" s="340">
        <f t="shared" si="56"/>
        <v>35442.380000000005</v>
      </c>
      <c r="CI118" s="340">
        <f t="shared" si="57"/>
        <v>43777.7</v>
      </c>
      <c r="CJ118" s="340">
        <f t="shared" si="58"/>
        <v>49605.99</v>
      </c>
      <c r="CK118" s="340">
        <f t="shared" si="59"/>
        <v>48811.630000000005</v>
      </c>
      <c r="CL118" s="340">
        <f t="shared" si="60"/>
        <v>32750</v>
      </c>
      <c r="CM118" s="340">
        <f t="shared" si="61"/>
        <v>52484</v>
      </c>
      <c r="CN118" s="340">
        <f t="shared" si="62"/>
        <v>51324</v>
      </c>
      <c r="CO118" s="340">
        <f t="shared" si="63"/>
        <v>51892</v>
      </c>
      <c r="CP118" s="340">
        <f t="shared" si="64"/>
        <v>56416.200000000004</v>
      </c>
      <c r="CQ118" s="340">
        <f t="shared" si="65"/>
        <v>65815</v>
      </c>
      <c r="CR118" s="122"/>
      <c r="CS118" s="340" t="s">
        <v>3</v>
      </c>
      <c r="CT118" s="340">
        <f t="shared" si="66"/>
        <v>55047.02</v>
      </c>
      <c r="CU118" s="340">
        <f t="shared" si="67"/>
        <v>64116.480000000003</v>
      </c>
      <c r="CV118" s="340">
        <f t="shared" si="68"/>
        <v>77187.839999999997</v>
      </c>
      <c r="CW118" s="340">
        <f t="shared" si="69"/>
        <v>47907.45</v>
      </c>
      <c r="CX118" s="340">
        <f t="shared" si="70"/>
        <v>53365.45</v>
      </c>
      <c r="CY118" s="340">
        <f t="shared" si="71"/>
        <v>39135.199999999997</v>
      </c>
      <c r="CZ118" s="340">
        <f t="shared" si="72"/>
        <v>41854.239999999998</v>
      </c>
      <c r="DA118" s="340">
        <f t="shared" si="73"/>
        <v>62198.52</v>
      </c>
      <c r="DB118" s="340">
        <f t="shared" si="74"/>
        <v>72270.02</v>
      </c>
      <c r="DC118" s="340">
        <f t="shared" si="75"/>
        <v>71190.61</v>
      </c>
      <c r="DD118" s="340">
        <f t="shared" si="76"/>
        <v>72912.14</v>
      </c>
      <c r="DE118" s="340">
        <f t="shared" si="77"/>
        <v>84919.349999999991</v>
      </c>
      <c r="DF118" s="340">
        <f t="shared" si="78"/>
        <v>80604.310000000012</v>
      </c>
      <c r="DG118" s="340">
        <f t="shared" si="79"/>
        <v>75501.19</v>
      </c>
      <c r="DH118" s="340">
        <f t="shared" si="80"/>
        <v>55174.909999999996</v>
      </c>
      <c r="DI118" s="340">
        <f t="shared" si="81"/>
        <v>52753.299999999996</v>
      </c>
      <c r="DJ118" s="340">
        <f t="shared" si="82"/>
        <v>3000</v>
      </c>
      <c r="DK118" s="340">
        <f t="shared" si="83"/>
        <v>52299</v>
      </c>
      <c r="DL118" s="340">
        <f t="shared" si="84"/>
        <v>66849</v>
      </c>
      <c r="DM118" s="340">
        <f t="shared" si="85"/>
        <v>64677</v>
      </c>
      <c r="DN118" s="340">
        <f t="shared" si="86"/>
        <v>53901.840000000004</v>
      </c>
      <c r="DO118" s="340">
        <f t="shared" si="87"/>
        <v>74100</v>
      </c>
      <c r="DQ118" s="340" t="s">
        <v>3</v>
      </c>
      <c r="DR118" s="340">
        <f t="shared" ref="DR118:EM118" si="156">DR20</f>
        <v>117957.9</v>
      </c>
      <c r="DS118" s="340">
        <f t="shared" si="156"/>
        <v>120218.4</v>
      </c>
      <c r="DT118" s="340">
        <f t="shared" si="156"/>
        <v>125430.24</v>
      </c>
      <c r="DU118" s="340">
        <f t="shared" si="156"/>
        <v>134140.85999999999</v>
      </c>
      <c r="DV118" s="340">
        <f t="shared" si="156"/>
        <v>138750.17000000001</v>
      </c>
      <c r="DW118" s="340">
        <f t="shared" si="156"/>
        <v>166324.6</v>
      </c>
      <c r="DX118" s="340">
        <f t="shared" si="156"/>
        <v>177880.52</v>
      </c>
      <c r="DY118" s="340">
        <f t="shared" si="156"/>
        <v>176229.14</v>
      </c>
      <c r="DZ118" s="340">
        <f t="shared" si="156"/>
        <v>181993.5</v>
      </c>
      <c r="EA118" s="340">
        <f t="shared" si="156"/>
        <v>201538.07</v>
      </c>
      <c r="EB118" s="340">
        <f t="shared" si="156"/>
        <v>202586.34</v>
      </c>
      <c r="EC118" s="340">
        <f t="shared" si="156"/>
        <v>193453.71000000002</v>
      </c>
      <c r="ED118" s="340">
        <f t="shared" si="156"/>
        <v>188301.88999999998</v>
      </c>
      <c r="EE118" s="340">
        <f t="shared" si="156"/>
        <v>170984.22</v>
      </c>
      <c r="EF118" s="340">
        <f t="shared" si="156"/>
        <v>160009.69</v>
      </c>
      <c r="EG118" s="340">
        <f t="shared" si="156"/>
        <v>171480.75</v>
      </c>
      <c r="EH118" s="340">
        <f t="shared" si="156"/>
        <v>177870</v>
      </c>
      <c r="EI118" s="340">
        <f t="shared" si="156"/>
        <v>193295</v>
      </c>
      <c r="EJ118" s="340">
        <f t="shared" si="156"/>
        <v>197044</v>
      </c>
      <c r="EK118" s="340">
        <f t="shared" si="156"/>
        <v>208279</v>
      </c>
      <c r="EL118" s="340">
        <f t="shared" si="156"/>
        <v>237988.86</v>
      </c>
      <c r="EM118" s="340">
        <f t="shared" si="156"/>
        <v>276000</v>
      </c>
      <c r="EO118" s="319" t="s">
        <v>3</v>
      </c>
      <c r="EP118" s="319">
        <f t="shared" si="89"/>
        <v>204460.36</v>
      </c>
      <c r="EQ118" s="319">
        <f t="shared" si="90"/>
        <v>216393.12</v>
      </c>
      <c r="ER118" s="319">
        <f t="shared" si="91"/>
        <v>299102.88</v>
      </c>
      <c r="ES118" s="319">
        <f t="shared" si="92"/>
        <v>249118.74</v>
      </c>
      <c r="ET118" s="319">
        <f t="shared" si="93"/>
        <v>213461.8</v>
      </c>
      <c r="EU118" s="319">
        <f t="shared" si="94"/>
        <v>225027.4</v>
      </c>
      <c r="EV118" s="319">
        <f t="shared" si="95"/>
        <v>292979.68</v>
      </c>
      <c r="EW118" s="319">
        <f t="shared" si="96"/>
        <v>279893.34000000003</v>
      </c>
      <c r="EX118" s="319">
        <f t="shared" si="97"/>
        <v>318071.40000000002</v>
      </c>
      <c r="EY118" s="319">
        <f t="shared" si="98"/>
        <v>322196.04999999993</v>
      </c>
      <c r="EZ118" s="319">
        <f t="shared" si="99"/>
        <v>310016.67999999993</v>
      </c>
      <c r="FA118" s="319">
        <f t="shared" si="100"/>
        <v>278713.82</v>
      </c>
      <c r="FB118" s="319">
        <f t="shared" si="101"/>
        <v>293647.24</v>
      </c>
      <c r="FC118" s="319">
        <f t="shared" si="102"/>
        <v>81296.98</v>
      </c>
      <c r="FD118" s="319">
        <f t="shared" si="103"/>
        <v>0</v>
      </c>
      <c r="FE118" s="319">
        <f t="shared" si="104"/>
        <v>0</v>
      </c>
      <c r="FF118" s="322">
        <f t="shared" si="105"/>
        <v>0</v>
      </c>
      <c r="FG118" s="336">
        <f t="shared" si="106"/>
        <v>0</v>
      </c>
      <c r="FH118" s="336">
        <f t="shared" si="107"/>
        <v>0</v>
      </c>
      <c r="FI118" s="336">
        <f t="shared" si="108"/>
        <v>0</v>
      </c>
      <c r="FJ118" s="336">
        <f t="shared" si="109"/>
        <v>0</v>
      </c>
      <c r="FK118" s="336">
        <f t="shared" si="110"/>
        <v>0</v>
      </c>
      <c r="FL118" s="122"/>
      <c r="FM118" s="340" t="s">
        <v>3</v>
      </c>
      <c r="FN118" s="340">
        <f t="shared" si="111"/>
        <v>117957.9</v>
      </c>
      <c r="FO118" s="340">
        <f t="shared" si="112"/>
        <v>120218.4</v>
      </c>
      <c r="FP118" s="340">
        <f t="shared" si="113"/>
        <v>115781.75999999999</v>
      </c>
      <c r="FQ118" s="340">
        <f t="shared" si="114"/>
        <v>134140.85999999999</v>
      </c>
      <c r="FR118" s="340">
        <f t="shared" si="115"/>
        <v>128077.08</v>
      </c>
      <c r="FS118" s="340">
        <f t="shared" si="116"/>
        <v>136973.20000000001</v>
      </c>
      <c r="FT118" s="340">
        <f t="shared" si="117"/>
        <v>115099.16</v>
      </c>
      <c r="FU118" s="340">
        <f t="shared" si="118"/>
        <v>72564.94</v>
      </c>
      <c r="FV118" s="340">
        <f t="shared" si="119"/>
        <v>69481.649999999994</v>
      </c>
      <c r="FW118" s="340">
        <f t="shared" si="120"/>
        <v>73018.570000000007</v>
      </c>
      <c r="FX118" s="340">
        <f t="shared" si="121"/>
        <v>73366.75</v>
      </c>
      <c r="FY118" s="340">
        <f t="shared" si="122"/>
        <v>75631.700000000012</v>
      </c>
      <c r="FZ118" s="340">
        <f t="shared" si="123"/>
        <v>85302.6</v>
      </c>
      <c r="GA118" s="340">
        <f t="shared" si="124"/>
        <v>85869.03</v>
      </c>
      <c r="GB118" s="340">
        <f t="shared" si="125"/>
        <v>90392</v>
      </c>
      <c r="GC118" s="340">
        <f t="shared" si="126"/>
        <v>91885.19</v>
      </c>
      <c r="GD118" s="340">
        <f t="shared" si="127"/>
        <v>94883.6</v>
      </c>
      <c r="GE118" s="340">
        <f t="shared" si="128"/>
        <v>95680</v>
      </c>
      <c r="GF118" s="340">
        <f t="shared" si="129"/>
        <v>97591</v>
      </c>
      <c r="GG118" s="340">
        <f t="shared" si="130"/>
        <v>110033</v>
      </c>
      <c r="GH118" s="340">
        <f t="shared" si="131"/>
        <v>113296.34</v>
      </c>
      <c r="GI118" s="340">
        <f t="shared" si="132"/>
        <v>120155</v>
      </c>
      <c r="GK118" s="340" t="s">
        <v>3</v>
      </c>
      <c r="GL118" s="340">
        <f t="shared" si="133"/>
        <v>0</v>
      </c>
      <c r="GM118" s="340">
        <f t="shared" si="134"/>
        <v>0</v>
      </c>
      <c r="GN118" s="340">
        <f t="shared" si="135"/>
        <v>19296.96</v>
      </c>
      <c r="GO118" s="340">
        <f t="shared" si="136"/>
        <v>28744.47</v>
      </c>
      <c r="GP118" s="340">
        <f t="shared" si="137"/>
        <v>21346.18</v>
      </c>
      <c r="GQ118" s="340">
        <f t="shared" si="138"/>
        <v>39135.199999999997</v>
      </c>
      <c r="GR118" s="340">
        <f t="shared" si="139"/>
        <v>31390.68</v>
      </c>
      <c r="GS118" s="340">
        <f t="shared" si="140"/>
        <v>41465.68</v>
      </c>
      <c r="GT118" s="340">
        <f t="shared" si="141"/>
        <v>30000</v>
      </c>
      <c r="GU118" s="340">
        <f t="shared" si="142"/>
        <v>35000</v>
      </c>
      <c r="GV118" s="340">
        <f t="shared" si="143"/>
        <v>30000</v>
      </c>
      <c r="GW118" s="340">
        <f t="shared" si="144"/>
        <v>30761.96</v>
      </c>
      <c r="GX118" s="340">
        <f t="shared" si="145"/>
        <v>31197.54</v>
      </c>
      <c r="GY118" s="340">
        <f t="shared" si="146"/>
        <v>200364.97999999998</v>
      </c>
      <c r="GZ118" s="340">
        <f t="shared" si="147"/>
        <v>441616.09</v>
      </c>
      <c r="HA118" s="340">
        <f t="shared" si="148"/>
        <v>430617.81999999995</v>
      </c>
      <c r="HB118" s="340">
        <f t="shared" si="149"/>
        <v>465314.9</v>
      </c>
      <c r="HC118" s="340">
        <f t="shared" si="150"/>
        <v>515302</v>
      </c>
      <c r="HD118" s="340">
        <f t="shared" si="151"/>
        <v>532802</v>
      </c>
      <c r="HE118" s="340">
        <f t="shared" si="152"/>
        <v>279519</v>
      </c>
      <c r="HF118" s="340">
        <f t="shared" si="153"/>
        <v>430000</v>
      </c>
      <c r="HG118" s="340">
        <f t="shared" si="154"/>
        <v>530000</v>
      </c>
      <c r="HJ118" s="122"/>
      <c r="HK118" s="122"/>
      <c r="HL118" s="122"/>
      <c r="HP118" s="118"/>
      <c r="HQ118" s="118"/>
      <c r="HR118" s="118"/>
      <c r="IG118" s="122"/>
      <c r="IH118" s="122"/>
      <c r="II118" s="122"/>
      <c r="IM118" s="118"/>
      <c r="IN118" s="118"/>
      <c r="IO118" s="118"/>
      <c r="JD118" s="122"/>
      <c r="JE118" s="122"/>
      <c r="JF118" s="122"/>
      <c r="JJ118" s="118"/>
      <c r="JK118" s="118"/>
      <c r="JL118" s="118"/>
      <c r="KA118" s="122"/>
      <c r="KB118" s="122"/>
      <c r="KC118" s="122"/>
      <c r="KG118" s="118"/>
      <c r="KH118" s="118"/>
      <c r="KI118" s="118"/>
      <c r="KX118" s="122"/>
      <c r="KY118" s="122"/>
      <c r="KZ118" s="122"/>
      <c r="LD118" s="118"/>
      <c r="LE118" s="118"/>
      <c r="LF118" s="118"/>
      <c r="LU118" s="122"/>
      <c r="LV118" s="122"/>
      <c r="LW118" s="122"/>
      <c r="MA118" s="118"/>
      <c r="MB118" s="118"/>
      <c r="MC118" s="118"/>
      <c r="MR118" s="122"/>
      <c r="MS118" s="122"/>
      <c r="MT118" s="122"/>
      <c r="MX118" s="118"/>
      <c r="MY118" s="118"/>
      <c r="MZ118" s="118"/>
      <c r="NO118" s="122"/>
      <c r="NP118" s="122"/>
      <c r="NQ118" s="122"/>
      <c r="NU118" s="118"/>
      <c r="NV118" s="118"/>
      <c r="NW118" s="118"/>
      <c r="OH118" s="122"/>
      <c r="OI118" s="122"/>
      <c r="OJ118" s="122"/>
      <c r="OK118" s="122"/>
      <c r="OL118" s="122"/>
      <c r="OM118" s="122"/>
      <c r="ON118" s="122"/>
      <c r="OR118" s="118"/>
      <c r="OS118" s="118"/>
      <c r="OT118" s="118"/>
      <c r="PE118" s="122"/>
      <c r="PF118" s="122"/>
      <c r="PG118" s="122"/>
      <c r="PH118" s="122"/>
      <c r="PI118" s="122"/>
      <c r="PJ118" s="122"/>
      <c r="PL118" s="118"/>
      <c r="PM118" s="118"/>
      <c r="PN118" s="118"/>
      <c r="PO118" s="118"/>
      <c r="PP118" s="118"/>
      <c r="PQ118" s="118"/>
      <c r="QB118" s="122"/>
      <c r="QC118" s="122"/>
      <c r="QD118" s="122"/>
      <c r="QE118" s="122"/>
      <c r="QF118" s="122"/>
      <c r="QG118" s="122"/>
      <c r="QI118" s="118"/>
      <c r="QJ118" s="118"/>
      <c r="QK118" s="118"/>
      <c r="QL118" s="118"/>
      <c r="QM118" s="118"/>
      <c r="QN118" s="118"/>
      <c r="RE118" s="118"/>
      <c r="RF118" s="118"/>
      <c r="RG118" s="118"/>
      <c r="RH118" s="118"/>
      <c r="RI118" s="118"/>
      <c r="RJ118" s="118"/>
      <c r="RK118" s="118"/>
    </row>
    <row r="119" spans="1:479">
      <c r="A119" s="912" t="s">
        <v>137</v>
      </c>
      <c r="B119" s="914"/>
      <c r="C119" s="918" t="s">
        <v>443</v>
      </c>
      <c r="D119" s="122"/>
      <c r="E119" s="117"/>
      <c r="F119" s="117"/>
      <c r="G119" s="117"/>
      <c r="H119" s="117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003"/>
      <c r="V119" s="1005"/>
      <c r="W119" s="117"/>
      <c r="X119" s="118"/>
      <c r="Y119" s="277" t="s">
        <v>4</v>
      </c>
      <c r="Z119" s="319">
        <f t="shared" si="0"/>
        <v>415848.08999999997</v>
      </c>
      <c r="AA119" s="319">
        <f t="shared" si="1"/>
        <v>420129.99</v>
      </c>
      <c r="AB119" s="319">
        <f t="shared" si="2"/>
        <v>476381.07999999996</v>
      </c>
      <c r="AC119" s="319">
        <f t="shared" si="3"/>
        <v>459973.24999999988</v>
      </c>
      <c r="AD119" s="319">
        <f t="shared" si="4"/>
        <v>554515</v>
      </c>
      <c r="AE119" s="319">
        <f t="shared" si="5"/>
        <v>576953.03999999992</v>
      </c>
      <c r="AF119" s="319">
        <f t="shared" si="6"/>
        <v>583760.04</v>
      </c>
      <c r="AG119" s="319">
        <f t="shared" si="7"/>
        <v>619621.5</v>
      </c>
      <c r="AH119" s="319">
        <f t="shared" si="8"/>
        <v>667512.31000000006</v>
      </c>
      <c r="AI119" s="319">
        <f t="shared" si="9"/>
        <v>731415.57000000007</v>
      </c>
      <c r="AJ119" s="319">
        <f t="shared" si="10"/>
        <v>734199.29</v>
      </c>
      <c r="AK119" s="319">
        <f t="shared" si="11"/>
        <v>696711.06</v>
      </c>
      <c r="AL119" s="319">
        <f t="shared" si="12"/>
        <v>750555.53</v>
      </c>
      <c r="AM119" s="319">
        <f t="shared" si="13"/>
        <v>740795.85000000009</v>
      </c>
      <c r="AN119" s="319">
        <f t="shared" si="14"/>
        <v>774153.22</v>
      </c>
      <c r="AO119" s="319">
        <f t="shared" si="15"/>
        <v>861194.66999999993</v>
      </c>
      <c r="AP119" s="319">
        <f t="shared" si="16"/>
        <v>1104003.25</v>
      </c>
      <c r="AQ119" s="319">
        <f t="shared" si="17"/>
        <v>1113046.19</v>
      </c>
      <c r="AR119" s="319">
        <f t="shared" si="18"/>
        <v>1109295.3400000001</v>
      </c>
      <c r="AS119" s="319">
        <f t="shared" si="19"/>
        <v>1023392.6800000002</v>
      </c>
      <c r="AT119" s="319">
        <f t="shared" si="20"/>
        <v>1377134.9600000002</v>
      </c>
      <c r="AU119" s="319">
        <f t="shared" si="21"/>
        <v>1338090</v>
      </c>
      <c r="AW119" s="322" t="s">
        <v>4</v>
      </c>
      <c r="AX119" s="322">
        <f t="shared" si="22"/>
        <v>297034.35000000003</v>
      </c>
      <c r="AY119" s="322">
        <f t="shared" si="23"/>
        <v>300092.84999999998</v>
      </c>
      <c r="AZ119" s="322">
        <f t="shared" si="24"/>
        <v>323258.58999999997</v>
      </c>
      <c r="BA119" s="322">
        <f t="shared" si="25"/>
        <v>294382.88</v>
      </c>
      <c r="BB119" s="322">
        <f t="shared" si="26"/>
        <v>234602.5</v>
      </c>
      <c r="BC119" s="322">
        <f t="shared" si="27"/>
        <v>240397.1</v>
      </c>
      <c r="BD119" s="322">
        <f t="shared" si="28"/>
        <v>219420.54</v>
      </c>
      <c r="BE119" s="322">
        <f t="shared" si="29"/>
        <v>272633.45999999996</v>
      </c>
      <c r="BF119" s="322">
        <f t="shared" si="30"/>
        <v>263994.76999999996</v>
      </c>
      <c r="BG119" s="322">
        <f t="shared" si="31"/>
        <v>295115.77</v>
      </c>
      <c r="BH119" s="322">
        <f t="shared" si="32"/>
        <v>340987.26</v>
      </c>
      <c r="BI119" s="322">
        <f t="shared" si="33"/>
        <v>347075.22</v>
      </c>
      <c r="BJ119" s="322">
        <f t="shared" si="34"/>
        <v>330973.88</v>
      </c>
      <c r="BK119" s="322">
        <f t="shared" si="35"/>
        <v>368355.38</v>
      </c>
      <c r="BL119" s="322">
        <f t="shared" si="36"/>
        <v>369875.12</v>
      </c>
      <c r="BM119" s="322">
        <f t="shared" si="37"/>
        <v>248326.77</v>
      </c>
      <c r="BN119" s="322">
        <f t="shared" si="38"/>
        <v>303547.01</v>
      </c>
      <c r="BO119" s="340">
        <f t="shared" si="39"/>
        <v>339194.27</v>
      </c>
      <c r="BP119" s="340">
        <f t="shared" si="40"/>
        <v>357017.75</v>
      </c>
      <c r="BQ119" s="340">
        <f t="shared" si="41"/>
        <v>326052.57000000007</v>
      </c>
      <c r="BR119" s="340">
        <f t="shared" si="42"/>
        <v>381334.70999999996</v>
      </c>
      <c r="BS119" s="340">
        <f t="shared" si="43"/>
        <v>445700</v>
      </c>
      <c r="BU119" s="340" t="s">
        <v>4</v>
      </c>
      <c r="BV119" s="340">
        <f t="shared" si="44"/>
        <v>39604.58</v>
      </c>
      <c r="BW119" s="340">
        <f t="shared" si="45"/>
        <v>20006.189999999999</v>
      </c>
      <c r="BX119" s="340">
        <f t="shared" si="46"/>
        <v>51040.83</v>
      </c>
      <c r="BY119" s="340">
        <f t="shared" si="47"/>
        <v>36797.86</v>
      </c>
      <c r="BZ119" s="340">
        <f t="shared" si="48"/>
        <v>42655</v>
      </c>
      <c r="CA119" s="340">
        <f t="shared" si="49"/>
        <v>72119.13</v>
      </c>
      <c r="CB119" s="340">
        <f t="shared" si="50"/>
        <v>73140.180000000008</v>
      </c>
      <c r="CC119" s="340">
        <f t="shared" si="51"/>
        <v>74354.58</v>
      </c>
      <c r="CD119" s="340">
        <f t="shared" si="52"/>
        <v>73203.09</v>
      </c>
      <c r="CE119" s="340">
        <f t="shared" si="53"/>
        <v>68146.44</v>
      </c>
      <c r="CF119" s="340">
        <f t="shared" si="54"/>
        <v>72525.959999999992</v>
      </c>
      <c r="CG119" s="340">
        <f t="shared" si="55"/>
        <v>72562.720000000001</v>
      </c>
      <c r="CH119" s="340">
        <f t="shared" si="56"/>
        <v>73468.26999999999</v>
      </c>
      <c r="CI119" s="340">
        <f t="shared" si="57"/>
        <v>71559.98000000001</v>
      </c>
      <c r="CJ119" s="340">
        <f t="shared" si="58"/>
        <v>73672.95</v>
      </c>
      <c r="CK119" s="340">
        <f t="shared" si="59"/>
        <v>70270.69</v>
      </c>
      <c r="CL119" s="340">
        <f t="shared" si="60"/>
        <v>81371.009999999995</v>
      </c>
      <c r="CM119" s="340">
        <f t="shared" si="61"/>
        <v>91066.91</v>
      </c>
      <c r="CN119" s="340">
        <f t="shared" si="62"/>
        <v>92519.15</v>
      </c>
      <c r="CO119" s="340">
        <f t="shared" si="63"/>
        <v>100177.72</v>
      </c>
      <c r="CP119" s="340">
        <f t="shared" si="64"/>
        <v>98867.97</v>
      </c>
      <c r="CQ119" s="340">
        <f t="shared" si="65"/>
        <v>119640</v>
      </c>
      <c r="CR119" s="122"/>
      <c r="CS119" s="340" t="s">
        <v>4</v>
      </c>
      <c r="CT119" s="340">
        <f t="shared" si="66"/>
        <v>257429.77</v>
      </c>
      <c r="CU119" s="340">
        <f t="shared" si="67"/>
        <v>300092.84999999998</v>
      </c>
      <c r="CV119" s="340">
        <f t="shared" si="68"/>
        <v>238190.54</v>
      </c>
      <c r="CW119" s="340">
        <f t="shared" si="69"/>
        <v>239186.09</v>
      </c>
      <c r="CX119" s="340">
        <f t="shared" si="70"/>
        <v>213275</v>
      </c>
      <c r="CY119" s="340">
        <f t="shared" si="71"/>
        <v>240397.1</v>
      </c>
      <c r="CZ119" s="340">
        <f t="shared" si="72"/>
        <v>243800.6</v>
      </c>
      <c r="DA119" s="340">
        <f t="shared" si="73"/>
        <v>247848.59999999998</v>
      </c>
      <c r="DB119" s="340">
        <f t="shared" si="74"/>
        <v>279757.52</v>
      </c>
      <c r="DC119" s="340">
        <f t="shared" si="75"/>
        <v>289345.06</v>
      </c>
      <c r="DD119" s="340">
        <f t="shared" si="76"/>
        <v>256249.34000000003</v>
      </c>
      <c r="DE119" s="340">
        <f t="shared" si="77"/>
        <v>286462.26</v>
      </c>
      <c r="DF119" s="340">
        <f t="shared" si="78"/>
        <v>310125.19</v>
      </c>
      <c r="DG119" s="340">
        <f t="shared" si="79"/>
        <v>330521.13</v>
      </c>
      <c r="DH119" s="340">
        <f t="shared" si="80"/>
        <v>393427.8</v>
      </c>
      <c r="DI119" s="340">
        <f t="shared" si="81"/>
        <v>538197.94999999995</v>
      </c>
      <c r="DJ119" s="340">
        <f t="shared" si="82"/>
        <v>575647.09</v>
      </c>
      <c r="DK119" s="340">
        <f t="shared" si="83"/>
        <v>576043.12000000011</v>
      </c>
      <c r="DL119" s="340">
        <f t="shared" si="84"/>
        <v>668741.14</v>
      </c>
      <c r="DM119" s="340">
        <f t="shared" si="85"/>
        <v>794878.55999999982</v>
      </c>
      <c r="DN119" s="340">
        <f t="shared" si="86"/>
        <v>862339.87</v>
      </c>
      <c r="DO119" s="340">
        <f t="shared" si="87"/>
        <v>1498740</v>
      </c>
      <c r="DQ119" s="340" t="s">
        <v>4</v>
      </c>
      <c r="DR119" s="340">
        <f t="shared" ref="DR119:EM119" si="157">DR21</f>
        <v>178220.61</v>
      </c>
      <c r="DS119" s="340">
        <f t="shared" si="157"/>
        <v>200061.9</v>
      </c>
      <c r="DT119" s="340">
        <f t="shared" si="157"/>
        <v>119095.27</v>
      </c>
      <c r="DU119" s="340">
        <f t="shared" si="157"/>
        <v>128792.51</v>
      </c>
      <c r="DV119" s="340">
        <f t="shared" si="157"/>
        <v>127965</v>
      </c>
      <c r="DW119" s="340">
        <f t="shared" si="157"/>
        <v>144238.26</v>
      </c>
      <c r="DX119" s="340">
        <f t="shared" si="157"/>
        <v>146280.35999999999</v>
      </c>
      <c r="DY119" s="340">
        <f t="shared" si="157"/>
        <v>173494.02</v>
      </c>
      <c r="DZ119" s="340">
        <f t="shared" si="157"/>
        <v>200774.47</v>
      </c>
      <c r="EA119" s="340">
        <f t="shared" si="157"/>
        <v>238284.33</v>
      </c>
      <c r="EB119" s="340">
        <f t="shared" si="157"/>
        <v>247887.69</v>
      </c>
      <c r="EC119" s="340">
        <f t="shared" si="157"/>
        <v>228587.57</v>
      </c>
      <c r="ED119" s="340">
        <f t="shared" si="157"/>
        <v>222202.40000000002</v>
      </c>
      <c r="EE119" s="340">
        <f t="shared" si="157"/>
        <v>246968.92</v>
      </c>
      <c r="EF119" s="340">
        <f t="shared" si="157"/>
        <v>239757.04</v>
      </c>
      <c r="EG119" s="340">
        <f t="shared" si="157"/>
        <v>227479.57</v>
      </c>
      <c r="EH119" s="340">
        <f t="shared" si="157"/>
        <v>205227.45</v>
      </c>
      <c r="EI119" s="340">
        <f t="shared" si="157"/>
        <v>238523.81</v>
      </c>
      <c r="EJ119" s="340">
        <f t="shared" si="157"/>
        <v>257218.49</v>
      </c>
      <c r="EK119" s="340">
        <f t="shared" si="157"/>
        <v>299672.48</v>
      </c>
      <c r="EL119" s="340">
        <f t="shared" si="157"/>
        <v>297487.81999999995</v>
      </c>
      <c r="EM119" s="340">
        <f t="shared" si="157"/>
        <v>382000</v>
      </c>
      <c r="EO119" s="319" t="s">
        <v>4</v>
      </c>
      <c r="EP119" s="319">
        <f t="shared" si="89"/>
        <v>613870.99</v>
      </c>
      <c r="EQ119" s="319">
        <f t="shared" si="90"/>
        <v>580179.51</v>
      </c>
      <c r="ER119" s="319">
        <f t="shared" si="91"/>
        <v>0</v>
      </c>
      <c r="ES119" s="319">
        <f t="shared" si="92"/>
        <v>0</v>
      </c>
      <c r="ET119" s="319">
        <f t="shared" si="93"/>
        <v>0</v>
      </c>
      <c r="EU119" s="319">
        <f t="shared" si="94"/>
        <v>0</v>
      </c>
      <c r="EV119" s="319">
        <f t="shared" si="95"/>
        <v>0</v>
      </c>
      <c r="EW119" s="319">
        <f t="shared" si="96"/>
        <v>0</v>
      </c>
      <c r="EX119" s="319">
        <f t="shared" si="97"/>
        <v>0</v>
      </c>
      <c r="EY119" s="319">
        <f t="shared" si="98"/>
        <v>0</v>
      </c>
      <c r="EZ119" s="319">
        <f t="shared" si="99"/>
        <v>0</v>
      </c>
      <c r="FA119" s="319">
        <f t="shared" si="100"/>
        <v>0</v>
      </c>
      <c r="FB119" s="319">
        <f t="shared" si="101"/>
        <v>0</v>
      </c>
      <c r="FC119" s="319">
        <f t="shared" si="102"/>
        <v>0</v>
      </c>
      <c r="FD119" s="319">
        <f t="shared" si="103"/>
        <v>0</v>
      </c>
      <c r="FE119" s="319">
        <f t="shared" si="104"/>
        <v>0</v>
      </c>
      <c r="FF119" s="322">
        <f t="shared" si="105"/>
        <v>0</v>
      </c>
      <c r="FG119" s="336">
        <f t="shared" si="106"/>
        <v>0</v>
      </c>
      <c r="FH119" s="336">
        <f t="shared" si="107"/>
        <v>0</v>
      </c>
      <c r="FI119" s="336">
        <f t="shared" si="108"/>
        <v>0</v>
      </c>
      <c r="FJ119" s="336">
        <f t="shared" si="109"/>
        <v>0</v>
      </c>
      <c r="FK119" s="336">
        <f t="shared" si="110"/>
        <v>0</v>
      </c>
      <c r="FL119" s="122"/>
      <c r="FM119" s="340" t="s">
        <v>4</v>
      </c>
      <c r="FN119" s="340">
        <f t="shared" si="111"/>
        <v>178220.61</v>
      </c>
      <c r="FO119" s="340">
        <f t="shared" si="112"/>
        <v>180055.71</v>
      </c>
      <c r="FP119" s="340">
        <f t="shared" si="113"/>
        <v>187149.71</v>
      </c>
      <c r="FQ119" s="340">
        <f t="shared" si="114"/>
        <v>220787.16</v>
      </c>
      <c r="FR119" s="340">
        <f t="shared" si="115"/>
        <v>234602.5</v>
      </c>
      <c r="FS119" s="340">
        <f t="shared" si="116"/>
        <v>240397.1</v>
      </c>
      <c r="FT119" s="340">
        <f t="shared" si="117"/>
        <v>268180.65999999997</v>
      </c>
      <c r="FU119" s="340">
        <f t="shared" si="118"/>
        <v>297418.32</v>
      </c>
      <c r="FV119" s="340">
        <f t="shared" si="119"/>
        <v>332672.59999999992</v>
      </c>
      <c r="FW119" s="340">
        <f t="shared" si="120"/>
        <v>375075.96</v>
      </c>
      <c r="FX119" s="340">
        <f t="shared" si="121"/>
        <v>382855.79</v>
      </c>
      <c r="FY119" s="340">
        <f t="shared" si="122"/>
        <v>354955.33999999997</v>
      </c>
      <c r="FZ119" s="340">
        <f t="shared" si="123"/>
        <v>382961.55999999994</v>
      </c>
      <c r="GA119" s="340">
        <f t="shared" si="124"/>
        <v>384465.15000000008</v>
      </c>
      <c r="GB119" s="340">
        <f t="shared" si="125"/>
        <v>386630.67000000004</v>
      </c>
      <c r="GC119" s="340">
        <f t="shared" si="126"/>
        <v>436020.47999999998</v>
      </c>
      <c r="GD119" s="340">
        <f t="shared" si="127"/>
        <v>457149.70000000007</v>
      </c>
      <c r="GE119" s="340">
        <f t="shared" si="128"/>
        <v>488640.13000000006</v>
      </c>
      <c r="GF119" s="340">
        <f t="shared" si="129"/>
        <v>487010.02999999991</v>
      </c>
      <c r="GG119" s="340">
        <f t="shared" si="130"/>
        <v>541040.7699999999</v>
      </c>
      <c r="GH119" s="340">
        <f t="shared" si="131"/>
        <v>537933.6</v>
      </c>
      <c r="GI119" s="340">
        <f t="shared" si="132"/>
        <v>563837</v>
      </c>
      <c r="GK119" s="340" t="s">
        <v>4</v>
      </c>
      <c r="GL119" s="340">
        <f t="shared" si="133"/>
        <v>0</v>
      </c>
      <c r="GM119" s="340">
        <f t="shared" si="134"/>
        <v>0</v>
      </c>
      <c r="GN119" s="340">
        <f t="shared" si="135"/>
        <v>306244.98</v>
      </c>
      <c r="GO119" s="340">
        <f t="shared" si="136"/>
        <v>459973.25</v>
      </c>
      <c r="GP119" s="340">
        <f t="shared" si="137"/>
        <v>725135</v>
      </c>
      <c r="GQ119" s="340">
        <f t="shared" si="138"/>
        <v>889469.27</v>
      </c>
      <c r="GR119" s="340">
        <f t="shared" si="139"/>
        <v>902062.22</v>
      </c>
      <c r="GS119" s="340">
        <f t="shared" si="140"/>
        <v>793115.52</v>
      </c>
      <c r="GT119" s="340">
        <f t="shared" si="141"/>
        <v>985000</v>
      </c>
      <c r="GU119" s="340">
        <f t="shared" si="142"/>
        <v>1300000</v>
      </c>
      <c r="GV119" s="340">
        <f t="shared" si="143"/>
        <v>1281500</v>
      </c>
      <c r="GW119" s="340">
        <f t="shared" si="144"/>
        <v>595000</v>
      </c>
      <c r="GX119" s="340">
        <f t="shared" si="145"/>
        <v>1272750</v>
      </c>
      <c r="GY119" s="340">
        <f t="shared" si="146"/>
        <v>698000</v>
      </c>
      <c r="GZ119" s="340">
        <f t="shared" si="147"/>
        <v>1240000</v>
      </c>
      <c r="HA119" s="340">
        <f t="shared" si="148"/>
        <v>335000</v>
      </c>
      <c r="HB119" s="340">
        <f t="shared" si="149"/>
        <v>1282305</v>
      </c>
      <c r="HC119" s="340">
        <f t="shared" si="150"/>
        <v>1020000</v>
      </c>
      <c r="HD119" s="340">
        <f t="shared" si="151"/>
        <v>650000</v>
      </c>
      <c r="HE119" s="340">
        <f t="shared" si="152"/>
        <v>795000</v>
      </c>
      <c r="HF119" s="340">
        <f t="shared" si="153"/>
        <v>1350000</v>
      </c>
      <c r="HG119" s="340">
        <f t="shared" si="154"/>
        <v>1795000</v>
      </c>
      <c r="IM119" s="118"/>
      <c r="IN119" s="118"/>
      <c r="IO119" s="118"/>
      <c r="JJ119" s="118"/>
      <c r="JK119" s="118"/>
      <c r="JL119" s="118"/>
      <c r="MA119" s="118"/>
      <c r="MB119" s="118"/>
      <c r="MC119" s="118"/>
      <c r="OR119" s="118"/>
      <c r="OS119" s="118"/>
      <c r="OT119" s="118"/>
      <c r="PK119" s="118"/>
      <c r="PL119" s="118"/>
      <c r="PM119" s="118"/>
      <c r="PN119" s="118"/>
      <c r="PO119" s="118"/>
      <c r="PP119" s="118"/>
      <c r="PQ119" s="118"/>
      <c r="QH119" s="118"/>
      <c r="QI119" s="118"/>
      <c r="QJ119" s="118"/>
      <c r="QK119" s="118"/>
      <c r="QL119" s="118"/>
      <c r="QM119" s="118"/>
      <c r="QN119" s="118"/>
      <c r="RE119" s="118"/>
      <c r="RF119" s="118"/>
      <c r="RG119" s="118"/>
      <c r="RH119" s="118"/>
      <c r="RI119" s="118"/>
      <c r="RJ119" s="118"/>
      <c r="RK119" s="118"/>
    </row>
    <row r="120" spans="1:479">
      <c r="A120" s="915" t="s">
        <v>118</v>
      </c>
      <c r="B120" s="916"/>
      <c r="C120" s="918" t="s">
        <v>447</v>
      </c>
      <c r="D120" s="122"/>
      <c r="E120" s="919"/>
      <c r="G120" s="117"/>
      <c r="H120" s="117"/>
      <c r="I120" s="117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277" t="s">
        <v>5</v>
      </c>
      <c r="Z120" s="319">
        <f t="shared" si="0"/>
        <v>391012.39999999991</v>
      </c>
      <c r="AA120" s="319">
        <f t="shared" si="1"/>
        <v>365555.19000000006</v>
      </c>
      <c r="AB120" s="319">
        <f t="shared" si="2"/>
        <v>478223.59000000008</v>
      </c>
      <c r="AC120" s="319">
        <f t="shared" si="3"/>
        <v>462789.39</v>
      </c>
      <c r="AD120" s="319">
        <f t="shared" si="4"/>
        <v>533094.25000000012</v>
      </c>
      <c r="AE120" s="319">
        <f t="shared" si="5"/>
        <v>532920.96</v>
      </c>
      <c r="AF120" s="319">
        <f t="shared" si="6"/>
        <v>561646.89</v>
      </c>
      <c r="AG120" s="319">
        <f t="shared" si="7"/>
        <v>500350.08</v>
      </c>
      <c r="AH120" s="319">
        <f t="shared" si="8"/>
        <v>661289</v>
      </c>
      <c r="AI120" s="319">
        <f t="shared" si="9"/>
        <v>571970</v>
      </c>
      <c r="AJ120" s="319">
        <f t="shared" si="10"/>
        <v>680568</v>
      </c>
      <c r="AK120" s="319">
        <f t="shared" si="11"/>
        <v>601213</v>
      </c>
      <c r="AL120" s="319">
        <f t="shared" si="12"/>
        <v>627017</v>
      </c>
      <c r="AM120" s="319">
        <f t="shared" si="13"/>
        <v>587407</v>
      </c>
      <c r="AN120" s="319">
        <f t="shared" si="14"/>
        <v>612340</v>
      </c>
      <c r="AO120" s="319">
        <f t="shared" si="15"/>
        <v>644373</v>
      </c>
      <c r="AP120" s="319">
        <f t="shared" si="16"/>
        <v>0</v>
      </c>
      <c r="AQ120" s="319">
        <f t="shared" si="17"/>
        <v>657711</v>
      </c>
      <c r="AR120" s="319">
        <f t="shared" si="18"/>
        <v>773570</v>
      </c>
      <c r="AS120" s="319">
        <f t="shared" si="19"/>
        <v>790296</v>
      </c>
      <c r="AT120" s="319">
        <f t="shared" si="20"/>
        <v>792118</v>
      </c>
      <c r="AU120" s="319">
        <f t="shared" si="21"/>
        <v>787876.44</v>
      </c>
      <c r="AW120" s="322" t="s">
        <v>5</v>
      </c>
      <c r="AX120" s="322">
        <f t="shared" si="22"/>
        <v>123477.59999999999</v>
      </c>
      <c r="AY120" s="322">
        <f t="shared" si="23"/>
        <v>156666.51</v>
      </c>
      <c r="AZ120" s="322">
        <f t="shared" si="24"/>
        <v>166338.64000000001</v>
      </c>
      <c r="BA120" s="322">
        <f t="shared" si="25"/>
        <v>176300.72</v>
      </c>
      <c r="BB120" s="322">
        <f t="shared" si="26"/>
        <v>149266.39000000001</v>
      </c>
      <c r="BC120" s="322">
        <f t="shared" si="27"/>
        <v>169565.76</v>
      </c>
      <c r="BD120" s="322">
        <f t="shared" si="28"/>
        <v>177809.4</v>
      </c>
      <c r="BE120" s="322">
        <f t="shared" si="29"/>
        <v>125087.52</v>
      </c>
      <c r="BF120" s="322">
        <f t="shared" si="30"/>
        <v>153552</v>
      </c>
      <c r="BG120" s="322">
        <f t="shared" si="31"/>
        <v>206741</v>
      </c>
      <c r="BH120" s="322">
        <f t="shared" si="32"/>
        <v>214647</v>
      </c>
      <c r="BI120" s="322">
        <f t="shared" si="33"/>
        <v>208707</v>
      </c>
      <c r="BJ120" s="322">
        <f t="shared" si="34"/>
        <v>214311</v>
      </c>
      <c r="BK120" s="322">
        <f t="shared" si="35"/>
        <v>214543</v>
      </c>
      <c r="BL120" s="322">
        <f t="shared" si="36"/>
        <v>224542</v>
      </c>
      <c r="BM120" s="322">
        <f t="shared" si="37"/>
        <v>202854</v>
      </c>
      <c r="BN120" s="322">
        <f t="shared" si="38"/>
        <v>0</v>
      </c>
      <c r="BO120" s="340">
        <f t="shared" si="39"/>
        <v>178519</v>
      </c>
      <c r="BP120" s="340">
        <f t="shared" si="40"/>
        <v>160648</v>
      </c>
      <c r="BQ120" s="340">
        <f t="shared" si="41"/>
        <v>141300</v>
      </c>
      <c r="BR120" s="340">
        <f t="shared" si="42"/>
        <v>142487</v>
      </c>
      <c r="BS120" s="340">
        <f t="shared" si="43"/>
        <v>162444</v>
      </c>
      <c r="BU120" s="340" t="s">
        <v>5</v>
      </c>
      <c r="BV120" s="340">
        <f t="shared" si="44"/>
        <v>20579.599999999999</v>
      </c>
      <c r="BW120" s="340">
        <f t="shared" si="45"/>
        <v>17407.39</v>
      </c>
      <c r="BX120" s="340">
        <f t="shared" si="46"/>
        <v>20792.330000000002</v>
      </c>
      <c r="BY120" s="340">
        <f t="shared" si="47"/>
        <v>22037.59</v>
      </c>
      <c r="BZ120" s="340">
        <f t="shared" si="48"/>
        <v>21323.77</v>
      </c>
      <c r="CA120" s="340">
        <f t="shared" si="49"/>
        <v>24223.68</v>
      </c>
      <c r="CB120" s="340">
        <f t="shared" si="50"/>
        <v>44452.35</v>
      </c>
      <c r="CC120" s="340">
        <f t="shared" si="51"/>
        <v>31271.88</v>
      </c>
      <c r="CD120" s="340">
        <f t="shared" si="52"/>
        <v>45483</v>
      </c>
      <c r="CE120" s="340">
        <f t="shared" si="53"/>
        <v>50304</v>
      </c>
      <c r="CF120" s="340">
        <f t="shared" si="54"/>
        <v>43862</v>
      </c>
      <c r="CG120" s="340">
        <f t="shared" si="55"/>
        <v>46078</v>
      </c>
      <c r="CH120" s="340">
        <f t="shared" si="56"/>
        <v>56268</v>
      </c>
      <c r="CI120" s="340">
        <f t="shared" si="57"/>
        <v>39419</v>
      </c>
      <c r="CJ120" s="340">
        <f t="shared" si="58"/>
        <v>74704</v>
      </c>
      <c r="CK120" s="340">
        <f t="shared" si="59"/>
        <v>41143</v>
      </c>
      <c r="CL120" s="340">
        <f t="shared" si="60"/>
        <v>0</v>
      </c>
      <c r="CM120" s="340">
        <f t="shared" si="61"/>
        <v>41551</v>
      </c>
      <c r="CN120" s="340">
        <f t="shared" si="62"/>
        <v>46988</v>
      </c>
      <c r="CO120" s="340">
        <f t="shared" si="63"/>
        <v>46768</v>
      </c>
      <c r="CP120" s="340">
        <f t="shared" si="64"/>
        <v>44380</v>
      </c>
      <c r="CQ120" s="340">
        <f t="shared" si="65"/>
        <v>52339</v>
      </c>
      <c r="CR120" s="122"/>
      <c r="CS120" s="340" t="s">
        <v>5</v>
      </c>
      <c r="CT120" s="340">
        <f t="shared" si="66"/>
        <v>617388</v>
      </c>
      <c r="CU120" s="340">
        <f t="shared" si="67"/>
        <v>174073.9</v>
      </c>
      <c r="CV120" s="340">
        <f t="shared" si="68"/>
        <v>145546.31</v>
      </c>
      <c r="CW120" s="340">
        <f t="shared" si="69"/>
        <v>374639.03</v>
      </c>
      <c r="CX120" s="340">
        <f t="shared" si="70"/>
        <v>127942.62</v>
      </c>
      <c r="CY120" s="340">
        <f t="shared" si="71"/>
        <v>363355.2</v>
      </c>
      <c r="CZ120" s="340">
        <f t="shared" si="72"/>
        <v>2133712.7999999998</v>
      </c>
      <c r="DA120" s="340">
        <f t="shared" si="73"/>
        <v>781797</v>
      </c>
      <c r="DB120" s="340">
        <f t="shared" si="74"/>
        <v>571427</v>
      </c>
      <c r="DC120" s="340">
        <f t="shared" si="75"/>
        <v>776845</v>
      </c>
      <c r="DD120" s="340">
        <f t="shared" si="76"/>
        <v>941712</v>
      </c>
      <c r="DE120" s="340">
        <f t="shared" si="77"/>
        <v>1118197</v>
      </c>
      <c r="DF120" s="340">
        <f t="shared" si="78"/>
        <v>880489</v>
      </c>
      <c r="DG120" s="340">
        <f t="shared" si="79"/>
        <v>786361</v>
      </c>
      <c r="DH120" s="340">
        <f t="shared" si="80"/>
        <v>961593</v>
      </c>
      <c r="DI120" s="340">
        <f t="shared" si="81"/>
        <v>500240</v>
      </c>
      <c r="DJ120" s="340">
        <f t="shared" si="82"/>
        <v>0</v>
      </c>
      <c r="DK120" s="340">
        <f t="shared" si="83"/>
        <v>407364</v>
      </c>
      <c r="DL120" s="340">
        <f t="shared" si="84"/>
        <v>466186</v>
      </c>
      <c r="DM120" s="340">
        <f t="shared" si="85"/>
        <v>466186</v>
      </c>
      <c r="DN120" s="340">
        <f t="shared" si="86"/>
        <v>380415</v>
      </c>
      <c r="DO120" s="340">
        <f t="shared" si="87"/>
        <v>691405</v>
      </c>
      <c r="DQ120" s="340" t="s">
        <v>5</v>
      </c>
      <c r="DR120" s="340">
        <f t="shared" ref="DR120:EM120" si="158">DR22</f>
        <v>164636.79999999999</v>
      </c>
      <c r="DS120" s="340">
        <f t="shared" si="158"/>
        <v>174073.9</v>
      </c>
      <c r="DT120" s="340">
        <f t="shared" si="158"/>
        <v>187130.97</v>
      </c>
      <c r="DU120" s="340">
        <f t="shared" si="158"/>
        <v>220375.9</v>
      </c>
      <c r="DV120" s="340">
        <f t="shared" si="158"/>
        <v>255885.24</v>
      </c>
      <c r="DW120" s="340">
        <f t="shared" si="158"/>
        <v>169565.76</v>
      </c>
      <c r="DX120" s="340">
        <f t="shared" si="158"/>
        <v>222261.75</v>
      </c>
      <c r="DY120" s="340">
        <f t="shared" si="158"/>
        <v>406534.44</v>
      </c>
      <c r="DZ120" s="340">
        <f t="shared" si="158"/>
        <v>351880</v>
      </c>
      <c r="EA120" s="340">
        <f t="shared" si="158"/>
        <v>402188</v>
      </c>
      <c r="EB120" s="340">
        <f t="shared" si="158"/>
        <v>435219</v>
      </c>
      <c r="EC120" s="340">
        <f t="shared" si="158"/>
        <v>476619</v>
      </c>
      <c r="ED120" s="340">
        <f t="shared" si="158"/>
        <v>480581</v>
      </c>
      <c r="EE120" s="340">
        <f t="shared" si="158"/>
        <v>498019</v>
      </c>
      <c r="EF120" s="340">
        <f t="shared" si="158"/>
        <v>486072</v>
      </c>
      <c r="EG120" s="340">
        <f t="shared" si="158"/>
        <v>464119</v>
      </c>
      <c r="EH120" s="340">
        <f t="shared" si="158"/>
        <v>0</v>
      </c>
      <c r="EI120" s="340">
        <f t="shared" si="158"/>
        <v>446573</v>
      </c>
      <c r="EJ120" s="340">
        <f t="shared" si="158"/>
        <v>541793</v>
      </c>
      <c r="EK120" s="340">
        <f t="shared" si="158"/>
        <v>540138</v>
      </c>
      <c r="EL120" s="340">
        <f t="shared" si="158"/>
        <v>559003</v>
      </c>
      <c r="EM120" s="340">
        <f t="shared" si="158"/>
        <v>605475</v>
      </c>
      <c r="EO120" s="319" t="s">
        <v>5</v>
      </c>
      <c r="EP120" s="319">
        <f t="shared" si="89"/>
        <v>637967.6</v>
      </c>
      <c r="EQ120" s="319">
        <f t="shared" si="90"/>
        <v>731110.38</v>
      </c>
      <c r="ER120" s="319">
        <f t="shared" si="91"/>
        <v>727731.55</v>
      </c>
      <c r="ES120" s="319">
        <f t="shared" si="92"/>
        <v>727240.47</v>
      </c>
      <c r="ET120" s="319">
        <f t="shared" si="93"/>
        <v>831627.03</v>
      </c>
      <c r="EU120" s="319">
        <f t="shared" si="94"/>
        <v>944723.52</v>
      </c>
      <c r="EV120" s="319">
        <f t="shared" si="95"/>
        <v>977951.7</v>
      </c>
      <c r="EW120" s="319">
        <f t="shared" si="96"/>
        <v>1000700.1599999999</v>
      </c>
      <c r="EX120" s="319">
        <f t="shared" si="97"/>
        <v>1010757</v>
      </c>
      <c r="EY120" s="319">
        <f t="shared" si="98"/>
        <v>1064135</v>
      </c>
      <c r="EZ120" s="319">
        <f t="shared" si="99"/>
        <v>1096286</v>
      </c>
      <c r="FA120" s="319">
        <f t="shared" si="100"/>
        <v>1162884</v>
      </c>
      <c r="FB120" s="319">
        <f t="shared" si="101"/>
        <v>1150527</v>
      </c>
      <c r="FC120" s="319">
        <f t="shared" si="102"/>
        <v>1048485</v>
      </c>
      <c r="FD120" s="319">
        <f t="shared" si="103"/>
        <v>1076519</v>
      </c>
      <c r="FE120" s="319">
        <f t="shared" si="104"/>
        <v>1098837</v>
      </c>
      <c r="FF120" s="322">
        <f t="shared" si="105"/>
        <v>0</v>
      </c>
      <c r="FG120" s="336">
        <f t="shared" si="106"/>
        <v>1050589</v>
      </c>
      <c r="FH120" s="336">
        <f t="shared" si="107"/>
        <v>1118238</v>
      </c>
      <c r="FI120" s="336">
        <f t="shared" si="108"/>
        <v>1118238</v>
      </c>
      <c r="FJ120" s="336">
        <f t="shared" si="109"/>
        <v>1180724</v>
      </c>
      <c r="FK120" s="336">
        <f t="shared" si="110"/>
        <v>1264854.27</v>
      </c>
      <c r="FL120" s="122"/>
      <c r="FM120" s="340" t="s">
        <v>5</v>
      </c>
      <c r="FN120" s="340">
        <f t="shared" si="111"/>
        <v>102898</v>
      </c>
      <c r="FO120" s="340">
        <f t="shared" si="112"/>
        <v>121851.73</v>
      </c>
      <c r="FP120" s="340">
        <f t="shared" si="113"/>
        <v>124753.98</v>
      </c>
      <c r="FQ120" s="340">
        <f t="shared" si="114"/>
        <v>154263.13</v>
      </c>
      <c r="FR120" s="340">
        <f t="shared" si="115"/>
        <v>213237.7</v>
      </c>
      <c r="FS120" s="340">
        <f t="shared" si="116"/>
        <v>218013.12</v>
      </c>
      <c r="FT120" s="340">
        <f t="shared" si="117"/>
        <v>266714.09999999998</v>
      </c>
      <c r="FU120" s="340">
        <f t="shared" si="118"/>
        <v>281446.92</v>
      </c>
      <c r="FV120" s="340">
        <f t="shared" si="119"/>
        <v>297246</v>
      </c>
      <c r="FW120" s="340">
        <f t="shared" si="120"/>
        <v>285339</v>
      </c>
      <c r="FX120" s="340">
        <f t="shared" si="121"/>
        <v>272454</v>
      </c>
      <c r="FY120" s="340">
        <f t="shared" si="122"/>
        <v>255356</v>
      </c>
      <c r="FZ120" s="340">
        <f t="shared" si="123"/>
        <v>263408</v>
      </c>
      <c r="GA120" s="340">
        <f t="shared" si="124"/>
        <v>266428</v>
      </c>
      <c r="GB120" s="340">
        <f t="shared" si="125"/>
        <v>270896</v>
      </c>
      <c r="GC120" s="340">
        <f t="shared" si="126"/>
        <v>271127</v>
      </c>
      <c r="GD120" s="340">
        <f t="shared" si="127"/>
        <v>0</v>
      </c>
      <c r="GE120" s="340">
        <f t="shared" si="128"/>
        <v>276976</v>
      </c>
      <c r="GF120" s="340">
        <f t="shared" si="129"/>
        <v>326994</v>
      </c>
      <c r="GG120" s="340">
        <f t="shared" si="130"/>
        <v>326994</v>
      </c>
      <c r="GH120" s="340">
        <f t="shared" si="131"/>
        <v>360157</v>
      </c>
      <c r="GI120" s="340">
        <f t="shared" si="132"/>
        <v>416345</v>
      </c>
      <c r="GK120" s="340" t="s">
        <v>5</v>
      </c>
      <c r="GL120" s="340">
        <f t="shared" si="133"/>
        <v>0</v>
      </c>
      <c r="GM120" s="340">
        <f t="shared" si="134"/>
        <v>0</v>
      </c>
      <c r="GN120" s="340">
        <f t="shared" si="135"/>
        <v>228715.63</v>
      </c>
      <c r="GO120" s="340">
        <f t="shared" si="136"/>
        <v>66112.77</v>
      </c>
      <c r="GP120" s="340">
        <f t="shared" si="137"/>
        <v>0</v>
      </c>
      <c r="GQ120" s="340">
        <f t="shared" si="138"/>
        <v>0</v>
      </c>
      <c r="GR120" s="340">
        <f t="shared" si="139"/>
        <v>0</v>
      </c>
      <c r="GS120" s="340">
        <f t="shared" si="140"/>
        <v>0</v>
      </c>
      <c r="GT120" s="340">
        <f t="shared" si="141"/>
        <v>0</v>
      </c>
      <c r="GU120" s="340">
        <f t="shared" si="142"/>
        <v>1011</v>
      </c>
      <c r="GV120" s="340">
        <f t="shared" si="143"/>
        <v>1306</v>
      </c>
      <c r="GW120" s="340">
        <f t="shared" si="144"/>
        <v>95</v>
      </c>
      <c r="GX120" s="340">
        <f t="shared" si="145"/>
        <v>96</v>
      </c>
      <c r="GY120" s="340">
        <f t="shared" si="146"/>
        <v>0</v>
      </c>
      <c r="GZ120" s="340">
        <f t="shared" si="147"/>
        <v>0</v>
      </c>
      <c r="HA120" s="340">
        <f t="shared" si="148"/>
        <v>0</v>
      </c>
      <c r="HB120" s="340">
        <f t="shared" si="149"/>
        <v>0</v>
      </c>
      <c r="HC120" s="340">
        <f t="shared" si="150"/>
        <v>105000</v>
      </c>
      <c r="HD120" s="340">
        <f t="shared" si="151"/>
        <v>105270</v>
      </c>
      <c r="HE120" s="340">
        <f t="shared" si="152"/>
        <v>105270</v>
      </c>
      <c r="HF120" s="340">
        <f t="shared" si="153"/>
        <v>566000</v>
      </c>
      <c r="HG120" s="340">
        <f t="shared" si="154"/>
        <v>0</v>
      </c>
      <c r="IM120" s="118"/>
      <c r="IN120" s="118"/>
      <c r="IO120" s="118"/>
      <c r="JJ120" s="118"/>
      <c r="JK120" s="118"/>
      <c r="JL120" s="118"/>
      <c r="MA120" s="118"/>
      <c r="MB120" s="118"/>
      <c r="MC120" s="118"/>
      <c r="OR120" s="118"/>
      <c r="OS120" s="118"/>
      <c r="OT120" s="118"/>
      <c r="PK120" s="118"/>
      <c r="PL120" s="118"/>
      <c r="PM120" s="118"/>
      <c r="PN120" s="118"/>
      <c r="PO120" s="118"/>
      <c r="PP120" s="118"/>
      <c r="PQ120" s="118"/>
      <c r="QH120" s="118"/>
      <c r="QI120" s="118"/>
      <c r="QJ120" s="118"/>
      <c r="QK120" s="118"/>
      <c r="QL120" s="118"/>
      <c r="QM120" s="118"/>
      <c r="QN120" s="118"/>
      <c r="RE120" s="118"/>
      <c r="RF120" s="118"/>
      <c r="RG120" s="118"/>
      <c r="RH120" s="118"/>
      <c r="RI120" s="118"/>
      <c r="RJ120" s="118"/>
      <c r="RK120" s="118"/>
    </row>
    <row r="121" spans="1:479">
      <c r="A121" s="915" t="s">
        <v>135</v>
      </c>
      <c r="B121" s="916"/>
      <c r="C121" s="117" t="s">
        <v>441</v>
      </c>
      <c r="D121" s="236"/>
      <c r="E121" s="919"/>
      <c r="F121" s="919"/>
      <c r="G121" s="920"/>
      <c r="H121" s="117"/>
      <c r="J121" s="118"/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258"/>
      <c r="V121" s="118"/>
      <c r="W121" s="118"/>
      <c r="X121" s="118"/>
      <c r="Y121" s="277" t="s">
        <v>6</v>
      </c>
      <c r="Z121" s="319">
        <f t="shared" si="0"/>
        <v>284663.5</v>
      </c>
      <c r="AA121" s="319">
        <f t="shared" si="1"/>
        <v>255689.87000000002</v>
      </c>
      <c r="AB121" s="319">
        <f t="shared" si="2"/>
        <v>440002.5</v>
      </c>
      <c r="AC121" s="319">
        <f t="shared" si="3"/>
        <v>374616</v>
      </c>
      <c r="AD121" s="319">
        <f t="shared" si="4"/>
        <v>400004.8</v>
      </c>
      <c r="AE121" s="319">
        <f t="shared" si="5"/>
        <v>371187.84</v>
      </c>
      <c r="AF121" s="319">
        <f t="shared" si="6"/>
        <v>369176.24000000005</v>
      </c>
      <c r="AG121" s="319">
        <f t="shared" si="7"/>
        <v>368119.04000000004</v>
      </c>
      <c r="AH121" s="319">
        <f t="shared" si="8"/>
        <v>433056.33999999997</v>
      </c>
      <c r="AI121" s="319">
        <f t="shared" si="9"/>
        <v>425191.74000000005</v>
      </c>
      <c r="AJ121" s="319">
        <f t="shared" si="10"/>
        <v>500277.23</v>
      </c>
      <c r="AK121" s="319">
        <f t="shared" si="11"/>
        <v>485558.02</v>
      </c>
      <c r="AL121" s="319">
        <f t="shared" si="12"/>
        <v>579864.69999999995</v>
      </c>
      <c r="AM121" s="319">
        <f t="shared" si="13"/>
        <v>476498.49</v>
      </c>
      <c r="AN121" s="319">
        <f t="shared" si="14"/>
        <v>585165.91999999993</v>
      </c>
      <c r="AO121" s="319">
        <f t="shared" si="15"/>
        <v>525921.6</v>
      </c>
      <c r="AP121" s="319">
        <f t="shared" si="16"/>
        <v>553085.82999999996</v>
      </c>
      <c r="AQ121" s="319">
        <f t="shared" si="17"/>
        <v>567843.1399999999</v>
      </c>
      <c r="AR121" s="319">
        <f t="shared" si="18"/>
        <v>605062.12</v>
      </c>
      <c r="AS121" s="319">
        <f t="shared" si="19"/>
        <v>554427.82999999996</v>
      </c>
      <c r="AT121" s="319">
        <f t="shared" si="20"/>
        <v>568212.15</v>
      </c>
      <c r="AU121" s="319">
        <f t="shared" si="21"/>
        <v>669999</v>
      </c>
      <c r="AV121" s="328"/>
      <c r="AW121" s="322" t="s">
        <v>6</v>
      </c>
      <c r="AX121" s="322">
        <f t="shared" si="22"/>
        <v>62625.97</v>
      </c>
      <c r="AY121" s="322">
        <f t="shared" si="23"/>
        <v>43521.68</v>
      </c>
      <c r="AZ121" s="322">
        <f t="shared" si="24"/>
        <v>60690</v>
      </c>
      <c r="BA121" s="322">
        <f t="shared" si="25"/>
        <v>52446.239999999998</v>
      </c>
      <c r="BB121" s="322">
        <f t="shared" si="26"/>
        <v>38462</v>
      </c>
      <c r="BC121" s="322">
        <f t="shared" si="27"/>
        <v>46398.479999999996</v>
      </c>
      <c r="BD121" s="322">
        <f t="shared" si="28"/>
        <v>55244.07</v>
      </c>
      <c r="BE121" s="322">
        <f t="shared" si="29"/>
        <v>46993.919999999998</v>
      </c>
      <c r="BF121" s="322">
        <f t="shared" si="30"/>
        <v>58030.31</v>
      </c>
      <c r="BG121" s="322">
        <f t="shared" si="31"/>
        <v>42977.430000000008</v>
      </c>
      <c r="BH121" s="322">
        <f t="shared" si="32"/>
        <v>45156.32</v>
      </c>
      <c r="BI121" s="322">
        <f t="shared" si="33"/>
        <v>48031.179999999993</v>
      </c>
      <c r="BJ121" s="322">
        <f t="shared" si="34"/>
        <v>58948.890000000007</v>
      </c>
      <c r="BK121" s="322">
        <f t="shared" si="35"/>
        <v>62925.58</v>
      </c>
      <c r="BL121" s="322">
        <f t="shared" si="36"/>
        <v>47408.86</v>
      </c>
      <c r="BM121" s="322">
        <f t="shared" si="37"/>
        <v>67019.899999999994</v>
      </c>
      <c r="BN121" s="322">
        <f t="shared" si="38"/>
        <v>58105.760000000009</v>
      </c>
      <c r="BO121" s="340">
        <f t="shared" si="39"/>
        <v>61020.84</v>
      </c>
      <c r="BP121" s="340">
        <f t="shared" si="40"/>
        <v>48613.229999999996</v>
      </c>
      <c r="BQ121" s="340">
        <f t="shared" si="41"/>
        <v>55959.850000000006</v>
      </c>
      <c r="BR121" s="340">
        <f t="shared" si="42"/>
        <v>53147.99</v>
      </c>
      <c r="BS121" s="340">
        <f t="shared" si="43"/>
        <v>269625</v>
      </c>
      <c r="BT121" s="328"/>
      <c r="BU121" s="340" t="s">
        <v>6</v>
      </c>
      <c r="BV121" s="340">
        <f t="shared" si="44"/>
        <v>28466.350000000002</v>
      </c>
      <c r="BW121" s="340">
        <f t="shared" si="45"/>
        <v>38081.47</v>
      </c>
      <c r="BX121" s="340">
        <f t="shared" si="46"/>
        <v>37931.25</v>
      </c>
      <c r="BY121" s="340">
        <f t="shared" si="47"/>
        <v>29969.279999999999</v>
      </c>
      <c r="BZ121" s="340">
        <f t="shared" si="48"/>
        <v>30769.599999999999</v>
      </c>
      <c r="CA121" s="340">
        <f t="shared" si="49"/>
        <v>38665.4</v>
      </c>
      <c r="CB121" s="340">
        <f t="shared" si="50"/>
        <v>39460.050000000003</v>
      </c>
      <c r="CC121" s="340">
        <f t="shared" si="51"/>
        <v>54826.239999999998</v>
      </c>
      <c r="CD121" s="340">
        <f t="shared" si="52"/>
        <v>50786.680000000008</v>
      </c>
      <c r="CE121" s="340">
        <f t="shared" si="53"/>
        <v>55818.85</v>
      </c>
      <c r="CF121" s="340">
        <f t="shared" si="54"/>
        <v>41726.99</v>
      </c>
      <c r="CG121" s="340">
        <f t="shared" si="55"/>
        <v>54444</v>
      </c>
      <c r="CH121" s="340">
        <f t="shared" si="56"/>
        <v>71604.989999999991</v>
      </c>
      <c r="CI121" s="340">
        <f t="shared" si="57"/>
        <v>74271.72</v>
      </c>
      <c r="CJ121" s="340">
        <f t="shared" si="58"/>
        <v>76503.23</v>
      </c>
      <c r="CK121" s="340">
        <f t="shared" si="59"/>
        <v>77931.03</v>
      </c>
      <c r="CL121" s="340">
        <f t="shared" si="60"/>
        <v>82770.52</v>
      </c>
      <c r="CM121" s="340">
        <f t="shared" si="61"/>
        <v>78451.060000000012</v>
      </c>
      <c r="CN121" s="340">
        <f t="shared" si="62"/>
        <v>77686.62</v>
      </c>
      <c r="CO121" s="340">
        <f t="shared" si="63"/>
        <v>76353.16</v>
      </c>
      <c r="CP121" s="340">
        <f t="shared" si="64"/>
        <v>78494.09</v>
      </c>
      <c r="CQ121" s="340">
        <f t="shared" si="65"/>
        <v>88730</v>
      </c>
      <c r="CR121" s="122"/>
      <c r="CS121" s="340" t="s">
        <v>6</v>
      </c>
      <c r="CT121" s="340">
        <f t="shared" si="66"/>
        <v>85399.05</v>
      </c>
      <c r="CU121" s="340">
        <f t="shared" si="67"/>
        <v>92483.57</v>
      </c>
      <c r="CV121" s="340">
        <f t="shared" si="68"/>
        <v>106207.5</v>
      </c>
      <c r="CW121" s="340">
        <f t="shared" si="69"/>
        <v>142354.08000000002</v>
      </c>
      <c r="CX121" s="340">
        <f t="shared" si="70"/>
        <v>153848</v>
      </c>
      <c r="CY121" s="340">
        <f t="shared" si="71"/>
        <v>146928.51999999999</v>
      </c>
      <c r="CZ121" s="340">
        <f t="shared" si="72"/>
        <v>142056.18</v>
      </c>
      <c r="DA121" s="340">
        <f t="shared" si="73"/>
        <v>125317.12</v>
      </c>
      <c r="DB121" s="340">
        <f t="shared" si="74"/>
        <v>220432.16999999998</v>
      </c>
      <c r="DC121" s="340">
        <f t="shared" si="75"/>
        <v>171749.36</v>
      </c>
      <c r="DD121" s="340">
        <f t="shared" si="76"/>
        <v>160868.4</v>
      </c>
      <c r="DE121" s="340">
        <f t="shared" si="77"/>
        <v>145784.43</v>
      </c>
      <c r="DF121" s="340">
        <f t="shared" si="78"/>
        <v>133550.59</v>
      </c>
      <c r="DG121" s="340">
        <f t="shared" si="79"/>
        <v>136209.16</v>
      </c>
      <c r="DH121" s="340">
        <f t="shared" si="80"/>
        <v>202887.87</v>
      </c>
      <c r="DI121" s="340">
        <f t="shared" si="81"/>
        <v>184056.12</v>
      </c>
      <c r="DJ121" s="340">
        <f t="shared" si="82"/>
        <v>176835.99</v>
      </c>
      <c r="DK121" s="340">
        <f t="shared" si="83"/>
        <v>174246.1</v>
      </c>
      <c r="DL121" s="340">
        <f t="shared" si="84"/>
        <v>195329.58000000002</v>
      </c>
      <c r="DM121" s="340">
        <f t="shared" si="85"/>
        <v>204140.44999999998</v>
      </c>
      <c r="DN121" s="340">
        <f t="shared" si="86"/>
        <v>232595.72999999998</v>
      </c>
      <c r="DO121" s="340">
        <f t="shared" si="87"/>
        <v>235725</v>
      </c>
      <c r="DQ121" s="340" t="s">
        <v>6</v>
      </c>
      <c r="DR121" s="340">
        <f t="shared" ref="DR121:EM121" si="159">DR23</f>
        <v>28466.35</v>
      </c>
      <c r="DS121" s="340">
        <f t="shared" si="159"/>
        <v>27201.05</v>
      </c>
      <c r="DT121" s="340">
        <f t="shared" si="159"/>
        <v>30345</v>
      </c>
      <c r="DU121" s="340">
        <f t="shared" si="159"/>
        <v>29969.279999999999</v>
      </c>
      <c r="DV121" s="340">
        <f t="shared" si="159"/>
        <v>53846.8</v>
      </c>
      <c r="DW121" s="340">
        <f t="shared" si="159"/>
        <v>61864.639999999999</v>
      </c>
      <c r="DX121" s="340">
        <f t="shared" si="159"/>
        <v>71028.09</v>
      </c>
      <c r="DY121" s="340">
        <f t="shared" si="159"/>
        <v>70490.880000000005</v>
      </c>
      <c r="DZ121" s="340">
        <f t="shared" si="159"/>
        <v>78926.95</v>
      </c>
      <c r="EA121" s="340">
        <f t="shared" si="159"/>
        <v>80835.98</v>
      </c>
      <c r="EB121" s="340">
        <f t="shared" si="159"/>
        <v>84884.579999999987</v>
      </c>
      <c r="EC121" s="340">
        <f t="shared" si="159"/>
        <v>87874.95</v>
      </c>
      <c r="ED121" s="340">
        <f t="shared" si="159"/>
        <v>97859.650000000009</v>
      </c>
      <c r="EE121" s="340">
        <f t="shared" si="159"/>
        <v>108895.37</v>
      </c>
      <c r="EF121" s="340">
        <f t="shared" si="159"/>
        <v>134045.20000000001</v>
      </c>
      <c r="EG121" s="340">
        <f t="shared" si="159"/>
        <v>126955.34999999999</v>
      </c>
      <c r="EH121" s="340">
        <f t="shared" si="159"/>
        <v>133164.20000000001</v>
      </c>
      <c r="EI121" s="340">
        <f t="shared" si="159"/>
        <v>142712.85</v>
      </c>
      <c r="EJ121" s="340">
        <f t="shared" si="159"/>
        <v>151463.93</v>
      </c>
      <c r="EK121" s="340">
        <f t="shared" si="159"/>
        <v>167877.03</v>
      </c>
      <c r="EL121" s="340">
        <f t="shared" si="159"/>
        <v>170173.47000000003</v>
      </c>
      <c r="EM121" s="340">
        <f t="shared" si="159"/>
        <v>183700</v>
      </c>
      <c r="EO121" s="319" t="s">
        <v>6</v>
      </c>
      <c r="EP121" s="319">
        <f t="shared" si="89"/>
        <v>0</v>
      </c>
      <c r="EQ121" s="319">
        <f t="shared" si="90"/>
        <v>0</v>
      </c>
      <c r="ER121" s="319">
        <f t="shared" si="91"/>
        <v>0</v>
      </c>
      <c r="ES121" s="319">
        <f t="shared" si="92"/>
        <v>0</v>
      </c>
      <c r="ET121" s="319">
        <f t="shared" si="93"/>
        <v>0</v>
      </c>
      <c r="EU121" s="319">
        <f t="shared" si="94"/>
        <v>0</v>
      </c>
      <c r="EV121" s="319">
        <f t="shared" si="95"/>
        <v>0</v>
      </c>
      <c r="EW121" s="319">
        <f t="shared" si="96"/>
        <v>0</v>
      </c>
      <c r="EX121" s="319">
        <f t="shared" si="97"/>
        <v>0</v>
      </c>
      <c r="EY121" s="319">
        <f t="shared" si="98"/>
        <v>0</v>
      </c>
      <c r="EZ121" s="319">
        <f t="shared" si="99"/>
        <v>15238.71</v>
      </c>
      <c r="FA121" s="319">
        <f t="shared" si="100"/>
        <v>0</v>
      </c>
      <c r="FB121" s="319">
        <f t="shared" si="101"/>
        <v>0</v>
      </c>
      <c r="FC121" s="319">
        <f t="shared" si="102"/>
        <v>0</v>
      </c>
      <c r="FD121" s="319">
        <f t="shared" si="103"/>
        <v>0</v>
      </c>
      <c r="FE121" s="319">
        <f t="shared" si="104"/>
        <v>0</v>
      </c>
      <c r="FF121" s="322">
        <f t="shared" si="105"/>
        <v>0</v>
      </c>
      <c r="FG121" s="336">
        <f t="shared" si="106"/>
        <v>0</v>
      </c>
      <c r="FH121" s="336">
        <f t="shared" si="107"/>
        <v>0</v>
      </c>
      <c r="FI121" s="336">
        <f t="shared" si="108"/>
        <v>0</v>
      </c>
      <c r="FJ121" s="336">
        <f t="shared" si="109"/>
        <v>0</v>
      </c>
      <c r="FK121" s="336">
        <f t="shared" si="110"/>
        <v>0</v>
      </c>
      <c r="FL121" s="122"/>
      <c r="FM121" s="340" t="s">
        <v>6</v>
      </c>
      <c r="FN121" s="340">
        <f t="shared" si="111"/>
        <v>51239.43</v>
      </c>
      <c r="FO121" s="340">
        <f t="shared" si="112"/>
        <v>54402.1</v>
      </c>
      <c r="FP121" s="340">
        <f t="shared" si="113"/>
        <v>60690</v>
      </c>
      <c r="FQ121" s="340">
        <f t="shared" si="114"/>
        <v>89907.839999999997</v>
      </c>
      <c r="FR121" s="340">
        <f t="shared" si="115"/>
        <v>76924</v>
      </c>
      <c r="FS121" s="340">
        <f t="shared" si="116"/>
        <v>85063.88</v>
      </c>
      <c r="FT121" s="340">
        <f t="shared" si="117"/>
        <v>86812.11</v>
      </c>
      <c r="FU121" s="340">
        <f t="shared" si="118"/>
        <v>86155.520000000004</v>
      </c>
      <c r="FV121" s="340">
        <f t="shared" si="119"/>
        <v>88061.49</v>
      </c>
      <c r="FW121" s="340">
        <f t="shared" si="120"/>
        <v>95930.28</v>
      </c>
      <c r="FX121" s="340">
        <f t="shared" si="121"/>
        <v>96866.07</v>
      </c>
      <c r="FY121" s="340">
        <f t="shared" si="122"/>
        <v>99005.73</v>
      </c>
      <c r="FZ121" s="340">
        <f t="shared" si="123"/>
        <v>101344.37</v>
      </c>
      <c r="GA121" s="340">
        <f t="shared" si="124"/>
        <v>96330.189999999988</v>
      </c>
      <c r="GB121" s="340">
        <f t="shared" si="125"/>
        <v>123126.89</v>
      </c>
      <c r="GC121" s="340">
        <f t="shared" si="126"/>
        <v>103883.28</v>
      </c>
      <c r="GD121" s="340">
        <f t="shared" si="127"/>
        <v>104433.07</v>
      </c>
      <c r="GE121" s="340">
        <f t="shared" si="128"/>
        <v>113351.97999999998</v>
      </c>
      <c r="GF121" s="340">
        <f t="shared" si="129"/>
        <v>109543.48999999999</v>
      </c>
      <c r="GG121" s="340">
        <f t="shared" si="130"/>
        <v>104921.08</v>
      </c>
      <c r="GH121" s="340">
        <f t="shared" si="131"/>
        <v>121793.76</v>
      </c>
      <c r="GI121" s="340">
        <f t="shared" si="132"/>
        <v>125161</v>
      </c>
      <c r="GK121" s="340" t="s">
        <v>6</v>
      </c>
      <c r="GL121" s="340">
        <f t="shared" si="133"/>
        <v>28466.35</v>
      </c>
      <c r="GM121" s="340">
        <f t="shared" si="134"/>
        <v>32641.26</v>
      </c>
      <c r="GN121" s="340">
        <f t="shared" si="135"/>
        <v>22758.75</v>
      </c>
      <c r="GO121" s="340">
        <f t="shared" si="136"/>
        <v>29969.279999999999</v>
      </c>
      <c r="GP121" s="340">
        <f t="shared" si="137"/>
        <v>15384.8</v>
      </c>
      <c r="GQ121" s="340">
        <f t="shared" si="138"/>
        <v>23199.24</v>
      </c>
      <c r="GR121" s="340">
        <f t="shared" si="139"/>
        <v>23676.03</v>
      </c>
      <c r="GS121" s="340">
        <f t="shared" si="140"/>
        <v>31329.279999999999</v>
      </c>
      <c r="GT121" s="340">
        <f t="shared" si="141"/>
        <v>28190</v>
      </c>
      <c r="GU121" s="340">
        <f t="shared" si="142"/>
        <v>15265.99</v>
      </c>
      <c r="GV121" s="340">
        <f t="shared" si="143"/>
        <v>23890.799999999999</v>
      </c>
      <c r="GW121" s="340">
        <f t="shared" si="144"/>
        <v>7090</v>
      </c>
      <c r="GX121" s="340">
        <f t="shared" si="145"/>
        <v>16117.630000000001</v>
      </c>
      <c r="GY121" s="340">
        <f t="shared" si="146"/>
        <v>0</v>
      </c>
      <c r="GZ121" s="340">
        <f t="shared" si="147"/>
        <v>26735.190000000002</v>
      </c>
      <c r="HA121" s="340">
        <f t="shared" si="148"/>
        <v>57362.3</v>
      </c>
      <c r="HB121" s="340">
        <f t="shared" si="149"/>
        <v>52795.48</v>
      </c>
      <c r="HC121" s="340">
        <f t="shared" si="150"/>
        <v>38000</v>
      </c>
      <c r="HD121" s="340">
        <f t="shared" si="151"/>
        <v>53950</v>
      </c>
      <c r="HE121" s="340">
        <f t="shared" si="152"/>
        <v>131597</v>
      </c>
      <c r="HF121" s="340">
        <f t="shared" si="153"/>
        <v>60450.8</v>
      </c>
      <c r="HG121" s="340">
        <f t="shared" si="154"/>
        <v>103000</v>
      </c>
      <c r="IM121" s="118"/>
      <c r="IN121" s="118"/>
      <c r="IO121" s="118"/>
      <c r="JJ121" s="118"/>
      <c r="JK121" s="118"/>
      <c r="JL121" s="118"/>
      <c r="MA121" s="118"/>
      <c r="MB121" s="118"/>
      <c r="MC121" s="118"/>
      <c r="OR121" s="118"/>
      <c r="OS121" s="118"/>
      <c r="OT121" s="118"/>
      <c r="PK121" s="118"/>
      <c r="PL121" s="118"/>
      <c r="PM121" s="118"/>
      <c r="PN121" s="118"/>
      <c r="PO121" s="118"/>
      <c r="PP121" s="118"/>
      <c r="PQ121" s="118"/>
      <c r="QH121" s="118"/>
      <c r="QI121" s="118"/>
      <c r="QJ121" s="118"/>
      <c r="QK121" s="118"/>
      <c r="QL121" s="118"/>
      <c r="QM121" s="118"/>
      <c r="QN121" s="118"/>
      <c r="RE121" s="118"/>
      <c r="RF121" s="118"/>
      <c r="RG121" s="118"/>
      <c r="RH121" s="118"/>
      <c r="RI121" s="118"/>
      <c r="RJ121" s="118"/>
      <c r="RK121" s="118"/>
    </row>
    <row r="122" spans="1:479">
      <c r="A122" s="915" t="s">
        <v>128</v>
      </c>
      <c r="B122" s="916"/>
      <c r="C122" s="918" t="s">
        <v>447</v>
      </c>
      <c r="D122" s="236"/>
      <c r="E122" s="919"/>
      <c r="F122" s="920"/>
      <c r="G122" s="117"/>
      <c r="H122" s="117"/>
      <c r="I122" s="117"/>
      <c r="T122" s="121"/>
      <c r="Y122" s="277" t="s">
        <v>7</v>
      </c>
      <c r="Z122" s="319">
        <f t="shared" si="0"/>
        <v>337102.92000000004</v>
      </c>
      <c r="AA122" s="319">
        <f t="shared" si="1"/>
        <v>478201.12</v>
      </c>
      <c r="AB122" s="319">
        <f t="shared" si="2"/>
        <v>301108.71999999997</v>
      </c>
      <c r="AC122" s="319">
        <f t="shared" si="3"/>
        <v>329826.25</v>
      </c>
      <c r="AD122" s="319">
        <f t="shared" si="4"/>
        <v>393972.47999999998</v>
      </c>
      <c r="AE122" s="319">
        <f t="shared" si="5"/>
        <v>559956.75</v>
      </c>
      <c r="AF122" s="319">
        <f t="shared" si="6"/>
        <v>514215.48</v>
      </c>
      <c r="AG122" s="319">
        <f t="shared" si="7"/>
        <v>391058.64</v>
      </c>
      <c r="AH122" s="319">
        <f t="shared" si="8"/>
        <v>687358.27666666673</v>
      </c>
      <c r="AI122" s="319">
        <f t="shared" si="9"/>
        <v>0</v>
      </c>
      <c r="AJ122" s="319">
        <f t="shared" si="10"/>
        <v>0</v>
      </c>
      <c r="AK122" s="319">
        <f t="shared" si="11"/>
        <v>0</v>
      </c>
      <c r="AL122" s="319">
        <f t="shared" si="12"/>
        <v>0</v>
      </c>
      <c r="AM122" s="319">
        <f t="shared" si="13"/>
        <v>0</v>
      </c>
      <c r="AN122" s="319">
        <f t="shared" si="14"/>
        <v>0</v>
      </c>
      <c r="AO122" s="319">
        <f t="shared" si="15"/>
        <v>0</v>
      </c>
      <c r="AP122" s="319">
        <f t="shared" si="16"/>
        <v>0</v>
      </c>
      <c r="AQ122" s="319">
        <f t="shared" si="17"/>
        <v>0</v>
      </c>
      <c r="AR122" s="319">
        <f t="shared" si="18"/>
        <v>0</v>
      </c>
      <c r="AS122" s="319">
        <f t="shared" si="19"/>
        <v>0</v>
      </c>
      <c r="AT122" s="319">
        <f t="shared" si="20"/>
        <v>0</v>
      </c>
      <c r="AU122" s="319">
        <f t="shared" si="21"/>
        <v>0</v>
      </c>
      <c r="AW122" s="322" t="s">
        <v>7</v>
      </c>
      <c r="AX122" s="322">
        <f t="shared" si="22"/>
        <v>30645.72</v>
      </c>
      <c r="AY122" s="322">
        <f t="shared" si="23"/>
        <v>25168.48</v>
      </c>
      <c r="AZ122" s="322">
        <f t="shared" si="24"/>
        <v>22470.799999999999</v>
      </c>
      <c r="BA122" s="322">
        <f t="shared" si="25"/>
        <v>20297</v>
      </c>
      <c r="BB122" s="322">
        <f t="shared" si="26"/>
        <v>18467.46</v>
      </c>
      <c r="BC122" s="322">
        <f t="shared" si="27"/>
        <v>29864.36</v>
      </c>
      <c r="BD122" s="322">
        <f t="shared" si="28"/>
        <v>28308.16</v>
      </c>
      <c r="BE122" s="322">
        <f t="shared" si="29"/>
        <v>18621.84</v>
      </c>
      <c r="BF122" s="322">
        <f t="shared" si="30"/>
        <v>14783.16</v>
      </c>
      <c r="BG122" s="322">
        <f t="shared" si="31"/>
        <v>0</v>
      </c>
      <c r="BH122" s="322">
        <f t="shared" si="32"/>
        <v>0</v>
      </c>
      <c r="BI122" s="322">
        <f t="shared" si="33"/>
        <v>0</v>
      </c>
      <c r="BJ122" s="322">
        <f t="shared" si="34"/>
        <v>0</v>
      </c>
      <c r="BK122" s="322">
        <f t="shared" si="35"/>
        <v>0</v>
      </c>
      <c r="BL122" s="322">
        <f t="shared" si="36"/>
        <v>0</v>
      </c>
      <c r="BM122" s="322">
        <f t="shared" si="37"/>
        <v>0</v>
      </c>
      <c r="BN122" s="322">
        <f t="shared" si="38"/>
        <v>0</v>
      </c>
      <c r="BO122" s="340">
        <f t="shared" si="39"/>
        <v>0</v>
      </c>
      <c r="BP122" s="340">
        <f t="shared" si="40"/>
        <v>0</v>
      </c>
      <c r="BQ122" s="340">
        <f t="shared" si="41"/>
        <v>0</v>
      </c>
      <c r="BR122" s="340">
        <f t="shared" si="42"/>
        <v>0</v>
      </c>
      <c r="BS122" s="340">
        <f t="shared" si="43"/>
        <v>0</v>
      </c>
      <c r="BU122" s="340" t="s">
        <v>7</v>
      </c>
      <c r="BV122" s="340">
        <f t="shared" si="44"/>
        <v>5107.62</v>
      </c>
      <c r="BW122" s="340">
        <f t="shared" si="45"/>
        <v>18876.36</v>
      </c>
      <c r="BX122" s="340">
        <f t="shared" si="46"/>
        <v>17976.64</v>
      </c>
      <c r="BY122" s="340">
        <f t="shared" si="47"/>
        <v>30445.5</v>
      </c>
      <c r="BZ122" s="340">
        <f t="shared" si="48"/>
        <v>49246.559999999998</v>
      </c>
      <c r="CA122" s="340">
        <f t="shared" si="49"/>
        <v>22398.27</v>
      </c>
      <c r="CB122" s="340">
        <f t="shared" si="50"/>
        <v>21231.119999999999</v>
      </c>
      <c r="CC122" s="340">
        <f t="shared" si="51"/>
        <v>18621.84</v>
      </c>
      <c r="CD122" s="340">
        <f t="shared" si="52"/>
        <v>14783.16</v>
      </c>
      <c r="CE122" s="340">
        <f t="shared" si="53"/>
        <v>0</v>
      </c>
      <c r="CF122" s="340">
        <f t="shared" si="54"/>
        <v>0</v>
      </c>
      <c r="CG122" s="340">
        <f t="shared" si="55"/>
        <v>0</v>
      </c>
      <c r="CH122" s="340">
        <f t="shared" si="56"/>
        <v>0</v>
      </c>
      <c r="CI122" s="340">
        <f t="shared" si="57"/>
        <v>0</v>
      </c>
      <c r="CJ122" s="340">
        <f t="shared" si="58"/>
        <v>0</v>
      </c>
      <c r="CK122" s="340">
        <f t="shared" si="59"/>
        <v>0</v>
      </c>
      <c r="CL122" s="340">
        <f t="shared" si="60"/>
        <v>0</v>
      </c>
      <c r="CM122" s="340">
        <f t="shared" si="61"/>
        <v>0</v>
      </c>
      <c r="CN122" s="340">
        <f t="shared" si="62"/>
        <v>0</v>
      </c>
      <c r="CO122" s="340">
        <f t="shared" si="63"/>
        <v>0</v>
      </c>
      <c r="CP122" s="340">
        <f t="shared" si="64"/>
        <v>0</v>
      </c>
      <c r="CQ122" s="340">
        <f t="shared" si="65"/>
        <v>0</v>
      </c>
      <c r="CR122" s="122"/>
      <c r="CS122" s="340" t="s">
        <v>7</v>
      </c>
      <c r="CT122" s="340">
        <f t="shared" si="66"/>
        <v>81721.919999999998</v>
      </c>
      <c r="CU122" s="340">
        <f t="shared" si="67"/>
        <v>56629.08</v>
      </c>
      <c r="CV122" s="340">
        <f t="shared" si="68"/>
        <v>58424.08</v>
      </c>
      <c r="CW122" s="340">
        <f t="shared" si="69"/>
        <v>76113.75</v>
      </c>
      <c r="CX122" s="340">
        <f t="shared" si="70"/>
        <v>80025.66</v>
      </c>
      <c r="CY122" s="340">
        <f t="shared" si="71"/>
        <v>82126.990000000005</v>
      </c>
      <c r="CZ122" s="340">
        <f t="shared" si="72"/>
        <v>84924.479999999996</v>
      </c>
      <c r="DA122" s="340">
        <f t="shared" si="73"/>
        <v>105523.76</v>
      </c>
      <c r="DB122" s="340">
        <f t="shared" si="74"/>
        <v>591326.4</v>
      </c>
      <c r="DC122" s="340">
        <f t="shared" si="75"/>
        <v>0</v>
      </c>
      <c r="DD122" s="340">
        <f t="shared" si="76"/>
        <v>0</v>
      </c>
      <c r="DE122" s="340">
        <f t="shared" si="77"/>
        <v>0</v>
      </c>
      <c r="DF122" s="340">
        <f t="shared" si="78"/>
        <v>0</v>
      </c>
      <c r="DG122" s="340">
        <f t="shared" si="79"/>
        <v>0</v>
      </c>
      <c r="DH122" s="340">
        <f t="shared" si="80"/>
        <v>0</v>
      </c>
      <c r="DI122" s="340">
        <f t="shared" si="81"/>
        <v>0</v>
      </c>
      <c r="DJ122" s="340">
        <f t="shared" si="82"/>
        <v>0</v>
      </c>
      <c r="DK122" s="340">
        <f t="shared" si="83"/>
        <v>0</v>
      </c>
      <c r="DL122" s="340">
        <f t="shared" si="84"/>
        <v>0</v>
      </c>
      <c r="DM122" s="340">
        <f t="shared" si="85"/>
        <v>0</v>
      </c>
      <c r="DN122" s="340">
        <f t="shared" si="86"/>
        <v>0</v>
      </c>
      <c r="DO122" s="340">
        <f t="shared" si="87"/>
        <v>0</v>
      </c>
      <c r="DP122" s="346"/>
      <c r="DQ122" s="340" t="s">
        <v>7</v>
      </c>
      <c r="DR122" s="340">
        <f t="shared" ref="DR122:EM122" si="160">DR24</f>
        <v>40860.959999999999</v>
      </c>
      <c r="DS122" s="340">
        <f t="shared" si="160"/>
        <v>44044.84</v>
      </c>
      <c r="DT122" s="340">
        <f t="shared" si="160"/>
        <v>44941.599999999999</v>
      </c>
      <c r="DU122" s="340">
        <f t="shared" si="160"/>
        <v>50742.5</v>
      </c>
      <c r="DV122" s="340">
        <f t="shared" si="160"/>
        <v>61558.2</v>
      </c>
      <c r="DW122" s="340">
        <f t="shared" si="160"/>
        <v>52262.63</v>
      </c>
      <c r="DX122" s="340">
        <f t="shared" si="160"/>
        <v>63693.36</v>
      </c>
      <c r="DY122" s="340">
        <f t="shared" si="160"/>
        <v>74487.360000000001</v>
      </c>
      <c r="DZ122" s="340">
        <f t="shared" si="160"/>
        <v>88698.96</v>
      </c>
      <c r="EA122" s="340">
        <f t="shared" si="160"/>
        <v>0</v>
      </c>
      <c r="EB122" s="340">
        <f t="shared" si="160"/>
        <v>0</v>
      </c>
      <c r="EC122" s="340">
        <f t="shared" si="160"/>
        <v>0</v>
      </c>
      <c r="ED122" s="340">
        <f t="shared" si="160"/>
        <v>0</v>
      </c>
      <c r="EE122" s="340">
        <f t="shared" si="160"/>
        <v>0</v>
      </c>
      <c r="EF122" s="340">
        <f t="shared" si="160"/>
        <v>0</v>
      </c>
      <c r="EG122" s="340">
        <f t="shared" si="160"/>
        <v>0</v>
      </c>
      <c r="EH122" s="340">
        <f t="shared" si="160"/>
        <v>0</v>
      </c>
      <c r="EI122" s="340">
        <f t="shared" si="160"/>
        <v>0</v>
      </c>
      <c r="EJ122" s="340">
        <f t="shared" si="160"/>
        <v>0</v>
      </c>
      <c r="EK122" s="340">
        <f t="shared" si="160"/>
        <v>0</v>
      </c>
      <c r="EL122" s="340">
        <f t="shared" si="160"/>
        <v>0</v>
      </c>
      <c r="EM122" s="340">
        <f t="shared" si="160"/>
        <v>0</v>
      </c>
      <c r="EO122" s="319" t="s">
        <v>7</v>
      </c>
      <c r="EP122" s="319">
        <f t="shared" si="89"/>
        <v>0</v>
      </c>
      <c r="EQ122" s="319">
        <f t="shared" si="90"/>
        <v>0</v>
      </c>
      <c r="ER122" s="319">
        <f t="shared" si="91"/>
        <v>0</v>
      </c>
      <c r="ES122" s="319">
        <f t="shared" si="92"/>
        <v>0</v>
      </c>
      <c r="ET122" s="319">
        <f t="shared" si="93"/>
        <v>0</v>
      </c>
      <c r="EU122" s="319">
        <f t="shared" si="94"/>
        <v>0</v>
      </c>
      <c r="EV122" s="319">
        <f t="shared" si="95"/>
        <v>0</v>
      </c>
      <c r="EW122" s="319">
        <f t="shared" si="96"/>
        <v>0</v>
      </c>
      <c r="EX122" s="319">
        <f t="shared" si="97"/>
        <v>0</v>
      </c>
      <c r="EY122" s="319">
        <f t="shared" si="98"/>
        <v>0</v>
      </c>
      <c r="EZ122" s="319">
        <f t="shared" si="99"/>
        <v>0</v>
      </c>
      <c r="FA122" s="319">
        <f t="shared" si="100"/>
        <v>0</v>
      </c>
      <c r="FB122" s="319">
        <f t="shared" si="101"/>
        <v>0</v>
      </c>
      <c r="FC122" s="319">
        <f t="shared" si="102"/>
        <v>0</v>
      </c>
      <c r="FD122" s="319">
        <f t="shared" si="103"/>
        <v>0</v>
      </c>
      <c r="FE122" s="319">
        <f t="shared" si="104"/>
        <v>0</v>
      </c>
      <c r="FF122" s="322">
        <f t="shared" si="105"/>
        <v>0</v>
      </c>
      <c r="FG122" s="336">
        <f t="shared" si="106"/>
        <v>0</v>
      </c>
      <c r="FH122" s="336">
        <f t="shared" si="107"/>
        <v>0</v>
      </c>
      <c r="FI122" s="336">
        <f t="shared" si="108"/>
        <v>0</v>
      </c>
      <c r="FJ122" s="336">
        <f t="shared" si="109"/>
        <v>0</v>
      </c>
      <c r="FK122" s="336">
        <f t="shared" si="110"/>
        <v>0</v>
      </c>
      <c r="FL122" s="122"/>
      <c r="FM122" s="340" t="s">
        <v>7</v>
      </c>
      <c r="FN122" s="340">
        <f t="shared" si="111"/>
        <v>0</v>
      </c>
      <c r="FO122" s="340">
        <f t="shared" si="112"/>
        <v>0</v>
      </c>
      <c r="FP122" s="340">
        <f t="shared" si="113"/>
        <v>0</v>
      </c>
      <c r="FQ122" s="340">
        <f t="shared" si="114"/>
        <v>0</v>
      </c>
      <c r="FR122" s="340">
        <f t="shared" si="115"/>
        <v>0</v>
      </c>
      <c r="FS122" s="340">
        <f t="shared" si="116"/>
        <v>0</v>
      </c>
      <c r="FT122" s="340">
        <f t="shared" si="117"/>
        <v>0</v>
      </c>
      <c r="FU122" s="340">
        <f t="shared" si="118"/>
        <v>0</v>
      </c>
      <c r="FV122" s="340">
        <f t="shared" si="119"/>
        <v>0</v>
      </c>
      <c r="FW122" s="340">
        <f t="shared" si="120"/>
        <v>0</v>
      </c>
      <c r="FX122" s="340">
        <f t="shared" si="121"/>
        <v>0</v>
      </c>
      <c r="FY122" s="340">
        <f t="shared" si="122"/>
        <v>0</v>
      </c>
      <c r="FZ122" s="340">
        <f t="shared" si="123"/>
        <v>0</v>
      </c>
      <c r="GA122" s="340">
        <f t="shared" si="124"/>
        <v>0</v>
      </c>
      <c r="GB122" s="340">
        <f t="shared" si="125"/>
        <v>0</v>
      </c>
      <c r="GC122" s="340">
        <f t="shared" si="126"/>
        <v>0</v>
      </c>
      <c r="GD122" s="340">
        <f t="shared" si="127"/>
        <v>0</v>
      </c>
      <c r="GE122" s="340">
        <f t="shared" si="128"/>
        <v>0</v>
      </c>
      <c r="GF122" s="340">
        <f t="shared" si="129"/>
        <v>0</v>
      </c>
      <c r="GG122" s="340">
        <f t="shared" si="130"/>
        <v>0</v>
      </c>
      <c r="GH122" s="340">
        <f t="shared" si="131"/>
        <v>0</v>
      </c>
      <c r="GI122" s="340">
        <f t="shared" si="132"/>
        <v>0</v>
      </c>
      <c r="GK122" s="340" t="s">
        <v>7</v>
      </c>
      <c r="GL122" s="340">
        <f t="shared" si="133"/>
        <v>15322.86</v>
      </c>
      <c r="GM122" s="340">
        <f t="shared" si="134"/>
        <v>6292.12</v>
      </c>
      <c r="GN122" s="340">
        <f t="shared" si="135"/>
        <v>4494.16</v>
      </c>
      <c r="GO122" s="340">
        <f t="shared" si="136"/>
        <v>0</v>
      </c>
      <c r="GP122" s="340">
        <f t="shared" si="137"/>
        <v>12311.64</v>
      </c>
      <c r="GQ122" s="340">
        <f t="shared" si="138"/>
        <v>0</v>
      </c>
      <c r="GR122" s="340">
        <f t="shared" si="139"/>
        <v>0</v>
      </c>
      <c r="GS122" s="340">
        <f t="shared" si="140"/>
        <v>12414.56</v>
      </c>
      <c r="GT122" s="340">
        <f t="shared" si="141"/>
        <v>14783.16</v>
      </c>
      <c r="GU122" s="340">
        <f t="shared" si="142"/>
        <v>0</v>
      </c>
      <c r="GV122" s="340">
        <f t="shared" si="143"/>
        <v>0</v>
      </c>
      <c r="GW122" s="340">
        <f t="shared" si="144"/>
        <v>0</v>
      </c>
      <c r="GX122" s="340">
        <f t="shared" si="145"/>
        <v>0</v>
      </c>
      <c r="GY122" s="340">
        <f t="shared" si="146"/>
        <v>0</v>
      </c>
      <c r="GZ122" s="340">
        <f t="shared" si="147"/>
        <v>0</v>
      </c>
      <c r="HA122" s="340">
        <f t="shared" si="148"/>
        <v>0</v>
      </c>
      <c r="HB122" s="340">
        <f t="shared" si="149"/>
        <v>0</v>
      </c>
      <c r="HC122" s="340">
        <f t="shared" si="150"/>
        <v>0</v>
      </c>
      <c r="HD122" s="340">
        <f t="shared" si="151"/>
        <v>0</v>
      </c>
      <c r="HE122" s="340">
        <f t="shared" si="152"/>
        <v>0</v>
      </c>
      <c r="HF122" s="340">
        <f t="shared" si="153"/>
        <v>0</v>
      </c>
      <c r="HG122" s="340">
        <f t="shared" si="154"/>
        <v>0</v>
      </c>
      <c r="HH122" s="116"/>
      <c r="IF122" s="116"/>
      <c r="IG122" s="116"/>
      <c r="IH122" s="116"/>
      <c r="II122" s="116"/>
      <c r="IJ122" s="116"/>
      <c r="IK122" s="116"/>
      <c r="IL122" s="116"/>
      <c r="IM122" s="116"/>
      <c r="IN122" s="118"/>
      <c r="IO122" s="118"/>
      <c r="JB122" s="116"/>
      <c r="JC122" s="116"/>
      <c r="JD122" s="116"/>
      <c r="JE122" s="116"/>
      <c r="JF122" s="116"/>
      <c r="JG122" s="116"/>
      <c r="JH122" s="116"/>
      <c r="JI122" s="116"/>
      <c r="JJ122" s="116"/>
      <c r="JK122" s="118"/>
      <c r="JL122" s="118"/>
      <c r="JY122" s="116"/>
      <c r="JZ122" s="116"/>
      <c r="KA122" s="116"/>
      <c r="KB122" s="116"/>
      <c r="LX122" s="116"/>
      <c r="LY122" s="116"/>
      <c r="LZ122" s="116"/>
      <c r="MA122" s="116"/>
      <c r="MB122" s="118"/>
      <c r="MC122" s="118"/>
      <c r="MP122" s="116"/>
      <c r="MQ122" s="116"/>
      <c r="MR122" s="116"/>
      <c r="MS122" s="116"/>
      <c r="MT122" s="116"/>
      <c r="MU122" s="116"/>
      <c r="MV122" s="116"/>
      <c r="OR122" s="116"/>
      <c r="OS122" s="118"/>
      <c r="OT122" s="118"/>
      <c r="PC122" s="116"/>
      <c r="PD122" s="116"/>
      <c r="PE122" s="116"/>
      <c r="PF122" s="116"/>
      <c r="PG122" s="116"/>
      <c r="PH122" s="116"/>
      <c r="PI122" s="116"/>
      <c r="PJ122" s="116"/>
      <c r="PK122" s="116"/>
      <c r="PL122" s="116"/>
      <c r="PM122" s="116"/>
      <c r="PN122" s="116"/>
      <c r="PO122" s="116"/>
      <c r="PP122" s="118"/>
      <c r="PQ122" s="118"/>
      <c r="PZ122" s="116"/>
      <c r="QA122" s="116"/>
      <c r="QB122" s="116"/>
      <c r="QC122" s="116"/>
      <c r="QD122" s="116"/>
      <c r="QE122" s="116"/>
      <c r="QF122" s="116"/>
      <c r="QG122" s="116"/>
      <c r="QH122" s="116"/>
      <c r="QI122" s="116"/>
      <c r="QJ122" s="116"/>
      <c r="QK122" s="116"/>
      <c r="QL122" s="116"/>
      <c r="QM122" s="118"/>
      <c r="QN122" s="118"/>
      <c r="RE122" s="118"/>
      <c r="RF122" s="118"/>
      <c r="RG122" s="118"/>
      <c r="RH122" s="118"/>
      <c r="RI122" s="118"/>
      <c r="RJ122" s="118"/>
      <c r="RK122" s="118"/>
    </row>
    <row r="123" spans="1:479">
      <c r="A123" s="915" t="s">
        <v>132</v>
      </c>
      <c r="B123" s="916"/>
      <c r="C123" s="918" t="s">
        <v>447</v>
      </c>
      <c r="D123" s="236"/>
      <c r="E123" s="236"/>
      <c r="F123" s="236"/>
      <c r="G123" s="236"/>
      <c r="H123" s="236"/>
      <c r="Y123" s="277" t="s">
        <v>8</v>
      </c>
      <c r="Z123" s="319">
        <f t="shared" si="0"/>
        <v>302786</v>
      </c>
      <c r="AA123" s="319">
        <f t="shared" si="1"/>
        <v>267723.87</v>
      </c>
      <c r="AB123" s="319">
        <f t="shared" si="2"/>
        <v>315651.31</v>
      </c>
      <c r="AC123" s="319">
        <f t="shared" si="3"/>
        <v>357366.75000000006</v>
      </c>
      <c r="AD123" s="319">
        <f t="shared" si="4"/>
        <v>392253.03</v>
      </c>
      <c r="AE123" s="319">
        <f t="shared" si="5"/>
        <v>344742.2</v>
      </c>
      <c r="AF123" s="319">
        <f t="shared" si="6"/>
        <v>405989.34999999992</v>
      </c>
      <c r="AG123" s="319">
        <f t="shared" si="7"/>
        <v>397876.82</v>
      </c>
      <c r="AH123" s="319">
        <f t="shared" si="8"/>
        <v>455352.35</v>
      </c>
      <c r="AI123" s="319">
        <f t="shared" si="9"/>
        <v>405918.85999999993</v>
      </c>
      <c r="AJ123" s="319">
        <f t="shared" si="10"/>
        <v>464930.21</v>
      </c>
      <c r="AK123" s="319">
        <f t="shared" si="11"/>
        <v>444903.73</v>
      </c>
      <c r="AL123" s="319">
        <f t="shared" si="12"/>
        <v>540052.25</v>
      </c>
      <c r="AM123" s="319">
        <f t="shared" si="13"/>
        <v>493025.13</v>
      </c>
      <c r="AN123" s="319">
        <f t="shared" si="14"/>
        <v>534555.07999999996</v>
      </c>
      <c r="AO123" s="319">
        <f t="shared" si="15"/>
        <v>491498.22</v>
      </c>
      <c r="AP123" s="319">
        <f t="shared" si="16"/>
        <v>590884.81000000006</v>
      </c>
      <c r="AQ123" s="319">
        <f t="shared" si="17"/>
        <v>491822.66</v>
      </c>
      <c r="AR123" s="319">
        <f t="shared" si="18"/>
        <v>554131.49</v>
      </c>
      <c r="AS123" s="319">
        <f t="shared" si="19"/>
        <v>522035.77999999997</v>
      </c>
      <c r="AT123" s="319">
        <f t="shared" si="20"/>
        <v>613501.54</v>
      </c>
      <c r="AU123" s="319">
        <f t="shared" si="21"/>
        <v>587326.75</v>
      </c>
      <c r="AW123" s="322" t="s">
        <v>8</v>
      </c>
      <c r="AX123" s="322">
        <f t="shared" si="22"/>
        <v>123867</v>
      </c>
      <c r="AY123" s="322">
        <f t="shared" si="23"/>
        <v>154998.03</v>
      </c>
      <c r="AZ123" s="322">
        <f t="shared" si="24"/>
        <v>109791.76</v>
      </c>
      <c r="BA123" s="322">
        <f t="shared" si="25"/>
        <v>85768.02</v>
      </c>
      <c r="BB123" s="322">
        <f t="shared" si="26"/>
        <v>43583.67</v>
      </c>
      <c r="BC123" s="322">
        <f t="shared" si="27"/>
        <v>78350.5</v>
      </c>
      <c r="BD123" s="322">
        <f t="shared" si="28"/>
        <v>51732.450000000004</v>
      </c>
      <c r="BE123" s="322">
        <f t="shared" si="29"/>
        <v>54255.930000000008</v>
      </c>
      <c r="BF123" s="322">
        <f t="shared" si="30"/>
        <v>59481.61</v>
      </c>
      <c r="BG123" s="322">
        <f t="shared" si="31"/>
        <v>69251.149999999994</v>
      </c>
      <c r="BH123" s="322">
        <f t="shared" si="32"/>
        <v>72360.599999999991</v>
      </c>
      <c r="BI123" s="322">
        <f t="shared" si="33"/>
        <v>68951.350000000006</v>
      </c>
      <c r="BJ123" s="322">
        <f t="shared" si="34"/>
        <v>78597.180000000008</v>
      </c>
      <c r="BK123" s="322">
        <f t="shared" si="35"/>
        <v>86173.390000000014</v>
      </c>
      <c r="BL123" s="322">
        <f t="shared" si="36"/>
        <v>98428.55</v>
      </c>
      <c r="BM123" s="322">
        <f t="shared" si="37"/>
        <v>76201.97</v>
      </c>
      <c r="BN123" s="322">
        <f t="shared" si="38"/>
        <v>74340.45</v>
      </c>
      <c r="BO123" s="340">
        <f t="shared" si="39"/>
        <v>99632.38</v>
      </c>
      <c r="BP123" s="340">
        <f t="shared" si="40"/>
        <v>79385.429999999993</v>
      </c>
      <c r="BQ123" s="340">
        <f t="shared" si="41"/>
        <v>67810.77</v>
      </c>
      <c r="BR123" s="340">
        <f t="shared" si="42"/>
        <v>64755.14</v>
      </c>
      <c r="BS123" s="340">
        <f t="shared" si="43"/>
        <v>98811.25</v>
      </c>
      <c r="BU123" s="340" t="s">
        <v>8</v>
      </c>
      <c r="BV123" s="340">
        <f t="shared" si="44"/>
        <v>27526</v>
      </c>
      <c r="BW123" s="340">
        <f t="shared" si="45"/>
        <v>14090.73</v>
      </c>
      <c r="BX123" s="340">
        <f t="shared" si="46"/>
        <v>27447.94</v>
      </c>
      <c r="BY123" s="340">
        <f t="shared" si="47"/>
        <v>28589.34</v>
      </c>
      <c r="BZ123" s="340">
        <f t="shared" si="48"/>
        <v>14527.89</v>
      </c>
      <c r="CA123" s="340">
        <f t="shared" si="49"/>
        <v>31340.2</v>
      </c>
      <c r="CB123" s="340">
        <f t="shared" si="50"/>
        <v>34488.300000000003</v>
      </c>
      <c r="CC123" s="340">
        <f t="shared" si="51"/>
        <v>36170.620000000003</v>
      </c>
      <c r="CD123" s="340">
        <f t="shared" si="52"/>
        <v>40765.240000000005</v>
      </c>
      <c r="CE123" s="340">
        <f t="shared" si="53"/>
        <v>47793.09</v>
      </c>
      <c r="CF123" s="340">
        <f t="shared" si="54"/>
        <v>49208.58</v>
      </c>
      <c r="CG123" s="340">
        <f t="shared" si="55"/>
        <v>51446.7</v>
      </c>
      <c r="CH123" s="340">
        <f t="shared" si="56"/>
        <v>54424.81</v>
      </c>
      <c r="CI123" s="340">
        <f t="shared" si="57"/>
        <v>67185.67</v>
      </c>
      <c r="CJ123" s="340">
        <f t="shared" si="58"/>
        <v>67562.84</v>
      </c>
      <c r="CK123" s="340">
        <f t="shared" si="59"/>
        <v>78899.44</v>
      </c>
      <c r="CL123" s="340">
        <f t="shared" si="60"/>
        <v>90658.84</v>
      </c>
      <c r="CM123" s="340">
        <f t="shared" si="61"/>
        <v>93844.53</v>
      </c>
      <c r="CN123" s="340">
        <f t="shared" si="62"/>
        <v>89289.68</v>
      </c>
      <c r="CO123" s="340">
        <f t="shared" si="63"/>
        <v>104946.89</v>
      </c>
      <c r="CP123" s="340">
        <f t="shared" si="64"/>
        <v>97211.450000000012</v>
      </c>
      <c r="CQ123" s="340">
        <f t="shared" si="65"/>
        <v>108261.33</v>
      </c>
      <c r="CR123" s="122"/>
      <c r="CS123" s="340" t="s">
        <v>8</v>
      </c>
      <c r="CT123" s="340">
        <f t="shared" si="66"/>
        <v>55052</v>
      </c>
      <c r="CU123" s="340">
        <f t="shared" si="67"/>
        <v>126816.57</v>
      </c>
      <c r="CV123" s="340">
        <f t="shared" si="68"/>
        <v>109791.76</v>
      </c>
      <c r="CW123" s="340">
        <f t="shared" si="69"/>
        <v>85768.02</v>
      </c>
      <c r="CX123" s="340">
        <f t="shared" si="70"/>
        <v>116223.12</v>
      </c>
      <c r="CY123" s="340">
        <f t="shared" si="71"/>
        <v>156701</v>
      </c>
      <c r="CZ123" s="340">
        <f t="shared" si="72"/>
        <v>137953.20000000001</v>
      </c>
      <c r="DA123" s="340">
        <f t="shared" si="73"/>
        <v>162767.79</v>
      </c>
      <c r="DB123" s="340">
        <f t="shared" si="74"/>
        <v>150312.5</v>
      </c>
      <c r="DC123" s="340">
        <f t="shared" si="75"/>
        <v>140567.61999999997</v>
      </c>
      <c r="DD123" s="340">
        <f t="shared" si="76"/>
        <v>168094.31000000003</v>
      </c>
      <c r="DE123" s="340">
        <f t="shared" si="77"/>
        <v>164796.39000000001</v>
      </c>
      <c r="DF123" s="340">
        <f t="shared" si="78"/>
        <v>192447.62</v>
      </c>
      <c r="DG123" s="340">
        <f t="shared" si="79"/>
        <v>144499.84999999998</v>
      </c>
      <c r="DH123" s="340">
        <f t="shared" si="80"/>
        <v>191533.69</v>
      </c>
      <c r="DI123" s="340">
        <f t="shared" si="81"/>
        <v>188943.33</v>
      </c>
      <c r="DJ123" s="340">
        <f t="shared" si="82"/>
        <v>146580.85999999999</v>
      </c>
      <c r="DK123" s="340">
        <f t="shared" si="83"/>
        <v>160206.05000000002</v>
      </c>
      <c r="DL123" s="340">
        <f t="shared" si="84"/>
        <v>156369.03</v>
      </c>
      <c r="DM123" s="340">
        <f t="shared" si="85"/>
        <v>161325.75</v>
      </c>
      <c r="DN123" s="340">
        <f t="shared" si="86"/>
        <v>129884.96999999997</v>
      </c>
      <c r="DO123" s="340">
        <f t="shared" si="87"/>
        <v>196314</v>
      </c>
      <c r="DP123" s="344"/>
      <c r="DQ123" s="340" t="s">
        <v>8</v>
      </c>
      <c r="DR123" s="340">
        <f t="shared" ref="DR123:EM123" si="161">DR25</f>
        <v>82578</v>
      </c>
      <c r="DS123" s="340">
        <f t="shared" si="161"/>
        <v>84544.38</v>
      </c>
      <c r="DT123" s="340">
        <f t="shared" si="161"/>
        <v>68619.850000000006</v>
      </c>
      <c r="DU123" s="340">
        <f t="shared" si="161"/>
        <v>71473.350000000006</v>
      </c>
      <c r="DV123" s="340">
        <f t="shared" si="161"/>
        <v>87167.34</v>
      </c>
      <c r="DW123" s="340">
        <f t="shared" si="161"/>
        <v>94020.6</v>
      </c>
      <c r="DX123" s="340">
        <f t="shared" si="161"/>
        <v>86220.75</v>
      </c>
      <c r="DY123" s="340">
        <f t="shared" si="161"/>
        <v>108511.86</v>
      </c>
      <c r="DZ123" s="340">
        <f t="shared" si="161"/>
        <v>160059.62000000002</v>
      </c>
      <c r="EA123" s="340">
        <f t="shared" si="161"/>
        <v>154994.9</v>
      </c>
      <c r="EB123" s="340">
        <f t="shared" si="161"/>
        <v>161152.05000000002</v>
      </c>
      <c r="EC123" s="340">
        <f t="shared" si="161"/>
        <v>218636.16000000003</v>
      </c>
      <c r="ED123" s="340">
        <f t="shared" si="161"/>
        <v>194456.77</v>
      </c>
      <c r="EE123" s="340">
        <f t="shared" si="161"/>
        <v>253557.37000000002</v>
      </c>
      <c r="EF123" s="340">
        <f t="shared" si="161"/>
        <v>235570.49</v>
      </c>
      <c r="EG123" s="340">
        <f t="shared" si="161"/>
        <v>243382.06</v>
      </c>
      <c r="EH123" s="340">
        <f t="shared" si="161"/>
        <v>218756.66999999998</v>
      </c>
      <c r="EI123" s="340">
        <f t="shared" si="161"/>
        <v>238975.19</v>
      </c>
      <c r="EJ123" s="340">
        <f t="shared" si="161"/>
        <v>261954.96</v>
      </c>
      <c r="EK123" s="340">
        <f t="shared" si="161"/>
        <v>274965.03000000003</v>
      </c>
      <c r="EL123" s="340">
        <f t="shared" si="161"/>
        <v>299038.18000000005</v>
      </c>
      <c r="EM123" s="340">
        <f t="shared" si="161"/>
        <v>299370</v>
      </c>
      <c r="EO123" s="319" t="s">
        <v>8</v>
      </c>
      <c r="EP123" s="319">
        <f t="shared" si="89"/>
        <v>646861</v>
      </c>
      <c r="EQ123" s="319">
        <f t="shared" si="90"/>
        <v>648173.57999999996</v>
      </c>
      <c r="ER123" s="319">
        <f t="shared" si="91"/>
        <v>631302.62</v>
      </c>
      <c r="ES123" s="319">
        <f t="shared" si="92"/>
        <v>671849.49</v>
      </c>
      <c r="ET123" s="319">
        <f t="shared" si="93"/>
        <v>682810.83</v>
      </c>
      <c r="EU123" s="319">
        <f t="shared" si="94"/>
        <v>720824.6</v>
      </c>
      <c r="EV123" s="319">
        <f t="shared" si="95"/>
        <v>775986.75</v>
      </c>
      <c r="EW123" s="319">
        <f t="shared" si="96"/>
        <v>813838.95000000007</v>
      </c>
      <c r="EX123" s="319">
        <f t="shared" si="97"/>
        <v>795976.74999999988</v>
      </c>
      <c r="EY123" s="319">
        <f t="shared" si="98"/>
        <v>807979.17999999993</v>
      </c>
      <c r="EZ123" s="319">
        <f t="shared" si="99"/>
        <v>812268.18000000017</v>
      </c>
      <c r="FA123" s="319">
        <f t="shared" si="100"/>
        <v>832114.33999999985</v>
      </c>
      <c r="FB123" s="319">
        <f t="shared" si="101"/>
        <v>954112.99</v>
      </c>
      <c r="FC123" s="319">
        <f t="shared" si="102"/>
        <v>878087.30999999994</v>
      </c>
      <c r="FD123" s="319">
        <f t="shared" si="103"/>
        <v>937294.29</v>
      </c>
      <c r="FE123" s="319">
        <f t="shared" si="104"/>
        <v>974859.03000000014</v>
      </c>
      <c r="FF123" s="322">
        <f t="shared" si="105"/>
        <v>968386.29999999981</v>
      </c>
      <c r="FG123" s="336">
        <f t="shared" si="106"/>
        <v>979180.33000000007</v>
      </c>
      <c r="FH123" s="336">
        <f t="shared" si="107"/>
        <v>1056510.8199999998</v>
      </c>
      <c r="FI123" s="336">
        <f t="shared" si="108"/>
        <v>1127861.08</v>
      </c>
      <c r="FJ123" s="336">
        <f t="shared" si="109"/>
        <v>1206904.9099999999</v>
      </c>
      <c r="FK123" s="336">
        <f t="shared" si="110"/>
        <v>1113930.8900000001</v>
      </c>
      <c r="FL123" s="122"/>
      <c r="FM123" s="340" t="s">
        <v>8</v>
      </c>
      <c r="FN123" s="340">
        <f t="shared" si="111"/>
        <v>82578</v>
      </c>
      <c r="FO123" s="340">
        <f t="shared" si="112"/>
        <v>84544.38</v>
      </c>
      <c r="FP123" s="340">
        <f t="shared" si="113"/>
        <v>82343.820000000007</v>
      </c>
      <c r="FQ123" s="340">
        <f t="shared" si="114"/>
        <v>114357.36</v>
      </c>
      <c r="FR123" s="340">
        <f t="shared" si="115"/>
        <v>116223.12</v>
      </c>
      <c r="FS123" s="340">
        <f t="shared" si="116"/>
        <v>125360.8</v>
      </c>
      <c r="FT123" s="340">
        <f t="shared" si="117"/>
        <v>137953.20000000001</v>
      </c>
      <c r="FU123" s="340">
        <f t="shared" si="118"/>
        <v>198938.41</v>
      </c>
      <c r="FV123" s="340">
        <f t="shared" si="119"/>
        <v>192075.46999999997</v>
      </c>
      <c r="FW123" s="340">
        <f t="shared" si="120"/>
        <v>194989.39</v>
      </c>
      <c r="FX123" s="340">
        <f t="shared" si="121"/>
        <v>190194.36000000002</v>
      </c>
      <c r="FY123" s="340">
        <f t="shared" si="122"/>
        <v>196226.57</v>
      </c>
      <c r="FZ123" s="340">
        <f t="shared" si="123"/>
        <v>226241.64</v>
      </c>
      <c r="GA123" s="340">
        <f t="shared" si="124"/>
        <v>214269.49</v>
      </c>
      <c r="GB123" s="340">
        <f t="shared" si="125"/>
        <v>215126.3</v>
      </c>
      <c r="GC123" s="340">
        <f t="shared" si="126"/>
        <v>211981.43</v>
      </c>
      <c r="GD123" s="340">
        <f t="shared" si="127"/>
        <v>226302.48</v>
      </c>
      <c r="GE123" s="340">
        <f t="shared" si="128"/>
        <v>225748.12000000002</v>
      </c>
      <c r="GF123" s="340">
        <f t="shared" si="129"/>
        <v>247048.51</v>
      </c>
      <c r="GG123" s="340">
        <f t="shared" si="130"/>
        <v>250704.34999999998</v>
      </c>
      <c r="GH123" s="340">
        <f t="shared" si="131"/>
        <v>244389.57</v>
      </c>
      <c r="GI123" s="340">
        <f t="shared" si="132"/>
        <v>268347.81</v>
      </c>
      <c r="GK123" s="340" t="s">
        <v>8</v>
      </c>
      <c r="GL123" s="340">
        <f t="shared" si="133"/>
        <v>55052</v>
      </c>
      <c r="GM123" s="340">
        <f t="shared" si="134"/>
        <v>28181.46</v>
      </c>
      <c r="GN123" s="340">
        <f t="shared" si="135"/>
        <v>27447.94</v>
      </c>
      <c r="GO123" s="340">
        <f t="shared" si="136"/>
        <v>14294.67</v>
      </c>
      <c r="GP123" s="340">
        <f t="shared" si="137"/>
        <v>0</v>
      </c>
      <c r="GQ123" s="340">
        <f t="shared" si="138"/>
        <v>15670.1</v>
      </c>
      <c r="GR123" s="340">
        <f t="shared" si="139"/>
        <v>86220.75</v>
      </c>
      <c r="GS123" s="340">
        <f t="shared" si="140"/>
        <v>36170.620000000003</v>
      </c>
      <c r="GT123" s="340">
        <f t="shared" si="141"/>
        <v>17896.010000000002</v>
      </c>
      <c r="GU123" s="340">
        <f t="shared" si="142"/>
        <v>3912.16</v>
      </c>
      <c r="GV123" s="340">
        <f t="shared" si="143"/>
        <v>5414.1</v>
      </c>
      <c r="GW123" s="340">
        <f t="shared" si="144"/>
        <v>37017.760000000002</v>
      </c>
      <c r="GX123" s="340">
        <f t="shared" si="145"/>
        <v>5489.27</v>
      </c>
      <c r="GY123" s="340">
        <f t="shared" si="146"/>
        <v>0</v>
      </c>
      <c r="GZ123" s="340">
        <f t="shared" si="147"/>
        <v>0</v>
      </c>
      <c r="HA123" s="340">
        <f t="shared" si="148"/>
        <v>0</v>
      </c>
      <c r="HB123" s="340">
        <f t="shared" si="149"/>
        <v>0</v>
      </c>
      <c r="HC123" s="340">
        <f t="shared" si="150"/>
        <v>0</v>
      </c>
      <c r="HD123" s="340">
        <f t="shared" si="151"/>
        <v>0</v>
      </c>
      <c r="HE123" s="340">
        <f t="shared" si="152"/>
        <v>0</v>
      </c>
      <c r="HF123" s="340">
        <f t="shared" si="153"/>
        <v>0</v>
      </c>
      <c r="HG123" s="340">
        <f t="shared" si="154"/>
        <v>0</v>
      </c>
      <c r="HH123" s="122"/>
      <c r="IF123" s="122"/>
      <c r="IG123" s="122"/>
      <c r="IH123" s="122"/>
      <c r="II123" s="122"/>
      <c r="IJ123" s="122"/>
      <c r="IK123" s="122"/>
      <c r="IL123" s="122"/>
      <c r="IN123" s="118"/>
      <c r="IO123" s="118"/>
      <c r="JB123" s="122"/>
      <c r="JC123" s="122"/>
      <c r="JD123" s="122"/>
      <c r="JE123" s="122"/>
      <c r="JF123" s="122"/>
      <c r="JG123" s="122"/>
      <c r="JH123" s="122"/>
      <c r="JI123" s="122"/>
      <c r="JK123" s="118"/>
      <c r="JL123" s="118"/>
      <c r="JY123" s="122"/>
      <c r="JZ123" s="122"/>
      <c r="KA123" s="122"/>
      <c r="KB123" s="122"/>
      <c r="LX123" s="122"/>
      <c r="LY123" s="122"/>
      <c r="LZ123" s="122"/>
      <c r="MB123" s="118"/>
      <c r="MC123" s="118"/>
      <c r="MP123" s="122"/>
      <c r="MQ123" s="122"/>
      <c r="MR123" s="122"/>
      <c r="MS123" s="122"/>
      <c r="MT123" s="122"/>
      <c r="MU123" s="122"/>
      <c r="MV123" s="122"/>
      <c r="OS123" s="118"/>
      <c r="OT123" s="118"/>
      <c r="PC123" s="122"/>
      <c r="PD123" s="122"/>
      <c r="PE123" s="122"/>
      <c r="PF123" s="122"/>
      <c r="PG123" s="122"/>
      <c r="PH123" s="122"/>
      <c r="PI123" s="122"/>
      <c r="PJ123" s="122"/>
      <c r="PP123" s="118"/>
      <c r="PQ123" s="118"/>
      <c r="PZ123" s="122"/>
      <c r="QA123" s="122"/>
      <c r="QB123" s="122"/>
      <c r="QC123" s="122"/>
      <c r="QD123" s="122"/>
      <c r="QE123" s="122"/>
      <c r="QF123" s="122"/>
      <c r="QG123" s="122"/>
      <c r="QM123" s="118"/>
      <c r="QN123" s="118"/>
      <c r="RE123" s="118"/>
      <c r="RF123" s="118"/>
      <c r="RG123" s="118"/>
      <c r="RH123" s="118"/>
      <c r="RI123" s="118"/>
      <c r="RJ123" s="118"/>
      <c r="RK123" s="118"/>
    </row>
    <row r="124" spans="1:479">
      <c r="A124" s="998"/>
      <c r="B124" s="1000"/>
      <c r="C124" s="1011"/>
      <c r="D124" s="1013"/>
      <c r="I124" s="803"/>
      <c r="J124" s="803"/>
      <c r="K124" s="802"/>
      <c r="Y124" s="277" t="s">
        <v>9</v>
      </c>
      <c r="Z124" s="319">
        <f t="shared" si="0"/>
        <v>303316.75</v>
      </c>
      <c r="AA124" s="319">
        <f t="shared" si="1"/>
        <v>221669.33000000002</v>
      </c>
      <c r="AB124" s="319">
        <f t="shared" si="2"/>
        <v>268121.10000000003</v>
      </c>
      <c r="AC124" s="319">
        <f t="shared" si="3"/>
        <v>276048.32</v>
      </c>
      <c r="AD124" s="319">
        <f t="shared" si="4"/>
        <v>332780.90999999997</v>
      </c>
      <c r="AE124" s="319">
        <f t="shared" si="5"/>
        <v>295755.59999999998</v>
      </c>
      <c r="AF124" s="319">
        <f t="shared" si="6"/>
        <v>329663.58</v>
      </c>
      <c r="AG124" s="319">
        <f t="shared" si="7"/>
        <v>388641.11</v>
      </c>
      <c r="AH124" s="319">
        <f t="shared" si="8"/>
        <v>406270.32999999996</v>
      </c>
      <c r="AI124" s="319">
        <f t="shared" si="9"/>
        <v>400157.36999999994</v>
      </c>
      <c r="AJ124" s="319">
        <f t="shared" si="10"/>
        <v>449397.36999999994</v>
      </c>
      <c r="AK124" s="319">
        <f t="shared" si="11"/>
        <v>387975.89</v>
      </c>
      <c r="AL124" s="319">
        <f t="shared" si="12"/>
        <v>500978.97</v>
      </c>
      <c r="AM124" s="319">
        <f t="shared" si="13"/>
        <v>436571.14999999997</v>
      </c>
      <c r="AN124" s="319">
        <f t="shared" si="14"/>
        <v>473802.22</v>
      </c>
      <c r="AO124" s="319">
        <f t="shared" si="15"/>
        <v>456887.69000000006</v>
      </c>
      <c r="AP124" s="319">
        <f t="shared" si="16"/>
        <v>0</v>
      </c>
      <c r="AQ124" s="319">
        <f t="shared" si="17"/>
        <v>506793.02999999997</v>
      </c>
      <c r="AR124" s="319">
        <f t="shared" si="18"/>
        <v>566128.9</v>
      </c>
      <c r="AS124" s="319">
        <f t="shared" si="19"/>
        <v>529581.60000000009</v>
      </c>
      <c r="AT124" s="319">
        <f t="shared" si="20"/>
        <v>593020.84000000008</v>
      </c>
      <c r="AU124" s="319">
        <f t="shared" si="21"/>
        <v>606050</v>
      </c>
      <c r="AW124" s="322" t="s">
        <v>9</v>
      </c>
      <c r="AX124" s="322">
        <f t="shared" si="22"/>
        <v>90175.25</v>
      </c>
      <c r="AY124" s="322">
        <f t="shared" si="23"/>
        <v>84081.47</v>
      </c>
      <c r="AZ124" s="322">
        <f t="shared" si="24"/>
        <v>98311.07</v>
      </c>
      <c r="BA124" s="322">
        <f t="shared" si="25"/>
        <v>86265.1</v>
      </c>
      <c r="BB124" s="322">
        <f t="shared" si="26"/>
        <v>60505.62</v>
      </c>
      <c r="BC124" s="322">
        <f t="shared" si="27"/>
        <v>52813.5</v>
      </c>
      <c r="BD124" s="322">
        <f t="shared" si="28"/>
        <v>23070.84</v>
      </c>
      <c r="BE124" s="322">
        <f t="shared" si="29"/>
        <v>25073.62</v>
      </c>
      <c r="BF124" s="322">
        <f t="shared" si="30"/>
        <v>55637.020000000004</v>
      </c>
      <c r="BG124" s="322">
        <f t="shared" si="31"/>
        <v>64947.6</v>
      </c>
      <c r="BH124" s="322">
        <f t="shared" si="32"/>
        <v>55502.64</v>
      </c>
      <c r="BI124" s="322">
        <f t="shared" si="33"/>
        <v>53153.479999999996</v>
      </c>
      <c r="BJ124" s="322">
        <f t="shared" si="34"/>
        <v>79948.790000000008</v>
      </c>
      <c r="BK124" s="322">
        <f t="shared" si="35"/>
        <v>48909.399999999994</v>
      </c>
      <c r="BL124" s="322">
        <f t="shared" si="36"/>
        <v>74688.180000000008</v>
      </c>
      <c r="BM124" s="322">
        <f t="shared" si="37"/>
        <v>57243.21</v>
      </c>
      <c r="BN124" s="322">
        <f t="shared" si="38"/>
        <v>0</v>
      </c>
      <c r="BO124" s="340">
        <f t="shared" si="39"/>
        <v>60505.660999999993</v>
      </c>
      <c r="BP124" s="340">
        <f t="shared" si="40"/>
        <v>71125.8</v>
      </c>
      <c r="BQ124" s="340">
        <f t="shared" si="41"/>
        <v>70548.72</v>
      </c>
      <c r="BR124" s="340">
        <f t="shared" si="42"/>
        <v>77717.62</v>
      </c>
      <c r="BS124" s="340">
        <f t="shared" si="43"/>
        <v>87550</v>
      </c>
      <c r="BU124" s="340" t="s">
        <v>9</v>
      </c>
      <c r="BV124" s="340">
        <f t="shared" si="44"/>
        <v>16395.5</v>
      </c>
      <c r="BW124" s="340">
        <f t="shared" si="45"/>
        <v>15287.54</v>
      </c>
      <c r="BX124" s="340">
        <f t="shared" si="46"/>
        <v>17874.740000000002</v>
      </c>
      <c r="BY124" s="340">
        <f t="shared" si="47"/>
        <v>17253.02</v>
      </c>
      <c r="BZ124" s="340">
        <f t="shared" si="48"/>
        <v>20168.54</v>
      </c>
      <c r="CA124" s="340">
        <f t="shared" si="49"/>
        <v>31688.100000000002</v>
      </c>
      <c r="CB124" s="340">
        <f t="shared" si="50"/>
        <v>46141.68</v>
      </c>
      <c r="CC124" s="340">
        <f t="shared" si="51"/>
        <v>37610.43</v>
      </c>
      <c r="CD124" s="340">
        <f t="shared" si="52"/>
        <v>36299.15</v>
      </c>
      <c r="CE124" s="340">
        <f t="shared" si="53"/>
        <v>42545.51</v>
      </c>
      <c r="CF124" s="340">
        <f t="shared" si="54"/>
        <v>42507.51</v>
      </c>
      <c r="CG124" s="340">
        <f t="shared" si="55"/>
        <v>39607.75</v>
      </c>
      <c r="CH124" s="340">
        <f t="shared" si="56"/>
        <v>43834.409999999996</v>
      </c>
      <c r="CI124" s="340">
        <f t="shared" si="57"/>
        <v>47476.200000000004</v>
      </c>
      <c r="CJ124" s="340">
        <f t="shared" si="58"/>
        <v>49268.71</v>
      </c>
      <c r="CK124" s="340">
        <f t="shared" si="59"/>
        <v>50943.24</v>
      </c>
      <c r="CL124" s="340">
        <f t="shared" si="60"/>
        <v>0</v>
      </c>
      <c r="CM124" s="340">
        <f t="shared" si="61"/>
        <v>51647.62000000001</v>
      </c>
      <c r="CN124" s="340">
        <f t="shared" si="62"/>
        <v>54799.59</v>
      </c>
      <c r="CO124" s="340">
        <f t="shared" si="63"/>
        <v>58238.520000000004</v>
      </c>
      <c r="CP124" s="340">
        <f t="shared" si="64"/>
        <v>56264.28</v>
      </c>
      <c r="CQ124" s="340">
        <f t="shared" si="65"/>
        <v>56940</v>
      </c>
      <c r="CR124" s="122"/>
      <c r="CS124" s="340" t="s">
        <v>9</v>
      </c>
      <c r="CT124" s="340">
        <f t="shared" si="66"/>
        <v>65582</v>
      </c>
      <c r="CU124" s="340">
        <f t="shared" si="67"/>
        <v>53506.39</v>
      </c>
      <c r="CV124" s="340">
        <f t="shared" si="68"/>
        <v>125123.18</v>
      </c>
      <c r="CW124" s="340">
        <f t="shared" si="69"/>
        <v>60385.57</v>
      </c>
      <c r="CX124" s="340">
        <f t="shared" si="70"/>
        <v>110926.97</v>
      </c>
      <c r="CY124" s="340">
        <f t="shared" si="71"/>
        <v>116189.7</v>
      </c>
      <c r="CZ124" s="340">
        <f t="shared" si="72"/>
        <v>103818.78</v>
      </c>
      <c r="DA124" s="340">
        <f t="shared" si="73"/>
        <v>213125.77</v>
      </c>
      <c r="DB124" s="340">
        <f t="shared" si="74"/>
        <v>112800.69000000002</v>
      </c>
      <c r="DC124" s="340">
        <f t="shared" si="75"/>
        <v>160318.28999999998</v>
      </c>
      <c r="DD124" s="340">
        <f t="shared" si="76"/>
        <v>117332.08</v>
      </c>
      <c r="DE124" s="340">
        <f t="shared" si="77"/>
        <v>111457.32000000002</v>
      </c>
      <c r="DF124" s="340">
        <f t="shared" si="78"/>
        <v>107677.85000000002</v>
      </c>
      <c r="DG124" s="340">
        <f t="shared" si="79"/>
        <v>93546.180000000008</v>
      </c>
      <c r="DH124" s="340">
        <f t="shared" si="80"/>
        <v>101858.26</v>
      </c>
      <c r="DI124" s="340">
        <f t="shared" si="81"/>
        <v>106147.09000000001</v>
      </c>
      <c r="DJ124" s="340">
        <f t="shared" si="82"/>
        <v>0</v>
      </c>
      <c r="DK124" s="340">
        <f t="shared" si="83"/>
        <v>119827.18999999999</v>
      </c>
      <c r="DL124" s="340">
        <f t="shared" si="84"/>
        <v>237998.54999999996</v>
      </c>
      <c r="DM124" s="340">
        <f t="shared" si="85"/>
        <v>143005.96</v>
      </c>
      <c r="DN124" s="340">
        <f t="shared" si="86"/>
        <v>102979.2</v>
      </c>
      <c r="DO124" s="340">
        <f t="shared" si="87"/>
        <v>163342.79999999999</v>
      </c>
      <c r="DP124" s="330"/>
      <c r="DQ124" s="340" t="s">
        <v>9</v>
      </c>
      <c r="DR124" s="340">
        <f t="shared" ref="DR124:EM124" si="162">DR26</f>
        <v>40988.75</v>
      </c>
      <c r="DS124" s="340">
        <f t="shared" si="162"/>
        <v>45862.62</v>
      </c>
      <c r="DT124" s="340">
        <f t="shared" si="162"/>
        <v>35749.480000000003</v>
      </c>
      <c r="DU124" s="340">
        <f t="shared" si="162"/>
        <v>43132.55</v>
      </c>
      <c r="DV124" s="340">
        <f t="shared" si="162"/>
        <v>50421.35</v>
      </c>
      <c r="DW124" s="340">
        <f t="shared" si="162"/>
        <v>63376.2</v>
      </c>
      <c r="DX124" s="340">
        <f t="shared" si="162"/>
        <v>57677.1</v>
      </c>
      <c r="DY124" s="340">
        <f t="shared" si="162"/>
        <v>62684.05</v>
      </c>
      <c r="DZ124" s="340">
        <f t="shared" si="162"/>
        <v>64578.58</v>
      </c>
      <c r="EA124" s="340">
        <f t="shared" si="162"/>
        <v>71387.5</v>
      </c>
      <c r="EB124" s="340">
        <f t="shared" si="162"/>
        <v>77670.11</v>
      </c>
      <c r="EC124" s="340">
        <f t="shared" si="162"/>
        <v>78602.290000000008</v>
      </c>
      <c r="ED124" s="340">
        <f t="shared" si="162"/>
        <v>83085.150000000009</v>
      </c>
      <c r="EE124" s="340">
        <f t="shared" si="162"/>
        <v>81612.990000000005</v>
      </c>
      <c r="EF124" s="340">
        <f t="shared" si="162"/>
        <v>75816.67</v>
      </c>
      <c r="EG124" s="340">
        <f t="shared" si="162"/>
        <v>89409.23</v>
      </c>
      <c r="EH124" s="340">
        <f t="shared" si="162"/>
        <v>0</v>
      </c>
      <c r="EI124" s="340">
        <f t="shared" si="162"/>
        <v>102294.72</v>
      </c>
      <c r="EJ124" s="340">
        <f t="shared" si="162"/>
        <v>94679.66</v>
      </c>
      <c r="EK124" s="340">
        <f t="shared" si="162"/>
        <v>93618.95</v>
      </c>
      <c r="EL124" s="340">
        <f t="shared" si="162"/>
        <v>97077.37000000001</v>
      </c>
      <c r="EM124" s="340">
        <f t="shared" si="162"/>
        <v>156000</v>
      </c>
      <c r="EO124" s="319" t="s">
        <v>9</v>
      </c>
      <c r="EP124" s="319">
        <f t="shared" si="89"/>
        <v>221339.25</v>
      </c>
      <c r="EQ124" s="319">
        <f t="shared" si="90"/>
        <v>267531.95</v>
      </c>
      <c r="ER124" s="319">
        <f t="shared" si="91"/>
        <v>285995.83999999997</v>
      </c>
      <c r="ES124" s="319">
        <f t="shared" si="92"/>
        <v>284674.83</v>
      </c>
      <c r="ET124" s="319">
        <f t="shared" si="93"/>
        <v>363033.72</v>
      </c>
      <c r="EU124" s="319">
        <f t="shared" si="94"/>
        <v>422508</v>
      </c>
      <c r="EV124" s="319">
        <f t="shared" si="95"/>
        <v>496023.06000000006</v>
      </c>
      <c r="EW124" s="319">
        <f t="shared" si="96"/>
        <v>438788.35</v>
      </c>
      <c r="EX124" s="319">
        <f t="shared" si="97"/>
        <v>495604.18000000005</v>
      </c>
      <c r="EY124" s="319">
        <f t="shared" si="98"/>
        <v>546589.9</v>
      </c>
      <c r="EZ124" s="319">
        <f t="shared" si="99"/>
        <v>557066.76</v>
      </c>
      <c r="FA124" s="319">
        <f t="shared" si="100"/>
        <v>542249.38</v>
      </c>
      <c r="FB124" s="319">
        <f t="shared" si="101"/>
        <v>591006.89</v>
      </c>
      <c r="FC124" s="319">
        <f t="shared" si="102"/>
        <v>641374.32000000007</v>
      </c>
      <c r="FD124" s="319">
        <f t="shared" si="103"/>
        <v>491534.12</v>
      </c>
      <c r="FE124" s="319">
        <f t="shared" si="104"/>
        <v>553372.06999999995</v>
      </c>
      <c r="FF124" s="322">
        <f t="shared" si="105"/>
        <v>0</v>
      </c>
      <c r="FG124" s="336">
        <f t="shared" si="106"/>
        <v>733675.98</v>
      </c>
      <c r="FH124" s="336">
        <f t="shared" si="107"/>
        <v>728083.2200000002</v>
      </c>
      <c r="FI124" s="336">
        <f t="shared" si="108"/>
        <v>705772.69</v>
      </c>
      <c r="FJ124" s="336">
        <f t="shared" si="109"/>
        <v>725280.79</v>
      </c>
      <c r="FK124" s="336">
        <f t="shared" si="110"/>
        <v>722000</v>
      </c>
      <c r="FL124" s="122"/>
      <c r="FM124" s="340" t="s">
        <v>9</v>
      </c>
      <c r="FN124" s="340">
        <f t="shared" si="111"/>
        <v>57384.25</v>
      </c>
      <c r="FO124" s="340">
        <f t="shared" si="112"/>
        <v>53506.39</v>
      </c>
      <c r="FP124" s="340">
        <f t="shared" si="113"/>
        <v>62561.59</v>
      </c>
      <c r="FQ124" s="340">
        <f t="shared" si="114"/>
        <v>69012.08</v>
      </c>
      <c r="FR124" s="340">
        <f t="shared" si="115"/>
        <v>70589.89</v>
      </c>
      <c r="FS124" s="340">
        <f t="shared" si="116"/>
        <v>73938.899999999994</v>
      </c>
      <c r="FT124" s="340">
        <f t="shared" si="117"/>
        <v>80747.94</v>
      </c>
      <c r="FU124" s="340">
        <f t="shared" si="118"/>
        <v>75220.86</v>
      </c>
      <c r="FV124" s="340">
        <f t="shared" si="119"/>
        <v>79497.350000000006</v>
      </c>
      <c r="FW124" s="340">
        <f t="shared" si="120"/>
        <v>84695.760000000009</v>
      </c>
      <c r="FX124" s="340">
        <f t="shared" si="121"/>
        <v>87487.01</v>
      </c>
      <c r="FY124" s="340">
        <f t="shared" si="122"/>
        <v>86783.26</v>
      </c>
      <c r="FZ124" s="340">
        <f t="shared" si="123"/>
        <v>93993.050000000017</v>
      </c>
      <c r="GA124" s="340">
        <f t="shared" si="124"/>
        <v>99078.159999999989</v>
      </c>
      <c r="GB124" s="340">
        <f t="shared" si="125"/>
        <v>100487.20000000001</v>
      </c>
      <c r="GC124" s="340">
        <f t="shared" si="126"/>
        <v>106352.46000000002</v>
      </c>
      <c r="GD124" s="340">
        <f t="shared" si="127"/>
        <v>0</v>
      </c>
      <c r="GE124" s="340">
        <f t="shared" si="128"/>
        <v>94339.450000000012</v>
      </c>
      <c r="GF124" s="340">
        <f t="shared" si="129"/>
        <v>96003.249999999985</v>
      </c>
      <c r="GG124" s="340">
        <f t="shared" si="130"/>
        <v>88550.859999999986</v>
      </c>
      <c r="GH124" s="340">
        <f t="shared" si="131"/>
        <v>89977.22</v>
      </c>
      <c r="GI124" s="340">
        <f t="shared" si="132"/>
        <v>87450</v>
      </c>
      <c r="GK124" s="340" t="s">
        <v>9</v>
      </c>
      <c r="GL124" s="340">
        <f t="shared" si="133"/>
        <v>24593.25</v>
      </c>
      <c r="GM124" s="340">
        <f t="shared" si="134"/>
        <v>22931.31</v>
      </c>
      <c r="GN124" s="340">
        <f t="shared" si="135"/>
        <v>0</v>
      </c>
      <c r="GO124" s="340">
        <f t="shared" si="136"/>
        <v>25879.53</v>
      </c>
      <c r="GP124" s="340">
        <f t="shared" si="137"/>
        <v>0</v>
      </c>
      <c r="GQ124" s="340">
        <f t="shared" si="138"/>
        <v>0</v>
      </c>
      <c r="GR124" s="340">
        <f t="shared" si="139"/>
        <v>11535.42</v>
      </c>
      <c r="GS124" s="340">
        <f t="shared" si="140"/>
        <v>12536.81</v>
      </c>
      <c r="GT124" s="340">
        <f t="shared" si="141"/>
        <v>18500</v>
      </c>
      <c r="GU124" s="340">
        <f t="shared" si="142"/>
        <v>19200</v>
      </c>
      <c r="GV124" s="340">
        <f t="shared" si="143"/>
        <v>30500</v>
      </c>
      <c r="GW124" s="340">
        <f t="shared" si="144"/>
        <v>0</v>
      </c>
      <c r="GX124" s="340">
        <f t="shared" si="145"/>
        <v>34318</v>
      </c>
      <c r="GY124" s="340">
        <f t="shared" si="146"/>
        <v>23000</v>
      </c>
      <c r="GZ124" s="340">
        <f t="shared" si="147"/>
        <v>30000</v>
      </c>
      <c r="HA124" s="340">
        <f t="shared" si="148"/>
        <v>35000</v>
      </c>
      <c r="HB124" s="340">
        <f t="shared" si="149"/>
        <v>0</v>
      </c>
      <c r="HC124" s="340">
        <f t="shared" si="150"/>
        <v>52500</v>
      </c>
      <c r="HD124" s="340">
        <f t="shared" si="151"/>
        <v>52500</v>
      </c>
      <c r="HE124" s="340">
        <f t="shared" si="152"/>
        <v>47250</v>
      </c>
      <c r="HF124" s="340">
        <f t="shared" si="153"/>
        <v>48000</v>
      </c>
      <c r="HG124" s="340">
        <f t="shared" si="154"/>
        <v>50000</v>
      </c>
      <c r="HH124" s="122"/>
      <c r="IF124" s="122"/>
      <c r="IG124" s="122"/>
      <c r="IH124" s="122"/>
      <c r="II124" s="122"/>
      <c r="IJ124" s="122"/>
      <c r="IK124" s="122"/>
      <c r="IL124" s="122"/>
      <c r="IN124" s="118"/>
      <c r="IO124" s="118"/>
      <c r="JB124" s="122"/>
      <c r="JC124" s="122"/>
      <c r="JD124" s="122"/>
      <c r="JE124" s="122"/>
      <c r="JF124" s="122"/>
      <c r="JG124" s="122"/>
      <c r="JH124" s="122"/>
      <c r="JI124" s="122"/>
      <c r="JK124" s="118"/>
      <c r="JL124" s="118"/>
      <c r="JY124" s="122"/>
      <c r="JZ124" s="122"/>
      <c r="KA124" s="122"/>
      <c r="KB124" s="122"/>
      <c r="LX124" s="122"/>
      <c r="LY124" s="122"/>
      <c r="LZ124" s="122"/>
      <c r="MB124" s="118"/>
      <c r="MC124" s="118"/>
      <c r="MP124" s="122"/>
      <c r="MQ124" s="122"/>
      <c r="MR124" s="122"/>
      <c r="MS124" s="122"/>
      <c r="MT124" s="122"/>
      <c r="MU124" s="122"/>
      <c r="MV124" s="122"/>
      <c r="OS124" s="118"/>
      <c r="OT124" s="118"/>
      <c r="PC124" s="122"/>
      <c r="PD124" s="122"/>
      <c r="PE124" s="122"/>
      <c r="PF124" s="122"/>
      <c r="PG124" s="122"/>
      <c r="PH124" s="122"/>
      <c r="PI124" s="122"/>
      <c r="PJ124" s="122"/>
      <c r="PP124" s="118"/>
      <c r="PQ124" s="118"/>
      <c r="PZ124" s="122"/>
      <c r="QA124" s="122"/>
      <c r="QB124" s="122"/>
      <c r="QC124" s="122"/>
      <c r="QD124" s="122"/>
      <c r="QE124" s="122"/>
      <c r="QF124" s="122"/>
      <c r="QG124" s="122"/>
      <c r="QM124" s="118"/>
      <c r="QN124" s="118"/>
      <c r="RE124" s="118"/>
      <c r="RF124" s="118"/>
      <c r="RG124" s="118"/>
      <c r="RH124" s="118"/>
      <c r="RI124" s="118"/>
      <c r="RJ124" s="118"/>
      <c r="RK124" s="118"/>
    </row>
    <row r="125" spans="1:479">
      <c r="Y125" s="277" t="s">
        <v>10</v>
      </c>
      <c r="Z125" s="319">
        <f t="shared" si="0"/>
        <v>730452</v>
      </c>
      <c r="AA125" s="319">
        <f t="shared" si="1"/>
        <v>740314.20000000007</v>
      </c>
      <c r="AB125" s="319">
        <f t="shared" si="2"/>
        <v>859220.67000000016</v>
      </c>
      <c r="AC125" s="319">
        <f t="shared" si="3"/>
        <v>875545.59999999998</v>
      </c>
      <c r="AD125" s="319">
        <f t="shared" si="4"/>
        <v>939256.56</v>
      </c>
      <c r="AE125" s="319">
        <f t="shared" si="5"/>
        <v>962663.73</v>
      </c>
      <c r="AF125" s="319">
        <f t="shared" si="6"/>
        <v>1073944.46</v>
      </c>
      <c r="AG125" s="319">
        <f t="shared" si="7"/>
        <v>1076694.24</v>
      </c>
      <c r="AH125" s="319">
        <f t="shared" si="8"/>
        <v>1016201.04</v>
      </c>
      <c r="AI125" s="319">
        <f t="shared" si="9"/>
        <v>1096264.3700000001</v>
      </c>
      <c r="AJ125" s="319">
        <f t="shared" si="10"/>
        <v>1192464.8500000001</v>
      </c>
      <c r="AK125" s="319">
        <f t="shared" si="11"/>
        <v>1087427.53</v>
      </c>
      <c r="AL125" s="319">
        <f t="shared" si="12"/>
        <v>1230451.83</v>
      </c>
      <c r="AM125" s="319">
        <f t="shared" si="13"/>
        <v>1091986.76</v>
      </c>
      <c r="AN125" s="319">
        <f t="shared" si="14"/>
        <v>1148201.57</v>
      </c>
      <c r="AO125" s="319">
        <f t="shared" si="15"/>
        <v>1240252.48</v>
      </c>
      <c r="AP125" s="319">
        <f t="shared" si="16"/>
        <v>1233157.6300000001</v>
      </c>
      <c r="AQ125" s="319">
        <f t="shared" si="17"/>
        <v>1182816.1200000001</v>
      </c>
      <c r="AR125" s="319">
        <f t="shared" si="18"/>
        <v>0</v>
      </c>
      <c r="AS125" s="319">
        <f t="shared" si="19"/>
        <v>1199112.92</v>
      </c>
      <c r="AT125" s="319">
        <f t="shared" si="20"/>
        <v>1323979.67</v>
      </c>
      <c r="AU125" s="319">
        <f t="shared" si="21"/>
        <v>1373015.47</v>
      </c>
      <c r="AW125" s="322" t="s">
        <v>10</v>
      </c>
      <c r="AX125" s="322">
        <f t="shared" si="22"/>
        <v>321398.88</v>
      </c>
      <c r="AY125" s="322">
        <f t="shared" si="23"/>
        <v>333141.39</v>
      </c>
      <c r="AZ125" s="322">
        <f t="shared" si="24"/>
        <v>409152.7</v>
      </c>
      <c r="BA125" s="322">
        <f t="shared" si="25"/>
        <v>306440.95999999996</v>
      </c>
      <c r="BB125" s="322">
        <f t="shared" si="26"/>
        <v>256160.88</v>
      </c>
      <c r="BC125" s="322">
        <f t="shared" si="27"/>
        <v>275046.77999999997</v>
      </c>
      <c r="BD125" s="322">
        <f t="shared" si="28"/>
        <v>245565.55</v>
      </c>
      <c r="BE125" s="322">
        <f t="shared" si="29"/>
        <v>224311.30000000002</v>
      </c>
      <c r="BF125" s="322">
        <f t="shared" si="30"/>
        <v>219543.17</v>
      </c>
      <c r="BG125" s="322">
        <f t="shared" si="31"/>
        <v>218910.76</v>
      </c>
      <c r="BH125" s="322">
        <f t="shared" si="32"/>
        <v>299284.03999999998</v>
      </c>
      <c r="BI125" s="322">
        <f t="shared" si="33"/>
        <v>311291.18999999994</v>
      </c>
      <c r="BJ125" s="322">
        <f t="shared" si="34"/>
        <v>384638.47999999992</v>
      </c>
      <c r="BK125" s="322">
        <f t="shared" si="35"/>
        <v>361570.81000000006</v>
      </c>
      <c r="BL125" s="322">
        <f t="shared" si="36"/>
        <v>399021.53</v>
      </c>
      <c r="BM125" s="322">
        <f t="shared" si="37"/>
        <v>409364.63</v>
      </c>
      <c r="BN125" s="322">
        <f t="shared" si="38"/>
        <v>408832.32999999996</v>
      </c>
      <c r="BO125" s="340">
        <f t="shared" si="39"/>
        <v>314503.04000000004</v>
      </c>
      <c r="BP125" s="340">
        <f t="shared" si="40"/>
        <v>0</v>
      </c>
      <c r="BQ125" s="340">
        <f t="shared" si="41"/>
        <v>374583.23</v>
      </c>
      <c r="BR125" s="340">
        <f t="shared" si="42"/>
        <v>356524.76</v>
      </c>
      <c r="BS125" s="340">
        <f t="shared" si="43"/>
        <v>387501.26</v>
      </c>
      <c r="BU125" s="340" t="s">
        <v>10</v>
      </c>
      <c r="BV125" s="340">
        <f t="shared" si="44"/>
        <v>29218.080000000002</v>
      </c>
      <c r="BW125" s="340">
        <f t="shared" si="45"/>
        <v>37015.71</v>
      </c>
      <c r="BX125" s="340">
        <f t="shared" si="46"/>
        <v>40915.269999999997</v>
      </c>
      <c r="BY125" s="340">
        <f t="shared" si="47"/>
        <v>43777.279999999999</v>
      </c>
      <c r="BZ125" s="340">
        <f t="shared" si="48"/>
        <v>170773.92</v>
      </c>
      <c r="CA125" s="340">
        <f t="shared" si="49"/>
        <v>137523.38999999998</v>
      </c>
      <c r="CB125" s="340">
        <f t="shared" si="50"/>
        <v>147339.33000000002</v>
      </c>
      <c r="CC125" s="340">
        <f t="shared" si="51"/>
        <v>134586.78</v>
      </c>
      <c r="CD125" s="340">
        <f t="shared" si="52"/>
        <v>150966.27000000002</v>
      </c>
      <c r="CE125" s="340">
        <f t="shared" si="53"/>
        <v>163134.96</v>
      </c>
      <c r="CF125" s="340">
        <f t="shared" si="54"/>
        <v>163968.36000000002</v>
      </c>
      <c r="CG125" s="340">
        <f t="shared" si="55"/>
        <v>168971.89</v>
      </c>
      <c r="CH125" s="340">
        <f t="shared" si="56"/>
        <v>205378.72999999998</v>
      </c>
      <c r="CI125" s="340">
        <f t="shared" si="57"/>
        <v>193014.81</v>
      </c>
      <c r="CJ125" s="340">
        <f t="shared" si="58"/>
        <v>181993.4</v>
      </c>
      <c r="CK125" s="340">
        <f t="shared" si="59"/>
        <v>202567.30999999997</v>
      </c>
      <c r="CL125" s="340">
        <f t="shared" si="60"/>
        <v>202335.98000000004</v>
      </c>
      <c r="CM125" s="340">
        <f t="shared" si="61"/>
        <v>199823.77000000002</v>
      </c>
      <c r="CN125" s="340">
        <f t="shared" si="62"/>
        <v>0</v>
      </c>
      <c r="CO125" s="340">
        <f t="shared" si="63"/>
        <v>235598.74</v>
      </c>
      <c r="CP125" s="340">
        <f t="shared" si="64"/>
        <v>196196.26</v>
      </c>
      <c r="CQ125" s="340">
        <f t="shared" si="65"/>
        <v>262672.36</v>
      </c>
      <c r="CR125" s="122"/>
      <c r="CS125" s="340" t="s">
        <v>10</v>
      </c>
      <c r="CT125" s="340">
        <f t="shared" si="66"/>
        <v>233744.64000000001</v>
      </c>
      <c r="CU125" s="340">
        <f t="shared" si="67"/>
        <v>518219.94</v>
      </c>
      <c r="CV125" s="340">
        <f t="shared" si="68"/>
        <v>490983.24</v>
      </c>
      <c r="CW125" s="340">
        <f t="shared" si="69"/>
        <v>1050654.72</v>
      </c>
      <c r="CX125" s="340">
        <f t="shared" si="70"/>
        <v>683095.68</v>
      </c>
      <c r="CY125" s="340">
        <f t="shared" si="71"/>
        <v>641775.81999999995</v>
      </c>
      <c r="CZ125" s="340">
        <f t="shared" si="72"/>
        <v>589357.31999999995</v>
      </c>
      <c r="DA125" s="340">
        <f t="shared" si="73"/>
        <v>717796.16</v>
      </c>
      <c r="DB125" s="340">
        <f t="shared" si="74"/>
        <v>660627.98</v>
      </c>
      <c r="DC125" s="340">
        <f t="shared" si="75"/>
        <v>758828.77</v>
      </c>
      <c r="DD125" s="340">
        <f t="shared" si="76"/>
        <v>827388.29999999993</v>
      </c>
      <c r="DE125" s="340">
        <f t="shared" si="77"/>
        <v>769751.2200000002</v>
      </c>
      <c r="DF125" s="340">
        <f t="shared" si="78"/>
        <v>1083632.93</v>
      </c>
      <c r="DG125" s="340">
        <f t="shared" si="79"/>
        <v>814832.79</v>
      </c>
      <c r="DH125" s="340">
        <f t="shared" si="80"/>
        <v>1210847.81</v>
      </c>
      <c r="DI125" s="340">
        <f t="shared" si="81"/>
        <v>1110670.53</v>
      </c>
      <c r="DJ125" s="340">
        <f t="shared" si="82"/>
        <v>955683.16000000015</v>
      </c>
      <c r="DK125" s="340">
        <f t="shared" si="83"/>
        <v>818772.83</v>
      </c>
      <c r="DL125" s="340">
        <f t="shared" si="84"/>
        <v>0</v>
      </c>
      <c r="DM125" s="340">
        <f t="shared" si="85"/>
        <v>1200711.7900000003</v>
      </c>
      <c r="DN125" s="340">
        <f t="shared" si="86"/>
        <v>905431.82000000007</v>
      </c>
      <c r="DO125" s="340">
        <f t="shared" si="87"/>
        <v>1157166.1399999999</v>
      </c>
      <c r="DP125" s="330"/>
      <c r="DQ125" s="340" t="s">
        <v>10</v>
      </c>
      <c r="DR125" s="340">
        <f t="shared" ref="DR125:EM125" si="163">DR27</f>
        <v>292180.8</v>
      </c>
      <c r="DS125" s="340">
        <f t="shared" si="163"/>
        <v>370157.1</v>
      </c>
      <c r="DT125" s="340">
        <f t="shared" si="163"/>
        <v>450067.97</v>
      </c>
      <c r="DU125" s="340">
        <f t="shared" si="163"/>
        <v>437772.79999999999</v>
      </c>
      <c r="DV125" s="340">
        <f t="shared" si="163"/>
        <v>469628.28</v>
      </c>
      <c r="DW125" s="340">
        <f t="shared" si="163"/>
        <v>687616.95</v>
      </c>
      <c r="DX125" s="340">
        <f t="shared" si="163"/>
        <v>884035.98</v>
      </c>
      <c r="DY125" s="340">
        <f t="shared" si="163"/>
        <v>672933.9</v>
      </c>
      <c r="DZ125" s="340">
        <f t="shared" si="163"/>
        <v>376346.80000000005</v>
      </c>
      <c r="EA125" s="340">
        <f t="shared" si="163"/>
        <v>487184.83999999997</v>
      </c>
      <c r="EB125" s="340">
        <f t="shared" si="163"/>
        <v>443643.39999999997</v>
      </c>
      <c r="EC125" s="340">
        <f t="shared" si="163"/>
        <v>579863.34999999986</v>
      </c>
      <c r="ED125" s="340">
        <f t="shared" si="163"/>
        <v>597549.82999999996</v>
      </c>
      <c r="EE125" s="340">
        <f t="shared" si="163"/>
        <v>600000.64</v>
      </c>
      <c r="EF125" s="340">
        <f t="shared" si="163"/>
        <v>688382.83</v>
      </c>
      <c r="EG125" s="340">
        <f t="shared" si="163"/>
        <v>756565.91</v>
      </c>
      <c r="EH125" s="340">
        <f t="shared" si="163"/>
        <v>738652.7300000001</v>
      </c>
      <c r="EI125" s="340">
        <f t="shared" si="163"/>
        <v>930265.24</v>
      </c>
      <c r="EJ125" s="340">
        <f t="shared" si="163"/>
        <v>0</v>
      </c>
      <c r="EK125" s="340">
        <f t="shared" si="163"/>
        <v>735821.21</v>
      </c>
      <c r="EL125" s="340">
        <f t="shared" si="163"/>
        <v>690135.23999999987</v>
      </c>
      <c r="EM125" s="340">
        <f t="shared" si="163"/>
        <v>805200</v>
      </c>
      <c r="EO125" s="319" t="s">
        <v>10</v>
      </c>
      <c r="EP125" s="319">
        <f t="shared" si="89"/>
        <v>993414.72</v>
      </c>
      <c r="EQ125" s="319">
        <f t="shared" si="90"/>
        <v>1369581.27</v>
      </c>
      <c r="ER125" s="319">
        <f t="shared" si="91"/>
        <v>1432034.45</v>
      </c>
      <c r="ES125" s="319">
        <f t="shared" si="92"/>
        <v>1444650.24</v>
      </c>
      <c r="ET125" s="319">
        <f t="shared" si="93"/>
        <v>1536965.28</v>
      </c>
      <c r="EU125" s="319">
        <f t="shared" si="94"/>
        <v>1650280.6800000002</v>
      </c>
      <c r="EV125" s="319">
        <f t="shared" si="95"/>
        <v>1669845.74</v>
      </c>
      <c r="EW125" s="319">
        <f t="shared" si="96"/>
        <v>1435592.3199999998</v>
      </c>
      <c r="EX125" s="319">
        <f t="shared" si="97"/>
        <v>18333.38</v>
      </c>
      <c r="EY125" s="319">
        <f t="shared" si="98"/>
        <v>0</v>
      </c>
      <c r="EZ125" s="319">
        <f t="shared" si="99"/>
        <v>0</v>
      </c>
      <c r="FA125" s="319">
        <f t="shared" si="100"/>
        <v>0</v>
      </c>
      <c r="FB125" s="319">
        <f t="shared" si="101"/>
        <v>0</v>
      </c>
      <c r="FC125" s="319">
        <f t="shared" si="102"/>
        <v>0</v>
      </c>
      <c r="FD125" s="319">
        <f t="shared" si="103"/>
        <v>0</v>
      </c>
      <c r="FE125" s="319">
        <f t="shared" si="104"/>
        <v>0</v>
      </c>
      <c r="FF125" s="322">
        <f t="shared" si="105"/>
        <v>0</v>
      </c>
      <c r="FG125" s="336">
        <f t="shared" si="106"/>
        <v>0</v>
      </c>
      <c r="FH125" s="336">
        <f t="shared" si="107"/>
        <v>0</v>
      </c>
      <c r="FI125" s="336">
        <f t="shared" si="108"/>
        <v>0</v>
      </c>
      <c r="FJ125" s="336">
        <f t="shared" si="109"/>
        <v>0</v>
      </c>
      <c r="FK125" s="336">
        <f t="shared" si="110"/>
        <v>0</v>
      </c>
      <c r="FL125" s="122"/>
      <c r="FM125" s="340" t="s">
        <v>10</v>
      </c>
      <c r="FN125" s="340">
        <f t="shared" si="111"/>
        <v>292180.8</v>
      </c>
      <c r="FO125" s="340">
        <f t="shared" si="112"/>
        <v>333141.39</v>
      </c>
      <c r="FP125" s="340">
        <f t="shared" si="113"/>
        <v>327322.15999999997</v>
      </c>
      <c r="FQ125" s="340">
        <f t="shared" si="114"/>
        <v>218886.39999999999</v>
      </c>
      <c r="FR125" s="340">
        <f t="shared" si="115"/>
        <v>213467.4</v>
      </c>
      <c r="FS125" s="340">
        <f t="shared" si="116"/>
        <v>229205.65</v>
      </c>
      <c r="FT125" s="340">
        <f t="shared" si="117"/>
        <v>245565.55</v>
      </c>
      <c r="FU125" s="340">
        <f t="shared" si="118"/>
        <v>224311.3</v>
      </c>
      <c r="FV125" s="340">
        <f t="shared" si="119"/>
        <v>245849.41</v>
      </c>
      <c r="FW125" s="340">
        <f t="shared" si="120"/>
        <v>236634.52</v>
      </c>
      <c r="FX125" s="340">
        <f t="shared" si="121"/>
        <v>262248.83999999997</v>
      </c>
      <c r="FY125" s="340">
        <f t="shared" si="122"/>
        <v>282956</v>
      </c>
      <c r="FZ125" s="340">
        <f t="shared" si="123"/>
        <v>297150.28999999998</v>
      </c>
      <c r="GA125" s="340">
        <f t="shared" si="124"/>
        <v>301103.95999999996</v>
      </c>
      <c r="GB125" s="340">
        <f t="shared" si="125"/>
        <v>306691.34000000003</v>
      </c>
      <c r="GC125" s="340">
        <f t="shared" si="126"/>
        <v>312219.2</v>
      </c>
      <c r="GD125" s="340">
        <f t="shared" si="127"/>
        <v>316654.68</v>
      </c>
      <c r="GE125" s="340">
        <f t="shared" si="128"/>
        <v>300495.09999999998</v>
      </c>
      <c r="GF125" s="340">
        <f t="shared" si="129"/>
        <v>0</v>
      </c>
      <c r="GG125" s="340">
        <f t="shared" si="130"/>
        <v>343617.62000000005</v>
      </c>
      <c r="GH125" s="340">
        <f t="shared" si="131"/>
        <v>343663.61</v>
      </c>
      <c r="GI125" s="340">
        <f t="shared" si="132"/>
        <v>343542.08999999997</v>
      </c>
      <c r="GK125" s="340" t="s">
        <v>10</v>
      </c>
      <c r="GL125" s="340">
        <f t="shared" si="133"/>
        <v>29218.080000000002</v>
      </c>
      <c r="GM125" s="340">
        <f t="shared" si="134"/>
        <v>0</v>
      </c>
      <c r="GN125" s="340">
        <f t="shared" si="135"/>
        <v>81830.539999999994</v>
      </c>
      <c r="GO125" s="340">
        <f t="shared" si="136"/>
        <v>0</v>
      </c>
      <c r="GP125" s="340">
        <f t="shared" si="137"/>
        <v>0</v>
      </c>
      <c r="GQ125" s="340">
        <f t="shared" si="138"/>
        <v>0</v>
      </c>
      <c r="GR125" s="340">
        <f t="shared" si="139"/>
        <v>49113.11</v>
      </c>
      <c r="GS125" s="340">
        <f t="shared" si="140"/>
        <v>0</v>
      </c>
      <c r="GT125" s="340">
        <f t="shared" si="141"/>
        <v>705000</v>
      </c>
      <c r="GU125" s="340">
        <f t="shared" si="142"/>
        <v>700000</v>
      </c>
      <c r="GV125" s="340">
        <f t="shared" si="143"/>
        <v>700000</v>
      </c>
      <c r="GW125" s="340">
        <f t="shared" si="144"/>
        <v>700000</v>
      </c>
      <c r="GX125" s="340">
        <f t="shared" si="145"/>
        <v>425000</v>
      </c>
      <c r="GY125" s="340">
        <f t="shared" si="146"/>
        <v>450000</v>
      </c>
      <c r="GZ125" s="340">
        <f t="shared" si="147"/>
        <v>521951.19</v>
      </c>
      <c r="HA125" s="340">
        <f t="shared" si="148"/>
        <v>715000</v>
      </c>
      <c r="HB125" s="340">
        <f t="shared" si="149"/>
        <v>580000</v>
      </c>
      <c r="HC125" s="340">
        <f t="shared" si="150"/>
        <v>990000</v>
      </c>
      <c r="HD125" s="340">
        <f t="shared" si="151"/>
        <v>0</v>
      </c>
      <c r="HE125" s="340">
        <f t="shared" si="152"/>
        <v>650000</v>
      </c>
      <c r="HF125" s="340">
        <f t="shared" si="153"/>
        <v>500000</v>
      </c>
      <c r="HG125" s="340">
        <f t="shared" si="154"/>
        <v>500000</v>
      </c>
      <c r="HH125" s="122"/>
      <c r="IF125" s="122"/>
      <c r="IG125" s="122"/>
      <c r="IH125" s="122"/>
      <c r="II125" s="122"/>
      <c r="IJ125" s="122"/>
      <c r="IK125" s="122"/>
      <c r="IL125" s="122"/>
      <c r="IN125" s="118"/>
      <c r="IO125" s="118"/>
      <c r="JB125" s="122"/>
      <c r="JC125" s="122"/>
      <c r="JD125" s="122"/>
      <c r="JE125" s="122"/>
      <c r="JF125" s="122"/>
      <c r="JG125" s="122"/>
      <c r="JH125" s="122"/>
      <c r="JI125" s="122"/>
      <c r="JK125" s="118"/>
      <c r="JL125" s="118"/>
      <c r="JY125" s="122"/>
      <c r="JZ125" s="122"/>
      <c r="KA125" s="122"/>
      <c r="KB125" s="122"/>
      <c r="LX125" s="122"/>
      <c r="LY125" s="122"/>
      <c r="LZ125" s="122"/>
      <c r="MB125" s="118"/>
      <c r="MC125" s="118"/>
      <c r="MP125" s="122"/>
      <c r="MQ125" s="122"/>
      <c r="MR125" s="122"/>
      <c r="MS125" s="122"/>
      <c r="MT125" s="122"/>
      <c r="MU125" s="122"/>
      <c r="MV125" s="122"/>
      <c r="OS125" s="118"/>
      <c r="OT125" s="118"/>
      <c r="PC125" s="122"/>
      <c r="PD125" s="122"/>
      <c r="PE125" s="122"/>
      <c r="PF125" s="122"/>
      <c r="PG125" s="122"/>
      <c r="PH125" s="122"/>
      <c r="PI125" s="122"/>
      <c r="PJ125" s="122"/>
      <c r="PP125" s="118"/>
      <c r="PQ125" s="118"/>
      <c r="PZ125" s="122"/>
      <c r="QA125" s="122"/>
      <c r="QB125" s="122"/>
      <c r="QC125" s="122"/>
      <c r="QD125" s="122"/>
      <c r="QE125" s="122"/>
      <c r="QF125" s="122"/>
      <c r="QG125" s="122"/>
      <c r="QM125" s="118"/>
      <c r="QN125" s="118"/>
      <c r="RE125" s="118"/>
      <c r="RF125" s="118"/>
      <c r="RG125" s="118"/>
      <c r="RH125" s="118"/>
      <c r="RI125" s="118"/>
      <c r="RJ125" s="118"/>
      <c r="RK125" s="118"/>
    </row>
    <row r="126" spans="1:479">
      <c r="I126" s="117"/>
      <c r="Y126" s="277" t="s">
        <v>11</v>
      </c>
      <c r="Z126" s="319">
        <f t="shared" si="0"/>
        <v>187889.6</v>
      </c>
      <c r="AA126" s="319">
        <f t="shared" si="1"/>
        <v>235673.46</v>
      </c>
      <c r="AB126" s="319">
        <f t="shared" si="2"/>
        <v>257754.46000000002</v>
      </c>
      <c r="AC126" s="319">
        <f t="shared" si="3"/>
        <v>251517</v>
      </c>
      <c r="AD126" s="319">
        <f t="shared" si="4"/>
        <v>230584.05</v>
      </c>
      <c r="AE126" s="319">
        <f t="shared" si="5"/>
        <v>226713.00000000003</v>
      </c>
      <c r="AF126" s="319">
        <f t="shared" si="6"/>
        <v>239715.66999999998</v>
      </c>
      <c r="AG126" s="319">
        <f t="shared" si="7"/>
        <v>243832</v>
      </c>
      <c r="AH126" s="319">
        <f t="shared" si="8"/>
        <v>300044.34000000003</v>
      </c>
      <c r="AI126" s="319">
        <f t="shared" si="9"/>
        <v>307948.27</v>
      </c>
      <c r="AJ126" s="319">
        <f t="shared" si="10"/>
        <v>359787.29</v>
      </c>
      <c r="AK126" s="319">
        <f t="shared" si="11"/>
        <v>706098.62</v>
      </c>
      <c r="AL126" s="319">
        <f t="shared" si="12"/>
        <v>490909.26</v>
      </c>
      <c r="AM126" s="319">
        <f t="shared" si="13"/>
        <v>412571.27999999991</v>
      </c>
      <c r="AN126" s="319">
        <f t="shared" si="14"/>
        <v>389282.87999999989</v>
      </c>
      <c r="AO126" s="319">
        <f t="shared" si="15"/>
        <v>411604.17</v>
      </c>
      <c r="AP126" s="319">
        <f t="shared" si="16"/>
        <v>417220.54</v>
      </c>
      <c r="AQ126" s="319">
        <f t="shared" si="17"/>
        <v>491999.85000000003</v>
      </c>
      <c r="AR126" s="319">
        <f t="shared" si="18"/>
        <v>545303.30000000005</v>
      </c>
      <c r="AS126" s="319">
        <f t="shared" si="19"/>
        <v>517897.45</v>
      </c>
      <c r="AT126" s="319">
        <f t="shared" si="20"/>
        <v>552420</v>
      </c>
      <c r="AU126" s="319">
        <f t="shared" si="21"/>
        <v>648513</v>
      </c>
      <c r="AW126" s="322" t="s">
        <v>11</v>
      </c>
      <c r="AX126" s="322">
        <f t="shared" si="22"/>
        <v>52843.950000000004</v>
      </c>
      <c r="AY126" s="322">
        <f t="shared" si="23"/>
        <v>64274.579999999994</v>
      </c>
      <c r="AZ126" s="322">
        <f t="shared" si="24"/>
        <v>58202.62</v>
      </c>
      <c r="BA126" s="322">
        <f t="shared" si="25"/>
        <v>58687.3</v>
      </c>
      <c r="BB126" s="322">
        <f t="shared" si="26"/>
        <v>51240.9</v>
      </c>
      <c r="BC126" s="322">
        <f t="shared" si="27"/>
        <v>54411.12000000001</v>
      </c>
      <c r="BD126" s="322">
        <f t="shared" si="28"/>
        <v>43991.450000000004</v>
      </c>
      <c r="BE126" s="322">
        <f t="shared" si="29"/>
        <v>25224</v>
      </c>
      <c r="BF126" s="322">
        <f t="shared" si="30"/>
        <v>18478.579999999998</v>
      </c>
      <c r="BG126" s="322">
        <f t="shared" si="31"/>
        <v>17633.730000000003</v>
      </c>
      <c r="BH126" s="322">
        <f t="shared" si="32"/>
        <v>25123.97</v>
      </c>
      <c r="BI126" s="322">
        <f t="shared" si="33"/>
        <v>60030.179999999993</v>
      </c>
      <c r="BJ126" s="322">
        <f t="shared" si="34"/>
        <v>62115.009999999995</v>
      </c>
      <c r="BK126" s="322">
        <f t="shared" si="35"/>
        <v>61231.39</v>
      </c>
      <c r="BL126" s="322">
        <f t="shared" si="36"/>
        <v>0</v>
      </c>
      <c r="BM126" s="322">
        <f t="shared" si="37"/>
        <v>0</v>
      </c>
      <c r="BN126" s="322">
        <f t="shared" si="38"/>
        <v>0</v>
      </c>
      <c r="BO126" s="340">
        <f t="shared" si="39"/>
        <v>0</v>
      </c>
      <c r="BP126" s="340">
        <f t="shared" si="40"/>
        <v>0</v>
      </c>
      <c r="BQ126" s="340">
        <f t="shared" si="41"/>
        <v>0</v>
      </c>
      <c r="BR126" s="340">
        <f t="shared" si="42"/>
        <v>0</v>
      </c>
      <c r="BS126" s="340">
        <f t="shared" si="43"/>
        <v>0</v>
      </c>
      <c r="BU126" s="340" t="s">
        <v>11</v>
      </c>
      <c r="BV126" s="340">
        <f t="shared" si="44"/>
        <v>11743.1</v>
      </c>
      <c r="BW126" s="340">
        <f t="shared" si="45"/>
        <v>21424.86</v>
      </c>
      <c r="BX126" s="340">
        <f t="shared" si="46"/>
        <v>16629.32</v>
      </c>
      <c r="BY126" s="340">
        <f t="shared" si="47"/>
        <v>16767.8</v>
      </c>
      <c r="BZ126" s="340">
        <f t="shared" si="48"/>
        <v>17080.3</v>
      </c>
      <c r="CA126" s="340">
        <f t="shared" si="49"/>
        <v>27205.56</v>
      </c>
      <c r="CB126" s="340">
        <f t="shared" si="50"/>
        <v>26394.870000000003</v>
      </c>
      <c r="CC126" s="340">
        <f t="shared" si="51"/>
        <v>33632</v>
      </c>
      <c r="CD126" s="340">
        <f t="shared" si="52"/>
        <v>62128.209999999992</v>
      </c>
      <c r="CE126" s="340">
        <f t="shared" si="53"/>
        <v>45744.33</v>
      </c>
      <c r="CF126" s="340">
        <f t="shared" si="54"/>
        <v>32969.79</v>
      </c>
      <c r="CG126" s="340">
        <f t="shared" si="55"/>
        <v>36081.660000000003</v>
      </c>
      <c r="CH126" s="340">
        <f t="shared" si="56"/>
        <v>41535.129999999997</v>
      </c>
      <c r="CI126" s="340">
        <f t="shared" si="57"/>
        <v>44732.270000000004</v>
      </c>
      <c r="CJ126" s="340">
        <f t="shared" si="58"/>
        <v>25721.870000000003</v>
      </c>
      <c r="CK126" s="340">
        <f t="shared" si="59"/>
        <v>24111.190000000002</v>
      </c>
      <c r="CL126" s="340">
        <f t="shared" si="60"/>
        <v>23165.45</v>
      </c>
      <c r="CM126" s="340">
        <f t="shared" si="61"/>
        <v>28446.93</v>
      </c>
      <c r="CN126" s="340">
        <f t="shared" si="62"/>
        <v>29114.280000000002</v>
      </c>
      <c r="CO126" s="340">
        <f t="shared" si="63"/>
        <v>29205.43</v>
      </c>
      <c r="CP126" s="340">
        <f t="shared" si="64"/>
        <v>32307.280000000002</v>
      </c>
      <c r="CQ126" s="340">
        <f t="shared" si="65"/>
        <v>53850</v>
      </c>
      <c r="CR126" s="122"/>
      <c r="CS126" s="340" t="s">
        <v>11</v>
      </c>
      <c r="CT126" s="340">
        <f t="shared" si="66"/>
        <v>82201.7</v>
      </c>
      <c r="CU126" s="340">
        <f t="shared" si="67"/>
        <v>64274.58</v>
      </c>
      <c r="CV126" s="340">
        <f t="shared" si="68"/>
        <v>116405.24</v>
      </c>
      <c r="CW126" s="340">
        <f t="shared" si="69"/>
        <v>134142.39999999999</v>
      </c>
      <c r="CX126" s="340">
        <f t="shared" si="70"/>
        <v>136642.4</v>
      </c>
      <c r="CY126" s="340">
        <f t="shared" si="71"/>
        <v>126959.28</v>
      </c>
      <c r="CZ126" s="340">
        <f t="shared" si="72"/>
        <v>87982.9</v>
      </c>
      <c r="DA126" s="340">
        <f t="shared" si="73"/>
        <v>75672</v>
      </c>
      <c r="DB126" s="340">
        <f t="shared" si="74"/>
        <v>266056.36</v>
      </c>
      <c r="DC126" s="340">
        <f t="shared" si="75"/>
        <v>109656.91999999998</v>
      </c>
      <c r="DD126" s="340">
        <f t="shared" si="76"/>
        <v>140066.212</v>
      </c>
      <c r="DE126" s="340">
        <f t="shared" si="77"/>
        <v>292092.32999999996</v>
      </c>
      <c r="DF126" s="340">
        <f t="shared" si="78"/>
        <v>486529.62</v>
      </c>
      <c r="DG126" s="340">
        <f t="shared" si="79"/>
        <v>183330.91</v>
      </c>
      <c r="DH126" s="340">
        <f t="shared" si="80"/>
        <v>115158.19</v>
      </c>
      <c r="DI126" s="340">
        <f t="shared" si="81"/>
        <v>144372.88</v>
      </c>
      <c r="DJ126" s="340">
        <f t="shared" si="82"/>
        <v>88594.729999999981</v>
      </c>
      <c r="DK126" s="340">
        <f t="shared" si="83"/>
        <v>169984.05000000002</v>
      </c>
      <c r="DL126" s="340">
        <f t="shared" si="84"/>
        <v>112347.54</v>
      </c>
      <c r="DM126" s="340">
        <f t="shared" si="85"/>
        <v>147351.59999999998</v>
      </c>
      <c r="DN126" s="340">
        <f t="shared" si="86"/>
        <v>233282.73000000004</v>
      </c>
      <c r="DO126" s="340">
        <f t="shared" si="87"/>
        <v>815090</v>
      </c>
      <c r="DP126" s="330"/>
      <c r="DQ126" s="340" t="s">
        <v>11</v>
      </c>
      <c r="DR126" s="340">
        <f t="shared" ref="DR126:EM126" si="164">DR28</f>
        <v>46972.4</v>
      </c>
      <c r="DS126" s="340">
        <f t="shared" si="164"/>
        <v>57132.959999999999</v>
      </c>
      <c r="DT126" s="340">
        <f t="shared" si="164"/>
        <v>66517.279999999999</v>
      </c>
      <c r="DU126" s="340">
        <f t="shared" si="164"/>
        <v>75455.100000000006</v>
      </c>
      <c r="DV126" s="340">
        <f t="shared" si="164"/>
        <v>93941.65</v>
      </c>
      <c r="DW126" s="340">
        <f t="shared" si="164"/>
        <v>72548.160000000003</v>
      </c>
      <c r="DX126" s="340">
        <f t="shared" si="164"/>
        <v>114377.77</v>
      </c>
      <c r="DY126" s="340">
        <f t="shared" si="164"/>
        <v>117712</v>
      </c>
      <c r="DZ126" s="340">
        <f t="shared" si="164"/>
        <v>206604.90000000002</v>
      </c>
      <c r="EA126" s="340">
        <f t="shared" si="164"/>
        <v>260711.27000000002</v>
      </c>
      <c r="EB126" s="340">
        <f t="shared" si="164"/>
        <v>254466.28999999998</v>
      </c>
      <c r="EC126" s="340">
        <f t="shared" si="164"/>
        <v>337388.97000000003</v>
      </c>
      <c r="ED126" s="340">
        <f t="shared" si="164"/>
        <v>349245.13</v>
      </c>
      <c r="EE126" s="340">
        <f t="shared" si="164"/>
        <v>314790.05000000005</v>
      </c>
      <c r="EF126" s="340">
        <f t="shared" si="164"/>
        <v>72232.47</v>
      </c>
      <c r="EG126" s="340">
        <f t="shared" si="164"/>
        <v>69556</v>
      </c>
      <c r="EH126" s="340">
        <f t="shared" si="164"/>
        <v>73187.98</v>
      </c>
      <c r="EI126" s="340">
        <f t="shared" si="164"/>
        <v>77961.91</v>
      </c>
      <c r="EJ126" s="340">
        <f t="shared" si="164"/>
        <v>84229.62</v>
      </c>
      <c r="EK126" s="340">
        <f t="shared" si="164"/>
        <v>88262.07</v>
      </c>
      <c r="EL126" s="340">
        <f t="shared" si="164"/>
        <v>86212.06</v>
      </c>
      <c r="EM126" s="340">
        <f t="shared" si="164"/>
        <v>109250</v>
      </c>
      <c r="EO126" s="319" t="s">
        <v>11</v>
      </c>
      <c r="EP126" s="319">
        <f t="shared" si="89"/>
        <v>135045.65</v>
      </c>
      <c r="EQ126" s="319">
        <f t="shared" si="90"/>
        <v>157115.64000000001</v>
      </c>
      <c r="ER126" s="319">
        <f t="shared" si="91"/>
        <v>199551.84</v>
      </c>
      <c r="ES126" s="319">
        <f t="shared" si="92"/>
        <v>192829.7</v>
      </c>
      <c r="ET126" s="319">
        <f t="shared" si="93"/>
        <v>239124.2</v>
      </c>
      <c r="EU126" s="319">
        <f t="shared" si="94"/>
        <v>272055.59999999998</v>
      </c>
      <c r="EV126" s="319">
        <f t="shared" si="95"/>
        <v>255150.41</v>
      </c>
      <c r="EW126" s="319">
        <f t="shared" si="96"/>
        <v>243832</v>
      </c>
      <c r="EX126" s="319">
        <f t="shared" si="97"/>
        <v>562810.53</v>
      </c>
      <c r="EY126" s="319">
        <f t="shared" si="98"/>
        <v>1275334.33</v>
      </c>
      <c r="EZ126" s="319">
        <f t="shared" si="99"/>
        <v>1203488</v>
      </c>
      <c r="FA126" s="319">
        <f t="shared" si="100"/>
        <v>1222981.75</v>
      </c>
      <c r="FB126" s="319">
        <f t="shared" si="101"/>
        <v>1312398.02</v>
      </c>
      <c r="FC126" s="319">
        <f t="shared" si="102"/>
        <v>1303440.07</v>
      </c>
      <c r="FD126" s="319">
        <f t="shared" si="103"/>
        <v>1539.15</v>
      </c>
      <c r="FE126" s="319">
        <f t="shared" si="104"/>
        <v>0</v>
      </c>
      <c r="FF126" s="322">
        <f t="shared" si="105"/>
        <v>0</v>
      </c>
      <c r="FG126" s="336">
        <f t="shared" si="106"/>
        <v>0</v>
      </c>
      <c r="FH126" s="336">
        <f t="shared" si="107"/>
        <v>0</v>
      </c>
      <c r="FI126" s="336">
        <f t="shared" si="108"/>
        <v>0</v>
      </c>
      <c r="FJ126" s="336">
        <f t="shared" si="109"/>
        <v>0</v>
      </c>
      <c r="FK126" s="336">
        <f t="shared" si="110"/>
        <v>0</v>
      </c>
      <c r="FL126" s="122"/>
      <c r="FM126" s="340" t="s">
        <v>11</v>
      </c>
      <c r="FN126" s="340">
        <f t="shared" si="111"/>
        <v>52843.95</v>
      </c>
      <c r="FO126" s="340">
        <f t="shared" si="112"/>
        <v>64274.58</v>
      </c>
      <c r="FP126" s="340">
        <f t="shared" si="113"/>
        <v>66517.279999999999</v>
      </c>
      <c r="FQ126" s="340">
        <f t="shared" si="114"/>
        <v>75455.100000000006</v>
      </c>
      <c r="FR126" s="340">
        <f t="shared" si="115"/>
        <v>76861.350000000006</v>
      </c>
      <c r="FS126" s="340">
        <f t="shared" si="116"/>
        <v>81616.679999999993</v>
      </c>
      <c r="FT126" s="340">
        <f t="shared" si="117"/>
        <v>96781.19</v>
      </c>
      <c r="FU126" s="340">
        <f t="shared" si="118"/>
        <v>75672</v>
      </c>
      <c r="FV126" s="340">
        <f t="shared" si="119"/>
        <v>69302.570000000007</v>
      </c>
      <c r="FW126" s="340">
        <f t="shared" si="120"/>
        <v>73787.580000000016</v>
      </c>
      <c r="FX126" s="340">
        <f t="shared" si="121"/>
        <v>76826</v>
      </c>
      <c r="FY126" s="340">
        <f t="shared" si="122"/>
        <v>84220.2</v>
      </c>
      <c r="FZ126" s="340">
        <f t="shared" si="123"/>
        <v>84406.44</v>
      </c>
      <c r="GA126" s="340">
        <f t="shared" si="124"/>
        <v>84372.63</v>
      </c>
      <c r="GB126" s="340">
        <f t="shared" si="125"/>
        <v>0.05</v>
      </c>
      <c r="GC126" s="340">
        <f t="shared" si="126"/>
        <v>0</v>
      </c>
      <c r="GD126" s="340">
        <f t="shared" si="127"/>
        <v>0</v>
      </c>
      <c r="GE126" s="340">
        <f t="shared" si="128"/>
        <v>0</v>
      </c>
      <c r="GF126" s="340">
        <f t="shared" si="129"/>
        <v>0</v>
      </c>
      <c r="GG126" s="340">
        <f t="shared" si="130"/>
        <v>0</v>
      </c>
      <c r="GH126" s="340">
        <f t="shared" si="131"/>
        <v>0</v>
      </c>
      <c r="GI126" s="340">
        <f t="shared" si="132"/>
        <v>0</v>
      </c>
      <c r="GK126" s="340" t="s">
        <v>11</v>
      </c>
      <c r="GL126" s="340">
        <f t="shared" si="133"/>
        <v>17614.650000000001</v>
      </c>
      <c r="GM126" s="340">
        <f t="shared" si="134"/>
        <v>49991.34</v>
      </c>
      <c r="GN126" s="340">
        <f t="shared" si="135"/>
        <v>49887.96</v>
      </c>
      <c r="GO126" s="340">
        <f t="shared" si="136"/>
        <v>33535.599999999999</v>
      </c>
      <c r="GP126" s="340">
        <f t="shared" si="137"/>
        <v>8540.15</v>
      </c>
      <c r="GQ126" s="340">
        <f t="shared" si="138"/>
        <v>45342.6</v>
      </c>
      <c r="GR126" s="340">
        <f t="shared" si="139"/>
        <v>17596.580000000002</v>
      </c>
      <c r="GS126" s="340">
        <f t="shared" si="140"/>
        <v>25224</v>
      </c>
      <c r="GT126" s="340">
        <f t="shared" si="141"/>
        <v>57160.08</v>
      </c>
      <c r="GU126" s="340">
        <f t="shared" si="142"/>
        <v>19692.09</v>
      </c>
      <c r="GV126" s="340">
        <f t="shared" si="143"/>
        <v>19692.09</v>
      </c>
      <c r="GW126" s="340">
        <f t="shared" si="144"/>
        <v>47448.52</v>
      </c>
      <c r="GX126" s="340">
        <f t="shared" si="145"/>
        <v>56927</v>
      </c>
      <c r="GY126" s="340">
        <f t="shared" si="146"/>
        <v>0</v>
      </c>
      <c r="GZ126" s="340">
        <f t="shared" si="147"/>
        <v>772972.19</v>
      </c>
      <c r="HA126" s="340">
        <f t="shared" si="148"/>
        <v>288000</v>
      </c>
      <c r="HB126" s="340">
        <f t="shared" si="149"/>
        <v>402691</v>
      </c>
      <c r="HC126" s="340">
        <f t="shared" si="150"/>
        <v>179940.8</v>
      </c>
      <c r="HD126" s="340">
        <f t="shared" si="151"/>
        <v>30000</v>
      </c>
      <c r="HE126" s="340">
        <f t="shared" si="152"/>
        <v>43789.3</v>
      </c>
      <c r="HF126" s="340">
        <f t="shared" si="153"/>
        <v>136000</v>
      </c>
      <c r="HG126" s="340">
        <f t="shared" si="154"/>
        <v>119122</v>
      </c>
      <c r="HH126" s="122"/>
      <c r="IF126" s="122"/>
      <c r="IG126" s="122"/>
      <c r="IH126" s="122"/>
      <c r="II126" s="122"/>
      <c r="IJ126" s="122"/>
      <c r="IK126" s="122"/>
      <c r="IL126" s="122"/>
      <c r="IN126" s="118"/>
      <c r="IO126" s="118"/>
      <c r="JB126" s="122"/>
      <c r="JC126" s="122"/>
      <c r="JD126" s="122"/>
      <c r="JE126" s="122"/>
      <c r="JF126" s="122"/>
      <c r="JG126" s="122"/>
      <c r="JH126" s="122"/>
      <c r="JI126" s="122"/>
      <c r="JK126" s="118"/>
      <c r="JL126" s="118"/>
      <c r="JY126" s="122"/>
      <c r="JZ126" s="122"/>
      <c r="KA126" s="122"/>
      <c r="KB126" s="122"/>
      <c r="LX126" s="122"/>
      <c r="LY126" s="122"/>
      <c r="LZ126" s="122"/>
      <c r="MB126" s="118"/>
      <c r="MC126" s="118"/>
      <c r="MP126" s="122"/>
      <c r="MQ126" s="122"/>
      <c r="MR126" s="122"/>
      <c r="MS126" s="122"/>
      <c r="MT126" s="122"/>
      <c r="MU126" s="122"/>
      <c r="MV126" s="122"/>
      <c r="OS126" s="118"/>
      <c r="OT126" s="118"/>
      <c r="PC126" s="122"/>
      <c r="PD126" s="122"/>
      <c r="PE126" s="122"/>
      <c r="PF126" s="122"/>
      <c r="PG126" s="122"/>
      <c r="PH126" s="122"/>
      <c r="PI126" s="122"/>
      <c r="PJ126" s="122"/>
      <c r="PP126" s="118"/>
      <c r="PQ126" s="118"/>
      <c r="PZ126" s="122"/>
      <c r="QA126" s="122"/>
      <c r="QB126" s="122"/>
      <c r="QC126" s="122"/>
      <c r="QD126" s="122"/>
      <c r="QE126" s="122"/>
      <c r="QF126" s="122"/>
      <c r="QG126" s="122"/>
      <c r="QM126" s="118"/>
      <c r="QN126" s="118"/>
      <c r="RE126" s="118"/>
      <c r="RF126" s="118"/>
      <c r="RG126" s="118"/>
      <c r="RH126" s="118"/>
      <c r="RI126" s="118"/>
      <c r="RJ126" s="118"/>
      <c r="RK126" s="118"/>
    </row>
    <row r="127" spans="1:479">
      <c r="Y127" s="277" t="s">
        <v>12</v>
      </c>
      <c r="Z127" s="319">
        <f t="shared" si="0"/>
        <v>366381.75</v>
      </c>
      <c r="AA127" s="319">
        <f t="shared" si="1"/>
        <v>397000.80000000005</v>
      </c>
      <c r="AB127" s="319">
        <f t="shared" si="2"/>
        <v>422543.52</v>
      </c>
      <c r="AC127" s="319">
        <f t="shared" si="3"/>
        <v>342741.27</v>
      </c>
      <c r="AD127" s="319">
        <f t="shared" si="4"/>
        <v>396819.18</v>
      </c>
      <c r="AE127" s="319">
        <f t="shared" si="5"/>
        <v>408245.39999999997</v>
      </c>
      <c r="AF127" s="319">
        <f t="shared" si="6"/>
        <v>412069.68</v>
      </c>
      <c r="AG127" s="319">
        <f t="shared" si="7"/>
        <v>398392.05000000005</v>
      </c>
      <c r="AH127" s="319">
        <f t="shared" si="8"/>
        <v>462722.64999999997</v>
      </c>
      <c r="AI127" s="319">
        <f t="shared" si="9"/>
        <v>520246.76999999996</v>
      </c>
      <c r="AJ127" s="319">
        <f t="shared" si="10"/>
        <v>644097.34</v>
      </c>
      <c r="AK127" s="319">
        <f t="shared" si="11"/>
        <v>485478.64999999991</v>
      </c>
      <c r="AL127" s="319">
        <f t="shared" si="12"/>
        <v>632297.07000000007</v>
      </c>
      <c r="AM127" s="319">
        <f t="shared" si="13"/>
        <v>537818.41</v>
      </c>
      <c r="AN127" s="319">
        <f t="shared" si="14"/>
        <v>564501.51</v>
      </c>
      <c r="AO127" s="319">
        <f t="shared" si="15"/>
        <v>539209.37</v>
      </c>
      <c r="AP127" s="319">
        <f t="shared" si="16"/>
        <v>583977.86</v>
      </c>
      <c r="AQ127" s="319">
        <f t="shared" si="17"/>
        <v>561351.93999999994</v>
      </c>
      <c r="AR127" s="319">
        <f t="shared" si="18"/>
        <v>742054.48</v>
      </c>
      <c r="AS127" s="319">
        <f t="shared" si="19"/>
        <v>779181.45000000007</v>
      </c>
      <c r="AT127" s="319">
        <f t="shared" si="20"/>
        <v>616780.37</v>
      </c>
      <c r="AU127" s="319">
        <f t="shared" si="21"/>
        <v>799354.5</v>
      </c>
      <c r="AW127" s="322" t="s">
        <v>12</v>
      </c>
      <c r="AX127" s="322">
        <f t="shared" si="22"/>
        <v>73276.349999999991</v>
      </c>
      <c r="AY127" s="322">
        <f t="shared" si="23"/>
        <v>56714.399999999994</v>
      </c>
      <c r="AZ127" s="322">
        <f t="shared" si="24"/>
        <v>58686.6</v>
      </c>
      <c r="BA127" s="322">
        <f t="shared" si="25"/>
        <v>77393.19</v>
      </c>
      <c r="BB127" s="322">
        <f t="shared" si="26"/>
        <v>68417.100000000006</v>
      </c>
      <c r="BC127" s="322">
        <f t="shared" si="27"/>
        <v>22680.3</v>
      </c>
      <c r="BD127" s="322">
        <f t="shared" si="28"/>
        <v>11481.79</v>
      </c>
      <c r="BE127" s="322">
        <f t="shared" si="29"/>
        <v>68295.78</v>
      </c>
      <c r="BF127" s="322">
        <f t="shared" si="30"/>
        <v>52988.29</v>
      </c>
      <c r="BG127" s="322">
        <f t="shared" si="31"/>
        <v>78672.05</v>
      </c>
      <c r="BH127" s="322">
        <f t="shared" si="32"/>
        <v>86745.590000000011</v>
      </c>
      <c r="BI127" s="322">
        <f t="shared" si="33"/>
        <v>90499.28</v>
      </c>
      <c r="BJ127" s="322">
        <f t="shared" si="34"/>
        <v>90422.73</v>
      </c>
      <c r="BK127" s="322">
        <f t="shared" si="35"/>
        <v>99020.37</v>
      </c>
      <c r="BL127" s="322">
        <f t="shared" si="36"/>
        <v>90533.14</v>
      </c>
      <c r="BM127" s="322">
        <f t="shared" si="37"/>
        <v>90685.63</v>
      </c>
      <c r="BN127" s="322">
        <f t="shared" si="38"/>
        <v>88411.680000000008</v>
      </c>
      <c r="BO127" s="340">
        <f t="shared" si="39"/>
        <v>124370.35999999999</v>
      </c>
      <c r="BP127" s="340">
        <f t="shared" si="40"/>
        <v>106642.59</v>
      </c>
      <c r="BQ127" s="340">
        <f t="shared" si="41"/>
        <v>104289.34</v>
      </c>
      <c r="BR127" s="340">
        <f t="shared" si="42"/>
        <v>97377.049999999988</v>
      </c>
      <c r="BS127" s="340">
        <f t="shared" si="43"/>
        <v>129205</v>
      </c>
      <c r="BU127" s="340" t="s">
        <v>12</v>
      </c>
      <c r="BV127" s="340">
        <f t="shared" si="44"/>
        <v>20936.099999999999</v>
      </c>
      <c r="BW127" s="340">
        <f t="shared" si="45"/>
        <v>34028.639999999999</v>
      </c>
      <c r="BX127" s="340">
        <f t="shared" si="46"/>
        <v>35211.96</v>
      </c>
      <c r="BY127" s="340">
        <f t="shared" si="47"/>
        <v>33168.51</v>
      </c>
      <c r="BZ127" s="340">
        <f t="shared" si="48"/>
        <v>82100.52</v>
      </c>
      <c r="CA127" s="340">
        <f t="shared" si="49"/>
        <v>45360.6</v>
      </c>
      <c r="CB127" s="340">
        <f t="shared" si="50"/>
        <v>22963.58</v>
      </c>
      <c r="CC127" s="340">
        <f t="shared" si="51"/>
        <v>34147.89</v>
      </c>
      <c r="CD127" s="340">
        <f t="shared" si="52"/>
        <v>30251.809999999998</v>
      </c>
      <c r="CE127" s="340">
        <f t="shared" si="53"/>
        <v>50911.839999999997</v>
      </c>
      <c r="CF127" s="340">
        <f t="shared" si="54"/>
        <v>46007.040000000001</v>
      </c>
      <c r="CG127" s="340">
        <f t="shared" si="55"/>
        <v>38456.86</v>
      </c>
      <c r="CH127" s="340">
        <f t="shared" si="56"/>
        <v>71694.87</v>
      </c>
      <c r="CI127" s="340">
        <f t="shared" si="57"/>
        <v>43792.789999999994</v>
      </c>
      <c r="CJ127" s="340">
        <f t="shared" si="58"/>
        <v>47700.979999999996</v>
      </c>
      <c r="CK127" s="340">
        <f t="shared" si="59"/>
        <v>47849.04</v>
      </c>
      <c r="CL127" s="340">
        <f t="shared" si="60"/>
        <v>44624.54</v>
      </c>
      <c r="CM127" s="340">
        <f t="shared" si="61"/>
        <v>44243.64</v>
      </c>
      <c r="CN127" s="340">
        <f t="shared" si="62"/>
        <v>63560.91</v>
      </c>
      <c r="CO127" s="340">
        <f t="shared" si="63"/>
        <v>61859.930000000008</v>
      </c>
      <c r="CP127" s="340">
        <f t="shared" si="64"/>
        <v>60036.170000000006</v>
      </c>
      <c r="CQ127" s="340">
        <f t="shared" si="65"/>
        <v>65114.51</v>
      </c>
      <c r="CR127" s="122"/>
      <c r="CS127" s="340" t="s">
        <v>12</v>
      </c>
      <c r="CT127" s="340">
        <f t="shared" si="66"/>
        <v>41872.199999999997</v>
      </c>
      <c r="CU127" s="340">
        <f t="shared" si="67"/>
        <v>34028.639999999999</v>
      </c>
      <c r="CV127" s="340">
        <f t="shared" si="68"/>
        <v>35211.96</v>
      </c>
      <c r="CW127" s="340">
        <f t="shared" si="69"/>
        <v>22112.34</v>
      </c>
      <c r="CX127" s="340">
        <f t="shared" si="70"/>
        <v>0</v>
      </c>
      <c r="CY127" s="340">
        <f t="shared" si="71"/>
        <v>56700.75</v>
      </c>
      <c r="CZ127" s="340">
        <f t="shared" si="72"/>
        <v>68890.740000000005</v>
      </c>
      <c r="DA127" s="340">
        <f t="shared" si="73"/>
        <v>0</v>
      </c>
      <c r="DB127" s="340">
        <f t="shared" si="74"/>
        <v>0</v>
      </c>
      <c r="DC127" s="340">
        <f t="shared" si="75"/>
        <v>0</v>
      </c>
      <c r="DD127" s="340">
        <f t="shared" si="76"/>
        <v>0</v>
      </c>
      <c r="DE127" s="340">
        <f t="shared" si="77"/>
        <v>0</v>
      </c>
      <c r="DF127" s="340">
        <f t="shared" si="78"/>
        <v>0</v>
      </c>
      <c r="DG127" s="340">
        <f t="shared" si="79"/>
        <v>0</v>
      </c>
      <c r="DH127" s="340">
        <f t="shared" si="80"/>
        <v>49.1</v>
      </c>
      <c r="DI127" s="340">
        <f t="shared" si="81"/>
        <v>65862.990000000005</v>
      </c>
      <c r="DJ127" s="340">
        <f t="shared" si="82"/>
        <v>0</v>
      </c>
      <c r="DK127" s="340">
        <f t="shared" si="83"/>
        <v>791.4</v>
      </c>
      <c r="DL127" s="340">
        <f t="shared" si="84"/>
        <v>0</v>
      </c>
      <c r="DM127" s="340">
        <f t="shared" si="85"/>
        <v>0</v>
      </c>
      <c r="DN127" s="340">
        <f t="shared" si="86"/>
        <v>16776</v>
      </c>
      <c r="DO127" s="340">
        <f t="shared" si="87"/>
        <v>15000</v>
      </c>
      <c r="DP127" s="330"/>
      <c r="DQ127" s="340" t="s">
        <v>12</v>
      </c>
      <c r="DR127" s="340">
        <f t="shared" ref="DR127:EM127" si="165">DR29</f>
        <v>104680.5</v>
      </c>
      <c r="DS127" s="340">
        <f t="shared" si="165"/>
        <v>124771.68</v>
      </c>
      <c r="DT127" s="340">
        <f t="shared" si="165"/>
        <v>129110.52</v>
      </c>
      <c r="DU127" s="340">
        <f t="shared" si="165"/>
        <v>132674.04</v>
      </c>
      <c r="DV127" s="340">
        <f t="shared" si="165"/>
        <v>150517.62</v>
      </c>
      <c r="DW127" s="340">
        <f t="shared" si="165"/>
        <v>147421.95000000001</v>
      </c>
      <c r="DX127" s="340">
        <f t="shared" si="165"/>
        <v>149263.26999999999</v>
      </c>
      <c r="DY127" s="340">
        <f t="shared" si="165"/>
        <v>159356.82</v>
      </c>
      <c r="DZ127" s="340">
        <f t="shared" si="165"/>
        <v>166570.96999999997</v>
      </c>
      <c r="EA127" s="340">
        <f t="shared" si="165"/>
        <v>179777.29</v>
      </c>
      <c r="EB127" s="340">
        <f t="shared" si="165"/>
        <v>193649.58</v>
      </c>
      <c r="EC127" s="340">
        <f t="shared" si="165"/>
        <v>182153.27000000002</v>
      </c>
      <c r="ED127" s="340">
        <f t="shared" si="165"/>
        <v>198503.94999999998</v>
      </c>
      <c r="EE127" s="340">
        <f t="shared" si="165"/>
        <v>196576.79</v>
      </c>
      <c r="EF127" s="340">
        <f t="shared" si="165"/>
        <v>211247.06000000003</v>
      </c>
      <c r="EG127" s="340">
        <f t="shared" si="165"/>
        <v>205660.46000000002</v>
      </c>
      <c r="EH127" s="340">
        <f t="shared" si="165"/>
        <v>202239.21</v>
      </c>
      <c r="EI127" s="340">
        <f t="shared" si="165"/>
        <v>218605.81</v>
      </c>
      <c r="EJ127" s="340">
        <f t="shared" si="165"/>
        <v>228247.08999999997</v>
      </c>
      <c r="EK127" s="340">
        <f t="shared" si="165"/>
        <v>210222.75999999998</v>
      </c>
      <c r="EL127" s="340">
        <f t="shared" si="165"/>
        <v>203226.12999999998</v>
      </c>
      <c r="EM127" s="340">
        <f t="shared" si="165"/>
        <v>231215</v>
      </c>
      <c r="EO127" s="319" t="s">
        <v>12</v>
      </c>
      <c r="EP127" s="319">
        <f t="shared" si="89"/>
        <v>345445.65</v>
      </c>
      <c r="EQ127" s="319">
        <f t="shared" si="90"/>
        <v>374315.04</v>
      </c>
      <c r="ER127" s="319">
        <f t="shared" si="91"/>
        <v>410806.19999999995</v>
      </c>
      <c r="ES127" s="319">
        <f t="shared" si="92"/>
        <v>420134.46</v>
      </c>
      <c r="ET127" s="319">
        <f t="shared" si="93"/>
        <v>478919.69999999995</v>
      </c>
      <c r="EU127" s="319">
        <f t="shared" si="94"/>
        <v>374224.94999999995</v>
      </c>
      <c r="EV127" s="319">
        <f t="shared" si="95"/>
        <v>390380.86</v>
      </c>
      <c r="EW127" s="319">
        <f t="shared" si="96"/>
        <v>398392.05</v>
      </c>
      <c r="EX127" s="319">
        <f t="shared" si="97"/>
        <v>391323.51</v>
      </c>
      <c r="EY127" s="319">
        <f t="shared" si="98"/>
        <v>335683.81</v>
      </c>
      <c r="EZ127" s="319">
        <f t="shared" si="99"/>
        <v>387024.18000000005</v>
      </c>
      <c r="FA127" s="319">
        <f t="shared" si="100"/>
        <v>436516.24000000005</v>
      </c>
      <c r="FB127" s="319">
        <f t="shared" si="101"/>
        <v>483671.36</v>
      </c>
      <c r="FC127" s="319">
        <f t="shared" si="102"/>
        <v>480872.55000000005</v>
      </c>
      <c r="FD127" s="319">
        <f t="shared" si="103"/>
        <v>513472.25000000006</v>
      </c>
      <c r="FE127" s="319">
        <f t="shared" si="104"/>
        <v>477577.72</v>
      </c>
      <c r="FF127" s="322">
        <f t="shared" si="105"/>
        <v>462325.78999999992</v>
      </c>
      <c r="FG127" s="336">
        <f t="shared" si="106"/>
        <v>579397.73999999987</v>
      </c>
      <c r="FH127" s="336">
        <f t="shared" si="107"/>
        <v>598352.40999999992</v>
      </c>
      <c r="FI127" s="336">
        <f t="shared" si="108"/>
        <v>565378.6</v>
      </c>
      <c r="FJ127" s="336">
        <f t="shared" si="109"/>
        <v>547435.99000000011</v>
      </c>
      <c r="FK127" s="336">
        <f t="shared" si="110"/>
        <v>654190.53</v>
      </c>
      <c r="FL127" s="122"/>
      <c r="FM127" s="340" t="s">
        <v>12</v>
      </c>
      <c r="FN127" s="340">
        <f t="shared" si="111"/>
        <v>73276.350000000006</v>
      </c>
      <c r="FO127" s="340">
        <f t="shared" si="112"/>
        <v>68057.279999999999</v>
      </c>
      <c r="FP127" s="340">
        <f t="shared" si="113"/>
        <v>70423.92</v>
      </c>
      <c r="FQ127" s="340">
        <f t="shared" si="114"/>
        <v>77393.19</v>
      </c>
      <c r="FR127" s="340">
        <f t="shared" si="115"/>
        <v>82100.52</v>
      </c>
      <c r="FS127" s="340">
        <f t="shared" si="116"/>
        <v>79381.05</v>
      </c>
      <c r="FT127" s="340">
        <f t="shared" si="117"/>
        <v>80372.53</v>
      </c>
      <c r="FU127" s="340">
        <f t="shared" si="118"/>
        <v>79678.41</v>
      </c>
      <c r="FV127" s="340">
        <f t="shared" si="119"/>
        <v>86460.87</v>
      </c>
      <c r="FW127" s="340">
        <f t="shared" si="120"/>
        <v>74137.36</v>
      </c>
      <c r="FX127" s="340">
        <f t="shared" si="121"/>
        <v>93716.859999999986</v>
      </c>
      <c r="FY127" s="340">
        <f t="shared" si="122"/>
        <v>98025.379999999976</v>
      </c>
      <c r="FZ127" s="340">
        <f t="shared" si="123"/>
        <v>114264.51</v>
      </c>
      <c r="GA127" s="340">
        <f t="shared" si="124"/>
        <v>102271.26</v>
      </c>
      <c r="GB127" s="340">
        <f t="shared" si="125"/>
        <v>97750.38</v>
      </c>
      <c r="GC127" s="340">
        <f t="shared" si="126"/>
        <v>102506.27</v>
      </c>
      <c r="GD127" s="340">
        <f t="shared" si="127"/>
        <v>108950.04</v>
      </c>
      <c r="GE127" s="340">
        <f t="shared" si="128"/>
        <v>118078.59</v>
      </c>
      <c r="GF127" s="340">
        <f t="shared" si="129"/>
        <v>113122.03</v>
      </c>
      <c r="GG127" s="340">
        <f t="shared" si="130"/>
        <v>116834.71</v>
      </c>
      <c r="GH127" s="340">
        <f t="shared" si="131"/>
        <v>108391.70999999999</v>
      </c>
      <c r="GI127" s="340">
        <f t="shared" si="132"/>
        <v>128154.79000000001</v>
      </c>
      <c r="GJ127" s="122"/>
      <c r="GK127" s="340" t="s">
        <v>12</v>
      </c>
      <c r="GL127" s="340">
        <f t="shared" si="133"/>
        <v>20936.099999999999</v>
      </c>
      <c r="GM127" s="340">
        <f t="shared" si="134"/>
        <v>45371.519999999997</v>
      </c>
      <c r="GN127" s="340">
        <f t="shared" si="135"/>
        <v>11737.32</v>
      </c>
      <c r="GO127" s="340">
        <f t="shared" si="136"/>
        <v>0</v>
      </c>
      <c r="GP127" s="340">
        <f t="shared" si="137"/>
        <v>109467.36</v>
      </c>
      <c r="GQ127" s="340">
        <f t="shared" si="138"/>
        <v>0</v>
      </c>
      <c r="GR127" s="340">
        <f t="shared" si="139"/>
        <v>11481.79</v>
      </c>
      <c r="GS127" s="340">
        <f t="shared" si="140"/>
        <v>11382.63</v>
      </c>
      <c r="GT127" s="340">
        <f t="shared" si="141"/>
        <v>9247.08</v>
      </c>
      <c r="GU127" s="340">
        <f t="shared" si="142"/>
        <v>1519.58</v>
      </c>
      <c r="GV127" s="340">
        <f t="shared" si="143"/>
        <v>5025.6499999999996</v>
      </c>
      <c r="GW127" s="340">
        <f t="shared" si="144"/>
        <v>1355.02</v>
      </c>
      <c r="GX127" s="340">
        <f t="shared" si="145"/>
        <v>5150.91</v>
      </c>
      <c r="GY127" s="340">
        <f t="shared" si="146"/>
        <v>5776.81</v>
      </c>
      <c r="GZ127" s="340">
        <f t="shared" si="147"/>
        <v>5324.82</v>
      </c>
      <c r="HA127" s="340">
        <f t="shared" si="148"/>
        <v>7483.4</v>
      </c>
      <c r="HB127" s="340">
        <f t="shared" si="149"/>
        <v>36907.15</v>
      </c>
      <c r="HC127" s="340">
        <f t="shared" si="150"/>
        <v>9074.31</v>
      </c>
      <c r="HD127" s="340">
        <f t="shared" si="151"/>
        <v>10563.439999999999</v>
      </c>
      <c r="HE127" s="340">
        <f t="shared" si="152"/>
        <v>11056.5</v>
      </c>
      <c r="HF127" s="340">
        <f t="shared" si="153"/>
        <v>5794.67</v>
      </c>
      <c r="HG127" s="340">
        <f t="shared" si="154"/>
        <v>3900</v>
      </c>
      <c r="HH127" s="122"/>
      <c r="IF127" s="122"/>
      <c r="IG127" s="122"/>
      <c r="IH127" s="122"/>
      <c r="II127" s="122"/>
      <c r="IJ127" s="122"/>
      <c r="IK127" s="122"/>
      <c r="IL127" s="122"/>
      <c r="IN127" s="118"/>
      <c r="IP127" s="122"/>
      <c r="IQ127" s="122"/>
      <c r="IR127" s="122"/>
      <c r="IS127" s="122"/>
      <c r="IT127" s="122"/>
      <c r="IU127" s="122"/>
      <c r="IV127" s="122"/>
      <c r="IW127" s="122"/>
      <c r="IX127" s="122"/>
      <c r="IY127" s="122"/>
      <c r="IZ127" s="122"/>
      <c r="JA127" s="122"/>
      <c r="JB127" s="122"/>
      <c r="JC127" s="122"/>
      <c r="JD127" s="122"/>
      <c r="JE127" s="122"/>
      <c r="JF127" s="122"/>
      <c r="JG127" s="122"/>
      <c r="JH127" s="122"/>
      <c r="JI127" s="122"/>
      <c r="JK127" s="118"/>
      <c r="JL127" s="118"/>
      <c r="JY127" s="122"/>
      <c r="JZ127" s="122"/>
      <c r="KA127" s="122"/>
      <c r="KB127" s="122"/>
      <c r="LX127" s="122"/>
      <c r="LY127" s="122"/>
      <c r="LZ127" s="122"/>
      <c r="MB127" s="118"/>
      <c r="MC127" s="118"/>
      <c r="MP127" s="122"/>
      <c r="MQ127" s="122"/>
      <c r="MR127" s="122"/>
      <c r="MS127" s="122"/>
      <c r="MT127" s="122"/>
      <c r="MU127" s="122"/>
      <c r="MV127" s="122"/>
      <c r="OS127" s="118"/>
      <c r="OT127" s="118"/>
      <c r="PC127" s="122"/>
      <c r="PD127" s="122"/>
      <c r="PE127" s="122"/>
      <c r="PF127" s="122"/>
      <c r="PG127" s="122"/>
      <c r="PH127" s="122"/>
      <c r="PI127" s="122"/>
      <c r="PJ127" s="122"/>
      <c r="PP127" s="118"/>
      <c r="PQ127" s="118"/>
      <c r="PZ127" s="122"/>
      <c r="QA127" s="122"/>
      <c r="QB127" s="122"/>
      <c r="QC127" s="122"/>
      <c r="QD127" s="122"/>
      <c r="QE127" s="122"/>
      <c r="QF127" s="122"/>
      <c r="QG127" s="122"/>
      <c r="QM127" s="118"/>
      <c r="QN127" s="118"/>
      <c r="RE127" s="118"/>
      <c r="RF127" s="118"/>
      <c r="RG127" s="118"/>
      <c r="RH127" s="118"/>
      <c r="RI127" s="118"/>
      <c r="RJ127" s="118"/>
      <c r="RK127" s="118"/>
    </row>
    <row r="128" spans="1:479">
      <c r="I128" s="117"/>
      <c r="Y128" s="387" t="s">
        <v>13</v>
      </c>
      <c r="Z128" s="319">
        <f t="shared" si="0"/>
        <v>196000.91</v>
      </c>
      <c r="AA128" s="319">
        <f t="shared" si="1"/>
        <v>150744.6</v>
      </c>
      <c r="AB128" s="319">
        <f t="shared" si="2"/>
        <v>157212.26999999999</v>
      </c>
      <c r="AC128" s="319">
        <f t="shared" si="3"/>
        <v>138503.70000000001</v>
      </c>
      <c r="AD128" s="319">
        <f t="shared" si="4"/>
        <v>157487.4</v>
      </c>
      <c r="AE128" s="319">
        <f t="shared" si="5"/>
        <v>146703.25</v>
      </c>
      <c r="AF128" s="319">
        <f t="shared" si="6"/>
        <v>154281.25</v>
      </c>
      <c r="AG128" s="319">
        <f t="shared" si="7"/>
        <v>170933.75</v>
      </c>
      <c r="AH128" s="319">
        <f t="shared" si="8"/>
        <v>201435.08</v>
      </c>
      <c r="AI128" s="319">
        <f t="shared" si="9"/>
        <v>196383.66</v>
      </c>
      <c r="AJ128" s="319">
        <f t="shared" si="10"/>
        <v>219106.64</v>
      </c>
      <c r="AK128" s="319">
        <f t="shared" si="11"/>
        <v>225397.44999999995</v>
      </c>
      <c r="AL128" s="319">
        <f t="shared" si="12"/>
        <v>0</v>
      </c>
      <c r="AM128" s="319">
        <f t="shared" si="13"/>
        <v>290311.12</v>
      </c>
      <c r="AN128" s="319">
        <f t="shared" si="14"/>
        <v>263276.03000000003</v>
      </c>
      <c r="AO128" s="319">
        <f t="shared" si="15"/>
        <v>456887.69000000006</v>
      </c>
      <c r="AP128" s="319">
        <f t="shared" si="16"/>
        <v>274683</v>
      </c>
      <c r="AQ128" s="319">
        <f t="shared" si="17"/>
        <v>248507.14999999997</v>
      </c>
      <c r="AR128" s="319">
        <f t="shared" si="18"/>
        <v>308726.02999999997</v>
      </c>
      <c r="AS128" s="319">
        <f t="shared" si="19"/>
        <v>279959.40999999997</v>
      </c>
      <c r="AT128" s="319">
        <f t="shared" si="20"/>
        <v>336590.56000000006</v>
      </c>
      <c r="AU128" s="319">
        <f t="shared" si="21"/>
        <v>554612.11</v>
      </c>
      <c r="AW128" s="322" t="s">
        <v>13</v>
      </c>
      <c r="AX128" s="322">
        <f t="shared" si="22"/>
        <v>31613.05</v>
      </c>
      <c r="AY128" s="322">
        <f t="shared" si="23"/>
        <v>37686.149999999994</v>
      </c>
      <c r="AZ128" s="322">
        <f t="shared" si="24"/>
        <v>49645.979999999996</v>
      </c>
      <c r="BA128" s="322">
        <f t="shared" si="25"/>
        <v>42153.3</v>
      </c>
      <c r="BB128" s="322">
        <f t="shared" si="26"/>
        <v>33747.300000000003</v>
      </c>
      <c r="BC128" s="322">
        <f t="shared" si="27"/>
        <v>35208.78</v>
      </c>
      <c r="BD128" s="322">
        <f t="shared" si="28"/>
        <v>44023.91</v>
      </c>
      <c r="BE128" s="322">
        <f t="shared" si="29"/>
        <v>41024.100000000006</v>
      </c>
      <c r="BF128" s="322">
        <f t="shared" si="30"/>
        <v>41320.359999999993</v>
      </c>
      <c r="BG128" s="322">
        <f t="shared" si="31"/>
        <v>43901.14</v>
      </c>
      <c r="BH128" s="322">
        <f t="shared" si="32"/>
        <v>47547.789999999994</v>
      </c>
      <c r="BI128" s="322">
        <f t="shared" si="33"/>
        <v>48289.869999999995</v>
      </c>
      <c r="BJ128" s="322">
        <f t="shared" si="34"/>
        <v>0</v>
      </c>
      <c r="BK128" s="322">
        <f t="shared" si="35"/>
        <v>46799.7</v>
      </c>
      <c r="BL128" s="322">
        <f t="shared" si="36"/>
        <v>45356.78</v>
      </c>
      <c r="BM128" s="322">
        <f t="shared" si="37"/>
        <v>57243.21</v>
      </c>
      <c r="BN128" s="322">
        <f t="shared" si="38"/>
        <v>58914.239999999998</v>
      </c>
      <c r="BO128" s="340">
        <f t="shared" si="39"/>
        <v>53086.92</v>
      </c>
      <c r="BP128" s="340">
        <f t="shared" si="40"/>
        <v>55066.47</v>
      </c>
      <c r="BQ128" s="340">
        <f t="shared" si="41"/>
        <v>54371.16</v>
      </c>
      <c r="BR128" s="340">
        <f t="shared" si="42"/>
        <v>52732.740000000005</v>
      </c>
      <c r="BS128" s="340">
        <f t="shared" si="43"/>
        <v>65796.030549999996</v>
      </c>
      <c r="BU128" s="340" t="s">
        <v>13</v>
      </c>
      <c r="BV128" s="340">
        <f t="shared" si="44"/>
        <v>12645.22</v>
      </c>
      <c r="BW128" s="340">
        <f t="shared" si="45"/>
        <v>22611.69</v>
      </c>
      <c r="BX128" s="340">
        <f t="shared" si="46"/>
        <v>24822.989999999998</v>
      </c>
      <c r="BY128" s="340">
        <f t="shared" si="47"/>
        <v>24087.599999999999</v>
      </c>
      <c r="BZ128" s="340">
        <f t="shared" si="48"/>
        <v>22498.2</v>
      </c>
      <c r="CA128" s="340">
        <f t="shared" si="49"/>
        <v>23472.52</v>
      </c>
      <c r="CB128" s="340">
        <f t="shared" si="50"/>
        <v>25156.52</v>
      </c>
      <c r="CC128" s="340">
        <f t="shared" si="51"/>
        <v>27349.4</v>
      </c>
      <c r="CD128" s="340">
        <f t="shared" si="52"/>
        <v>26163.200000000001</v>
      </c>
      <c r="CE128" s="340">
        <f t="shared" si="53"/>
        <v>29770.370000000003</v>
      </c>
      <c r="CF128" s="340">
        <f t="shared" si="54"/>
        <v>32596.84</v>
      </c>
      <c r="CG128" s="340">
        <f t="shared" si="55"/>
        <v>29534.600000000002</v>
      </c>
      <c r="CH128" s="340">
        <f t="shared" si="56"/>
        <v>0</v>
      </c>
      <c r="CI128" s="340">
        <f t="shared" si="57"/>
        <v>35409.64</v>
      </c>
      <c r="CJ128" s="340">
        <f t="shared" si="58"/>
        <v>33821.97</v>
      </c>
      <c r="CK128" s="340">
        <f t="shared" si="59"/>
        <v>50943.24</v>
      </c>
      <c r="CL128" s="340">
        <f t="shared" si="60"/>
        <v>36663.18</v>
      </c>
      <c r="CM128" s="340">
        <f t="shared" si="61"/>
        <v>34475</v>
      </c>
      <c r="CN128" s="340">
        <f t="shared" si="62"/>
        <v>32640.27</v>
      </c>
      <c r="CO128" s="340">
        <f t="shared" si="63"/>
        <v>33537.47</v>
      </c>
      <c r="CP128" s="340">
        <f t="shared" si="64"/>
        <v>36448.28</v>
      </c>
      <c r="CQ128" s="340">
        <f t="shared" si="65"/>
        <v>39033</v>
      </c>
      <c r="CR128" s="122"/>
      <c r="CS128" s="340" t="s">
        <v>13</v>
      </c>
      <c r="CT128" s="340">
        <f t="shared" si="66"/>
        <v>88516.54</v>
      </c>
      <c r="CU128" s="340">
        <f t="shared" si="67"/>
        <v>165819.06</v>
      </c>
      <c r="CV128" s="340">
        <f t="shared" si="68"/>
        <v>115840.62</v>
      </c>
      <c r="CW128" s="340">
        <f t="shared" si="69"/>
        <v>150547.5</v>
      </c>
      <c r="CX128" s="340">
        <f t="shared" si="70"/>
        <v>56245.5</v>
      </c>
      <c r="CY128" s="340">
        <f t="shared" si="71"/>
        <v>58681.3</v>
      </c>
      <c r="CZ128" s="340">
        <f t="shared" si="72"/>
        <v>62891.3</v>
      </c>
      <c r="DA128" s="340">
        <f t="shared" si="73"/>
        <v>68373.5</v>
      </c>
      <c r="DB128" s="340">
        <f t="shared" si="74"/>
        <v>78160.490000000005</v>
      </c>
      <c r="DC128" s="340">
        <f t="shared" si="75"/>
        <v>208711.58999999997</v>
      </c>
      <c r="DD128" s="340">
        <f t="shared" si="76"/>
        <v>186360.59</v>
      </c>
      <c r="DE128" s="340">
        <f t="shared" si="77"/>
        <v>172187.37</v>
      </c>
      <c r="DF128" s="340">
        <f t="shared" si="78"/>
        <v>0</v>
      </c>
      <c r="DG128" s="340">
        <f t="shared" si="79"/>
        <v>178305.49000000002</v>
      </c>
      <c r="DH128" s="340">
        <f t="shared" si="80"/>
        <v>183988.77</v>
      </c>
      <c r="DI128" s="340">
        <f t="shared" si="81"/>
        <v>106147.09000000001</v>
      </c>
      <c r="DJ128" s="340">
        <f t="shared" si="82"/>
        <v>125070.17</v>
      </c>
      <c r="DK128" s="340">
        <f t="shared" si="83"/>
        <v>143991.09999999998</v>
      </c>
      <c r="DL128" s="340">
        <f t="shared" si="84"/>
        <v>147496</v>
      </c>
      <c r="DM128" s="340">
        <f t="shared" si="85"/>
        <v>175721.94999999998</v>
      </c>
      <c r="DN128" s="340">
        <f t="shared" si="86"/>
        <v>140196.08000000002</v>
      </c>
      <c r="DO128" s="340">
        <f t="shared" si="87"/>
        <v>476186.62</v>
      </c>
      <c r="DP128" s="330"/>
      <c r="DQ128" s="340" t="s">
        <v>13</v>
      </c>
      <c r="DR128" s="340">
        <f t="shared" ref="DR128:EM128" si="166">DR30</f>
        <v>31613.05</v>
      </c>
      <c r="DS128" s="340">
        <f t="shared" si="166"/>
        <v>30148.92</v>
      </c>
      <c r="DT128" s="340">
        <f t="shared" si="166"/>
        <v>33097.32</v>
      </c>
      <c r="DU128" s="340">
        <f t="shared" si="166"/>
        <v>24087.599999999999</v>
      </c>
      <c r="DV128" s="340">
        <f t="shared" si="166"/>
        <v>28122.75</v>
      </c>
      <c r="DW128" s="340">
        <f t="shared" si="166"/>
        <v>23472.52</v>
      </c>
      <c r="DX128" s="340">
        <f t="shared" si="166"/>
        <v>31445.65</v>
      </c>
      <c r="DY128" s="340">
        <f t="shared" si="166"/>
        <v>34186.75</v>
      </c>
      <c r="DZ128" s="340">
        <f t="shared" si="166"/>
        <v>40324.350000000006</v>
      </c>
      <c r="EA128" s="340">
        <f t="shared" si="166"/>
        <v>42306.119999999995</v>
      </c>
      <c r="EB128" s="340">
        <f t="shared" si="166"/>
        <v>39459.85</v>
      </c>
      <c r="EC128" s="340">
        <f t="shared" si="166"/>
        <v>46351.21</v>
      </c>
      <c r="ED128" s="340">
        <f t="shared" si="166"/>
        <v>0</v>
      </c>
      <c r="EE128" s="340">
        <f t="shared" si="166"/>
        <v>50997.17</v>
      </c>
      <c r="EF128" s="340">
        <f t="shared" si="166"/>
        <v>52511.37</v>
      </c>
      <c r="EG128" s="340">
        <f t="shared" si="166"/>
        <v>89409.23</v>
      </c>
      <c r="EH128" s="340">
        <f t="shared" si="166"/>
        <v>58310.93</v>
      </c>
      <c r="EI128" s="340">
        <f t="shared" si="166"/>
        <v>56396.139999999992</v>
      </c>
      <c r="EJ128" s="340">
        <f t="shared" si="166"/>
        <v>60014.280000000006</v>
      </c>
      <c r="EK128" s="340">
        <f t="shared" si="166"/>
        <v>57703.200000000004</v>
      </c>
      <c r="EL128" s="340">
        <f t="shared" si="166"/>
        <v>55496.61</v>
      </c>
      <c r="EM128" s="340">
        <f t="shared" si="166"/>
        <v>79608</v>
      </c>
      <c r="EO128" s="319" t="s">
        <v>13</v>
      </c>
      <c r="EP128" s="319">
        <f t="shared" si="89"/>
        <v>177033.08</v>
      </c>
      <c r="EQ128" s="319">
        <f t="shared" si="90"/>
        <v>218579.66999999998</v>
      </c>
      <c r="ER128" s="319">
        <f t="shared" si="91"/>
        <v>198583.91999999998</v>
      </c>
      <c r="ES128" s="319">
        <f t="shared" si="92"/>
        <v>162591.29999999999</v>
      </c>
      <c r="ET128" s="319">
        <f t="shared" si="93"/>
        <v>185610.15000000002</v>
      </c>
      <c r="EU128" s="319">
        <f t="shared" si="94"/>
        <v>193648.28999999998</v>
      </c>
      <c r="EV128" s="319">
        <f t="shared" si="95"/>
        <v>213830.41999999998</v>
      </c>
      <c r="EW128" s="319">
        <f t="shared" si="96"/>
        <v>259819.3</v>
      </c>
      <c r="EX128" s="319">
        <f t="shared" si="97"/>
        <v>238066.42000000004</v>
      </c>
      <c r="EY128" s="319">
        <f t="shared" si="98"/>
        <v>250402.98999999996</v>
      </c>
      <c r="EZ128" s="319">
        <f t="shared" si="99"/>
        <v>203870.41000000003</v>
      </c>
      <c r="FA128" s="319">
        <f t="shared" si="100"/>
        <v>221931.05000000002</v>
      </c>
      <c r="FB128" s="319">
        <f t="shared" si="101"/>
        <v>0</v>
      </c>
      <c r="FC128" s="319">
        <f t="shared" si="102"/>
        <v>165956.31</v>
      </c>
      <c r="FD128" s="319">
        <f t="shared" si="103"/>
        <v>170385.44999999998</v>
      </c>
      <c r="FE128" s="319">
        <f t="shared" si="104"/>
        <v>553372.06999999995</v>
      </c>
      <c r="FF128" s="322">
        <f t="shared" si="105"/>
        <v>237106.53000000003</v>
      </c>
      <c r="FG128" s="336">
        <f t="shared" si="106"/>
        <v>258510.8</v>
      </c>
      <c r="FH128" s="336">
        <f t="shared" si="107"/>
        <v>282722.39</v>
      </c>
      <c r="FI128" s="336">
        <f t="shared" si="108"/>
        <v>272873.34999999998</v>
      </c>
      <c r="FJ128" s="336">
        <f t="shared" si="109"/>
        <v>277506.86</v>
      </c>
      <c r="FK128" s="336">
        <f t="shared" si="110"/>
        <v>268648.17</v>
      </c>
      <c r="FL128" s="122"/>
      <c r="FM128" s="340" t="s">
        <v>13</v>
      </c>
      <c r="FN128" s="340">
        <f t="shared" si="111"/>
        <v>44258.27</v>
      </c>
      <c r="FO128" s="340">
        <f t="shared" si="112"/>
        <v>52760.61</v>
      </c>
      <c r="FP128" s="340">
        <f t="shared" si="113"/>
        <v>91017.63</v>
      </c>
      <c r="FQ128" s="340">
        <f t="shared" si="114"/>
        <v>42153.3</v>
      </c>
      <c r="FR128" s="340">
        <f t="shared" si="115"/>
        <v>50620.95</v>
      </c>
      <c r="FS128" s="340">
        <f t="shared" si="116"/>
        <v>46945.04</v>
      </c>
      <c r="FT128" s="340">
        <f t="shared" si="117"/>
        <v>44023.91</v>
      </c>
      <c r="FU128" s="340">
        <f t="shared" si="118"/>
        <v>47861.45</v>
      </c>
      <c r="FV128" s="340">
        <f t="shared" si="119"/>
        <v>47768.860000000008</v>
      </c>
      <c r="FW128" s="340">
        <f t="shared" si="120"/>
        <v>47809.56</v>
      </c>
      <c r="FX128" s="340">
        <f t="shared" si="121"/>
        <v>42654.09</v>
      </c>
      <c r="FY128" s="340">
        <f t="shared" si="122"/>
        <v>56925.5</v>
      </c>
      <c r="FZ128" s="340">
        <f t="shared" si="123"/>
        <v>0</v>
      </c>
      <c r="GA128" s="340">
        <f t="shared" si="124"/>
        <v>57715.46</v>
      </c>
      <c r="GB128" s="340">
        <f t="shared" si="125"/>
        <v>58745.270000000004</v>
      </c>
      <c r="GC128" s="340">
        <f t="shared" si="126"/>
        <v>106352.46000000002</v>
      </c>
      <c r="GD128" s="340">
        <f t="shared" si="127"/>
        <v>56211.65</v>
      </c>
      <c r="GE128" s="340">
        <f t="shared" si="128"/>
        <v>56983.390000000007</v>
      </c>
      <c r="GF128" s="340">
        <f t="shared" si="129"/>
        <v>63788.689999999995</v>
      </c>
      <c r="GG128" s="340">
        <f t="shared" si="130"/>
        <v>64356.840000000004</v>
      </c>
      <c r="GH128" s="340">
        <f t="shared" si="131"/>
        <v>65463.18</v>
      </c>
      <c r="GI128" s="340">
        <f t="shared" si="132"/>
        <v>78150</v>
      </c>
      <c r="GJ128" s="122"/>
      <c r="GK128" s="340" t="s">
        <v>13</v>
      </c>
      <c r="GL128" s="340">
        <f t="shared" si="133"/>
        <v>50580.88</v>
      </c>
      <c r="GM128" s="340">
        <f t="shared" si="134"/>
        <v>75372.3</v>
      </c>
      <c r="GN128" s="340">
        <f t="shared" si="135"/>
        <v>157212.26999999999</v>
      </c>
      <c r="GO128" s="340">
        <f t="shared" si="136"/>
        <v>18065.7</v>
      </c>
      <c r="GP128" s="340">
        <f t="shared" si="137"/>
        <v>28122.75</v>
      </c>
      <c r="GQ128" s="340">
        <f t="shared" si="138"/>
        <v>58681.3</v>
      </c>
      <c r="GR128" s="340">
        <f t="shared" si="139"/>
        <v>50313.04</v>
      </c>
      <c r="GS128" s="340">
        <f t="shared" si="140"/>
        <v>34186.75</v>
      </c>
      <c r="GT128" s="340">
        <f t="shared" si="141"/>
        <v>35994</v>
      </c>
      <c r="GU128" s="340">
        <f t="shared" si="142"/>
        <v>94164.13</v>
      </c>
      <c r="GV128" s="340">
        <f t="shared" si="143"/>
        <v>34775.160000000003</v>
      </c>
      <c r="GW128" s="340">
        <f t="shared" si="144"/>
        <v>49821.69</v>
      </c>
      <c r="GX128" s="340">
        <f t="shared" si="145"/>
        <v>0</v>
      </c>
      <c r="GY128" s="340">
        <f t="shared" si="146"/>
        <v>52132.92</v>
      </c>
      <c r="GZ128" s="340">
        <f t="shared" si="147"/>
        <v>295033.44</v>
      </c>
      <c r="HA128" s="340">
        <f t="shared" si="148"/>
        <v>35000</v>
      </c>
      <c r="HB128" s="340">
        <f t="shared" si="149"/>
        <v>84217.8</v>
      </c>
      <c r="HC128" s="340">
        <f t="shared" si="150"/>
        <v>66058.45</v>
      </c>
      <c r="HD128" s="340">
        <f t="shared" si="151"/>
        <v>69519.26999999999</v>
      </c>
      <c r="HE128" s="340">
        <f t="shared" si="152"/>
        <v>28745.31</v>
      </c>
      <c r="HF128" s="340">
        <f t="shared" si="153"/>
        <v>36194.49</v>
      </c>
      <c r="HG128" s="340">
        <f t="shared" si="154"/>
        <v>28362.19</v>
      </c>
      <c r="HH128" s="122"/>
      <c r="IF128" s="122"/>
      <c r="IG128" s="122"/>
      <c r="IH128" s="122"/>
      <c r="II128" s="122"/>
      <c r="IJ128" s="122"/>
      <c r="IK128" s="122"/>
      <c r="IL128" s="122"/>
      <c r="IN128" s="118"/>
      <c r="IP128" s="122"/>
      <c r="IQ128" s="122"/>
      <c r="IR128" s="122"/>
      <c r="IS128" s="122"/>
      <c r="IT128" s="122"/>
      <c r="IU128" s="122"/>
      <c r="IV128" s="122"/>
      <c r="IW128" s="122"/>
      <c r="IX128" s="122"/>
      <c r="IY128" s="122"/>
      <c r="IZ128" s="122"/>
      <c r="JA128" s="122"/>
      <c r="JB128" s="122"/>
      <c r="JC128" s="122"/>
      <c r="JD128" s="122"/>
      <c r="JE128" s="122"/>
      <c r="JF128" s="122"/>
      <c r="JG128" s="122"/>
      <c r="JH128" s="122"/>
      <c r="JI128" s="122"/>
      <c r="JK128" s="118"/>
      <c r="JL128" s="118"/>
      <c r="JY128" s="122"/>
      <c r="JZ128" s="122"/>
      <c r="KA128" s="122"/>
      <c r="KB128" s="122"/>
      <c r="LX128" s="122"/>
      <c r="LY128" s="122"/>
      <c r="LZ128" s="122"/>
      <c r="MB128" s="118"/>
      <c r="MC128" s="118"/>
      <c r="MP128" s="122"/>
      <c r="MQ128" s="122"/>
      <c r="MR128" s="122"/>
      <c r="MS128" s="122"/>
      <c r="MT128" s="122"/>
      <c r="MU128" s="122"/>
      <c r="MV128" s="122"/>
      <c r="OS128" s="118"/>
      <c r="OT128" s="118"/>
      <c r="PC128" s="122"/>
      <c r="PD128" s="122"/>
      <c r="PE128" s="122"/>
      <c r="PF128" s="122"/>
      <c r="PG128" s="122"/>
      <c r="PH128" s="122"/>
      <c r="PI128" s="122"/>
      <c r="PJ128" s="122"/>
      <c r="PP128" s="118"/>
      <c r="PQ128" s="118"/>
      <c r="PZ128" s="122"/>
      <c r="QA128" s="122"/>
      <c r="QB128" s="122"/>
      <c r="QC128" s="122"/>
      <c r="QD128" s="122"/>
      <c r="QE128" s="122"/>
      <c r="QF128" s="122"/>
      <c r="QG128" s="122"/>
      <c r="QM128" s="118"/>
      <c r="QN128" s="118"/>
      <c r="RE128" s="118"/>
      <c r="RF128" s="118"/>
      <c r="RG128" s="118"/>
      <c r="RH128" s="118"/>
      <c r="RI128" s="118"/>
      <c r="RJ128" s="118"/>
      <c r="RK128" s="118"/>
    </row>
    <row r="129" spans="1:479">
      <c r="Y129" s="277" t="s">
        <v>14</v>
      </c>
      <c r="Z129" s="319">
        <f t="shared" si="0"/>
        <v>238748.69999999995</v>
      </c>
      <c r="AA129" s="319">
        <f t="shared" si="1"/>
        <v>260465.39999999997</v>
      </c>
      <c r="AB129" s="319">
        <f t="shared" si="2"/>
        <v>293418.3</v>
      </c>
      <c r="AC129" s="319">
        <f t="shared" si="3"/>
        <v>280659.59999999998</v>
      </c>
      <c r="AD129" s="319">
        <f t="shared" si="4"/>
        <v>346445.43</v>
      </c>
      <c r="AE129" s="319">
        <f t="shared" si="5"/>
        <v>615542.55000000005</v>
      </c>
      <c r="AF129" s="319">
        <f t="shared" si="6"/>
        <v>434841.75000000012</v>
      </c>
      <c r="AG129" s="319">
        <f t="shared" si="7"/>
        <v>595110</v>
      </c>
      <c r="AH129" s="319">
        <f t="shared" si="8"/>
        <v>505247.88000000006</v>
      </c>
      <c r="AI129" s="319">
        <f t="shared" si="9"/>
        <v>417509.08000000007</v>
      </c>
      <c r="AJ129" s="319">
        <f t="shared" si="10"/>
        <v>435943.52</v>
      </c>
      <c r="AK129" s="319">
        <f t="shared" si="11"/>
        <v>410844.58</v>
      </c>
      <c r="AL129" s="319">
        <f t="shared" si="12"/>
        <v>0</v>
      </c>
      <c r="AM129" s="319">
        <f t="shared" si="13"/>
        <v>471534.56</v>
      </c>
      <c r="AN129" s="319">
        <f t="shared" si="14"/>
        <v>482399.24000000005</v>
      </c>
      <c r="AO129" s="319">
        <f t="shared" si="15"/>
        <v>442137.56</v>
      </c>
      <c r="AP129" s="319">
        <f t="shared" si="16"/>
        <v>498770.55</v>
      </c>
      <c r="AQ129" s="319">
        <f t="shared" si="17"/>
        <v>0</v>
      </c>
      <c r="AR129" s="319">
        <f t="shared" si="18"/>
        <v>502165.08999999997</v>
      </c>
      <c r="AS129" s="319">
        <f t="shared" si="19"/>
        <v>0</v>
      </c>
      <c r="AT129" s="319">
        <f t="shared" si="20"/>
        <v>0</v>
      </c>
      <c r="AU129" s="319">
        <f t="shared" si="21"/>
        <v>0</v>
      </c>
      <c r="AW129" s="322" t="s">
        <v>14</v>
      </c>
      <c r="AX129" s="322">
        <f t="shared" si="22"/>
        <v>47749.74</v>
      </c>
      <c r="AY129" s="322">
        <f t="shared" si="23"/>
        <v>52093.08</v>
      </c>
      <c r="AZ129" s="322">
        <f t="shared" si="24"/>
        <v>86299.5</v>
      </c>
      <c r="BA129" s="322">
        <f t="shared" si="25"/>
        <v>65487.24</v>
      </c>
      <c r="BB129" s="322">
        <f t="shared" si="26"/>
        <v>65543.73</v>
      </c>
      <c r="BC129" s="322">
        <f t="shared" si="27"/>
        <v>65483.25</v>
      </c>
      <c r="BD129" s="322">
        <f t="shared" si="28"/>
        <v>42895.649999999994</v>
      </c>
      <c r="BE129" s="322">
        <f t="shared" si="29"/>
        <v>49592.5</v>
      </c>
      <c r="BF129" s="322">
        <f t="shared" si="30"/>
        <v>54720.79</v>
      </c>
      <c r="BG129" s="322">
        <f t="shared" si="31"/>
        <v>42268.700000000012</v>
      </c>
      <c r="BH129" s="322">
        <f t="shared" si="32"/>
        <v>55957.760000000002</v>
      </c>
      <c r="BI129" s="322">
        <f t="shared" si="33"/>
        <v>53742.34</v>
      </c>
      <c r="BJ129" s="322">
        <f t="shared" si="34"/>
        <v>0</v>
      </c>
      <c r="BK129" s="322">
        <f t="shared" si="35"/>
        <v>56039.750000000007</v>
      </c>
      <c r="BL129" s="322">
        <f t="shared" si="36"/>
        <v>45000.06</v>
      </c>
      <c r="BM129" s="322">
        <f t="shared" si="37"/>
        <v>63728.92</v>
      </c>
      <c r="BN129" s="322">
        <f t="shared" si="38"/>
        <v>62229.619999999995</v>
      </c>
      <c r="BO129" s="340">
        <f t="shared" si="39"/>
        <v>0</v>
      </c>
      <c r="BP129" s="340">
        <f t="shared" si="40"/>
        <v>58403.51</v>
      </c>
      <c r="BQ129" s="340">
        <f t="shared" si="41"/>
        <v>0</v>
      </c>
      <c r="BR129" s="340">
        <f t="shared" si="42"/>
        <v>0</v>
      </c>
      <c r="BS129" s="340">
        <f t="shared" si="43"/>
        <v>0</v>
      </c>
      <c r="BU129" s="340" t="s">
        <v>14</v>
      </c>
      <c r="BV129" s="340">
        <f t="shared" si="44"/>
        <v>15916.58</v>
      </c>
      <c r="BW129" s="340">
        <f t="shared" si="45"/>
        <v>17364.36</v>
      </c>
      <c r="BX129" s="340">
        <f t="shared" si="46"/>
        <v>17259.900000000001</v>
      </c>
      <c r="BY129" s="340">
        <f t="shared" si="47"/>
        <v>18710.64</v>
      </c>
      <c r="BZ129" s="340">
        <f t="shared" si="48"/>
        <v>18726.78</v>
      </c>
      <c r="CA129" s="340">
        <f t="shared" si="49"/>
        <v>52386.6</v>
      </c>
      <c r="CB129" s="340">
        <f t="shared" si="50"/>
        <v>34316.519999999997</v>
      </c>
      <c r="CC129" s="340">
        <f t="shared" si="51"/>
        <v>29755.5</v>
      </c>
      <c r="CD129" s="340">
        <f t="shared" si="52"/>
        <v>31547.9</v>
      </c>
      <c r="CE129" s="340">
        <f t="shared" si="53"/>
        <v>35772.519999999997</v>
      </c>
      <c r="CF129" s="340">
        <f t="shared" si="54"/>
        <v>35764.869999999995</v>
      </c>
      <c r="CG129" s="340">
        <f t="shared" si="55"/>
        <v>38913.03</v>
      </c>
      <c r="CH129" s="340">
        <f t="shared" si="56"/>
        <v>0</v>
      </c>
      <c r="CI129" s="340">
        <f t="shared" si="57"/>
        <v>47130.18</v>
      </c>
      <c r="CJ129" s="340">
        <f t="shared" si="58"/>
        <v>45327.19000000001</v>
      </c>
      <c r="CK129" s="340">
        <f t="shared" si="59"/>
        <v>58278.929999999993</v>
      </c>
      <c r="CL129" s="340">
        <f t="shared" si="60"/>
        <v>67029.929999999993</v>
      </c>
      <c r="CM129" s="340">
        <f t="shared" si="61"/>
        <v>0</v>
      </c>
      <c r="CN129" s="340">
        <f t="shared" si="62"/>
        <v>69377.670000000013</v>
      </c>
      <c r="CO129" s="340">
        <f t="shared" si="63"/>
        <v>0</v>
      </c>
      <c r="CP129" s="340">
        <f t="shared" si="64"/>
        <v>0</v>
      </c>
      <c r="CQ129" s="340">
        <f t="shared" si="65"/>
        <v>0</v>
      </c>
      <c r="CR129" s="122"/>
      <c r="CS129" s="340" t="s">
        <v>14</v>
      </c>
      <c r="CT129" s="340">
        <f t="shared" si="66"/>
        <v>151207.51</v>
      </c>
      <c r="CU129" s="340">
        <f t="shared" si="67"/>
        <v>164961.41999999998</v>
      </c>
      <c r="CV129" s="340">
        <f t="shared" si="68"/>
        <v>86299.5</v>
      </c>
      <c r="CW129" s="340">
        <f t="shared" si="69"/>
        <v>65487.24</v>
      </c>
      <c r="CX129" s="340">
        <f t="shared" si="70"/>
        <v>140450.85</v>
      </c>
      <c r="CY129" s="340">
        <f t="shared" si="71"/>
        <v>130966.5</v>
      </c>
      <c r="CZ129" s="340">
        <f t="shared" si="72"/>
        <v>85791.3</v>
      </c>
      <c r="DA129" s="340">
        <f t="shared" si="73"/>
        <v>69429.5</v>
      </c>
      <c r="DB129" s="340">
        <f t="shared" si="74"/>
        <v>83359.349999999991</v>
      </c>
      <c r="DC129" s="340">
        <f t="shared" si="75"/>
        <v>113194.62</v>
      </c>
      <c r="DD129" s="340">
        <f t="shared" si="76"/>
        <v>122888.15</v>
      </c>
      <c r="DE129" s="340">
        <f t="shared" si="77"/>
        <v>90218.12</v>
      </c>
      <c r="DF129" s="340">
        <f t="shared" si="78"/>
        <v>0</v>
      </c>
      <c r="DG129" s="340">
        <f t="shared" si="79"/>
        <v>110366.27</v>
      </c>
      <c r="DH129" s="340">
        <f t="shared" si="80"/>
        <v>128898.2</v>
      </c>
      <c r="DI129" s="340">
        <f t="shared" si="81"/>
        <v>122001.12</v>
      </c>
      <c r="DJ129" s="340">
        <f t="shared" si="82"/>
        <v>201101.69999999998</v>
      </c>
      <c r="DK129" s="340">
        <f t="shared" si="83"/>
        <v>0</v>
      </c>
      <c r="DL129" s="340">
        <f t="shared" si="84"/>
        <v>146437.66</v>
      </c>
      <c r="DM129" s="340">
        <f t="shared" si="85"/>
        <v>0</v>
      </c>
      <c r="DN129" s="340">
        <f t="shared" si="86"/>
        <v>0</v>
      </c>
      <c r="DO129" s="340">
        <f t="shared" si="87"/>
        <v>0</v>
      </c>
      <c r="DP129" s="330"/>
      <c r="DQ129" s="340" t="s">
        <v>14</v>
      </c>
      <c r="DR129" s="340">
        <f t="shared" ref="DR129:EM129" si="167">DR31</f>
        <v>39791.449999999997</v>
      </c>
      <c r="DS129" s="340">
        <f t="shared" si="167"/>
        <v>34728.720000000001</v>
      </c>
      <c r="DT129" s="340">
        <f t="shared" si="167"/>
        <v>51779.7</v>
      </c>
      <c r="DU129" s="340">
        <f t="shared" si="167"/>
        <v>65487.24</v>
      </c>
      <c r="DV129" s="340">
        <f t="shared" si="167"/>
        <v>74907.12</v>
      </c>
      <c r="DW129" s="340">
        <f t="shared" si="167"/>
        <v>78579.899999999994</v>
      </c>
      <c r="DX129" s="340">
        <f t="shared" si="167"/>
        <v>42895.65</v>
      </c>
      <c r="DY129" s="340">
        <f t="shared" si="167"/>
        <v>49592.5</v>
      </c>
      <c r="DZ129" s="340">
        <f t="shared" si="167"/>
        <v>57455.54</v>
      </c>
      <c r="EA129" s="340">
        <f t="shared" si="167"/>
        <v>62207.23</v>
      </c>
      <c r="EB129" s="340">
        <f t="shared" si="167"/>
        <v>59353.82</v>
      </c>
      <c r="EC129" s="340">
        <f t="shared" si="167"/>
        <v>61674.15</v>
      </c>
      <c r="ED129" s="340">
        <f t="shared" si="167"/>
        <v>0</v>
      </c>
      <c r="EE129" s="340">
        <f t="shared" si="167"/>
        <v>91384.79</v>
      </c>
      <c r="EF129" s="340">
        <f t="shared" si="167"/>
        <v>75690.319999999992</v>
      </c>
      <c r="EG129" s="340">
        <f t="shared" si="167"/>
        <v>88139.24</v>
      </c>
      <c r="EH129" s="340">
        <f t="shared" si="167"/>
        <v>89964.160000000003</v>
      </c>
      <c r="EI129" s="340">
        <f t="shared" si="167"/>
        <v>0</v>
      </c>
      <c r="EJ129" s="340">
        <f t="shared" si="167"/>
        <v>140799.93000000002</v>
      </c>
      <c r="EK129" s="340">
        <f t="shared" si="167"/>
        <v>0</v>
      </c>
      <c r="EL129" s="340">
        <f t="shared" si="167"/>
        <v>0</v>
      </c>
      <c r="EM129" s="340">
        <f t="shared" si="167"/>
        <v>0</v>
      </c>
      <c r="EO129" s="319" t="s">
        <v>14</v>
      </c>
      <c r="EP129" s="319">
        <f t="shared" si="89"/>
        <v>246706.99</v>
      </c>
      <c r="EQ129" s="319">
        <f t="shared" si="90"/>
        <v>286511.94</v>
      </c>
      <c r="ER129" s="319">
        <f t="shared" si="91"/>
        <v>267528.45</v>
      </c>
      <c r="ES129" s="319">
        <f t="shared" si="92"/>
        <v>280659.60000000003</v>
      </c>
      <c r="ET129" s="319">
        <f t="shared" si="93"/>
        <v>234084.75</v>
      </c>
      <c r="EU129" s="319">
        <f t="shared" si="94"/>
        <v>301222.95</v>
      </c>
      <c r="EV129" s="319">
        <f t="shared" si="95"/>
        <v>42895.65</v>
      </c>
      <c r="EW129" s="319">
        <f t="shared" si="96"/>
        <v>0</v>
      </c>
      <c r="EX129" s="319">
        <f t="shared" si="97"/>
        <v>0</v>
      </c>
      <c r="EY129" s="319">
        <f t="shared" si="98"/>
        <v>0</v>
      </c>
      <c r="EZ129" s="319">
        <f t="shared" si="99"/>
        <v>0</v>
      </c>
      <c r="FA129" s="319">
        <f t="shared" si="100"/>
        <v>0</v>
      </c>
      <c r="FB129" s="319">
        <f t="shared" si="101"/>
        <v>0</v>
      </c>
      <c r="FC129" s="319">
        <f t="shared" si="102"/>
        <v>175839.32</v>
      </c>
      <c r="FD129" s="319">
        <f t="shared" si="103"/>
        <v>148311.68000000002</v>
      </c>
      <c r="FE129" s="319">
        <f t="shared" si="104"/>
        <v>0</v>
      </c>
      <c r="FF129" s="322">
        <f t="shared" si="105"/>
        <v>0</v>
      </c>
      <c r="FG129" s="336">
        <f t="shared" si="106"/>
        <v>0</v>
      </c>
      <c r="FH129" s="336">
        <f t="shared" si="107"/>
        <v>0</v>
      </c>
      <c r="FI129" s="336">
        <f t="shared" si="108"/>
        <v>0</v>
      </c>
      <c r="FJ129" s="336">
        <f t="shared" si="109"/>
        <v>0</v>
      </c>
      <c r="FK129" s="336">
        <f t="shared" si="110"/>
        <v>0</v>
      </c>
      <c r="FL129" s="122"/>
      <c r="FM129" s="340" t="s">
        <v>14</v>
      </c>
      <c r="FN129" s="340">
        <f t="shared" si="111"/>
        <v>47749.74</v>
      </c>
      <c r="FO129" s="340">
        <f t="shared" si="112"/>
        <v>43410.9</v>
      </c>
      <c r="FP129" s="340">
        <f t="shared" si="113"/>
        <v>51779.7</v>
      </c>
      <c r="FQ129" s="340">
        <f t="shared" si="114"/>
        <v>56131.92</v>
      </c>
      <c r="FR129" s="340">
        <f t="shared" si="115"/>
        <v>56180.34</v>
      </c>
      <c r="FS129" s="340">
        <f t="shared" si="116"/>
        <v>65483.25</v>
      </c>
      <c r="FT129" s="340">
        <f t="shared" si="117"/>
        <v>0</v>
      </c>
      <c r="FU129" s="340">
        <f t="shared" si="118"/>
        <v>0</v>
      </c>
      <c r="FV129" s="340">
        <f t="shared" si="119"/>
        <v>0</v>
      </c>
      <c r="FW129" s="340">
        <f t="shared" si="120"/>
        <v>0</v>
      </c>
      <c r="FX129" s="340">
        <f t="shared" si="121"/>
        <v>0</v>
      </c>
      <c r="FY129" s="340">
        <f t="shared" si="122"/>
        <v>0</v>
      </c>
      <c r="FZ129" s="340">
        <f t="shared" si="123"/>
        <v>0</v>
      </c>
      <c r="GA129" s="340">
        <f t="shared" si="124"/>
        <v>28188.720000000001</v>
      </c>
      <c r="GB129" s="340">
        <f t="shared" si="125"/>
        <v>26202.09</v>
      </c>
      <c r="GC129" s="340">
        <f t="shared" si="126"/>
        <v>185976.18000000005</v>
      </c>
      <c r="GD129" s="340">
        <f t="shared" si="127"/>
        <v>206397.24000000002</v>
      </c>
      <c r="GE129" s="340">
        <f t="shared" si="128"/>
        <v>0</v>
      </c>
      <c r="GF129" s="340">
        <f t="shared" si="129"/>
        <v>226689.74</v>
      </c>
      <c r="GG129" s="340">
        <f t="shared" si="130"/>
        <v>0</v>
      </c>
      <c r="GH129" s="340">
        <f t="shared" si="131"/>
        <v>0</v>
      </c>
      <c r="GI129" s="340">
        <f t="shared" si="132"/>
        <v>0</v>
      </c>
      <c r="GJ129" s="122"/>
      <c r="GK129" s="340" t="s">
        <v>14</v>
      </c>
      <c r="GL129" s="340">
        <f t="shared" si="133"/>
        <v>7958.29</v>
      </c>
      <c r="GM129" s="340">
        <f t="shared" si="134"/>
        <v>8682.18</v>
      </c>
      <c r="GN129" s="340">
        <f t="shared" si="135"/>
        <v>8629.9500000000007</v>
      </c>
      <c r="GO129" s="340">
        <f t="shared" si="136"/>
        <v>102908.52</v>
      </c>
      <c r="GP129" s="340">
        <f t="shared" si="137"/>
        <v>0</v>
      </c>
      <c r="GQ129" s="340">
        <f t="shared" si="138"/>
        <v>0</v>
      </c>
      <c r="GR129" s="340">
        <f t="shared" si="139"/>
        <v>205899.12</v>
      </c>
      <c r="GS129" s="340">
        <f t="shared" si="140"/>
        <v>198370</v>
      </c>
      <c r="GT129" s="340">
        <f t="shared" si="141"/>
        <v>213696.39</v>
      </c>
      <c r="GU129" s="340">
        <f t="shared" si="142"/>
        <v>404392.98</v>
      </c>
      <c r="GV129" s="340">
        <f t="shared" si="143"/>
        <v>563525.1100000001</v>
      </c>
      <c r="GW129" s="340">
        <f t="shared" si="144"/>
        <v>197888.54999999996</v>
      </c>
      <c r="GX129" s="340">
        <f t="shared" si="145"/>
        <v>0</v>
      </c>
      <c r="GY129" s="340">
        <f t="shared" si="146"/>
        <v>4288.21</v>
      </c>
      <c r="GZ129" s="340">
        <f t="shared" si="147"/>
        <v>15225.84</v>
      </c>
      <c r="HA129" s="340">
        <f t="shared" si="148"/>
        <v>0</v>
      </c>
      <c r="HB129" s="340">
        <f t="shared" si="149"/>
        <v>2375264.38</v>
      </c>
      <c r="HC129" s="340">
        <f t="shared" si="150"/>
        <v>0</v>
      </c>
      <c r="HD129" s="340">
        <f t="shared" si="151"/>
        <v>1309008.9100000001</v>
      </c>
      <c r="HE129" s="340">
        <f t="shared" si="152"/>
        <v>0</v>
      </c>
      <c r="HF129" s="340">
        <f t="shared" si="153"/>
        <v>0</v>
      </c>
      <c r="HG129" s="340">
        <f t="shared" si="154"/>
        <v>0</v>
      </c>
      <c r="HH129" s="122"/>
      <c r="IF129" s="122"/>
      <c r="IG129" s="122"/>
      <c r="IH129" s="122"/>
      <c r="II129" s="122"/>
      <c r="IJ129" s="122"/>
      <c r="IK129" s="122"/>
      <c r="IL129" s="122"/>
      <c r="IN129" s="118"/>
      <c r="IP129" s="122"/>
      <c r="IQ129" s="122"/>
      <c r="IR129" s="122"/>
      <c r="IS129" s="122"/>
      <c r="IT129" s="122"/>
      <c r="IU129" s="122"/>
      <c r="IV129" s="122"/>
      <c r="IW129" s="122"/>
      <c r="IX129" s="122"/>
      <c r="IY129" s="122"/>
      <c r="IZ129" s="122"/>
      <c r="JA129" s="122"/>
      <c r="JB129" s="122"/>
      <c r="JC129" s="122"/>
      <c r="JD129" s="122"/>
      <c r="JE129" s="122"/>
      <c r="JF129" s="122"/>
      <c r="JG129" s="122"/>
      <c r="JH129" s="122"/>
      <c r="JI129" s="122"/>
      <c r="JK129" s="118"/>
      <c r="JL129" s="118"/>
      <c r="JY129" s="122"/>
      <c r="JZ129" s="122"/>
      <c r="KA129" s="122"/>
      <c r="KB129" s="122"/>
      <c r="LX129" s="122"/>
      <c r="LY129" s="122"/>
      <c r="LZ129" s="122"/>
      <c r="MB129" s="118"/>
      <c r="MC129" s="118"/>
      <c r="MP129" s="122"/>
      <c r="MQ129" s="122"/>
      <c r="MR129" s="122"/>
      <c r="MS129" s="122"/>
      <c r="MT129" s="122"/>
      <c r="MU129" s="122"/>
      <c r="MV129" s="122"/>
      <c r="OS129" s="118"/>
      <c r="OT129" s="118"/>
      <c r="PC129" s="122"/>
      <c r="PD129" s="122"/>
      <c r="PE129" s="122"/>
      <c r="PF129" s="122"/>
      <c r="PG129" s="122"/>
      <c r="PH129" s="122"/>
      <c r="PI129" s="122"/>
      <c r="PJ129" s="122"/>
      <c r="PP129" s="118"/>
      <c r="PQ129" s="118"/>
      <c r="PZ129" s="122"/>
      <c r="QA129" s="122"/>
      <c r="QB129" s="122"/>
      <c r="QC129" s="122"/>
      <c r="QD129" s="122"/>
      <c r="QE129" s="122"/>
      <c r="QF129" s="122"/>
      <c r="QG129" s="122"/>
      <c r="QM129" s="118"/>
      <c r="QN129" s="118"/>
      <c r="RE129" s="118"/>
      <c r="RF129" s="118"/>
      <c r="RG129" s="118"/>
      <c r="RH129" s="118"/>
      <c r="RI129" s="118"/>
      <c r="RJ129" s="118"/>
      <c r="RK129" s="118"/>
    </row>
    <row r="130" spans="1:479">
      <c r="A130" s="1003"/>
      <c r="B130" s="1005"/>
      <c r="C130" s="117"/>
      <c r="H130" s="117"/>
      <c r="I130" s="117"/>
      <c r="Y130" s="277" t="s">
        <v>15</v>
      </c>
      <c r="Z130" s="319">
        <f t="shared" si="0"/>
        <v>263146.19999999995</v>
      </c>
      <c r="AA130" s="319">
        <f t="shared" si="1"/>
        <v>254765.52</v>
      </c>
      <c r="AB130" s="319">
        <f t="shared" si="2"/>
        <v>282935.65000000002</v>
      </c>
      <c r="AC130" s="319">
        <f t="shared" si="3"/>
        <v>374388.55999999994</v>
      </c>
      <c r="AD130" s="319">
        <f t="shared" si="4"/>
        <v>349134.77</v>
      </c>
      <c r="AE130" s="319">
        <f t="shared" si="5"/>
        <v>346989.00000000006</v>
      </c>
      <c r="AF130" s="319">
        <f t="shared" si="6"/>
        <v>343104.47000000003</v>
      </c>
      <c r="AG130" s="319">
        <f t="shared" si="7"/>
        <v>332521.55999999994</v>
      </c>
      <c r="AH130" s="319">
        <f t="shared" si="8"/>
        <v>343429.02</v>
      </c>
      <c r="AI130" s="319">
        <f t="shared" si="9"/>
        <v>357409.5199999999</v>
      </c>
      <c r="AJ130" s="319">
        <f t="shared" si="10"/>
        <v>354195.49000000005</v>
      </c>
      <c r="AK130" s="319">
        <f t="shared" si="11"/>
        <v>364475.66000000003</v>
      </c>
      <c r="AL130" s="319">
        <f t="shared" si="12"/>
        <v>403403.49</v>
      </c>
      <c r="AM130" s="319">
        <f t="shared" si="13"/>
        <v>427209.68</v>
      </c>
      <c r="AN130" s="319">
        <f t="shared" si="14"/>
        <v>459659.34000000008</v>
      </c>
      <c r="AO130" s="319">
        <f t="shared" si="15"/>
        <v>673151.13</v>
      </c>
      <c r="AP130" s="319">
        <f t="shared" si="16"/>
        <v>463741.80000000005</v>
      </c>
      <c r="AQ130" s="319">
        <f t="shared" si="17"/>
        <v>456539.65</v>
      </c>
      <c r="AR130" s="319">
        <f t="shared" si="18"/>
        <v>473697.75</v>
      </c>
      <c r="AS130" s="319">
        <f t="shared" si="19"/>
        <v>558556.64</v>
      </c>
      <c r="AT130" s="319">
        <f t="shared" si="20"/>
        <v>512404.77</v>
      </c>
      <c r="AU130" s="319">
        <f t="shared" si="21"/>
        <v>684422</v>
      </c>
      <c r="AW130" s="322" t="s">
        <v>15</v>
      </c>
      <c r="AX130" s="322">
        <f t="shared" si="22"/>
        <v>87715.4</v>
      </c>
      <c r="AY130" s="322">
        <f t="shared" si="23"/>
        <v>74306.61</v>
      </c>
      <c r="AZ130" s="322">
        <f t="shared" si="24"/>
        <v>110713.95</v>
      </c>
      <c r="BA130" s="322">
        <f t="shared" si="25"/>
        <v>53484.08</v>
      </c>
      <c r="BB130" s="322">
        <f t="shared" si="26"/>
        <v>96313.040000000008</v>
      </c>
      <c r="BC130" s="322">
        <f t="shared" si="27"/>
        <v>34698.899999999994</v>
      </c>
      <c r="BD130" s="322">
        <f t="shared" si="28"/>
        <v>23800.58</v>
      </c>
      <c r="BE130" s="322">
        <f t="shared" si="29"/>
        <v>23751.54</v>
      </c>
      <c r="BF130" s="322">
        <f t="shared" si="30"/>
        <v>44663.33</v>
      </c>
      <c r="BG130" s="322">
        <f t="shared" si="31"/>
        <v>35502.51</v>
      </c>
      <c r="BH130" s="322">
        <f t="shared" si="32"/>
        <v>57437.8</v>
      </c>
      <c r="BI130" s="322">
        <f t="shared" si="33"/>
        <v>60645.070000000007</v>
      </c>
      <c r="BJ130" s="322">
        <f t="shared" si="34"/>
        <v>71914.659999999989</v>
      </c>
      <c r="BK130" s="322">
        <f t="shared" si="35"/>
        <v>76070.100000000006</v>
      </c>
      <c r="BL130" s="322">
        <f t="shared" si="36"/>
        <v>69946.16</v>
      </c>
      <c r="BM130" s="322">
        <f t="shared" si="37"/>
        <v>56174.44</v>
      </c>
      <c r="BN130" s="322">
        <f t="shared" si="38"/>
        <v>66486.289999999994</v>
      </c>
      <c r="BO130" s="340">
        <f t="shared" si="39"/>
        <v>72140.31</v>
      </c>
      <c r="BP130" s="340">
        <f t="shared" si="40"/>
        <v>101416.99000000002</v>
      </c>
      <c r="BQ130" s="340">
        <f t="shared" si="41"/>
        <v>116199.82</v>
      </c>
      <c r="BR130" s="340">
        <f t="shared" si="42"/>
        <v>106380.26999999999</v>
      </c>
      <c r="BS130" s="340">
        <f t="shared" si="43"/>
        <v>128103</v>
      </c>
      <c r="BU130" s="340" t="s">
        <v>15</v>
      </c>
      <c r="BV130" s="340">
        <f t="shared" si="44"/>
        <v>17543.080000000002</v>
      </c>
      <c r="BW130" s="340">
        <f t="shared" si="45"/>
        <v>21230.46</v>
      </c>
      <c r="BX130" s="340">
        <f t="shared" si="46"/>
        <v>24603.1</v>
      </c>
      <c r="BY130" s="340">
        <f t="shared" si="47"/>
        <v>26742.04</v>
      </c>
      <c r="BZ130" s="340">
        <f t="shared" si="48"/>
        <v>24078.26</v>
      </c>
      <c r="CA130" s="340">
        <f t="shared" si="49"/>
        <v>34698.899999999994</v>
      </c>
      <c r="CB130" s="340">
        <f t="shared" si="50"/>
        <v>23800.58</v>
      </c>
      <c r="CC130" s="340">
        <f t="shared" si="51"/>
        <v>23751.54</v>
      </c>
      <c r="CD130" s="340">
        <f t="shared" si="52"/>
        <v>25952.059999999998</v>
      </c>
      <c r="CE130" s="340">
        <f t="shared" si="53"/>
        <v>36395.61</v>
      </c>
      <c r="CF130" s="340">
        <f t="shared" si="54"/>
        <v>30381.010000000002</v>
      </c>
      <c r="CG130" s="340">
        <f t="shared" si="55"/>
        <v>32491.14</v>
      </c>
      <c r="CH130" s="340">
        <f t="shared" si="56"/>
        <v>32268.269999999997</v>
      </c>
      <c r="CI130" s="340">
        <f t="shared" si="57"/>
        <v>34676.42</v>
      </c>
      <c r="CJ130" s="340">
        <f t="shared" si="58"/>
        <v>34449.919999999998</v>
      </c>
      <c r="CK130" s="340">
        <f t="shared" si="59"/>
        <v>41375.58</v>
      </c>
      <c r="CL130" s="340">
        <f t="shared" si="60"/>
        <v>42658.02</v>
      </c>
      <c r="CM130" s="340">
        <f t="shared" si="61"/>
        <v>38821.930000000008</v>
      </c>
      <c r="CN130" s="340">
        <f t="shared" si="62"/>
        <v>39157.789999999994</v>
      </c>
      <c r="CO130" s="340">
        <f t="shared" si="63"/>
        <v>43908.15</v>
      </c>
      <c r="CP130" s="340">
        <f t="shared" si="64"/>
        <v>40001.85</v>
      </c>
      <c r="CQ130" s="340">
        <f t="shared" si="65"/>
        <v>63875</v>
      </c>
      <c r="CR130" s="122"/>
      <c r="CS130" s="340" t="s">
        <v>15</v>
      </c>
      <c r="CT130" s="340">
        <f t="shared" si="66"/>
        <v>78943.86</v>
      </c>
      <c r="CU130" s="340">
        <f t="shared" si="67"/>
        <v>53076.15</v>
      </c>
      <c r="CV130" s="340">
        <f t="shared" si="68"/>
        <v>61507.75</v>
      </c>
      <c r="CW130" s="340">
        <f t="shared" si="69"/>
        <v>80226.12</v>
      </c>
      <c r="CX130" s="340">
        <f t="shared" si="70"/>
        <v>72234.78</v>
      </c>
      <c r="CY130" s="340">
        <f t="shared" si="71"/>
        <v>69397.8</v>
      </c>
      <c r="CZ130" s="340">
        <f t="shared" si="72"/>
        <v>95202.32</v>
      </c>
      <c r="DA130" s="340">
        <f t="shared" si="73"/>
        <v>83130.39</v>
      </c>
      <c r="DB130" s="340">
        <f t="shared" si="74"/>
        <v>93226.52</v>
      </c>
      <c r="DC130" s="340">
        <f t="shared" si="75"/>
        <v>92536.68</v>
      </c>
      <c r="DD130" s="340">
        <f t="shared" si="76"/>
        <v>87233.68</v>
      </c>
      <c r="DE130" s="340">
        <f t="shared" si="77"/>
        <v>88034.38</v>
      </c>
      <c r="DF130" s="340">
        <f t="shared" si="78"/>
        <v>94702.9</v>
      </c>
      <c r="DG130" s="340">
        <f t="shared" si="79"/>
        <v>155665.39000000001</v>
      </c>
      <c r="DH130" s="340">
        <f t="shared" si="80"/>
        <v>161929.82</v>
      </c>
      <c r="DI130" s="340">
        <f t="shared" si="81"/>
        <v>159642.75</v>
      </c>
      <c r="DJ130" s="340">
        <f t="shared" si="82"/>
        <v>106438.70000000001</v>
      </c>
      <c r="DK130" s="340">
        <f t="shared" si="83"/>
        <v>129533.79</v>
      </c>
      <c r="DL130" s="340">
        <f t="shared" si="84"/>
        <v>160384.79</v>
      </c>
      <c r="DM130" s="340">
        <f t="shared" si="85"/>
        <v>177011.8</v>
      </c>
      <c r="DN130" s="340">
        <f t="shared" si="86"/>
        <v>134967.09999999998</v>
      </c>
      <c r="DO130" s="340">
        <f t="shared" si="87"/>
        <v>167360</v>
      </c>
      <c r="DP130" s="330"/>
      <c r="DQ130" s="340" t="s">
        <v>15</v>
      </c>
      <c r="DR130" s="340">
        <f t="shared" ref="DR130:EM130" si="168">DR32</f>
        <v>96486.94</v>
      </c>
      <c r="DS130" s="340">
        <f t="shared" si="168"/>
        <v>106152.3</v>
      </c>
      <c r="DT130" s="340">
        <f t="shared" si="168"/>
        <v>135317.04999999999</v>
      </c>
      <c r="DU130" s="340">
        <f t="shared" si="168"/>
        <v>133710.20000000001</v>
      </c>
      <c r="DV130" s="340">
        <f t="shared" si="168"/>
        <v>132430.43</v>
      </c>
      <c r="DW130" s="340">
        <f t="shared" si="168"/>
        <v>150361.9</v>
      </c>
      <c r="DX130" s="340">
        <f t="shared" si="168"/>
        <v>142803.48000000001</v>
      </c>
      <c r="DY130" s="340">
        <f t="shared" si="168"/>
        <v>154385.01</v>
      </c>
      <c r="DZ130" s="340">
        <f t="shared" si="168"/>
        <v>173845.44</v>
      </c>
      <c r="EA130" s="340">
        <f t="shared" si="168"/>
        <v>104716.68000000001</v>
      </c>
      <c r="EB130" s="340">
        <f t="shared" si="168"/>
        <v>107894.44</v>
      </c>
      <c r="EC130" s="340">
        <f t="shared" si="168"/>
        <v>116832.68</v>
      </c>
      <c r="ED130" s="340">
        <f t="shared" si="168"/>
        <v>125853.51999999999</v>
      </c>
      <c r="EE130" s="340">
        <f t="shared" si="168"/>
        <v>128643.63</v>
      </c>
      <c r="EF130" s="340">
        <f t="shared" si="168"/>
        <v>137705.78</v>
      </c>
      <c r="EG130" s="340">
        <f t="shared" si="168"/>
        <v>140718.97999999998</v>
      </c>
      <c r="EH130" s="340">
        <f t="shared" si="168"/>
        <v>146468.90000000002</v>
      </c>
      <c r="EI130" s="340">
        <f t="shared" si="168"/>
        <v>134619.57999999999</v>
      </c>
      <c r="EJ130" s="340">
        <f t="shared" si="168"/>
        <v>124204.53</v>
      </c>
      <c r="EK130" s="340">
        <f t="shared" si="168"/>
        <v>132797.56999999998</v>
      </c>
      <c r="EL130" s="340">
        <f t="shared" si="168"/>
        <v>131966.78</v>
      </c>
      <c r="EM130" s="340">
        <f t="shared" si="168"/>
        <v>169870</v>
      </c>
      <c r="EO130" s="319" t="s">
        <v>15</v>
      </c>
      <c r="EP130" s="319">
        <f t="shared" si="89"/>
        <v>289460.82</v>
      </c>
      <c r="EQ130" s="319">
        <f t="shared" si="90"/>
        <v>350302.59</v>
      </c>
      <c r="ER130" s="319">
        <f t="shared" si="91"/>
        <v>418252.69999999995</v>
      </c>
      <c r="ES130" s="319">
        <f t="shared" si="92"/>
        <v>441243.66</v>
      </c>
      <c r="ET130" s="319">
        <f t="shared" si="93"/>
        <v>469526.07</v>
      </c>
      <c r="EU130" s="319">
        <f t="shared" si="94"/>
        <v>439519.4</v>
      </c>
      <c r="EV130" s="319">
        <f t="shared" si="95"/>
        <v>487911.89</v>
      </c>
      <c r="EW130" s="319">
        <f t="shared" si="96"/>
        <v>498782.34</v>
      </c>
      <c r="EX130" s="319">
        <f t="shared" si="97"/>
        <v>550691.91</v>
      </c>
      <c r="EY130" s="319">
        <f t="shared" si="98"/>
        <v>282774.14999999997</v>
      </c>
      <c r="EZ130" s="319">
        <f t="shared" si="99"/>
        <v>176489.02</v>
      </c>
      <c r="FA130" s="319">
        <f t="shared" si="100"/>
        <v>205363.72000000003</v>
      </c>
      <c r="FB130" s="319">
        <f t="shared" si="101"/>
        <v>254338.14</v>
      </c>
      <c r="FC130" s="319">
        <f t="shared" si="102"/>
        <v>226210.03000000006</v>
      </c>
      <c r="FD130" s="319">
        <f t="shared" si="103"/>
        <v>256182.43000000005</v>
      </c>
      <c r="FE130" s="319">
        <f t="shared" si="104"/>
        <v>215163.93</v>
      </c>
      <c r="FF130" s="322">
        <f t="shared" si="105"/>
        <v>233847.07</v>
      </c>
      <c r="FG130" s="336">
        <f t="shared" si="106"/>
        <v>223244.76</v>
      </c>
      <c r="FH130" s="336">
        <f t="shared" si="107"/>
        <v>249773.74000000002</v>
      </c>
      <c r="FI130" s="336">
        <f t="shared" si="108"/>
        <v>230537.78000000003</v>
      </c>
      <c r="FJ130" s="336">
        <f t="shared" si="109"/>
        <v>184339.43</v>
      </c>
      <c r="FK130" s="336">
        <f t="shared" si="110"/>
        <v>316350</v>
      </c>
      <c r="FL130" s="122"/>
      <c r="FM130" s="340" t="s">
        <v>15</v>
      </c>
      <c r="FN130" s="340">
        <f t="shared" si="111"/>
        <v>43857.7</v>
      </c>
      <c r="FO130" s="340">
        <f t="shared" si="112"/>
        <v>42460.92</v>
      </c>
      <c r="FP130" s="340">
        <f t="shared" si="113"/>
        <v>36904.65</v>
      </c>
      <c r="FQ130" s="340">
        <f t="shared" si="114"/>
        <v>53484.08</v>
      </c>
      <c r="FR130" s="340">
        <f t="shared" si="115"/>
        <v>60195.65</v>
      </c>
      <c r="FS130" s="340">
        <f t="shared" si="116"/>
        <v>57831.5</v>
      </c>
      <c r="FT130" s="340">
        <f t="shared" si="117"/>
        <v>59501.45</v>
      </c>
      <c r="FU130" s="340">
        <f t="shared" si="118"/>
        <v>59378.85</v>
      </c>
      <c r="FV130" s="340">
        <f t="shared" si="119"/>
        <v>58963.939999999995</v>
      </c>
      <c r="FW130" s="340">
        <f t="shared" si="120"/>
        <v>59428.399999999994</v>
      </c>
      <c r="FX130" s="340">
        <f t="shared" si="121"/>
        <v>61705.950000000004</v>
      </c>
      <c r="FY130" s="340">
        <f t="shared" si="122"/>
        <v>64211.37</v>
      </c>
      <c r="FZ130" s="340">
        <f t="shared" si="123"/>
        <v>66453.729999999981</v>
      </c>
      <c r="GA130" s="340">
        <f t="shared" si="124"/>
        <v>73954.73</v>
      </c>
      <c r="GB130" s="340">
        <f t="shared" si="125"/>
        <v>70994.11</v>
      </c>
      <c r="GC130" s="340">
        <f t="shared" si="126"/>
        <v>71261.159999999989</v>
      </c>
      <c r="GD130" s="340">
        <f t="shared" si="127"/>
        <v>76306.669999999984</v>
      </c>
      <c r="GE130" s="340">
        <f t="shared" si="128"/>
        <v>77062.55</v>
      </c>
      <c r="GF130" s="340">
        <f t="shared" si="129"/>
        <v>78829.149999999994</v>
      </c>
      <c r="GG130" s="340">
        <f t="shared" si="130"/>
        <v>78660.92</v>
      </c>
      <c r="GH130" s="340">
        <f t="shared" si="131"/>
        <v>84980.93</v>
      </c>
      <c r="GI130" s="340">
        <f t="shared" si="132"/>
        <v>90450</v>
      </c>
      <c r="GJ130" s="122"/>
      <c r="GK130" s="340" t="s">
        <v>15</v>
      </c>
      <c r="GL130" s="340">
        <f t="shared" si="133"/>
        <v>0</v>
      </c>
      <c r="GM130" s="340">
        <f t="shared" si="134"/>
        <v>159228.45000000001</v>
      </c>
      <c r="GN130" s="340">
        <f t="shared" si="135"/>
        <v>159920.15</v>
      </c>
      <c r="GO130" s="340">
        <f t="shared" si="136"/>
        <v>173823.26</v>
      </c>
      <c r="GP130" s="340">
        <f t="shared" si="137"/>
        <v>0</v>
      </c>
      <c r="GQ130" s="340">
        <f t="shared" si="138"/>
        <v>23132.6</v>
      </c>
      <c r="GR130" s="340">
        <f t="shared" si="139"/>
        <v>11900.29</v>
      </c>
      <c r="GS130" s="340">
        <f t="shared" si="140"/>
        <v>11875.77</v>
      </c>
      <c r="GT130" s="340">
        <f t="shared" si="141"/>
        <v>11320.11</v>
      </c>
      <c r="GU130" s="340">
        <f t="shared" si="142"/>
        <v>56832.88</v>
      </c>
      <c r="GV130" s="340">
        <f t="shared" si="143"/>
        <v>198428.00999999998</v>
      </c>
      <c r="GW130" s="340">
        <f t="shared" si="144"/>
        <v>185080.8</v>
      </c>
      <c r="GX130" s="340">
        <f t="shared" si="145"/>
        <v>265367.67999999999</v>
      </c>
      <c r="GY130" s="340">
        <f t="shared" si="146"/>
        <v>175213.19</v>
      </c>
      <c r="GZ130" s="340">
        <f t="shared" si="147"/>
        <v>238654.63</v>
      </c>
      <c r="HA130" s="340">
        <f t="shared" si="148"/>
        <v>93768.4</v>
      </c>
      <c r="HB130" s="340">
        <f t="shared" si="149"/>
        <v>244984.6</v>
      </c>
      <c r="HC130" s="340">
        <f t="shared" si="150"/>
        <v>166719.51999999999</v>
      </c>
      <c r="HD130" s="340">
        <f t="shared" si="151"/>
        <v>85196.44</v>
      </c>
      <c r="HE130" s="340">
        <f t="shared" si="152"/>
        <v>115145.60000000001</v>
      </c>
      <c r="HF130" s="340">
        <f t="shared" si="153"/>
        <v>193541.79</v>
      </c>
      <c r="HG130" s="340">
        <f t="shared" si="154"/>
        <v>330188</v>
      </c>
      <c r="HH130" s="122"/>
      <c r="IF130" s="122"/>
      <c r="IG130" s="122"/>
      <c r="IH130" s="122"/>
      <c r="II130" s="122"/>
      <c r="IJ130" s="122"/>
      <c r="IK130" s="122"/>
      <c r="IL130" s="122"/>
      <c r="IN130" s="118"/>
      <c r="IP130" s="122"/>
      <c r="IQ130" s="122"/>
      <c r="IR130" s="122"/>
      <c r="IS130" s="122"/>
      <c r="IT130" s="122"/>
      <c r="IU130" s="122"/>
      <c r="IV130" s="122"/>
      <c r="IW130" s="122"/>
      <c r="IX130" s="122"/>
      <c r="IY130" s="122"/>
      <c r="IZ130" s="122"/>
      <c r="JA130" s="122"/>
      <c r="JB130" s="122"/>
      <c r="JC130" s="122"/>
      <c r="JD130" s="122"/>
      <c r="JE130" s="122"/>
      <c r="JF130" s="122"/>
      <c r="JG130" s="122"/>
      <c r="JH130" s="122"/>
      <c r="JI130" s="122"/>
      <c r="JK130" s="118"/>
      <c r="JL130" s="118"/>
      <c r="JY130" s="122"/>
      <c r="JZ130" s="122"/>
      <c r="KA130" s="122"/>
      <c r="KB130" s="122"/>
      <c r="LX130" s="122"/>
      <c r="LY130" s="122"/>
      <c r="LZ130" s="122"/>
      <c r="MB130" s="118"/>
      <c r="MC130" s="118"/>
      <c r="MP130" s="122"/>
      <c r="MQ130" s="122"/>
      <c r="MR130" s="122"/>
      <c r="MS130" s="122"/>
      <c r="MT130" s="122"/>
      <c r="MU130" s="122"/>
      <c r="MV130" s="122"/>
      <c r="OS130" s="118"/>
      <c r="OT130" s="118"/>
      <c r="PC130" s="122"/>
      <c r="PD130" s="122"/>
      <c r="PE130" s="122"/>
      <c r="PF130" s="122"/>
      <c r="PG130" s="122"/>
      <c r="PH130" s="122"/>
      <c r="PI130" s="122"/>
      <c r="PJ130" s="122"/>
      <c r="PP130" s="118"/>
      <c r="PQ130" s="118"/>
      <c r="PZ130" s="122"/>
      <c r="QA130" s="122"/>
      <c r="QB130" s="122"/>
      <c r="QC130" s="122"/>
      <c r="QD130" s="122"/>
      <c r="QE130" s="122"/>
      <c r="QF130" s="122"/>
      <c r="QG130" s="122"/>
      <c r="QM130" s="118"/>
      <c r="QN130" s="118"/>
      <c r="RE130" s="118"/>
      <c r="RF130" s="118"/>
      <c r="RG130" s="118"/>
      <c r="RH130" s="118"/>
      <c r="RI130" s="118"/>
      <c r="RJ130" s="118"/>
      <c r="RK130" s="118"/>
    </row>
    <row r="131" spans="1:479">
      <c r="Y131" s="277" t="s">
        <v>16</v>
      </c>
      <c r="Z131" s="319">
        <f t="shared" si="0"/>
        <v>177402.5</v>
      </c>
      <c r="AA131" s="319">
        <f t="shared" si="1"/>
        <v>180410.38999999998</v>
      </c>
      <c r="AB131" s="319">
        <f t="shared" si="2"/>
        <v>217995.9</v>
      </c>
      <c r="AC131" s="319">
        <f t="shared" si="3"/>
        <v>218585.08000000002</v>
      </c>
      <c r="AD131" s="319">
        <f t="shared" si="4"/>
        <v>252917.94</v>
      </c>
      <c r="AE131" s="319">
        <f t="shared" si="5"/>
        <v>244298.16</v>
      </c>
      <c r="AF131" s="319">
        <f t="shared" si="6"/>
        <v>306302.24</v>
      </c>
      <c r="AG131" s="319">
        <f t="shared" si="7"/>
        <v>283248</v>
      </c>
      <c r="AH131" s="319">
        <f t="shared" si="8"/>
        <v>312849.44</v>
      </c>
      <c r="AI131" s="319">
        <f t="shared" si="9"/>
        <v>315869.01</v>
      </c>
      <c r="AJ131" s="319">
        <f t="shared" si="10"/>
        <v>324280.06</v>
      </c>
      <c r="AK131" s="319">
        <f t="shared" si="11"/>
        <v>297324.36</v>
      </c>
      <c r="AL131" s="319">
        <f t="shared" si="12"/>
        <v>331093.86</v>
      </c>
      <c r="AM131" s="319">
        <f t="shared" si="13"/>
        <v>323546.62</v>
      </c>
      <c r="AN131" s="319">
        <f t="shared" si="14"/>
        <v>381283.54000000004</v>
      </c>
      <c r="AO131" s="319">
        <f t="shared" si="15"/>
        <v>343191.72000000003</v>
      </c>
      <c r="AP131" s="319">
        <f t="shared" si="16"/>
        <v>392490.18999999994</v>
      </c>
      <c r="AQ131" s="319">
        <f t="shared" si="17"/>
        <v>396252.83999999997</v>
      </c>
      <c r="AR131" s="319">
        <f t="shared" si="18"/>
        <v>408292.02</v>
      </c>
      <c r="AS131" s="319">
        <f t="shared" si="19"/>
        <v>449778.67</v>
      </c>
      <c r="AT131" s="319">
        <f t="shared" si="20"/>
        <v>492902.52</v>
      </c>
      <c r="AU131" s="319">
        <f t="shared" si="21"/>
        <v>588370</v>
      </c>
      <c r="AW131" s="322" t="s">
        <v>16</v>
      </c>
      <c r="AX131" s="322">
        <f t="shared" si="22"/>
        <v>85153.2</v>
      </c>
      <c r="AY131" s="322">
        <f t="shared" si="23"/>
        <v>86283.23000000001</v>
      </c>
      <c r="AZ131" s="322">
        <f t="shared" si="24"/>
        <v>79931.83</v>
      </c>
      <c r="BA131" s="322">
        <f t="shared" si="25"/>
        <v>62452.880000000005</v>
      </c>
      <c r="BB131" s="322">
        <f t="shared" si="26"/>
        <v>45985.08</v>
      </c>
      <c r="BC131" s="322">
        <f t="shared" si="27"/>
        <v>45240.4</v>
      </c>
      <c r="BD131" s="322">
        <f t="shared" si="28"/>
        <v>70285.88</v>
      </c>
      <c r="BE131" s="322">
        <f t="shared" si="29"/>
        <v>47208</v>
      </c>
      <c r="BF131" s="322">
        <f t="shared" si="30"/>
        <v>51665.719999999994</v>
      </c>
      <c r="BG131" s="322">
        <f t="shared" si="31"/>
        <v>54251.31</v>
      </c>
      <c r="BH131" s="322">
        <f t="shared" si="32"/>
        <v>45255.55</v>
      </c>
      <c r="BI131" s="322">
        <f t="shared" si="33"/>
        <v>49944.47</v>
      </c>
      <c r="BJ131" s="322">
        <f t="shared" si="34"/>
        <v>52410.9</v>
      </c>
      <c r="BK131" s="322">
        <f t="shared" si="35"/>
        <v>56790.979999999996</v>
      </c>
      <c r="BL131" s="322">
        <f t="shared" si="36"/>
        <v>57878.869999999995</v>
      </c>
      <c r="BM131" s="322">
        <f t="shared" si="37"/>
        <v>64314.509999999995</v>
      </c>
      <c r="BN131" s="322">
        <f t="shared" si="38"/>
        <v>66796.290000000008</v>
      </c>
      <c r="BO131" s="340">
        <f t="shared" si="39"/>
        <v>69334.41</v>
      </c>
      <c r="BP131" s="340">
        <f t="shared" si="40"/>
        <v>77454.16</v>
      </c>
      <c r="BQ131" s="340">
        <f t="shared" si="41"/>
        <v>44177.41</v>
      </c>
      <c r="BR131" s="340">
        <f t="shared" si="42"/>
        <v>41889.19</v>
      </c>
      <c r="BS131" s="340">
        <f t="shared" si="43"/>
        <v>64201</v>
      </c>
      <c r="BU131" s="340" t="s">
        <v>16</v>
      </c>
      <c r="BV131" s="340">
        <f t="shared" si="44"/>
        <v>14192.2</v>
      </c>
      <c r="BW131" s="340">
        <f t="shared" si="45"/>
        <v>15687.86</v>
      </c>
      <c r="BX131" s="340">
        <f t="shared" si="46"/>
        <v>14533.06</v>
      </c>
      <c r="BY131" s="340">
        <f t="shared" si="47"/>
        <v>15613.22</v>
      </c>
      <c r="BZ131" s="340">
        <f t="shared" si="48"/>
        <v>15328.36</v>
      </c>
      <c r="CA131" s="340">
        <f t="shared" si="49"/>
        <v>27144.239999999998</v>
      </c>
      <c r="CB131" s="340">
        <f t="shared" si="50"/>
        <v>30122.52</v>
      </c>
      <c r="CC131" s="340">
        <f t="shared" si="51"/>
        <v>28324.800000000003</v>
      </c>
      <c r="CD131" s="340">
        <f t="shared" si="52"/>
        <v>31108.06</v>
      </c>
      <c r="CE131" s="340">
        <f t="shared" si="53"/>
        <v>28550.059999999998</v>
      </c>
      <c r="CF131" s="340">
        <f t="shared" si="54"/>
        <v>31845.3</v>
      </c>
      <c r="CG131" s="340">
        <f t="shared" si="55"/>
        <v>32486.5</v>
      </c>
      <c r="CH131" s="340">
        <f t="shared" si="56"/>
        <v>29443.239999999998</v>
      </c>
      <c r="CI131" s="340">
        <f t="shared" si="57"/>
        <v>43393.05</v>
      </c>
      <c r="CJ131" s="340">
        <f t="shared" si="58"/>
        <v>46260.65</v>
      </c>
      <c r="CK131" s="340">
        <f t="shared" si="59"/>
        <v>55843.360000000001</v>
      </c>
      <c r="CL131" s="340">
        <f t="shared" si="60"/>
        <v>54604.27</v>
      </c>
      <c r="CM131" s="340">
        <f t="shared" si="61"/>
        <v>55388.479999999996</v>
      </c>
      <c r="CN131" s="340">
        <f t="shared" si="62"/>
        <v>43843.75</v>
      </c>
      <c r="CO131" s="340">
        <f t="shared" si="63"/>
        <v>57323.91</v>
      </c>
      <c r="CP131" s="340">
        <f t="shared" si="64"/>
        <v>51985.320000000007</v>
      </c>
      <c r="CQ131" s="340">
        <f t="shared" si="65"/>
        <v>57317.25</v>
      </c>
      <c r="CR131" s="122"/>
      <c r="CS131" s="340" t="s">
        <v>16</v>
      </c>
      <c r="CT131" s="340">
        <f t="shared" si="66"/>
        <v>28384.400000000001</v>
      </c>
      <c r="CU131" s="340">
        <f t="shared" si="67"/>
        <v>117658.95</v>
      </c>
      <c r="CV131" s="340">
        <f t="shared" si="68"/>
        <v>94464.89</v>
      </c>
      <c r="CW131" s="340">
        <f t="shared" si="69"/>
        <v>148325.59</v>
      </c>
      <c r="CX131" s="340">
        <f t="shared" si="70"/>
        <v>114962.7</v>
      </c>
      <c r="CY131" s="340">
        <f t="shared" si="71"/>
        <v>153817.35999999999</v>
      </c>
      <c r="CZ131" s="340">
        <f t="shared" si="72"/>
        <v>160653.44</v>
      </c>
      <c r="DA131" s="340">
        <f t="shared" si="73"/>
        <v>141624</v>
      </c>
      <c r="DB131" s="340">
        <f t="shared" si="74"/>
        <v>122453.84999999999</v>
      </c>
      <c r="DC131" s="340">
        <f t="shared" si="75"/>
        <v>130371.43</v>
      </c>
      <c r="DD131" s="340">
        <f t="shared" si="76"/>
        <v>125129.72</v>
      </c>
      <c r="DE131" s="340">
        <f t="shared" si="77"/>
        <v>71161.88</v>
      </c>
      <c r="DF131" s="340">
        <f t="shared" si="78"/>
        <v>51167.1</v>
      </c>
      <c r="DG131" s="340">
        <f t="shared" si="79"/>
        <v>64092.41</v>
      </c>
      <c r="DH131" s="340">
        <f t="shared" si="80"/>
        <v>58486.959999999992</v>
      </c>
      <c r="DI131" s="340">
        <f t="shared" si="81"/>
        <v>89480.87999999999</v>
      </c>
      <c r="DJ131" s="340">
        <f t="shared" si="82"/>
        <v>59113.440000000002</v>
      </c>
      <c r="DK131" s="340">
        <f t="shared" si="83"/>
        <v>62442.6</v>
      </c>
      <c r="DL131" s="340">
        <f t="shared" si="84"/>
        <v>51730.1</v>
      </c>
      <c r="DM131" s="340">
        <f t="shared" si="85"/>
        <v>66129.73</v>
      </c>
      <c r="DN131" s="340">
        <f t="shared" si="86"/>
        <v>66201.16</v>
      </c>
      <c r="DO131" s="340">
        <f t="shared" si="87"/>
        <v>67085</v>
      </c>
      <c r="DP131" s="330"/>
      <c r="DQ131" s="340" t="s">
        <v>16</v>
      </c>
      <c r="DR131" s="340">
        <f t="shared" ref="DR131:EM131" si="169">DR33</f>
        <v>7096.1</v>
      </c>
      <c r="DS131" s="340">
        <f t="shared" si="169"/>
        <v>7843.93</v>
      </c>
      <c r="DT131" s="340">
        <f t="shared" si="169"/>
        <v>7266.53</v>
      </c>
      <c r="DU131" s="340">
        <f t="shared" si="169"/>
        <v>0</v>
      </c>
      <c r="DV131" s="340">
        <f t="shared" si="169"/>
        <v>0</v>
      </c>
      <c r="DW131" s="340">
        <f t="shared" si="169"/>
        <v>0</v>
      </c>
      <c r="DX131" s="340">
        <f t="shared" si="169"/>
        <v>0</v>
      </c>
      <c r="DY131" s="340">
        <f t="shared" si="169"/>
        <v>0</v>
      </c>
      <c r="DZ131" s="340">
        <f t="shared" si="169"/>
        <v>3349.99</v>
      </c>
      <c r="EA131" s="340">
        <f t="shared" si="169"/>
        <v>3181.2200000000003</v>
      </c>
      <c r="EB131" s="340">
        <f t="shared" si="169"/>
        <v>3407.4399999999996</v>
      </c>
      <c r="EC131" s="340">
        <f t="shared" si="169"/>
        <v>3913.84</v>
      </c>
      <c r="ED131" s="340">
        <f t="shared" si="169"/>
        <v>2943.96</v>
      </c>
      <c r="EE131" s="340">
        <f t="shared" si="169"/>
        <v>2779.1200000000003</v>
      </c>
      <c r="EF131" s="340">
        <f t="shared" si="169"/>
        <v>2005.52</v>
      </c>
      <c r="EG131" s="340">
        <f t="shared" si="169"/>
        <v>798.2600000000001</v>
      </c>
      <c r="EH131" s="340">
        <f t="shared" si="169"/>
        <v>2360.16</v>
      </c>
      <c r="EI131" s="340">
        <f t="shared" si="169"/>
        <v>0</v>
      </c>
      <c r="EJ131" s="340">
        <f t="shared" si="169"/>
        <v>4179</v>
      </c>
      <c r="EK131" s="340">
        <f t="shared" si="169"/>
        <v>0</v>
      </c>
      <c r="EL131" s="340">
        <f t="shared" si="169"/>
        <v>0</v>
      </c>
      <c r="EM131" s="340">
        <f t="shared" si="169"/>
        <v>0</v>
      </c>
      <c r="EO131" s="319" t="s">
        <v>16</v>
      </c>
      <c r="EP131" s="319">
        <f t="shared" si="89"/>
        <v>354805</v>
      </c>
      <c r="EQ131" s="319">
        <f t="shared" si="90"/>
        <v>329445.06</v>
      </c>
      <c r="ER131" s="319">
        <f t="shared" si="91"/>
        <v>268861.61</v>
      </c>
      <c r="ES131" s="319">
        <f t="shared" si="92"/>
        <v>281037.96000000002</v>
      </c>
      <c r="ET131" s="319">
        <f t="shared" si="93"/>
        <v>283574.65999999997</v>
      </c>
      <c r="EU131" s="319">
        <f t="shared" si="94"/>
        <v>343827.04</v>
      </c>
      <c r="EV131" s="319">
        <f t="shared" si="95"/>
        <v>331347.71999999997</v>
      </c>
      <c r="EW131" s="319">
        <f t="shared" si="96"/>
        <v>321014.40000000002</v>
      </c>
      <c r="EX131" s="319">
        <f t="shared" si="97"/>
        <v>331787.91000000009</v>
      </c>
      <c r="EY131" s="319">
        <f t="shared" si="98"/>
        <v>344898.11</v>
      </c>
      <c r="EZ131" s="319">
        <f t="shared" si="99"/>
        <v>347331.48</v>
      </c>
      <c r="FA131" s="319">
        <f t="shared" si="100"/>
        <v>0</v>
      </c>
      <c r="FB131" s="319">
        <f t="shared" si="101"/>
        <v>0</v>
      </c>
      <c r="FC131" s="319">
        <f t="shared" si="102"/>
        <v>0</v>
      </c>
      <c r="FD131" s="319">
        <f t="shared" si="103"/>
        <v>0</v>
      </c>
      <c r="FE131" s="319">
        <f t="shared" si="104"/>
        <v>0</v>
      </c>
      <c r="FF131" s="322">
        <f t="shared" si="105"/>
        <v>0</v>
      </c>
      <c r="FG131" s="336">
        <f t="shared" si="106"/>
        <v>0</v>
      </c>
      <c r="FH131" s="336">
        <f t="shared" si="107"/>
        <v>0</v>
      </c>
      <c r="FI131" s="336">
        <f t="shared" si="108"/>
        <v>0</v>
      </c>
      <c r="FJ131" s="336">
        <f t="shared" si="109"/>
        <v>0</v>
      </c>
      <c r="FK131" s="336">
        <f t="shared" si="110"/>
        <v>0</v>
      </c>
      <c r="FL131" s="122"/>
      <c r="FM131" s="340" t="s">
        <v>16</v>
      </c>
      <c r="FN131" s="340">
        <f t="shared" si="111"/>
        <v>42576.6</v>
      </c>
      <c r="FO131" s="340">
        <f t="shared" si="112"/>
        <v>47063.58</v>
      </c>
      <c r="FP131" s="340">
        <f t="shared" si="113"/>
        <v>43599.18</v>
      </c>
      <c r="FQ131" s="340">
        <f t="shared" si="114"/>
        <v>46839.66</v>
      </c>
      <c r="FR131" s="340">
        <f t="shared" si="115"/>
        <v>45985.08</v>
      </c>
      <c r="FS131" s="340">
        <f t="shared" si="116"/>
        <v>54288.480000000003</v>
      </c>
      <c r="FT131" s="340">
        <f t="shared" si="117"/>
        <v>60245.04</v>
      </c>
      <c r="FU131" s="340">
        <f t="shared" si="118"/>
        <v>75532.800000000003</v>
      </c>
      <c r="FV131" s="340">
        <f t="shared" si="119"/>
        <v>71043.789999999994</v>
      </c>
      <c r="FW131" s="340">
        <f t="shared" si="120"/>
        <v>75248.37000000001</v>
      </c>
      <c r="FX131" s="340">
        <f t="shared" si="121"/>
        <v>75775.930000000008</v>
      </c>
      <c r="FY131" s="340">
        <f t="shared" si="122"/>
        <v>76704.009999999995</v>
      </c>
      <c r="FZ131" s="340">
        <f t="shared" si="123"/>
        <v>75234.37999999999</v>
      </c>
      <c r="GA131" s="340">
        <f t="shared" si="124"/>
        <v>75609.78</v>
      </c>
      <c r="GB131" s="340">
        <f t="shared" si="125"/>
        <v>80485.100000000006</v>
      </c>
      <c r="GC131" s="340">
        <f t="shared" si="126"/>
        <v>94763.01</v>
      </c>
      <c r="GD131" s="340">
        <f t="shared" si="127"/>
        <v>88047.48</v>
      </c>
      <c r="GE131" s="340">
        <f t="shared" si="128"/>
        <v>86974.53</v>
      </c>
      <c r="GF131" s="340">
        <f t="shared" si="129"/>
        <v>76102.33</v>
      </c>
      <c r="GG131" s="340">
        <f t="shared" si="130"/>
        <v>86474.329999999987</v>
      </c>
      <c r="GH131" s="340">
        <f t="shared" si="131"/>
        <v>84257.000000000015</v>
      </c>
      <c r="GI131" s="340">
        <f t="shared" si="132"/>
        <v>89396.78</v>
      </c>
      <c r="GJ131" s="122"/>
      <c r="GK131" s="340" t="s">
        <v>16</v>
      </c>
      <c r="GL131" s="340">
        <f t="shared" si="133"/>
        <v>0</v>
      </c>
      <c r="GM131" s="340">
        <f t="shared" si="134"/>
        <v>0</v>
      </c>
      <c r="GN131" s="340">
        <f t="shared" si="135"/>
        <v>0</v>
      </c>
      <c r="GO131" s="340">
        <f t="shared" si="136"/>
        <v>7806.61</v>
      </c>
      <c r="GP131" s="340">
        <f t="shared" si="137"/>
        <v>7664.18</v>
      </c>
      <c r="GQ131" s="340">
        <f t="shared" si="138"/>
        <v>36192.32</v>
      </c>
      <c r="GR131" s="340">
        <f t="shared" si="139"/>
        <v>40163.360000000001</v>
      </c>
      <c r="GS131" s="340">
        <f t="shared" si="140"/>
        <v>47208</v>
      </c>
      <c r="GT131" s="340">
        <f t="shared" si="141"/>
        <v>2244</v>
      </c>
      <c r="GU131" s="340">
        <f t="shared" si="142"/>
        <v>37471.599999999999</v>
      </c>
      <c r="GV131" s="340">
        <f t="shared" si="143"/>
        <v>3108</v>
      </c>
      <c r="GW131" s="340">
        <f t="shared" si="144"/>
        <v>152244</v>
      </c>
      <c r="GX131" s="340">
        <f t="shared" si="145"/>
        <v>202244</v>
      </c>
      <c r="GY131" s="340">
        <f t="shared" si="146"/>
        <v>234643.75</v>
      </c>
      <c r="GZ131" s="340">
        <f t="shared" si="147"/>
        <v>251136.18</v>
      </c>
      <c r="HA131" s="340">
        <f t="shared" si="148"/>
        <v>307688.02999999997</v>
      </c>
      <c r="HB131" s="340">
        <f t="shared" si="149"/>
        <v>259012.14</v>
      </c>
      <c r="HC131" s="340">
        <f t="shared" si="150"/>
        <v>261452.07</v>
      </c>
      <c r="HD131" s="340">
        <f t="shared" si="151"/>
        <v>246159.62</v>
      </c>
      <c r="HE131" s="340">
        <f t="shared" si="152"/>
        <v>260952.8</v>
      </c>
      <c r="HF131" s="340">
        <f t="shared" si="153"/>
        <v>252618</v>
      </c>
      <c r="HG131" s="340">
        <f t="shared" si="154"/>
        <v>272618</v>
      </c>
      <c r="HH131" s="122"/>
      <c r="IF131" s="122"/>
      <c r="IG131" s="122"/>
      <c r="IH131" s="122"/>
      <c r="II131" s="122"/>
      <c r="IJ131" s="122"/>
      <c r="IK131" s="122"/>
      <c r="IL131" s="122"/>
      <c r="IN131" s="118"/>
      <c r="IP131" s="122"/>
      <c r="IQ131" s="122"/>
      <c r="IR131" s="122"/>
      <c r="IS131" s="122"/>
      <c r="IT131" s="122"/>
      <c r="IU131" s="122"/>
      <c r="IV131" s="122"/>
      <c r="IW131" s="122"/>
      <c r="IX131" s="122"/>
      <c r="IY131" s="122"/>
      <c r="IZ131" s="122"/>
      <c r="JA131" s="122"/>
      <c r="JB131" s="122"/>
      <c r="JC131" s="122"/>
      <c r="JD131" s="122"/>
      <c r="JE131" s="122"/>
      <c r="JF131" s="122"/>
      <c r="JG131" s="122"/>
      <c r="JH131" s="122"/>
      <c r="JI131" s="122"/>
      <c r="JK131" s="118"/>
      <c r="JL131" s="118"/>
      <c r="JY131" s="122"/>
      <c r="JZ131" s="122"/>
      <c r="KA131" s="122"/>
      <c r="KB131" s="122"/>
      <c r="LX131" s="122"/>
      <c r="LY131" s="122"/>
      <c r="LZ131" s="122"/>
      <c r="MB131" s="118"/>
      <c r="MC131" s="118"/>
      <c r="MP131" s="122"/>
      <c r="MQ131" s="122"/>
      <c r="MR131" s="122"/>
      <c r="MS131" s="122"/>
      <c r="MT131" s="122"/>
      <c r="MU131" s="122"/>
      <c r="MV131" s="122"/>
      <c r="OS131" s="118"/>
      <c r="OT131" s="118"/>
      <c r="PC131" s="122"/>
      <c r="PD131" s="122"/>
      <c r="PE131" s="122"/>
      <c r="PF131" s="122"/>
      <c r="PG131" s="122"/>
      <c r="PH131" s="122"/>
      <c r="PI131" s="122"/>
      <c r="PJ131" s="122"/>
      <c r="PP131" s="118"/>
      <c r="PQ131" s="118"/>
      <c r="PZ131" s="122"/>
      <c r="QA131" s="122"/>
      <c r="QB131" s="122"/>
      <c r="QC131" s="122"/>
      <c r="QD131" s="122"/>
      <c r="QE131" s="122"/>
      <c r="QF131" s="122"/>
      <c r="QG131" s="122"/>
      <c r="QM131" s="118"/>
      <c r="QN131" s="118"/>
      <c r="RE131" s="118"/>
      <c r="RF131" s="118"/>
      <c r="RG131" s="118"/>
      <c r="RH131" s="118"/>
      <c r="RI131" s="118"/>
      <c r="RJ131" s="118"/>
      <c r="RK131" s="118"/>
    </row>
    <row r="132" spans="1:479">
      <c r="A132" s="1003"/>
      <c r="B132" s="1005"/>
      <c r="C132" s="1011"/>
      <c r="D132" s="1012"/>
      <c r="E132" s="1012"/>
      <c r="F132" s="1013"/>
      <c r="I132" s="117"/>
      <c r="Y132" s="277" t="s">
        <v>17</v>
      </c>
      <c r="Z132" s="319">
        <f t="shared" si="0"/>
        <v>414019.51999999996</v>
      </c>
      <c r="AA132" s="319">
        <f t="shared" si="1"/>
        <v>445268.01</v>
      </c>
      <c r="AB132" s="319">
        <f t="shared" si="2"/>
        <v>461898.23999999999</v>
      </c>
      <c r="AC132" s="319">
        <f t="shared" si="3"/>
        <v>472169.68</v>
      </c>
      <c r="AD132" s="319">
        <f t="shared" si="4"/>
        <v>521448.32</v>
      </c>
      <c r="AE132" s="319">
        <f t="shared" si="5"/>
        <v>481617.92000000004</v>
      </c>
      <c r="AF132" s="319">
        <f t="shared" si="6"/>
        <v>540034.44999999995</v>
      </c>
      <c r="AG132" s="319">
        <f t="shared" si="7"/>
        <v>539214.20000000007</v>
      </c>
      <c r="AH132" s="319">
        <f t="shared" si="8"/>
        <v>579227.43999999994</v>
      </c>
      <c r="AI132" s="319">
        <f t="shared" si="9"/>
        <v>504908.44999999995</v>
      </c>
      <c r="AJ132" s="319">
        <f t="shared" si="10"/>
        <v>539823.41</v>
      </c>
      <c r="AK132" s="319">
        <f t="shared" si="11"/>
        <v>485075.61000000004</v>
      </c>
      <c r="AL132" s="319">
        <f t="shared" si="12"/>
        <v>775630.2</v>
      </c>
      <c r="AM132" s="319">
        <f t="shared" si="13"/>
        <v>498091.67000000004</v>
      </c>
      <c r="AN132" s="319">
        <f t="shared" si="14"/>
        <v>567305.35</v>
      </c>
      <c r="AO132" s="319">
        <f t="shared" si="15"/>
        <v>532327.1</v>
      </c>
      <c r="AP132" s="319">
        <f t="shared" si="16"/>
        <v>546758.62</v>
      </c>
      <c r="AQ132" s="319">
        <f t="shared" si="17"/>
        <v>486168.80000000005</v>
      </c>
      <c r="AR132" s="319">
        <f t="shared" si="18"/>
        <v>551700.29999999993</v>
      </c>
      <c r="AS132" s="319">
        <f t="shared" si="19"/>
        <v>488943.51999999996</v>
      </c>
      <c r="AT132" s="319">
        <f t="shared" si="20"/>
        <v>535890.29</v>
      </c>
      <c r="AU132" s="319">
        <f t="shared" si="21"/>
        <v>552421</v>
      </c>
      <c r="AW132" s="322" t="s">
        <v>17</v>
      </c>
      <c r="AX132" s="322">
        <f t="shared" si="22"/>
        <v>64690.55</v>
      </c>
      <c r="AY132" s="322">
        <f t="shared" si="23"/>
        <v>53971.88</v>
      </c>
      <c r="AZ132" s="322">
        <f t="shared" si="24"/>
        <v>57737.279999999999</v>
      </c>
      <c r="BA132" s="322">
        <f t="shared" si="25"/>
        <v>60925.120000000003</v>
      </c>
      <c r="BB132" s="322">
        <f t="shared" si="26"/>
        <v>65181.04</v>
      </c>
      <c r="BC132" s="322">
        <f t="shared" si="27"/>
        <v>17200.64</v>
      </c>
      <c r="BD132" s="322">
        <f t="shared" si="28"/>
        <v>18161.25</v>
      </c>
      <c r="BE132" s="322">
        <f t="shared" si="29"/>
        <v>19257.650000000001</v>
      </c>
      <c r="BF132" s="322">
        <f t="shared" si="30"/>
        <v>19901.849999999999</v>
      </c>
      <c r="BG132" s="322">
        <f t="shared" si="31"/>
        <v>27544.23</v>
      </c>
      <c r="BH132" s="322">
        <f t="shared" si="32"/>
        <v>38720.019999999997</v>
      </c>
      <c r="BI132" s="322">
        <f t="shared" si="33"/>
        <v>25785.930000000004</v>
      </c>
      <c r="BJ132" s="322">
        <f t="shared" si="34"/>
        <v>22817.86</v>
      </c>
      <c r="BK132" s="322">
        <f t="shared" si="35"/>
        <v>25800.339999999997</v>
      </c>
      <c r="BL132" s="322">
        <f t="shared" si="36"/>
        <v>29080.7</v>
      </c>
      <c r="BM132" s="322">
        <f t="shared" si="37"/>
        <v>23332.31</v>
      </c>
      <c r="BN132" s="322">
        <f t="shared" si="38"/>
        <v>45628.14</v>
      </c>
      <c r="BO132" s="340">
        <f t="shared" si="39"/>
        <v>47990.22</v>
      </c>
      <c r="BP132" s="340">
        <f t="shared" si="40"/>
        <v>61102.39</v>
      </c>
      <c r="BQ132" s="340">
        <f t="shared" si="41"/>
        <v>61203.130000000005</v>
      </c>
      <c r="BR132" s="340">
        <f t="shared" si="42"/>
        <v>63581.700000000004</v>
      </c>
      <c r="BS132" s="340">
        <f t="shared" si="43"/>
        <v>82047</v>
      </c>
      <c r="BU132" s="340" t="s">
        <v>17</v>
      </c>
      <c r="BV132" s="340">
        <f t="shared" si="44"/>
        <v>12938.11</v>
      </c>
      <c r="BW132" s="340">
        <f t="shared" si="45"/>
        <v>13492.97</v>
      </c>
      <c r="BX132" s="340">
        <f t="shared" si="46"/>
        <v>14434.32</v>
      </c>
      <c r="BY132" s="340">
        <f t="shared" si="47"/>
        <v>15231.28</v>
      </c>
      <c r="BZ132" s="340">
        <f t="shared" si="48"/>
        <v>16295.26</v>
      </c>
      <c r="CA132" s="340">
        <f t="shared" si="49"/>
        <v>34401.279999999999</v>
      </c>
      <c r="CB132" s="340">
        <f t="shared" si="50"/>
        <v>36322.5</v>
      </c>
      <c r="CC132" s="340">
        <f t="shared" si="51"/>
        <v>38515.300000000003</v>
      </c>
      <c r="CD132" s="340">
        <f t="shared" si="52"/>
        <v>44106.810000000005</v>
      </c>
      <c r="CE132" s="340">
        <f t="shared" si="53"/>
        <v>58056.649999999994</v>
      </c>
      <c r="CF132" s="340">
        <f t="shared" si="54"/>
        <v>51294.069999999992</v>
      </c>
      <c r="CG132" s="340">
        <f t="shared" si="55"/>
        <v>59238.84</v>
      </c>
      <c r="CH132" s="340">
        <f t="shared" si="56"/>
        <v>67360.98000000001</v>
      </c>
      <c r="CI132" s="340">
        <f t="shared" si="57"/>
        <v>78033.87</v>
      </c>
      <c r="CJ132" s="340">
        <f t="shared" si="58"/>
        <v>85553.57</v>
      </c>
      <c r="CK132" s="340">
        <f t="shared" si="59"/>
        <v>93174.15</v>
      </c>
      <c r="CL132" s="340">
        <f t="shared" si="60"/>
        <v>94527.430000000008</v>
      </c>
      <c r="CM132" s="340">
        <f t="shared" si="61"/>
        <v>92907.41</v>
      </c>
      <c r="CN132" s="340">
        <f t="shared" si="62"/>
        <v>99148.81</v>
      </c>
      <c r="CO132" s="340">
        <f t="shared" si="63"/>
        <v>106146.84</v>
      </c>
      <c r="CP132" s="340">
        <f t="shared" si="64"/>
        <v>113214.04000000001</v>
      </c>
      <c r="CQ132" s="340">
        <f t="shared" si="65"/>
        <v>113558</v>
      </c>
      <c r="CR132" s="122"/>
      <c r="CS132" s="340" t="s">
        <v>17</v>
      </c>
      <c r="CT132" s="340">
        <f t="shared" si="66"/>
        <v>168195.43</v>
      </c>
      <c r="CU132" s="340">
        <f t="shared" si="67"/>
        <v>148422.67000000001</v>
      </c>
      <c r="CV132" s="340">
        <f t="shared" si="68"/>
        <v>173211.84</v>
      </c>
      <c r="CW132" s="340">
        <f t="shared" si="69"/>
        <v>228469.2</v>
      </c>
      <c r="CX132" s="340">
        <f t="shared" si="70"/>
        <v>179247.86</v>
      </c>
      <c r="CY132" s="340">
        <f t="shared" si="71"/>
        <v>258009.60000000001</v>
      </c>
      <c r="CZ132" s="340">
        <f t="shared" si="72"/>
        <v>272418.75</v>
      </c>
      <c r="DA132" s="340">
        <f t="shared" si="73"/>
        <v>250349.45</v>
      </c>
      <c r="DB132" s="340">
        <f t="shared" si="74"/>
        <v>207967.63</v>
      </c>
      <c r="DC132" s="340">
        <f t="shared" si="75"/>
        <v>218509.81</v>
      </c>
      <c r="DD132" s="340">
        <f t="shared" si="76"/>
        <v>188286.88</v>
      </c>
      <c r="DE132" s="340">
        <f t="shared" si="77"/>
        <v>251291.7</v>
      </c>
      <c r="DF132" s="340">
        <f t="shared" si="78"/>
        <v>265163.39</v>
      </c>
      <c r="DG132" s="340">
        <f t="shared" si="79"/>
        <v>198691.73</v>
      </c>
      <c r="DH132" s="340">
        <f t="shared" si="80"/>
        <v>195285.51</v>
      </c>
      <c r="DI132" s="340">
        <f t="shared" si="81"/>
        <v>193497.16999999998</v>
      </c>
      <c r="DJ132" s="340">
        <f t="shared" si="82"/>
        <v>186625.07</v>
      </c>
      <c r="DK132" s="340">
        <f t="shared" si="83"/>
        <v>190302.01</v>
      </c>
      <c r="DL132" s="340">
        <f t="shared" si="84"/>
        <v>207567.97</v>
      </c>
      <c r="DM132" s="340">
        <f t="shared" si="85"/>
        <v>214915.96</v>
      </c>
      <c r="DN132" s="340">
        <f t="shared" si="86"/>
        <v>225487.79</v>
      </c>
      <c r="DO132" s="340">
        <f t="shared" si="87"/>
        <v>266181</v>
      </c>
      <c r="DP132" s="330"/>
      <c r="DQ132" s="340" t="s">
        <v>17</v>
      </c>
      <c r="DR132" s="340">
        <f t="shared" ref="DR132:EM132" si="170">DR34</f>
        <v>116442.99</v>
      </c>
      <c r="DS132" s="340">
        <f t="shared" si="170"/>
        <v>134929.70000000001</v>
      </c>
      <c r="DT132" s="340">
        <f t="shared" si="170"/>
        <v>144343.20000000001</v>
      </c>
      <c r="DU132" s="340">
        <f t="shared" si="170"/>
        <v>121850.24000000001</v>
      </c>
      <c r="DV132" s="340">
        <f t="shared" si="170"/>
        <v>211838.38</v>
      </c>
      <c r="DW132" s="340">
        <f t="shared" si="170"/>
        <v>240808.95999999999</v>
      </c>
      <c r="DX132" s="340">
        <f t="shared" si="170"/>
        <v>254257.5</v>
      </c>
      <c r="DY132" s="340">
        <f t="shared" si="170"/>
        <v>308122.40000000002</v>
      </c>
      <c r="DZ132" s="340">
        <f t="shared" si="170"/>
        <v>264384.58</v>
      </c>
      <c r="EA132" s="340">
        <f t="shared" si="170"/>
        <v>286546.13999999996</v>
      </c>
      <c r="EB132" s="340">
        <f t="shared" si="170"/>
        <v>304537.12</v>
      </c>
      <c r="EC132" s="340">
        <f t="shared" si="170"/>
        <v>303389.89000000007</v>
      </c>
      <c r="ED132" s="340">
        <f t="shared" si="170"/>
        <v>335469.59000000003</v>
      </c>
      <c r="EE132" s="340">
        <f t="shared" si="170"/>
        <v>324066.57</v>
      </c>
      <c r="EF132" s="340">
        <f t="shared" si="170"/>
        <v>338805.27</v>
      </c>
      <c r="EG132" s="340">
        <f t="shared" si="170"/>
        <v>365600.56</v>
      </c>
      <c r="EH132" s="340">
        <f t="shared" si="170"/>
        <v>323901.96000000002</v>
      </c>
      <c r="EI132" s="340">
        <f t="shared" si="170"/>
        <v>335124.76</v>
      </c>
      <c r="EJ132" s="340">
        <f t="shared" si="170"/>
        <v>358256.05999999994</v>
      </c>
      <c r="EK132" s="340">
        <f t="shared" si="170"/>
        <v>326282.31</v>
      </c>
      <c r="EL132" s="340">
        <f t="shared" si="170"/>
        <v>311613.46000000002</v>
      </c>
      <c r="EM132" s="340">
        <f t="shared" si="170"/>
        <v>361650</v>
      </c>
      <c r="EO132" s="319" t="s">
        <v>17</v>
      </c>
      <c r="EP132" s="319">
        <f t="shared" si="89"/>
        <v>426957.63</v>
      </c>
      <c r="EQ132" s="319">
        <f t="shared" si="90"/>
        <v>445268.01</v>
      </c>
      <c r="ER132" s="319">
        <f t="shared" si="91"/>
        <v>505201.2</v>
      </c>
      <c r="ES132" s="319">
        <f t="shared" si="92"/>
        <v>533094.80000000005</v>
      </c>
      <c r="ET132" s="319">
        <f t="shared" si="93"/>
        <v>505153.06</v>
      </c>
      <c r="EU132" s="319">
        <f t="shared" si="94"/>
        <v>550420.47999999998</v>
      </c>
      <c r="EV132" s="319">
        <f t="shared" si="95"/>
        <v>544837.5</v>
      </c>
      <c r="EW132" s="319">
        <f t="shared" si="96"/>
        <v>635502.44999999995</v>
      </c>
      <c r="EX132" s="319">
        <f t="shared" si="97"/>
        <v>708996.08000000007</v>
      </c>
      <c r="EY132" s="319">
        <f t="shared" si="98"/>
        <v>796303.05</v>
      </c>
      <c r="EZ132" s="319">
        <f t="shared" si="99"/>
        <v>795544.24</v>
      </c>
      <c r="FA132" s="319">
        <f t="shared" si="100"/>
        <v>801898.40999999992</v>
      </c>
      <c r="FB132" s="319">
        <f t="shared" si="101"/>
        <v>998403.52</v>
      </c>
      <c r="FC132" s="319">
        <f t="shared" si="102"/>
        <v>1031260.0399999999</v>
      </c>
      <c r="FD132" s="319">
        <f t="shared" si="103"/>
        <v>1028303.2</v>
      </c>
      <c r="FE132" s="319">
        <f t="shared" si="104"/>
        <v>1199787.3900000001</v>
      </c>
      <c r="FF132" s="322">
        <f t="shared" si="105"/>
        <v>1160359.8699999999</v>
      </c>
      <c r="FG132" s="336">
        <f t="shared" si="106"/>
        <v>1184198.8600000001</v>
      </c>
      <c r="FH132" s="336">
        <f t="shared" si="107"/>
        <v>1118207.71</v>
      </c>
      <c r="FI132" s="336">
        <f t="shared" si="108"/>
        <v>985492.8600000001</v>
      </c>
      <c r="FJ132" s="336">
        <f t="shared" si="109"/>
        <v>976326.12</v>
      </c>
      <c r="FK132" s="336">
        <f t="shared" si="110"/>
        <v>1109785</v>
      </c>
      <c r="FL132" s="122"/>
      <c r="FM132" s="340" t="s">
        <v>17</v>
      </c>
      <c r="FN132" s="340">
        <f t="shared" si="111"/>
        <v>77628.66</v>
      </c>
      <c r="FO132" s="340">
        <f t="shared" si="112"/>
        <v>80957.820000000007</v>
      </c>
      <c r="FP132" s="340">
        <f t="shared" si="113"/>
        <v>72171.600000000006</v>
      </c>
      <c r="FQ132" s="340">
        <f t="shared" si="114"/>
        <v>91387.68</v>
      </c>
      <c r="FR132" s="340">
        <f t="shared" si="115"/>
        <v>130362.08</v>
      </c>
      <c r="FS132" s="340">
        <f t="shared" si="116"/>
        <v>120404.48</v>
      </c>
      <c r="FT132" s="340">
        <f t="shared" si="117"/>
        <v>127128.75</v>
      </c>
      <c r="FU132" s="340">
        <f t="shared" si="118"/>
        <v>115545.9</v>
      </c>
      <c r="FV132" s="340">
        <f t="shared" si="119"/>
        <v>134437.09</v>
      </c>
      <c r="FW132" s="340">
        <f t="shared" si="120"/>
        <v>125233.39</v>
      </c>
      <c r="FX132" s="340">
        <f t="shared" si="121"/>
        <v>121887.73</v>
      </c>
      <c r="FY132" s="340">
        <f t="shared" si="122"/>
        <v>124131.53000000001</v>
      </c>
      <c r="FZ132" s="340">
        <f t="shared" si="123"/>
        <v>138089.12</v>
      </c>
      <c r="GA132" s="340">
        <f t="shared" si="124"/>
        <v>129152.21999999999</v>
      </c>
      <c r="GB132" s="340">
        <f t="shared" si="125"/>
        <v>132850.66</v>
      </c>
      <c r="GC132" s="340">
        <f t="shared" si="126"/>
        <v>137491.94</v>
      </c>
      <c r="GD132" s="340">
        <f t="shared" si="127"/>
        <v>146237.82</v>
      </c>
      <c r="GE132" s="340">
        <f t="shared" si="128"/>
        <v>110571.04</v>
      </c>
      <c r="GF132" s="340">
        <f t="shared" si="129"/>
        <v>121166.37000000001</v>
      </c>
      <c r="GG132" s="340">
        <f t="shared" si="130"/>
        <v>115103.75000000001</v>
      </c>
      <c r="GH132" s="340">
        <f t="shared" si="131"/>
        <v>123398.23</v>
      </c>
      <c r="GI132" s="340">
        <f t="shared" si="132"/>
        <v>124790</v>
      </c>
      <c r="GJ132" s="122"/>
      <c r="GK132" s="340" t="s">
        <v>17</v>
      </c>
      <c r="GL132" s="340">
        <f t="shared" si="133"/>
        <v>12938.11</v>
      </c>
      <c r="GM132" s="340">
        <f t="shared" si="134"/>
        <v>26985.94</v>
      </c>
      <c r="GN132" s="340">
        <f t="shared" si="135"/>
        <v>14434.32</v>
      </c>
      <c r="GO132" s="340">
        <f t="shared" si="136"/>
        <v>0</v>
      </c>
      <c r="GP132" s="340">
        <f t="shared" si="137"/>
        <v>0</v>
      </c>
      <c r="GQ132" s="340">
        <f t="shared" si="138"/>
        <v>17200.64</v>
      </c>
      <c r="GR132" s="340">
        <f t="shared" si="139"/>
        <v>18161.25</v>
      </c>
      <c r="GS132" s="340">
        <f t="shared" si="140"/>
        <v>19257.650000000001</v>
      </c>
      <c r="GT132" s="340">
        <f t="shared" si="141"/>
        <v>105180.42000000001</v>
      </c>
      <c r="GU132" s="340">
        <f t="shared" si="142"/>
        <v>16000</v>
      </c>
      <c r="GV132" s="340">
        <f t="shared" si="143"/>
        <v>700</v>
      </c>
      <c r="GW132" s="340">
        <f t="shared" si="144"/>
        <v>0</v>
      </c>
      <c r="GX132" s="340">
        <f t="shared" si="145"/>
        <v>0</v>
      </c>
      <c r="GY132" s="340">
        <f t="shared" si="146"/>
        <v>0</v>
      </c>
      <c r="GZ132" s="340">
        <f t="shared" si="147"/>
        <v>0</v>
      </c>
      <c r="HA132" s="340">
        <f t="shared" si="148"/>
        <v>0</v>
      </c>
      <c r="HB132" s="340">
        <f t="shared" si="149"/>
        <v>0</v>
      </c>
      <c r="HC132" s="340">
        <f t="shared" si="150"/>
        <v>0</v>
      </c>
      <c r="HD132" s="340">
        <f t="shared" si="151"/>
        <v>0</v>
      </c>
      <c r="HE132" s="340">
        <f t="shared" si="152"/>
        <v>0</v>
      </c>
      <c r="HF132" s="340">
        <f t="shared" si="153"/>
        <v>0</v>
      </c>
      <c r="HG132" s="340">
        <f t="shared" si="154"/>
        <v>0</v>
      </c>
      <c r="HH132" s="122"/>
      <c r="IF132" s="122"/>
      <c r="IG132" s="122"/>
      <c r="IH132" s="122"/>
      <c r="II132" s="122"/>
      <c r="IJ132" s="122"/>
      <c r="IK132" s="122"/>
      <c r="IL132" s="122"/>
      <c r="IN132" s="118"/>
      <c r="IP132" s="122"/>
      <c r="IQ132" s="122"/>
      <c r="IR132" s="122"/>
      <c r="IS132" s="122"/>
      <c r="IT132" s="122"/>
      <c r="IU132" s="122"/>
      <c r="IV132" s="122"/>
      <c r="IW132" s="122"/>
      <c r="IX132" s="122"/>
      <c r="IY132" s="122"/>
      <c r="IZ132" s="122"/>
      <c r="JA132" s="122"/>
      <c r="JB132" s="122"/>
      <c r="JC132" s="122"/>
      <c r="JD132" s="122"/>
      <c r="JE132" s="122"/>
      <c r="JF132" s="122"/>
      <c r="JG132" s="122"/>
      <c r="JH132" s="122"/>
      <c r="JI132" s="122"/>
      <c r="JK132" s="118"/>
      <c r="JL132" s="118"/>
      <c r="JY132" s="122"/>
      <c r="JZ132" s="122"/>
      <c r="KA132" s="122"/>
      <c r="KB132" s="122"/>
      <c r="LX132" s="122"/>
      <c r="LY132" s="122"/>
      <c r="LZ132" s="122"/>
      <c r="MB132" s="118"/>
      <c r="MC132" s="118"/>
      <c r="MP132" s="122"/>
      <c r="MQ132" s="122"/>
      <c r="MR132" s="122"/>
      <c r="MS132" s="122"/>
      <c r="MT132" s="122"/>
      <c r="MU132" s="122"/>
      <c r="MV132" s="122"/>
      <c r="OS132" s="118"/>
      <c r="OT132" s="118"/>
      <c r="PC132" s="122"/>
      <c r="PD132" s="122"/>
      <c r="PE132" s="122"/>
      <c r="PF132" s="122"/>
      <c r="PG132" s="122"/>
      <c r="PH132" s="122"/>
      <c r="PI132" s="122"/>
      <c r="PJ132" s="122"/>
      <c r="PP132" s="118"/>
      <c r="PQ132" s="118"/>
      <c r="PZ132" s="122"/>
      <c r="QA132" s="122"/>
      <c r="QB132" s="122"/>
      <c r="QC132" s="122"/>
      <c r="QD132" s="122"/>
      <c r="QE132" s="122"/>
      <c r="QF132" s="122"/>
      <c r="QG132" s="122"/>
      <c r="QM132" s="118"/>
      <c r="QN132" s="118"/>
      <c r="RE132" s="118"/>
      <c r="RF132" s="118"/>
      <c r="RG132" s="118"/>
      <c r="RH132" s="118"/>
      <c r="RI132" s="118"/>
      <c r="RJ132" s="118"/>
      <c r="RK132" s="118"/>
    </row>
    <row r="133" spans="1:479">
      <c r="Y133" s="277" t="s">
        <v>18</v>
      </c>
      <c r="Z133" s="319">
        <f t="shared" si="0"/>
        <v>568352.92999999993</v>
      </c>
      <c r="AA133" s="319">
        <f t="shared" si="1"/>
        <v>491037.52</v>
      </c>
      <c r="AB133" s="319">
        <f t="shared" si="2"/>
        <v>380914.95999999996</v>
      </c>
      <c r="AC133" s="319">
        <f t="shared" si="3"/>
        <v>441705.32000000007</v>
      </c>
      <c r="AD133" s="319">
        <f t="shared" si="4"/>
        <v>467824.19999999995</v>
      </c>
      <c r="AE133" s="319">
        <f t="shared" si="5"/>
        <v>479115.6700000001</v>
      </c>
      <c r="AF133" s="319">
        <f t="shared" si="6"/>
        <v>452189.77999999997</v>
      </c>
      <c r="AG133" s="319">
        <f t="shared" si="7"/>
        <v>494379.75000000006</v>
      </c>
      <c r="AH133" s="319">
        <f t="shared" si="8"/>
        <v>638564.01</v>
      </c>
      <c r="AI133" s="319">
        <f t="shared" si="9"/>
        <v>673238.67999999993</v>
      </c>
      <c r="AJ133" s="319">
        <f t="shared" si="10"/>
        <v>608048.9</v>
      </c>
      <c r="AK133" s="319">
        <f t="shared" si="11"/>
        <v>629560.66</v>
      </c>
      <c r="AL133" s="319">
        <f t="shared" si="12"/>
        <v>679248.42999999993</v>
      </c>
      <c r="AM133" s="319">
        <f t="shared" si="13"/>
        <v>595070.06000000006</v>
      </c>
      <c r="AN133" s="319">
        <f t="shared" si="14"/>
        <v>709320.96</v>
      </c>
      <c r="AO133" s="319">
        <f t="shared" si="15"/>
        <v>657885.29999999993</v>
      </c>
      <c r="AP133" s="319">
        <f t="shared" si="16"/>
        <v>732943.80999999994</v>
      </c>
      <c r="AQ133" s="319">
        <f t="shared" si="17"/>
        <v>640741.21000000008</v>
      </c>
      <c r="AR133" s="319">
        <f t="shared" si="18"/>
        <v>770242.74000000022</v>
      </c>
      <c r="AS133" s="319">
        <f t="shared" si="19"/>
        <v>655876.43000000005</v>
      </c>
      <c r="AT133" s="319">
        <f t="shared" si="20"/>
        <v>933750.29</v>
      </c>
      <c r="AU133" s="319">
        <f t="shared" si="21"/>
        <v>1106115.78</v>
      </c>
      <c r="AW133" s="322" t="s">
        <v>18</v>
      </c>
      <c r="AX133" s="322">
        <f t="shared" si="22"/>
        <v>122887.12</v>
      </c>
      <c r="AY133" s="322">
        <f t="shared" si="23"/>
        <v>126719.36000000002</v>
      </c>
      <c r="AZ133" s="322">
        <f t="shared" si="24"/>
        <v>149053.68</v>
      </c>
      <c r="BA133" s="322">
        <f t="shared" si="25"/>
        <v>94651.14</v>
      </c>
      <c r="BB133" s="322">
        <f t="shared" si="26"/>
        <v>77970.7</v>
      </c>
      <c r="BC133" s="322">
        <f t="shared" si="27"/>
        <v>115648.60999999999</v>
      </c>
      <c r="BD133" s="322">
        <f t="shared" si="28"/>
        <v>77807.08</v>
      </c>
      <c r="BE133" s="322">
        <f t="shared" si="29"/>
        <v>118651.13999999998</v>
      </c>
      <c r="BF133" s="322">
        <f t="shared" si="30"/>
        <v>85522.959999999992</v>
      </c>
      <c r="BG133" s="322">
        <f t="shared" si="31"/>
        <v>148140.97999999998</v>
      </c>
      <c r="BH133" s="322">
        <f t="shared" si="32"/>
        <v>103246.01999999999</v>
      </c>
      <c r="BI133" s="322">
        <f t="shared" si="33"/>
        <v>110434.43000000001</v>
      </c>
      <c r="BJ133" s="322">
        <f t="shared" si="34"/>
        <v>104043.12</v>
      </c>
      <c r="BK133" s="322">
        <f t="shared" si="35"/>
        <v>123186.28</v>
      </c>
      <c r="BL133" s="322">
        <f t="shared" si="36"/>
        <v>121373.18000000001</v>
      </c>
      <c r="BM133" s="322">
        <f t="shared" si="37"/>
        <v>108047.23999999999</v>
      </c>
      <c r="BN133" s="322">
        <f t="shared" si="38"/>
        <v>121509.58999999998</v>
      </c>
      <c r="BO133" s="340">
        <f t="shared" si="39"/>
        <v>76744.7</v>
      </c>
      <c r="BP133" s="340">
        <f t="shared" si="40"/>
        <v>78965.960000000006</v>
      </c>
      <c r="BQ133" s="340">
        <f t="shared" si="41"/>
        <v>70839.72</v>
      </c>
      <c r="BR133" s="340">
        <f t="shared" si="42"/>
        <v>78504.850000000006</v>
      </c>
      <c r="BS133" s="340">
        <f t="shared" si="43"/>
        <v>97625.2</v>
      </c>
      <c r="BU133" s="340" t="s">
        <v>18</v>
      </c>
      <c r="BV133" s="340">
        <f t="shared" si="44"/>
        <v>30721.78</v>
      </c>
      <c r="BW133" s="340">
        <f t="shared" si="45"/>
        <v>31679.84</v>
      </c>
      <c r="BX133" s="340">
        <f t="shared" si="46"/>
        <v>33123.040000000001</v>
      </c>
      <c r="BY133" s="340">
        <f t="shared" si="47"/>
        <v>47325.57</v>
      </c>
      <c r="BZ133" s="340">
        <f t="shared" si="48"/>
        <v>46782.42</v>
      </c>
      <c r="CA133" s="340">
        <f t="shared" si="49"/>
        <v>66084.92</v>
      </c>
      <c r="CB133" s="340">
        <f t="shared" si="50"/>
        <v>58355.31</v>
      </c>
      <c r="CC133" s="340">
        <f t="shared" si="51"/>
        <v>59325.569999999992</v>
      </c>
      <c r="CD133" s="340">
        <f t="shared" si="52"/>
        <v>67627.61</v>
      </c>
      <c r="CE133" s="340">
        <f t="shared" si="53"/>
        <v>74484.22</v>
      </c>
      <c r="CF133" s="340">
        <f t="shared" si="54"/>
        <v>77187.59</v>
      </c>
      <c r="CG133" s="340">
        <f t="shared" si="55"/>
        <v>81297.33</v>
      </c>
      <c r="CH133" s="340">
        <f t="shared" si="56"/>
        <v>82370.510000000009</v>
      </c>
      <c r="CI133" s="340">
        <f t="shared" si="57"/>
        <v>95381.84</v>
      </c>
      <c r="CJ133" s="340">
        <f t="shared" si="58"/>
        <v>83623.989999999991</v>
      </c>
      <c r="CK133" s="340">
        <f t="shared" si="59"/>
        <v>90176.92</v>
      </c>
      <c r="CL133" s="340">
        <f t="shared" si="60"/>
        <v>91820.03</v>
      </c>
      <c r="CM133" s="340">
        <f t="shared" si="61"/>
        <v>98188.760000000009</v>
      </c>
      <c r="CN133" s="340">
        <f t="shared" si="62"/>
        <v>97698.83</v>
      </c>
      <c r="CO133" s="340">
        <f t="shared" si="63"/>
        <v>96914.700000000012</v>
      </c>
      <c r="CP133" s="340">
        <f t="shared" si="64"/>
        <v>100840.28</v>
      </c>
      <c r="CQ133" s="340">
        <f t="shared" si="65"/>
        <v>111607.69</v>
      </c>
      <c r="CR133" s="122"/>
      <c r="CS133" s="340" t="s">
        <v>18</v>
      </c>
      <c r="CT133" s="340">
        <f t="shared" si="66"/>
        <v>291856.91000000003</v>
      </c>
      <c r="CU133" s="340">
        <f t="shared" si="67"/>
        <v>332638.32</v>
      </c>
      <c r="CV133" s="340">
        <f t="shared" si="68"/>
        <v>397476.48</v>
      </c>
      <c r="CW133" s="340">
        <f t="shared" si="69"/>
        <v>378604.56</v>
      </c>
      <c r="CX133" s="340">
        <f t="shared" si="70"/>
        <v>421041.78</v>
      </c>
      <c r="CY133" s="340">
        <f t="shared" si="71"/>
        <v>396509.52</v>
      </c>
      <c r="CZ133" s="340">
        <f t="shared" si="72"/>
        <v>583553.1</v>
      </c>
      <c r="DA133" s="340">
        <f t="shared" si="73"/>
        <v>533930.13</v>
      </c>
      <c r="DB133" s="340">
        <f t="shared" si="74"/>
        <v>574644.43000000005</v>
      </c>
      <c r="DC133" s="340">
        <f t="shared" si="75"/>
        <v>701478.52</v>
      </c>
      <c r="DD133" s="340">
        <f t="shared" si="76"/>
        <v>574570.73</v>
      </c>
      <c r="DE133" s="340">
        <f t="shared" si="77"/>
        <v>397650.08</v>
      </c>
      <c r="DF133" s="340">
        <f t="shared" si="78"/>
        <v>444562.1</v>
      </c>
      <c r="DG133" s="340">
        <f t="shared" si="79"/>
        <v>429220.80000000005</v>
      </c>
      <c r="DH133" s="340">
        <f t="shared" si="80"/>
        <v>449581.55000000005</v>
      </c>
      <c r="DI133" s="340">
        <f t="shared" si="81"/>
        <v>496836.41</v>
      </c>
      <c r="DJ133" s="340">
        <f t="shared" si="82"/>
        <v>629856.44999999995</v>
      </c>
      <c r="DK133" s="340">
        <f t="shared" si="83"/>
        <v>544075.46</v>
      </c>
      <c r="DL133" s="340">
        <f t="shared" si="84"/>
        <v>564149.09</v>
      </c>
      <c r="DM133" s="340">
        <f t="shared" si="85"/>
        <v>557217.27</v>
      </c>
      <c r="DN133" s="340">
        <f t="shared" si="86"/>
        <v>489923.84999999992</v>
      </c>
      <c r="DO133" s="340">
        <f t="shared" si="87"/>
        <v>574914.76</v>
      </c>
      <c r="DP133" s="330"/>
      <c r="DQ133" s="340" t="s">
        <v>18</v>
      </c>
      <c r="DR133" s="340">
        <f t="shared" ref="DR133:EM133" si="171">DR35</f>
        <v>107526.23</v>
      </c>
      <c r="DS133" s="340">
        <f t="shared" si="171"/>
        <v>110879.44</v>
      </c>
      <c r="DT133" s="340">
        <f t="shared" si="171"/>
        <v>115930.64</v>
      </c>
      <c r="DU133" s="340">
        <f t="shared" si="171"/>
        <v>126201.52</v>
      </c>
      <c r="DV133" s="340">
        <f t="shared" si="171"/>
        <v>140347.26</v>
      </c>
      <c r="DW133" s="340">
        <f t="shared" si="171"/>
        <v>198254.76</v>
      </c>
      <c r="DX133" s="340">
        <f t="shared" si="171"/>
        <v>252873.01</v>
      </c>
      <c r="DY133" s="340">
        <f t="shared" si="171"/>
        <v>257077.47</v>
      </c>
      <c r="DZ133" s="340">
        <f t="shared" si="171"/>
        <v>279224.31999999995</v>
      </c>
      <c r="EA133" s="340">
        <f t="shared" si="171"/>
        <v>266300.2</v>
      </c>
      <c r="EB133" s="340">
        <f t="shared" si="171"/>
        <v>260405.03</v>
      </c>
      <c r="EC133" s="340">
        <f t="shared" si="171"/>
        <v>274741.15999999997</v>
      </c>
      <c r="ED133" s="340">
        <f t="shared" si="171"/>
        <v>260916.55</v>
      </c>
      <c r="EE133" s="340">
        <f t="shared" si="171"/>
        <v>295217.95</v>
      </c>
      <c r="EF133" s="340">
        <f t="shared" si="171"/>
        <v>313642.57999999996</v>
      </c>
      <c r="EG133" s="340">
        <f t="shared" si="171"/>
        <v>303094.17</v>
      </c>
      <c r="EH133" s="340">
        <f t="shared" si="171"/>
        <v>325061.34000000003</v>
      </c>
      <c r="EI133" s="340">
        <f t="shared" si="171"/>
        <v>312442.91000000003</v>
      </c>
      <c r="EJ133" s="340">
        <f t="shared" si="171"/>
        <v>335963.18999999994</v>
      </c>
      <c r="EK133" s="340">
        <f t="shared" si="171"/>
        <v>349543.67</v>
      </c>
      <c r="EL133" s="340">
        <f t="shared" si="171"/>
        <v>314777.90000000002</v>
      </c>
      <c r="EM133" s="340">
        <f t="shared" si="171"/>
        <v>374700</v>
      </c>
      <c r="EO133" s="319" t="s">
        <v>18</v>
      </c>
      <c r="EP133" s="319">
        <f t="shared" si="89"/>
        <v>276496.02</v>
      </c>
      <c r="EQ133" s="319">
        <f t="shared" si="90"/>
        <v>364318.16</v>
      </c>
      <c r="ER133" s="319">
        <f t="shared" si="91"/>
        <v>447161.04000000004</v>
      </c>
      <c r="ES133" s="319">
        <f t="shared" si="92"/>
        <v>378604.56</v>
      </c>
      <c r="ET133" s="319">
        <f t="shared" si="93"/>
        <v>249506.24</v>
      </c>
      <c r="EU133" s="319">
        <f t="shared" si="94"/>
        <v>247818.44999999998</v>
      </c>
      <c r="EV133" s="319">
        <f t="shared" si="95"/>
        <v>311228.32</v>
      </c>
      <c r="EW133" s="319">
        <f t="shared" si="96"/>
        <v>316403.03999999998</v>
      </c>
      <c r="EX133" s="319">
        <f t="shared" si="97"/>
        <v>307085.84999999998</v>
      </c>
      <c r="EY133" s="319">
        <f t="shared" si="98"/>
        <v>326819.26000000007</v>
      </c>
      <c r="EZ133" s="319">
        <f t="shared" si="99"/>
        <v>322237.64</v>
      </c>
      <c r="FA133" s="319">
        <f t="shared" si="100"/>
        <v>339278.09000000008</v>
      </c>
      <c r="FB133" s="319">
        <f t="shared" si="101"/>
        <v>352541.47</v>
      </c>
      <c r="FC133" s="319">
        <f t="shared" si="102"/>
        <v>342988.55000000005</v>
      </c>
      <c r="FD133" s="319">
        <f t="shared" si="103"/>
        <v>353475.10000000003</v>
      </c>
      <c r="FE133" s="319">
        <f t="shared" si="104"/>
        <v>356768.08999999997</v>
      </c>
      <c r="FF133" s="322">
        <f t="shared" si="105"/>
        <v>374147.25</v>
      </c>
      <c r="FG133" s="336">
        <f t="shared" si="106"/>
        <v>438841.98000000004</v>
      </c>
      <c r="FH133" s="336">
        <f t="shared" si="107"/>
        <v>454143.2300000001</v>
      </c>
      <c r="FI133" s="336">
        <f t="shared" si="108"/>
        <v>466752.8899999999</v>
      </c>
      <c r="FJ133" s="336">
        <f t="shared" si="109"/>
        <v>485125.34000000008</v>
      </c>
      <c r="FK133" s="336">
        <f t="shared" si="110"/>
        <v>547527.71</v>
      </c>
      <c r="FL133" s="122"/>
      <c r="FM133" s="340" t="s">
        <v>18</v>
      </c>
      <c r="FN133" s="340">
        <f t="shared" si="111"/>
        <v>138248.01</v>
      </c>
      <c r="FO133" s="340">
        <f t="shared" si="112"/>
        <v>79199.600000000006</v>
      </c>
      <c r="FP133" s="340">
        <f t="shared" si="113"/>
        <v>82807.600000000006</v>
      </c>
      <c r="FQ133" s="340">
        <f t="shared" si="114"/>
        <v>110426.33</v>
      </c>
      <c r="FR133" s="340">
        <f t="shared" si="115"/>
        <v>109158.98</v>
      </c>
      <c r="FS133" s="340">
        <f t="shared" si="116"/>
        <v>115648.61</v>
      </c>
      <c r="FT133" s="340">
        <f t="shared" si="117"/>
        <v>136162.39000000001</v>
      </c>
      <c r="FU133" s="340">
        <f t="shared" si="118"/>
        <v>177976.71</v>
      </c>
      <c r="FV133" s="340">
        <f t="shared" si="119"/>
        <v>169629.93999999997</v>
      </c>
      <c r="FW133" s="340">
        <f t="shared" si="120"/>
        <v>174800.46999999997</v>
      </c>
      <c r="FX133" s="340">
        <f t="shared" si="121"/>
        <v>191413.1</v>
      </c>
      <c r="FY133" s="340">
        <f t="shared" si="122"/>
        <v>218785.25999999998</v>
      </c>
      <c r="FZ133" s="340">
        <f t="shared" si="123"/>
        <v>225481.96</v>
      </c>
      <c r="GA133" s="340">
        <f t="shared" si="124"/>
        <v>229196.75999999998</v>
      </c>
      <c r="GB133" s="340">
        <f t="shared" si="125"/>
        <v>237997.12000000002</v>
      </c>
      <c r="GC133" s="340">
        <f t="shared" si="126"/>
        <v>237566.94999999998</v>
      </c>
      <c r="GD133" s="340">
        <f t="shared" si="127"/>
        <v>260116.73</v>
      </c>
      <c r="GE133" s="340">
        <f t="shared" si="128"/>
        <v>274199.88</v>
      </c>
      <c r="GF133" s="340">
        <f t="shared" si="129"/>
        <v>249786.25</v>
      </c>
      <c r="GG133" s="340">
        <f t="shared" si="130"/>
        <v>277728.38</v>
      </c>
      <c r="GH133" s="340">
        <f t="shared" si="131"/>
        <v>284029.23000000004</v>
      </c>
      <c r="GI133" s="340">
        <f t="shared" si="132"/>
        <v>301356.42000000004</v>
      </c>
      <c r="GJ133" s="122"/>
      <c r="GK133" s="340" t="s">
        <v>18</v>
      </c>
      <c r="GL133" s="340">
        <f t="shared" si="133"/>
        <v>0</v>
      </c>
      <c r="GM133" s="340">
        <f t="shared" si="134"/>
        <v>47519.76</v>
      </c>
      <c r="GN133" s="340">
        <f t="shared" si="135"/>
        <v>49684.56</v>
      </c>
      <c r="GO133" s="340">
        <f t="shared" si="136"/>
        <v>0</v>
      </c>
      <c r="GP133" s="340">
        <f t="shared" si="137"/>
        <v>46782.42</v>
      </c>
      <c r="GQ133" s="340">
        <f t="shared" si="138"/>
        <v>33042.46</v>
      </c>
      <c r="GR133" s="340">
        <f t="shared" si="139"/>
        <v>58355.31</v>
      </c>
      <c r="GS133" s="340">
        <f t="shared" si="140"/>
        <v>19775.189999999999</v>
      </c>
      <c r="GT133" s="340">
        <f t="shared" si="141"/>
        <v>24931.200000000001</v>
      </c>
      <c r="GU133" s="340">
        <f t="shared" si="142"/>
        <v>14686.66</v>
      </c>
      <c r="GV133" s="340">
        <f t="shared" si="143"/>
        <v>20902.93</v>
      </c>
      <c r="GW133" s="340">
        <f t="shared" si="144"/>
        <v>17463.080000000002</v>
      </c>
      <c r="GX133" s="340">
        <f t="shared" si="145"/>
        <v>22328.84</v>
      </c>
      <c r="GY133" s="340">
        <f t="shared" si="146"/>
        <v>16963.54</v>
      </c>
      <c r="GZ133" s="340">
        <f t="shared" si="147"/>
        <v>39707.82</v>
      </c>
      <c r="HA133" s="340">
        <f t="shared" si="148"/>
        <v>16683.98</v>
      </c>
      <c r="HB133" s="340">
        <f t="shared" si="149"/>
        <v>83828.97</v>
      </c>
      <c r="HC133" s="340">
        <f t="shared" si="150"/>
        <v>17685.169999999998</v>
      </c>
      <c r="HD133" s="340">
        <f t="shared" si="151"/>
        <v>21174.94</v>
      </c>
      <c r="HE133" s="340">
        <f t="shared" si="152"/>
        <v>17990</v>
      </c>
      <c r="HF133" s="340">
        <f t="shared" si="153"/>
        <v>182870.76</v>
      </c>
      <c r="HG133" s="340">
        <f t="shared" si="154"/>
        <v>20410.46</v>
      </c>
      <c r="HH133" s="122"/>
      <c r="IF133" s="122"/>
      <c r="IG133" s="122"/>
      <c r="IH133" s="122"/>
      <c r="II133" s="122"/>
      <c r="IJ133" s="122"/>
      <c r="IK133" s="122"/>
      <c r="IL133" s="122"/>
      <c r="IN133" s="118"/>
      <c r="IP133" s="122"/>
      <c r="IQ133" s="122"/>
      <c r="IR133" s="122"/>
      <c r="IS133" s="122"/>
      <c r="IT133" s="122"/>
      <c r="IU133" s="122"/>
      <c r="IV133" s="122"/>
      <c r="IW133" s="122"/>
      <c r="IX133" s="122"/>
      <c r="IY133" s="122"/>
      <c r="IZ133" s="122"/>
      <c r="JA133" s="122"/>
      <c r="JB133" s="122"/>
      <c r="JC133" s="122"/>
      <c r="JD133" s="122"/>
      <c r="JE133" s="122"/>
      <c r="JF133" s="122"/>
      <c r="JG133" s="122"/>
      <c r="JH133" s="122"/>
      <c r="JI133" s="122"/>
      <c r="JK133" s="118"/>
      <c r="JL133" s="118"/>
      <c r="JY133" s="122"/>
      <c r="JZ133" s="122"/>
      <c r="KA133" s="122"/>
      <c r="KB133" s="122"/>
      <c r="LX133" s="122"/>
      <c r="LY133" s="122"/>
      <c r="LZ133" s="122"/>
      <c r="MB133" s="118"/>
      <c r="MC133" s="118"/>
      <c r="MP133" s="122"/>
      <c r="MQ133" s="122"/>
      <c r="MR133" s="122"/>
      <c r="MS133" s="122"/>
      <c r="MT133" s="122"/>
      <c r="MU133" s="122"/>
      <c r="MV133" s="122"/>
      <c r="OS133" s="118"/>
      <c r="OT133" s="118"/>
      <c r="PC133" s="122"/>
      <c r="PD133" s="122"/>
      <c r="PE133" s="122"/>
      <c r="PF133" s="122"/>
      <c r="PG133" s="122"/>
      <c r="PH133" s="122"/>
      <c r="PI133" s="122"/>
      <c r="PJ133" s="122"/>
      <c r="PP133" s="118"/>
      <c r="PQ133" s="118"/>
      <c r="PZ133" s="122"/>
      <c r="QA133" s="122"/>
      <c r="QB133" s="122"/>
      <c r="QC133" s="122"/>
      <c r="QD133" s="122"/>
      <c r="QE133" s="122"/>
      <c r="QF133" s="122"/>
      <c r="QG133" s="122"/>
      <c r="QM133" s="118"/>
      <c r="QN133" s="118"/>
      <c r="RE133" s="118"/>
      <c r="RF133" s="118"/>
      <c r="RG133" s="118"/>
      <c r="RH133" s="118"/>
      <c r="RI133" s="118"/>
      <c r="RJ133" s="118"/>
      <c r="RK133" s="118"/>
    </row>
    <row r="134" spans="1:479">
      <c r="A134" s="1003"/>
      <c r="B134" s="1005"/>
      <c r="C134" s="1011"/>
      <c r="D134" s="1012"/>
      <c r="E134" s="1013"/>
      <c r="I134" s="117"/>
      <c r="Y134" s="277" t="s">
        <v>19</v>
      </c>
      <c r="Z134" s="319">
        <f t="shared" si="0"/>
        <v>364095.06</v>
      </c>
      <c r="AA134" s="319">
        <f t="shared" si="1"/>
        <v>338091.60000000003</v>
      </c>
      <c r="AB134" s="319">
        <f t="shared" si="2"/>
        <v>370449.24</v>
      </c>
      <c r="AC134" s="319">
        <f t="shared" si="3"/>
        <v>365031.4</v>
      </c>
      <c r="AD134" s="319">
        <f t="shared" si="4"/>
        <v>482078.88</v>
      </c>
      <c r="AE134" s="319">
        <f t="shared" si="5"/>
        <v>453873.39999999991</v>
      </c>
      <c r="AF134" s="319">
        <f t="shared" si="6"/>
        <v>472804.44000000006</v>
      </c>
      <c r="AG134" s="319">
        <f t="shared" si="7"/>
        <v>459574.8</v>
      </c>
      <c r="AH134" s="319">
        <f t="shared" si="8"/>
        <v>546957.36</v>
      </c>
      <c r="AI134" s="319">
        <f t="shared" si="9"/>
        <v>561277.31000000006</v>
      </c>
      <c r="AJ134" s="319">
        <f t="shared" si="10"/>
        <v>630790.54</v>
      </c>
      <c r="AK134" s="319">
        <f t="shared" si="11"/>
        <v>652858.37999999989</v>
      </c>
      <c r="AL134" s="319">
        <f t="shared" si="12"/>
        <v>752747.63</v>
      </c>
      <c r="AM134" s="319">
        <f t="shared" si="13"/>
        <v>0</v>
      </c>
      <c r="AN134" s="319">
        <f t="shared" si="14"/>
        <v>0</v>
      </c>
      <c r="AO134" s="319">
        <f t="shared" si="15"/>
        <v>0</v>
      </c>
      <c r="AP134" s="319">
        <f t="shared" si="16"/>
        <v>0</v>
      </c>
      <c r="AQ134" s="319">
        <f t="shared" si="17"/>
        <v>0</v>
      </c>
      <c r="AR134" s="319">
        <f t="shared" si="18"/>
        <v>0</v>
      </c>
      <c r="AS134" s="319">
        <f t="shared" si="19"/>
        <v>0</v>
      </c>
      <c r="AT134" s="319">
        <f t="shared" si="20"/>
        <v>0</v>
      </c>
      <c r="AU134" s="319">
        <f t="shared" si="21"/>
        <v>0</v>
      </c>
      <c r="AW134" s="322" t="s">
        <v>19</v>
      </c>
      <c r="AX134" s="322">
        <f t="shared" si="22"/>
        <v>110811.54</v>
      </c>
      <c r="AY134" s="322">
        <f t="shared" si="23"/>
        <v>96597.6</v>
      </c>
      <c r="AZ134" s="322">
        <f t="shared" si="24"/>
        <v>88202.2</v>
      </c>
      <c r="BA134" s="322">
        <f t="shared" si="25"/>
        <v>109509.42</v>
      </c>
      <c r="BB134" s="322">
        <f t="shared" si="26"/>
        <v>60259.86</v>
      </c>
      <c r="BC134" s="322">
        <f t="shared" si="27"/>
        <v>45387.34</v>
      </c>
      <c r="BD134" s="322">
        <f t="shared" si="28"/>
        <v>47753.72</v>
      </c>
      <c r="BE134" s="322">
        <f t="shared" si="29"/>
        <v>45957.48</v>
      </c>
      <c r="BF134" s="322">
        <f t="shared" si="30"/>
        <v>84708.040000000008</v>
      </c>
      <c r="BG134" s="322">
        <f t="shared" si="31"/>
        <v>104127.77</v>
      </c>
      <c r="BH134" s="322">
        <f t="shared" si="32"/>
        <v>111149.35</v>
      </c>
      <c r="BI134" s="322">
        <f t="shared" si="33"/>
        <v>114371.43</v>
      </c>
      <c r="BJ134" s="322">
        <f t="shared" si="34"/>
        <v>111679.13</v>
      </c>
      <c r="BK134" s="322">
        <f t="shared" si="35"/>
        <v>0</v>
      </c>
      <c r="BL134" s="322">
        <f t="shared" si="36"/>
        <v>0</v>
      </c>
      <c r="BM134" s="322">
        <f t="shared" si="37"/>
        <v>0</v>
      </c>
      <c r="BN134" s="322">
        <f t="shared" si="38"/>
        <v>0</v>
      </c>
      <c r="BO134" s="340">
        <f t="shared" si="39"/>
        <v>0</v>
      </c>
      <c r="BP134" s="340">
        <f t="shared" si="40"/>
        <v>0</v>
      </c>
      <c r="BQ134" s="340">
        <f t="shared" si="41"/>
        <v>0</v>
      </c>
      <c r="BR134" s="340">
        <f t="shared" si="42"/>
        <v>0</v>
      </c>
      <c r="BS134" s="340">
        <f t="shared" si="43"/>
        <v>0</v>
      </c>
      <c r="BU134" s="340" t="s">
        <v>19</v>
      </c>
      <c r="BV134" s="340">
        <f t="shared" si="44"/>
        <v>31660.44</v>
      </c>
      <c r="BW134" s="340">
        <f t="shared" si="45"/>
        <v>32199.200000000001</v>
      </c>
      <c r="BX134" s="340">
        <f t="shared" si="46"/>
        <v>52921.319999999992</v>
      </c>
      <c r="BY134" s="340">
        <f t="shared" si="47"/>
        <v>36503.14</v>
      </c>
      <c r="BZ134" s="340">
        <f t="shared" si="48"/>
        <v>60259.86</v>
      </c>
      <c r="CA134" s="340">
        <f t="shared" si="49"/>
        <v>68081.009999999995</v>
      </c>
      <c r="CB134" s="340">
        <f t="shared" si="50"/>
        <v>71630.58</v>
      </c>
      <c r="CC134" s="340">
        <f t="shared" si="51"/>
        <v>68936.22</v>
      </c>
      <c r="CD134" s="340">
        <f t="shared" si="52"/>
        <v>90122.42</v>
      </c>
      <c r="CE134" s="340">
        <f t="shared" si="53"/>
        <v>72829.72</v>
      </c>
      <c r="CF134" s="340">
        <f t="shared" si="54"/>
        <v>82519.63</v>
      </c>
      <c r="CG134" s="340">
        <f t="shared" si="55"/>
        <v>78146.98000000001</v>
      </c>
      <c r="CH134" s="340">
        <f t="shared" si="56"/>
        <v>77753.759999999995</v>
      </c>
      <c r="CI134" s="340">
        <f t="shared" si="57"/>
        <v>0</v>
      </c>
      <c r="CJ134" s="340">
        <f t="shared" si="58"/>
        <v>0</v>
      </c>
      <c r="CK134" s="340">
        <f t="shared" si="59"/>
        <v>0</v>
      </c>
      <c r="CL134" s="340">
        <f t="shared" si="60"/>
        <v>0</v>
      </c>
      <c r="CM134" s="340">
        <f t="shared" si="61"/>
        <v>0</v>
      </c>
      <c r="CN134" s="340">
        <f t="shared" si="62"/>
        <v>0</v>
      </c>
      <c r="CO134" s="340">
        <f t="shared" si="63"/>
        <v>0</v>
      </c>
      <c r="CP134" s="340">
        <f t="shared" si="64"/>
        <v>0</v>
      </c>
      <c r="CQ134" s="340">
        <f t="shared" si="65"/>
        <v>0</v>
      </c>
      <c r="CR134" s="122"/>
      <c r="CS134" s="340" t="s">
        <v>19</v>
      </c>
      <c r="CT134" s="340">
        <f t="shared" si="66"/>
        <v>316604.40000000002</v>
      </c>
      <c r="CU134" s="340">
        <f t="shared" si="67"/>
        <v>450788.8</v>
      </c>
      <c r="CV134" s="340">
        <f t="shared" si="68"/>
        <v>458651.44</v>
      </c>
      <c r="CW134" s="340">
        <f t="shared" si="69"/>
        <v>401534.54000000004</v>
      </c>
      <c r="CX134" s="340">
        <f t="shared" si="70"/>
        <v>482078.88</v>
      </c>
      <c r="CY134" s="340">
        <f t="shared" si="71"/>
        <v>544648.07999999996</v>
      </c>
      <c r="CZ134" s="340">
        <f t="shared" si="72"/>
        <v>596921.5</v>
      </c>
      <c r="DA134" s="340">
        <f t="shared" si="73"/>
        <v>666383.46</v>
      </c>
      <c r="DB134" s="340">
        <f t="shared" si="74"/>
        <v>695170.25</v>
      </c>
      <c r="DC134" s="340">
        <f t="shared" si="75"/>
        <v>805416.8</v>
      </c>
      <c r="DD134" s="340">
        <f t="shared" si="76"/>
        <v>700726.77</v>
      </c>
      <c r="DE134" s="340">
        <f t="shared" si="77"/>
        <v>803517.82000000007</v>
      </c>
      <c r="DF134" s="340">
        <f t="shared" si="78"/>
        <v>806340.07</v>
      </c>
      <c r="DG134" s="340">
        <f t="shared" si="79"/>
        <v>0</v>
      </c>
      <c r="DH134" s="340">
        <f t="shared" si="80"/>
        <v>0</v>
      </c>
      <c r="DI134" s="340">
        <f t="shared" si="81"/>
        <v>0</v>
      </c>
      <c r="DJ134" s="340">
        <f t="shared" si="82"/>
        <v>0</v>
      </c>
      <c r="DK134" s="340">
        <f t="shared" si="83"/>
        <v>0</v>
      </c>
      <c r="DL134" s="340">
        <f t="shared" si="84"/>
        <v>0</v>
      </c>
      <c r="DM134" s="340">
        <f t="shared" si="85"/>
        <v>0</v>
      </c>
      <c r="DN134" s="340">
        <f t="shared" si="86"/>
        <v>0</v>
      </c>
      <c r="DO134" s="340">
        <f t="shared" si="87"/>
        <v>0</v>
      </c>
      <c r="DP134" s="330"/>
      <c r="DQ134" s="340" t="s">
        <v>19</v>
      </c>
      <c r="DR134" s="340">
        <f t="shared" ref="DR134:EM134" si="172">DR36</f>
        <v>126641.76</v>
      </c>
      <c r="DS134" s="340">
        <f t="shared" si="172"/>
        <v>112697.2</v>
      </c>
      <c r="DT134" s="340">
        <f t="shared" si="172"/>
        <v>141123.51999999999</v>
      </c>
      <c r="DU134" s="340">
        <f t="shared" si="172"/>
        <v>146012.56</v>
      </c>
      <c r="DV134" s="340">
        <f t="shared" si="172"/>
        <v>20086.62</v>
      </c>
      <c r="DW134" s="340">
        <f t="shared" si="172"/>
        <v>22693.67</v>
      </c>
      <c r="DX134" s="340">
        <f t="shared" si="172"/>
        <v>0</v>
      </c>
      <c r="DY134" s="340">
        <f t="shared" si="172"/>
        <v>0</v>
      </c>
      <c r="DZ134" s="340">
        <f t="shared" si="172"/>
        <v>3267.37</v>
      </c>
      <c r="EA134" s="340">
        <f t="shared" si="172"/>
        <v>7547.25</v>
      </c>
      <c r="EB134" s="340">
        <f t="shared" si="172"/>
        <v>12500.86</v>
      </c>
      <c r="EC134" s="340">
        <f t="shared" si="172"/>
        <v>15691.38</v>
      </c>
      <c r="ED134" s="340">
        <f t="shared" si="172"/>
        <v>6577.79</v>
      </c>
      <c r="EE134" s="340">
        <f t="shared" si="172"/>
        <v>0</v>
      </c>
      <c r="EF134" s="340">
        <f t="shared" si="172"/>
        <v>0</v>
      </c>
      <c r="EG134" s="340">
        <f t="shared" si="172"/>
        <v>0</v>
      </c>
      <c r="EH134" s="340">
        <f t="shared" si="172"/>
        <v>0</v>
      </c>
      <c r="EI134" s="340">
        <f t="shared" si="172"/>
        <v>0</v>
      </c>
      <c r="EJ134" s="340">
        <f t="shared" si="172"/>
        <v>0</v>
      </c>
      <c r="EK134" s="340">
        <f t="shared" si="172"/>
        <v>0</v>
      </c>
      <c r="EL134" s="340">
        <f t="shared" si="172"/>
        <v>0</v>
      </c>
      <c r="EM134" s="340">
        <f t="shared" si="172"/>
        <v>0</v>
      </c>
      <c r="EO134" s="319" t="s">
        <v>19</v>
      </c>
      <c r="EP134" s="319">
        <f t="shared" si="89"/>
        <v>474906.6</v>
      </c>
      <c r="EQ134" s="319">
        <f t="shared" si="90"/>
        <v>499087.60000000003</v>
      </c>
      <c r="ER134" s="319">
        <f t="shared" si="91"/>
        <v>564494.07999999996</v>
      </c>
      <c r="ES134" s="319">
        <f t="shared" si="92"/>
        <v>657056.52</v>
      </c>
      <c r="ET134" s="319">
        <f t="shared" si="93"/>
        <v>763291.56</v>
      </c>
      <c r="EU134" s="319">
        <f t="shared" si="94"/>
        <v>975827.81</v>
      </c>
      <c r="EV134" s="319">
        <f t="shared" si="95"/>
        <v>1026704.98</v>
      </c>
      <c r="EW134" s="319">
        <f t="shared" si="96"/>
        <v>873192.12</v>
      </c>
      <c r="EX134" s="319">
        <f t="shared" si="97"/>
        <v>708338.58000000007</v>
      </c>
      <c r="EY134" s="319">
        <f t="shared" si="98"/>
        <v>552242.82000000007</v>
      </c>
      <c r="EZ134" s="319">
        <f t="shared" si="99"/>
        <v>787340.67999999993</v>
      </c>
      <c r="FA134" s="319">
        <f t="shared" si="100"/>
        <v>618308.60999999987</v>
      </c>
      <c r="FB134" s="319">
        <f t="shared" si="101"/>
        <v>582040.57000000007</v>
      </c>
      <c r="FC134" s="319">
        <f t="shared" si="102"/>
        <v>0</v>
      </c>
      <c r="FD134" s="319">
        <f t="shared" si="103"/>
        <v>0</v>
      </c>
      <c r="FE134" s="319">
        <f t="shared" si="104"/>
        <v>0</v>
      </c>
      <c r="FF134" s="322">
        <f t="shared" si="105"/>
        <v>0</v>
      </c>
      <c r="FG134" s="336">
        <f t="shared" si="106"/>
        <v>0</v>
      </c>
      <c r="FH134" s="336">
        <f t="shared" si="107"/>
        <v>0</v>
      </c>
      <c r="FI134" s="336">
        <f t="shared" si="108"/>
        <v>0</v>
      </c>
      <c r="FJ134" s="336">
        <f t="shared" si="109"/>
        <v>0</v>
      </c>
      <c r="FK134" s="336">
        <f t="shared" si="110"/>
        <v>0</v>
      </c>
      <c r="FL134" s="122"/>
      <c r="FM134" s="340" t="s">
        <v>19</v>
      </c>
      <c r="FN134" s="340">
        <f t="shared" si="111"/>
        <v>158302.20000000001</v>
      </c>
      <c r="FO134" s="340">
        <f t="shared" si="112"/>
        <v>80498</v>
      </c>
      <c r="FP134" s="340">
        <f t="shared" si="113"/>
        <v>88202.2</v>
      </c>
      <c r="FQ134" s="340">
        <f t="shared" si="114"/>
        <v>109509.42</v>
      </c>
      <c r="FR134" s="340">
        <f t="shared" si="115"/>
        <v>140606.34</v>
      </c>
      <c r="FS134" s="340">
        <f t="shared" si="116"/>
        <v>158855.69</v>
      </c>
      <c r="FT134" s="340">
        <f t="shared" si="117"/>
        <v>167138.01999999999</v>
      </c>
      <c r="FU134" s="340">
        <f t="shared" si="118"/>
        <v>183829.92</v>
      </c>
      <c r="FV134" s="340">
        <f t="shared" si="119"/>
        <v>193783.19</v>
      </c>
      <c r="FW134" s="340">
        <f t="shared" si="120"/>
        <v>206309.53</v>
      </c>
      <c r="FX134" s="340">
        <f t="shared" si="121"/>
        <v>242142.76999999996</v>
      </c>
      <c r="FY134" s="340">
        <f t="shared" si="122"/>
        <v>278500.81</v>
      </c>
      <c r="FZ134" s="340">
        <f t="shared" si="123"/>
        <v>293209.99</v>
      </c>
      <c r="GA134" s="340">
        <f t="shared" si="124"/>
        <v>0</v>
      </c>
      <c r="GB134" s="340">
        <f t="shared" si="125"/>
        <v>0</v>
      </c>
      <c r="GC134" s="340">
        <f t="shared" si="126"/>
        <v>0</v>
      </c>
      <c r="GD134" s="340">
        <f t="shared" si="127"/>
        <v>0</v>
      </c>
      <c r="GE134" s="340">
        <f t="shared" si="128"/>
        <v>0</v>
      </c>
      <c r="GF134" s="340">
        <f t="shared" si="129"/>
        <v>0</v>
      </c>
      <c r="GG134" s="340">
        <f t="shared" si="130"/>
        <v>0</v>
      </c>
      <c r="GH134" s="340">
        <f t="shared" si="131"/>
        <v>0</v>
      </c>
      <c r="GI134" s="340">
        <f t="shared" si="132"/>
        <v>0</v>
      </c>
      <c r="GJ134" s="122"/>
      <c r="GK134" s="340" t="s">
        <v>19</v>
      </c>
      <c r="GL134" s="340">
        <f t="shared" si="133"/>
        <v>0</v>
      </c>
      <c r="GM134" s="340">
        <f t="shared" si="134"/>
        <v>0</v>
      </c>
      <c r="GN134" s="340">
        <f t="shared" si="135"/>
        <v>0</v>
      </c>
      <c r="GO134" s="340">
        <f t="shared" si="136"/>
        <v>0</v>
      </c>
      <c r="GP134" s="340">
        <f t="shared" si="137"/>
        <v>0</v>
      </c>
      <c r="GQ134" s="340">
        <f t="shared" si="138"/>
        <v>0</v>
      </c>
      <c r="GR134" s="340">
        <f t="shared" si="139"/>
        <v>0</v>
      </c>
      <c r="GS134" s="340">
        <f t="shared" si="140"/>
        <v>0</v>
      </c>
      <c r="GT134" s="340">
        <f t="shared" si="141"/>
        <v>0</v>
      </c>
      <c r="GU134" s="340">
        <f t="shared" si="142"/>
        <v>0</v>
      </c>
      <c r="GV134" s="340">
        <f t="shared" si="143"/>
        <v>0</v>
      </c>
      <c r="GW134" s="340">
        <f t="shared" si="144"/>
        <v>0</v>
      </c>
      <c r="GX134" s="340">
        <f t="shared" si="145"/>
        <v>0</v>
      </c>
      <c r="GY134" s="340">
        <f t="shared" si="146"/>
        <v>0</v>
      </c>
      <c r="GZ134" s="340">
        <f t="shared" si="147"/>
        <v>0</v>
      </c>
      <c r="HA134" s="340">
        <f t="shared" si="148"/>
        <v>0</v>
      </c>
      <c r="HB134" s="340">
        <f t="shared" si="149"/>
        <v>0</v>
      </c>
      <c r="HC134" s="340">
        <f t="shared" si="150"/>
        <v>0</v>
      </c>
      <c r="HD134" s="340">
        <f t="shared" si="151"/>
        <v>0</v>
      </c>
      <c r="HE134" s="340">
        <f t="shared" si="152"/>
        <v>0</v>
      </c>
      <c r="HF134" s="340">
        <f t="shared" si="153"/>
        <v>0</v>
      </c>
      <c r="HG134" s="340">
        <f t="shared" si="154"/>
        <v>0</v>
      </c>
      <c r="HH134" s="122"/>
      <c r="IF134" s="122"/>
      <c r="IG134" s="122"/>
      <c r="IH134" s="122"/>
      <c r="II134" s="122"/>
      <c r="IJ134" s="122"/>
      <c r="IK134" s="122"/>
      <c r="IL134" s="122"/>
      <c r="IN134" s="118"/>
      <c r="IP134" s="122"/>
      <c r="IQ134" s="122"/>
      <c r="IR134" s="122"/>
      <c r="IS134" s="122"/>
      <c r="IT134" s="122"/>
      <c r="IU134" s="122"/>
      <c r="IV134" s="122"/>
      <c r="IW134" s="122"/>
      <c r="IX134" s="122"/>
      <c r="IY134" s="122"/>
      <c r="IZ134" s="122"/>
      <c r="JA134" s="122"/>
      <c r="JB134" s="122"/>
      <c r="JC134" s="122"/>
      <c r="JD134" s="122"/>
      <c r="JE134" s="122"/>
      <c r="JF134" s="122"/>
      <c r="JG134" s="122"/>
      <c r="JH134" s="122"/>
      <c r="JI134" s="122"/>
      <c r="JK134" s="118"/>
      <c r="JL134" s="118"/>
      <c r="JY134" s="122"/>
      <c r="JZ134" s="122"/>
      <c r="KA134" s="122"/>
      <c r="KB134" s="122"/>
      <c r="LX134" s="122"/>
      <c r="LY134" s="122"/>
      <c r="LZ134" s="122"/>
      <c r="MB134" s="118"/>
      <c r="MC134" s="118"/>
      <c r="MP134" s="122"/>
      <c r="MQ134" s="122"/>
      <c r="MR134" s="122"/>
      <c r="MS134" s="122"/>
      <c r="MT134" s="122"/>
      <c r="MU134" s="122"/>
      <c r="MV134" s="122"/>
      <c r="OS134" s="118"/>
      <c r="OT134" s="118"/>
      <c r="PC134" s="122"/>
      <c r="PD134" s="122"/>
      <c r="PE134" s="122"/>
      <c r="PF134" s="122"/>
      <c r="PG134" s="122"/>
      <c r="PH134" s="122"/>
      <c r="PI134" s="122"/>
      <c r="PJ134" s="122"/>
      <c r="PP134" s="118"/>
      <c r="PQ134" s="118"/>
      <c r="PZ134" s="122"/>
      <c r="QA134" s="122"/>
      <c r="QB134" s="122"/>
      <c r="QC134" s="122"/>
      <c r="QD134" s="122"/>
      <c r="QE134" s="122"/>
      <c r="QF134" s="122"/>
      <c r="QG134" s="122"/>
      <c r="QM134" s="118"/>
      <c r="QN134" s="118"/>
      <c r="RE134" s="118"/>
      <c r="RF134" s="118"/>
      <c r="RG134" s="118"/>
      <c r="RH134" s="118"/>
      <c r="RI134" s="118"/>
      <c r="RJ134" s="118"/>
      <c r="RK134" s="118"/>
    </row>
    <row r="135" spans="1:479">
      <c r="Y135" s="277" t="s">
        <v>20</v>
      </c>
      <c r="Z135" s="319">
        <f t="shared" si="0"/>
        <v>191634.72</v>
      </c>
      <c r="AA135" s="319">
        <f t="shared" si="1"/>
        <v>205697.38000000003</v>
      </c>
      <c r="AB135" s="319">
        <f t="shared" si="2"/>
        <v>189878.84999999998</v>
      </c>
      <c r="AC135" s="319">
        <f t="shared" si="3"/>
        <v>240217.12000000002</v>
      </c>
      <c r="AD135" s="319">
        <f t="shared" si="4"/>
        <v>270467.28000000003</v>
      </c>
      <c r="AE135" s="319">
        <f t="shared" si="5"/>
        <v>238060.9</v>
      </c>
      <c r="AF135" s="319">
        <f t="shared" si="6"/>
        <v>345288.05000000005</v>
      </c>
      <c r="AG135" s="319">
        <f t="shared" si="7"/>
        <v>257698.34999999998</v>
      </c>
      <c r="AH135" s="319">
        <f t="shared" si="8"/>
        <v>300333.61000000004</v>
      </c>
      <c r="AI135" s="319">
        <f t="shared" si="9"/>
        <v>342846.87</v>
      </c>
      <c r="AJ135" s="319">
        <f t="shared" si="10"/>
        <v>447252.05105399998</v>
      </c>
      <c r="AK135" s="319">
        <f t="shared" si="11"/>
        <v>374915.73</v>
      </c>
      <c r="AL135" s="319">
        <f t="shared" si="12"/>
        <v>377462.48</v>
      </c>
      <c r="AM135" s="319">
        <f t="shared" si="13"/>
        <v>339860.19000000006</v>
      </c>
      <c r="AN135" s="319">
        <f t="shared" si="14"/>
        <v>382031.26999999996</v>
      </c>
      <c r="AO135" s="319">
        <f t="shared" si="15"/>
        <v>341826.66</v>
      </c>
      <c r="AP135" s="319">
        <f t="shared" si="16"/>
        <v>387065.07</v>
      </c>
      <c r="AQ135" s="319">
        <f t="shared" si="17"/>
        <v>347101.41</v>
      </c>
      <c r="AR135" s="319">
        <f t="shared" si="18"/>
        <v>495544.94000000006</v>
      </c>
      <c r="AS135" s="319">
        <f t="shared" si="19"/>
        <v>477986.98000000004</v>
      </c>
      <c r="AT135" s="319">
        <f t="shared" si="20"/>
        <v>448480.28</v>
      </c>
      <c r="AU135" s="319">
        <f t="shared" si="21"/>
        <v>544402</v>
      </c>
      <c r="AW135" s="322" t="s">
        <v>20</v>
      </c>
      <c r="AX135" s="322">
        <f t="shared" si="22"/>
        <v>35931.51</v>
      </c>
      <c r="AY135" s="322">
        <f t="shared" si="23"/>
        <v>52620.26</v>
      </c>
      <c r="AZ135" s="322">
        <f t="shared" si="24"/>
        <v>37975.770000000004</v>
      </c>
      <c r="BA135" s="322">
        <f t="shared" si="25"/>
        <v>23097.8</v>
      </c>
      <c r="BB135" s="322">
        <f t="shared" si="26"/>
        <v>21213.119999999999</v>
      </c>
      <c r="BC135" s="322">
        <f t="shared" si="27"/>
        <v>27681.5</v>
      </c>
      <c r="BD135" s="322">
        <f t="shared" si="28"/>
        <v>12639.5</v>
      </c>
      <c r="BE135" s="322">
        <f t="shared" si="29"/>
        <v>21036.6</v>
      </c>
      <c r="BF135" s="322">
        <f t="shared" si="30"/>
        <v>21074.350000000002</v>
      </c>
      <c r="BG135" s="322">
        <f t="shared" si="31"/>
        <v>22438.739999999998</v>
      </c>
      <c r="BH135" s="322">
        <f t="shared" si="32"/>
        <v>21948.550000000003</v>
      </c>
      <c r="BI135" s="322">
        <f t="shared" si="33"/>
        <v>23565.800000000003</v>
      </c>
      <c r="BJ135" s="322">
        <f t="shared" si="34"/>
        <v>27705.450000000004</v>
      </c>
      <c r="BK135" s="322">
        <f t="shared" si="35"/>
        <v>24580.65</v>
      </c>
      <c r="BL135" s="322">
        <f t="shared" si="36"/>
        <v>27980.25</v>
      </c>
      <c r="BM135" s="322">
        <f t="shared" si="37"/>
        <v>18427.100000000002</v>
      </c>
      <c r="BN135" s="322">
        <f t="shared" si="38"/>
        <v>19302.060000000001</v>
      </c>
      <c r="BO135" s="340">
        <f t="shared" si="39"/>
        <v>22837.510000000002</v>
      </c>
      <c r="BP135" s="340">
        <f t="shared" si="40"/>
        <v>17359.770000000004</v>
      </c>
      <c r="BQ135" s="340">
        <f t="shared" si="41"/>
        <v>12994.2</v>
      </c>
      <c r="BR135" s="340">
        <f t="shared" si="42"/>
        <v>17086.18</v>
      </c>
      <c r="BS135" s="340">
        <f t="shared" si="43"/>
        <v>28680</v>
      </c>
      <c r="BU135" s="340" t="s">
        <v>20</v>
      </c>
      <c r="BV135" s="340">
        <f t="shared" si="44"/>
        <v>3992.39</v>
      </c>
      <c r="BW135" s="340">
        <f t="shared" si="45"/>
        <v>4783.66</v>
      </c>
      <c r="BX135" s="340">
        <f t="shared" si="46"/>
        <v>4219.53</v>
      </c>
      <c r="BY135" s="340">
        <f t="shared" si="47"/>
        <v>4619.5600000000004</v>
      </c>
      <c r="BZ135" s="340">
        <f t="shared" si="48"/>
        <v>10606.56</v>
      </c>
      <c r="CA135" s="340">
        <f t="shared" si="49"/>
        <v>16608.900000000001</v>
      </c>
      <c r="CB135" s="340">
        <f t="shared" si="50"/>
        <v>18959.25</v>
      </c>
      <c r="CC135" s="340">
        <f t="shared" si="51"/>
        <v>15777.45</v>
      </c>
      <c r="CD135" s="340">
        <f t="shared" si="52"/>
        <v>16799.71</v>
      </c>
      <c r="CE135" s="340">
        <f t="shared" si="53"/>
        <v>18107.75</v>
      </c>
      <c r="CF135" s="340">
        <f t="shared" si="54"/>
        <v>18350.989999999998</v>
      </c>
      <c r="CG135" s="340">
        <f t="shared" si="55"/>
        <v>18560.559999999998</v>
      </c>
      <c r="CH135" s="340">
        <f t="shared" si="56"/>
        <v>23908.280000000002</v>
      </c>
      <c r="CI135" s="340">
        <f t="shared" si="57"/>
        <v>27437.91</v>
      </c>
      <c r="CJ135" s="340">
        <f t="shared" si="58"/>
        <v>27464.740000000005</v>
      </c>
      <c r="CK135" s="340">
        <f t="shared" si="59"/>
        <v>28926.25</v>
      </c>
      <c r="CL135" s="340">
        <f t="shared" si="60"/>
        <v>28160.14</v>
      </c>
      <c r="CM135" s="340">
        <f t="shared" si="61"/>
        <v>24628.559999999998</v>
      </c>
      <c r="CN135" s="340">
        <f t="shared" si="62"/>
        <v>23845.07</v>
      </c>
      <c r="CO135" s="340">
        <f t="shared" si="63"/>
        <v>24253.300000000003</v>
      </c>
      <c r="CP135" s="340">
        <f t="shared" si="64"/>
        <v>24261.479999999996</v>
      </c>
      <c r="CQ135" s="340">
        <f t="shared" si="65"/>
        <v>31150</v>
      </c>
      <c r="CR135" s="122"/>
      <c r="CS135" s="340" t="s">
        <v>20</v>
      </c>
      <c r="CT135" s="340">
        <f t="shared" si="66"/>
        <v>59885.85</v>
      </c>
      <c r="CU135" s="340">
        <f t="shared" si="67"/>
        <v>62187.58</v>
      </c>
      <c r="CV135" s="340">
        <f t="shared" si="68"/>
        <v>63292.95</v>
      </c>
      <c r="CW135" s="340">
        <f t="shared" si="69"/>
        <v>73912.960000000006</v>
      </c>
      <c r="CX135" s="340">
        <f t="shared" si="70"/>
        <v>58336.08</v>
      </c>
      <c r="CY135" s="340">
        <f t="shared" si="71"/>
        <v>83044.5</v>
      </c>
      <c r="CZ135" s="340">
        <f t="shared" si="72"/>
        <v>101116</v>
      </c>
      <c r="DA135" s="340">
        <f t="shared" si="73"/>
        <v>84146.4</v>
      </c>
      <c r="DB135" s="340">
        <f t="shared" si="74"/>
        <v>79633.33</v>
      </c>
      <c r="DC135" s="340">
        <f t="shared" si="75"/>
        <v>94912.57</v>
      </c>
      <c r="DD135" s="340">
        <f t="shared" si="76"/>
        <v>97393.42</v>
      </c>
      <c r="DE135" s="340">
        <f t="shared" si="77"/>
        <v>121810.11000000002</v>
      </c>
      <c r="DF135" s="340">
        <f t="shared" si="78"/>
        <v>154089.16</v>
      </c>
      <c r="DG135" s="340">
        <f t="shared" si="79"/>
        <v>141602.82</v>
      </c>
      <c r="DH135" s="340">
        <f t="shared" si="80"/>
        <v>125355.84</v>
      </c>
      <c r="DI135" s="340">
        <f t="shared" si="81"/>
        <v>149764.55000000002</v>
      </c>
      <c r="DJ135" s="340">
        <f t="shared" si="82"/>
        <v>78146.840000000011</v>
      </c>
      <c r="DK135" s="340">
        <f t="shared" si="83"/>
        <v>79888.98</v>
      </c>
      <c r="DL135" s="340">
        <f t="shared" si="84"/>
        <v>118682.40000000001</v>
      </c>
      <c r="DM135" s="340">
        <f t="shared" si="85"/>
        <v>80978.399999999994</v>
      </c>
      <c r="DN135" s="340">
        <f t="shared" si="86"/>
        <v>109807.35</v>
      </c>
      <c r="DO135" s="340">
        <f t="shared" si="87"/>
        <v>214303</v>
      </c>
      <c r="DP135" s="330"/>
      <c r="DQ135" s="340" t="s">
        <v>20</v>
      </c>
      <c r="DR135" s="340">
        <f t="shared" ref="DR135:EM135" si="173">DR37</f>
        <v>35931.51</v>
      </c>
      <c r="DS135" s="340">
        <f t="shared" si="173"/>
        <v>38269.279999999999</v>
      </c>
      <c r="DT135" s="340">
        <f t="shared" si="173"/>
        <v>25317.18</v>
      </c>
      <c r="DU135" s="340">
        <f t="shared" si="173"/>
        <v>27717.360000000001</v>
      </c>
      <c r="DV135" s="340">
        <f t="shared" si="173"/>
        <v>26516.400000000001</v>
      </c>
      <c r="DW135" s="340">
        <f t="shared" si="173"/>
        <v>22145.200000000001</v>
      </c>
      <c r="DX135" s="340">
        <f t="shared" si="173"/>
        <v>31598.75</v>
      </c>
      <c r="DY135" s="340">
        <f t="shared" si="173"/>
        <v>36814.050000000003</v>
      </c>
      <c r="DZ135" s="340">
        <f t="shared" si="173"/>
        <v>44652.549999999996</v>
      </c>
      <c r="EA135" s="340">
        <f t="shared" si="173"/>
        <v>45557.969999999994</v>
      </c>
      <c r="EB135" s="340">
        <f t="shared" si="173"/>
        <v>44985.75</v>
      </c>
      <c r="EC135" s="340">
        <f t="shared" si="173"/>
        <v>47152.45</v>
      </c>
      <c r="ED135" s="340">
        <f t="shared" si="173"/>
        <v>47787.9</v>
      </c>
      <c r="EE135" s="340">
        <f t="shared" si="173"/>
        <v>57910.770000000004</v>
      </c>
      <c r="EF135" s="340">
        <f t="shared" si="173"/>
        <v>56389.229999999989</v>
      </c>
      <c r="EG135" s="340">
        <f t="shared" si="173"/>
        <v>43055.850000000006</v>
      </c>
      <c r="EH135" s="340">
        <f t="shared" si="173"/>
        <v>45802.289999999994</v>
      </c>
      <c r="EI135" s="340">
        <f t="shared" si="173"/>
        <v>37064.129999999997</v>
      </c>
      <c r="EJ135" s="340">
        <f t="shared" si="173"/>
        <v>42447.7</v>
      </c>
      <c r="EK135" s="340">
        <f t="shared" si="173"/>
        <v>41450.11</v>
      </c>
      <c r="EL135" s="340">
        <f t="shared" si="173"/>
        <v>52072.18</v>
      </c>
      <c r="EM135" s="340">
        <f t="shared" si="173"/>
        <v>62000</v>
      </c>
      <c r="EO135" s="319" t="s">
        <v>20</v>
      </c>
      <c r="EP135" s="319">
        <f t="shared" si="89"/>
        <v>19961.95</v>
      </c>
      <c r="EQ135" s="319">
        <f t="shared" si="90"/>
        <v>0</v>
      </c>
      <c r="ER135" s="319">
        <f t="shared" si="91"/>
        <v>0</v>
      </c>
      <c r="ES135" s="319">
        <f t="shared" si="92"/>
        <v>0</v>
      </c>
      <c r="ET135" s="319">
        <f t="shared" si="93"/>
        <v>0</v>
      </c>
      <c r="EU135" s="319">
        <f t="shared" si="94"/>
        <v>0</v>
      </c>
      <c r="EV135" s="319">
        <f t="shared" si="95"/>
        <v>0</v>
      </c>
      <c r="EW135" s="319">
        <f t="shared" si="96"/>
        <v>0</v>
      </c>
      <c r="EX135" s="319">
        <f t="shared" si="97"/>
        <v>0</v>
      </c>
      <c r="EY135" s="319">
        <f t="shared" si="98"/>
        <v>0</v>
      </c>
      <c r="EZ135" s="319">
        <f t="shared" si="99"/>
        <v>0</v>
      </c>
      <c r="FA135" s="319">
        <f t="shared" si="100"/>
        <v>0</v>
      </c>
      <c r="FB135" s="319">
        <f t="shared" si="101"/>
        <v>0</v>
      </c>
      <c r="FC135" s="319">
        <f t="shared" si="102"/>
        <v>0</v>
      </c>
      <c r="FD135" s="319">
        <f t="shared" si="103"/>
        <v>0</v>
      </c>
      <c r="FE135" s="319">
        <f t="shared" si="104"/>
        <v>0</v>
      </c>
      <c r="FF135" s="322">
        <f t="shared" si="105"/>
        <v>0</v>
      </c>
      <c r="FG135" s="336">
        <f t="shared" si="106"/>
        <v>0</v>
      </c>
      <c r="FH135" s="336">
        <f t="shared" si="107"/>
        <v>0</v>
      </c>
      <c r="FI135" s="336">
        <f t="shared" si="108"/>
        <v>0</v>
      </c>
      <c r="FJ135" s="336">
        <f t="shared" si="109"/>
        <v>0</v>
      </c>
      <c r="FK135" s="336">
        <f t="shared" si="110"/>
        <v>0</v>
      </c>
      <c r="FL135" s="122"/>
      <c r="FM135" s="340" t="s">
        <v>20</v>
      </c>
      <c r="FN135" s="340">
        <f t="shared" si="111"/>
        <v>0</v>
      </c>
      <c r="FO135" s="340">
        <f t="shared" si="112"/>
        <v>0</v>
      </c>
      <c r="FP135" s="340">
        <f t="shared" si="113"/>
        <v>0</v>
      </c>
      <c r="FQ135" s="340">
        <f t="shared" si="114"/>
        <v>0</v>
      </c>
      <c r="FR135" s="340">
        <f t="shared" si="115"/>
        <v>0</v>
      </c>
      <c r="FS135" s="340">
        <f t="shared" si="116"/>
        <v>0</v>
      </c>
      <c r="FT135" s="340">
        <f t="shared" si="117"/>
        <v>0</v>
      </c>
      <c r="FU135" s="340">
        <f t="shared" si="118"/>
        <v>0</v>
      </c>
      <c r="FV135" s="340">
        <f t="shared" si="119"/>
        <v>0</v>
      </c>
      <c r="FW135" s="340">
        <f t="shared" si="120"/>
        <v>0</v>
      </c>
      <c r="FX135" s="340">
        <f t="shared" si="121"/>
        <v>0</v>
      </c>
      <c r="FY135" s="340">
        <f t="shared" si="122"/>
        <v>0</v>
      </c>
      <c r="FZ135" s="340">
        <f t="shared" si="123"/>
        <v>0</v>
      </c>
      <c r="GA135" s="340">
        <f t="shared" si="124"/>
        <v>0</v>
      </c>
      <c r="GB135" s="340">
        <f t="shared" si="125"/>
        <v>0</v>
      </c>
      <c r="GC135" s="340">
        <f t="shared" si="126"/>
        <v>0</v>
      </c>
      <c r="GD135" s="340">
        <f t="shared" si="127"/>
        <v>0</v>
      </c>
      <c r="GE135" s="340">
        <f t="shared" si="128"/>
        <v>0</v>
      </c>
      <c r="GF135" s="340">
        <f t="shared" si="129"/>
        <v>0</v>
      </c>
      <c r="GG135" s="340">
        <f t="shared" si="130"/>
        <v>0</v>
      </c>
      <c r="GH135" s="340">
        <f t="shared" si="131"/>
        <v>0</v>
      </c>
      <c r="GI135" s="340">
        <f t="shared" si="132"/>
        <v>0</v>
      </c>
      <c r="GJ135" s="122"/>
      <c r="GK135" s="340" t="s">
        <v>20</v>
      </c>
      <c r="GL135" s="340">
        <f t="shared" si="133"/>
        <v>51901.07</v>
      </c>
      <c r="GM135" s="340">
        <f t="shared" si="134"/>
        <v>114807.84</v>
      </c>
      <c r="GN135" s="340">
        <f t="shared" si="135"/>
        <v>101268.72</v>
      </c>
      <c r="GO135" s="340">
        <f t="shared" si="136"/>
        <v>92391.2</v>
      </c>
      <c r="GP135" s="340">
        <f t="shared" si="137"/>
        <v>143188.56</v>
      </c>
      <c r="GQ135" s="340">
        <f t="shared" si="138"/>
        <v>166089</v>
      </c>
      <c r="GR135" s="340">
        <f t="shared" si="139"/>
        <v>113755.5</v>
      </c>
      <c r="GS135" s="340">
        <f t="shared" si="140"/>
        <v>110442.15</v>
      </c>
      <c r="GT135" s="340">
        <f t="shared" si="141"/>
        <v>30993.13</v>
      </c>
      <c r="GU135" s="340">
        <f t="shared" si="142"/>
        <v>178355.83</v>
      </c>
      <c r="GV135" s="340">
        <f t="shared" si="143"/>
        <v>226215.14</v>
      </c>
      <c r="GW135" s="340">
        <f t="shared" si="144"/>
        <v>306294.46000000002</v>
      </c>
      <c r="GX135" s="340">
        <f t="shared" si="145"/>
        <v>204014.25</v>
      </c>
      <c r="GY135" s="340">
        <f t="shared" si="146"/>
        <v>224143.99</v>
      </c>
      <c r="GZ135" s="340">
        <f t="shared" si="147"/>
        <v>304833.06</v>
      </c>
      <c r="HA135" s="340">
        <f t="shared" si="148"/>
        <v>190985.04</v>
      </c>
      <c r="HB135" s="340">
        <f t="shared" si="149"/>
        <v>177691.13</v>
      </c>
      <c r="HC135" s="340">
        <f t="shared" si="150"/>
        <v>150801.42000000001</v>
      </c>
      <c r="HD135" s="340">
        <f t="shared" si="151"/>
        <v>231444.33000000002</v>
      </c>
      <c r="HE135" s="340">
        <f t="shared" si="152"/>
        <v>134663.51999999999</v>
      </c>
      <c r="HF135" s="340">
        <f t="shared" si="153"/>
        <v>189897.83000000002</v>
      </c>
      <c r="HG135" s="340">
        <f t="shared" si="154"/>
        <v>266876.40000000002</v>
      </c>
      <c r="HH135" s="122"/>
      <c r="IF135" s="122"/>
      <c r="IG135" s="122"/>
      <c r="IH135" s="122"/>
      <c r="II135" s="122"/>
      <c r="IJ135" s="122"/>
      <c r="IK135" s="122"/>
      <c r="IL135" s="122"/>
      <c r="IN135" s="118"/>
      <c r="IP135" s="122"/>
      <c r="IQ135" s="122"/>
      <c r="IR135" s="122"/>
      <c r="IS135" s="122"/>
      <c r="IT135" s="122"/>
      <c r="IU135" s="122"/>
      <c r="IV135" s="122"/>
      <c r="IW135" s="122"/>
      <c r="IX135" s="122"/>
      <c r="IY135" s="122"/>
      <c r="IZ135" s="122"/>
      <c r="JA135" s="122"/>
      <c r="JB135" s="122"/>
      <c r="JC135" s="122"/>
      <c r="JD135" s="122"/>
      <c r="JE135" s="122"/>
      <c r="JF135" s="122"/>
      <c r="JG135" s="122"/>
      <c r="JH135" s="122"/>
      <c r="JI135" s="122"/>
      <c r="JK135" s="118"/>
      <c r="JL135" s="118"/>
      <c r="JY135" s="122"/>
      <c r="JZ135" s="122"/>
      <c r="KA135" s="122"/>
      <c r="KB135" s="122"/>
      <c r="LX135" s="122"/>
      <c r="LY135" s="122"/>
      <c r="LZ135" s="122"/>
      <c r="MB135" s="118"/>
      <c r="MC135" s="118"/>
      <c r="MP135" s="122"/>
      <c r="MQ135" s="122"/>
      <c r="MR135" s="122"/>
      <c r="MS135" s="122"/>
      <c r="MT135" s="122"/>
      <c r="MU135" s="122"/>
      <c r="MV135" s="122"/>
      <c r="OS135" s="118"/>
      <c r="OT135" s="118"/>
      <c r="PC135" s="122"/>
      <c r="PD135" s="122"/>
      <c r="PE135" s="122"/>
      <c r="PF135" s="122"/>
      <c r="PG135" s="122"/>
      <c r="PH135" s="122"/>
      <c r="PI135" s="122"/>
      <c r="PJ135" s="122"/>
      <c r="PP135" s="118"/>
      <c r="PQ135" s="118"/>
      <c r="PZ135" s="122"/>
      <c r="QA135" s="122"/>
      <c r="QB135" s="122"/>
      <c r="QC135" s="122"/>
      <c r="QD135" s="122"/>
      <c r="QE135" s="122"/>
      <c r="QF135" s="122"/>
      <c r="QG135" s="122"/>
      <c r="QM135" s="118"/>
      <c r="QN135" s="118"/>
      <c r="RE135" s="118"/>
      <c r="RF135" s="118"/>
      <c r="RG135" s="118"/>
      <c r="RH135" s="118"/>
      <c r="RI135" s="118"/>
      <c r="RJ135" s="118"/>
      <c r="RK135" s="118"/>
    </row>
    <row r="136" spans="1:479">
      <c r="Y136" s="277" t="s">
        <v>21</v>
      </c>
      <c r="Z136" s="319">
        <f t="shared" si="0"/>
        <v>288782.40000000002</v>
      </c>
      <c r="AA136" s="319">
        <f t="shared" si="1"/>
        <v>670506.10000000009</v>
      </c>
      <c r="AB136" s="319">
        <f t="shared" si="2"/>
        <v>331688.31999999995</v>
      </c>
      <c r="AC136" s="319">
        <f t="shared" si="3"/>
        <v>310423.03999999998</v>
      </c>
      <c r="AD136" s="319">
        <f t="shared" si="4"/>
        <v>357304.12</v>
      </c>
      <c r="AE136" s="319">
        <f t="shared" si="5"/>
        <v>328722.90000000002</v>
      </c>
      <c r="AF136" s="319">
        <f t="shared" si="6"/>
        <v>365216.74</v>
      </c>
      <c r="AG136" s="319">
        <f t="shared" si="7"/>
        <v>352432.77999999997</v>
      </c>
      <c r="AH136" s="319">
        <f t="shared" si="8"/>
        <v>409590.39999999997</v>
      </c>
      <c r="AI136" s="319">
        <f t="shared" si="9"/>
        <v>417464.92000000004</v>
      </c>
      <c r="AJ136" s="319">
        <f t="shared" si="10"/>
        <v>469038.45</v>
      </c>
      <c r="AK136" s="319">
        <f t="shared" si="11"/>
        <v>582042.48</v>
      </c>
      <c r="AL136" s="319">
        <f t="shared" si="12"/>
        <v>526697.04999999993</v>
      </c>
      <c r="AM136" s="319">
        <f t="shared" si="13"/>
        <v>485379.76</v>
      </c>
      <c r="AN136" s="319">
        <f t="shared" si="14"/>
        <v>502817.93999999994</v>
      </c>
      <c r="AO136" s="319">
        <f t="shared" si="15"/>
        <v>511902.98000000004</v>
      </c>
      <c r="AP136" s="319">
        <f t="shared" si="16"/>
        <v>0</v>
      </c>
      <c r="AQ136" s="319">
        <f t="shared" si="17"/>
        <v>464037.3899999999</v>
      </c>
      <c r="AR136" s="319">
        <f t="shared" si="18"/>
        <v>546440.71</v>
      </c>
      <c r="AS136" s="319">
        <f t="shared" si="19"/>
        <v>523130.97000000009</v>
      </c>
      <c r="AT136" s="319">
        <f t="shared" si="20"/>
        <v>467870.84000000008</v>
      </c>
      <c r="AU136" s="319">
        <f t="shared" si="21"/>
        <v>536200.43999999994</v>
      </c>
      <c r="AW136" s="322" t="s">
        <v>21</v>
      </c>
      <c r="AX136" s="322">
        <f t="shared" si="22"/>
        <v>370002.45</v>
      </c>
      <c r="AY136" s="322">
        <f t="shared" si="23"/>
        <v>170674.28</v>
      </c>
      <c r="AZ136" s="322">
        <f t="shared" si="24"/>
        <v>235673.28</v>
      </c>
      <c r="BA136" s="322">
        <f t="shared" si="25"/>
        <v>261919.44</v>
      </c>
      <c r="BB136" s="322">
        <f t="shared" si="26"/>
        <v>216263.01999999996</v>
      </c>
      <c r="BC136" s="322">
        <f t="shared" si="27"/>
        <v>230106.03000000003</v>
      </c>
      <c r="BD136" s="322">
        <f t="shared" si="28"/>
        <v>174758.3</v>
      </c>
      <c r="BE136" s="322">
        <f t="shared" si="29"/>
        <v>145119.38</v>
      </c>
      <c r="BF136" s="322">
        <f t="shared" si="30"/>
        <v>81654.210000000006</v>
      </c>
      <c r="BG136" s="322">
        <f t="shared" si="31"/>
        <v>88147.17</v>
      </c>
      <c r="BH136" s="322">
        <f t="shared" si="32"/>
        <v>91773.97</v>
      </c>
      <c r="BI136" s="322">
        <f t="shared" si="33"/>
        <v>92027.17</v>
      </c>
      <c r="BJ136" s="322">
        <f t="shared" si="34"/>
        <v>117725.09000000001</v>
      </c>
      <c r="BK136" s="322">
        <f t="shared" si="35"/>
        <v>119754.95</v>
      </c>
      <c r="BL136" s="322">
        <f t="shared" si="36"/>
        <v>56394.34</v>
      </c>
      <c r="BM136" s="322">
        <f t="shared" si="37"/>
        <v>49765.100000000006</v>
      </c>
      <c r="BN136" s="322">
        <f t="shared" si="38"/>
        <v>0</v>
      </c>
      <c r="BO136" s="340">
        <f t="shared" si="39"/>
        <v>59824.58</v>
      </c>
      <c r="BP136" s="340">
        <f t="shared" si="40"/>
        <v>70300.67</v>
      </c>
      <c r="BQ136" s="340">
        <f t="shared" si="41"/>
        <v>66954.09</v>
      </c>
      <c r="BR136" s="340">
        <f t="shared" si="42"/>
        <v>55185.440000000002</v>
      </c>
      <c r="BS136" s="340">
        <f t="shared" si="43"/>
        <v>72156.600000000006</v>
      </c>
      <c r="BU136" s="340" t="s">
        <v>21</v>
      </c>
      <c r="BV136" s="340">
        <f t="shared" si="44"/>
        <v>18048.900000000001</v>
      </c>
      <c r="BW136" s="340">
        <f t="shared" si="45"/>
        <v>24382.04</v>
      </c>
      <c r="BX136" s="340">
        <f t="shared" si="46"/>
        <v>52371.839999999997</v>
      </c>
      <c r="BY136" s="340">
        <f t="shared" si="47"/>
        <v>38802.879999999997</v>
      </c>
      <c r="BZ136" s="340">
        <f t="shared" si="48"/>
        <v>47013.7</v>
      </c>
      <c r="CA136" s="340">
        <f t="shared" si="49"/>
        <v>43829.72</v>
      </c>
      <c r="CB136" s="340">
        <f t="shared" si="50"/>
        <v>51399.5</v>
      </c>
      <c r="CC136" s="340">
        <f t="shared" si="51"/>
        <v>51828.35</v>
      </c>
      <c r="CD136" s="340">
        <f t="shared" si="52"/>
        <v>46942.92</v>
      </c>
      <c r="CE136" s="340">
        <f t="shared" si="53"/>
        <v>53730.94</v>
      </c>
      <c r="CF136" s="340">
        <f t="shared" si="54"/>
        <v>47889.120000000003</v>
      </c>
      <c r="CG136" s="340">
        <f t="shared" si="55"/>
        <v>53273.05</v>
      </c>
      <c r="CH136" s="340">
        <f t="shared" si="56"/>
        <v>47171.13</v>
      </c>
      <c r="CI136" s="340">
        <f t="shared" si="57"/>
        <v>48697.39</v>
      </c>
      <c r="CJ136" s="340">
        <f t="shared" si="58"/>
        <v>48900.09</v>
      </c>
      <c r="CK136" s="340">
        <f t="shared" si="59"/>
        <v>51871.91</v>
      </c>
      <c r="CL136" s="340">
        <f t="shared" si="60"/>
        <v>0</v>
      </c>
      <c r="CM136" s="340">
        <f t="shared" si="61"/>
        <v>61722.689999999995</v>
      </c>
      <c r="CN136" s="340">
        <f t="shared" si="62"/>
        <v>55940.789999999994</v>
      </c>
      <c r="CO136" s="340">
        <f t="shared" si="63"/>
        <v>51499.76</v>
      </c>
      <c r="CP136" s="340">
        <f t="shared" si="64"/>
        <v>58975.429999999993</v>
      </c>
      <c r="CQ136" s="340">
        <f t="shared" si="65"/>
        <v>70658</v>
      </c>
      <c r="CR136" s="122"/>
      <c r="CS136" s="340" t="s">
        <v>21</v>
      </c>
      <c r="CT136" s="340">
        <f t="shared" si="66"/>
        <v>54146.7</v>
      </c>
      <c r="CU136" s="340">
        <f t="shared" si="67"/>
        <v>97528.16</v>
      </c>
      <c r="CV136" s="340">
        <f t="shared" si="68"/>
        <v>69829.119999999995</v>
      </c>
      <c r="CW136" s="340">
        <f t="shared" si="69"/>
        <v>97007.2</v>
      </c>
      <c r="CX136" s="340">
        <f t="shared" si="70"/>
        <v>75221.919999999998</v>
      </c>
      <c r="CY136" s="340">
        <f t="shared" si="71"/>
        <v>175318.88</v>
      </c>
      <c r="CZ136" s="340">
        <f t="shared" si="72"/>
        <v>143918.6</v>
      </c>
      <c r="DA136" s="340">
        <f t="shared" si="73"/>
        <v>176216.39</v>
      </c>
      <c r="DB136" s="340">
        <f t="shared" si="74"/>
        <v>134643.45000000001</v>
      </c>
      <c r="DC136" s="340">
        <f t="shared" si="75"/>
        <v>134948.14000000001</v>
      </c>
      <c r="DD136" s="340">
        <f t="shared" si="76"/>
        <v>150878.09</v>
      </c>
      <c r="DE136" s="340">
        <f t="shared" si="77"/>
        <v>210884.95</v>
      </c>
      <c r="DF136" s="340">
        <f t="shared" si="78"/>
        <v>285296.14</v>
      </c>
      <c r="DG136" s="340">
        <f t="shared" si="79"/>
        <v>167065.69999999998</v>
      </c>
      <c r="DH136" s="340">
        <f t="shared" si="80"/>
        <v>201300.44999999998</v>
      </c>
      <c r="DI136" s="340">
        <f t="shared" si="81"/>
        <v>105783.06000000001</v>
      </c>
      <c r="DJ136" s="340">
        <f t="shared" si="82"/>
        <v>0</v>
      </c>
      <c r="DK136" s="340">
        <f t="shared" si="83"/>
        <v>143561.02000000002</v>
      </c>
      <c r="DL136" s="340">
        <f t="shared" si="84"/>
        <v>158510.80000000002</v>
      </c>
      <c r="DM136" s="340">
        <f t="shared" si="85"/>
        <v>161255.04000000004</v>
      </c>
      <c r="DN136" s="340">
        <f t="shared" si="86"/>
        <v>159755.24000000002</v>
      </c>
      <c r="DO136" s="340">
        <f t="shared" si="87"/>
        <v>114362</v>
      </c>
      <c r="DP136" s="330"/>
      <c r="DQ136" s="340" t="s">
        <v>21</v>
      </c>
      <c r="DR136" s="340">
        <f t="shared" ref="DR136:EM136" si="174">DR38</f>
        <v>45122.25</v>
      </c>
      <c r="DS136" s="340">
        <f t="shared" si="174"/>
        <v>48764.08</v>
      </c>
      <c r="DT136" s="340">
        <f t="shared" si="174"/>
        <v>69829.119999999995</v>
      </c>
      <c r="DU136" s="340">
        <f t="shared" si="174"/>
        <v>87306.48</v>
      </c>
      <c r="DV136" s="340">
        <f t="shared" si="174"/>
        <v>94027.4</v>
      </c>
      <c r="DW136" s="340">
        <f t="shared" si="174"/>
        <v>87659.44</v>
      </c>
      <c r="DX136" s="340">
        <f t="shared" si="174"/>
        <v>102799</v>
      </c>
      <c r="DY136" s="340">
        <f t="shared" si="174"/>
        <v>103656.7</v>
      </c>
      <c r="DZ136" s="340">
        <f t="shared" si="174"/>
        <v>101471.60999999999</v>
      </c>
      <c r="EA136" s="340">
        <f t="shared" si="174"/>
        <v>114490.3</v>
      </c>
      <c r="EB136" s="340">
        <f t="shared" si="174"/>
        <v>97645.74</v>
      </c>
      <c r="EC136" s="340">
        <f t="shared" si="174"/>
        <v>124832.3</v>
      </c>
      <c r="ED136" s="340">
        <f t="shared" si="174"/>
        <v>114526.07</v>
      </c>
      <c r="EE136" s="340">
        <f t="shared" si="174"/>
        <v>126768.89</v>
      </c>
      <c r="EF136" s="340">
        <f t="shared" si="174"/>
        <v>122975.15999999999</v>
      </c>
      <c r="EG136" s="340">
        <f t="shared" si="174"/>
        <v>115721.17</v>
      </c>
      <c r="EH136" s="340">
        <f t="shared" si="174"/>
        <v>0</v>
      </c>
      <c r="EI136" s="340">
        <f t="shared" si="174"/>
        <v>122484.62999999999</v>
      </c>
      <c r="EJ136" s="340">
        <f t="shared" si="174"/>
        <v>135164.12999999998</v>
      </c>
      <c r="EK136" s="340">
        <f t="shared" si="174"/>
        <v>125208.12999999999</v>
      </c>
      <c r="EL136" s="340">
        <f t="shared" si="174"/>
        <v>135357.47</v>
      </c>
      <c r="EM136" s="340">
        <f t="shared" si="174"/>
        <v>137400</v>
      </c>
      <c r="EO136" s="319" t="s">
        <v>21</v>
      </c>
      <c r="EP136" s="319">
        <f t="shared" si="89"/>
        <v>0</v>
      </c>
      <c r="EQ136" s="319">
        <f t="shared" si="90"/>
        <v>0</v>
      </c>
      <c r="ER136" s="319">
        <f t="shared" si="91"/>
        <v>0</v>
      </c>
      <c r="ES136" s="319">
        <f t="shared" si="92"/>
        <v>0</v>
      </c>
      <c r="ET136" s="319">
        <f t="shared" si="93"/>
        <v>0</v>
      </c>
      <c r="EU136" s="319">
        <f t="shared" si="94"/>
        <v>0</v>
      </c>
      <c r="EV136" s="319">
        <f t="shared" si="95"/>
        <v>0</v>
      </c>
      <c r="EW136" s="319">
        <f t="shared" si="96"/>
        <v>0</v>
      </c>
      <c r="EX136" s="319">
        <f t="shared" si="97"/>
        <v>0</v>
      </c>
      <c r="EY136" s="319">
        <f t="shared" si="98"/>
        <v>0</v>
      </c>
      <c r="EZ136" s="319">
        <f t="shared" si="99"/>
        <v>0</v>
      </c>
      <c r="FA136" s="319">
        <f t="shared" si="100"/>
        <v>80532.42</v>
      </c>
      <c r="FB136" s="319">
        <f t="shared" si="101"/>
        <v>0</v>
      </c>
      <c r="FC136" s="319">
        <f t="shared" si="102"/>
        <v>0</v>
      </c>
      <c r="FD136" s="319">
        <f t="shared" si="103"/>
        <v>0</v>
      </c>
      <c r="FE136" s="319">
        <f t="shared" si="104"/>
        <v>0</v>
      </c>
      <c r="FF136" s="322">
        <f t="shared" si="105"/>
        <v>0</v>
      </c>
      <c r="FG136" s="336">
        <f t="shared" si="106"/>
        <v>25457.26</v>
      </c>
      <c r="FH136" s="336">
        <f t="shared" si="107"/>
        <v>33808.910000000003</v>
      </c>
      <c r="FI136" s="336">
        <f t="shared" si="108"/>
        <v>37891.4</v>
      </c>
      <c r="FJ136" s="336">
        <f t="shared" si="109"/>
        <v>58920.88</v>
      </c>
      <c r="FK136" s="336">
        <f t="shared" si="110"/>
        <v>42000</v>
      </c>
      <c r="FL136" s="122"/>
      <c r="FM136" s="340" t="s">
        <v>21</v>
      </c>
      <c r="FN136" s="340">
        <f t="shared" si="111"/>
        <v>63171.15</v>
      </c>
      <c r="FO136" s="340">
        <f t="shared" si="112"/>
        <v>73146.12</v>
      </c>
      <c r="FP136" s="340">
        <f t="shared" si="113"/>
        <v>69829.119999999995</v>
      </c>
      <c r="FQ136" s="340">
        <f t="shared" si="114"/>
        <v>106707.92</v>
      </c>
      <c r="FR136" s="340">
        <f t="shared" si="115"/>
        <v>84624.66</v>
      </c>
      <c r="FS136" s="340">
        <f t="shared" si="116"/>
        <v>109574.3</v>
      </c>
      <c r="FT136" s="340">
        <f t="shared" si="117"/>
        <v>113078.9</v>
      </c>
      <c r="FU136" s="340">
        <f t="shared" si="118"/>
        <v>124388.04</v>
      </c>
      <c r="FV136" s="340">
        <f t="shared" si="119"/>
        <v>124871.8</v>
      </c>
      <c r="FW136" s="340">
        <f t="shared" si="120"/>
        <v>133189.92000000001</v>
      </c>
      <c r="FX136" s="340">
        <f t="shared" si="121"/>
        <v>138578.51999999999</v>
      </c>
      <c r="FY136" s="340">
        <f t="shared" si="122"/>
        <v>191780.50999999998</v>
      </c>
      <c r="FZ136" s="340">
        <f t="shared" si="123"/>
        <v>196033.78999999998</v>
      </c>
      <c r="GA136" s="340">
        <f t="shared" si="124"/>
        <v>195419.77000000002</v>
      </c>
      <c r="GB136" s="340">
        <f t="shared" si="125"/>
        <v>205758.24000000002</v>
      </c>
      <c r="GC136" s="340">
        <f t="shared" si="126"/>
        <v>177342.79</v>
      </c>
      <c r="GD136" s="340">
        <f t="shared" si="127"/>
        <v>0</v>
      </c>
      <c r="GE136" s="340">
        <f t="shared" si="128"/>
        <v>195009.61</v>
      </c>
      <c r="GF136" s="340">
        <f t="shared" si="129"/>
        <v>216267.03</v>
      </c>
      <c r="GG136" s="340">
        <f t="shared" si="130"/>
        <v>227663.06999999998</v>
      </c>
      <c r="GH136" s="340">
        <f t="shared" si="131"/>
        <v>229891.10999999996</v>
      </c>
      <c r="GI136" s="340">
        <f t="shared" si="132"/>
        <v>225755.96000000002</v>
      </c>
      <c r="GJ136" s="122"/>
      <c r="GK136" s="340" t="s">
        <v>21</v>
      </c>
      <c r="GL136" s="340">
        <f t="shared" si="133"/>
        <v>63171.15</v>
      </c>
      <c r="GM136" s="340">
        <f t="shared" si="134"/>
        <v>134101.22</v>
      </c>
      <c r="GN136" s="340">
        <f t="shared" si="135"/>
        <v>43643.199999999997</v>
      </c>
      <c r="GO136" s="340">
        <f t="shared" si="136"/>
        <v>67905.039999999994</v>
      </c>
      <c r="GP136" s="340">
        <f t="shared" si="137"/>
        <v>65819.179999999993</v>
      </c>
      <c r="GQ136" s="340">
        <f t="shared" si="138"/>
        <v>120531.73</v>
      </c>
      <c r="GR136" s="340">
        <f t="shared" si="139"/>
        <v>82239.199999999997</v>
      </c>
      <c r="GS136" s="340">
        <f t="shared" si="140"/>
        <v>82925.36</v>
      </c>
      <c r="GT136" s="340">
        <f t="shared" si="141"/>
        <v>118500</v>
      </c>
      <c r="GU136" s="340">
        <f t="shared" si="142"/>
        <v>155600</v>
      </c>
      <c r="GV136" s="340">
        <f t="shared" si="143"/>
        <v>217000</v>
      </c>
      <c r="GW136" s="340">
        <f t="shared" si="144"/>
        <v>163000</v>
      </c>
      <c r="GX136" s="340">
        <f t="shared" si="145"/>
        <v>249135.96</v>
      </c>
      <c r="GY136" s="340">
        <f t="shared" si="146"/>
        <v>252800</v>
      </c>
      <c r="GZ136" s="340">
        <f t="shared" si="147"/>
        <v>285372</v>
      </c>
      <c r="HA136" s="340">
        <f t="shared" si="148"/>
        <v>269600</v>
      </c>
      <c r="HB136" s="340">
        <f t="shared" si="149"/>
        <v>0</v>
      </c>
      <c r="HC136" s="340">
        <f t="shared" si="150"/>
        <v>332400</v>
      </c>
      <c r="HD136" s="340">
        <f t="shared" si="151"/>
        <v>295033</v>
      </c>
      <c r="HE136" s="340">
        <f t="shared" si="152"/>
        <v>295350</v>
      </c>
      <c r="HF136" s="340">
        <f t="shared" si="153"/>
        <v>320900</v>
      </c>
      <c r="HG136" s="340">
        <f t="shared" si="154"/>
        <v>286000</v>
      </c>
      <c r="HH136" s="122"/>
      <c r="IF136" s="122"/>
      <c r="IG136" s="122"/>
      <c r="IH136" s="122"/>
      <c r="II136" s="122"/>
      <c r="IJ136" s="122"/>
      <c r="IK136" s="122"/>
      <c r="IL136" s="122"/>
      <c r="IN136" s="118"/>
      <c r="IP136" s="122"/>
      <c r="IQ136" s="122"/>
      <c r="IR136" s="122"/>
      <c r="IS136" s="122"/>
      <c r="IT136" s="122"/>
      <c r="IU136" s="122"/>
      <c r="IV136" s="122"/>
      <c r="IW136" s="122"/>
      <c r="IX136" s="122"/>
      <c r="IY136" s="122"/>
      <c r="IZ136" s="122"/>
      <c r="JA136" s="122"/>
      <c r="JB136" s="122"/>
      <c r="JC136" s="122"/>
      <c r="JD136" s="122"/>
      <c r="JE136" s="122"/>
      <c r="JF136" s="122"/>
      <c r="JG136" s="122"/>
      <c r="JH136" s="122"/>
      <c r="JI136" s="122"/>
      <c r="JK136" s="118"/>
      <c r="JL136" s="118"/>
      <c r="JY136" s="122"/>
      <c r="JZ136" s="122"/>
      <c r="KA136" s="122"/>
      <c r="KB136" s="122"/>
      <c r="LX136" s="122"/>
      <c r="LY136" s="122"/>
      <c r="LZ136" s="122"/>
      <c r="MB136" s="118"/>
      <c r="MC136" s="118"/>
      <c r="MP136" s="122"/>
      <c r="MQ136" s="122"/>
      <c r="MR136" s="122"/>
      <c r="MS136" s="122"/>
      <c r="MT136" s="122"/>
      <c r="MU136" s="122"/>
      <c r="MV136" s="122"/>
      <c r="OS136" s="118"/>
      <c r="OT136" s="118"/>
      <c r="PC136" s="122"/>
      <c r="PD136" s="122"/>
      <c r="PE136" s="122"/>
      <c r="PF136" s="122"/>
      <c r="PG136" s="122"/>
      <c r="PH136" s="122"/>
      <c r="PI136" s="122"/>
      <c r="PJ136" s="122"/>
      <c r="PP136" s="118"/>
      <c r="PQ136" s="118"/>
      <c r="PZ136" s="122"/>
      <c r="QA136" s="122"/>
      <c r="QB136" s="122"/>
      <c r="QC136" s="122"/>
      <c r="QD136" s="122"/>
      <c r="QE136" s="122"/>
      <c r="QF136" s="122"/>
      <c r="QG136" s="122"/>
      <c r="QM136" s="118"/>
      <c r="QN136" s="118"/>
      <c r="RE136" s="118"/>
      <c r="RF136" s="118"/>
      <c r="RG136" s="118"/>
      <c r="RH136" s="118"/>
      <c r="RI136" s="118"/>
      <c r="RJ136" s="118"/>
      <c r="RK136" s="118"/>
    </row>
    <row r="137" spans="1:479">
      <c r="Y137" s="277" t="s">
        <v>22</v>
      </c>
      <c r="Z137" s="319">
        <f t="shared" si="0"/>
        <v>250779.77999999997</v>
      </c>
      <c r="AA137" s="319">
        <f t="shared" si="1"/>
        <v>194624.09999999998</v>
      </c>
      <c r="AB137" s="319">
        <f t="shared" si="2"/>
        <v>238726.39999999999</v>
      </c>
      <c r="AC137" s="319">
        <f t="shared" si="3"/>
        <v>229324.4</v>
      </c>
      <c r="AD137" s="319">
        <f t="shared" si="4"/>
        <v>248849.58000000002</v>
      </c>
      <c r="AE137" s="319">
        <f t="shared" si="5"/>
        <v>310444.68</v>
      </c>
      <c r="AF137" s="319">
        <f t="shared" si="6"/>
        <v>299189.42</v>
      </c>
      <c r="AG137" s="319">
        <f t="shared" si="7"/>
        <v>367322.04000000004</v>
      </c>
      <c r="AH137" s="319">
        <f t="shared" si="8"/>
        <v>348146.23999999993</v>
      </c>
      <c r="AI137" s="319">
        <f t="shared" si="9"/>
        <v>321795.53999999998</v>
      </c>
      <c r="AJ137" s="319">
        <f t="shared" si="10"/>
        <v>383433.38</v>
      </c>
      <c r="AK137" s="319">
        <f t="shared" si="11"/>
        <v>435583.8</v>
      </c>
      <c r="AL137" s="319">
        <f t="shared" si="12"/>
        <v>440255.31999999995</v>
      </c>
      <c r="AM137" s="319">
        <f t="shared" si="13"/>
        <v>404143.06</v>
      </c>
      <c r="AN137" s="319">
        <f t="shared" si="14"/>
        <v>452611.59</v>
      </c>
      <c r="AO137" s="319">
        <f t="shared" si="15"/>
        <v>417322.96999999991</v>
      </c>
      <c r="AP137" s="319">
        <f t="shared" si="16"/>
        <v>0</v>
      </c>
      <c r="AQ137" s="319">
        <f t="shared" si="17"/>
        <v>443886.87</v>
      </c>
      <c r="AR137" s="319">
        <f t="shared" si="18"/>
        <v>0</v>
      </c>
      <c r="AS137" s="319">
        <f t="shared" si="19"/>
        <v>446977.17999999993</v>
      </c>
      <c r="AT137" s="319">
        <f t="shared" si="20"/>
        <v>486870.83999999997</v>
      </c>
      <c r="AU137" s="319">
        <f t="shared" si="21"/>
        <v>462127.02</v>
      </c>
      <c r="AW137" s="322" t="s">
        <v>22</v>
      </c>
      <c r="AX137" s="322">
        <f t="shared" si="22"/>
        <v>41796.629999999997</v>
      </c>
      <c r="AY137" s="322">
        <f t="shared" si="23"/>
        <v>43249.799999999996</v>
      </c>
      <c r="AZ137" s="322">
        <f t="shared" si="24"/>
        <v>47745.279999999999</v>
      </c>
      <c r="BA137" s="322">
        <f t="shared" si="25"/>
        <v>51597.990000000005</v>
      </c>
      <c r="BB137" s="322">
        <f t="shared" si="26"/>
        <v>53324.909999999996</v>
      </c>
      <c r="BC137" s="322">
        <f t="shared" si="27"/>
        <v>51740.78</v>
      </c>
      <c r="BD137" s="322">
        <f t="shared" si="28"/>
        <v>30954.55</v>
      </c>
      <c r="BE137" s="322">
        <f t="shared" si="29"/>
        <v>27209.040000000001</v>
      </c>
      <c r="BF137" s="322">
        <f t="shared" si="30"/>
        <v>29966.16</v>
      </c>
      <c r="BG137" s="322">
        <f t="shared" si="31"/>
        <v>41156.230000000003</v>
      </c>
      <c r="BH137" s="322">
        <f t="shared" si="32"/>
        <v>36600.549999999996</v>
      </c>
      <c r="BI137" s="322">
        <f t="shared" si="33"/>
        <v>49257.649999999994</v>
      </c>
      <c r="BJ137" s="322">
        <f t="shared" si="34"/>
        <v>38977.279999999999</v>
      </c>
      <c r="BK137" s="322">
        <f t="shared" si="35"/>
        <v>43355.58</v>
      </c>
      <c r="BL137" s="322">
        <f t="shared" si="36"/>
        <v>44146.68</v>
      </c>
      <c r="BM137" s="322">
        <f t="shared" si="37"/>
        <v>65833.440000000002</v>
      </c>
      <c r="BN137" s="322">
        <f t="shared" si="38"/>
        <v>0</v>
      </c>
      <c r="BO137" s="340">
        <f t="shared" si="39"/>
        <v>50398.3</v>
      </c>
      <c r="BP137" s="340">
        <f t="shared" si="40"/>
        <v>0</v>
      </c>
      <c r="BQ137" s="340">
        <f t="shared" si="41"/>
        <v>69734.900000000009</v>
      </c>
      <c r="BR137" s="340">
        <f t="shared" si="42"/>
        <v>50036.649999999994</v>
      </c>
      <c r="BS137" s="340">
        <f t="shared" si="43"/>
        <v>73166.350000000006</v>
      </c>
      <c r="BU137" s="340" t="s">
        <v>22</v>
      </c>
      <c r="BV137" s="340">
        <f t="shared" si="44"/>
        <v>13932.21</v>
      </c>
      <c r="BW137" s="340">
        <f t="shared" si="45"/>
        <v>12974.939999999999</v>
      </c>
      <c r="BX137" s="340">
        <f t="shared" si="46"/>
        <v>11936.32</v>
      </c>
      <c r="BY137" s="340">
        <f t="shared" si="47"/>
        <v>11466.22</v>
      </c>
      <c r="BZ137" s="340">
        <f t="shared" si="48"/>
        <v>17774.97</v>
      </c>
      <c r="CA137" s="340">
        <f t="shared" si="49"/>
        <v>29566.16</v>
      </c>
      <c r="CB137" s="340">
        <f t="shared" si="50"/>
        <v>30954.55</v>
      </c>
      <c r="CC137" s="340">
        <f t="shared" si="51"/>
        <v>34011.300000000003</v>
      </c>
      <c r="CD137" s="340">
        <f t="shared" si="52"/>
        <v>38492.28</v>
      </c>
      <c r="CE137" s="340">
        <f t="shared" si="53"/>
        <v>35913.89</v>
      </c>
      <c r="CF137" s="340">
        <f t="shared" si="54"/>
        <v>43789.33</v>
      </c>
      <c r="CG137" s="340">
        <f t="shared" si="55"/>
        <v>43882.880000000005</v>
      </c>
      <c r="CH137" s="340">
        <f t="shared" si="56"/>
        <v>46666.32</v>
      </c>
      <c r="CI137" s="340">
        <f t="shared" si="57"/>
        <v>45242.99</v>
      </c>
      <c r="CJ137" s="340">
        <f t="shared" si="58"/>
        <v>50759.75</v>
      </c>
      <c r="CK137" s="340">
        <f t="shared" si="59"/>
        <v>46983.199999999997</v>
      </c>
      <c r="CL137" s="340">
        <f t="shared" si="60"/>
        <v>0</v>
      </c>
      <c r="CM137" s="340">
        <f t="shared" si="61"/>
        <v>48878.67</v>
      </c>
      <c r="CN137" s="340">
        <f t="shared" si="62"/>
        <v>0</v>
      </c>
      <c r="CO137" s="340">
        <f t="shared" si="63"/>
        <v>49833.770000000004</v>
      </c>
      <c r="CP137" s="340">
        <f t="shared" si="64"/>
        <v>52562.520000000004</v>
      </c>
      <c r="CQ137" s="340">
        <f t="shared" si="65"/>
        <v>64768</v>
      </c>
      <c r="CR137" s="122"/>
      <c r="CS137" s="340" t="s">
        <v>22</v>
      </c>
      <c r="CT137" s="340">
        <f t="shared" si="66"/>
        <v>60372.91</v>
      </c>
      <c r="CU137" s="340">
        <f t="shared" si="67"/>
        <v>82174.62</v>
      </c>
      <c r="CV137" s="340">
        <f t="shared" si="68"/>
        <v>89522.4</v>
      </c>
      <c r="CW137" s="340">
        <f t="shared" si="69"/>
        <v>57331.1</v>
      </c>
      <c r="CX137" s="340">
        <f t="shared" si="70"/>
        <v>59249.9</v>
      </c>
      <c r="CY137" s="340">
        <f t="shared" si="71"/>
        <v>118264.64</v>
      </c>
      <c r="CZ137" s="340">
        <f t="shared" si="72"/>
        <v>105245.47</v>
      </c>
      <c r="DA137" s="340">
        <f t="shared" si="73"/>
        <v>88429.38</v>
      </c>
      <c r="DB137" s="340">
        <f t="shared" si="74"/>
        <v>60267.75</v>
      </c>
      <c r="DC137" s="340">
        <f t="shared" si="75"/>
        <v>61098.8</v>
      </c>
      <c r="DD137" s="340">
        <f t="shared" si="76"/>
        <v>78652.51999999999</v>
      </c>
      <c r="DE137" s="340">
        <f t="shared" si="77"/>
        <v>88553.21</v>
      </c>
      <c r="DF137" s="340">
        <f t="shared" si="78"/>
        <v>72825.14</v>
      </c>
      <c r="DG137" s="340">
        <f t="shared" si="79"/>
        <v>85065.05</v>
      </c>
      <c r="DH137" s="340">
        <f t="shared" si="80"/>
        <v>599534.41</v>
      </c>
      <c r="DI137" s="340">
        <f t="shared" si="81"/>
        <v>104504.22</v>
      </c>
      <c r="DJ137" s="340">
        <f t="shared" si="82"/>
        <v>0</v>
      </c>
      <c r="DK137" s="340">
        <f t="shared" si="83"/>
        <v>414150.13</v>
      </c>
      <c r="DL137" s="340">
        <f t="shared" si="84"/>
        <v>0</v>
      </c>
      <c r="DM137" s="340">
        <f t="shared" si="85"/>
        <v>79989.3</v>
      </c>
      <c r="DN137" s="340">
        <f t="shared" si="86"/>
        <v>143261.53999999998</v>
      </c>
      <c r="DO137" s="340">
        <f t="shared" si="87"/>
        <v>132151.29999999999</v>
      </c>
      <c r="DP137" s="330"/>
      <c r="DQ137" s="340" t="s">
        <v>22</v>
      </c>
      <c r="DR137" s="340">
        <f t="shared" ref="DR137:EM137" si="175">DR39</f>
        <v>18576.28</v>
      </c>
      <c r="DS137" s="340">
        <f t="shared" si="175"/>
        <v>17299.919999999998</v>
      </c>
      <c r="DT137" s="340">
        <f t="shared" si="175"/>
        <v>17904.48</v>
      </c>
      <c r="DU137" s="340">
        <f t="shared" si="175"/>
        <v>22932.44</v>
      </c>
      <c r="DV137" s="340">
        <f t="shared" si="175"/>
        <v>17774.97</v>
      </c>
      <c r="DW137" s="340">
        <f t="shared" si="175"/>
        <v>22174.62</v>
      </c>
      <c r="DX137" s="340">
        <f t="shared" si="175"/>
        <v>43336.37</v>
      </c>
      <c r="DY137" s="340">
        <f t="shared" si="175"/>
        <v>40813.56</v>
      </c>
      <c r="DZ137" s="340">
        <f t="shared" si="175"/>
        <v>46504.78</v>
      </c>
      <c r="EA137" s="340">
        <f t="shared" si="175"/>
        <v>48897.91</v>
      </c>
      <c r="EB137" s="340">
        <f t="shared" si="175"/>
        <v>53557.89</v>
      </c>
      <c r="EC137" s="340">
        <f t="shared" si="175"/>
        <v>71500.42</v>
      </c>
      <c r="ED137" s="340">
        <f t="shared" si="175"/>
        <v>79455.73</v>
      </c>
      <c r="EE137" s="340">
        <f t="shared" si="175"/>
        <v>80859.3</v>
      </c>
      <c r="EF137" s="340">
        <f t="shared" si="175"/>
        <v>81478.990000000005</v>
      </c>
      <c r="EG137" s="340">
        <f t="shared" si="175"/>
        <v>73085.3</v>
      </c>
      <c r="EH137" s="340">
        <f t="shared" si="175"/>
        <v>0</v>
      </c>
      <c r="EI137" s="340">
        <f t="shared" si="175"/>
        <v>91835.14</v>
      </c>
      <c r="EJ137" s="340">
        <f t="shared" si="175"/>
        <v>0</v>
      </c>
      <c r="EK137" s="340">
        <f t="shared" si="175"/>
        <v>92526.69</v>
      </c>
      <c r="EL137" s="340">
        <f t="shared" si="175"/>
        <v>93008.44</v>
      </c>
      <c r="EM137" s="340">
        <f t="shared" si="175"/>
        <v>101142.34</v>
      </c>
      <c r="EO137" s="319" t="s">
        <v>22</v>
      </c>
      <c r="EP137" s="319">
        <f t="shared" si="89"/>
        <v>0</v>
      </c>
      <c r="EQ137" s="319">
        <f t="shared" si="90"/>
        <v>0</v>
      </c>
      <c r="ER137" s="319">
        <f t="shared" si="91"/>
        <v>0</v>
      </c>
      <c r="ES137" s="319">
        <f t="shared" si="92"/>
        <v>0</v>
      </c>
      <c r="ET137" s="319">
        <f t="shared" si="93"/>
        <v>0</v>
      </c>
      <c r="EU137" s="319">
        <f t="shared" si="94"/>
        <v>0</v>
      </c>
      <c r="EV137" s="319">
        <f t="shared" si="95"/>
        <v>0</v>
      </c>
      <c r="EW137" s="319">
        <f t="shared" si="96"/>
        <v>20406.78</v>
      </c>
      <c r="EX137" s="319">
        <f t="shared" si="97"/>
        <v>88170.75</v>
      </c>
      <c r="EY137" s="319">
        <f t="shared" si="98"/>
        <v>42388.530000000006</v>
      </c>
      <c r="EZ137" s="319">
        <f t="shared" si="99"/>
        <v>0</v>
      </c>
      <c r="FA137" s="319">
        <f t="shared" si="100"/>
        <v>5000</v>
      </c>
      <c r="FB137" s="319">
        <f t="shared" si="101"/>
        <v>63134.570000000007</v>
      </c>
      <c r="FC137" s="319">
        <f t="shared" si="102"/>
        <v>42123.56</v>
      </c>
      <c r="FD137" s="319">
        <f t="shared" si="103"/>
        <v>61333.04</v>
      </c>
      <c r="FE137" s="319">
        <f t="shared" si="104"/>
        <v>86121.920000000013</v>
      </c>
      <c r="FF137" s="322">
        <f t="shared" si="105"/>
        <v>0</v>
      </c>
      <c r="FG137" s="336">
        <f t="shared" si="106"/>
        <v>33212.410000000003</v>
      </c>
      <c r="FH137" s="336">
        <f t="shared" si="107"/>
        <v>0</v>
      </c>
      <c r="FI137" s="336">
        <f t="shared" si="108"/>
        <v>56886.09</v>
      </c>
      <c r="FJ137" s="336">
        <f t="shared" si="109"/>
        <v>55088.21</v>
      </c>
      <c r="FK137" s="336">
        <f t="shared" si="110"/>
        <v>55975.82</v>
      </c>
      <c r="FL137" s="122"/>
      <c r="FM137" s="340" t="s">
        <v>22</v>
      </c>
      <c r="FN137" s="340">
        <f t="shared" si="111"/>
        <v>51084.77</v>
      </c>
      <c r="FO137" s="340">
        <f t="shared" si="112"/>
        <v>56224.74</v>
      </c>
      <c r="FP137" s="340">
        <f t="shared" si="113"/>
        <v>59681.599999999999</v>
      </c>
      <c r="FQ137" s="340">
        <f t="shared" si="114"/>
        <v>74530.429999999993</v>
      </c>
      <c r="FR137" s="340">
        <f t="shared" si="115"/>
        <v>77024.87</v>
      </c>
      <c r="FS137" s="340">
        <f t="shared" si="116"/>
        <v>81306.94</v>
      </c>
      <c r="FT137" s="340">
        <f t="shared" si="117"/>
        <v>74290.92</v>
      </c>
      <c r="FU137" s="340">
        <f t="shared" si="118"/>
        <v>74824.86</v>
      </c>
      <c r="FV137" s="340">
        <f t="shared" si="119"/>
        <v>82268.420000000013</v>
      </c>
      <c r="FW137" s="340">
        <f t="shared" si="120"/>
        <v>80770.150000000009</v>
      </c>
      <c r="FX137" s="340">
        <f t="shared" si="121"/>
        <v>81745.020000000019</v>
      </c>
      <c r="FY137" s="340">
        <f t="shared" si="122"/>
        <v>79039.23</v>
      </c>
      <c r="FZ137" s="340">
        <f t="shared" si="123"/>
        <v>86563.01</v>
      </c>
      <c r="GA137" s="340">
        <f t="shared" si="124"/>
        <v>83823.09</v>
      </c>
      <c r="GB137" s="340">
        <f t="shared" si="125"/>
        <v>85739.140000000014</v>
      </c>
      <c r="GC137" s="340">
        <f t="shared" si="126"/>
        <v>87974.949999999983</v>
      </c>
      <c r="GD137" s="340">
        <f t="shared" si="127"/>
        <v>0</v>
      </c>
      <c r="GE137" s="340">
        <f t="shared" si="128"/>
        <v>80885.83</v>
      </c>
      <c r="GF137" s="340">
        <f t="shared" si="129"/>
        <v>0</v>
      </c>
      <c r="GG137" s="340">
        <f t="shared" si="130"/>
        <v>84596.470000000016</v>
      </c>
      <c r="GH137" s="340">
        <f t="shared" si="131"/>
        <v>88006.07</v>
      </c>
      <c r="GI137" s="340">
        <f t="shared" si="132"/>
        <v>147765.35</v>
      </c>
      <c r="GJ137" s="122"/>
      <c r="GK137" s="340" t="s">
        <v>22</v>
      </c>
      <c r="GL137" s="340">
        <f t="shared" si="133"/>
        <v>27864.42</v>
      </c>
      <c r="GM137" s="340">
        <f t="shared" si="134"/>
        <v>25949.88</v>
      </c>
      <c r="GN137" s="340">
        <f t="shared" si="135"/>
        <v>131299.51999999999</v>
      </c>
      <c r="GO137" s="340">
        <f t="shared" si="136"/>
        <v>126128.42</v>
      </c>
      <c r="GP137" s="340">
        <f t="shared" si="137"/>
        <v>118499.8</v>
      </c>
      <c r="GQ137" s="340">
        <f t="shared" si="138"/>
        <v>125656.18</v>
      </c>
      <c r="GR137" s="340">
        <f t="shared" si="139"/>
        <v>49527.28</v>
      </c>
      <c r="GS137" s="340">
        <f t="shared" si="140"/>
        <v>27209.040000000001</v>
      </c>
      <c r="GT137" s="340">
        <f t="shared" si="141"/>
        <v>25981</v>
      </c>
      <c r="GU137" s="340">
        <f t="shared" si="142"/>
        <v>2432</v>
      </c>
      <c r="GV137" s="340">
        <f t="shared" si="143"/>
        <v>60170</v>
      </c>
      <c r="GW137" s="340">
        <f t="shared" si="144"/>
        <v>3366</v>
      </c>
      <c r="GX137" s="340">
        <f t="shared" si="145"/>
        <v>12683</v>
      </c>
      <c r="GY137" s="340">
        <f t="shared" si="146"/>
        <v>144998</v>
      </c>
      <c r="GZ137" s="340">
        <f t="shared" si="147"/>
        <v>8969.2099999999991</v>
      </c>
      <c r="HA137" s="340">
        <f t="shared" si="148"/>
        <v>2244</v>
      </c>
      <c r="HB137" s="340">
        <f t="shared" si="149"/>
        <v>0</v>
      </c>
      <c r="HC137" s="340">
        <f t="shared" si="150"/>
        <v>131495.37</v>
      </c>
      <c r="HD137" s="340">
        <f t="shared" si="151"/>
        <v>0</v>
      </c>
      <c r="HE137" s="340">
        <f t="shared" si="152"/>
        <v>66387.01999999999</v>
      </c>
      <c r="HF137" s="340">
        <f t="shared" si="153"/>
        <v>65432.810000000005</v>
      </c>
      <c r="HG137" s="340">
        <f t="shared" si="154"/>
        <v>67997.179999999993</v>
      </c>
      <c r="HH137" s="122"/>
      <c r="IF137" s="122"/>
      <c r="IG137" s="122"/>
      <c r="IH137" s="122"/>
      <c r="II137" s="122"/>
      <c r="IJ137" s="122"/>
      <c r="IK137" s="122"/>
      <c r="IL137" s="122"/>
      <c r="IN137" s="118"/>
      <c r="IP137" s="122"/>
      <c r="IQ137" s="122"/>
      <c r="IR137" s="122"/>
      <c r="IS137" s="122"/>
      <c r="IT137" s="122"/>
      <c r="IU137" s="122"/>
      <c r="IV137" s="122"/>
      <c r="IW137" s="122"/>
      <c r="IX137" s="122"/>
      <c r="IY137" s="122"/>
      <c r="IZ137" s="122"/>
      <c r="JA137" s="122"/>
      <c r="JB137" s="122"/>
      <c r="JC137" s="122"/>
      <c r="JD137" s="122"/>
      <c r="JE137" s="122"/>
      <c r="JF137" s="122"/>
      <c r="JG137" s="122"/>
      <c r="JH137" s="122"/>
      <c r="JI137" s="122"/>
      <c r="JK137" s="118"/>
      <c r="JL137" s="118"/>
      <c r="JY137" s="122"/>
      <c r="JZ137" s="122"/>
      <c r="KA137" s="122"/>
      <c r="KB137" s="122"/>
      <c r="LX137" s="122"/>
      <c r="LY137" s="122"/>
      <c r="LZ137" s="122"/>
      <c r="MB137" s="118"/>
      <c r="MC137" s="118"/>
      <c r="MP137" s="122"/>
      <c r="MQ137" s="122"/>
      <c r="MR137" s="122"/>
      <c r="MS137" s="122"/>
      <c r="MT137" s="122"/>
      <c r="MU137" s="122"/>
      <c r="MV137" s="122"/>
      <c r="OS137" s="118"/>
      <c r="OT137" s="118"/>
      <c r="PC137" s="122"/>
      <c r="PD137" s="122"/>
      <c r="PE137" s="122"/>
      <c r="PF137" s="122"/>
      <c r="PG137" s="122"/>
      <c r="PH137" s="122"/>
      <c r="PI137" s="122"/>
      <c r="PJ137" s="122"/>
      <c r="PP137" s="118"/>
      <c r="PQ137" s="118"/>
      <c r="PZ137" s="122"/>
      <c r="QA137" s="122"/>
      <c r="QB137" s="122"/>
      <c r="QC137" s="122"/>
      <c r="QD137" s="122"/>
      <c r="QE137" s="122"/>
      <c r="QF137" s="122"/>
      <c r="QG137" s="122"/>
      <c r="QM137" s="118"/>
      <c r="QN137" s="118"/>
      <c r="RE137" s="118"/>
      <c r="RF137" s="118"/>
      <c r="RG137" s="118"/>
      <c r="RH137" s="118"/>
      <c r="RI137" s="118"/>
      <c r="RJ137" s="118"/>
      <c r="RK137" s="118"/>
    </row>
    <row r="138" spans="1:479">
      <c r="Y138" s="277" t="s">
        <v>23</v>
      </c>
      <c r="Z138" s="319">
        <f t="shared" si="0"/>
        <v>216958.5</v>
      </c>
      <c r="AA138" s="319">
        <f t="shared" si="1"/>
        <v>205791.25</v>
      </c>
      <c r="AB138" s="319">
        <f t="shared" si="2"/>
        <v>214224.55999999997</v>
      </c>
      <c r="AC138" s="319">
        <f t="shared" si="3"/>
        <v>289378.82</v>
      </c>
      <c r="AD138" s="319">
        <f t="shared" si="4"/>
        <v>265901.48</v>
      </c>
      <c r="AE138" s="319">
        <f t="shared" si="5"/>
        <v>283807.81000000006</v>
      </c>
      <c r="AF138" s="319">
        <f t="shared" si="6"/>
        <v>306849.68999999994</v>
      </c>
      <c r="AG138" s="319">
        <f t="shared" si="7"/>
        <v>263492.75</v>
      </c>
      <c r="AH138" s="319">
        <f t="shared" si="8"/>
        <v>291946</v>
      </c>
      <c r="AI138" s="319">
        <f t="shared" si="9"/>
        <v>271322</v>
      </c>
      <c r="AJ138" s="319">
        <f t="shared" si="10"/>
        <v>429329</v>
      </c>
      <c r="AK138" s="319">
        <f t="shared" si="11"/>
        <v>339418</v>
      </c>
      <c r="AL138" s="319">
        <f t="shared" si="12"/>
        <v>353926</v>
      </c>
      <c r="AM138" s="319">
        <f t="shared" si="13"/>
        <v>304784</v>
      </c>
      <c r="AN138" s="319">
        <f t="shared" si="14"/>
        <v>333284</v>
      </c>
      <c r="AO138" s="319">
        <f t="shared" si="15"/>
        <v>435015.22</v>
      </c>
      <c r="AP138" s="319">
        <f t="shared" si="16"/>
        <v>531534.65999999992</v>
      </c>
      <c r="AQ138" s="319">
        <f t="shared" si="17"/>
        <v>435673.87</v>
      </c>
      <c r="AR138" s="319">
        <f t="shared" si="18"/>
        <v>405097.27999999997</v>
      </c>
      <c r="AS138" s="319">
        <f t="shared" si="19"/>
        <v>0</v>
      </c>
      <c r="AT138" s="319">
        <f t="shared" si="20"/>
        <v>0</v>
      </c>
      <c r="AU138" s="319">
        <f t="shared" si="21"/>
        <v>0</v>
      </c>
      <c r="AW138" s="322" t="s">
        <v>23</v>
      </c>
      <c r="AX138" s="322">
        <f t="shared" si="22"/>
        <v>69426.720000000001</v>
      </c>
      <c r="AY138" s="322">
        <f t="shared" si="23"/>
        <v>74084.850000000006</v>
      </c>
      <c r="AZ138" s="322">
        <f t="shared" si="24"/>
        <v>87637.32</v>
      </c>
      <c r="BA138" s="322">
        <f t="shared" si="25"/>
        <v>79828.639999999999</v>
      </c>
      <c r="BB138" s="322">
        <f t="shared" si="26"/>
        <v>71588.86</v>
      </c>
      <c r="BC138" s="322">
        <f t="shared" si="27"/>
        <v>74036.819999999992</v>
      </c>
      <c r="BD138" s="322">
        <f t="shared" si="28"/>
        <v>77165.69</v>
      </c>
      <c r="BE138" s="322">
        <f t="shared" si="29"/>
        <v>73777.97</v>
      </c>
      <c r="BF138" s="322">
        <f t="shared" si="30"/>
        <v>71548</v>
      </c>
      <c r="BG138" s="322">
        <f t="shared" si="31"/>
        <v>70864</v>
      </c>
      <c r="BH138" s="322">
        <f t="shared" si="32"/>
        <v>68279</v>
      </c>
      <c r="BI138" s="322">
        <f t="shared" si="33"/>
        <v>79981</v>
      </c>
      <c r="BJ138" s="322">
        <f t="shared" si="34"/>
        <v>86516</v>
      </c>
      <c r="BK138" s="322">
        <f t="shared" si="35"/>
        <v>66342</v>
      </c>
      <c r="BL138" s="322">
        <f t="shared" si="36"/>
        <v>60659</v>
      </c>
      <c r="BM138" s="322">
        <f t="shared" si="37"/>
        <v>69188.040000000008</v>
      </c>
      <c r="BN138" s="322">
        <f t="shared" si="38"/>
        <v>70676.42</v>
      </c>
      <c r="BO138" s="340">
        <f t="shared" si="39"/>
        <v>49995.72</v>
      </c>
      <c r="BP138" s="340">
        <f t="shared" si="40"/>
        <v>57583.95</v>
      </c>
      <c r="BQ138" s="340">
        <f t="shared" si="41"/>
        <v>0</v>
      </c>
      <c r="BR138" s="340">
        <f t="shared" si="42"/>
        <v>0</v>
      </c>
      <c r="BS138" s="340">
        <f t="shared" si="43"/>
        <v>0</v>
      </c>
      <c r="BU138" s="340" t="s">
        <v>23</v>
      </c>
      <c r="BV138" s="340">
        <f t="shared" si="44"/>
        <v>17356.68</v>
      </c>
      <c r="BW138" s="340">
        <f t="shared" si="45"/>
        <v>16463.3</v>
      </c>
      <c r="BX138" s="340">
        <f t="shared" si="46"/>
        <v>9737.48</v>
      </c>
      <c r="BY138" s="340">
        <f t="shared" si="47"/>
        <v>9978.58</v>
      </c>
      <c r="BZ138" s="340">
        <f t="shared" si="48"/>
        <v>10226.98</v>
      </c>
      <c r="CA138" s="340">
        <f t="shared" si="49"/>
        <v>24678.94</v>
      </c>
      <c r="CB138" s="340">
        <f t="shared" si="50"/>
        <v>22047.34</v>
      </c>
      <c r="CC138" s="340">
        <f t="shared" si="51"/>
        <v>21079.42</v>
      </c>
      <c r="CD138" s="340">
        <f t="shared" si="52"/>
        <v>29616</v>
      </c>
      <c r="CE138" s="340">
        <f t="shared" si="53"/>
        <v>33866</v>
      </c>
      <c r="CF138" s="340">
        <f t="shared" si="54"/>
        <v>30048</v>
      </c>
      <c r="CG138" s="340">
        <f t="shared" si="55"/>
        <v>31286</v>
      </c>
      <c r="CH138" s="340">
        <f t="shared" si="56"/>
        <v>31612</v>
      </c>
      <c r="CI138" s="340">
        <f t="shared" si="57"/>
        <v>31942</v>
      </c>
      <c r="CJ138" s="340">
        <f t="shared" si="58"/>
        <v>34396</v>
      </c>
      <c r="CK138" s="340">
        <f t="shared" si="59"/>
        <v>35781.759999999995</v>
      </c>
      <c r="CL138" s="340">
        <f t="shared" si="60"/>
        <v>34856.47</v>
      </c>
      <c r="CM138" s="340">
        <f t="shared" si="61"/>
        <v>39313.72</v>
      </c>
      <c r="CN138" s="340">
        <f t="shared" si="62"/>
        <v>38447.29</v>
      </c>
      <c r="CO138" s="340">
        <f t="shared" si="63"/>
        <v>0</v>
      </c>
      <c r="CP138" s="340">
        <f t="shared" si="64"/>
        <v>0</v>
      </c>
      <c r="CQ138" s="340">
        <f t="shared" si="65"/>
        <v>0</v>
      </c>
      <c r="CR138" s="122"/>
      <c r="CS138" s="340" t="s">
        <v>23</v>
      </c>
      <c r="CT138" s="340">
        <f t="shared" si="66"/>
        <v>147531.78</v>
      </c>
      <c r="CU138" s="340">
        <f t="shared" si="67"/>
        <v>139938.04999999999</v>
      </c>
      <c r="CV138" s="340">
        <f t="shared" si="68"/>
        <v>204487.08</v>
      </c>
      <c r="CW138" s="340">
        <f t="shared" si="69"/>
        <v>159657.28</v>
      </c>
      <c r="CX138" s="340">
        <f t="shared" si="70"/>
        <v>204539.6</v>
      </c>
      <c r="CY138" s="340">
        <f t="shared" si="71"/>
        <v>357844.63</v>
      </c>
      <c r="CZ138" s="340">
        <f t="shared" si="72"/>
        <v>110236.7</v>
      </c>
      <c r="DA138" s="340">
        <f t="shared" si="73"/>
        <v>63238.26</v>
      </c>
      <c r="DB138" s="340">
        <f t="shared" si="74"/>
        <v>123130</v>
      </c>
      <c r="DC138" s="340">
        <f t="shared" si="75"/>
        <v>96850</v>
      </c>
      <c r="DD138" s="340">
        <f t="shared" si="76"/>
        <v>92730</v>
      </c>
      <c r="DE138" s="340">
        <f t="shared" si="77"/>
        <v>148515</v>
      </c>
      <c r="DF138" s="340">
        <f t="shared" si="78"/>
        <v>109014</v>
      </c>
      <c r="DG138" s="340">
        <f t="shared" si="79"/>
        <v>93684</v>
      </c>
      <c r="DH138" s="340">
        <f t="shared" si="80"/>
        <v>101213</v>
      </c>
      <c r="DI138" s="340">
        <f t="shared" si="81"/>
        <v>96572.709999999992</v>
      </c>
      <c r="DJ138" s="340">
        <f t="shared" si="82"/>
        <v>127437.04000000001</v>
      </c>
      <c r="DK138" s="340">
        <f t="shared" si="83"/>
        <v>141275.47999999998</v>
      </c>
      <c r="DL138" s="340">
        <f t="shared" si="84"/>
        <v>131928.31999999998</v>
      </c>
      <c r="DM138" s="340">
        <f t="shared" si="85"/>
        <v>0</v>
      </c>
      <c r="DN138" s="340">
        <f t="shared" si="86"/>
        <v>0</v>
      </c>
      <c r="DO138" s="340">
        <f t="shared" si="87"/>
        <v>0</v>
      </c>
      <c r="DP138" s="330"/>
      <c r="DQ138" s="340" t="s">
        <v>23</v>
      </c>
      <c r="DR138" s="340">
        <f t="shared" ref="DR138:EM138" si="176">DR40</f>
        <v>78105.06</v>
      </c>
      <c r="DS138" s="340">
        <f t="shared" si="176"/>
        <v>82316.5</v>
      </c>
      <c r="DT138" s="340">
        <f t="shared" si="176"/>
        <v>87637.32</v>
      </c>
      <c r="DU138" s="340">
        <f t="shared" si="176"/>
        <v>89807.22</v>
      </c>
      <c r="DV138" s="340">
        <f t="shared" si="176"/>
        <v>92042.82</v>
      </c>
      <c r="DW138" s="340">
        <f t="shared" si="176"/>
        <v>98715.76</v>
      </c>
      <c r="DX138" s="340">
        <f t="shared" si="176"/>
        <v>176378.72</v>
      </c>
      <c r="DY138" s="340">
        <f t="shared" si="176"/>
        <v>126476.52</v>
      </c>
      <c r="DZ138" s="340">
        <f t="shared" si="176"/>
        <v>119435</v>
      </c>
      <c r="EA138" s="340">
        <f t="shared" si="176"/>
        <v>145090</v>
      </c>
      <c r="EB138" s="340">
        <f t="shared" si="176"/>
        <v>150201</v>
      </c>
      <c r="EC138" s="340">
        <f t="shared" si="176"/>
        <v>199214</v>
      </c>
      <c r="ED138" s="340">
        <f t="shared" si="176"/>
        <v>186458</v>
      </c>
      <c r="EE138" s="340">
        <f t="shared" si="176"/>
        <v>184830</v>
      </c>
      <c r="EF138" s="340">
        <f t="shared" si="176"/>
        <v>175931</v>
      </c>
      <c r="EG138" s="340">
        <f t="shared" si="176"/>
        <v>172470.60000000003</v>
      </c>
      <c r="EH138" s="340">
        <f t="shared" si="176"/>
        <v>209082.46</v>
      </c>
      <c r="EI138" s="340">
        <f t="shared" si="176"/>
        <v>225342.24999999997</v>
      </c>
      <c r="EJ138" s="340">
        <f t="shared" si="176"/>
        <v>226735.43</v>
      </c>
      <c r="EK138" s="340">
        <f t="shared" si="176"/>
        <v>0</v>
      </c>
      <c r="EL138" s="340">
        <f t="shared" si="176"/>
        <v>0</v>
      </c>
      <c r="EM138" s="340">
        <f t="shared" si="176"/>
        <v>0</v>
      </c>
      <c r="EO138" s="319" t="s">
        <v>23</v>
      </c>
      <c r="EP138" s="319">
        <f t="shared" si="89"/>
        <v>225636.84</v>
      </c>
      <c r="EQ138" s="319">
        <f t="shared" si="90"/>
        <v>238717.85</v>
      </c>
      <c r="ER138" s="319">
        <f t="shared" si="91"/>
        <v>272649.44</v>
      </c>
      <c r="ES138" s="319">
        <f t="shared" si="92"/>
        <v>279400.24</v>
      </c>
      <c r="ET138" s="319">
        <f t="shared" si="93"/>
        <v>265901.48</v>
      </c>
      <c r="EU138" s="319">
        <f t="shared" si="94"/>
        <v>259128.87</v>
      </c>
      <c r="EV138" s="319">
        <f t="shared" si="95"/>
        <v>330710.09999999998</v>
      </c>
      <c r="EW138" s="319">
        <f t="shared" si="96"/>
        <v>411048.69</v>
      </c>
      <c r="EX138" s="319">
        <f t="shared" si="97"/>
        <v>399070</v>
      </c>
      <c r="EY138" s="319">
        <f t="shared" si="98"/>
        <v>459624</v>
      </c>
      <c r="EZ138" s="319">
        <f t="shared" si="99"/>
        <v>438865</v>
      </c>
      <c r="FA138" s="319">
        <f t="shared" si="100"/>
        <v>511061</v>
      </c>
      <c r="FB138" s="319">
        <f t="shared" si="101"/>
        <v>586893</v>
      </c>
      <c r="FC138" s="319">
        <f t="shared" si="102"/>
        <v>553524</v>
      </c>
      <c r="FD138" s="319">
        <f t="shared" si="103"/>
        <v>559638</v>
      </c>
      <c r="FE138" s="319">
        <f t="shared" si="104"/>
        <v>681953.24000000011</v>
      </c>
      <c r="FF138" s="322">
        <f t="shared" si="105"/>
        <v>615338.71</v>
      </c>
      <c r="FG138" s="336">
        <f t="shared" si="106"/>
        <v>594594.73</v>
      </c>
      <c r="FH138" s="336">
        <f t="shared" si="107"/>
        <v>612103.99</v>
      </c>
      <c r="FI138" s="336">
        <f t="shared" si="108"/>
        <v>0</v>
      </c>
      <c r="FJ138" s="336">
        <f t="shared" si="109"/>
        <v>0</v>
      </c>
      <c r="FK138" s="336">
        <f t="shared" si="110"/>
        <v>0</v>
      </c>
      <c r="FL138" s="122"/>
      <c r="FM138" s="340" t="s">
        <v>23</v>
      </c>
      <c r="FN138" s="340">
        <f t="shared" si="111"/>
        <v>52070.04</v>
      </c>
      <c r="FO138" s="340">
        <f t="shared" si="112"/>
        <v>57621.55</v>
      </c>
      <c r="FP138" s="340">
        <f t="shared" si="113"/>
        <v>58424.88</v>
      </c>
      <c r="FQ138" s="340">
        <f t="shared" si="114"/>
        <v>59871.48</v>
      </c>
      <c r="FR138" s="340">
        <f t="shared" si="115"/>
        <v>81815.839999999997</v>
      </c>
      <c r="FS138" s="340">
        <f t="shared" si="116"/>
        <v>98715.76</v>
      </c>
      <c r="FT138" s="340">
        <f t="shared" si="117"/>
        <v>88189.36</v>
      </c>
      <c r="FU138" s="340">
        <f t="shared" si="118"/>
        <v>84317.68</v>
      </c>
      <c r="FV138" s="340">
        <f t="shared" si="119"/>
        <v>84138</v>
      </c>
      <c r="FW138" s="340">
        <f t="shared" si="120"/>
        <v>93208</v>
      </c>
      <c r="FX138" s="340">
        <f t="shared" si="121"/>
        <v>96881</v>
      </c>
      <c r="FY138" s="340">
        <f t="shared" si="122"/>
        <v>96423</v>
      </c>
      <c r="FZ138" s="340">
        <f t="shared" si="123"/>
        <v>102243</v>
      </c>
      <c r="GA138" s="340">
        <f t="shared" si="124"/>
        <v>94281</v>
      </c>
      <c r="GB138" s="340">
        <f t="shared" si="125"/>
        <v>103157</v>
      </c>
      <c r="GC138" s="340">
        <f t="shared" si="126"/>
        <v>95087.5</v>
      </c>
      <c r="GD138" s="340">
        <f t="shared" si="127"/>
        <v>100719.65999999999</v>
      </c>
      <c r="GE138" s="340">
        <f t="shared" si="128"/>
        <v>101974.70000000001</v>
      </c>
      <c r="GF138" s="340">
        <f t="shared" si="129"/>
        <v>96664.829999999987</v>
      </c>
      <c r="GG138" s="340">
        <f t="shared" si="130"/>
        <v>0</v>
      </c>
      <c r="GH138" s="340">
        <f t="shared" si="131"/>
        <v>0</v>
      </c>
      <c r="GI138" s="340">
        <f t="shared" si="132"/>
        <v>0</v>
      </c>
      <c r="GJ138" s="122"/>
      <c r="GK138" s="340" t="s">
        <v>23</v>
      </c>
      <c r="GL138" s="340">
        <f t="shared" si="133"/>
        <v>60748.38</v>
      </c>
      <c r="GM138" s="340">
        <f t="shared" si="134"/>
        <v>8231.65</v>
      </c>
      <c r="GN138" s="340">
        <f t="shared" si="135"/>
        <v>38949.919999999998</v>
      </c>
      <c r="GO138" s="340">
        <f t="shared" si="136"/>
        <v>29935.74</v>
      </c>
      <c r="GP138" s="340">
        <f t="shared" si="137"/>
        <v>30680.94</v>
      </c>
      <c r="GQ138" s="340">
        <f t="shared" si="138"/>
        <v>37018.410000000003</v>
      </c>
      <c r="GR138" s="340">
        <f t="shared" si="139"/>
        <v>0</v>
      </c>
      <c r="GS138" s="340">
        <f t="shared" si="140"/>
        <v>10539.71</v>
      </c>
      <c r="GT138" s="340">
        <f t="shared" si="141"/>
        <v>31420</v>
      </c>
      <c r="GU138" s="340">
        <f t="shared" si="142"/>
        <v>20000</v>
      </c>
      <c r="GV138" s="340">
        <f t="shared" si="143"/>
        <v>60000</v>
      </c>
      <c r="GW138" s="340">
        <f t="shared" si="144"/>
        <v>22327</v>
      </c>
      <c r="GX138" s="340">
        <f t="shared" si="145"/>
        <v>43187</v>
      </c>
      <c r="GY138" s="340">
        <f t="shared" si="146"/>
        <v>12700</v>
      </c>
      <c r="GZ138" s="340">
        <f t="shared" si="147"/>
        <v>18000</v>
      </c>
      <c r="HA138" s="340">
        <f t="shared" si="148"/>
        <v>22353.29</v>
      </c>
      <c r="HB138" s="340">
        <f t="shared" si="149"/>
        <v>68148.329999999987</v>
      </c>
      <c r="HC138" s="340">
        <f t="shared" si="150"/>
        <v>7872.78</v>
      </c>
      <c r="HD138" s="340">
        <f t="shared" si="151"/>
        <v>12427.390000000001</v>
      </c>
      <c r="HE138" s="340">
        <f t="shared" si="152"/>
        <v>0</v>
      </c>
      <c r="HF138" s="340">
        <f t="shared" si="153"/>
        <v>0</v>
      </c>
      <c r="HG138" s="340">
        <f t="shared" si="154"/>
        <v>0</v>
      </c>
      <c r="HH138" s="122"/>
      <c r="IF138" s="122"/>
      <c r="IG138" s="122"/>
      <c r="IH138" s="122"/>
      <c r="II138" s="122"/>
      <c r="IJ138" s="122"/>
      <c r="IK138" s="122"/>
      <c r="IL138" s="122"/>
      <c r="IN138" s="118"/>
      <c r="IP138" s="122"/>
      <c r="IQ138" s="122"/>
      <c r="IR138" s="122"/>
      <c r="IS138" s="122"/>
      <c r="IT138" s="122"/>
      <c r="IU138" s="122"/>
      <c r="IV138" s="122"/>
      <c r="IW138" s="122"/>
      <c r="IX138" s="122"/>
      <c r="IY138" s="122"/>
      <c r="IZ138" s="122"/>
      <c r="JA138" s="122"/>
      <c r="JB138" s="122"/>
      <c r="JC138" s="122"/>
      <c r="JD138" s="122"/>
      <c r="JE138" s="122"/>
      <c r="JF138" s="122"/>
      <c r="JG138" s="122"/>
      <c r="JH138" s="122"/>
      <c r="JI138" s="122"/>
      <c r="JK138" s="118"/>
      <c r="JL138" s="118"/>
      <c r="JY138" s="122"/>
      <c r="JZ138" s="122"/>
      <c r="KA138" s="122"/>
      <c r="KB138" s="122"/>
      <c r="LX138" s="122"/>
      <c r="LY138" s="122"/>
      <c r="LZ138" s="122"/>
      <c r="MB138" s="118"/>
      <c r="MC138" s="118"/>
      <c r="MP138" s="122"/>
      <c r="MQ138" s="122"/>
      <c r="MR138" s="122"/>
      <c r="MS138" s="122"/>
      <c r="MT138" s="122"/>
      <c r="MU138" s="122"/>
      <c r="MV138" s="122"/>
      <c r="OS138" s="118"/>
      <c r="OT138" s="118"/>
      <c r="PC138" s="122"/>
      <c r="PD138" s="122"/>
      <c r="PE138" s="122"/>
      <c r="PF138" s="122"/>
      <c r="PG138" s="122"/>
      <c r="PH138" s="122"/>
      <c r="PI138" s="122"/>
      <c r="PJ138" s="122"/>
      <c r="PP138" s="118"/>
      <c r="PQ138" s="118"/>
      <c r="PZ138" s="122"/>
      <c r="QA138" s="122"/>
      <c r="QB138" s="122"/>
      <c r="QC138" s="122"/>
      <c r="QD138" s="122"/>
      <c r="QE138" s="122"/>
      <c r="QF138" s="122"/>
      <c r="QG138" s="122"/>
      <c r="QM138" s="118"/>
      <c r="QN138" s="118"/>
      <c r="RE138" s="118"/>
      <c r="RF138" s="118"/>
      <c r="RG138" s="118"/>
      <c r="RH138" s="118"/>
      <c r="RI138" s="118"/>
      <c r="RJ138" s="118"/>
      <c r="RK138" s="118"/>
    </row>
    <row r="139" spans="1:479">
      <c r="Y139" s="277" t="s">
        <v>24</v>
      </c>
      <c r="Z139" s="319">
        <f t="shared" si="0"/>
        <v>371632.56</v>
      </c>
      <c r="AA139" s="319">
        <f t="shared" si="1"/>
        <v>329964.90000000002</v>
      </c>
      <c r="AB139" s="319">
        <f t="shared" si="2"/>
        <v>360588.24000000005</v>
      </c>
      <c r="AC139" s="319">
        <f t="shared" si="3"/>
        <v>354986.94000000006</v>
      </c>
      <c r="AD139" s="319">
        <f t="shared" si="4"/>
        <v>548926.39</v>
      </c>
      <c r="AE139" s="319">
        <f t="shared" si="5"/>
        <v>370863.57000000007</v>
      </c>
      <c r="AF139" s="319">
        <f t="shared" si="6"/>
        <v>364582.19</v>
      </c>
      <c r="AG139" s="319">
        <f t="shared" si="7"/>
        <v>376170.6</v>
      </c>
      <c r="AH139" s="319">
        <f t="shared" si="8"/>
        <v>417085.60000000003</v>
      </c>
      <c r="AI139" s="319">
        <f t="shared" si="9"/>
        <v>455007.6999999999</v>
      </c>
      <c r="AJ139" s="319">
        <f t="shared" si="10"/>
        <v>456543.24</v>
      </c>
      <c r="AK139" s="319">
        <f t="shared" si="11"/>
        <v>462976.52</v>
      </c>
      <c r="AL139" s="319">
        <f t="shared" si="12"/>
        <v>554948.45000000007</v>
      </c>
      <c r="AM139" s="319">
        <f t="shared" si="13"/>
        <v>535290.05999999994</v>
      </c>
      <c r="AN139" s="319">
        <f t="shared" si="14"/>
        <v>549237.02999999991</v>
      </c>
      <c r="AO139" s="319">
        <f t="shared" si="15"/>
        <v>497205.11</v>
      </c>
      <c r="AP139" s="319">
        <f t="shared" si="16"/>
        <v>575117.40999999992</v>
      </c>
      <c r="AQ139" s="319">
        <f t="shared" si="17"/>
        <v>532101.49000000011</v>
      </c>
      <c r="AR139" s="319">
        <f t="shared" si="18"/>
        <v>620417.28000000003</v>
      </c>
      <c r="AS139" s="319">
        <f t="shared" si="19"/>
        <v>533825.02</v>
      </c>
      <c r="AT139" s="319">
        <f t="shared" si="20"/>
        <v>598729.79</v>
      </c>
      <c r="AU139" s="319">
        <f t="shared" si="21"/>
        <v>590103</v>
      </c>
      <c r="AW139" s="322" t="s">
        <v>24</v>
      </c>
      <c r="AX139" s="322">
        <f t="shared" si="22"/>
        <v>76232.320000000007</v>
      </c>
      <c r="AY139" s="322">
        <f t="shared" si="23"/>
        <v>87343.65</v>
      </c>
      <c r="AZ139" s="322">
        <f t="shared" si="24"/>
        <v>80130.720000000001</v>
      </c>
      <c r="BA139" s="322">
        <f t="shared" si="25"/>
        <v>75300.260000000009</v>
      </c>
      <c r="BB139" s="322">
        <f t="shared" si="26"/>
        <v>63828.65</v>
      </c>
      <c r="BC139" s="322">
        <f t="shared" si="27"/>
        <v>56191.450000000004</v>
      </c>
      <c r="BD139" s="322">
        <f t="shared" si="28"/>
        <v>71478.540000000008</v>
      </c>
      <c r="BE139" s="322">
        <f t="shared" si="29"/>
        <v>51885.599999999999</v>
      </c>
      <c r="BF139" s="322">
        <f t="shared" si="30"/>
        <v>79863.070000000007</v>
      </c>
      <c r="BG139" s="322">
        <f t="shared" si="31"/>
        <v>80011.670000000013</v>
      </c>
      <c r="BH139" s="322">
        <f t="shared" si="32"/>
        <v>92859.62</v>
      </c>
      <c r="BI139" s="322">
        <f t="shared" si="33"/>
        <v>83089.91</v>
      </c>
      <c r="BJ139" s="322">
        <f t="shared" si="34"/>
        <v>89435.040000000008</v>
      </c>
      <c r="BK139" s="322">
        <f t="shared" si="35"/>
        <v>84039.16</v>
      </c>
      <c r="BL139" s="322">
        <f t="shared" si="36"/>
        <v>90218.73</v>
      </c>
      <c r="BM139" s="322">
        <f t="shared" si="37"/>
        <v>84219.22</v>
      </c>
      <c r="BN139" s="322">
        <f t="shared" si="38"/>
        <v>85109.140000000014</v>
      </c>
      <c r="BO139" s="340">
        <f t="shared" si="39"/>
        <v>85595.22</v>
      </c>
      <c r="BP139" s="340">
        <f t="shared" si="40"/>
        <v>94714.549999999988</v>
      </c>
      <c r="BQ139" s="340">
        <f t="shared" si="41"/>
        <v>87043.040000000008</v>
      </c>
      <c r="BR139" s="340">
        <f t="shared" si="42"/>
        <v>90558.09</v>
      </c>
      <c r="BS139" s="340">
        <f t="shared" si="43"/>
        <v>154990.44</v>
      </c>
      <c r="BU139" s="340" t="s">
        <v>24</v>
      </c>
      <c r="BV139" s="340">
        <f t="shared" si="44"/>
        <v>19058.080000000002</v>
      </c>
      <c r="BW139" s="340">
        <f t="shared" si="45"/>
        <v>29114.550000000003</v>
      </c>
      <c r="BX139" s="340">
        <f t="shared" si="46"/>
        <v>30049.02</v>
      </c>
      <c r="BY139" s="340">
        <f t="shared" si="47"/>
        <v>32271.54</v>
      </c>
      <c r="BZ139" s="340">
        <f t="shared" si="48"/>
        <v>38297.19</v>
      </c>
      <c r="CA139" s="340">
        <f t="shared" si="49"/>
        <v>44953.16</v>
      </c>
      <c r="CB139" s="340">
        <f t="shared" si="50"/>
        <v>47652.36</v>
      </c>
      <c r="CC139" s="340">
        <f t="shared" si="51"/>
        <v>64857</v>
      </c>
      <c r="CD139" s="340">
        <f t="shared" si="52"/>
        <v>49169.19</v>
      </c>
      <c r="CE139" s="340">
        <f t="shared" si="53"/>
        <v>63094.75</v>
      </c>
      <c r="CF139" s="340">
        <f t="shared" si="54"/>
        <v>63224.479999999996</v>
      </c>
      <c r="CG139" s="340">
        <f t="shared" si="55"/>
        <v>67848.359999999986</v>
      </c>
      <c r="CH139" s="340">
        <f t="shared" si="56"/>
        <v>68536.210000000006</v>
      </c>
      <c r="CI139" s="340">
        <f t="shared" si="57"/>
        <v>80357.989999999991</v>
      </c>
      <c r="CJ139" s="340">
        <f t="shared" si="58"/>
        <v>80213.47</v>
      </c>
      <c r="CK139" s="340">
        <f t="shared" si="59"/>
        <v>77992.66</v>
      </c>
      <c r="CL139" s="340">
        <f t="shared" si="60"/>
        <v>70418.360000000015</v>
      </c>
      <c r="CM139" s="340">
        <f t="shared" si="61"/>
        <v>73486.170000000013</v>
      </c>
      <c r="CN139" s="340">
        <f t="shared" si="62"/>
        <v>78181.049999999988</v>
      </c>
      <c r="CO139" s="340">
        <f t="shared" si="63"/>
        <v>76652.63</v>
      </c>
      <c r="CP139" s="340">
        <f t="shared" si="64"/>
        <v>88553.439999999988</v>
      </c>
      <c r="CQ139" s="340">
        <f t="shared" si="65"/>
        <v>93815</v>
      </c>
      <c r="CR139" s="122"/>
      <c r="CS139" s="340" t="s">
        <v>24</v>
      </c>
      <c r="CT139" s="340">
        <f t="shared" si="66"/>
        <v>47645.2</v>
      </c>
      <c r="CU139" s="340">
        <f t="shared" si="67"/>
        <v>48524.25</v>
      </c>
      <c r="CV139" s="340">
        <f t="shared" si="68"/>
        <v>70114.38</v>
      </c>
      <c r="CW139" s="340">
        <f t="shared" si="69"/>
        <v>75300.259999999995</v>
      </c>
      <c r="CX139" s="340">
        <f t="shared" si="70"/>
        <v>114891.57</v>
      </c>
      <c r="CY139" s="340">
        <f t="shared" si="71"/>
        <v>89906.32</v>
      </c>
      <c r="CZ139" s="340">
        <f t="shared" si="72"/>
        <v>83391.63</v>
      </c>
      <c r="DA139" s="340">
        <f t="shared" si="73"/>
        <v>155656.79999999999</v>
      </c>
      <c r="DB139" s="340">
        <f t="shared" si="74"/>
        <v>164241.91999999998</v>
      </c>
      <c r="DC139" s="340">
        <f t="shared" si="75"/>
        <v>303207.31</v>
      </c>
      <c r="DD139" s="340">
        <f t="shared" si="76"/>
        <v>213932.63999999998</v>
      </c>
      <c r="DE139" s="340">
        <f t="shared" si="77"/>
        <v>285364.66000000003</v>
      </c>
      <c r="DF139" s="340">
        <f t="shared" si="78"/>
        <v>337239.06</v>
      </c>
      <c r="DG139" s="340">
        <f t="shared" si="79"/>
        <v>254237.21999999997</v>
      </c>
      <c r="DH139" s="340">
        <f t="shared" si="80"/>
        <v>185061.16</v>
      </c>
      <c r="DI139" s="340">
        <f t="shared" si="81"/>
        <v>132431.72</v>
      </c>
      <c r="DJ139" s="340">
        <f t="shared" si="82"/>
        <v>200405.13999999998</v>
      </c>
      <c r="DK139" s="340">
        <f t="shared" si="83"/>
        <v>108592.76999999999</v>
      </c>
      <c r="DL139" s="340">
        <f t="shared" si="84"/>
        <v>151807.18</v>
      </c>
      <c r="DM139" s="340">
        <f t="shared" si="85"/>
        <v>167889.97</v>
      </c>
      <c r="DN139" s="340">
        <f t="shared" si="86"/>
        <v>202606.6</v>
      </c>
      <c r="DO139" s="340">
        <f t="shared" si="87"/>
        <v>303640</v>
      </c>
      <c r="DP139" s="330"/>
      <c r="DQ139" s="340" t="s">
        <v>24</v>
      </c>
      <c r="DR139" s="340">
        <f t="shared" ref="DR139:EM139" si="177">DR41</f>
        <v>76232.320000000007</v>
      </c>
      <c r="DS139" s="340">
        <f t="shared" si="177"/>
        <v>87343.65</v>
      </c>
      <c r="DT139" s="340">
        <f t="shared" si="177"/>
        <v>40065.360000000001</v>
      </c>
      <c r="DU139" s="340">
        <f t="shared" si="177"/>
        <v>75300.259999999995</v>
      </c>
      <c r="DV139" s="340">
        <f t="shared" si="177"/>
        <v>63828.65</v>
      </c>
      <c r="DW139" s="340">
        <f t="shared" si="177"/>
        <v>89906.32</v>
      </c>
      <c r="DX139" s="340">
        <f t="shared" si="177"/>
        <v>107217.81</v>
      </c>
      <c r="DY139" s="340">
        <f t="shared" si="177"/>
        <v>103771.2</v>
      </c>
      <c r="DZ139" s="340">
        <f t="shared" si="177"/>
        <v>140954.82</v>
      </c>
      <c r="EA139" s="340">
        <f t="shared" si="177"/>
        <v>158620.95000000001</v>
      </c>
      <c r="EB139" s="340">
        <f t="shared" si="177"/>
        <v>168934.87</v>
      </c>
      <c r="EC139" s="340">
        <f t="shared" si="177"/>
        <v>173052.64</v>
      </c>
      <c r="ED139" s="340">
        <f t="shared" si="177"/>
        <v>199728.88</v>
      </c>
      <c r="EE139" s="340">
        <f t="shared" si="177"/>
        <v>219558.32</v>
      </c>
      <c r="EF139" s="340">
        <f t="shared" si="177"/>
        <v>247432.24999999997</v>
      </c>
      <c r="EG139" s="340">
        <f t="shared" si="177"/>
        <v>270833.14</v>
      </c>
      <c r="EH139" s="340">
        <f t="shared" si="177"/>
        <v>229554.51</v>
      </c>
      <c r="EI139" s="340">
        <f t="shared" si="177"/>
        <v>145600</v>
      </c>
      <c r="EJ139" s="340">
        <f t="shared" si="177"/>
        <v>124891.75</v>
      </c>
      <c r="EK139" s="340">
        <f t="shared" si="177"/>
        <v>124389.62</v>
      </c>
      <c r="EL139" s="340">
        <f t="shared" si="177"/>
        <v>149074.25</v>
      </c>
      <c r="EM139" s="340">
        <f t="shared" si="177"/>
        <v>182700</v>
      </c>
      <c r="EO139" s="319" t="s">
        <v>24</v>
      </c>
      <c r="EP139" s="319">
        <f t="shared" si="89"/>
        <v>266813.12</v>
      </c>
      <c r="EQ139" s="319">
        <f t="shared" si="90"/>
        <v>300850.34999999998</v>
      </c>
      <c r="ER139" s="319">
        <f t="shared" si="91"/>
        <v>310506.53999999998</v>
      </c>
      <c r="ES139" s="319">
        <f t="shared" si="92"/>
        <v>344229.76</v>
      </c>
      <c r="ET139" s="319">
        <f t="shared" si="93"/>
        <v>344674.71</v>
      </c>
      <c r="EU139" s="319">
        <f t="shared" si="94"/>
        <v>348386.99</v>
      </c>
      <c r="EV139" s="319">
        <f t="shared" si="95"/>
        <v>345479.61</v>
      </c>
      <c r="EW139" s="319">
        <f t="shared" si="96"/>
        <v>428056.2</v>
      </c>
      <c r="EX139" s="319">
        <f t="shared" si="97"/>
        <v>0</v>
      </c>
      <c r="EY139" s="319">
        <f t="shared" si="98"/>
        <v>0</v>
      </c>
      <c r="EZ139" s="319">
        <f t="shared" si="99"/>
        <v>0</v>
      </c>
      <c r="FA139" s="319">
        <f t="shared" si="100"/>
        <v>0</v>
      </c>
      <c r="FB139" s="319">
        <f t="shared" si="101"/>
        <v>0</v>
      </c>
      <c r="FC139" s="319">
        <f t="shared" si="102"/>
        <v>0</v>
      </c>
      <c r="FD139" s="319">
        <f t="shared" si="103"/>
        <v>0</v>
      </c>
      <c r="FE139" s="319">
        <f t="shared" si="104"/>
        <v>0</v>
      </c>
      <c r="FF139" s="322">
        <f t="shared" si="105"/>
        <v>0</v>
      </c>
      <c r="FG139" s="336">
        <f t="shared" si="106"/>
        <v>0</v>
      </c>
      <c r="FH139" s="336">
        <f t="shared" si="107"/>
        <v>0</v>
      </c>
      <c r="FI139" s="336">
        <f t="shared" si="108"/>
        <v>0</v>
      </c>
      <c r="FJ139" s="336">
        <f t="shared" si="109"/>
        <v>0</v>
      </c>
      <c r="FK139" s="336">
        <f t="shared" si="110"/>
        <v>0</v>
      </c>
      <c r="FL139" s="122"/>
      <c r="FM139" s="340" t="s">
        <v>24</v>
      </c>
      <c r="FN139" s="340">
        <f t="shared" si="111"/>
        <v>76232.320000000007</v>
      </c>
      <c r="FO139" s="340">
        <f t="shared" si="112"/>
        <v>77638.8</v>
      </c>
      <c r="FP139" s="340">
        <f t="shared" si="113"/>
        <v>90147.06</v>
      </c>
      <c r="FQ139" s="340">
        <f t="shared" si="114"/>
        <v>96814.62</v>
      </c>
      <c r="FR139" s="340">
        <f t="shared" si="115"/>
        <v>102125.84</v>
      </c>
      <c r="FS139" s="340">
        <f t="shared" si="116"/>
        <v>101144.61</v>
      </c>
      <c r="FT139" s="340">
        <f t="shared" si="117"/>
        <v>107217.81</v>
      </c>
      <c r="FU139" s="340">
        <f t="shared" si="118"/>
        <v>116742.6</v>
      </c>
      <c r="FV139" s="340">
        <f t="shared" si="119"/>
        <v>122629.99</v>
      </c>
      <c r="FW139" s="340">
        <f t="shared" si="120"/>
        <v>134960.16999999998</v>
      </c>
      <c r="FX139" s="340">
        <f t="shared" si="121"/>
        <v>147741.31000000003</v>
      </c>
      <c r="FY139" s="340">
        <f t="shared" si="122"/>
        <v>135981.29</v>
      </c>
      <c r="FZ139" s="340">
        <f t="shared" si="123"/>
        <v>148983.27000000002</v>
      </c>
      <c r="GA139" s="340">
        <f t="shared" si="124"/>
        <v>160300.25999999995</v>
      </c>
      <c r="GB139" s="340">
        <f t="shared" si="125"/>
        <v>161589.38</v>
      </c>
      <c r="GC139" s="340">
        <f t="shared" si="126"/>
        <v>229337.42</v>
      </c>
      <c r="GD139" s="340">
        <f t="shared" si="127"/>
        <v>229291.47999999995</v>
      </c>
      <c r="GE139" s="340">
        <f t="shared" si="128"/>
        <v>243286.97</v>
      </c>
      <c r="GF139" s="340">
        <f t="shared" si="129"/>
        <v>247505.81</v>
      </c>
      <c r="GG139" s="340">
        <f t="shared" si="130"/>
        <v>258960.25</v>
      </c>
      <c r="GH139" s="340">
        <f t="shared" si="131"/>
        <v>277853.05000000005</v>
      </c>
      <c r="GI139" s="340">
        <f t="shared" si="132"/>
        <v>283963</v>
      </c>
      <c r="GJ139" s="122"/>
      <c r="GK139" s="340" t="s">
        <v>24</v>
      </c>
      <c r="GL139" s="340">
        <f t="shared" si="133"/>
        <v>19058.080000000002</v>
      </c>
      <c r="GM139" s="340">
        <f t="shared" si="134"/>
        <v>9704.85</v>
      </c>
      <c r="GN139" s="340">
        <f t="shared" si="135"/>
        <v>20032.68</v>
      </c>
      <c r="GO139" s="340">
        <f t="shared" si="136"/>
        <v>21514.36</v>
      </c>
      <c r="GP139" s="340">
        <f t="shared" si="137"/>
        <v>0</v>
      </c>
      <c r="GQ139" s="340">
        <f t="shared" si="138"/>
        <v>22476.58</v>
      </c>
      <c r="GR139" s="340">
        <f t="shared" si="139"/>
        <v>59565.45</v>
      </c>
      <c r="GS139" s="340">
        <f t="shared" si="140"/>
        <v>0</v>
      </c>
      <c r="GT139" s="340">
        <f t="shared" si="141"/>
        <v>40685.279999999999</v>
      </c>
      <c r="GU139" s="340">
        <f t="shared" si="142"/>
        <v>31165.5</v>
      </c>
      <c r="GV139" s="340">
        <f t="shared" si="143"/>
        <v>134056.56</v>
      </c>
      <c r="GW139" s="340">
        <f t="shared" si="144"/>
        <v>210486</v>
      </c>
      <c r="GX139" s="340">
        <f t="shared" si="145"/>
        <v>128250</v>
      </c>
      <c r="GY139" s="340">
        <f t="shared" si="146"/>
        <v>102368</v>
      </c>
      <c r="GZ139" s="340">
        <f t="shared" si="147"/>
        <v>57291.740000000005</v>
      </c>
      <c r="HA139" s="340">
        <f t="shared" si="148"/>
        <v>39000</v>
      </c>
      <c r="HB139" s="340">
        <f t="shared" si="149"/>
        <v>39000</v>
      </c>
      <c r="HC139" s="340">
        <f t="shared" si="150"/>
        <v>164000</v>
      </c>
      <c r="HD139" s="340">
        <f t="shared" si="151"/>
        <v>169000</v>
      </c>
      <c r="HE139" s="340">
        <f t="shared" si="152"/>
        <v>179000</v>
      </c>
      <c r="HF139" s="340">
        <f t="shared" si="153"/>
        <v>39000</v>
      </c>
      <c r="HG139" s="340">
        <f t="shared" si="154"/>
        <v>39000</v>
      </c>
      <c r="HH139" s="122"/>
      <c r="IF139" s="122"/>
      <c r="IG139" s="122"/>
      <c r="IH139" s="122"/>
      <c r="II139" s="122"/>
      <c r="IJ139" s="122"/>
      <c r="IK139" s="122"/>
      <c r="IL139" s="122"/>
      <c r="IN139" s="118"/>
      <c r="IP139" s="122"/>
      <c r="IQ139" s="122"/>
      <c r="IR139" s="122"/>
      <c r="IS139" s="122"/>
      <c r="IT139" s="122"/>
      <c r="IU139" s="122"/>
      <c r="IV139" s="122"/>
      <c r="IW139" s="122"/>
      <c r="IX139" s="122"/>
      <c r="IY139" s="122"/>
      <c r="IZ139" s="122"/>
      <c r="JA139" s="122"/>
      <c r="JB139" s="122"/>
      <c r="JC139" s="122"/>
      <c r="JD139" s="122"/>
      <c r="JE139" s="122"/>
      <c r="JF139" s="122"/>
      <c r="JG139" s="122"/>
      <c r="JH139" s="122"/>
      <c r="JI139" s="122"/>
      <c r="JK139" s="118"/>
      <c r="JL139" s="118"/>
      <c r="JY139" s="122"/>
      <c r="JZ139" s="122"/>
      <c r="KA139" s="122"/>
      <c r="KB139" s="122"/>
      <c r="LX139" s="122"/>
      <c r="LY139" s="122"/>
      <c r="LZ139" s="122"/>
      <c r="MB139" s="118"/>
      <c r="MC139" s="118"/>
      <c r="MP139" s="122"/>
      <c r="MQ139" s="122"/>
      <c r="MR139" s="122"/>
      <c r="MS139" s="122"/>
      <c r="MT139" s="122"/>
      <c r="MU139" s="122"/>
      <c r="MV139" s="122"/>
      <c r="OS139" s="118"/>
      <c r="OT139" s="118"/>
      <c r="PC139" s="122"/>
      <c r="PD139" s="122"/>
      <c r="PE139" s="122"/>
      <c r="PF139" s="122"/>
      <c r="PG139" s="122"/>
      <c r="PH139" s="122"/>
      <c r="PI139" s="122"/>
      <c r="PJ139" s="122"/>
      <c r="PP139" s="118"/>
      <c r="PQ139" s="118"/>
      <c r="PZ139" s="122"/>
      <c r="QA139" s="122"/>
      <c r="QB139" s="122"/>
      <c r="QC139" s="122"/>
      <c r="QD139" s="122"/>
      <c r="QE139" s="122"/>
      <c r="QF139" s="122"/>
      <c r="QG139" s="122"/>
      <c r="QM139" s="118"/>
      <c r="QN139" s="118"/>
      <c r="RE139" s="118"/>
      <c r="RF139" s="118"/>
      <c r="RG139" s="118"/>
      <c r="RH139" s="118"/>
      <c r="RI139" s="118"/>
      <c r="RJ139" s="118"/>
      <c r="RK139" s="118"/>
    </row>
    <row r="140" spans="1:479">
      <c r="Y140" s="277" t="s">
        <v>25</v>
      </c>
      <c r="Z140" s="319">
        <f t="shared" si="0"/>
        <v>262981.19999999995</v>
      </c>
      <c r="AA140" s="319">
        <f t="shared" si="1"/>
        <v>224412.25</v>
      </c>
      <c r="AB140" s="319">
        <f t="shared" si="2"/>
        <v>288467.48</v>
      </c>
      <c r="AC140" s="319">
        <f t="shared" si="3"/>
        <v>293672.86</v>
      </c>
      <c r="AD140" s="319">
        <f t="shared" si="4"/>
        <v>328634.55000000005</v>
      </c>
      <c r="AE140" s="319">
        <f t="shared" si="5"/>
        <v>321346.75</v>
      </c>
      <c r="AF140" s="319">
        <f t="shared" si="6"/>
        <v>348760.75</v>
      </c>
      <c r="AG140" s="319">
        <f t="shared" si="7"/>
        <v>285371.07</v>
      </c>
      <c r="AH140" s="319">
        <f t="shared" si="8"/>
        <v>338671.12999999995</v>
      </c>
      <c r="AI140" s="319">
        <f t="shared" si="9"/>
        <v>391299.78</v>
      </c>
      <c r="AJ140" s="319">
        <f t="shared" si="10"/>
        <v>348318.77</v>
      </c>
      <c r="AK140" s="319">
        <f t="shared" si="11"/>
        <v>337857.52999999997</v>
      </c>
      <c r="AL140" s="319">
        <f t="shared" si="12"/>
        <v>421625.16000000003</v>
      </c>
      <c r="AM140" s="319">
        <f t="shared" si="13"/>
        <v>377990.46</v>
      </c>
      <c r="AN140" s="319">
        <f t="shared" si="14"/>
        <v>441632.21</v>
      </c>
      <c r="AO140" s="319">
        <f t="shared" si="15"/>
        <v>396043.94</v>
      </c>
      <c r="AP140" s="319">
        <f t="shared" si="16"/>
        <v>427666.96000000008</v>
      </c>
      <c r="AQ140" s="319">
        <f t="shared" si="17"/>
        <v>405856.02999999997</v>
      </c>
      <c r="AR140" s="319">
        <f t="shared" si="18"/>
        <v>448936.26</v>
      </c>
      <c r="AS140" s="319">
        <f t="shared" si="19"/>
        <v>449558.93999999994</v>
      </c>
      <c r="AT140" s="319">
        <f t="shared" si="20"/>
        <v>563386.34000000008</v>
      </c>
      <c r="AU140" s="319">
        <f t="shared" si="21"/>
        <v>477708</v>
      </c>
      <c r="AW140" s="322" t="s">
        <v>25</v>
      </c>
      <c r="AX140" s="322">
        <f t="shared" si="22"/>
        <v>70128.320000000007</v>
      </c>
      <c r="AY140" s="322">
        <f t="shared" si="23"/>
        <v>89764.9</v>
      </c>
      <c r="AZ140" s="322">
        <f t="shared" si="24"/>
        <v>103024.1</v>
      </c>
      <c r="BA140" s="322">
        <f t="shared" si="25"/>
        <v>79065.77</v>
      </c>
      <c r="BB140" s="322">
        <f t="shared" si="26"/>
        <v>73029.899999999994</v>
      </c>
      <c r="BC140" s="322">
        <f t="shared" si="27"/>
        <v>64269.350000000006</v>
      </c>
      <c r="BD140" s="322">
        <f t="shared" si="28"/>
        <v>85347.42</v>
      </c>
      <c r="BE140" s="322">
        <f t="shared" si="29"/>
        <v>60078.12</v>
      </c>
      <c r="BF140" s="322">
        <f t="shared" si="30"/>
        <v>72997.02</v>
      </c>
      <c r="BG140" s="322">
        <f t="shared" si="31"/>
        <v>89701.26999999999</v>
      </c>
      <c r="BH140" s="322">
        <f t="shared" si="32"/>
        <v>88919.6</v>
      </c>
      <c r="BI140" s="322">
        <f t="shared" si="33"/>
        <v>126239.22</v>
      </c>
      <c r="BJ140" s="322">
        <f t="shared" si="34"/>
        <v>98322.92</v>
      </c>
      <c r="BK140" s="322">
        <f t="shared" si="35"/>
        <v>70727.69</v>
      </c>
      <c r="BL140" s="322">
        <f t="shared" si="36"/>
        <v>60089.599999999999</v>
      </c>
      <c r="BM140" s="322">
        <f t="shared" si="37"/>
        <v>63451.100000000006</v>
      </c>
      <c r="BN140" s="322">
        <f t="shared" si="38"/>
        <v>60877.759999999995</v>
      </c>
      <c r="BO140" s="340">
        <f t="shared" si="39"/>
        <v>51769.89</v>
      </c>
      <c r="BP140" s="340">
        <f t="shared" si="40"/>
        <v>49348.75</v>
      </c>
      <c r="BQ140" s="340">
        <f t="shared" si="41"/>
        <v>58345.209999999992</v>
      </c>
      <c r="BR140" s="340">
        <f t="shared" si="42"/>
        <v>58957.83</v>
      </c>
      <c r="BS140" s="340">
        <f t="shared" si="43"/>
        <v>66772.179999999993</v>
      </c>
      <c r="BU140" s="340" t="s">
        <v>25</v>
      </c>
      <c r="BV140" s="340">
        <f t="shared" si="44"/>
        <v>26298.120000000003</v>
      </c>
      <c r="BW140" s="340">
        <f t="shared" si="45"/>
        <v>26929.47</v>
      </c>
      <c r="BX140" s="340">
        <f t="shared" si="46"/>
        <v>41209.64</v>
      </c>
      <c r="BY140" s="340">
        <f t="shared" si="47"/>
        <v>33885.33</v>
      </c>
      <c r="BZ140" s="340">
        <f t="shared" si="48"/>
        <v>48686.6</v>
      </c>
      <c r="CA140" s="340">
        <f t="shared" si="49"/>
        <v>51415.48</v>
      </c>
      <c r="CB140" s="340">
        <f t="shared" si="50"/>
        <v>56898.28</v>
      </c>
      <c r="CC140" s="340">
        <f t="shared" si="51"/>
        <v>45058.590000000004</v>
      </c>
      <c r="CD140" s="340">
        <f t="shared" si="52"/>
        <v>45798.27</v>
      </c>
      <c r="CE140" s="340">
        <f t="shared" si="53"/>
        <v>48884.3</v>
      </c>
      <c r="CF140" s="340">
        <f t="shared" si="54"/>
        <v>48375.259999999995</v>
      </c>
      <c r="CG140" s="340">
        <f t="shared" si="55"/>
        <v>51141.37</v>
      </c>
      <c r="CH140" s="340">
        <f t="shared" si="56"/>
        <v>51631.100000000006</v>
      </c>
      <c r="CI140" s="340">
        <f t="shared" si="57"/>
        <v>56012.82</v>
      </c>
      <c r="CJ140" s="340">
        <f t="shared" si="58"/>
        <v>53948.91</v>
      </c>
      <c r="CK140" s="340">
        <f t="shared" si="59"/>
        <v>56226.41</v>
      </c>
      <c r="CL140" s="340">
        <f t="shared" si="60"/>
        <v>55696.78</v>
      </c>
      <c r="CM140" s="340">
        <f t="shared" si="61"/>
        <v>58441.24</v>
      </c>
      <c r="CN140" s="340">
        <f t="shared" si="62"/>
        <v>58715.94</v>
      </c>
      <c r="CO140" s="340">
        <f t="shared" si="63"/>
        <v>58614.53</v>
      </c>
      <c r="CP140" s="340">
        <f t="shared" si="64"/>
        <v>58859.660000000011</v>
      </c>
      <c r="CQ140" s="340">
        <f t="shared" si="65"/>
        <v>60515</v>
      </c>
      <c r="CR140" s="122"/>
      <c r="CS140" s="340" t="s">
        <v>25</v>
      </c>
      <c r="CT140" s="340">
        <f t="shared" si="66"/>
        <v>175320.8</v>
      </c>
      <c r="CU140" s="340">
        <f t="shared" si="67"/>
        <v>107717.88</v>
      </c>
      <c r="CV140" s="340">
        <f t="shared" si="68"/>
        <v>103024.1</v>
      </c>
      <c r="CW140" s="340">
        <f t="shared" si="69"/>
        <v>90360.88</v>
      </c>
      <c r="CX140" s="340">
        <f t="shared" si="70"/>
        <v>133888.15</v>
      </c>
      <c r="CY140" s="340">
        <f t="shared" si="71"/>
        <v>141392.57</v>
      </c>
      <c r="CZ140" s="340">
        <f t="shared" si="72"/>
        <v>156470.26999999999</v>
      </c>
      <c r="DA140" s="340">
        <f t="shared" si="73"/>
        <v>300390.59999999998</v>
      </c>
      <c r="DB140" s="340">
        <f t="shared" si="74"/>
        <v>459010.63000000006</v>
      </c>
      <c r="DC140" s="340">
        <f t="shared" si="75"/>
        <v>264662.74</v>
      </c>
      <c r="DD140" s="340">
        <f t="shared" si="76"/>
        <v>166694.44</v>
      </c>
      <c r="DE140" s="340">
        <f t="shared" si="77"/>
        <v>168852.24</v>
      </c>
      <c r="DF140" s="340">
        <f t="shared" si="78"/>
        <v>177083.23</v>
      </c>
      <c r="DG140" s="340">
        <f t="shared" si="79"/>
        <v>189707.15</v>
      </c>
      <c r="DH140" s="340">
        <f t="shared" si="80"/>
        <v>170103.97</v>
      </c>
      <c r="DI140" s="340">
        <f t="shared" si="81"/>
        <v>221452.83000000002</v>
      </c>
      <c r="DJ140" s="340">
        <f t="shared" si="82"/>
        <v>194942.25</v>
      </c>
      <c r="DK140" s="340">
        <f t="shared" si="83"/>
        <v>160745.05000000002</v>
      </c>
      <c r="DL140" s="340">
        <f t="shared" si="84"/>
        <v>200106.09</v>
      </c>
      <c r="DM140" s="340">
        <f t="shared" si="85"/>
        <v>194471.95</v>
      </c>
      <c r="DN140" s="340">
        <f t="shared" si="86"/>
        <v>212526.97000000003</v>
      </c>
      <c r="DO140" s="340">
        <f t="shared" si="87"/>
        <v>243693.05</v>
      </c>
      <c r="DP140" s="330"/>
      <c r="DQ140" s="340" t="s">
        <v>25</v>
      </c>
      <c r="DR140" s="340">
        <f t="shared" ref="DR140:EM140" si="178">DR42</f>
        <v>70128.320000000007</v>
      </c>
      <c r="DS140" s="340">
        <f t="shared" si="178"/>
        <v>80788.41</v>
      </c>
      <c r="DT140" s="340">
        <f t="shared" si="178"/>
        <v>92721.69</v>
      </c>
      <c r="DU140" s="340">
        <f t="shared" si="178"/>
        <v>124246.21</v>
      </c>
      <c r="DV140" s="340">
        <f t="shared" si="178"/>
        <v>146059.79999999999</v>
      </c>
      <c r="DW140" s="340">
        <f t="shared" si="178"/>
        <v>154246.44</v>
      </c>
      <c r="DX140" s="340">
        <f t="shared" si="178"/>
        <v>184919.41</v>
      </c>
      <c r="DY140" s="340">
        <f t="shared" si="178"/>
        <v>165214.82999999999</v>
      </c>
      <c r="DZ140" s="340">
        <f t="shared" si="178"/>
        <v>175498.97</v>
      </c>
      <c r="EA140" s="340">
        <f t="shared" si="178"/>
        <v>206813.76</v>
      </c>
      <c r="EB140" s="340">
        <f t="shared" si="178"/>
        <v>208731.69</v>
      </c>
      <c r="EC140" s="340">
        <f t="shared" si="178"/>
        <v>195808.85</v>
      </c>
      <c r="ED140" s="340">
        <f t="shared" si="178"/>
        <v>193005.30000000002</v>
      </c>
      <c r="EE140" s="340">
        <f t="shared" si="178"/>
        <v>200921.53</v>
      </c>
      <c r="EF140" s="340">
        <f t="shared" si="178"/>
        <v>207298.31999999998</v>
      </c>
      <c r="EG140" s="340">
        <f t="shared" si="178"/>
        <v>221984.17000000004</v>
      </c>
      <c r="EH140" s="340">
        <f t="shared" si="178"/>
        <v>196901.35</v>
      </c>
      <c r="EI140" s="340">
        <f t="shared" si="178"/>
        <v>204719.71</v>
      </c>
      <c r="EJ140" s="340">
        <f t="shared" si="178"/>
        <v>206657.53999999998</v>
      </c>
      <c r="EK140" s="340">
        <f t="shared" si="178"/>
        <v>221705.42</v>
      </c>
      <c r="EL140" s="340">
        <f t="shared" si="178"/>
        <v>206335.54</v>
      </c>
      <c r="EM140" s="340">
        <f t="shared" si="178"/>
        <v>256736.64000000001</v>
      </c>
      <c r="EO140" s="319" t="s">
        <v>25</v>
      </c>
      <c r="EP140" s="319">
        <f t="shared" si="89"/>
        <v>157788.72000000003</v>
      </c>
      <c r="EQ140" s="319">
        <f t="shared" si="90"/>
        <v>233388.74</v>
      </c>
      <c r="ER140" s="319">
        <f t="shared" si="91"/>
        <v>267862.65999999997</v>
      </c>
      <c r="ES140" s="319">
        <f t="shared" si="92"/>
        <v>338853.3</v>
      </c>
      <c r="ET140" s="319">
        <f t="shared" si="93"/>
        <v>328634.55</v>
      </c>
      <c r="EU140" s="319">
        <f t="shared" si="94"/>
        <v>398469.97</v>
      </c>
      <c r="EV140" s="319">
        <f t="shared" si="95"/>
        <v>412512.53</v>
      </c>
      <c r="EW140" s="319">
        <f t="shared" si="96"/>
        <v>435566.37</v>
      </c>
      <c r="EX140" s="319">
        <f t="shared" si="97"/>
        <v>441023.85</v>
      </c>
      <c r="EY140" s="319">
        <f t="shared" si="98"/>
        <v>462623.9</v>
      </c>
      <c r="EZ140" s="319">
        <f t="shared" si="99"/>
        <v>398005.23</v>
      </c>
      <c r="FA140" s="319">
        <f t="shared" si="100"/>
        <v>450454.03</v>
      </c>
      <c r="FB140" s="319">
        <f t="shared" si="101"/>
        <v>504749.97000000009</v>
      </c>
      <c r="FC140" s="319">
        <f t="shared" si="102"/>
        <v>521170.93000000005</v>
      </c>
      <c r="FD140" s="319">
        <f t="shared" si="103"/>
        <v>490082.24000000011</v>
      </c>
      <c r="FE140" s="319">
        <f t="shared" si="104"/>
        <v>508626.49</v>
      </c>
      <c r="FF140" s="322">
        <f t="shared" si="105"/>
        <v>477778.23</v>
      </c>
      <c r="FG140" s="336">
        <f t="shared" si="106"/>
        <v>503487.36</v>
      </c>
      <c r="FH140" s="336">
        <f t="shared" si="107"/>
        <v>504268.79000000004</v>
      </c>
      <c r="FI140" s="336">
        <f t="shared" si="108"/>
        <v>535955.5199999999</v>
      </c>
      <c r="FJ140" s="336">
        <f t="shared" si="109"/>
        <v>517842.18000000011</v>
      </c>
      <c r="FK140" s="336">
        <f t="shared" si="110"/>
        <v>529490.89999999991</v>
      </c>
      <c r="FL140" s="122"/>
      <c r="FM140" s="340" t="s">
        <v>25</v>
      </c>
      <c r="FN140" s="340">
        <f t="shared" si="111"/>
        <v>87660.4</v>
      </c>
      <c r="FO140" s="340">
        <f t="shared" si="112"/>
        <v>89764.9</v>
      </c>
      <c r="FP140" s="340">
        <f t="shared" si="113"/>
        <v>103024.1</v>
      </c>
      <c r="FQ140" s="340">
        <f t="shared" si="114"/>
        <v>112951.1</v>
      </c>
      <c r="FR140" s="340">
        <f t="shared" si="115"/>
        <v>121716.5</v>
      </c>
      <c r="FS140" s="340">
        <f t="shared" si="116"/>
        <v>115684.83</v>
      </c>
      <c r="FT140" s="340">
        <f t="shared" si="117"/>
        <v>128021.13</v>
      </c>
      <c r="FU140" s="340">
        <f t="shared" si="118"/>
        <v>135175.76999999999</v>
      </c>
      <c r="FV140" s="340">
        <f t="shared" si="119"/>
        <v>141335.22999999998</v>
      </c>
      <c r="FW140" s="340">
        <f t="shared" si="120"/>
        <v>146037.94000000003</v>
      </c>
      <c r="FX140" s="340">
        <f t="shared" si="121"/>
        <v>150049.21000000002</v>
      </c>
      <c r="FY140" s="340">
        <f t="shared" si="122"/>
        <v>149242.5</v>
      </c>
      <c r="FZ140" s="340">
        <f t="shared" si="123"/>
        <v>149006.72000000003</v>
      </c>
      <c r="GA140" s="340">
        <f t="shared" si="124"/>
        <v>153277.4</v>
      </c>
      <c r="GB140" s="340">
        <f t="shared" si="125"/>
        <v>151357.26999999999</v>
      </c>
      <c r="GC140" s="340">
        <f t="shared" si="126"/>
        <v>122705.11</v>
      </c>
      <c r="GD140" s="340">
        <f t="shared" si="127"/>
        <v>128086.5</v>
      </c>
      <c r="GE140" s="340">
        <f t="shared" si="128"/>
        <v>133189.03</v>
      </c>
      <c r="GF140" s="340">
        <f t="shared" si="129"/>
        <v>142501.65000000002</v>
      </c>
      <c r="GG140" s="340">
        <f t="shared" si="130"/>
        <v>154123.12000000002</v>
      </c>
      <c r="GH140" s="340">
        <f t="shared" si="131"/>
        <v>155211.94</v>
      </c>
      <c r="GI140" s="340">
        <f t="shared" si="132"/>
        <v>157858.45000000001</v>
      </c>
      <c r="GJ140" s="122"/>
      <c r="GK140" s="340" t="s">
        <v>25</v>
      </c>
      <c r="GL140" s="340">
        <f t="shared" si="133"/>
        <v>26298.12</v>
      </c>
      <c r="GM140" s="340">
        <f t="shared" si="134"/>
        <v>44882.45</v>
      </c>
      <c r="GN140" s="340">
        <f t="shared" si="135"/>
        <v>30907.23</v>
      </c>
      <c r="GO140" s="340">
        <f t="shared" si="136"/>
        <v>56475.55</v>
      </c>
      <c r="GP140" s="340">
        <f t="shared" si="137"/>
        <v>36514.949999999997</v>
      </c>
      <c r="GQ140" s="340">
        <f t="shared" si="138"/>
        <v>38561.61</v>
      </c>
      <c r="GR140" s="340">
        <f t="shared" si="139"/>
        <v>42673.71</v>
      </c>
      <c r="GS140" s="340">
        <f t="shared" si="140"/>
        <v>75097.649999999994</v>
      </c>
      <c r="GT140" s="340">
        <f t="shared" si="141"/>
        <v>52158.36</v>
      </c>
      <c r="GU140" s="340">
        <f t="shared" si="142"/>
        <v>49199.5</v>
      </c>
      <c r="GV140" s="340">
        <f t="shared" si="143"/>
        <v>149261.76000000001</v>
      </c>
      <c r="GW140" s="340">
        <f t="shared" si="144"/>
        <v>59000.57</v>
      </c>
      <c r="GX140" s="340">
        <f t="shared" si="145"/>
        <v>54190.280000000006</v>
      </c>
      <c r="GY140" s="340">
        <f t="shared" si="146"/>
        <v>58331.68</v>
      </c>
      <c r="GZ140" s="340">
        <f t="shared" si="147"/>
        <v>56966.340000000004</v>
      </c>
      <c r="HA140" s="340">
        <f t="shared" si="148"/>
        <v>59826.180000000008</v>
      </c>
      <c r="HB140" s="340">
        <f t="shared" si="149"/>
        <v>36720</v>
      </c>
      <c r="HC140" s="340">
        <f t="shared" si="150"/>
        <v>38738.339999999997</v>
      </c>
      <c r="HD140" s="340">
        <f t="shared" si="151"/>
        <v>43337.95</v>
      </c>
      <c r="HE140" s="340">
        <f t="shared" si="152"/>
        <v>55220</v>
      </c>
      <c r="HF140" s="340">
        <f t="shared" si="153"/>
        <v>51404.67</v>
      </c>
      <c r="HG140" s="340">
        <f t="shared" si="154"/>
        <v>48507</v>
      </c>
      <c r="HH140" s="122"/>
      <c r="IF140" s="122"/>
      <c r="IG140" s="122"/>
      <c r="IH140" s="122"/>
      <c r="II140" s="122"/>
      <c r="IJ140" s="122"/>
      <c r="IK140" s="122"/>
      <c r="IL140" s="122"/>
      <c r="IN140" s="118"/>
      <c r="IP140" s="122"/>
      <c r="IQ140" s="122"/>
      <c r="IR140" s="122"/>
      <c r="IS140" s="122"/>
      <c r="IT140" s="122"/>
      <c r="IU140" s="122"/>
      <c r="IV140" s="122"/>
      <c r="IW140" s="122"/>
      <c r="IX140" s="122"/>
      <c r="IY140" s="122"/>
      <c r="IZ140" s="122"/>
      <c r="JA140" s="122"/>
      <c r="JB140" s="122"/>
      <c r="JC140" s="122"/>
      <c r="JD140" s="122"/>
      <c r="JE140" s="122"/>
      <c r="JF140" s="122"/>
      <c r="JG140" s="122"/>
      <c r="JH140" s="122"/>
      <c r="JI140" s="122"/>
      <c r="JK140" s="118"/>
      <c r="JL140" s="118"/>
      <c r="JY140" s="122"/>
      <c r="JZ140" s="122"/>
      <c r="KA140" s="122"/>
      <c r="KB140" s="122"/>
      <c r="LX140" s="122"/>
      <c r="LY140" s="122"/>
      <c r="LZ140" s="122"/>
      <c r="MB140" s="118"/>
      <c r="MC140" s="118"/>
      <c r="MP140" s="122"/>
      <c r="MQ140" s="122"/>
      <c r="MR140" s="122"/>
      <c r="MS140" s="122"/>
      <c r="MT140" s="122"/>
      <c r="MU140" s="122"/>
      <c r="MV140" s="122"/>
      <c r="OS140" s="118"/>
      <c r="OT140" s="118"/>
      <c r="PC140" s="122"/>
      <c r="PD140" s="122"/>
      <c r="PE140" s="122"/>
      <c r="PF140" s="122"/>
      <c r="PG140" s="122"/>
      <c r="PH140" s="122"/>
      <c r="PI140" s="122"/>
      <c r="PJ140" s="122"/>
      <c r="PP140" s="118"/>
      <c r="PQ140" s="118"/>
      <c r="PZ140" s="122"/>
      <c r="QA140" s="122"/>
      <c r="QB140" s="122"/>
      <c r="QC140" s="122"/>
      <c r="QD140" s="122"/>
      <c r="QE140" s="122"/>
      <c r="QF140" s="122"/>
      <c r="QG140" s="122"/>
      <c r="QM140" s="118"/>
      <c r="QN140" s="118"/>
      <c r="RE140" s="118"/>
      <c r="RF140" s="118"/>
      <c r="RG140" s="118"/>
      <c r="RH140" s="118"/>
      <c r="RI140" s="118"/>
      <c r="RJ140" s="118"/>
      <c r="RK140" s="118"/>
    </row>
    <row r="141" spans="1:479">
      <c r="Y141" s="277" t="s">
        <v>26</v>
      </c>
      <c r="Z141" s="319">
        <f t="shared" si="0"/>
        <v>552049.96000000008</v>
      </c>
      <c r="AA141" s="319">
        <f t="shared" si="1"/>
        <v>635579.20000000007</v>
      </c>
      <c r="AB141" s="319">
        <f t="shared" si="2"/>
        <v>682152.5</v>
      </c>
      <c r="AC141" s="319">
        <f t="shared" si="3"/>
        <v>678797.79</v>
      </c>
      <c r="AD141" s="319">
        <f t="shared" si="4"/>
        <v>763268.55</v>
      </c>
      <c r="AE141" s="319">
        <f t="shared" si="5"/>
        <v>740111.99999999988</v>
      </c>
      <c r="AF141" s="319">
        <f t="shared" si="6"/>
        <v>799921.7</v>
      </c>
      <c r="AG141" s="319">
        <f t="shared" si="7"/>
        <v>1707922.96</v>
      </c>
      <c r="AH141" s="319">
        <f t="shared" si="8"/>
        <v>767687.75</v>
      </c>
      <c r="AI141" s="319">
        <f t="shared" si="9"/>
        <v>1546122.98</v>
      </c>
      <c r="AJ141" s="319">
        <f t="shared" si="10"/>
        <v>1196204.1700000002</v>
      </c>
      <c r="AK141" s="319">
        <f t="shared" si="11"/>
        <v>870485.17999999993</v>
      </c>
      <c r="AL141" s="319">
        <f t="shared" si="12"/>
        <v>982799.57000000007</v>
      </c>
      <c r="AM141" s="319">
        <f t="shared" si="13"/>
        <v>893964.22</v>
      </c>
      <c r="AN141" s="319">
        <f t="shared" si="14"/>
        <v>1206663.746</v>
      </c>
      <c r="AO141" s="319">
        <f t="shared" si="15"/>
        <v>1048844.9200000002</v>
      </c>
      <c r="AP141" s="319">
        <f t="shared" si="16"/>
        <v>0</v>
      </c>
      <c r="AQ141" s="319">
        <f t="shared" si="17"/>
        <v>899539.39999999991</v>
      </c>
      <c r="AR141" s="319">
        <f t="shared" si="18"/>
        <v>1209733.48</v>
      </c>
      <c r="AS141" s="319">
        <f t="shared" si="19"/>
        <v>1327054.9000000001</v>
      </c>
      <c r="AT141" s="319">
        <f t="shared" si="20"/>
        <v>1113976.1100000001</v>
      </c>
      <c r="AU141" s="319">
        <f t="shared" si="21"/>
        <v>1184058</v>
      </c>
      <c r="AW141" s="322" t="s">
        <v>26</v>
      </c>
      <c r="AX141" s="322">
        <f t="shared" si="22"/>
        <v>157728.56</v>
      </c>
      <c r="AY141" s="322">
        <f t="shared" si="23"/>
        <v>178756.65000000002</v>
      </c>
      <c r="AZ141" s="322">
        <f t="shared" si="24"/>
        <v>235225</v>
      </c>
      <c r="BA141" s="322">
        <f t="shared" si="25"/>
        <v>185126.66999999998</v>
      </c>
      <c r="BB141" s="322">
        <f t="shared" si="26"/>
        <v>185034.8</v>
      </c>
      <c r="BC141" s="322">
        <f t="shared" si="27"/>
        <v>172692.8</v>
      </c>
      <c r="BD141" s="322">
        <f t="shared" si="28"/>
        <v>131718.5</v>
      </c>
      <c r="BE141" s="322">
        <f t="shared" si="29"/>
        <v>148515.04</v>
      </c>
      <c r="BF141" s="322">
        <f t="shared" si="30"/>
        <v>126422.5</v>
      </c>
      <c r="BG141" s="322">
        <f t="shared" si="31"/>
        <v>167403.49</v>
      </c>
      <c r="BH141" s="322">
        <f t="shared" si="32"/>
        <v>181875.90000000002</v>
      </c>
      <c r="BI141" s="322">
        <f t="shared" si="33"/>
        <v>153929.98000000001</v>
      </c>
      <c r="BJ141" s="322">
        <f t="shared" si="34"/>
        <v>177979.81</v>
      </c>
      <c r="BK141" s="322">
        <f t="shared" si="35"/>
        <v>178837.62</v>
      </c>
      <c r="BL141" s="322">
        <f t="shared" si="36"/>
        <v>199863.24</v>
      </c>
      <c r="BM141" s="322">
        <f t="shared" si="37"/>
        <v>174140.96000000002</v>
      </c>
      <c r="BN141" s="322">
        <f t="shared" si="38"/>
        <v>0</v>
      </c>
      <c r="BO141" s="340">
        <f t="shared" si="39"/>
        <v>262595.21999999997</v>
      </c>
      <c r="BP141" s="340">
        <f t="shared" si="40"/>
        <v>265910.52</v>
      </c>
      <c r="BQ141" s="340">
        <f t="shared" si="41"/>
        <v>257901.38</v>
      </c>
      <c r="BR141" s="340">
        <f t="shared" si="42"/>
        <v>244075.83999999997</v>
      </c>
      <c r="BS141" s="340">
        <f t="shared" si="43"/>
        <v>255200</v>
      </c>
      <c r="BU141" s="340" t="s">
        <v>26</v>
      </c>
      <c r="BV141" s="340">
        <f t="shared" si="44"/>
        <v>39432.14</v>
      </c>
      <c r="BW141" s="340">
        <f t="shared" si="45"/>
        <v>19861.849999999999</v>
      </c>
      <c r="BX141" s="340">
        <f t="shared" si="46"/>
        <v>23522.5</v>
      </c>
      <c r="BY141" s="340">
        <f t="shared" si="47"/>
        <v>41139.26</v>
      </c>
      <c r="BZ141" s="340">
        <f t="shared" si="48"/>
        <v>69388.049999999988</v>
      </c>
      <c r="CA141" s="340">
        <f t="shared" si="49"/>
        <v>74011.200000000012</v>
      </c>
      <c r="CB141" s="340">
        <f t="shared" si="50"/>
        <v>79031.100000000006</v>
      </c>
      <c r="CC141" s="340">
        <f t="shared" si="51"/>
        <v>111386.28</v>
      </c>
      <c r="CD141" s="340">
        <f t="shared" si="52"/>
        <v>136585.00999999998</v>
      </c>
      <c r="CE141" s="340">
        <f t="shared" si="53"/>
        <v>145022.52999999997</v>
      </c>
      <c r="CF141" s="340">
        <f t="shared" si="54"/>
        <v>140471.78</v>
      </c>
      <c r="CG141" s="340">
        <f t="shared" si="55"/>
        <v>147821.99</v>
      </c>
      <c r="CH141" s="340">
        <f t="shared" si="56"/>
        <v>156300.51</v>
      </c>
      <c r="CI141" s="340">
        <f t="shared" si="57"/>
        <v>163755.94</v>
      </c>
      <c r="CJ141" s="340">
        <f t="shared" si="58"/>
        <v>157841.88999999998</v>
      </c>
      <c r="CK141" s="340">
        <f t="shared" si="59"/>
        <v>157640.44999999998</v>
      </c>
      <c r="CL141" s="340">
        <f t="shared" si="60"/>
        <v>0</v>
      </c>
      <c r="CM141" s="340">
        <f t="shared" si="61"/>
        <v>156432.21000000002</v>
      </c>
      <c r="CN141" s="340">
        <f t="shared" si="62"/>
        <v>170785.86</v>
      </c>
      <c r="CO141" s="340">
        <f t="shared" si="63"/>
        <v>180616.38</v>
      </c>
      <c r="CP141" s="340">
        <f t="shared" si="64"/>
        <v>181097.34</v>
      </c>
      <c r="CQ141" s="340">
        <f t="shared" si="65"/>
        <v>177036</v>
      </c>
      <c r="CR141" s="122"/>
      <c r="CS141" s="340" t="s">
        <v>26</v>
      </c>
      <c r="CT141" s="340">
        <f t="shared" si="66"/>
        <v>98580.35</v>
      </c>
      <c r="CU141" s="340">
        <f t="shared" si="67"/>
        <v>158894.79999999999</v>
      </c>
      <c r="CV141" s="340">
        <f t="shared" si="68"/>
        <v>329315</v>
      </c>
      <c r="CW141" s="340">
        <f t="shared" si="69"/>
        <v>82278.52</v>
      </c>
      <c r="CX141" s="340">
        <f t="shared" si="70"/>
        <v>92517.4</v>
      </c>
      <c r="CY141" s="340">
        <f t="shared" si="71"/>
        <v>98681.600000000006</v>
      </c>
      <c r="CZ141" s="340">
        <f t="shared" si="72"/>
        <v>158062.20000000001</v>
      </c>
      <c r="DA141" s="340">
        <f t="shared" si="73"/>
        <v>148515.04</v>
      </c>
      <c r="DB141" s="340">
        <f t="shared" si="74"/>
        <v>147683.19</v>
      </c>
      <c r="DC141" s="340">
        <f t="shared" si="75"/>
        <v>273549.95</v>
      </c>
      <c r="DD141" s="340">
        <f t="shared" si="76"/>
        <v>95730</v>
      </c>
      <c r="DE141" s="340">
        <f t="shared" si="77"/>
        <v>106027.54000000001</v>
      </c>
      <c r="DF141" s="340">
        <f t="shared" si="78"/>
        <v>125852.45999999999</v>
      </c>
      <c r="DG141" s="340">
        <f t="shared" si="79"/>
        <v>136935.45000000001</v>
      </c>
      <c r="DH141" s="340">
        <f t="shared" si="80"/>
        <v>133507.74</v>
      </c>
      <c r="DI141" s="340">
        <f t="shared" si="81"/>
        <v>127612.77</v>
      </c>
      <c r="DJ141" s="340">
        <f t="shared" si="82"/>
        <v>0</v>
      </c>
      <c r="DK141" s="340">
        <f t="shared" si="83"/>
        <v>124639.32</v>
      </c>
      <c r="DL141" s="340">
        <f t="shared" si="84"/>
        <v>129024.32000000001</v>
      </c>
      <c r="DM141" s="340">
        <f t="shared" si="85"/>
        <v>128345.86</v>
      </c>
      <c r="DN141" s="340">
        <f t="shared" si="86"/>
        <v>111743.43</v>
      </c>
      <c r="DO141" s="340">
        <f t="shared" si="87"/>
        <v>129695</v>
      </c>
      <c r="DP141" s="330"/>
      <c r="DQ141" s="340" t="s">
        <v>26</v>
      </c>
      <c r="DR141" s="340">
        <f t="shared" ref="DR141:EM141" si="179">DR43</f>
        <v>177444.63</v>
      </c>
      <c r="DS141" s="340">
        <f t="shared" si="179"/>
        <v>198618.5</v>
      </c>
      <c r="DT141" s="340">
        <f t="shared" si="179"/>
        <v>188180</v>
      </c>
      <c r="DU141" s="340">
        <f t="shared" si="179"/>
        <v>226265.93</v>
      </c>
      <c r="DV141" s="340">
        <f t="shared" si="179"/>
        <v>277552.2</v>
      </c>
      <c r="DW141" s="340">
        <f t="shared" si="179"/>
        <v>320715.2</v>
      </c>
      <c r="DX141" s="340">
        <f t="shared" si="179"/>
        <v>342468.1</v>
      </c>
      <c r="DY141" s="340">
        <f t="shared" si="179"/>
        <v>445545.12</v>
      </c>
      <c r="DZ141" s="340">
        <f t="shared" si="179"/>
        <v>453985.32</v>
      </c>
      <c r="EA141" s="340">
        <f t="shared" si="179"/>
        <v>504878.49000000005</v>
      </c>
      <c r="EB141" s="340">
        <f t="shared" si="179"/>
        <v>448782.07999999996</v>
      </c>
      <c r="EC141" s="340">
        <f t="shared" si="179"/>
        <v>568462.39999999979</v>
      </c>
      <c r="ED141" s="340">
        <f t="shared" si="179"/>
        <v>639093.01</v>
      </c>
      <c r="EE141" s="340">
        <f t="shared" si="179"/>
        <v>674119.72</v>
      </c>
      <c r="EF141" s="340">
        <f t="shared" si="179"/>
        <v>793705.71000000008</v>
      </c>
      <c r="EG141" s="340">
        <f t="shared" si="179"/>
        <v>720939.51</v>
      </c>
      <c r="EH141" s="340">
        <f t="shared" si="179"/>
        <v>0</v>
      </c>
      <c r="EI141" s="340">
        <f t="shared" si="179"/>
        <v>766771.42</v>
      </c>
      <c r="EJ141" s="340">
        <f t="shared" si="179"/>
        <v>745169.98999999987</v>
      </c>
      <c r="EK141" s="340">
        <f t="shared" si="179"/>
        <v>792584.86999999988</v>
      </c>
      <c r="EL141" s="340">
        <f t="shared" si="179"/>
        <v>752773.91</v>
      </c>
      <c r="EM141" s="340">
        <f t="shared" si="179"/>
        <v>780000</v>
      </c>
      <c r="EO141" s="319" t="s">
        <v>26</v>
      </c>
      <c r="EP141" s="319">
        <f t="shared" si="89"/>
        <v>591482.1</v>
      </c>
      <c r="EQ141" s="319">
        <f t="shared" si="90"/>
        <v>575993.65</v>
      </c>
      <c r="ER141" s="319">
        <f t="shared" si="91"/>
        <v>635107.5</v>
      </c>
      <c r="ES141" s="319">
        <f t="shared" si="92"/>
        <v>678797.79</v>
      </c>
      <c r="ET141" s="319">
        <f t="shared" si="93"/>
        <v>763268.55</v>
      </c>
      <c r="EU141" s="319">
        <f t="shared" si="94"/>
        <v>863464</v>
      </c>
      <c r="EV141" s="319">
        <f t="shared" si="95"/>
        <v>895685.8</v>
      </c>
      <c r="EW141" s="319">
        <f t="shared" si="96"/>
        <v>891090.24</v>
      </c>
      <c r="EX141" s="319">
        <f t="shared" si="97"/>
        <v>885974.74999999988</v>
      </c>
      <c r="EY141" s="319">
        <f t="shared" si="98"/>
        <v>943118.73</v>
      </c>
      <c r="EZ141" s="319">
        <f t="shared" si="99"/>
        <v>1026231.97</v>
      </c>
      <c r="FA141" s="319">
        <f t="shared" si="100"/>
        <v>1351744.9</v>
      </c>
      <c r="FB141" s="319">
        <f t="shared" si="101"/>
        <v>1603830.8000000003</v>
      </c>
      <c r="FC141" s="319">
        <f t="shared" si="102"/>
        <v>1778649.98</v>
      </c>
      <c r="FD141" s="319">
        <f t="shared" si="103"/>
        <v>1794080.8</v>
      </c>
      <c r="FE141" s="319">
        <f t="shared" si="104"/>
        <v>1783524.88</v>
      </c>
      <c r="FF141" s="322">
        <f t="shared" si="105"/>
        <v>0</v>
      </c>
      <c r="FG141" s="336">
        <f t="shared" si="106"/>
        <v>1907126.9700000002</v>
      </c>
      <c r="FH141" s="336">
        <f t="shared" si="107"/>
        <v>1916040.8399999999</v>
      </c>
      <c r="FI141" s="336">
        <f t="shared" si="108"/>
        <v>1855595.5299999998</v>
      </c>
      <c r="FJ141" s="336">
        <f t="shared" si="109"/>
        <v>1723992.0599999998</v>
      </c>
      <c r="FK141" s="336">
        <f t="shared" si="110"/>
        <v>1719819.66</v>
      </c>
      <c r="FL141" s="122"/>
      <c r="FM141" s="340" t="s">
        <v>26</v>
      </c>
      <c r="FN141" s="340">
        <f t="shared" si="111"/>
        <v>236592.84</v>
      </c>
      <c r="FO141" s="340">
        <f t="shared" si="112"/>
        <v>139032.95000000001</v>
      </c>
      <c r="FP141" s="340">
        <f t="shared" si="113"/>
        <v>164657.5</v>
      </c>
      <c r="FQ141" s="340">
        <f t="shared" si="114"/>
        <v>164557.04</v>
      </c>
      <c r="FR141" s="340">
        <f t="shared" si="115"/>
        <v>161905.45000000001</v>
      </c>
      <c r="FS141" s="340">
        <f t="shared" si="116"/>
        <v>197363.20000000001</v>
      </c>
      <c r="FT141" s="340">
        <f t="shared" si="117"/>
        <v>184405.9</v>
      </c>
      <c r="FU141" s="340">
        <f t="shared" si="118"/>
        <v>185643.8</v>
      </c>
      <c r="FV141" s="340">
        <f t="shared" si="119"/>
        <v>195987.52999999997</v>
      </c>
      <c r="FW141" s="340">
        <f t="shared" si="120"/>
        <v>201668.62</v>
      </c>
      <c r="FX141" s="340">
        <f t="shared" si="121"/>
        <v>206347.47</v>
      </c>
      <c r="FY141" s="340">
        <f t="shared" si="122"/>
        <v>255708.1</v>
      </c>
      <c r="FZ141" s="340">
        <f t="shared" si="123"/>
        <v>255514.19</v>
      </c>
      <c r="GA141" s="340">
        <f t="shared" si="124"/>
        <v>270932.88999999996</v>
      </c>
      <c r="GB141" s="340">
        <f t="shared" si="125"/>
        <v>275837.51000000007</v>
      </c>
      <c r="GC141" s="340">
        <f t="shared" si="126"/>
        <v>268877.45</v>
      </c>
      <c r="GD141" s="340">
        <f t="shared" si="127"/>
        <v>0</v>
      </c>
      <c r="GE141" s="340">
        <f t="shared" si="128"/>
        <v>274763</v>
      </c>
      <c r="GF141" s="340">
        <f t="shared" si="129"/>
        <v>286246.32999999996</v>
      </c>
      <c r="GG141" s="340">
        <f t="shared" si="130"/>
        <v>302025.88</v>
      </c>
      <c r="GH141" s="340">
        <f t="shared" si="131"/>
        <v>306813.29000000004</v>
      </c>
      <c r="GI141" s="340">
        <f t="shared" si="132"/>
        <v>301134</v>
      </c>
      <c r="GJ141" s="122"/>
      <c r="GK141" s="340" t="s">
        <v>26</v>
      </c>
      <c r="GL141" s="340">
        <f t="shared" si="133"/>
        <v>118296.42</v>
      </c>
      <c r="GM141" s="340">
        <f t="shared" si="134"/>
        <v>79447.399999999994</v>
      </c>
      <c r="GN141" s="340">
        <f t="shared" si="135"/>
        <v>94090</v>
      </c>
      <c r="GO141" s="340">
        <f t="shared" si="136"/>
        <v>0</v>
      </c>
      <c r="GP141" s="340">
        <f t="shared" si="137"/>
        <v>0</v>
      </c>
      <c r="GQ141" s="340">
        <f t="shared" si="138"/>
        <v>0</v>
      </c>
      <c r="GR141" s="340">
        <f t="shared" si="139"/>
        <v>26343.7</v>
      </c>
      <c r="GS141" s="340">
        <f t="shared" si="140"/>
        <v>74257.52</v>
      </c>
      <c r="GT141" s="340">
        <f t="shared" si="141"/>
        <v>38638.239999999998</v>
      </c>
      <c r="GU141" s="340">
        <f t="shared" si="142"/>
        <v>0</v>
      </c>
      <c r="GV141" s="340">
        <f t="shared" si="143"/>
        <v>167212.01999999999</v>
      </c>
      <c r="GW141" s="340">
        <f t="shared" si="144"/>
        <v>223756.29</v>
      </c>
      <c r="GX141" s="340">
        <f t="shared" si="145"/>
        <v>32420.29</v>
      </c>
      <c r="GY141" s="340">
        <f t="shared" si="146"/>
        <v>92181.069999999992</v>
      </c>
      <c r="GZ141" s="340">
        <f t="shared" si="147"/>
        <v>98824.98</v>
      </c>
      <c r="HA141" s="340">
        <f t="shared" si="148"/>
        <v>43789.39</v>
      </c>
      <c r="HB141" s="340">
        <f t="shared" si="149"/>
        <v>0</v>
      </c>
      <c r="HC141" s="340">
        <f t="shared" si="150"/>
        <v>11365.4</v>
      </c>
      <c r="HD141" s="340">
        <f t="shared" si="151"/>
        <v>1441.1100000000001</v>
      </c>
      <c r="HE141" s="340">
        <f t="shared" si="152"/>
        <v>21060.84</v>
      </c>
      <c r="HF141" s="340">
        <f t="shared" si="153"/>
        <v>10000</v>
      </c>
      <c r="HG141" s="340">
        <f t="shared" si="154"/>
        <v>15000</v>
      </c>
      <c r="HH141" s="122"/>
      <c r="IF141" s="122"/>
      <c r="IG141" s="122"/>
      <c r="IH141" s="122"/>
      <c r="II141" s="122"/>
      <c r="IJ141" s="122"/>
      <c r="IK141" s="122"/>
      <c r="IL141" s="122"/>
      <c r="IN141" s="118"/>
      <c r="IP141" s="122"/>
      <c r="IQ141" s="122"/>
      <c r="IR141" s="122"/>
      <c r="IS141" s="122"/>
      <c r="IT141" s="122"/>
      <c r="IU141" s="122"/>
      <c r="IV141" s="122"/>
      <c r="IW141" s="122"/>
      <c r="IX141" s="122"/>
      <c r="IY141" s="122"/>
      <c r="IZ141" s="122"/>
      <c r="JA141" s="122"/>
      <c r="JB141" s="122"/>
      <c r="JC141" s="122"/>
      <c r="JD141" s="122"/>
      <c r="JE141" s="122"/>
      <c r="JF141" s="122"/>
      <c r="JG141" s="122"/>
      <c r="JH141" s="122"/>
      <c r="JI141" s="122"/>
      <c r="JK141" s="118"/>
      <c r="JL141" s="118"/>
      <c r="JY141" s="122"/>
      <c r="JZ141" s="122"/>
      <c r="KA141" s="122"/>
      <c r="KB141" s="122"/>
      <c r="LX141" s="122"/>
      <c r="LY141" s="122"/>
      <c r="LZ141" s="122"/>
      <c r="MB141" s="118"/>
      <c r="MC141" s="118"/>
      <c r="MP141" s="122"/>
      <c r="MQ141" s="122"/>
      <c r="MR141" s="122"/>
      <c r="MS141" s="122"/>
      <c r="MT141" s="122"/>
      <c r="MU141" s="122"/>
      <c r="MV141" s="122"/>
      <c r="OS141" s="118"/>
      <c r="OT141" s="118"/>
      <c r="PC141" s="122"/>
      <c r="PD141" s="122"/>
      <c r="PE141" s="122"/>
      <c r="PF141" s="122"/>
      <c r="PG141" s="122"/>
      <c r="PH141" s="122"/>
      <c r="PI141" s="122"/>
      <c r="PJ141" s="122"/>
      <c r="PP141" s="118"/>
      <c r="PQ141" s="118"/>
      <c r="PZ141" s="122"/>
      <c r="QA141" s="122"/>
      <c r="QB141" s="122"/>
      <c r="QC141" s="122"/>
      <c r="QD141" s="122"/>
      <c r="QE141" s="122"/>
      <c r="QF141" s="122"/>
      <c r="QG141" s="122"/>
      <c r="QM141" s="118"/>
      <c r="QN141" s="118"/>
      <c r="RE141" s="118"/>
      <c r="RF141" s="118"/>
      <c r="RG141" s="118"/>
      <c r="RH141" s="118"/>
      <c r="RI141" s="118"/>
      <c r="RJ141" s="118"/>
      <c r="RK141" s="118"/>
    </row>
    <row r="142" spans="1:479">
      <c r="Y142" s="277" t="s">
        <v>27</v>
      </c>
      <c r="Z142" s="319">
        <f t="shared" si="0"/>
        <v>377193.7</v>
      </c>
      <c r="AA142" s="319">
        <f t="shared" si="1"/>
        <v>366245.82</v>
      </c>
      <c r="AB142" s="319">
        <f t="shared" si="2"/>
        <v>413096.4</v>
      </c>
      <c r="AC142" s="319">
        <f t="shared" si="3"/>
        <v>425523</v>
      </c>
      <c r="AD142" s="319">
        <f t="shared" si="4"/>
        <v>474681.82</v>
      </c>
      <c r="AE142" s="319">
        <f t="shared" si="5"/>
        <v>431988.30000000005</v>
      </c>
      <c r="AF142" s="319">
        <f t="shared" si="6"/>
        <v>575936.52</v>
      </c>
      <c r="AG142" s="319">
        <f t="shared" si="7"/>
        <v>451221.57000000007</v>
      </c>
      <c r="AH142" s="319">
        <f t="shared" si="8"/>
        <v>502373.39555555553</v>
      </c>
      <c r="AI142" s="319">
        <f t="shared" si="9"/>
        <v>0</v>
      </c>
      <c r="AJ142" s="319">
        <f t="shared" si="10"/>
        <v>0</v>
      </c>
      <c r="AK142" s="319">
        <f t="shared" si="11"/>
        <v>0</v>
      </c>
      <c r="AL142" s="319">
        <f t="shared" si="12"/>
        <v>0</v>
      </c>
      <c r="AM142" s="319">
        <f t="shared" si="13"/>
        <v>0</v>
      </c>
      <c r="AN142" s="319">
        <f t="shared" si="14"/>
        <v>0</v>
      </c>
      <c r="AO142" s="319">
        <f t="shared" si="15"/>
        <v>0</v>
      </c>
      <c r="AP142" s="319">
        <f t="shared" si="16"/>
        <v>0</v>
      </c>
      <c r="AQ142" s="319">
        <f t="shared" si="17"/>
        <v>0</v>
      </c>
      <c r="AR142" s="319">
        <f t="shared" si="18"/>
        <v>0</v>
      </c>
      <c r="AS142" s="319">
        <f t="shared" si="19"/>
        <v>0</v>
      </c>
      <c r="AT142" s="319">
        <f t="shared" si="20"/>
        <v>0</v>
      </c>
      <c r="AU142" s="319">
        <f t="shared" si="21"/>
        <v>0</v>
      </c>
      <c r="AW142" s="322" t="s">
        <v>27</v>
      </c>
      <c r="AX142" s="322">
        <f t="shared" si="22"/>
        <v>87044.700000000012</v>
      </c>
      <c r="AY142" s="322">
        <f t="shared" si="23"/>
        <v>94952.62</v>
      </c>
      <c r="AZ142" s="322">
        <f t="shared" si="24"/>
        <v>82619.28</v>
      </c>
      <c r="BA142" s="322">
        <f t="shared" si="25"/>
        <v>72946.799999999988</v>
      </c>
      <c r="BB142" s="322">
        <f t="shared" si="26"/>
        <v>69806.149999999994</v>
      </c>
      <c r="BC142" s="322">
        <f t="shared" si="27"/>
        <v>86397.66</v>
      </c>
      <c r="BD142" s="322">
        <f t="shared" si="28"/>
        <v>105586.5</v>
      </c>
      <c r="BE142" s="322">
        <f t="shared" si="29"/>
        <v>100271.45999999999</v>
      </c>
      <c r="BF142" s="322">
        <f t="shared" si="30"/>
        <v>110021.51999999999</v>
      </c>
      <c r="BG142" s="322">
        <f t="shared" si="31"/>
        <v>0</v>
      </c>
      <c r="BH142" s="322">
        <f t="shared" si="32"/>
        <v>0</v>
      </c>
      <c r="BI142" s="322">
        <f t="shared" si="33"/>
        <v>0</v>
      </c>
      <c r="BJ142" s="322">
        <f t="shared" si="34"/>
        <v>0</v>
      </c>
      <c r="BK142" s="322">
        <f t="shared" si="35"/>
        <v>0</v>
      </c>
      <c r="BL142" s="322">
        <f t="shared" si="36"/>
        <v>0</v>
      </c>
      <c r="BM142" s="322">
        <f t="shared" si="37"/>
        <v>0</v>
      </c>
      <c r="BN142" s="322">
        <f t="shared" si="38"/>
        <v>0</v>
      </c>
      <c r="BO142" s="340">
        <f t="shared" si="39"/>
        <v>0</v>
      </c>
      <c r="BP142" s="340">
        <f t="shared" si="40"/>
        <v>0</v>
      </c>
      <c r="BQ142" s="340">
        <f t="shared" si="41"/>
        <v>0</v>
      </c>
      <c r="BR142" s="340">
        <f t="shared" si="42"/>
        <v>0</v>
      </c>
      <c r="BS142" s="340">
        <f t="shared" si="43"/>
        <v>0</v>
      </c>
      <c r="BU142" s="340" t="s">
        <v>27</v>
      </c>
      <c r="BV142" s="340">
        <f t="shared" si="44"/>
        <v>14507.45</v>
      </c>
      <c r="BW142" s="340">
        <f t="shared" si="45"/>
        <v>27129.32</v>
      </c>
      <c r="BX142" s="340">
        <f t="shared" si="46"/>
        <v>41309.64</v>
      </c>
      <c r="BY142" s="340">
        <f t="shared" si="47"/>
        <v>36473.399999999994</v>
      </c>
      <c r="BZ142" s="340">
        <f t="shared" si="48"/>
        <v>41883.69</v>
      </c>
      <c r="CA142" s="340">
        <f t="shared" si="49"/>
        <v>43198.83</v>
      </c>
      <c r="CB142" s="340">
        <f t="shared" si="50"/>
        <v>52793.25</v>
      </c>
      <c r="CC142" s="340">
        <f t="shared" si="51"/>
        <v>50135.729999999996</v>
      </c>
      <c r="CD142" s="340">
        <f t="shared" si="52"/>
        <v>55010.759999999995</v>
      </c>
      <c r="CE142" s="340">
        <f t="shared" si="53"/>
        <v>0</v>
      </c>
      <c r="CF142" s="340">
        <f t="shared" si="54"/>
        <v>0</v>
      </c>
      <c r="CG142" s="340">
        <f t="shared" si="55"/>
        <v>0</v>
      </c>
      <c r="CH142" s="340">
        <f t="shared" si="56"/>
        <v>0</v>
      </c>
      <c r="CI142" s="340">
        <f t="shared" si="57"/>
        <v>0</v>
      </c>
      <c r="CJ142" s="340">
        <f t="shared" si="58"/>
        <v>0</v>
      </c>
      <c r="CK142" s="340">
        <f t="shared" si="59"/>
        <v>0</v>
      </c>
      <c r="CL142" s="340">
        <f t="shared" si="60"/>
        <v>0</v>
      </c>
      <c r="CM142" s="340">
        <f t="shared" si="61"/>
        <v>0</v>
      </c>
      <c r="CN142" s="340">
        <f t="shared" si="62"/>
        <v>0</v>
      </c>
      <c r="CO142" s="340">
        <f t="shared" si="63"/>
        <v>0</v>
      </c>
      <c r="CP142" s="340">
        <f t="shared" si="64"/>
        <v>0</v>
      </c>
      <c r="CQ142" s="340">
        <f t="shared" si="65"/>
        <v>0</v>
      </c>
      <c r="CR142" s="122"/>
      <c r="CS142" s="340" t="s">
        <v>27</v>
      </c>
      <c r="CT142" s="340">
        <f t="shared" si="66"/>
        <v>290149</v>
      </c>
      <c r="CU142" s="340">
        <f t="shared" si="67"/>
        <v>339116.5</v>
      </c>
      <c r="CV142" s="340">
        <f t="shared" si="68"/>
        <v>261627.72</v>
      </c>
      <c r="CW142" s="340">
        <f t="shared" si="69"/>
        <v>121578</v>
      </c>
      <c r="CX142" s="340">
        <f t="shared" si="70"/>
        <v>209418.45</v>
      </c>
      <c r="CY142" s="340">
        <f t="shared" si="71"/>
        <v>129596.49</v>
      </c>
      <c r="CZ142" s="340">
        <f t="shared" si="72"/>
        <v>246368.5</v>
      </c>
      <c r="DA142" s="340">
        <f t="shared" si="73"/>
        <v>183831.01</v>
      </c>
      <c r="DB142" s="340">
        <f t="shared" si="74"/>
        <v>293390.71999999997</v>
      </c>
      <c r="DC142" s="340">
        <f t="shared" si="75"/>
        <v>0</v>
      </c>
      <c r="DD142" s="340">
        <f t="shared" si="76"/>
        <v>0</v>
      </c>
      <c r="DE142" s="340">
        <f t="shared" si="77"/>
        <v>0</v>
      </c>
      <c r="DF142" s="340">
        <f t="shared" si="78"/>
        <v>0</v>
      </c>
      <c r="DG142" s="340">
        <f t="shared" si="79"/>
        <v>0</v>
      </c>
      <c r="DH142" s="340">
        <f t="shared" si="80"/>
        <v>0</v>
      </c>
      <c r="DI142" s="340">
        <f t="shared" si="81"/>
        <v>0</v>
      </c>
      <c r="DJ142" s="340">
        <f t="shared" si="82"/>
        <v>0</v>
      </c>
      <c r="DK142" s="340">
        <f t="shared" si="83"/>
        <v>0</v>
      </c>
      <c r="DL142" s="340">
        <f t="shared" si="84"/>
        <v>0</v>
      </c>
      <c r="DM142" s="340">
        <f t="shared" si="85"/>
        <v>0</v>
      </c>
      <c r="DN142" s="340">
        <f t="shared" si="86"/>
        <v>0</v>
      </c>
      <c r="DO142" s="340">
        <f t="shared" si="87"/>
        <v>0</v>
      </c>
      <c r="DP142" s="330"/>
      <c r="DQ142" s="340" t="s">
        <v>27</v>
      </c>
      <c r="DR142" s="340">
        <f t="shared" ref="DR142:EM142" si="180">DR44</f>
        <v>14507.45</v>
      </c>
      <c r="DS142" s="340">
        <f t="shared" si="180"/>
        <v>0</v>
      </c>
      <c r="DT142" s="340">
        <f t="shared" si="180"/>
        <v>0</v>
      </c>
      <c r="DU142" s="340">
        <f t="shared" si="180"/>
        <v>0</v>
      </c>
      <c r="DV142" s="340">
        <f t="shared" si="180"/>
        <v>0</v>
      </c>
      <c r="DW142" s="340">
        <f t="shared" si="180"/>
        <v>0</v>
      </c>
      <c r="DX142" s="340">
        <f t="shared" si="180"/>
        <v>0</v>
      </c>
      <c r="DY142" s="340">
        <f t="shared" si="180"/>
        <v>0</v>
      </c>
      <c r="DZ142" s="340">
        <f t="shared" si="180"/>
        <v>0</v>
      </c>
      <c r="EA142" s="340">
        <f t="shared" si="180"/>
        <v>0</v>
      </c>
      <c r="EB142" s="340">
        <f t="shared" si="180"/>
        <v>0</v>
      </c>
      <c r="EC142" s="340">
        <f t="shared" si="180"/>
        <v>0</v>
      </c>
      <c r="ED142" s="340">
        <f t="shared" si="180"/>
        <v>0</v>
      </c>
      <c r="EE142" s="340">
        <f t="shared" si="180"/>
        <v>0</v>
      </c>
      <c r="EF142" s="340">
        <f t="shared" si="180"/>
        <v>0</v>
      </c>
      <c r="EG142" s="340">
        <f t="shared" si="180"/>
        <v>0</v>
      </c>
      <c r="EH142" s="340">
        <f t="shared" si="180"/>
        <v>0</v>
      </c>
      <c r="EI142" s="340">
        <f t="shared" si="180"/>
        <v>0</v>
      </c>
      <c r="EJ142" s="340">
        <f t="shared" si="180"/>
        <v>0</v>
      </c>
      <c r="EK142" s="340">
        <f t="shared" si="180"/>
        <v>0</v>
      </c>
      <c r="EL142" s="340">
        <f t="shared" si="180"/>
        <v>0</v>
      </c>
      <c r="EM142" s="340">
        <f t="shared" si="180"/>
        <v>0</v>
      </c>
      <c r="EO142" s="319" t="s">
        <v>27</v>
      </c>
      <c r="EP142" s="319">
        <f t="shared" si="89"/>
        <v>406208.60000000003</v>
      </c>
      <c r="EQ142" s="319">
        <f t="shared" si="90"/>
        <v>434069.12</v>
      </c>
      <c r="ER142" s="319">
        <f t="shared" si="91"/>
        <v>399326.52</v>
      </c>
      <c r="ES142" s="319">
        <f t="shared" si="92"/>
        <v>413365.2</v>
      </c>
      <c r="ET142" s="319">
        <f t="shared" si="93"/>
        <v>488643.05</v>
      </c>
      <c r="EU142" s="319">
        <f t="shared" si="94"/>
        <v>518385.96</v>
      </c>
      <c r="EV142" s="319">
        <f t="shared" si="95"/>
        <v>633519</v>
      </c>
      <c r="EW142" s="319">
        <f t="shared" si="96"/>
        <v>618340.67000000004</v>
      </c>
      <c r="EX142" s="319">
        <f t="shared" si="97"/>
        <v>641792.19999999995</v>
      </c>
      <c r="EY142" s="319">
        <f t="shared" si="98"/>
        <v>0</v>
      </c>
      <c r="EZ142" s="319">
        <f t="shared" si="99"/>
        <v>0</v>
      </c>
      <c r="FA142" s="319">
        <f t="shared" si="100"/>
        <v>0</v>
      </c>
      <c r="FB142" s="319">
        <f t="shared" si="101"/>
        <v>0</v>
      </c>
      <c r="FC142" s="319">
        <f t="shared" si="102"/>
        <v>0</v>
      </c>
      <c r="FD142" s="319">
        <f t="shared" si="103"/>
        <v>0</v>
      </c>
      <c r="FE142" s="319">
        <f t="shared" si="104"/>
        <v>0</v>
      </c>
      <c r="FF142" s="322">
        <f t="shared" si="105"/>
        <v>0</v>
      </c>
      <c r="FG142" s="336">
        <f t="shared" si="106"/>
        <v>0</v>
      </c>
      <c r="FH142" s="336">
        <f t="shared" si="107"/>
        <v>0</v>
      </c>
      <c r="FI142" s="336">
        <f t="shared" si="108"/>
        <v>0</v>
      </c>
      <c r="FJ142" s="336">
        <f t="shared" si="109"/>
        <v>0</v>
      </c>
      <c r="FK142" s="336">
        <f t="shared" si="110"/>
        <v>0</v>
      </c>
      <c r="FL142" s="122"/>
      <c r="FM142" s="340" t="s">
        <v>27</v>
      </c>
      <c r="FN142" s="340">
        <f t="shared" si="111"/>
        <v>87044.7</v>
      </c>
      <c r="FO142" s="340">
        <f t="shared" si="112"/>
        <v>81387.960000000006</v>
      </c>
      <c r="FP142" s="340">
        <f t="shared" si="113"/>
        <v>82619.28</v>
      </c>
      <c r="FQ142" s="340">
        <f t="shared" si="114"/>
        <v>85104.6</v>
      </c>
      <c r="FR142" s="340">
        <f t="shared" si="115"/>
        <v>111689.84</v>
      </c>
      <c r="FS142" s="340">
        <f t="shared" si="116"/>
        <v>115196.88</v>
      </c>
      <c r="FT142" s="340">
        <f t="shared" si="117"/>
        <v>123184.25</v>
      </c>
      <c r="FU142" s="340">
        <f t="shared" si="118"/>
        <v>133695.28</v>
      </c>
      <c r="FV142" s="340">
        <f t="shared" si="119"/>
        <v>165032.28</v>
      </c>
      <c r="FW142" s="340">
        <f t="shared" si="120"/>
        <v>0</v>
      </c>
      <c r="FX142" s="340">
        <f t="shared" si="121"/>
        <v>0</v>
      </c>
      <c r="FY142" s="340">
        <f t="shared" si="122"/>
        <v>0</v>
      </c>
      <c r="FZ142" s="340">
        <f t="shared" si="123"/>
        <v>0</v>
      </c>
      <c r="GA142" s="340">
        <f t="shared" si="124"/>
        <v>0</v>
      </c>
      <c r="GB142" s="340">
        <f t="shared" si="125"/>
        <v>0</v>
      </c>
      <c r="GC142" s="340">
        <f t="shared" si="126"/>
        <v>0</v>
      </c>
      <c r="GD142" s="340">
        <f t="shared" si="127"/>
        <v>0</v>
      </c>
      <c r="GE142" s="340">
        <f t="shared" si="128"/>
        <v>0</v>
      </c>
      <c r="GF142" s="340">
        <f t="shared" si="129"/>
        <v>0</v>
      </c>
      <c r="GG142" s="340">
        <f t="shared" si="130"/>
        <v>0</v>
      </c>
      <c r="GH142" s="340">
        <f t="shared" si="131"/>
        <v>0</v>
      </c>
      <c r="GI142" s="340">
        <f t="shared" si="132"/>
        <v>0</v>
      </c>
      <c r="GJ142" s="122"/>
      <c r="GK142" s="340" t="s">
        <v>27</v>
      </c>
      <c r="GL142" s="340">
        <f t="shared" si="133"/>
        <v>174089.4</v>
      </c>
      <c r="GM142" s="340">
        <f t="shared" si="134"/>
        <v>13564.66</v>
      </c>
      <c r="GN142" s="340">
        <f t="shared" si="135"/>
        <v>96389.16</v>
      </c>
      <c r="GO142" s="340">
        <f t="shared" si="136"/>
        <v>60789</v>
      </c>
      <c r="GP142" s="340">
        <f t="shared" si="137"/>
        <v>0</v>
      </c>
      <c r="GQ142" s="340">
        <f t="shared" si="138"/>
        <v>115196.88</v>
      </c>
      <c r="GR142" s="340">
        <f t="shared" si="139"/>
        <v>0</v>
      </c>
      <c r="GS142" s="340">
        <f t="shared" si="140"/>
        <v>133695.28</v>
      </c>
      <c r="GT142" s="340">
        <f t="shared" si="141"/>
        <v>0</v>
      </c>
      <c r="GU142" s="340">
        <f t="shared" si="142"/>
        <v>0</v>
      </c>
      <c r="GV142" s="340">
        <f t="shared" si="143"/>
        <v>0</v>
      </c>
      <c r="GW142" s="340">
        <f t="shared" si="144"/>
        <v>0</v>
      </c>
      <c r="GX142" s="340">
        <f t="shared" si="145"/>
        <v>0</v>
      </c>
      <c r="GY142" s="340">
        <f t="shared" si="146"/>
        <v>0</v>
      </c>
      <c r="GZ142" s="340">
        <f t="shared" si="147"/>
        <v>0</v>
      </c>
      <c r="HA142" s="340">
        <f t="shared" si="148"/>
        <v>0</v>
      </c>
      <c r="HB142" s="340">
        <f t="shared" si="149"/>
        <v>0</v>
      </c>
      <c r="HC142" s="340">
        <f t="shared" si="150"/>
        <v>0</v>
      </c>
      <c r="HD142" s="340">
        <f t="shared" si="151"/>
        <v>0</v>
      </c>
      <c r="HE142" s="340">
        <f t="shared" si="152"/>
        <v>0</v>
      </c>
      <c r="HF142" s="340">
        <f t="shared" si="153"/>
        <v>0</v>
      </c>
      <c r="HG142" s="340">
        <f t="shared" si="154"/>
        <v>0</v>
      </c>
      <c r="HH142" s="122"/>
      <c r="IF142" s="122"/>
      <c r="IG142" s="122"/>
      <c r="IH142" s="122"/>
      <c r="II142" s="122"/>
      <c r="IJ142" s="122"/>
      <c r="IK142" s="122"/>
      <c r="IL142" s="122"/>
      <c r="IN142" s="118"/>
      <c r="IP142" s="122"/>
      <c r="IQ142" s="122"/>
      <c r="IR142" s="122"/>
      <c r="IS142" s="122"/>
      <c r="IT142" s="122"/>
      <c r="IU142" s="122"/>
      <c r="IV142" s="122"/>
      <c r="IW142" s="122"/>
      <c r="IX142" s="122"/>
      <c r="IY142" s="122"/>
      <c r="IZ142" s="122"/>
      <c r="JA142" s="122"/>
      <c r="JB142" s="122"/>
      <c r="JC142" s="122"/>
      <c r="JD142" s="122"/>
      <c r="JE142" s="122"/>
      <c r="JF142" s="122"/>
      <c r="JG142" s="122"/>
      <c r="JH142" s="122"/>
      <c r="JI142" s="122"/>
      <c r="JK142" s="118"/>
      <c r="JL142" s="118"/>
      <c r="JY142" s="122"/>
      <c r="JZ142" s="122"/>
      <c r="KA142" s="122"/>
      <c r="KB142" s="122"/>
      <c r="LX142" s="122"/>
      <c r="LY142" s="122"/>
      <c r="LZ142" s="122"/>
      <c r="MB142" s="118"/>
      <c r="MC142" s="118"/>
      <c r="MP142" s="122"/>
      <c r="MQ142" s="122"/>
      <c r="MR142" s="122"/>
      <c r="MS142" s="122"/>
      <c r="MT142" s="122"/>
      <c r="MU142" s="122"/>
      <c r="MV142" s="122"/>
      <c r="OS142" s="118"/>
      <c r="OT142" s="118"/>
      <c r="PC142" s="122"/>
      <c r="PD142" s="122"/>
      <c r="PE142" s="122"/>
      <c r="PF142" s="122"/>
      <c r="PG142" s="122"/>
      <c r="PH142" s="122"/>
      <c r="PI142" s="122"/>
      <c r="PJ142" s="122"/>
      <c r="PP142" s="118"/>
      <c r="PQ142" s="118"/>
      <c r="PZ142" s="122"/>
      <c r="QA142" s="122"/>
      <c r="QB142" s="122"/>
      <c r="QC142" s="122"/>
      <c r="QD142" s="122"/>
      <c r="QE142" s="122"/>
      <c r="QF142" s="122"/>
      <c r="QG142" s="122"/>
      <c r="QM142" s="118"/>
      <c r="QN142" s="118"/>
      <c r="RE142" s="118"/>
      <c r="RF142" s="118"/>
      <c r="RG142" s="118"/>
      <c r="RH142" s="118"/>
      <c r="RI142" s="118"/>
      <c r="RJ142" s="118"/>
      <c r="RK142" s="118"/>
    </row>
    <row r="143" spans="1:479">
      <c r="Y143" s="277" t="s">
        <v>28</v>
      </c>
      <c r="Z143" s="319">
        <f t="shared" si="0"/>
        <v>193947.47</v>
      </c>
      <c r="AA143" s="319">
        <f t="shared" si="1"/>
        <v>175587.52000000002</v>
      </c>
      <c r="AB143" s="319">
        <f t="shared" si="2"/>
        <v>186766.58000000002</v>
      </c>
      <c r="AC143" s="319">
        <f t="shared" si="3"/>
        <v>204604.18000000002</v>
      </c>
      <c r="AD143" s="319">
        <f t="shared" si="4"/>
        <v>271809.46000000002</v>
      </c>
      <c r="AE143" s="319">
        <f t="shared" si="5"/>
        <v>251736.48</v>
      </c>
      <c r="AF143" s="319">
        <f t="shared" si="6"/>
        <v>271603.05</v>
      </c>
      <c r="AG143" s="319">
        <f t="shared" si="7"/>
        <v>240649.22999999998</v>
      </c>
      <c r="AH143" s="319">
        <f t="shared" si="8"/>
        <v>268388.90999999997</v>
      </c>
      <c r="AI143" s="319">
        <f t="shared" si="9"/>
        <v>953557.95</v>
      </c>
      <c r="AJ143" s="319">
        <f t="shared" si="10"/>
        <v>436704.32000000007</v>
      </c>
      <c r="AK143" s="319">
        <f t="shared" si="11"/>
        <v>267261.32000000007</v>
      </c>
      <c r="AL143" s="319">
        <f t="shared" si="12"/>
        <v>340166.51</v>
      </c>
      <c r="AM143" s="319">
        <f t="shared" si="13"/>
        <v>369716.81</v>
      </c>
      <c r="AN143" s="319">
        <f t="shared" si="14"/>
        <v>384511.67000000004</v>
      </c>
      <c r="AO143" s="319">
        <f t="shared" si="15"/>
        <v>342522.99</v>
      </c>
      <c r="AP143" s="319">
        <f t="shared" si="16"/>
        <v>405236.7</v>
      </c>
      <c r="AQ143" s="319">
        <f t="shared" si="17"/>
        <v>326655.15000000002</v>
      </c>
      <c r="AR143" s="319">
        <f t="shared" si="18"/>
        <v>400397.19999999995</v>
      </c>
      <c r="AS143" s="319">
        <f t="shared" si="19"/>
        <v>436952.51999999996</v>
      </c>
      <c r="AT143" s="319">
        <f t="shared" si="20"/>
        <v>395789.78</v>
      </c>
      <c r="AU143" s="319">
        <f t="shared" si="21"/>
        <v>371067.31</v>
      </c>
      <c r="AW143" s="322" t="s">
        <v>28</v>
      </c>
      <c r="AX143" s="322">
        <f t="shared" si="22"/>
        <v>37538.22</v>
      </c>
      <c r="AY143" s="322">
        <f t="shared" si="23"/>
        <v>38171.199999999997</v>
      </c>
      <c r="AZ143" s="322">
        <f t="shared" si="24"/>
        <v>33957.56</v>
      </c>
      <c r="BA143" s="322">
        <f t="shared" si="25"/>
        <v>46500.950000000004</v>
      </c>
      <c r="BB143" s="322">
        <f t="shared" si="26"/>
        <v>28118.22</v>
      </c>
      <c r="BC143" s="322">
        <f t="shared" si="27"/>
        <v>41956.08</v>
      </c>
      <c r="BD143" s="322">
        <f t="shared" si="28"/>
        <v>43742.28</v>
      </c>
      <c r="BE143" s="322">
        <f t="shared" si="29"/>
        <v>62778.060000000005</v>
      </c>
      <c r="BF143" s="322">
        <f t="shared" si="30"/>
        <v>35085.840000000004</v>
      </c>
      <c r="BG143" s="322">
        <f t="shared" si="31"/>
        <v>36821.47</v>
      </c>
      <c r="BH143" s="322">
        <f t="shared" si="32"/>
        <v>19629.439999999999</v>
      </c>
      <c r="BI143" s="322">
        <f t="shared" si="33"/>
        <v>22174.82</v>
      </c>
      <c r="BJ143" s="322">
        <f t="shared" si="34"/>
        <v>28933.62</v>
      </c>
      <c r="BK143" s="322">
        <f t="shared" si="35"/>
        <v>23995.37</v>
      </c>
      <c r="BL143" s="322">
        <f t="shared" si="36"/>
        <v>21974.02</v>
      </c>
      <c r="BM143" s="322">
        <f t="shared" si="37"/>
        <v>31427.610000000004</v>
      </c>
      <c r="BN143" s="322">
        <f t="shared" si="38"/>
        <v>25476.6</v>
      </c>
      <c r="BO143" s="340">
        <f t="shared" si="39"/>
        <v>40284.47</v>
      </c>
      <c r="BP143" s="340">
        <f t="shared" si="40"/>
        <v>38330.44</v>
      </c>
      <c r="BQ143" s="340">
        <f t="shared" si="41"/>
        <v>29917.67</v>
      </c>
      <c r="BR143" s="340">
        <f t="shared" si="42"/>
        <v>31004.18</v>
      </c>
      <c r="BS143" s="340">
        <f t="shared" si="43"/>
        <v>38550</v>
      </c>
      <c r="BU143" s="340" t="s">
        <v>28</v>
      </c>
      <c r="BV143" s="340">
        <f t="shared" si="44"/>
        <v>18769.11</v>
      </c>
      <c r="BW143" s="340">
        <f t="shared" si="45"/>
        <v>22902.720000000001</v>
      </c>
      <c r="BX143" s="340">
        <f t="shared" si="46"/>
        <v>25468.17</v>
      </c>
      <c r="BY143" s="340">
        <f t="shared" si="47"/>
        <v>27900.57</v>
      </c>
      <c r="BZ143" s="340">
        <f t="shared" si="48"/>
        <v>28118.22</v>
      </c>
      <c r="CA143" s="340">
        <f t="shared" si="49"/>
        <v>41956.08</v>
      </c>
      <c r="CB143" s="340">
        <f t="shared" si="50"/>
        <v>32806.71</v>
      </c>
      <c r="CC143" s="340">
        <f t="shared" si="51"/>
        <v>41852.04</v>
      </c>
      <c r="CD143" s="340">
        <f t="shared" si="52"/>
        <v>37811.440000000002</v>
      </c>
      <c r="CE143" s="340">
        <f t="shared" si="53"/>
        <v>37835.67</v>
      </c>
      <c r="CF143" s="340">
        <f t="shared" si="54"/>
        <v>37935.21</v>
      </c>
      <c r="CG143" s="340">
        <f t="shared" si="55"/>
        <v>37397.660000000003</v>
      </c>
      <c r="CH143" s="340">
        <f t="shared" si="56"/>
        <v>38342.239999999998</v>
      </c>
      <c r="CI143" s="340">
        <f t="shared" si="57"/>
        <v>41770.17</v>
      </c>
      <c r="CJ143" s="340">
        <f t="shared" si="58"/>
        <v>46453.96</v>
      </c>
      <c r="CK143" s="340">
        <f t="shared" si="59"/>
        <v>48123.619999999995</v>
      </c>
      <c r="CL143" s="340">
        <f t="shared" si="60"/>
        <v>52741.95</v>
      </c>
      <c r="CM143" s="340">
        <f t="shared" si="61"/>
        <v>64159.92</v>
      </c>
      <c r="CN143" s="340">
        <f t="shared" si="62"/>
        <v>62978.659999999996</v>
      </c>
      <c r="CO143" s="340">
        <f t="shared" si="63"/>
        <v>70634.290000000008</v>
      </c>
      <c r="CP143" s="340">
        <f t="shared" si="64"/>
        <v>76012.069999999992</v>
      </c>
      <c r="CQ143" s="340">
        <f t="shared" si="65"/>
        <v>84417.72</v>
      </c>
      <c r="CR143" s="122"/>
      <c r="CS143" s="340" t="s">
        <v>28</v>
      </c>
      <c r="CT143" s="340">
        <f t="shared" si="66"/>
        <v>106358.29</v>
      </c>
      <c r="CU143" s="340">
        <f t="shared" si="67"/>
        <v>274832.64000000001</v>
      </c>
      <c r="CV143" s="340">
        <f t="shared" si="68"/>
        <v>118851.46</v>
      </c>
      <c r="CW143" s="340">
        <f t="shared" si="69"/>
        <v>120902.47</v>
      </c>
      <c r="CX143" s="340">
        <f t="shared" si="70"/>
        <v>224945.76</v>
      </c>
      <c r="CY143" s="340">
        <f t="shared" si="71"/>
        <v>188802.36</v>
      </c>
      <c r="CZ143" s="340">
        <f t="shared" si="72"/>
        <v>142162.41</v>
      </c>
      <c r="DA143" s="340">
        <f t="shared" si="73"/>
        <v>209260.2</v>
      </c>
      <c r="DB143" s="340">
        <f t="shared" si="74"/>
        <v>172500.75</v>
      </c>
      <c r="DC143" s="340">
        <f t="shared" si="75"/>
        <v>271080.14</v>
      </c>
      <c r="DD143" s="340">
        <f t="shared" si="76"/>
        <v>221875.48</v>
      </c>
      <c r="DE143" s="340">
        <f t="shared" si="77"/>
        <v>148863.58000000002</v>
      </c>
      <c r="DF143" s="340">
        <f t="shared" si="78"/>
        <v>505453.15</v>
      </c>
      <c r="DG143" s="340">
        <f t="shared" si="79"/>
        <v>385033.83000000007</v>
      </c>
      <c r="DH143" s="340">
        <f t="shared" si="80"/>
        <v>321061.50999999995</v>
      </c>
      <c r="DI143" s="340">
        <f t="shared" si="81"/>
        <v>203821.99</v>
      </c>
      <c r="DJ143" s="340">
        <f t="shared" si="82"/>
        <v>152765.24000000002</v>
      </c>
      <c r="DK143" s="340">
        <f t="shared" si="83"/>
        <v>155646.54</v>
      </c>
      <c r="DL143" s="340">
        <f t="shared" si="84"/>
        <v>191215.82</v>
      </c>
      <c r="DM143" s="340">
        <f t="shared" si="85"/>
        <v>165506.76</v>
      </c>
      <c r="DN143" s="340">
        <f t="shared" si="86"/>
        <v>162158.82999999999</v>
      </c>
      <c r="DO143" s="340">
        <f t="shared" si="87"/>
        <v>206452</v>
      </c>
      <c r="DP143" s="330"/>
      <c r="DQ143" s="340" t="s">
        <v>28</v>
      </c>
      <c r="DR143" s="340">
        <f t="shared" ref="DR143:EM143" si="181">DR45</f>
        <v>50050.96</v>
      </c>
      <c r="DS143" s="340">
        <f t="shared" si="181"/>
        <v>53439.68</v>
      </c>
      <c r="DT143" s="340">
        <f t="shared" si="181"/>
        <v>59425.73</v>
      </c>
      <c r="DU143" s="340">
        <f t="shared" si="181"/>
        <v>65101.33</v>
      </c>
      <c r="DV143" s="340">
        <f t="shared" si="181"/>
        <v>84354.66</v>
      </c>
      <c r="DW143" s="340">
        <f t="shared" si="181"/>
        <v>52445.1</v>
      </c>
      <c r="DX143" s="340">
        <f t="shared" si="181"/>
        <v>65613.42</v>
      </c>
      <c r="DY143" s="340">
        <f t="shared" si="181"/>
        <v>94167.09</v>
      </c>
      <c r="DZ143" s="340">
        <f t="shared" si="181"/>
        <v>97412.35</v>
      </c>
      <c r="EA143" s="340">
        <f t="shared" si="181"/>
        <v>102026.15999999999</v>
      </c>
      <c r="EB143" s="340">
        <f t="shared" si="181"/>
        <v>96413.700000000012</v>
      </c>
      <c r="EC143" s="340">
        <f t="shared" si="181"/>
        <v>102336.63</v>
      </c>
      <c r="ED143" s="340">
        <f t="shared" si="181"/>
        <v>107128.88</v>
      </c>
      <c r="EE143" s="340">
        <f t="shared" si="181"/>
        <v>119797.85</v>
      </c>
      <c r="EF143" s="340">
        <f t="shared" si="181"/>
        <v>123233.05</v>
      </c>
      <c r="EG143" s="340">
        <f t="shared" si="181"/>
        <v>126069.67000000001</v>
      </c>
      <c r="EH143" s="340">
        <f t="shared" si="181"/>
        <v>133655.41000000003</v>
      </c>
      <c r="EI143" s="340">
        <f t="shared" si="181"/>
        <v>146895.01999999999</v>
      </c>
      <c r="EJ143" s="340">
        <f t="shared" si="181"/>
        <v>161343.85</v>
      </c>
      <c r="EK143" s="340">
        <f t="shared" si="181"/>
        <v>171657.68999999997</v>
      </c>
      <c r="EL143" s="340">
        <f t="shared" si="181"/>
        <v>192706.05999999997</v>
      </c>
      <c r="EM143" s="340">
        <f t="shared" si="181"/>
        <v>212935</v>
      </c>
      <c r="EO143" s="319" t="s">
        <v>28</v>
      </c>
      <c r="EP143" s="319">
        <f t="shared" si="89"/>
        <v>162665.62</v>
      </c>
      <c r="EQ143" s="319">
        <f t="shared" si="90"/>
        <v>145050.56</v>
      </c>
      <c r="ER143" s="319">
        <f t="shared" si="91"/>
        <v>178277.19</v>
      </c>
      <c r="ES143" s="319">
        <f t="shared" si="92"/>
        <v>195303.99</v>
      </c>
      <c r="ET143" s="319">
        <f t="shared" si="93"/>
        <v>243691.24</v>
      </c>
      <c r="EU143" s="319">
        <f t="shared" si="94"/>
        <v>388093.74</v>
      </c>
      <c r="EV143" s="319">
        <f t="shared" si="95"/>
        <v>360873.81</v>
      </c>
      <c r="EW143" s="319">
        <f t="shared" si="96"/>
        <v>282501.27</v>
      </c>
      <c r="EX143" s="319">
        <f t="shared" si="97"/>
        <v>329592.42</v>
      </c>
      <c r="EY143" s="319">
        <f t="shared" si="98"/>
        <v>294684.37</v>
      </c>
      <c r="EZ143" s="319">
        <f t="shared" si="99"/>
        <v>296141.5</v>
      </c>
      <c r="FA143" s="319">
        <f t="shared" si="100"/>
        <v>285474.7900000001</v>
      </c>
      <c r="FB143" s="319">
        <f t="shared" si="101"/>
        <v>272682.88</v>
      </c>
      <c r="FC143" s="319">
        <f t="shared" si="102"/>
        <v>266054.14999999997</v>
      </c>
      <c r="FD143" s="319">
        <f t="shared" si="103"/>
        <v>320006.28999999998</v>
      </c>
      <c r="FE143" s="319">
        <f t="shared" si="104"/>
        <v>261620.01000000004</v>
      </c>
      <c r="FF143" s="322">
        <f t="shared" si="105"/>
        <v>254446.40999999997</v>
      </c>
      <c r="FG143" s="336">
        <f t="shared" si="106"/>
        <v>283176.71000000002</v>
      </c>
      <c r="FH143" s="336">
        <f t="shared" si="107"/>
        <v>240776.55</v>
      </c>
      <c r="FI143" s="336">
        <f t="shared" si="108"/>
        <v>227589.21000000002</v>
      </c>
      <c r="FJ143" s="336">
        <f t="shared" si="109"/>
        <v>298022.44999999995</v>
      </c>
      <c r="FK143" s="336">
        <f t="shared" si="110"/>
        <v>373663.67</v>
      </c>
      <c r="FL143" s="122"/>
      <c r="FM143" s="340" t="s">
        <v>28</v>
      </c>
      <c r="FN143" s="340">
        <f t="shared" si="111"/>
        <v>43794.59</v>
      </c>
      <c r="FO143" s="340">
        <f t="shared" si="112"/>
        <v>45805.440000000002</v>
      </c>
      <c r="FP143" s="340">
        <f t="shared" si="113"/>
        <v>42446.95</v>
      </c>
      <c r="FQ143" s="340">
        <f t="shared" si="114"/>
        <v>55801.14</v>
      </c>
      <c r="FR143" s="340">
        <f t="shared" si="115"/>
        <v>56236.44</v>
      </c>
      <c r="FS143" s="340">
        <f t="shared" si="116"/>
        <v>52445.1</v>
      </c>
      <c r="FT143" s="340">
        <f t="shared" si="117"/>
        <v>65613.42</v>
      </c>
      <c r="FU143" s="340">
        <f t="shared" si="118"/>
        <v>62778.06</v>
      </c>
      <c r="FV143" s="340">
        <f t="shared" si="119"/>
        <v>59938.439999999995</v>
      </c>
      <c r="FW143" s="340">
        <f t="shared" si="120"/>
        <v>61566.06</v>
      </c>
      <c r="FX143" s="340">
        <f t="shared" si="121"/>
        <v>60888.93</v>
      </c>
      <c r="FY143" s="340">
        <f t="shared" si="122"/>
        <v>68463.319999999992</v>
      </c>
      <c r="FZ143" s="340">
        <f t="shared" si="123"/>
        <v>66261.91</v>
      </c>
      <c r="GA143" s="340">
        <f t="shared" si="124"/>
        <v>69299.749999999985</v>
      </c>
      <c r="GB143" s="340">
        <f t="shared" si="125"/>
        <v>70426.510000000009</v>
      </c>
      <c r="GC143" s="340">
        <f t="shared" si="126"/>
        <v>77965.260000000009</v>
      </c>
      <c r="GD143" s="340">
        <f t="shared" si="127"/>
        <v>74954.77</v>
      </c>
      <c r="GE143" s="340">
        <f t="shared" si="128"/>
        <v>77821.73000000001</v>
      </c>
      <c r="GF143" s="340">
        <f t="shared" si="129"/>
        <v>77248.72</v>
      </c>
      <c r="GG143" s="340">
        <f t="shared" si="130"/>
        <v>74697.600000000006</v>
      </c>
      <c r="GH143" s="340">
        <f t="shared" si="131"/>
        <v>80033.869999999981</v>
      </c>
      <c r="GI143" s="340">
        <f t="shared" si="132"/>
        <v>85071.319999999992</v>
      </c>
      <c r="GJ143" s="122"/>
      <c r="GK143" s="340" t="s">
        <v>28</v>
      </c>
      <c r="GL143" s="340">
        <f t="shared" si="133"/>
        <v>12512.74</v>
      </c>
      <c r="GM143" s="340">
        <f t="shared" si="134"/>
        <v>7634.24</v>
      </c>
      <c r="GN143" s="340">
        <f t="shared" si="135"/>
        <v>203745.36</v>
      </c>
      <c r="GO143" s="340">
        <f t="shared" si="136"/>
        <v>213904.37</v>
      </c>
      <c r="GP143" s="340">
        <f t="shared" si="137"/>
        <v>0</v>
      </c>
      <c r="GQ143" s="340">
        <f t="shared" si="138"/>
        <v>31467.06</v>
      </c>
      <c r="GR143" s="340">
        <f t="shared" si="139"/>
        <v>109355.7</v>
      </c>
      <c r="GS143" s="340">
        <f t="shared" si="140"/>
        <v>52315.05</v>
      </c>
      <c r="GT143" s="340">
        <f t="shared" si="141"/>
        <v>20000</v>
      </c>
      <c r="GU143" s="340">
        <f t="shared" si="142"/>
        <v>0</v>
      </c>
      <c r="GV143" s="340">
        <f t="shared" si="143"/>
        <v>15000</v>
      </c>
      <c r="GW143" s="340">
        <f t="shared" si="144"/>
        <v>0</v>
      </c>
      <c r="GX143" s="340">
        <f t="shared" si="145"/>
        <v>0</v>
      </c>
      <c r="GY143" s="340">
        <f t="shared" si="146"/>
        <v>40042</v>
      </c>
      <c r="GZ143" s="340">
        <f t="shared" si="147"/>
        <v>0</v>
      </c>
      <c r="HA143" s="340">
        <f t="shared" si="148"/>
        <v>0</v>
      </c>
      <c r="HB143" s="340">
        <f t="shared" si="149"/>
        <v>0</v>
      </c>
      <c r="HC143" s="340">
        <f t="shared" si="150"/>
        <v>20000</v>
      </c>
      <c r="HD143" s="340">
        <f t="shared" si="151"/>
        <v>0</v>
      </c>
      <c r="HE143" s="340">
        <f t="shared" si="152"/>
        <v>0</v>
      </c>
      <c r="HF143" s="340">
        <f t="shared" si="153"/>
        <v>0</v>
      </c>
      <c r="HG143" s="340">
        <f t="shared" si="154"/>
        <v>0</v>
      </c>
      <c r="HH143" s="122"/>
      <c r="IF143" s="122"/>
      <c r="IG143" s="122"/>
      <c r="IH143" s="122"/>
      <c r="II143" s="122"/>
      <c r="IJ143" s="122"/>
      <c r="IK143" s="122"/>
      <c r="IL143" s="122"/>
      <c r="IN143" s="118"/>
      <c r="IP143" s="122"/>
      <c r="IQ143" s="122"/>
      <c r="IR143" s="122"/>
      <c r="IS143" s="122"/>
      <c r="IT143" s="122"/>
      <c r="IU143" s="122"/>
      <c r="IV143" s="122"/>
      <c r="IW143" s="122"/>
      <c r="IX143" s="122"/>
      <c r="IY143" s="122"/>
      <c r="IZ143" s="122"/>
      <c r="JA143" s="122"/>
      <c r="JB143" s="122"/>
      <c r="JC143" s="122"/>
      <c r="JD143" s="122"/>
      <c r="JE143" s="122"/>
      <c r="JF143" s="122"/>
      <c r="JG143" s="122"/>
      <c r="JH143" s="122"/>
      <c r="JI143" s="122"/>
      <c r="JK143" s="118"/>
      <c r="JL143" s="118"/>
      <c r="JY143" s="122"/>
      <c r="JZ143" s="122"/>
      <c r="KA143" s="122"/>
      <c r="KB143" s="122"/>
      <c r="LX143" s="122"/>
      <c r="LY143" s="122"/>
      <c r="LZ143" s="122"/>
      <c r="MB143" s="118"/>
      <c r="MC143" s="118"/>
      <c r="MP143" s="122"/>
      <c r="MQ143" s="122"/>
      <c r="MR143" s="122"/>
      <c r="MS143" s="122"/>
      <c r="MT143" s="122"/>
      <c r="MU143" s="122"/>
      <c r="MV143" s="122"/>
      <c r="OS143" s="118"/>
      <c r="OT143" s="118"/>
      <c r="PC143" s="122"/>
      <c r="PD143" s="122"/>
      <c r="PE143" s="122"/>
      <c r="PF143" s="122"/>
      <c r="PG143" s="122"/>
      <c r="PH143" s="122"/>
      <c r="PI143" s="122"/>
      <c r="PJ143" s="122"/>
      <c r="PP143" s="118"/>
      <c r="PQ143" s="118"/>
      <c r="PZ143" s="122"/>
      <c r="QA143" s="122"/>
      <c r="QB143" s="122"/>
      <c r="QC143" s="122"/>
      <c r="QD143" s="122"/>
      <c r="QE143" s="122"/>
      <c r="QF143" s="122"/>
      <c r="QG143" s="122"/>
      <c r="QM143" s="118"/>
      <c r="QN143" s="118"/>
      <c r="RE143" s="118"/>
      <c r="RF143" s="118"/>
      <c r="RG143" s="118"/>
      <c r="RH143" s="118"/>
      <c r="RI143" s="118"/>
      <c r="RJ143" s="118"/>
      <c r="RK143" s="118"/>
    </row>
    <row r="144" spans="1:479">
      <c r="Y144" s="277" t="s">
        <v>29</v>
      </c>
      <c r="Z144" s="319">
        <f t="shared" si="0"/>
        <v>210514.80000000002</v>
      </c>
      <c r="AA144" s="319">
        <f t="shared" si="1"/>
        <v>206970.25</v>
      </c>
      <c r="AB144" s="319">
        <f t="shared" si="2"/>
        <v>242860.95</v>
      </c>
      <c r="AC144" s="319">
        <f t="shared" si="3"/>
        <v>356960.9</v>
      </c>
      <c r="AD144" s="319">
        <f t="shared" si="4"/>
        <v>283219.8</v>
      </c>
      <c r="AE144" s="319">
        <f t="shared" si="5"/>
        <v>297783.64</v>
      </c>
      <c r="AF144" s="319">
        <f t="shared" si="6"/>
        <v>330351.67</v>
      </c>
      <c r="AG144" s="319">
        <f t="shared" si="7"/>
        <v>308878.42</v>
      </c>
      <c r="AH144" s="319">
        <f t="shared" si="8"/>
        <v>433031.47</v>
      </c>
      <c r="AI144" s="319">
        <f t="shared" si="9"/>
        <v>262997.52999999997</v>
      </c>
      <c r="AJ144" s="319">
        <f t="shared" si="10"/>
        <v>379199.97</v>
      </c>
      <c r="AK144" s="319">
        <f t="shared" si="11"/>
        <v>314793.67000000004</v>
      </c>
      <c r="AL144" s="319">
        <f t="shared" si="12"/>
        <v>381219.2</v>
      </c>
      <c r="AM144" s="319">
        <f t="shared" si="13"/>
        <v>342110.76</v>
      </c>
      <c r="AN144" s="319">
        <f t="shared" si="14"/>
        <v>0</v>
      </c>
      <c r="AO144" s="319">
        <f t="shared" si="15"/>
        <v>354473</v>
      </c>
      <c r="AP144" s="319">
        <f t="shared" si="16"/>
        <v>346995.9</v>
      </c>
      <c r="AQ144" s="319">
        <f t="shared" si="17"/>
        <v>452618.89</v>
      </c>
      <c r="AR144" s="319">
        <f t="shared" si="18"/>
        <v>0</v>
      </c>
      <c r="AS144" s="319">
        <f t="shared" si="19"/>
        <v>0</v>
      </c>
      <c r="AT144" s="319">
        <f t="shared" si="20"/>
        <v>0</v>
      </c>
      <c r="AU144" s="319">
        <f t="shared" si="21"/>
        <v>0</v>
      </c>
      <c r="AW144" s="322" t="s">
        <v>29</v>
      </c>
      <c r="AX144" s="322">
        <f t="shared" si="22"/>
        <v>84205.920000000013</v>
      </c>
      <c r="AY144" s="322">
        <f t="shared" si="23"/>
        <v>140739.76999999999</v>
      </c>
      <c r="AZ144" s="322">
        <f t="shared" si="24"/>
        <v>170902.15</v>
      </c>
      <c r="BA144" s="322">
        <f t="shared" si="25"/>
        <v>136485.04999999999</v>
      </c>
      <c r="BB144" s="322">
        <f t="shared" si="26"/>
        <v>103847.26000000001</v>
      </c>
      <c r="BC144" s="322">
        <f t="shared" si="27"/>
        <v>116986.43</v>
      </c>
      <c r="BD144" s="322">
        <f t="shared" si="28"/>
        <v>117290.14</v>
      </c>
      <c r="BE144" s="322">
        <f t="shared" si="29"/>
        <v>106509.79999999999</v>
      </c>
      <c r="BF144" s="322">
        <f t="shared" si="30"/>
        <v>132798.17000000001</v>
      </c>
      <c r="BG144" s="322">
        <f t="shared" si="31"/>
        <v>88414.53</v>
      </c>
      <c r="BH144" s="322">
        <f t="shared" si="32"/>
        <v>90262.34</v>
      </c>
      <c r="BI144" s="322">
        <f t="shared" si="33"/>
        <v>81640.510000000009</v>
      </c>
      <c r="BJ144" s="322">
        <f t="shared" si="34"/>
        <v>63013.55</v>
      </c>
      <c r="BK144" s="322">
        <f t="shared" si="35"/>
        <v>75083.930000000008</v>
      </c>
      <c r="BL144" s="322">
        <f t="shared" si="36"/>
        <v>0</v>
      </c>
      <c r="BM144" s="322">
        <f t="shared" si="37"/>
        <v>68749</v>
      </c>
      <c r="BN144" s="322">
        <f t="shared" si="38"/>
        <v>82932.039999999994</v>
      </c>
      <c r="BO144" s="340">
        <f t="shared" si="39"/>
        <v>85287.51999999999</v>
      </c>
      <c r="BP144" s="340">
        <f t="shared" si="40"/>
        <v>0</v>
      </c>
      <c r="BQ144" s="340">
        <f t="shared" si="41"/>
        <v>0</v>
      </c>
      <c r="BR144" s="340">
        <f t="shared" si="42"/>
        <v>0</v>
      </c>
      <c r="BS144" s="340">
        <f t="shared" si="43"/>
        <v>0</v>
      </c>
      <c r="BU144" s="340" t="s">
        <v>29</v>
      </c>
      <c r="BV144" s="340">
        <f t="shared" si="44"/>
        <v>14034.32</v>
      </c>
      <c r="BW144" s="340">
        <f t="shared" si="45"/>
        <v>33115.24</v>
      </c>
      <c r="BX144" s="340">
        <f t="shared" si="46"/>
        <v>26984.550000000003</v>
      </c>
      <c r="BY144" s="340">
        <f t="shared" si="47"/>
        <v>31496.550000000003</v>
      </c>
      <c r="BZ144" s="340">
        <f t="shared" si="48"/>
        <v>28321.98</v>
      </c>
      <c r="CA144" s="340">
        <f t="shared" si="49"/>
        <v>31905.39</v>
      </c>
      <c r="CB144" s="340">
        <f t="shared" si="50"/>
        <v>31988.22</v>
      </c>
      <c r="CC144" s="340">
        <f t="shared" si="51"/>
        <v>31952.94</v>
      </c>
      <c r="CD144" s="340">
        <f t="shared" si="52"/>
        <v>37342.42</v>
      </c>
      <c r="CE144" s="340">
        <f t="shared" si="53"/>
        <v>50559.289999999994</v>
      </c>
      <c r="CF144" s="340">
        <f t="shared" si="54"/>
        <v>52224.87</v>
      </c>
      <c r="CG144" s="340">
        <f t="shared" si="55"/>
        <v>54669.799999999988</v>
      </c>
      <c r="CH144" s="340">
        <f t="shared" si="56"/>
        <v>54651.32</v>
      </c>
      <c r="CI144" s="340">
        <f t="shared" si="57"/>
        <v>55400.33</v>
      </c>
      <c r="CJ144" s="340">
        <f t="shared" si="58"/>
        <v>0</v>
      </c>
      <c r="CK144" s="340">
        <f t="shared" si="59"/>
        <v>55693</v>
      </c>
      <c r="CL144" s="340">
        <f t="shared" si="60"/>
        <v>57752.310000000005</v>
      </c>
      <c r="CM144" s="340">
        <f t="shared" si="61"/>
        <v>62755.420000000006</v>
      </c>
      <c r="CN144" s="340">
        <f t="shared" si="62"/>
        <v>0</v>
      </c>
      <c r="CO144" s="340">
        <f t="shared" si="63"/>
        <v>0</v>
      </c>
      <c r="CP144" s="340">
        <f t="shared" si="64"/>
        <v>0</v>
      </c>
      <c r="CQ144" s="340">
        <f t="shared" si="65"/>
        <v>0</v>
      </c>
      <c r="CR144" s="122"/>
      <c r="CS144" s="340" t="s">
        <v>29</v>
      </c>
      <c r="CT144" s="340">
        <f t="shared" si="66"/>
        <v>56137.279999999999</v>
      </c>
      <c r="CU144" s="340">
        <f t="shared" si="67"/>
        <v>49672.86</v>
      </c>
      <c r="CV144" s="340">
        <f t="shared" si="68"/>
        <v>62963.95</v>
      </c>
      <c r="CW144" s="340">
        <f t="shared" si="69"/>
        <v>52494.25</v>
      </c>
      <c r="CX144" s="340">
        <f t="shared" si="70"/>
        <v>66084.62</v>
      </c>
      <c r="CY144" s="340">
        <f t="shared" si="71"/>
        <v>74445.91</v>
      </c>
      <c r="CZ144" s="340">
        <f t="shared" si="72"/>
        <v>63976.44</v>
      </c>
      <c r="DA144" s="340">
        <f t="shared" si="73"/>
        <v>53254.9</v>
      </c>
      <c r="DB144" s="340">
        <f t="shared" si="74"/>
        <v>80841.259999999995</v>
      </c>
      <c r="DC144" s="340">
        <f t="shared" si="75"/>
        <v>204540.31</v>
      </c>
      <c r="DD144" s="340">
        <f t="shared" si="76"/>
        <v>209126.82000000004</v>
      </c>
      <c r="DE144" s="340">
        <f t="shared" si="77"/>
        <v>248943.81</v>
      </c>
      <c r="DF144" s="340">
        <f t="shared" si="78"/>
        <v>209122.97</v>
      </c>
      <c r="DG144" s="340">
        <f t="shared" si="79"/>
        <v>228452.27000000002</v>
      </c>
      <c r="DH144" s="340">
        <f t="shared" si="80"/>
        <v>0</v>
      </c>
      <c r="DI144" s="340">
        <f t="shared" si="81"/>
        <v>146868</v>
      </c>
      <c r="DJ144" s="340">
        <f t="shared" si="82"/>
        <v>480835.95999999996</v>
      </c>
      <c r="DK144" s="340">
        <f t="shared" si="83"/>
        <v>244610.01</v>
      </c>
      <c r="DL144" s="340">
        <f t="shared" si="84"/>
        <v>0</v>
      </c>
      <c r="DM144" s="340">
        <f t="shared" si="85"/>
        <v>0</v>
      </c>
      <c r="DN144" s="340">
        <f t="shared" si="86"/>
        <v>0</v>
      </c>
      <c r="DO144" s="340">
        <f t="shared" si="87"/>
        <v>0</v>
      </c>
      <c r="DP144" s="330"/>
      <c r="DQ144" s="340" t="s">
        <v>29</v>
      </c>
      <c r="DR144" s="340">
        <f t="shared" ref="DR144:EM144" si="182">DR46</f>
        <v>56137.279999999999</v>
      </c>
      <c r="DS144" s="340">
        <f t="shared" si="182"/>
        <v>66230.48</v>
      </c>
      <c r="DT144" s="340">
        <f t="shared" si="182"/>
        <v>62963.95</v>
      </c>
      <c r="DU144" s="340">
        <f t="shared" si="182"/>
        <v>62993.1</v>
      </c>
      <c r="DV144" s="340">
        <f t="shared" si="182"/>
        <v>66084.62</v>
      </c>
      <c r="DW144" s="340">
        <f t="shared" si="182"/>
        <v>74445.91</v>
      </c>
      <c r="DX144" s="340">
        <f t="shared" si="182"/>
        <v>74639.179999999993</v>
      </c>
      <c r="DY144" s="340">
        <f t="shared" si="182"/>
        <v>95858.82</v>
      </c>
      <c r="DZ144" s="340">
        <f t="shared" si="182"/>
        <v>79620.299999999988</v>
      </c>
      <c r="EA144" s="340">
        <f t="shared" si="182"/>
        <v>91966.85</v>
      </c>
      <c r="EB144" s="340">
        <f t="shared" si="182"/>
        <v>104303.16999999998</v>
      </c>
      <c r="EC144" s="340">
        <f t="shared" si="182"/>
        <v>119571.15000000001</v>
      </c>
      <c r="ED144" s="340">
        <f t="shared" si="182"/>
        <v>127939.76999999999</v>
      </c>
      <c r="EE144" s="340">
        <f t="shared" si="182"/>
        <v>119762.26</v>
      </c>
      <c r="EF144" s="340">
        <f t="shared" si="182"/>
        <v>0</v>
      </c>
      <c r="EG144" s="340">
        <f t="shared" si="182"/>
        <v>111225</v>
      </c>
      <c r="EH144" s="340">
        <f t="shared" si="182"/>
        <v>100750.20999999999</v>
      </c>
      <c r="EI144" s="340">
        <f t="shared" si="182"/>
        <v>111345.76000000001</v>
      </c>
      <c r="EJ144" s="340">
        <f t="shared" si="182"/>
        <v>0</v>
      </c>
      <c r="EK144" s="340">
        <f t="shared" si="182"/>
        <v>0</v>
      </c>
      <c r="EL144" s="340">
        <f t="shared" si="182"/>
        <v>0</v>
      </c>
      <c r="EM144" s="340">
        <f t="shared" si="182"/>
        <v>0</v>
      </c>
      <c r="EO144" s="319" t="s">
        <v>29</v>
      </c>
      <c r="EP144" s="319">
        <f t="shared" si="89"/>
        <v>210514.8</v>
      </c>
      <c r="EQ144" s="319">
        <f t="shared" si="90"/>
        <v>248364.30000000002</v>
      </c>
      <c r="ER144" s="319">
        <f t="shared" si="91"/>
        <v>260850.65</v>
      </c>
      <c r="ES144" s="319">
        <f t="shared" si="92"/>
        <v>272970.09999999998</v>
      </c>
      <c r="ET144" s="319">
        <f t="shared" si="93"/>
        <v>302101.12</v>
      </c>
      <c r="EU144" s="319">
        <f t="shared" si="94"/>
        <v>329689.03000000003</v>
      </c>
      <c r="EV144" s="319">
        <f t="shared" si="95"/>
        <v>319882.2</v>
      </c>
      <c r="EW144" s="319">
        <f t="shared" si="96"/>
        <v>330180.38</v>
      </c>
      <c r="EX144" s="319">
        <f t="shared" si="97"/>
        <v>289400.28000000003</v>
      </c>
      <c r="EY144" s="319">
        <f t="shared" si="98"/>
        <v>385392.24</v>
      </c>
      <c r="EZ144" s="319">
        <f t="shared" si="99"/>
        <v>402043.64999999997</v>
      </c>
      <c r="FA144" s="319">
        <f t="shared" si="100"/>
        <v>430568.29</v>
      </c>
      <c r="FB144" s="319">
        <f t="shared" si="101"/>
        <v>393310.44</v>
      </c>
      <c r="FC144" s="319">
        <f t="shared" si="102"/>
        <v>335543.69</v>
      </c>
      <c r="FD144" s="319">
        <f t="shared" si="103"/>
        <v>0</v>
      </c>
      <c r="FE144" s="319">
        <f t="shared" si="104"/>
        <v>328985</v>
      </c>
      <c r="FF144" s="322">
        <f t="shared" si="105"/>
        <v>347894.93</v>
      </c>
      <c r="FG144" s="336">
        <f t="shared" si="106"/>
        <v>364809.42000000004</v>
      </c>
      <c r="FH144" s="336">
        <f t="shared" si="107"/>
        <v>0</v>
      </c>
      <c r="FI144" s="336">
        <f t="shared" si="108"/>
        <v>0</v>
      </c>
      <c r="FJ144" s="336">
        <f t="shared" si="109"/>
        <v>0</v>
      </c>
      <c r="FK144" s="336">
        <f t="shared" si="110"/>
        <v>0</v>
      </c>
      <c r="FL144" s="122"/>
      <c r="FM144" s="340" t="s">
        <v>29</v>
      </c>
      <c r="FN144" s="340">
        <f t="shared" si="111"/>
        <v>49120.12</v>
      </c>
      <c r="FO144" s="340">
        <f t="shared" si="112"/>
        <v>49672.86</v>
      </c>
      <c r="FP144" s="340">
        <f t="shared" si="113"/>
        <v>53969.1</v>
      </c>
      <c r="FQ144" s="340">
        <f t="shared" si="114"/>
        <v>73491.95</v>
      </c>
      <c r="FR144" s="340">
        <f t="shared" si="115"/>
        <v>75525.279999999999</v>
      </c>
      <c r="FS144" s="340">
        <f t="shared" si="116"/>
        <v>74445.91</v>
      </c>
      <c r="FT144" s="340">
        <f t="shared" si="117"/>
        <v>74639.179999999993</v>
      </c>
      <c r="FU144" s="340">
        <f t="shared" si="118"/>
        <v>74556.86</v>
      </c>
      <c r="FV144" s="340">
        <f t="shared" si="119"/>
        <v>73526.53</v>
      </c>
      <c r="FW144" s="340">
        <f t="shared" si="120"/>
        <v>74865.45</v>
      </c>
      <c r="FX144" s="340">
        <f t="shared" si="121"/>
        <v>71790.429999999993</v>
      </c>
      <c r="FY144" s="340">
        <f t="shared" si="122"/>
        <v>75077.62999999999</v>
      </c>
      <c r="FZ144" s="340">
        <f t="shared" si="123"/>
        <v>77472.600000000006</v>
      </c>
      <c r="GA144" s="340">
        <f t="shared" si="124"/>
        <v>78091.819999999978</v>
      </c>
      <c r="GB144" s="340">
        <f t="shared" si="125"/>
        <v>0</v>
      </c>
      <c r="GC144" s="340">
        <f t="shared" si="126"/>
        <v>83916</v>
      </c>
      <c r="GD144" s="340">
        <f t="shared" si="127"/>
        <v>86035.43</v>
      </c>
      <c r="GE144" s="340">
        <f t="shared" si="128"/>
        <v>90792.599999999991</v>
      </c>
      <c r="GF144" s="340">
        <f t="shared" si="129"/>
        <v>0</v>
      </c>
      <c r="GG144" s="340">
        <f t="shared" si="130"/>
        <v>0</v>
      </c>
      <c r="GH144" s="340">
        <f t="shared" si="131"/>
        <v>0</v>
      </c>
      <c r="GI144" s="340">
        <f t="shared" si="132"/>
        <v>0</v>
      </c>
      <c r="GJ144" s="122"/>
      <c r="GK144" s="340" t="s">
        <v>29</v>
      </c>
      <c r="GL144" s="340">
        <f t="shared" si="133"/>
        <v>21051.48</v>
      </c>
      <c r="GM144" s="340">
        <f t="shared" si="134"/>
        <v>33115.24</v>
      </c>
      <c r="GN144" s="340">
        <f t="shared" si="135"/>
        <v>17989.7</v>
      </c>
      <c r="GO144" s="340">
        <f t="shared" si="136"/>
        <v>62993.1</v>
      </c>
      <c r="GP144" s="340">
        <f t="shared" si="137"/>
        <v>18881.32</v>
      </c>
      <c r="GQ144" s="340">
        <f t="shared" si="138"/>
        <v>63810.78</v>
      </c>
      <c r="GR144" s="340">
        <f t="shared" si="139"/>
        <v>53313.7</v>
      </c>
      <c r="GS144" s="340">
        <f t="shared" si="140"/>
        <v>63905.88</v>
      </c>
      <c r="GT144" s="340">
        <f t="shared" si="141"/>
        <v>30000</v>
      </c>
      <c r="GU144" s="340">
        <f t="shared" si="142"/>
        <v>0</v>
      </c>
      <c r="GV144" s="340">
        <f t="shared" si="143"/>
        <v>1200</v>
      </c>
      <c r="GW144" s="340">
        <f t="shared" si="144"/>
        <v>60000</v>
      </c>
      <c r="GX144" s="340">
        <f t="shared" si="145"/>
        <v>141256.74</v>
      </c>
      <c r="GY144" s="340">
        <f t="shared" si="146"/>
        <v>97500</v>
      </c>
      <c r="GZ144" s="340">
        <f t="shared" si="147"/>
        <v>0</v>
      </c>
      <c r="HA144" s="340">
        <f t="shared" si="148"/>
        <v>0</v>
      </c>
      <c r="HB144" s="340">
        <f t="shared" si="149"/>
        <v>0</v>
      </c>
      <c r="HC144" s="340">
        <f t="shared" si="150"/>
        <v>0</v>
      </c>
      <c r="HD144" s="340">
        <f t="shared" si="151"/>
        <v>0</v>
      </c>
      <c r="HE144" s="340">
        <f t="shared" si="152"/>
        <v>0</v>
      </c>
      <c r="HF144" s="340">
        <f t="shared" si="153"/>
        <v>0</v>
      </c>
      <c r="HG144" s="340">
        <f t="shared" si="154"/>
        <v>0</v>
      </c>
      <c r="HH144" s="122"/>
      <c r="IF144" s="122"/>
      <c r="IG144" s="122"/>
      <c r="IH144" s="122"/>
      <c r="II144" s="122"/>
      <c r="IJ144" s="122"/>
      <c r="IK144" s="122"/>
      <c r="IL144" s="122"/>
      <c r="IN144" s="118"/>
      <c r="IP144" s="122"/>
      <c r="IQ144" s="122"/>
      <c r="IR144" s="122"/>
      <c r="IS144" s="122"/>
      <c r="IT144" s="122"/>
      <c r="IU144" s="122"/>
      <c r="IV144" s="122"/>
      <c r="IW144" s="122"/>
      <c r="IX144" s="122"/>
      <c r="IY144" s="122"/>
      <c r="IZ144" s="122"/>
      <c r="JA144" s="122"/>
      <c r="JB144" s="122"/>
      <c r="JC144" s="122"/>
      <c r="JD144" s="122"/>
      <c r="JE144" s="122"/>
      <c r="JF144" s="122"/>
      <c r="JG144" s="122"/>
      <c r="JH144" s="122"/>
      <c r="JI144" s="122"/>
      <c r="JK144" s="118"/>
      <c r="JL144" s="118"/>
      <c r="JY144" s="122"/>
      <c r="JZ144" s="122"/>
      <c r="KA144" s="122"/>
      <c r="KB144" s="122"/>
      <c r="LX144" s="122"/>
      <c r="LY144" s="122"/>
      <c r="LZ144" s="122"/>
      <c r="MB144" s="118"/>
      <c r="MC144" s="118"/>
      <c r="MP144" s="122"/>
      <c r="MQ144" s="122"/>
      <c r="MR144" s="122"/>
      <c r="MS144" s="122"/>
      <c r="MT144" s="122"/>
      <c r="MU144" s="122"/>
      <c r="MV144" s="122"/>
      <c r="OS144" s="118"/>
      <c r="OT144" s="118"/>
      <c r="PC144" s="122"/>
      <c r="PD144" s="122"/>
      <c r="PE144" s="122"/>
      <c r="PF144" s="122"/>
      <c r="PG144" s="122"/>
      <c r="PH144" s="122"/>
      <c r="PI144" s="122"/>
      <c r="PJ144" s="122"/>
      <c r="PP144" s="118"/>
      <c r="PQ144" s="118"/>
      <c r="PZ144" s="122"/>
      <c r="QA144" s="122"/>
      <c r="QB144" s="122"/>
      <c r="QC144" s="122"/>
      <c r="QD144" s="122"/>
      <c r="QE144" s="122"/>
      <c r="QF144" s="122"/>
      <c r="QG144" s="122"/>
      <c r="QM144" s="118"/>
      <c r="QN144" s="118"/>
      <c r="RE144" s="118"/>
      <c r="RF144" s="118"/>
      <c r="RG144" s="118"/>
      <c r="RH144" s="118"/>
      <c r="RI144" s="118"/>
      <c r="RJ144" s="118"/>
      <c r="RK144" s="118"/>
    </row>
    <row r="145" spans="25:479">
      <c r="Y145" s="277" t="s">
        <v>30</v>
      </c>
      <c r="Z145" s="319">
        <f t="shared" si="0"/>
        <v>274479.84000000003</v>
      </c>
      <c r="AA145" s="319">
        <f t="shared" si="1"/>
        <v>268246.44</v>
      </c>
      <c r="AB145" s="319">
        <f t="shared" si="2"/>
        <v>320428.92000000004</v>
      </c>
      <c r="AC145" s="319">
        <f t="shared" si="3"/>
        <v>307107.83999999997</v>
      </c>
      <c r="AD145" s="319">
        <f t="shared" si="4"/>
        <v>319220.8</v>
      </c>
      <c r="AE145" s="319">
        <f t="shared" si="5"/>
        <v>306007.36</v>
      </c>
      <c r="AF145" s="319">
        <f t="shared" si="6"/>
        <v>325738.83999999997</v>
      </c>
      <c r="AG145" s="319">
        <f t="shared" si="7"/>
        <v>347265.61</v>
      </c>
      <c r="AH145" s="319">
        <f t="shared" si="8"/>
        <v>379249.93</v>
      </c>
      <c r="AI145" s="319">
        <f t="shared" si="9"/>
        <v>370216.99999999994</v>
      </c>
      <c r="AJ145" s="319">
        <f t="shared" si="10"/>
        <v>378190.05000000005</v>
      </c>
      <c r="AK145" s="319">
        <f t="shared" si="11"/>
        <v>456339.18999999994</v>
      </c>
      <c r="AL145" s="319">
        <f t="shared" si="12"/>
        <v>458149.42000000004</v>
      </c>
      <c r="AM145" s="319">
        <f t="shared" si="13"/>
        <v>589213.38</v>
      </c>
      <c r="AN145" s="319">
        <f t="shared" si="14"/>
        <v>441009.99</v>
      </c>
      <c r="AO145" s="319">
        <f t="shared" si="15"/>
        <v>406648.44999999995</v>
      </c>
      <c r="AP145" s="319">
        <f t="shared" si="16"/>
        <v>920613.15</v>
      </c>
      <c r="AQ145" s="319">
        <f t="shared" si="17"/>
        <v>466910.74</v>
      </c>
      <c r="AR145" s="319">
        <f t="shared" si="18"/>
        <v>480712.08000000007</v>
      </c>
      <c r="AS145" s="319">
        <f t="shared" si="19"/>
        <v>475317.97</v>
      </c>
      <c r="AT145" s="319">
        <f t="shared" si="20"/>
        <v>618934.96</v>
      </c>
      <c r="AU145" s="319">
        <f t="shared" si="21"/>
        <v>643211</v>
      </c>
      <c r="AW145" s="322" t="s">
        <v>30</v>
      </c>
      <c r="AX145" s="322">
        <f t="shared" si="22"/>
        <v>45746.64</v>
      </c>
      <c r="AY145" s="322">
        <f t="shared" si="23"/>
        <v>56900.76</v>
      </c>
      <c r="AZ145" s="322">
        <f t="shared" si="24"/>
        <v>65970.66</v>
      </c>
      <c r="BA145" s="322">
        <f t="shared" si="25"/>
        <v>47247.360000000001</v>
      </c>
      <c r="BB145" s="322">
        <f t="shared" si="26"/>
        <v>15961.04</v>
      </c>
      <c r="BC145" s="322">
        <f t="shared" si="27"/>
        <v>9562.73</v>
      </c>
      <c r="BD145" s="322">
        <f t="shared" si="28"/>
        <v>18462</v>
      </c>
      <c r="BE145" s="322">
        <f t="shared" si="29"/>
        <v>22165.89</v>
      </c>
      <c r="BF145" s="322">
        <f t="shared" si="30"/>
        <v>17590.89</v>
      </c>
      <c r="BG145" s="322">
        <f t="shared" si="31"/>
        <v>18816.190000000002</v>
      </c>
      <c r="BH145" s="322">
        <f t="shared" si="32"/>
        <v>15274.85</v>
      </c>
      <c r="BI145" s="322">
        <f t="shared" si="33"/>
        <v>17454.7</v>
      </c>
      <c r="BJ145" s="322">
        <f t="shared" si="34"/>
        <v>17052.400000000001</v>
      </c>
      <c r="BK145" s="322">
        <f t="shared" si="35"/>
        <v>25958.329999999998</v>
      </c>
      <c r="BL145" s="322">
        <f t="shared" si="36"/>
        <v>11063.3</v>
      </c>
      <c r="BM145" s="322">
        <f t="shared" si="37"/>
        <v>18298.66</v>
      </c>
      <c r="BN145" s="322">
        <f t="shared" si="38"/>
        <v>16231.25</v>
      </c>
      <c r="BO145" s="340">
        <f t="shared" si="39"/>
        <v>20161.080000000002</v>
      </c>
      <c r="BP145" s="340">
        <f t="shared" si="40"/>
        <v>13807.76</v>
      </c>
      <c r="BQ145" s="340">
        <f t="shared" si="41"/>
        <v>22639.03</v>
      </c>
      <c r="BR145" s="340">
        <f t="shared" si="42"/>
        <v>16342.359999999999</v>
      </c>
      <c r="BS145" s="340">
        <f t="shared" si="43"/>
        <v>60135</v>
      </c>
      <c r="BU145" s="340" t="s">
        <v>30</v>
      </c>
      <c r="BV145" s="340">
        <f t="shared" si="44"/>
        <v>22873.32</v>
      </c>
      <c r="BW145" s="340">
        <f t="shared" si="45"/>
        <v>32514.720000000001</v>
      </c>
      <c r="BX145" s="340">
        <f t="shared" si="46"/>
        <v>37697.519999999997</v>
      </c>
      <c r="BY145" s="340">
        <f t="shared" si="47"/>
        <v>39372.800000000003</v>
      </c>
      <c r="BZ145" s="340">
        <f t="shared" si="48"/>
        <v>55863.64</v>
      </c>
      <c r="CA145" s="340">
        <f t="shared" si="49"/>
        <v>47813.649999999994</v>
      </c>
      <c r="CB145" s="340">
        <f t="shared" si="50"/>
        <v>36924</v>
      </c>
      <c r="CC145" s="340">
        <f t="shared" si="51"/>
        <v>44331.78</v>
      </c>
      <c r="CD145" s="340">
        <f t="shared" si="52"/>
        <v>42006.65</v>
      </c>
      <c r="CE145" s="340">
        <f t="shared" si="53"/>
        <v>55751.670000000006</v>
      </c>
      <c r="CF145" s="340">
        <f t="shared" si="54"/>
        <v>54352.340000000004</v>
      </c>
      <c r="CG145" s="340">
        <f t="shared" si="55"/>
        <v>59260.549999999988</v>
      </c>
      <c r="CH145" s="340">
        <f t="shared" si="56"/>
        <v>63230.95</v>
      </c>
      <c r="CI145" s="340">
        <f t="shared" si="57"/>
        <v>66227.94</v>
      </c>
      <c r="CJ145" s="340">
        <f t="shared" si="58"/>
        <v>12964.48</v>
      </c>
      <c r="CK145" s="340">
        <f t="shared" si="59"/>
        <v>65959.34</v>
      </c>
      <c r="CL145" s="340">
        <f t="shared" si="60"/>
        <v>69903.64</v>
      </c>
      <c r="CM145" s="340">
        <f t="shared" si="61"/>
        <v>67369.600000000006</v>
      </c>
      <c r="CN145" s="340">
        <f t="shared" si="62"/>
        <v>79257.350000000006</v>
      </c>
      <c r="CO145" s="340">
        <f t="shared" si="63"/>
        <v>71816.67</v>
      </c>
      <c r="CP145" s="340">
        <f t="shared" si="64"/>
        <v>71624.990000000005</v>
      </c>
      <c r="CQ145" s="340">
        <f t="shared" si="65"/>
        <v>85196</v>
      </c>
      <c r="CR145" s="122"/>
      <c r="CS145" s="340" t="s">
        <v>30</v>
      </c>
      <c r="CT145" s="340">
        <f t="shared" si="66"/>
        <v>91493.28</v>
      </c>
      <c r="CU145" s="340">
        <f t="shared" si="67"/>
        <v>121930.2</v>
      </c>
      <c r="CV145" s="340">
        <f t="shared" si="68"/>
        <v>131941.32</v>
      </c>
      <c r="CW145" s="340">
        <f t="shared" si="69"/>
        <v>133867.51999999999</v>
      </c>
      <c r="CX145" s="340">
        <f t="shared" si="70"/>
        <v>127688.32000000001</v>
      </c>
      <c r="CY145" s="340">
        <f t="shared" si="71"/>
        <v>248630.98</v>
      </c>
      <c r="CZ145" s="340">
        <f t="shared" si="72"/>
        <v>129234</v>
      </c>
      <c r="DA145" s="340">
        <f t="shared" si="73"/>
        <v>147772.6</v>
      </c>
      <c r="DB145" s="340">
        <f t="shared" si="74"/>
        <v>116483.02</v>
      </c>
      <c r="DC145" s="340">
        <f t="shared" si="75"/>
        <v>175269.24</v>
      </c>
      <c r="DD145" s="340">
        <f t="shared" si="76"/>
        <v>227159.62000000002</v>
      </c>
      <c r="DE145" s="340">
        <f t="shared" si="77"/>
        <v>210766.92</v>
      </c>
      <c r="DF145" s="340">
        <f t="shared" si="78"/>
        <v>238927.95999999996</v>
      </c>
      <c r="DG145" s="340">
        <f t="shared" si="79"/>
        <v>208297.19</v>
      </c>
      <c r="DH145" s="340">
        <f t="shared" si="80"/>
        <v>194963.89999999997</v>
      </c>
      <c r="DI145" s="340">
        <f t="shared" si="81"/>
        <v>191623.50000000003</v>
      </c>
      <c r="DJ145" s="340">
        <f t="shared" si="82"/>
        <v>185151.37999999995</v>
      </c>
      <c r="DK145" s="340">
        <f t="shared" si="83"/>
        <v>188807.13999999998</v>
      </c>
      <c r="DL145" s="340">
        <f t="shared" si="84"/>
        <v>195259.46999999997</v>
      </c>
      <c r="DM145" s="340">
        <f t="shared" si="85"/>
        <v>207734.02000000002</v>
      </c>
      <c r="DN145" s="340">
        <f t="shared" si="86"/>
        <v>225992.66999999998</v>
      </c>
      <c r="DO145" s="340">
        <f t="shared" si="87"/>
        <v>249525</v>
      </c>
      <c r="DP145" s="330"/>
      <c r="DQ145" s="340" t="s">
        <v>30</v>
      </c>
      <c r="DR145" s="340">
        <f t="shared" ref="DR145:EM145" si="183">DR47</f>
        <v>30497.759999999998</v>
      </c>
      <c r="DS145" s="340">
        <f t="shared" si="183"/>
        <v>32514.720000000001</v>
      </c>
      <c r="DT145" s="340">
        <f t="shared" si="183"/>
        <v>37697.519999999997</v>
      </c>
      <c r="DU145" s="340">
        <f t="shared" si="183"/>
        <v>31498.240000000002</v>
      </c>
      <c r="DV145" s="340">
        <f t="shared" si="183"/>
        <v>31922.080000000002</v>
      </c>
      <c r="DW145" s="340">
        <f t="shared" si="183"/>
        <v>38250.92</v>
      </c>
      <c r="DX145" s="340">
        <f t="shared" si="183"/>
        <v>36924</v>
      </c>
      <c r="DY145" s="340">
        <f t="shared" si="183"/>
        <v>0</v>
      </c>
      <c r="DZ145" s="340">
        <f t="shared" si="183"/>
        <v>0</v>
      </c>
      <c r="EA145" s="340">
        <f t="shared" si="183"/>
        <v>0</v>
      </c>
      <c r="EB145" s="340">
        <f t="shared" si="183"/>
        <v>0</v>
      </c>
      <c r="EC145" s="340">
        <f t="shared" si="183"/>
        <v>0</v>
      </c>
      <c r="ED145" s="340">
        <f t="shared" si="183"/>
        <v>0</v>
      </c>
      <c r="EE145" s="340">
        <f t="shared" si="183"/>
        <v>0</v>
      </c>
      <c r="EF145" s="340">
        <f t="shared" si="183"/>
        <v>0</v>
      </c>
      <c r="EG145" s="340">
        <f t="shared" si="183"/>
        <v>0</v>
      </c>
      <c r="EH145" s="340">
        <f t="shared" si="183"/>
        <v>0</v>
      </c>
      <c r="EI145" s="340">
        <f t="shared" si="183"/>
        <v>0</v>
      </c>
      <c r="EJ145" s="340">
        <f t="shared" si="183"/>
        <v>0</v>
      </c>
      <c r="EK145" s="340">
        <f t="shared" si="183"/>
        <v>0</v>
      </c>
      <c r="EL145" s="340">
        <f t="shared" si="183"/>
        <v>0</v>
      </c>
      <c r="EM145" s="340">
        <f t="shared" si="183"/>
        <v>0</v>
      </c>
      <c r="EO145" s="319" t="s">
        <v>30</v>
      </c>
      <c r="EP145" s="319">
        <f t="shared" si="89"/>
        <v>221108.76</v>
      </c>
      <c r="EQ145" s="319">
        <f t="shared" si="90"/>
        <v>186959.64</v>
      </c>
      <c r="ER145" s="319">
        <f t="shared" si="91"/>
        <v>254458.25999999998</v>
      </c>
      <c r="ES145" s="319">
        <f t="shared" si="92"/>
        <v>173240.31999999998</v>
      </c>
      <c r="ET145" s="319">
        <f t="shared" si="93"/>
        <v>191532.48</v>
      </c>
      <c r="EU145" s="319">
        <f t="shared" si="94"/>
        <v>248630.97999999998</v>
      </c>
      <c r="EV145" s="319">
        <f t="shared" si="95"/>
        <v>304623</v>
      </c>
      <c r="EW145" s="319">
        <f t="shared" si="96"/>
        <v>0</v>
      </c>
      <c r="EX145" s="319">
        <f t="shared" si="97"/>
        <v>0</v>
      </c>
      <c r="EY145" s="319">
        <f t="shared" si="98"/>
        <v>0</v>
      </c>
      <c r="EZ145" s="319">
        <f t="shared" si="99"/>
        <v>0</v>
      </c>
      <c r="FA145" s="319">
        <f t="shared" si="100"/>
        <v>0</v>
      </c>
      <c r="FB145" s="319">
        <f t="shared" si="101"/>
        <v>0</v>
      </c>
      <c r="FC145" s="319">
        <f t="shared" si="102"/>
        <v>0</v>
      </c>
      <c r="FD145" s="319">
        <f t="shared" si="103"/>
        <v>0</v>
      </c>
      <c r="FE145" s="319">
        <f t="shared" si="104"/>
        <v>0</v>
      </c>
      <c r="FF145" s="322">
        <f t="shared" si="105"/>
        <v>0</v>
      </c>
      <c r="FG145" s="336">
        <f t="shared" si="106"/>
        <v>0</v>
      </c>
      <c r="FH145" s="336">
        <f t="shared" si="107"/>
        <v>0</v>
      </c>
      <c r="FI145" s="336">
        <f t="shared" si="108"/>
        <v>0</v>
      </c>
      <c r="FJ145" s="336">
        <f t="shared" si="109"/>
        <v>0</v>
      </c>
      <c r="FK145" s="336">
        <f t="shared" si="110"/>
        <v>0</v>
      </c>
      <c r="FL145" s="122"/>
      <c r="FM145" s="340" t="s">
        <v>30</v>
      </c>
      <c r="FN145" s="340">
        <f t="shared" si="111"/>
        <v>68619.960000000006</v>
      </c>
      <c r="FO145" s="340">
        <f t="shared" si="112"/>
        <v>81286.8</v>
      </c>
      <c r="FP145" s="340">
        <f t="shared" si="113"/>
        <v>65970.66</v>
      </c>
      <c r="FQ145" s="340">
        <f t="shared" si="114"/>
        <v>55121.919999999998</v>
      </c>
      <c r="FR145" s="340">
        <f t="shared" si="115"/>
        <v>55863.64</v>
      </c>
      <c r="FS145" s="340">
        <f t="shared" si="116"/>
        <v>57376.38</v>
      </c>
      <c r="FT145" s="340">
        <f t="shared" si="117"/>
        <v>64617</v>
      </c>
      <c r="FU145" s="340">
        <f t="shared" si="118"/>
        <v>81274.929999999993</v>
      </c>
      <c r="FV145" s="340">
        <f t="shared" si="119"/>
        <v>90041.47</v>
      </c>
      <c r="FW145" s="340">
        <f t="shared" si="120"/>
        <v>64970.14</v>
      </c>
      <c r="FX145" s="340">
        <f t="shared" si="121"/>
        <v>67555.42</v>
      </c>
      <c r="FY145" s="340">
        <f t="shared" si="122"/>
        <v>68906.249999999985</v>
      </c>
      <c r="FZ145" s="340">
        <f t="shared" si="123"/>
        <v>75091.660000000018</v>
      </c>
      <c r="GA145" s="340">
        <f t="shared" si="124"/>
        <v>72711.66</v>
      </c>
      <c r="GB145" s="340">
        <f t="shared" si="125"/>
        <v>82506.350000000006</v>
      </c>
      <c r="GC145" s="340">
        <f t="shared" si="126"/>
        <v>92038.409999999989</v>
      </c>
      <c r="GD145" s="340">
        <f t="shared" si="127"/>
        <v>105359.65000000002</v>
      </c>
      <c r="GE145" s="340">
        <f t="shared" si="128"/>
        <v>109936.03</v>
      </c>
      <c r="GF145" s="340">
        <f t="shared" si="129"/>
        <v>100340.48</v>
      </c>
      <c r="GG145" s="340">
        <f t="shared" si="130"/>
        <v>104824.70999999999</v>
      </c>
      <c r="GH145" s="340">
        <f t="shared" si="131"/>
        <v>115233.15</v>
      </c>
      <c r="GI145" s="340">
        <f t="shared" si="132"/>
        <v>117246</v>
      </c>
      <c r="GJ145" s="122"/>
      <c r="GK145" s="340" t="s">
        <v>30</v>
      </c>
      <c r="GL145" s="340">
        <f t="shared" si="133"/>
        <v>7624.44</v>
      </c>
      <c r="GM145" s="340">
        <f t="shared" si="134"/>
        <v>32514.720000000001</v>
      </c>
      <c r="GN145" s="340">
        <f t="shared" si="135"/>
        <v>28273.14</v>
      </c>
      <c r="GO145" s="340">
        <f t="shared" si="136"/>
        <v>0</v>
      </c>
      <c r="GP145" s="340">
        <f t="shared" si="137"/>
        <v>0</v>
      </c>
      <c r="GQ145" s="340">
        <f t="shared" si="138"/>
        <v>0</v>
      </c>
      <c r="GR145" s="340">
        <f t="shared" si="139"/>
        <v>9231</v>
      </c>
      <c r="GS145" s="340">
        <f t="shared" si="140"/>
        <v>96052.19</v>
      </c>
      <c r="GT145" s="340">
        <f t="shared" si="141"/>
        <v>53059</v>
      </c>
      <c r="GU145" s="340">
        <f t="shared" si="142"/>
        <v>12244</v>
      </c>
      <c r="GV145" s="340">
        <f t="shared" si="143"/>
        <v>47205.88</v>
      </c>
      <c r="GW145" s="340">
        <f t="shared" si="144"/>
        <v>57180.81</v>
      </c>
      <c r="GX145" s="340">
        <f t="shared" si="145"/>
        <v>74832.08</v>
      </c>
      <c r="GY145" s="340">
        <f t="shared" si="146"/>
        <v>135171.41999999998</v>
      </c>
      <c r="GZ145" s="340">
        <f t="shared" si="147"/>
        <v>56474.92</v>
      </c>
      <c r="HA145" s="340">
        <f t="shared" si="148"/>
        <v>158226.79999999999</v>
      </c>
      <c r="HB145" s="340">
        <f t="shared" si="149"/>
        <v>153228.41999999998</v>
      </c>
      <c r="HC145" s="340">
        <f t="shared" si="150"/>
        <v>286352.18</v>
      </c>
      <c r="HD145" s="340">
        <f t="shared" si="151"/>
        <v>300217.08999999997</v>
      </c>
      <c r="HE145" s="340">
        <f t="shared" si="152"/>
        <v>256242.09</v>
      </c>
      <c r="HF145" s="340">
        <f t="shared" si="153"/>
        <v>79487.95</v>
      </c>
      <c r="HG145" s="340">
        <f t="shared" si="154"/>
        <v>298738</v>
      </c>
      <c r="HH145" s="122"/>
      <c r="IF145" s="122"/>
      <c r="IG145" s="122"/>
      <c r="IH145" s="122"/>
      <c r="II145" s="122"/>
      <c r="IJ145" s="122"/>
      <c r="IK145" s="122"/>
      <c r="IL145" s="122"/>
      <c r="IN145" s="118"/>
      <c r="IP145" s="122"/>
      <c r="IQ145" s="122"/>
      <c r="IR145" s="122"/>
      <c r="IS145" s="122"/>
      <c r="IT145" s="122"/>
      <c r="IU145" s="122"/>
      <c r="IV145" s="122"/>
      <c r="IW145" s="122"/>
      <c r="IX145" s="122"/>
      <c r="IY145" s="122"/>
      <c r="IZ145" s="122"/>
      <c r="JA145" s="122"/>
      <c r="JB145" s="122"/>
      <c r="JC145" s="122"/>
      <c r="JD145" s="122"/>
      <c r="JE145" s="122"/>
      <c r="JF145" s="122"/>
      <c r="JG145" s="122"/>
      <c r="JH145" s="122"/>
      <c r="JI145" s="122"/>
      <c r="JK145" s="118"/>
      <c r="JL145" s="118"/>
      <c r="JY145" s="122"/>
      <c r="JZ145" s="122"/>
      <c r="KA145" s="122"/>
      <c r="KB145" s="122"/>
      <c r="LX145" s="122"/>
      <c r="LY145" s="122"/>
      <c r="LZ145" s="122"/>
      <c r="MB145" s="118"/>
      <c r="MC145" s="118"/>
      <c r="MP145" s="122"/>
      <c r="MQ145" s="122"/>
      <c r="MR145" s="122"/>
      <c r="MS145" s="122"/>
      <c r="MT145" s="122"/>
      <c r="MU145" s="122"/>
      <c r="MV145" s="122"/>
      <c r="OS145" s="118"/>
      <c r="OT145" s="118"/>
      <c r="PC145" s="122"/>
      <c r="PD145" s="122"/>
      <c r="PE145" s="122"/>
      <c r="PF145" s="122"/>
      <c r="PG145" s="122"/>
      <c r="PH145" s="122"/>
      <c r="PI145" s="122"/>
      <c r="PJ145" s="122"/>
      <c r="PP145" s="118"/>
      <c r="PQ145" s="118"/>
      <c r="PZ145" s="122"/>
      <c r="QA145" s="122"/>
      <c r="QB145" s="122"/>
      <c r="QC145" s="122"/>
      <c r="QD145" s="122"/>
      <c r="QE145" s="122"/>
      <c r="QF145" s="122"/>
      <c r="QG145" s="122"/>
      <c r="QM145" s="118"/>
      <c r="QN145" s="118"/>
      <c r="RE145" s="118"/>
      <c r="RF145" s="118"/>
      <c r="RG145" s="118"/>
      <c r="RH145" s="118"/>
      <c r="RI145" s="118"/>
      <c r="RJ145" s="118"/>
      <c r="RK145" s="118"/>
    </row>
    <row r="146" spans="25:479">
      <c r="Y146" s="277" t="s">
        <v>31</v>
      </c>
      <c r="Z146" s="319">
        <f t="shared" si="0"/>
        <v>523277.21000000008</v>
      </c>
      <c r="AA146" s="319">
        <f t="shared" si="1"/>
        <v>461617.25</v>
      </c>
      <c r="AB146" s="319">
        <f t="shared" si="2"/>
        <v>442122.95999999996</v>
      </c>
      <c r="AC146" s="319">
        <f t="shared" si="3"/>
        <v>462642.24</v>
      </c>
      <c r="AD146" s="319">
        <f t="shared" si="4"/>
        <v>568261.20000000007</v>
      </c>
      <c r="AE146" s="319">
        <f t="shared" si="5"/>
        <v>509037.6100000001</v>
      </c>
      <c r="AF146" s="319">
        <f t="shared" si="6"/>
        <v>578349.48</v>
      </c>
      <c r="AG146" s="319">
        <f t="shared" si="7"/>
        <v>627861</v>
      </c>
      <c r="AH146" s="319">
        <f t="shared" si="8"/>
        <v>607845.53999999992</v>
      </c>
      <c r="AI146" s="319">
        <f t="shared" si="9"/>
        <v>569180.48099999991</v>
      </c>
      <c r="AJ146" s="319">
        <f t="shared" si="10"/>
        <v>641769.30999999982</v>
      </c>
      <c r="AK146" s="319">
        <f t="shared" si="11"/>
        <v>645764.06999999983</v>
      </c>
      <c r="AL146" s="319">
        <f t="shared" si="12"/>
        <v>746184.05</v>
      </c>
      <c r="AM146" s="319">
        <f t="shared" si="13"/>
        <v>655464.07999999996</v>
      </c>
      <c r="AN146" s="319">
        <f t="shared" si="14"/>
        <v>710856.41999999993</v>
      </c>
      <c r="AO146" s="319">
        <f t="shared" si="15"/>
        <v>667158.60000000009</v>
      </c>
      <c r="AP146" s="319">
        <f t="shared" si="16"/>
        <v>725671.96</v>
      </c>
      <c r="AQ146" s="319">
        <f t="shared" si="17"/>
        <v>616604.66</v>
      </c>
      <c r="AR146" s="319">
        <f t="shared" si="18"/>
        <v>695941.87000000011</v>
      </c>
      <c r="AS146" s="319">
        <f t="shared" si="19"/>
        <v>643745.65</v>
      </c>
      <c r="AT146" s="319">
        <f t="shared" si="20"/>
        <v>734733.44</v>
      </c>
      <c r="AU146" s="319">
        <f t="shared" si="21"/>
        <v>1314726.5</v>
      </c>
      <c r="AW146" s="322" t="s">
        <v>31</v>
      </c>
      <c r="AX146" s="322">
        <f t="shared" si="22"/>
        <v>303838.38</v>
      </c>
      <c r="AY146" s="322">
        <f t="shared" si="23"/>
        <v>387758.49</v>
      </c>
      <c r="AZ146" s="322">
        <f t="shared" si="24"/>
        <v>478966.54000000004</v>
      </c>
      <c r="BA146" s="322">
        <f t="shared" si="25"/>
        <v>462642.24</v>
      </c>
      <c r="BB146" s="322">
        <f t="shared" si="26"/>
        <v>502692.6</v>
      </c>
      <c r="BC146" s="322">
        <f t="shared" si="27"/>
        <v>509037.61</v>
      </c>
      <c r="BD146" s="322">
        <f t="shared" si="28"/>
        <v>423027.4</v>
      </c>
      <c r="BE146" s="322">
        <f t="shared" si="29"/>
        <v>410524.5</v>
      </c>
      <c r="BF146" s="322">
        <f t="shared" si="30"/>
        <v>372345.16999999993</v>
      </c>
      <c r="BG146" s="322">
        <f t="shared" si="31"/>
        <v>402916.53</v>
      </c>
      <c r="BH146" s="322">
        <f t="shared" si="32"/>
        <v>374137.04000000004</v>
      </c>
      <c r="BI146" s="322">
        <f t="shared" si="33"/>
        <v>365499.04</v>
      </c>
      <c r="BJ146" s="322">
        <f t="shared" si="34"/>
        <v>390775.37000000005</v>
      </c>
      <c r="BK146" s="322">
        <f t="shared" si="35"/>
        <v>365034.28</v>
      </c>
      <c r="BL146" s="322">
        <f t="shared" si="36"/>
        <v>395739.86</v>
      </c>
      <c r="BM146" s="322">
        <f t="shared" si="37"/>
        <v>406859.83000000007</v>
      </c>
      <c r="BN146" s="322">
        <f t="shared" si="38"/>
        <v>437160.38</v>
      </c>
      <c r="BO146" s="340">
        <f t="shared" si="39"/>
        <v>355984.32</v>
      </c>
      <c r="BP146" s="340">
        <f t="shared" si="40"/>
        <v>404880.16000000003</v>
      </c>
      <c r="BQ146" s="340">
        <f t="shared" si="41"/>
        <v>404321.89000000007</v>
      </c>
      <c r="BR146" s="340">
        <f t="shared" si="42"/>
        <v>382358.08</v>
      </c>
      <c r="BS146" s="340">
        <f t="shared" si="43"/>
        <v>474085.5</v>
      </c>
      <c r="BU146" s="340" t="s">
        <v>31</v>
      </c>
      <c r="BV146" s="340">
        <f t="shared" si="44"/>
        <v>16879.91</v>
      </c>
      <c r="BW146" s="340">
        <f t="shared" si="45"/>
        <v>18464.689999999999</v>
      </c>
      <c r="BX146" s="340">
        <f t="shared" si="46"/>
        <v>18421.79</v>
      </c>
      <c r="BY146" s="340">
        <f t="shared" si="47"/>
        <v>19276.759999999998</v>
      </c>
      <c r="BZ146" s="340">
        <f t="shared" si="48"/>
        <v>21856.2</v>
      </c>
      <c r="CA146" s="340">
        <f t="shared" si="49"/>
        <v>22132.07</v>
      </c>
      <c r="CB146" s="340">
        <f t="shared" si="50"/>
        <v>22264.6</v>
      </c>
      <c r="CC146" s="340">
        <f t="shared" si="51"/>
        <v>24148.5</v>
      </c>
      <c r="CD146" s="340">
        <f t="shared" si="52"/>
        <v>25273.13</v>
      </c>
      <c r="CE146" s="340">
        <f t="shared" si="53"/>
        <v>31947.300000000003</v>
      </c>
      <c r="CF146" s="340">
        <f t="shared" si="54"/>
        <v>30829.67</v>
      </c>
      <c r="CG146" s="340">
        <f t="shared" si="55"/>
        <v>34669.600000000006</v>
      </c>
      <c r="CH146" s="340">
        <f t="shared" si="56"/>
        <v>27434.199999999997</v>
      </c>
      <c r="CI146" s="340">
        <f t="shared" si="57"/>
        <v>32789.489999999991</v>
      </c>
      <c r="CJ146" s="340">
        <f t="shared" si="58"/>
        <v>39271.259999999995</v>
      </c>
      <c r="CK146" s="340">
        <f t="shared" si="59"/>
        <v>39793.670000000006</v>
      </c>
      <c r="CL146" s="340">
        <f t="shared" si="60"/>
        <v>45847.420000000006</v>
      </c>
      <c r="CM146" s="340">
        <f t="shared" si="61"/>
        <v>41814.299999999996</v>
      </c>
      <c r="CN146" s="340">
        <f t="shared" si="62"/>
        <v>51275.749999999993</v>
      </c>
      <c r="CO146" s="340">
        <f t="shared" si="63"/>
        <v>69641.709999999992</v>
      </c>
      <c r="CP146" s="340">
        <f t="shared" si="64"/>
        <v>73108.09</v>
      </c>
      <c r="CQ146" s="340">
        <f t="shared" si="65"/>
        <v>81398.459999999992</v>
      </c>
      <c r="CR146" s="122"/>
      <c r="CS146" s="340" t="s">
        <v>31</v>
      </c>
      <c r="CT146" s="340">
        <f t="shared" si="66"/>
        <v>118159.37</v>
      </c>
      <c r="CU146" s="340">
        <f t="shared" si="67"/>
        <v>166182.21</v>
      </c>
      <c r="CV146" s="340">
        <f t="shared" si="68"/>
        <v>147374.32</v>
      </c>
      <c r="CW146" s="340">
        <f t="shared" si="69"/>
        <v>134937.32</v>
      </c>
      <c r="CX146" s="340">
        <f t="shared" si="70"/>
        <v>196705.8</v>
      </c>
      <c r="CY146" s="340">
        <f t="shared" si="71"/>
        <v>154924.49</v>
      </c>
      <c r="CZ146" s="340">
        <f t="shared" si="72"/>
        <v>178116.8</v>
      </c>
      <c r="DA146" s="340">
        <f t="shared" si="73"/>
        <v>193188</v>
      </c>
      <c r="DB146" s="340">
        <f t="shared" si="74"/>
        <v>180619.18</v>
      </c>
      <c r="DC146" s="340">
        <f t="shared" si="75"/>
        <v>189105.19000000003</v>
      </c>
      <c r="DD146" s="340">
        <f t="shared" si="76"/>
        <v>196436.38</v>
      </c>
      <c r="DE146" s="340">
        <f t="shared" si="77"/>
        <v>190361.40000000002</v>
      </c>
      <c r="DF146" s="340">
        <f t="shared" si="78"/>
        <v>207193.87999999998</v>
      </c>
      <c r="DG146" s="340">
        <f t="shared" si="79"/>
        <v>214003.68999999997</v>
      </c>
      <c r="DH146" s="340">
        <f t="shared" si="80"/>
        <v>351029.65</v>
      </c>
      <c r="DI146" s="340">
        <f t="shared" si="81"/>
        <v>211223.82000000004</v>
      </c>
      <c r="DJ146" s="340">
        <f t="shared" si="82"/>
        <v>731658.27000000014</v>
      </c>
      <c r="DK146" s="340">
        <f t="shared" si="83"/>
        <v>448364.81000000006</v>
      </c>
      <c r="DL146" s="340">
        <f t="shared" si="84"/>
        <v>410696.23</v>
      </c>
      <c r="DM146" s="340">
        <f t="shared" si="85"/>
        <v>431518.96</v>
      </c>
      <c r="DN146" s="340">
        <f t="shared" si="86"/>
        <v>409564.32</v>
      </c>
      <c r="DO146" s="340">
        <f t="shared" si="87"/>
        <v>465303.64</v>
      </c>
      <c r="DP146" s="330"/>
      <c r="DQ146" s="340" t="s">
        <v>31</v>
      </c>
      <c r="DR146" s="340">
        <f t="shared" ref="DR146:EM146" si="184">DR48</f>
        <v>84399.55</v>
      </c>
      <c r="DS146" s="340">
        <f t="shared" si="184"/>
        <v>73858.759999999995</v>
      </c>
      <c r="DT146" s="340">
        <f t="shared" si="184"/>
        <v>92108.95</v>
      </c>
      <c r="DU146" s="340">
        <f t="shared" si="184"/>
        <v>134937.32</v>
      </c>
      <c r="DV146" s="340">
        <f t="shared" si="184"/>
        <v>152993.4</v>
      </c>
      <c r="DW146" s="340">
        <f t="shared" si="184"/>
        <v>154924.49</v>
      </c>
      <c r="DX146" s="340">
        <f t="shared" si="184"/>
        <v>178116.8</v>
      </c>
      <c r="DY146" s="340">
        <f t="shared" si="184"/>
        <v>193188</v>
      </c>
      <c r="DZ146" s="340">
        <f t="shared" si="184"/>
        <v>198286.91</v>
      </c>
      <c r="EA146" s="340">
        <f t="shared" si="184"/>
        <v>202906.40000000002</v>
      </c>
      <c r="EB146" s="340">
        <f t="shared" si="184"/>
        <v>180594.82</v>
      </c>
      <c r="EC146" s="340">
        <f t="shared" si="184"/>
        <v>187312.02</v>
      </c>
      <c r="ED146" s="340">
        <f t="shared" si="184"/>
        <v>202591.12</v>
      </c>
      <c r="EE146" s="340">
        <f t="shared" si="184"/>
        <v>207170.1</v>
      </c>
      <c r="EF146" s="340">
        <f t="shared" si="184"/>
        <v>219345.98999999996</v>
      </c>
      <c r="EG146" s="340">
        <f t="shared" si="184"/>
        <v>211256.02000000002</v>
      </c>
      <c r="EH146" s="340">
        <f t="shared" si="184"/>
        <v>180739.05</v>
      </c>
      <c r="EI146" s="340">
        <f t="shared" si="184"/>
        <v>172455.65</v>
      </c>
      <c r="EJ146" s="340">
        <f t="shared" si="184"/>
        <v>212777.04</v>
      </c>
      <c r="EK146" s="340">
        <f t="shared" si="184"/>
        <v>214135.56000000003</v>
      </c>
      <c r="EL146" s="340">
        <f t="shared" si="184"/>
        <v>227780.83000000005</v>
      </c>
      <c r="EM146" s="340">
        <f t="shared" si="184"/>
        <v>269000</v>
      </c>
      <c r="EO146" s="319" t="s">
        <v>31</v>
      </c>
      <c r="EP146" s="319">
        <f t="shared" si="89"/>
        <v>421997.75</v>
      </c>
      <c r="EQ146" s="319">
        <f t="shared" si="90"/>
        <v>480081.93999999994</v>
      </c>
      <c r="ER146" s="319">
        <f t="shared" si="91"/>
        <v>423701.17</v>
      </c>
      <c r="ES146" s="319">
        <f t="shared" si="92"/>
        <v>462642.24</v>
      </c>
      <c r="ET146" s="319">
        <f t="shared" si="93"/>
        <v>502692.6</v>
      </c>
      <c r="EU146" s="319">
        <f t="shared" si="94"/>
        <v>597565.89</v>
      </c>
      <c r="EV146" s="319">
        <f t="shared" si="95"/>
        <v>601144.19999999995</v>
      </c>
      <c r="EW146" s="319">
        <f t="shared" si="96"/>
        <v>652009.5</v>
      </c>
      <c r="EX146" s="319">
        <f t="shared" si="97"/>
        <v>524319.46</v>
      </c>
      <c r="EY146" s="319">
        <f t="shared" si="98"/>
        <v>566753.22</v>
      </c>
      <c r="EZ146" s="319">
        <f t="shared" si="99"/>
        <v>642744.30999999994</v>
      </c>
      <c r="FA146" s="319">
        <f t="shared" si="100"/>
        <v>665964.65</v>
      </c>
      <c r="FB146" s="319">
        <f t="shared" si="101"/>
        <v>697644.60000000009</v>
      </c>
      <c r="FC146" s="319">
        <f t="shared" si="102"/>
        <v>546618.89</v>
      </c>
      <c r="FD146" s="319">
        <f t="shared" si="103"/>
        <v>429350.98</v>
      </c>
      <c r="FE146" s="319">
        <f t="shared" si="104"/>
        <v>390664.15</v>
      </c>
      <c r="FF146" s="322">
        <f t="shared" si="105"/>
        <v>0</v>
      </c>
      <c r="FG146" s="336">
        <f t="shared" si="106"/>
        <v>0</v>
      </c>
      <c r="FH146" s="336">
        <f t="shared" si="107"/>
        <v>0</v>
      </c>
      <c r="FI146" s="336">
        <f t="shared" si="108"/>
        <v>0</v>
      </c>
      <c r="FJ146" s="336">
        <f t="shared" si="109"/>
        <v>0</v>
      </c>
      <c r="FK146" s="336">
        <f t="shared" si="110"/>
        <v>0</v>
      </c>
      <c r="FL146" s="122"/>
      <c r="FM146" s="340" t="s">
        <v>31</v>
      </c>
      <c r="FN146" s="340">
        <f t="shared" si="111"/>
        <v>101279.46</v>
      </c>
      <c r="FO146" s="340">
        <f t="shared" si="112"/>
        <v>110788.14</v>
      </c>
      <c r="FP146" s="340">
        <f t="shared" si="113"/>
        <v>110530.74</v>
      </c>
      <c r="FQ146" s="340">
        <f t="shared" si="114"/>
        <v>134937.32</v>
      </c>
      <c r="FR146" s="340">
        <f t="shared" si="115"/>
        <v>131137.20000000001</v>
      </c>
      <c r="FS146" s="340">
        <f t="shared" si="116"/>
        <v>154924.49</v>
      </c>
      <c r="FT146" s="340">
        <f t="shared" si="117"/>
        <v>155852.20000000001</v>
      </c>
      <c r="FU146" s="340">
        <f t="shared" si="118"/>
        <v>169039.5</v>
      </c>
      <c r="FV146" s="340">
        <f t="shared" si="119"/>
        <v>160352.83999999997</v>
      </c>
      <c r="FW146" s="340">
        <f t="shared" si="120"/>
        <v>159148.91999999998</v>
      </c>
      <c r="FX146" s="340">
        <f t="shared" si="121"/>
        <v>167866.67999999996</v>
      </c>
      <c r="FY146" s="340">
        <f t="shared" si="122"/>
        <v>217417.67</v>
      </c>
      <c r="FZ146" s="340">
        <f t="shared" si="123"/>
        <v>229831.52000000002</v>
      </c>
      <c r="GA146" s="340">
        <f t="shared" si="124"/>
        <v>230781.73</v>
      </c>
      <c r="GB146" s="340">
        <f t="shared" si="125"/>
        <v>248792.53000000003</v>
      </c>
      <c r="GC146" s="340">
        <f t="shared" si="126"/>
        <v>266647.55999999994</v>
      </c>
      <c r="GD146" s="340">
        <f t="shared" si="127"/>
        <v>267972.53000000003</v>
      </c>
      <c r="GE146" s="340">
        <f t="shared" si="128"/>
        <v>284027.3000000001</v>
      </c>
      <c r="GF146" s="340">
        <f t="shared" si="129"/>
        <v>298523.25999999995</v>
      </c>
      <c r="GG146" s="340">
        <f t="shared" si="130"/>
        <v>313604.65999999997</v>
      </c>
      <c r="GH146" s="340">
        <f t="shared" si="131"/>
        <v>315117.11000000004</v>
      </c>
      <c r="GI146" s="340">
        <f t="shared" si="132"/>
        <v>327729.43</v>
      </c>
      <c r="GJ146" s="122"/>
      <c r="GK146" s="340" t="s">
        <v>31</v>
      </c>
      <c r="GL146" s="340">
        <f t="shared" si="133"/>
        <v>118159.37</v>
      </c>
      <c r="GM146" s="340">
        <f t="shared" si="134"/>
        <v>147717.51999999999</v>
      </c>
      <c r="GN146" s="340">
        <f t="shared" si="135"/>
        <v>128952.53</v>
      </c>
      <c r="GO146" s="340">
        <f t="shared" si="136"/>
        <v>115660.56</v>
      </c>
      <c r="GP146" s="340">
        <f t="shared" si="137"/>
        <v>109281</v>
      </c>
      <c r="GQ146" s="340">
        <f t="shared" si="138"/>
        <v>110660.35</v>
      </c>
      <c r="GR146" s="340">
        <f t="shared" si="139"/>
        <v>89058.4</v>
      </c>
      <c r="GS146" s="340">
        <f t="shared" si="140"/>
        <v>144891</v>
      </c>
      <c r="GT146" s="340">
        <f t="shared" si="141"/>
        <v>104452.49</v>
      </c>
      <c r="GU146" s="340">
        <f t="shared" si="142"/>
        <v>114450</v>
      </c>
      <c r="GV146" s="340">
        <f t="shared" si="143"/>
        <v>107950</v>
      </c>
      <c r="GW146" s="340">
        <f t="shared" si="144"/>
        <v>107474</v>
      </c>
      <c r="GX146" s="340">
        <f t="shared" si="145"/>
        <v>108175</v>
      </c>
      <c r="GY146" s="340">
        <f t="shared" si="146"/>
        <v>125762</v>
      </c>
      <c r="GZ146" s="340">
        <f t="shared" si="147"/>
        <v>150687</v>
      </c>
      <c r="HA146" s="340">
        <f t="shared" si="148"/>
        <v>288726.49</v>
      </c>
      <c r="HB146" s="340">
        <f t="shared" si="149"/>
        <v>639000</v>
      </c>
      <c r="HC146" s="340">
        <f t="shared" si="150"/>
        <v>290000</v>
      </c>
      <c r="HD146" s="340">
        <f t="shared" si="151"/>
        <v>200000</v>
      </c>
      <c r="HE146" s="340">
        <f t="shared" si="152"/>
        <v>340000</v>
      </c>
      <c r="HF146" s="340">
        <f t="shared" si="153"/>
        <v>340000</v>
      </c>
      <c r="HG146" s="340">
        <f t="shared" si="154"/>
        <v>0</v>
      </c>
      <c r="HH146" s="122"/>
      <c r="IF146" s="122"/>
      <c r="IG146" s="122"/>
      <c r="IH146" s="122"/>
      <c r="II146" s="122"/>
      <c r="IJ146" s="122"/>
      <c r="IK146" s="122"/>
      <c r="IL146" s="122"/>
      <c r="IN146" s="118"/>
      <c r="IP146" s="122"/>
      <c r="IQ146" s="122"/>
      <c r="IR146" s="122"/>
      <c r="IS146" s="122"/>
      <c r="IT146" s="122"/>
      <c r="IU146" s="122"/>
      <c r="IV146" s="122"/>
      <c r="IW146" s="122"/>
      <c r="IX146" s="122"/>
      <c r="IY146" s="122"/>
      <c r="IZ146" s="122"/>
      <c r="JA146" s="122"/>
      <c r="JB146" s="122"/>
      <c r="JC146" s="122"/>
      <c r="JD146" s="122"/>
      <c r="JE146" s="122"/>
      <c r="JF146" s="122"/>
      <c r="JG146" s="122"/>
      <c r="JH146" s="122"/>
      <c r="JI146" s="122"/>
      <c r="JK146" s="118"/>
      <c r="JL146" s="118"/>
      <c r="JY146" s="122"/>
      <c r="JZ146" s="122"/>
      <c r="KA146" s="122"/>
      <c r="KB146" s="122"/>
      <c r="LX146" s="122"/>
      <c r="LY146" s="122"/>
      <c r="LZ146" s="122"/>
      <c r="MB146" s="118"/>
      <c r="MC146" s="118"/>
      <c r="MP146" s="122"/>
      <c r="MQ146" s="122"/>
      <c r="MR146" s="122"/>
      <c r="MS146" s="122"/>
      <c r="MT146" s="122"/>
      <c r="MU146" s="122"/>
      <c r="MV146" s="122"/>
      <c r="OS146" s="118"/>
      <c r="OT146" s="118"/>
      <c r="PC146" s="122"/>
      <c r="PD146" s="122"/>
      <c r="PE146" s="122"/>
      <c r="PF146" s="122"/>
      <c r="PG146" s="122"/>
      <c r="PH146" s="122"/>
      <c r="PI146" s="122"/>
      <c r="PJ146" s="122"/>
      <c r="PP146" s="118"/>
      <c r="PQ146" s="118"/>
      <c r="PZ146" s="122"/>
      <c r="QA146" s="122"/>
      <c r="QB146" s="122"/>
      <c r="QC146" s="122"/>
      <c r="QD146" s="122"/>
      <c r="QE146" s="122"/>
      <c r="QF146" s="122"/>
      <c r="QG146" s="122"/>
      <c r="QM146" s="118"/>
      <c r="QN146" s="118"/>
      <c r="RE146" s="118"/>
      <c r="RF146" s="118"/>
      <c r="RG146" s="118"/>
      <c r="RH146" s="118"/>
      <c r="RI146" s="118"/>
      <c r="RJ146" s="118"/>
      <c r="RK146" s="118"/>
    </row>
    <row r="147" spans="25:479">
      <c r="Y147" s="277" t="s">
        <v>32</v>
      </c>
      <c r="Z147" s="319">
        <f t="shared" si="0"/>
        <v>500414.63999999996</v>
      </c>
      <c r="AA147" s="319">
        <f t="shared" si="1"/>
        <v>329166.42</v>
      </c>
      <c r="AB147" s="319">
        <f t="shared" si="2"/>
        <v>264608.10000000003</v>
      </c>
      <c r="AC147" s="319">
        <f t="shared" si="3"/>
        <v>292375.39</v>
      </c>
      <c r="AD147" s="319">
        <f t="shared" si="4"/>
        <v>311343.90000000002</v>
      </c>
      <c r="AE147" s="319">
        <f t="shared" si="5"/>
        <v>319502.12</v>
      </c>
      <c r="AF147" s="319">
        <f t="shared" si="6"/>
        <v>345257.39</v>
      </c>
      <c r="AG147" s="319">
        <f t="shared" si="7"/>
        <v>316944.87999999995</v>
      </c>
      <c r="AH147" s="319">
        <f t="shared" si="8"/>
        <v>351534</v>
      </c>
      <c r="AI147" s="319">
        <f t="shared" si="9"/>
        <v>352775</v>
      </c>
      <c r="AJ147" s="319">
        <f t="shared" si="10"/>
        <v>412418</v>
      </c>
      <c r="AK147" s="319">
        <f t="shared" si="11"/>
        <v>375192</v>
      </c>
      <c r="AL147" s="319">
        <f t="shared" si="12"/>
        <v>414422</v>
      </c>
      <c r="AM147" s="319">
        <f t="shared" si="13"/>
        <v>369691</v>
      </c>
      <c r="AN147" s="319">
        <f t="shared" si="14"/>
        <v>423268</v>
      </c>
      <c r="AO147" s="319">
        <f t="shared" si="15"/>
        <v>499959</v>
      </c>
      <c r="AP147" s="319">
        <f t="shared" si="16"/>
        <v>449492</v>
      </c>
      <c r="AQ147" s="319">
        <f t="shared" si="17"/>
        <v>447201</v>
      </c>
      <c r="AR147" s="319">
        <f t="shared" si="18"/>
        <v>469454</v>
      </c>
      <c r="AS147" s="319">
        <f t="shared" si="19"/>
        <v>465311</v>
      </c>
      <c r="AT147" s="319">
        <f t="shared" si="20"/>
        <v>487672</v>
      </c>
      <c r="AU147" s="319">
        <f t="shared" si="21"/>
        <v>539699</v>
      </c>
      <c r="AW147" s="322" t="s">
        <v>32</v>
      </c>
      <c r="AX147" s="322">
        <f t="shared" si="22"/>
        <v>53235.600000000006</v>
      </c>
      <c r="AY147" s="322">
        <f t="shared" si="23"/>
        <v>39898.959999999999</v>
      </c>
      <c r="AZ147" s="322">
        <f t="shared" si="24"/>
        <v>26460.81</v>
      </c>
      <c r="BA147" s="322">
        <f t="shared" si="25"/>
        <v>20163.82</v>
      </c>
      <c r="BB147" s="322">
        <f t="shared" si="26"/>
        <v>20756.259999999998</v>
      </c>
      <c r="BC147" s="322">
        <f t="shared" si="27"/>
        <v>10306.52</v>
      </c>
      <c r="BD147" s="322">
        <f t="shared" si="28"/>
        <v>10924.47</v>
      </c>
      <c r="BE147" s="322">
        <f t="shared" si="29"/>
        <v>11319.46</v>
      </c>
      <c r="BF147" s="322">
        <f t="shared" si="30"/>
        <v>15834</v>
      </c>
      <c r="BG147" s="322">
        <f t="shared" si="31"/>
        <v>26362</v>
      </c>
      <c r="BH147" s="322">
        <f t="shared" si="32"/>
        <v>29833</v>
      </c>
      <c r="BI147" s="322">
        <f t="shared" si="33"/>
        <v>32397</v>
      </c>
      <c r="BJ147" s="322">
        <f t="shared" si="34"/>
        <v>29081</v>
      </c>
      <c r="BK147" s="322">
        <f t="shared" si="35"/>
        <v>32304</v>
      </c>
      <c r="BL147" s="322">
        <f t="shared" si="36"/>
        <v>29927</v>
      </c>
      <c r="BM147" s="322">
        <f t="shared" si="37"/>
        <v>28710</v>
      </c>
      <c r="BN147" s="322">
        <f t="shared" si="38"/>
        <v>34099</v>
      </c>
      <c r="BO147" s="340">
        <f t="shared" si="39"/>
        <v>30286</v>
      </c>
      <c r="BP147" s="340">
        <f t="shared" si="40"/>
        <v>36707</v>
      </c>
      <c r="BQ147" s="340">
        <f t="shared" si="41"/>
        <v>32986</v>
      </c>
      <c r="BR147" s="340">
        <f t="shared" si="42"/>
        <v>27022</v>
      </c>
      <c r="BS147" s="340">
        <f t="shared" si="43"/>
        <v>50639</v>
      </c>
      <c r="BU147" s="340" t="s">
        <v>32</v>
      </c>
      <c r="BV147" s="340">
        <f t="shared" si="44"/>
        <v>0</v>
      </c>
      <c r="BW147" s="340">
        <f t="shared" si="45"/>
        <v>19949.48</v>
      </c>
      <c r="BX147" s="340">
        <f t="shared" si="46"/>
        <v>17640.54</v>
      </c>
      <c r="BY147" s="340">
        <f t="shared" si="47"/>
        <v>30245.73</v>
      </c>
      <c r="BZ147" s="340">
        <f t="shared" si="48"/>
        <v>31134.39</v>
      </c>
      <c r="CA147" s="340">
        <f t="shared" si="49"/>
        <v>30919.56</v>
      </c>
      <c r="CB147" s="340">
        <f t="shared" si="50"/>
        <v>32773.409999999996</v>
      </c>
      <c r="CC147" s="340">
        <f t="shared" si="51"/>
        <v>33958.379999999997</v>
      </c>
      <c r="CD147" s="340">
        <f t="shared" si="52"/>
        <v>30809</v>
      </c>
      <c r="CE147" s="340">
        <f t="shared" si="53"/>
        <v>33140</v>
      </c>
      <c r="CF147" s="340">
        <f t="shared" si="54"/>
        <v>37510</v>
      </c>
      <c r="CG147" s="340">
        <f t="shared" si="55"/>
        <v>35905</v>
      </c>
      <c r="CH147" s="340">
        <f t="shared" si="56"/>
        <v>39892</v>
      </c>
      <c r="CI147" s="340">
        <f t="shared" si="57"/>
        <v>34069</v>
      </c>
      <c r="CJ147" s="340">
        <f t="shared" si="58"/>
        <v>36380</v>
      </c>
      <c r="CK147" s="340">
        <f t="shared" si="59"/>
        <v>38410</v>
      </c>
      <c r="CL147" s="340">
        <f t="shared" si="60"/>
        <v>39386</v>
      </c>
      <c r="CM147" s="340">
        <f t="shared" si="61"/>
        <v>33890</v>
      </c>
      <c r="CN147" s="340">
        <f t="shared" si="62"/>
        <v>40208</v>
      </c>
      <c r="CO147" s="340">
        <f t="shared" si="63"/>
        <v>37202</v>
      </c>
      <c r="CP147" s="340">
        <f t="shared" si="64"/>
        <v>35737</v>
      </c>
      <c r="CQ147" s="340">
        <f t="shared" si="65"/>
        <v>50300</v>
      </c>
      <c r="CR147" s="122"/>
      <c r="CS147" s="340" t="s">
        <v>32</v>
      </c>
      <c r="CT147" s="340">
        <f t="shared" si="66"/>
        <v>74529.84</v>
      </c>
      <c r="CU147" s="340">
        <f t="shared" si="67"/>
        <v>89772.66</v>
      </c>
      <c r="CV147" s="340">
        <f t="shared" si="68"/>
        <v>88202.7</v>
      </c>
      <c r="CW147" s="340">
        <f t="shared" si="69"/>
        <v>110901.01</v>
      </c>
      <c r="CX147" s="340">
        <f t="shared" si="70"/>
        <v>103781.3</v>
      </c>
      <c r="CY147" s="340">
        <f t="shared" si="71"/>
        <v>113371.72</v>
      </c>
      <c r="CZ147" s="340">
        <f t="shared" si="72"/>
        <v>131093.64000000001</v>
      </c>
      <c r="DA147" s="340">
        <f t="shared" si="73"/>
        <v>147152.98000000001</v>
      </c>
      <c r="DB147" s="340">
        <f t="shared" si="74"/>
        <v>135398</v>
      </c>
      <c r="DC147" s="340">
        <f t="shared" si="75"/>
        <v>206963</v>
      </c>
      <c r="DD147" s="340">
        <f t="shared" si="76"/>
        <v>109626</v>
      </c>
      <c r="DE147" s="340">
        <f t="shared" si="77"/>
        <v>109767</v>
      </c>
      <c r="DF147" s="340">
        <f t="shared" si="78"/>
        <v>106071</v>
      </c>
      <c r="DG147" s="340">
        <f t="shared" si="79"/>
        <v>95657</v>
      </c>
      <c r="DH147" s="340">
        <f t="shared" si="80"/>
        <v>216680</v>
      </c>
      <c r="DI147" s="340">
        <f t="shared" si="81"/>
        <v>113069</v>
      </c>
      <c r="DJ147" s="340">
        <f t="shared" si="82"/>
        <v>131561</v>
      </c>
      <c r="DK147" s="340">
        <f t="shared" si="83"/>
        <v>123855</v>
      </c>
      <c r="DL147" s="340">
        <f t="shared" si="84"/>
        <v>130600</v>
      </c>
      <c r="DM147" s="340">
        <f t="shared" si="85"/>
        <v>176694</v>
      </c>
      <c r="DN147" s="340">
        <f t="shared" si="86"/>
        <v>183662</v>
      </c>
      <c r="DO147" s="340">
        <f t="shared" si="87"/>
        <v>188818</v>
      </c>
      <c r="DP147" s="330"/>
      <c r="DQ147" s="340" t="s">
        <v>32</v>
      </c>
      <c r="DR147" s="340">
        <f t="shared" ref="DR147:EM147" si="185">DR49</f>
        <v>42588.480000000003</v>
      </c>
      <c r="DS147" s="340">
        <f t="shared" si="185"/>
        <v>49873.7</v>
      </c>
      <c r="DT147" s="340">
        <f t="shared" si="185"/>
        <v>44101.35</v>
      </c>
      <c r="DU147" s="340">
        <f t="shared" si="185"/>
        <v>60491.46</v>
      </c>
      <c r="DV147" s="340">
        <f t="shared" si="185"/>
        <v>62268.78</v>
      </c>
      <c r="DW147" s="340">
        <f t="shared" si="185"/>
        <v>82452.160000000003</v>
      </c>
      <c r="DX147" s="340">
        <f t="shared" si="185"/>
        <v>87395.76</v>
      </c>
      <c r="DY147" s="340">
        <f t="shared" si="185"/>
        <v>101875.14</v>
      </c>
      <c r="DZ147" s="340">
        <f t="shared" si="185"/>
        <v>112540</v>
      </c>
      <c r="EA147" s="340">
        <f t="shared" si="185"/>
        <v>119637</v>
      </c>
      <c r="EB147" s="340">
        <f t="shared" si="185"/>
        <v>129104</v>
      </c>
      <c r="EC147" s="340">
        <f t="shared" si="185"/>
        <v>125619</v>
      </c>
      <c r="ED147" s="340">
        <f t="shared" si="185"/>
        <v>118472</v>
      </c>
      <c r="EE147" s="340">
        <f t="shared" si="185"/>
        <v>122796</v>
      </c>
      <c r="EF147" s="340">
        <f t="shared" si="185"/>
        <v>130947</v>
      </c>
      <c r="EG147" s="340">
        <f t="shared" si="185"/>
        <v>128289</v>
      </c>
      <c r="EH147" s="340">
        <f t="shared" si="185"/>
        <v>129531</v>
      </c>
      <c r="EI147" s="340">
        <f t="shared" si="185"/>
        <v>128253</v>
      </c>
      <c r="EJ147" s="340">
        <f t="shared" si="185"/>
        <v>109278</v>
      </c>
      <c r="EK147" s="340">
        <f t="shared" si="185"/>
        <v>46867</v>
      </c>
      <c r="EL147" s="340">
        <f t="shared" si="185"/>
        <v>54711</v>
      </c>
      <c r="EM147" s="340">
        <f t="shared" si="185"/>
        <v>66800</v>
      </c>
      <c r="EO147" s="319" t="s">
        <v>32</v>
      </c>
      <c r="EP147" s="319">
        <f t="shared" si="89"/>
        <v>319413.59999999998</v>
      </c>
      <c r="EQ147" s="319">
        <f t="shared" si="90"/>
        <v>359090.64</v>
      </c>
      <c r="ER147" s="319">
        <f t="shared" si="91"/>
        <v>361631.06999999995</v>
      </c>
      <c r="ES147" s="319">
        <f t="shared" si="92"/>
        <v>423440.22</v>
      </c>
      <c r="ET147" s="319">
        <f t="shared" si="93"/>
        <v>425503.33</v>
      </c>
      <c r="EU147" s="319">
        <f t="shared" si="94"/>
        <v>371034.72</v>
      </c>
      <c r="EV147" s="319">
        <f t="shared" si="95"/>
        <v>382356.45</v>
      </c>
      <c r="EW147" s="319">
        <f t="shared" si="96"/>
        <v>418820.02</v>
      </c>
      <c r="EX147" s="319">
        <f t="shared" si="97"/>
        <v>435250</v>
      </c>
      <c r="EY147" s="319">
        <f t="shared" si="98"/>
        <v>454415</v>
      </c>
      <c r="EZ147" s="319">
        <f t="shared" si="99"/>
        <v>486974</v>
      </c>
      <c r="FA147" s="319">
        <f t="shared" si="100"/>
        <v>529818</v>
      </c>
      <c r="FB147" s="319">
        <f t="shared" si="101"/>
        <v>572768</v>
      </c>
      <c r="FC147" s="319">
        <f t="shared" si="102"/>
        <v>490899</v>
      </c>
      <c r="FD147" s="319">
        <f t="shared" si="103"/>
        <v>522220</v>
      </c>
      <c r="FE147" s="319">
        <f t="shared" si="104"/>
        <v>549612</v>
      </c>
      <c r="FF147" s="322">
        <f t="shared" si="105"/>
        <v>614743</v>
      </c>
      <c r="FG147" s="336">
        <f t="shared" si="106"/>
        <v>605203</v>
      </c>
      <c r="FH147" s="336">
        <f t="shared" si="107"/>
        <v>543546</v>
      </c>
      <c r="FI147" s="336">
        <f t="shared" si="108"/>
        <v>35656</v>
      </c>
      <c r="FJ147" s="336">
        <f t="shared" si="109"/>
        <v>46267</v>
      </c>
      <c r="FK147" s="336">
        <f t="shared" si="110"/>
        <v>62000</v>
      </c>
      <c r="FL147" s="122"/>
      <c r="FM147" s="340" t="s">
        <v>32</v>
      </c>
      <c r="FN147" s="340">
        <f t="shared" si="111"/>
        <v>42588.480000000003</v>
      </c>
      <c r="FO147" s="340">
        <f t="shared" si="112"/>
        <v>49873.7</v>
      </c>
      <c r="FP147" s="340">
        <f t="shared" si="113"/>
        <v>44101.35</v>
      </c>
      <c r="FQ147" s="340">
        <f t="shared" si="114"/>
        <v>60491.46</v>
      </c>
      <c r="FR147" s="340">
        <f t="shared" si="115"/>
        <v>62268.78</v>
      </c>
      <c r="FS147" s="340">
        <f t="shared" si="116"/>
        <v>72145.64</v>
      </c>
      <c r="FT147" s="340">
        <f t="shared" si="117"/>
        <v>65546.820000000007</v>
      </c>
      <c r="FU147" s="340">
        <f t="shared" si="118"/>
        <v>67916.759999999995</v>
      </c>
      <c r="FV147" s="340">
        <f t="shared" si="119"/>
        <v>66521</v>
      </c>
      <c r="FW147" s="340">
        <f t="shared" si="120"/>
        <v>66863</v>
      </c>
      <c r="FX147" s="340">
        <f t="shared" si="121"/>
        <v>69222</v>
      </c>
      <c r="FY147" s="340">
        <f t="shared" si="122"/>
        <v>67860</v>
      </c>
      <c r="FZ147" s="340">
        <f t="shared" si="123"/>
        <v>69216</v>
      </c>
      <c r="GA147" s="340">
        <f t="shared" si="124"/>
        <v>69028</v>
      </c>
      <c r="GB147" s="340">
        <f t="shared" si="125"/>
        <v>70628</v>
      </c>
      <c r="GC147" s="340">
        <f t="shared" si="126"/>
        <v>74602</v>
      </c>
      <c r="GD147" s="340">
        <f t="shared" si="127"/>
        <v>77817</v>
      </c>
      <c r="GE147" s="340">
        <f t="shared" si="128"/>
        <v>78035</v>
      </c>
      <c r="GF147" s="340">
        <f t="shared" si="129"/>
        <v>75110</v>
      </c>
      <c r="GG147" s="340">
        <f t="shared" si="130"/>
        <v>75563</v>
      </c>
      <c r="GH147" s="340">
        <f t="shared" si="131"/>
        <v>76948</v>
      </c>
      <c r="GI147" s="340">
        <f t="shared" si="132"/>
        <v>84901</v>
      </c>
      <c r="GJ147" s="122"/>
      <c r="GK147" s="340" t="s">
        <v>32</v>
      </c>
      <c r="GL147" s="340">
        <f t="shared" si="133"/>
        <v>31941.360000000001</v>
      </c>
      <c r="GM147" s="340">
        <f t="shared" si="134"/>
        <v>59848.44</v>
      </c>
      <c r="GN147" s="340">
        <f t="shared" si="135"/>
        <v>35281.08</v>
      </c>
      <c r="GO147" s="340">
        <f t="shared" si="136"/>
        <v>10081.91</v>
      </c>
      <c r="GP147" s="340">
        <f t="shared" si="137"/>
        <v>20756.259999999998</v>
      </c>
      <c r="GQ147" s="340">
        <f t="shared" si="138"/>
        <v>30919.56</v>
      </c>
      <c r="GR147" s="340">
        <f t="shared" si="139"/>
        <v>32773.410000000003</v>
      </c>
      <c r="GS147" s="340">
        <f t="shared" si="140"/>
        <v>33958.379999999997</v>
      </c>
      <c r="GT147" s="340">
        <f t="shared" si="141"/>
        <v>35583</v>
      </c>
      <c r="GU147" s="340">
        <f t="shared" si="142"/>
        <v>138303</v>
      </c>
      <c r="GV147" s="340">
        <f t="shared" si="143"/>
        <v>198000</v>
      </c>
      <c r="GW147" s="340">
        <f t="shared" si="144"/>
        <v>148000</v>
      </c>
      <c r="GX147" s="340">
        <f t="shared" si="145"/>
        <v>69555</v>
      </c>
      <c r="GY147" s="340">
        <f t="shared" si="146"/>
        <v>35083</v>
      </c>
      <c r="GZ147" s="340">
        <f t="shared" si="147"/>
        <v>162791</v>
      </c>
      <c r="HA147" s="340">
        <f t="shared" si="148"/>
        <v>27000</v>
      </c>
      <c r="HB147" s="340">
        <f t="shared" si="149"/>
        <v>237051</v>
      </c>
      <c r="HC147" s="340">
        <f t="shared" si="150"/>
        <v>33700</v>
      </c>
      <c r="HD147" s="340">
        <f t="shared" si="151"/>
        <v>35900</v>
      </c>
      <c r="HE147" s="340">
        <f t="shared" si="152"/>
        <v>325000</v>
      </c>
      <c r="HF147" s="340">
        <f t="shared" si="153"/>
        <v>351011</v>
      </c>
      <c r="HG147" s="340">
        <f t="shared" si="154"/>
        <v>340000</v>
      </c>
      <c r="HH147" s="122"/>
      <c r="IF147" s="122"/>
      <c r="IG147" s="122"/>
      <c r="IH147" s="122"/>
      <c r="II147" s="122"/>
      <c r="IJ147" s="122"/>
      <c r="IK147" s="122"/>
      <c r="IL147" s="122"/>
      <c r="IN147" s="118"/>
      <c r="IP147" s="122"/>
      <c r="IQ147" s="122"/>
      <c r="IR147" s="122"/>
      <c r="IS147" s="122"/>
      <c r="IT147" s="122"/>
      <c r="IU147" s="122"/>
      <c r="IV147" s="122"/>
      <c r="IW147" s="122"/>
      <c r="IX147" s="122"/>
      <c r="IY147" s="122"/>
      <c r="IZ147" s="122"/>
      <c r="JA147" s="122"/>
      <c r="JB147" s="122"/>
      <c r="JC147" s="122"/>
      <c r="JD147" s="122"/>
      <c r="JE147" s="122"/>
      <c r="JF147" s="122"/>
      <c r="JG147" s="122"/>
      <c r="JH147" s="122"/>
      <c r="JI147" s="122"/>
      <c r="JK147" s="118"/>
      <c r="JL147" s="118"/>
      <c r="JY147" s="122"/>
      <c r="JZ147" s="122"/>
      <c r="KA147" s="122"/>
      <c r="KB147" s="122"/>
      <c r="LX147" s="122"/>
      <c r="LY147" s="122"/>
      <c r="LZ147" s="122"/>
      <c r="MB147" s="118"/>
      <c r="MC147" s="118"/>
      <c r="MP147" s="122"/>
      <c r="MQ147" s="122"/>
      <c r="MR147" s="122"/>
      <c r="MS147" s="122"/>
      <c r="MT147" s="122"/>
      <c r="MU147" s="122"/>
      <c r="MV147" s="122"/>
      <c r="OS147" s="118"/>
      <c r="OT147" s="118"/>
      <c r="PC147" s="122"/>
      <c r="PD147" s="122"/>
      <c r="PE147" s="122"/>
      <c r="PF147" s="122"/>
      <c r="PG147" s="122"/>
      <c r="PH147" s="122"/>
      <c r="PI147" s="122"/>
      <c r="PJ147" s="122"/>
      <c r="PP147" s="118"/>
      <c r="PQ147" s="118"/>
      <c r="PZ147" s="122"/>
      <c r="QA147" s="122"/>
      <c r="QB147" s="122"/>
      <c r="QC147" s="122"/>
      <c r="QD147" s="122"/>
      <c r="QE147" s="122"/>
      <c r="QF147" s="122"/>
      <c r="QG147" s="122"/>
      <c r="QM147" s="118"/>
      <c r="QN147" s="118"/>
      <c r="RE147" s="118"/>
      <c r="RF147" s="118"/>
      <c r="RG147" s="118"/>
      <c r="RH147" s="118"/>
      <c r="RI147" s="118"/>
      <c r="RJ147" s="118"/>
      <c r="RK147" s="118"/>
    </row>
    <row r="148" spans="25:479">
      <c r="Y148" s="277" t="s">
        <v>33</v>
      </c>
      <c r="Z148" s="319">
        <f t="shared" ref="Z148:Z179" si="186">Z50+AX50+BV50+CT50+EP50+FN50+GL50</f>
        <v>162859.62</v>
      </c>
      <c r="AA148" s="319">
        <f t="shared" ref="AA148:AA179" si="187">AA50+AY50+BW50+CU50+EQ50+FO50+GM50</f>
        <v>186510.22</v>
      </c>
      <c r="AB148" s="319">
        <f t="shared" ref="AB148:AB179" si="188">AB50+AZ50+BX50+CV50+ER50+FP50+GN50</f>
        <v>247080.12000000005</v>
      </c>
      <c r="AC148" s="319">
        <f t="shared" ref="AC148:AC179" si="189">AC50+BA50+BY50+CW50+ES50+FQ50+GO50</f>
        <v>238341.32</v>
      </c>
      <c r="AD148" s="319">
        <f t="shared" ref="AD148:AD179" si="190">AD50+BB50+BZ50+CX50+ET50+FR50+GP50</f>
        <v>284433.37000000005</v>
      </c>
      <c r="AE148" s="319">
        <f t="shared" ref="AE148:AE179" si="191">AE50+BC50+CA50+CY50+EU50+FS50+GQ50</f>
        <v>276982.80000000005</v>
      </c>
      <c r="AF148" s="319">
        <f t="shared" ref="AF148:AF179" si="192">AF50+BD50+CB50+CZ50+EV50+FT50+GR50</f>
        <v>279246.17000000004</v>
      </c>
      <c r="AG148" s="319">
        <f t="shared" ref="AG148:AG179" si="193">AG50+BE50+CC50+DA50+EW50+FU50+GS50</f>
        <v>300903.13</v>
      </c>
      <c r="AH148" s="319">
        <f t="shared" ref="AH148:AH179" si="194">AH50+BF50+CD50+DB50+EX50+FV50+GT50</f>
        <v>339384.69000000006</v>
      </c>
      <c r="AI148" s="319">
        <f t="shared" ref="AI148:AI179" si="195">AI50+BG50+CE50+DC50+EY50+FW50+GU50</f>
        <v>321099.46000000002</v>
      </c>
      <c r="AJ148" s="319">
        <f t="shared" ref="AJ148:AJ179" si="196">AJ50+BH50+CF50+DD50+EZ50+FX50+GV50</f>
        <v>329187.87999999995</v>
      </c>
      <c r="AK148" s="319">
        <f t="shared" ref="AK148:AK179" si="197">AK50+BI50+CG50+DE50+FA50+FY50+GW50</f>
        <v>329937.38999999996</v>
      </c>
      <c r="AL148" s="319">
        <f t="shared" ref="AL148:AL179" si="198">AL50+BJ50+CH50+DF50+FB50+FZ50+GX50</f>
        <v>382378.37999999995</v>
      </c>
      <c r="AM148" s="319">
        <f t="shared" ref="AM148:AM179" si="199">AM50+BK50+CI50+DG50+FC50+GA50+GY50</f>
        <v>371281.91999999998</v>
      </c>
      <c r="AN148" s="319">
        <f t="shared" ref="AN148:AN179" si="200">AN50+BL50+CJ50+DH50+FD50+GB50+GZ50</f>
        <v>523097.23000000004</v>
      </c>
      <c r="AO148" s="319">
        <f t="shared" ref="AO148:AO179" si="201">AO50+BM50+CK50+DI50+FE50+GC50+HA50</f>
        <v>357179.07999999996</v>
      </c>
      <c r="AP148" s="319">
        <f t="shared" ref="AP148:AP179" si="202">AP50+BN50+CL50+DJ50+FF50+GD50+HB50</f>
        <v>409371.35</v>
      </c>
      <c r="AQ148" s="319">
        <f t="shared" ref="AQ148:AQ179" si="203">AQ50+BO50+CM50+DK50+FG50+GE50+HC50</f>
        <v>382525.58</v>
      </c>
      <c r="AR148" s="319">
        <f t="shared" ref="AR148:AR179" si="204">AR50+BP50+CN50+DL50+FH50+GF50+HD50</f>
        <v>412999.41</v>
      </c>
      <c r="AS148" s="319">
        <f t="shared" ref="AS148:AS179" si="205">AS50+BQ50+CO50+DM50+FI50+GG50+HE50</f>
        <v>416069.12000000005</v>
      </c>
      <c r="AT148" s="319">
        <f t="shared" ref="AT148:AT179" si="206">AT50+BR50+CP50+DN50+FJ50+GH50+HF50</f>
        <v>436893.4</v>
      </c>
      <c r="AU148" s="319">
        <f t="shared" ref="AU148:AU179" si="207">AU50+BS50+CQ50+DO50+FK50+GI50+HG50</f>
        <v>492390</v>
      </c>
      <c r="AW148" s="322" t="s">
        <v>33</v>
      </c>
      <c r="AX148" s="322">
        <f t="shared" ref="AX148:AX179" si="208">HJ50+IH50+JF50+OT50</f>
        <v>51818.97</v>
      </c>
      <c r="AY148" s="322">
        <f t="shared" ref="AY148:AY179" si="209">HK50+II50+JG50+OU50</f>
        <v>56763.979999999996</v>
      </c>
      <c r="AZ148" s="322">
        <f t="shared" ref="AZ148:AZ179" si="210">HL50+IJ50+JH50+OV50</f>
        <v>52945.74</v>
      </c>
      <c r="BA148" s="322">
        <f t="shared" ref="BA148:BA179" si="211">HM50+IK50+JI50+OW50</f>
        <v>42560.950000000004</v>
      </c>
      <c r="BB148" s="322">
        <f t="shared" ref="BB148:BB179" si="212">HN50+IL50+JJ50+OX50</f>
        <v>9175.27</v>
      </c>
      <c r="BC148" s="322">
        <f t="shared" ref="BC148:BC179" si="213">HO50+IM50+JK50+OY50</f>
        <v>18465.52</v>
      </c>
      <c r="BD148" s="322">
        <f t="shared" ref="BD148:BD179" si="214">HP50+IN50+JL50+OZ50</f>
        <v>10219.85</v>
      </c>
      <c r="BE148" s="322">
        <f t="shared" ref="BE148:BE179" si="215">HQ50+IO50+JM50+PA50</f>
        <v>20751.939999999999</v>
      </c>
      <c r="BF148" s="322">
        <f t="shared" ref="BF148:BF179" si="216">HR50+IP50+JN50+PB50</f>
        <v>11142.46</v>
      </c>
      <c r="BG148" s="322">
        <f t="shared" ref="BG148:BG179" si="217">HS50+IQ50+JO50+PC50</f>
        <v>13553.48</v>
      </c>
      <c r="BH148" s="322">
        <f t="shared" ref="BH148:BH179" si="218">HT50+IR50+JP50+PD50</f>
        <v>14878.54</v>
      </c>
      <c r="BI148" s="322">
        <f t="shared" ref="BI148:BI179" si="219">HU50+IS50+JQ50+PE50</f>
        <v>14412.26</v>
      </c>
      <c r="BJ148" s="322">
        <f t="shared" ref="BJ148:BJ179" si="220">HV50+IT50+JR50+PF50</f>
        <v>13637.73</v>
      </c>
      <c r="BK148" s="322">
        <f t="shared" ref="BK148:BK179" si="221">HW50+IU50+JS50+PG50</f>
        <v>15461.67</v>
      </c>
      <c r="BL148" s="322">
        <f t="shared" ref="BL148:BL179" si="222">HX50+IV50+JT50+PH50</f>
        <v>10055.540000000001</v>
      </c>
      <c r="BM148" s="322">
        <f t="shared" ref="BM148:BM179" si="223">HY50+IW50+JU50+PI50</f>
        <v>9897.77</v>
      </c>
      <c r="BN148" s="322">
        <f t="shared" ref="BN148:BN179" si="224">HZ50+IX50+JV50+PJ50</f>
        <v>11129.09</v>
      </c>
      <c r="BO148" s="340">
        <f t="shared" ref="BO148:BO179" si="225">IA50+IY50+JW50+PK50</f>
        <v>13621.25</v>
      </c>
      <c r="BP148" s="340">
        <f t="shared" ref="BP148:BP179" si="226">IB50+IZ50+JX50+PL50</f>
        <v>22721.73</v>
      </c>
      <c r="BQ148" s="340">
        <f t="shared" ref="BQ148:BQ179" si="227">IC50+JA50+JY50+PM50</f>
        <v>12571.92</v>
      </c>
      <c r="BR148" s="340">
        <f t="shared" ref="BR148:BR179" si="228">ID50+JB50+JZ50+PN50</f>
        <v>12022.530000000002</v>
      </c>
      <c r="BS148" s="340">
        <f t="shared" ref="BS148:BS179" si="229">IE50+JC50+KA50+PO50</f>
        <v>35880</v>
      </c>
      <c r="BU148" s="340" t="s">
        <v>33</v>
      </c>
      <c r="BV148" s="340">
        <f t="shared" ref="BV148:BV179" si="230">KD50+PR50</f>
        <v>7402.71</v>
      </c>
      <c r="BW148" s="340">
        <f t="shared" ref="BW148:BW179" si="231">KE50+PS50</f>
        <v>16218.28</v>
      </c>
      <c r="BX148" s="340">
        <f t="shared" ref="BX148:BX179" si="232">KF50+PT50</f>
        <v>17648.580000000002</v>
      </c>
      <c r="BY148" s="340">
        <f t="shared" ref="BY148:BY179" si="233">KG50+PU50</f>
        <v>17024.38</v>
      </c>
      <c r="BZ148" s="340">
        <f t="shared" ref="BZ148:BZ179" si="234">KH50+PV50</f>
        <v>18350.54</v>
      </c>
      <c r="CA148" s="340">
        <f t="shared" ref="CA148:CA179" si="235">KI50+PW50</f>
        <v>18465.52</v>
      </c>
      <c r="CB148" s="340">
        <f t="shared" ref="CB148:CB179" si="236">KJ50+PX50</f>
        <v>20439.7</v>
      </c>
      <c r="CC148" s="340">
        <f t="shared" ref="CC148:CC179" si="237">KK50+PY50</f>
        <v>20751.939999999999</v>
      </c>
      <c r="CD148" s="340">
        <f t="shared" ref="CD148:CD179" si="238">KL50+PZ50</f>
        <v>21059.55</v>
      </c>
      <c r="CE148" s="340">
        <f t="shared" ref="CE148:CE179" si="239">KM50+QA50</f>
        <v>22722.83</v>
      </c>
      <c r="CF148" s="340">
        <f t="shared" ref="CF148:CF179" si="240">KN50+QB50</f>
        <v>25677.08</v>
      </c>
      <c r="CG148" s="340">
        <f t="shared" ref="CG148:CG179" si="241">KO50+QC50</f>
        <v>25979.360000000001</v>
      </c>
      <c r="CH148" s="340">
        <f t="shared" ref="CH148:CH179" si="242">KP50+QD50</f>
        <v>24815.54</v>
      </c>
      <c r="CI148" s="340">
        <f t="shared" ref="CI148:CI179" si="243">KQ50+QE50</f>
        <v>35683.899999999994</v>
      </c>
      <c r="CJ148" s="340">
        <f t="shared" ref="CJ148:CJ179" si="244">KR50+QF50</f>
        <v>38784.990000000005</v>
      </c>
      <c r="CK148" s="340">
        <f t="shared" ref="CK148:CK179" si="245">KS50+QG50</f>
        <v>32730.460000000006</v>
      </c>
      <c r="CL148" s="340">
        <f t="shared" ref="CL148:CL179" si="246">KT50+QH50</f>
        <v>35775.96</v>
      </c>
      <c r="CM148" s="340">
        <f t="shared" ref="CM148:CM179" si="247">KU50+QI50</f>
        <v>42091.4</v>
      </c>
      <c r="CN148" s="340">
        <f t="shared" ref="CN148:CN179" si="248">KV50+QJ50</f>
        <v>51483.509999999995</v>
      </c>
      <c r="CO148" s="340">
        <f t="shared" ref="CO148:CO179" si="249">KW50+QK50</f>
        <v>37273.409999999996</v>
      </c>
      <c r="CP148" s="340">
        <f t="shared" ref="CP148:CP179" si="250">KX50+QL50</f>
        <v>40891.270000000004</v>
      </c>
      <c r="CQ148" s="340">
        <f t="shared" ref="CQ148:CQ179" si="251">KY50+QM50</f>
        <v>54150</v>
      </c>
      <c r="CR148" s="122"/>
      <c r="CS148" s="340" t="s">
        <v>33</v>
      </c>
      <c r="CT148" s="340">
        <f t="shared" ref="CT148:CT179" si="252">QP50+LB50</f>
        <v>162859.62</v>
      </c>
      <c r="CU148" s="340">
        <f t="shared" ref="CU148:CU179" si="253">QQ50+LC50</f>
        <v>170291.94</v>
      </c>
      <c r="CV148" s="340">
        <f t="shared" ref="CV148:CV179" si="254">QR50+LD50</f>
        <v>176485.8</v>
      </c>
      <c r="CW148" s="340">
        <f t="shared" ref="CW148:CW179" si="255">QS50+LE50</f>
        <v>153219.42000000001</v>
      </c>
      <c r="CX148" s="340">
        <f t="shared" ref="CX148:CX179" si="256">QT50+LF50</f>
        <v>192680.67</v>
      </c>
      <c r="CY148" s="340">
        <f t="shared" ref="CY148:CY179" si="257">QU50+LG50</f>
        <v>193887.96</v>
      </c>
      <c r="CZ148" s="340">
        <f t="shared" ref="CZ148:CZ179" si="258">QV50+LH50</f>
        <v>214616.85</v>
      </c>
      <c r="DA148" s="340">
        <f t="shared" ref="DA148:DA179" si="259">QW50+LI50</f>
        <v>197143.43</v>
      </c>
      <c r="DB148" s="340">
        <f t="shared" ref="DB148:DB179" si="260">QX50+LJ50</f>
        <v>264054.84999999998</v>
      </c>
      <c r="DC148" s="340">
        <f t="shared" ref="DC148:DC179" si="261">QY50+LK50</f>
        <v>318018.58</v>
      </c>
      <c r="DD148" s="340">
        <f t="shared" ref="DD148:DD179" si="262">QZ50+LL50</f>
        <v>310511.83999999997</v>
      </c>
      <c r="DE148" s="340">
        <f t="shared" ref="DE148:DE179" si="263">RA50+LM50</f>
        <v>287636.43999999994</v>
      </c>
      <c r="DF148" s="340">
        <f t="shared" ref="DF148:DF179" si="264">RB50+LN50</f>
        <v>424782.55000000005</v>
      </c>
      <c r="DG148" s="340">
        <f t="shared" ref="DG148:DG179" si="265">RC50+LO50</f>
        <v>449289.15</v>
      </c>
      <c r="DH148" s="340">
        <f t="shared" ref="DH148:DH179" si="266">RD50+LP50</f>
        <v>337730.36000000004</v>
      </c>
      <c r="DI148" s="340">
        <f t="shared" ref="DI148:DI179" si="267">RE50+LQ50</f>
        <v>297092.96000000002</v>
      </c>
      <c r="DJ148" s="340">
        <f t="shared" ref="DJ148:DJ179" si="268">RF50+LR50</f>
        <v>273917.62</v>
      </c>
      <c r="DK148" s="340">
        <f t="shared" ref="DK148:DK179" si="269">RG50+LS50</f>
        <v>304556.03000000003</v>
      </c>
      <c r="DL148" s="340">
        <f t="shared" ref="DL148:DL179" si="270">RH50+LT50</f>
        <v>293275.96999999997</v>
      </c>
      <c r="DM148" s="340">
        <f t="shared" ref="DM148:DM179" si="271">RI50+LU50</f>
        <v>316666.24000000005</v>
      </c>
      <c r="DN148" s="340">
        <f t="shared" ref="DN148:DN179" si="272">RJ50+LV50</f>
        <v>286764.12</v>
      </c>
      <c r="DO148" s="340">
        <f t="shared" ref="DO148:DO179" si="273">RK50+LW50</f>
        <v>357450</v>
      </c>
      <c r="DP148" s="330"/>
      <c r="DQ148" s="340" t="s">
        <v>33</v>
      </c>
      <c r="DR148" s="340">
        <f t="shared" ref="DR148:EM148" si="274">DR50</f>
        <v>103637.94</v>
      </c>
      <c r="DS148" s="340">
        <f t="shared" si="274"/>
        <v>121637.1</v>
      </c>
      <c r="DT148" s="340">
        <f t="shared" si="274"/>
        <v>123540.06</v>
      </c>
      <c r="DU148" s="340">
        <f t="shared" si="274"/>
        <v>119170.66</v>
      </c>
      <c r="DV148" s="340">
        <f t="shared" si="274"/>
        <v>137629.04999999999</v>
      </c>
      <c r="DW148" s="340">
        <f t="shared" si="274"/>
        <v>147724.16</v>
      </c>
      <c r="DX148" s="340">
        <f t="shared" si="274"/>
        <v>194177.15</v>
      </c>
      <c r="DY148" s="340">
        <f t="shared" si="274"/>
        <v>186767.46</v>
      </c>
      <c r="DZ148" s="340">
        <f t="shared" si="274"/>
        <v>213578.39</v>
      </c>
      <c r="EA148" s="340">
        <f t="shared" si="274"/>
        <v>214308.32</v>
      </c>
      <c r="EB148" s="340">
        <f t="shared" si="274"/>
        <v>208519.88999999998</v>
      </c>
      <c r="EC148" s="340">
        <f t="shared" si="274"/>
        <v>232239.13000000003</v>
      </c>
      <c r="ED148" s="340">
        <f t="shared" si="274"/>
        <v>219869.75</v>
      </c>
      <c r="EE148" s="340">
        <f t="shared" si="274"/>
        <v>221381.61</v>
      </c>
      <c r="EF148" s="340">
        <f t="shared" si="274"/>
        <v>222100.65999999997</v>
      </c>
      <c r="EG148" s="340">
        <f t="shared" si="274"/>
        <v>201819.51999999999</v>
      </c>
      <c r="EH148" s="340">
        <f t="shared" si="274"/>
        <v>237546.33</v>
      </c>
      <c r="EI148" s="340">
        <f t="shared" si="274"/>
        <v>247534.31</v>
      </c>
      <c r="EJ148" s="340">
        <f t="shared" si="274"/>
        <v>240360.25</v>
      </c>
      <c r="EK148" s="340">
        <f t="shared" si="274"/>
        <v>250167.38</v>
      </c>
      <c r="EL148" s="340">
        <f t="shared" si="274"/>
        <v>231281.99</v>
      </c>
      <c r="EM148" s="340">
        <f t="shared" si="274"/>
        <v>285500</v>
      </c>
      <c r="EO148" s="319" t="s">
        <v>33</v>
      </c>
      <c r="EP148" s="319">
        <f t="shared" ref="EP148:EP179" si="275">LZ50+MX50</f>
        <v>192470.46</v>
      </c>
      <c r="EQ148" s="319">
        <f t="shared" ref="EQ148:EQ179" si="276">MA50+MY50</f>
        <v>202728.5</v>
      </c>
      <c r="ER148" s="319">
        <f t="shared" ref="ER148:ER179" si="277">MB50+MZ50</f>
        <v>211782.96000000002</v>
      </c>
      <c r="ES148" s="319">
        <f t="shared" ref="ES148:ES179" si="278">MC50+NA50</f>
        <v>212804.75</v>
      </c>
      <c r="ET148" s="319">
        <f t="shared" ref="ET148:ET179" si="279">MD50+NB50</f>
        <v>211031.21</v>
      </c>
      <c r="EU148" s="319">
        <f t="shared" ref="EU148:EU179" si="280">ME50+NC50</f>
        <v>203120.72</v>
      </c>
      <c r="EV148" s="319">
        <f t="shared" ref="EV148:EV179" si="281">MF50+ND50</f>
        <v>224836.7</v>
      </c>
      <c r="EW148" s="319">
        <f t="shared" ref="EW148:EW179" si="282">MG50+NE50</f>
        <v>238647.31</v>
      </c>
      <c r="EX148" s="319">
        <f t="shared" ref="EX148:EX179" si="283">MH50+NF50</f>
        <v>258639.61000000002</v>
      </c>
      <c r="EY148" s="319">
        <f t="shared" ref="EY148:EY179" si="284">MI50+NG50</f>
        <v>268762.68</v>
      </c>
      <c r="EZ148" s="319">
        <f t="shared" ref="EZ148:EZ179" si="285">MJ50+NH50</f>
        <v>349585.45</v>
      </c>
      <c r="FA148" s="319">
        <f t="shared" ref="FA148:FA179" si="286">MK50+NI50</f>
        <v>308378.62000000005</v>
      </c>
      <c r="FB148" s="319">
        <f t="shared" ref="FB148:FB179" si="287">ML50+NJ50</f>
        <v>353112.51999999996</v>
      </c>
      <c r="FC148" s="319">
        <f t="shared" ref="FC148:FC179" si="288">MM50+NK50</f>
        <v>327961.51</v>
      </c>
      <c r="FD148" s="319">
        <f t="shared" ref="FD148:FD179" si="289">MN50+NL50</f>
        <v>325054.67000000004</v>
      </c>
      <c r="FE148" s="319">
        <f t="shared" ref="FE148:FE179" si="290">MO50+NM50</f>
        <v>375404.96</v>
      </c>
      <c r="FF148" s="322">
        <f t="shared" ref="FF148:FF179" si="291">MP50+NN50</f>
        <v>383824.57000000007</v>
      </c>
      <c r="FG148" s="336">
        <f t="shared" ref="FG148:FG179" si="292">MQ50+NO50</f>
        <v>463015.49</v>
      </c>
      <c r="FH148" s="336">
        <f t="shared" ref="FH148:FH179" si="293">MR50+NP50</f>
        <v>414171.22</v>
      </c>
      <c r="FI148" s="336">
        <f t="shared" ref="FI148:FI179" si="294">MS50+NQ50</f>
        <v>398352.62</v>
      </c>
      <c r="FJ148" s="336">
        <f t="shared" ref="FJ148:FJ179" si="295">MT50+NR50</f>
        <v>403622.5</v>
      </c>
      <c r="FK148" s="336">
        <f t="shared" ref="FK148:FK179" si="296">MU50+NS50</f>
        <v>501150</v>
      </c>
      <c r="FL148" s="122"/>
      <c r="FM148" s="340" t="s">
        <v>33</v>
      </c>
      <c r="FN148" s="340">
        <f t="shared" ref="FN148:FN179" si="297">NV50</f>
        <v>51818.97</v>
      </c>
      <c r="FO148" s="340">
        <f t="shared" ref="FO148:FO179" si="298">NW50</f>
        <v>48654.84</v>
      </c>
      <c r="FP148" s="340">
        <f t="shared" ref="FP148:FP179" si="299">NX50</f>
        <v>44121.45</v>
      </c>
      <c r="FQ148" s="340">
        <f t="shared" ref="FQ148:FQ179" si="300">NY50</f>
        <v>59585.33</v>
      </c>
      <c r="FR148" s="340">
        <f t="shared" ref="FR148:FR179" si="301">NZ50</f>
        <v>55051.62</v>
      </c>
      <c r="FS148" s="340">
        <f t="shared" ref="FS148:FS179" si="302">OA50</f>
        <v>55396.56</v>
      </c>
      <c r="FT148" s="340">
        <f t="shared" ref="FT148:FT179" si="303">OB50</f>
        <v>61319.1</v>
      </c>
      <c r="FU148" s="340">
        <f t="shared" ref="FU148:FU179" si="304">OC50</f>
        <v>62255.82</v>
      </c>
      <c r="FV148" s="340">
        <f t="shared" ref="FV148:FV179" si="305">OD50</f>
        <v>63293.299999999996</v>
      </c>
      <c r="FW148" s="340">
        <f t="shared" ref="FW148:FW179" si="306">OE50</f>
        <v>67576.31</v>
      </c>
      <c r="FX148" s="340">
        <f t="shared" ref="FX148:FX179" si="307">OF50</f>
        <v>65950.880000000005</v>
      </c>
      <c r="FY148" s="340">
        <f t="shared" ref="FY148:FY179" si="308">OG50</f>
        <v>67579.950000000012</v>
      </c>
      <c r="FZ148" s="340">
        <f t="shared" ref="FZ148:FZ179" si="309">OH50</f>
        <v>68345.189999999988</v>
      </c>
      <c r="GA148" s="340">
        <f t="shared" ref="GA148:GA179" si="310">OI50</f>
        <v>68479.509999999995</v>
      </c>
      <c r="GB148" s="340">
        <f t="shared" ref="GB148:GB179" si="311">OJ50</f>
        <v>70426.099999999991</v>
      </c>
      <c r="GC148" s="340">
        <f t="shared" ref="GC148:GC179" si="312">OK50</f>
        <v>70518.540000000008</v>
      </c>
      <c r="GD148" s="340">
        <f t="shared" ref="GD148:GD179" si="313">OL50</f>
        <v>74021.2</v>
      </c>
      <c r="GE148" s="340">
        <f t="shared" ref="GE148:GE179" si="314">OM50</f>
        <v>81783.56</v>
      </c>
      <c r="GF148" s="340">
        <f t="shared" ref="GF148:GF179" si="315">ON50</f>
        <v>78452.570000000007</v>
      </c>
      <c r="GG148" s="340">
        <f t="shared" ref="GG148:GG179" si="316">OO50</f>
        <v>78717.960000000006</v>
      </c>
      <c r="GH148" s="340">
        <f t="shared" ref="GH148:GH179" si="317">OP50</f>
        <v>80083.8</v>
      </c>
      <c r="GI148" s="340">
        <f t="shared" ref="GI148:GI179" si="318">OQ50</f>
        <v>96200</v>
      </c>
      <c r="GJ148" s="122"/>
      <c r="GK148" s="340" t="s">
        <v>33</v>
      </c>
      <c r="GL148" s="340">
        <f t="shared" ref="GL148:GL179" si="319">RN50</f>
        <v>7402.71</v>
      </c>
      <c r="GM148" s="340">
        <f t="shared" ref="GM148:GM179" si="320">RO50</f>
        <v>8109.14</v>
      </c>
      <c r="GN148" s="340">
        <f t="shared" ref="GN148:GN179" si="321">RP50</f>
        <v>8824.2900000000009</v>
      </c>
      <c r="GO148" s="340">
        <f t="shared" ref="GO148:GO179" si="322">RQ50</f>
        <v>8512.19</v>
      </c>
      <c r="GP148" s="340">
        <f t="shared" ref="GP148:GP179" si="323">RR50</f>
        <v>9175.27</v>
      </c>
      <c r="GQ148" s="340">
        <f t="shared" ref="GQ148:GQ179" si="324">RS50</f>
        <v>9232.76</v>
      </c>
      <c r="GR148" s="340">
        <f t="shared" ref="GR148:GR179" si="325">RT50</f>
        <v>10219.85</v>
      </c>
      <c r="GS148" s="340">
        <f t="shared" ref="GS148:GS179" si="326">RU50</f>
        <v>10375.969999999999</v>
      </c>
      <c r="GT148" s="340">
        <f t="shared" ref="GT148:GT179" si="327">RV50</f>
        <v>10599.02</v>
      </c>
      <c r="GU148" s="340">
        <f t="shared" ref="GU148:GU179" si="328">RW50</f>
        <v>9724.4</v>
      </c>
      <c r="GV148" s="340">
        <f t="shared" ref="GV148:GV179" si="329">RX50</f>
        <v>9000</v>
      </c>
      <c r="GW148" s="340">
        <f t="shared" ref="GW148:GW179" si="330">RY50</f>
        <v>9000</v>
      </c>
      <c r="GX148" s="340">
        <f t="shared" ref="GX148:GX179" si="331">RZ50</f>
        <v>11436.73</v>
      </c>
      <c r="GY148" s="340">
        <f t="shared" ref="GY148:GY179" si="332">SA50</f>
        <v>9000</v>
      </c>
      <c r="GZ148" s="340">
        <f t="shared" ref="GZ148:GZ179" si="333">SB50</f>
        <v>10639.119999999999</v>
      </c>
      <c r="HA148" s="340">
        <f t="shared" ref="HA148:HA179" si="334">SC50</f>
        <v>12172.45</v>
      </c>
      <c r="HB148" s="340">
        <f t="shared" ref="HB148:HB179" si="335">SD50</f>
        <v>21297.11</v>
      </c>
      <c r="HC148" s="340">
        <f t="shared" ref="HC148:HC179" si="336">SE50</f>
        <v>9707.0499999999993</v>
      </c>
      <c r="HD148" s="340">
        <f t="shared" ref="HD148:HD179" si="337">SF50</f>
        <v>10525.56</v>
      </c>
      <c r="HE148" s="340">
        <f t="shared" ref="HE148:HE179" si="338">SG50</f>
        <v>42773.120000000003</v>
      </c>
      <c r="HF148" s="340">
        <f t="shared" ref="HF148:HF179" si="339">SH50</f>
        <v>11519.71</v>
      </c>
      <c r="HG148" s="340">
        <f t="shared" ref="HG148:HG179" si="340">SI50</f>
        <v>9700</v>
      </c>
      <c r="HH148" s="122"/>
      <c r="IF148" s="122"/>
      <c r="IG148" s="122"/>
      <c r="IH148" s="122"/>
      <c r="II148" s="122"/>
      <c r="IJ148" s="122"/>
      <c r="IK148" s="122"/>
      <c r="IL148" s="122"/>
      <c r="IN148" s="118"/>
      <c r="IP148" s="122"/>
      <c r="IQ148" s="122"/>
      <c r="IR148" s="122"/>
      <c r="IS148" s="122"/>
      <c r="IT148" s="122"/>
      <c r="IU148" s="122"/>
      <c r="IV148" s="122"/>
      <c r="IW148" s="122"/>
      <c r="IX148" s="122"/>
      <c r="IY148" s="122"/>
      <c r="IZ148" s="122"/>
      <c r="JA148" s="122"/>
      <c r="JB148" s="122"/>
      <c r="JC148" s="122"/>
      <c r="JD148" s="122"/>
      <c r="JE148" s="122"/>
      <c r="JF148" s="122"/>
      <c r="JG148" s="122"/>
      <c r="JH148" s="122"/>
      <c r="JI148" s="122"/>
      <c r="JK148" s="118"/>
      <c r="JL148" s="118"/>
      <c r="JY148" s="122"/>
      <c r="JZ148" s="122"/>
      <c r="KA148" s="122"/>
      <c r="KB148" s="122"/>
      <c r="LX148" s="122"/>
      <c r="LY148" s="122"/>
      <c r="LZ148" s="122"/>
      <c r="MB148" s="118"/>
      <c r="MC148" s="118"/>
      <c r="MP148" s="122"/>
      <c r="MQ148" s="122"/>
      <c r="MR148" s="122"/>
      <c r="MS148" s="122"/>
      <c r="MT148" s="122"/>
      <c r="MU148" s="122"/>
      <c r="MV148" s="122"/>
      <c r="OS148" s="118"/>
      <c r="OT148" s="118"/>
      <c r="PC148" s="122"/>
      <c r="PD148" s="122"/>
      <c r="PE148" s="122"/>
      <c r="PF148" s="122"/>
      <c r="PG148" s="122"/>
      <c r="PH148" s="122"/>
      <c r="PI148" s="122"/>
      <c r="PJ148" s="122"/>
      <c r="PP148" s="118"/>
      <c r="PQ148" s="118"/>
      <c r="PZ148" s="122"/>
      <c r="QA148" s="122"/>
      <c r="QB148" s="122"/>
      <c r="QC148" s="122"/>
      <c r="QD148" s="122"/>
      <c r="QE148" s="122"/>
      <c r="QF148" s="122"/>
      <c r="QG148" s="122"/>
      <c r="QM148" s="118"/>
      <c r="QN148" s="118"/>
      <c r="RE148" s="118"/>
      <c r="RF148" s="118"/>
      <c r="RG148" s="118"/>
      <c r="RH148" s="118"/>
      <c r="RI148" s="118"/>
      <c r="RJ148" s="118"/>
      <c r="RK148" s="118"/>
    </row>
    <row r="149" spans="25:479">
      <c r="Y149" s="277" t="s">
        <v>34</v>
      </c>
      <c r="Z149" s="319">
        <f t="shared" si="186"/>
        <v>282712.07999999996</v>
      </c>
      <c r="AA149" s="319">
        <f t="shared" si="187"/>
        <v>240386.12</v>
      </c>
      <c r="AB149" s="319">
        <f t="shared" si="188"/>
        <v>249972.48000000001</v>
      </c>
      <c r="AC149" s="319">
        <f t="shared" si="189"/>
        <v>295217.39999999997</v>
      </c>
      <c r="AD149" s="319">
        <f t="shared" si="190"/>
        <v>319353.8</v>
      </c>
      <c r="AE149" s="319">
        <f t="shared" si="191"/>
        <v>331407.45000000007</v>
      </c>
      <c r="AF149" s="319">
        <f t="shared" si="192"/>
        <v>407801.76</v>
      </c>
      <c r="AG149" s="319">
        <f t="shared" si="193"/>
        <v>374987.99999999994</v>
      </c>
      <c r="AH149" s="319">
        <f t="shared" si="194"/>
        <v>330375.87</v>
      </c>
      <c r="AI149" s="319">
        <f t="shared" si="195"/>
        <v>312760.68999999994</v>
      </c>
      <c r="AJ149" s="319">
        <f t="shared" si="196"/>
        <v>450070.06999999995</v>
      </c>
      <c r="AK149" s="319">
        <f t="shared" si="197"/>
        <v>346139.99</v>
      </c>
      <c r="AL149" s="319">
        <f t="shared" si="198"/>
        <v>411461.06999999995</v>
      </c>
      <c r="AM149" s="319">
        <f t="shared" si="199"/>
        <v>358150.29000000004</v>
      </c>
      <c r="AN149" s="319">
        <f t="shared" si="200"/>
        <v>0</v>
      </c>
      <c r="AO149" s="319">
        <f t="shared" si="201"/>
        <v>362160.35</v>
      </c>
      <c r="AP149" s="319">
        <f t="shared" si="202"/>
        <v>435718.06000000006</v>
      </c>
      <c r="AQ149" s="319">
        <f t="shared" si="203"/>
        <v>387518.36000000004</v>
      </c>
      <c r="AR149" s="319">
        <f t="shared" si="204"/>
        <v>423028.08999999997</v>
      </c>
      <c r="AS149" s="319">
        <f t="shared" si="205"/>
        <v>409362.239</v>
      </c>
      <c r="AT149" s="319">
        <f t="shared" si="206"/>
        <v>476883.64</v>
      </c>
      <c r="AU149" s="319">
        <f t="shared" si="207"/>
        <v>468407</v>
      </c>
      <c r="AW149" s="322" t="s">
        <v>34</v>
      </c>
      <c r="AX149" s="322">
        <f t="shared" si="208"/>
        <v>111065.46</v>
      </c>
      <c r="AY149" s="322">
        <f t="shared" si="209"/>
        <v>175666.78</v>
      </c>
      <c r="AZ149" s="322">
        <f t="shared" si="210"/>
        <v>156232.79999999999</v>
      </c>
      <c r="BA149" s="322">
        <f t="shared" si="211"/>
        <v>108246.38</v>
      </c>
      <c r="BB149" s="322">
        <f t="shared" si="212"/>
        <v>110122</v>
      </c>
      <c r="BC149" s="322">
        <f t="shared" si="213"/>
        <v>110469.15</v>
      </c>
      <c r="BD149" s="322">
        <f t="shared" si="214"/>
        <v>112501.07</v>
      </c>
      <c r="BE149" s="322">
        <f t="shared" si="215"/>
        <v>93747</v>
      </c>
      <c r="BF149" s="322">
        <f t="shared" si="216"/>
        <v>80068.72</v>
      </c>
      <c r="BG149" s="322">
        <f t="shared" si="217"/>
        <v>89765.419999999984</v>
      </c>
      <c r="BH149" s="322">
        <f t="shared" si="218"/>
        <v>106878.12</v>
      </c>
      <c r="BI149" s="322">
        <f t="shared" si="219"/>
        <v>83747.45</v>
      </c>
      <c r="BJ149" s="322">
        <f t="shared" si="220"/>
        <v>74967.069999999992</v>
      </c>
      <c r="BK149" s="322">
        <f t="shared" si="221"/>
        <v>89702.63</v>
      </c>
      <c r="BL149" s="322">
        <f t="shared" si="222"/>
        <v>0</v>
      </c>
      <c r="BM149" s="322">
        <f t="shared" si="223"/>
        <v>71652</v>
      </c>
      <c r="BN149" s="322">
        <f t="shared" si="224"/>
        <v>77340.94</v>
      </c>
      <c r="BO149" s="340">
        <f t="shared" si="225"/>
        <v>77200.75</v>
      </c>
      <c r="BP149" s="340">
        <f t="shared" si="226"/>
        <v>80230.61</v>
      </c>
      <c r="BQ149" s="340">
        <f t="shared" si="227"/>
        <v>63415.930000000008</v>
      </c>
      <c r="BR149" s="340">
        <f t="shared" si="228"/>
        <v>71427.45</v>
      </c>
      <c r="BS149" s="340">
        <f t="shared" si="229"/>
        <v>125508.77</v>
      </c>
      <c r="BU149" s="340" t="s">
        <v>34</v>
      </c>
      <c r="BV149" s="340">
        <f t="shared" si="230"/>
        <v>20193.72</v>
      </c>
      <c r="BW149" s="340">
        <f t="shared" si="231"/>
        <v>18491.240000000002</v>
      </c>
      <c r="BX149" s="340">
        <f t="shared" si="232"/>
        <v>20831.04</v>
      </c>
      <c r="BY149" s="340">
        <f t="shared" si="233"/>
        <v>29521.739999999998</v>
      </c>
      <c r="BZ149" s="340">
        <f t="shared" si="234"/>
        <v>22024.400000000001</v>
      </c>
      <c r="CA149" s="340">
        <f t="shared" si="235"/>
        <v>50213.25</v>
      </c>
      <c r="CB149" s="340">
        <f t="shared" si="236"/>
        <v>51136.850000000006</v>
      </c>
      <c r="CC149" s="340">
        <f t="shared" si="237"/>
        <v>46873.5</v>
      </c>
      <c r="CD149" s="340">
        <f t="shared" si="238"/>
        <v>47476.939999999995</v>
      </c>
      <c r="CE149" s="340">
        <f t="shared" si="239"/>
        <v>57214.81</v>
      </c>
      <c r="CF149" s="340">
        <f t="shared" si="240"/>
        <v>60707.439999999995</v>
      </c>
      <c r="CG149" s="340">
        <f t="shared" si="241"/>
        <v>69560.179999999993</v>
      </c>
      <c r="CH149" s="340">
        <f t="shared" si="242"/>
        <v>67183.479999999981</v>
      </c>
      <c r="CI149" s="340">
        <f t="shared" si="243"/>
        <v>70536.58</v>
      </c>
      <c r="CJ149" s="340">
        <f t="shared" si="244"/>
        <v>0</v>
      </c>
      <c r="CK149" s="340">
        <f t="shared" si="245"/>
        <v>69962.76999999999</v>
      </c>
      <c r="CL149" s="340">
        <f t="shared" si="246"/>
        <v>76392.83</v>
      </c>
      <c r="CM149" s="340">
        <f t="shared" si="247"/>
        <v>77165.989999999991</v>
      </c>
      <c r="CN149" s="340">
        <f t="shared" si="248"/>
        <v>77724.37</v>
      </c>
      <c r="CO149" s="340">
        <f t="shared" si="249"/>
        <v>82970.720000000001</v>
      </c>
      <c r="CP149" s="340">
        <f t="shared" si="250"/>
        <v>82796.52</v>
      </c>
      <c r="CQ149" s="340">
        <f t="shared" si="251"/>
        <v>95366</v>
      </c>
      <c r="CR149" s="122"/>
      <c r="CS149" s="340" t="s">
        <v>34</v>
      </c>
      <c r="CT149" s="340">
        <f t="shared" si="252"/>
        <v>343293.24</v>
      </c>
      <c r="CU149" s="340">
        <f t="shared" si="253"/>
        <v>249631.74000000002</v>
      </c>
      <c r="CV149" s="340">
        <f t="shared" si="254"/>
        <v>364543.19999999995</v>
      </c>
      <c r="CW149" s="340">
        <f t="shared" si="255"/>
        <v>364101.45999999996</v>
      </c>
      <c r="CX149" s="340">
        <f t="shared" si="256"/>
        <v>374414.8</v>
      </c>
      <c r="CY149" s="340">
        <f t="shared" si="257"/>
        <v>241023.6</v>
      </c>
      <c r="CZ149" s="340">
        <f t="shared" si="258"/>
        <v>225002.14</v>
      </c>
      <c r="DA149" s="340">
        <f t="shared" si="259"/>
        <v>281241</v>
      </c>
      <c r="DB149" s="340">
        <f t="shared" si="260"/>
        <v>366086.69999999995</v>
      </c>
      <c r="DC149" s="340">
        <f t="shared" si="261"/>
        <v>342984.80999999994</v>
      </c>
      <c r="DD149" s="340">
        <f t="shared" si="262"/>
        <v>519263.49</v>
      </c>
      <c r="DE149" s="340">
        <f t="shared" si="263"/>
        <v>318705.02</v>
      </c>
      <c r="DF149" s="340">
        <f t="shared" si="264"/>
        <v>305227.44000000006</v>
      </c>
      <c r="DG149" s="340">
        <f t="shared" si="265"/>
        <v>297177.33</v>
      </c>
      <c r="DH149" s="340">
        <f t="shared" si="266"/>
        <v>0</v>
      </c>
      <c r="DI149" s="340">
        <f t="shared" si="267"/>
        <v>252064.91999999998</v>
      </c>
      <c r="DJ149" s="340">
        <f t="shared" si="268"/>
        <v>260750.16999999998</v>
      </c>
      <c r="DK149" s="340">
        <f t="shared" si="269"/>
        <v>321705.44000000006</v>
      </c>
      <c r="DL149" s="340">
        <f t="shared" si="270"/>
        <v>348697.33999999997</v>
      </c>
      <c r="DM149" s="340">
        <f t="shared" si="271"/>
        <v>303492.27999999997</v>
      </c>
      <c r="DN149" s="340">
        <f t="shared" si="272"/>
        <v>364112.39999999991</v>
      </c>
      <c r="DO149" s="340">
        <f t="shared" si="273"/>
        <v>617468.12</v>
      </c>
      <c r="DP149" s="330"/>
      <c r="DQ149" s="340" t="s">
        <v>34</v>
      </c>
      <c r="DR149" s="340">
        <f t="shared" ref="DR149:EM149" si="341">DR51</f>
        <v>50484.3</v>
      </c>
      <c r="DS149" s="340">
        <f t="shared" si="341"/>
        <v>36982.480000000003</v>
      </c>
      <c r="DT149" s="340">
        <f t="shared" si="341"/>
        <v>52077.599999999999</v>
      </c>
      <c r="DU149" s="340">
        <f t="shared" si="341"/>
        <v>59043.48</v>
      </c>
      <c r="DV149" s="340">
        <f t="shared" si="341"/>
        <v>66073.2</v>
      </c>
      <c r="DW149" s="340">
        <f t="shared" si="341"/>
        <v>70298.55</v>
      </c>
      <c r="DX149" s="340">
        <f t="shared" si="341"/>
        <v>81818.960000000006</v>
      </c>
      <c r="DY149" s="340">
        <f t="shared" si="341"/>
        <v>65622.899999999994</v>
      </c>
      <c r="DZ149" s="340">
        <f t="shared" si="341"/>
        <v>62156.74</v>
      </c>
      <c r="EA149" s="340">
        <f t="shared" si="341"/>
        <v>71171.190000000017</v>
      </c>
      <c r="EB149" s="340">
        <f t="shared" si="341"/>
        <v>71055.75</v>
      </c>
      <c r="EC149" s="340">
        <f t="shared" si="341"/>
        <v>123245.54</v>
      </c>
      <c r="ED149" s="340">
        <f t="shared" si="341"/>
        <v>97449.14</v>
      </c>
      <c r="EE149" s="340">
        <f t="shared" si="341"/>
        <v>80950.8</v>
      </c>
      <c r="EF149" s="340">
        <f t="shared" si="341"/>
        <v>0</v>
      </c>
      <c r="EG149" s="340">
        <f t="shared" si="341"/>
        <v>90037.180000000008</v>
      </c>
      <c r="EH149" s="340">
        <f t="shared" si="341"/>
        <v>98835.44</v>
      </c>
      <c r="EI149" s="340">
        <f t="shared" si="341"/>
        <v>109802</v>
      </c>
      <c r="EJ149" s="340">
        <f t="shared" si="341"/>
        <v>129434.40999999999</v>
      </c>
      <c r="EK149" s="340">
        <f t="shared" si="341"/>
        <v>118871.19</v>
      </c>
      <c r="EL149" s="340">
        <f t="shared" si="341"/>
        <v>120332.06</v>
      </c>
      <c r="EM149" s="340">
        <f t="shared" si="341"/>
        <v>149600</v>
      </c>
      <c r="EO149" s="319" t="s">
        <v>34</v>
      </c>
      <c r="EP149" s="319">
        <f t="shared" si="275"/>
        <v>0</v>
      </c>
      <c r="EQ149" s="319">
        <f t="shared" si="276"/>
        <v>0</v>
      </c>
      <c r="ER149" s="319">
        <f t="shared" si="277"/>
        <v>0</v>
      </c>
      <c r="ES149" s="319">
        <f t="shared" si="278"/>
        <v>0</v>
      </c>
      <c r="ET149" s="319">
        <f t="shared" si="279"/>
        <v>0</v>
      </c>
      <c r="EU149" s="319">
        <f t="shared" si="280"/>
        <v>0</v>
      </c>
      <c r="EV149" s="319">
        <f t="shared" si="281"/>
        <v>0</v>
      </c>
      <c r="EW149" s="319">
        <f t="shared" si="282"/>
        <v>0</v>
      </c>
      <c r="EX149" s="319">
        <f t="shared" si="283"/>
        <v>0</v>
      </c>
      <c r="EY149" s="319">
        <f t="shared" si="284"/>
        <v>0</v>
      </c>
      <c r="EZ149" s="319">
        <f t="shared" si="285"/>
        <v>0</v>
      </c>
      <c r="FA149" s="319">
        <f t="shared" si="286"/>
        <v>0</v>
      </c>
      <c r="FB149" s="319">
        <f t="shared" si="287"/>
        <v>0</v>
      </c>
      <c r="FC149" s="319">
        <f t="shared" si="288"/>
        <v>0</v>
      </c>
      <c r="FD149" s="319">
        <f t="shared" si="289"/>
        <v>0</v>
      </c>
      <c r="FE149" s="319">
        <f t="shared" si="290"/>
        <v>0</v>
      </c>
      <c r="FF149" s="322">
        <f t="shared" si="291"/>
        <v>0</v>
      </c>
      <c r="FG149" s="336">
        <f t="shared" si="292"/>
        <v>0</v>
      </c>
      <c r="FH149" s="336">
        <f t="shared" si="293"/>
        <v>0</v>
      </c>
      <c r="FI149" s="336">
        <f t="shared" si="294"/>
        <v>5992.19</v>
      </c>
      <c r="FJ149" s="336">
        <f t="shared" si="295"/>
        <v>0</v>
      </c>
      <c r="FK149" s="336">
        <f t="shared" si="296"/>
        <v>5000</v>
      </c>
      <c r="FL149" s="122"/>
      <c r="FM149" s="340" t="s">
        <v>34</v>
      </c>
      <c r="FN149" s="340">
        <f t="shared" si="297"/>
        <v>60581.16</v>
      </c>
      <c r="FO149" s="340">
        <f t="shared" si="298"/>
        <v>73964.960000000006</v>
      </c>
      <c r="FP149" s="340">
        <f t="shared" si="299"/>
        <v>62493.120000000003</v>
      </c>
      <c r="FQ149" s="340">
        <f t="shared" si="300"/>
        <v>78724.639999999999</v>
      </c>
      <c r="FR149" s="340">
        <f t="shared" si="301"/>
        <v>77085.399999999994</v>
      </c>
      <c r="FS149" s="340">
        <f t="shared" si="302"/>
        <v>80341.2</v>
      </c>
      <c r="FT149" s="340">
        <f t="shared" si="303"/>
        <v>71591.59</v>
      </c>
      <c r="FU149" s="340">
        <f t="shared" si="304"/>
        <v>74997.600000000006</v>
      </c>
      <c r="FV149" s="340">
        <f t="shared" si="305"/>
        <v>70404.240000000005</v>
      </c>
      <c r="FW149" s="340">
        <f t="shared" si="306"/>
        <v>71182.849999999991</v>
      </c>
      <c r="FX149" s="340">
        <f t="shared" si="307"/>
        <v>75141.31</v>
      </c>
      <c r="FY149" s="340">
        <f t="shared" si="308"/>
        <v>76348.67</v>
      </c>
      <c r="FZ149" s="340">
        <f t="shared" si="309"/>
        <v>74987.600000000006</v>
      </c>
      <c r="GA149" s="340">
        <f t="shared" si="310"/>
        <v>74475.099999999991</v>
      </c>
      <c r="GB149" s="340">
        <f t="shared" si="311"/>
        <v>0</v>
      </c>
      <c r="GC149" s="340">
        <f t="shared" si="312"/>
        <v>76083.810000000012</v>
      </c>
      <c r="GD149" s="340">
        <f t="shared" si="313"/>
        <v>77475.19</v>
      </c>
      <c r="GE149" s="340">
        <f t="shared" si="314"/>
        <v>78054.11</v>
      </c>
      <c r="GF149" s="340">
        <f t="shared" si="315"/>
        <v>77989.440000000002</v>
      </c>
      <c r="GG149" s="340">
        <f t="shared" si="316"/>
        <v>78432.12</v>
      </c>
      <c r="GH149" s="340">
        <f t="shared" si="317"/>
        <v>91911.12000000001</v>
      </c>
      <c r="GI149" s="340">
        <f t="shared" si="318"/>
        <v>99646</v>
      </c>
      <c r="GJ149" s="122"/>
      <c r="GK149" s="340" t="s">
        <v>34</v>
      </c>
      <c r="GL149" s="340">
        <f t="shared" si="319"/>
        <v>141356.04</v>
      </c>
      <c r="GM149" s="340">
        <f t="shared" si="320"/>
        <v>129438.68</v>
      </c>
      <c r="GN149" s="340">
        <f t="shared" si="321"/>
        <v>135401.76</v>
      </c>
      <c r="GO149" s="340">
        <f t="shared" si="322"/>
        <v>49202.9</v>
      </c>
      <c r="GP149" s="340">
        <f t="shared" si="323"/>
        <v>132146.4</v>
      </c>
      <c r="GQ149" s="340">
        <f t="shared" si="324"/>
        <v>120511.8</v>
      </c>
      <c r="GR149" s="340">
        <f t="shared" si="325"/>
        <v>71591.59</v>
      </c>
      <c r="GS149" s="340">
        <f t="shared" si="326"/>
        <v>0</v>
      </c>
      <c r="GT149" s="340">
        <f t="shared" si="327"/>
        <v>0</v>
      </c>
      <c r="GU149" s="340">
        <f t="shared" si="328"/>
        <v>0</v>
      </c>
      <c r="GV149" s="340">
        <f t="shared" si="329"/>
        <v>0</v>
      </c>
      <c r="GW149" s="340">
        <f t="shared" si="330"/>
        <v>133107</v>
      </c>
      <c r="GX149" s="340">
        <f t="shared" si="331"/>
        <v>135403</v>
      </c>
      <c r="GY149" s="340">
        <f t="shared" si="332"/>
        <v>79675</v>
      </c>
      <c r="GZ149" s="340">
        <f t="shared" si="333"/>
        <v>0</v>
      </c>
      <c r="HA149" s="340">
        <f t="shared" si="334"/>
        <v>87008.7</v>
      </c>
      <c r="HB149" s="340">
        <f t="shared" si="335"/>
        <v>111300</v>
      </c>
      <c r="HC149" s="340">
        <f t="shared" si="336"/>
        <v>111600</v>
      </c>
      <c r="HD149" s="340">
        <f t="shared" si="337"/>
        <v>178130.26</v>
      </c>
      <c r="HE149" s="340">
        <f t="shared" si="338"/>
        <v>222930.06</v>
      </c>
      <c r="HF149" s="340">
        <f t="shared" si="339"/>
        <v>290591.76</v>
      </c>
      <c r="HG149" s="340">
        <f t="shared" si="340"/>
        <v>308093</v>
      </c>
      <c r="HH149" s="122"/>
      <c r="IF149" s="122"/>
      <c r="IG149" s="122"/>
      <c r="IH149" s="122"/>
      <c r="II149" s="122"/>
      <c r="IJ149" s="122"/>
      <c r="IK149" s="122"/>
      <c r="IL149" s="122"/>
      <c r="IN149" s="118"/>
      <c r="IP149" s="122"/>
      <c r="IQ149" s="122"/>
      <c r="IR149" s="122"/>
      <c r="IS149" s="122"/>
      <c r="IT149" s="122"/>
      <c r="IU149" s="122"/>
      <c r="IV149" s="122"/>
      <c r="IW149" s="122"/>
      <c r="IX149" s="122"/>
      <c r="IY149" s="122"/>
      <c r="IZ149" s="122"/>
      <c r="JA149" s="122"/>
      <c r="JB149" s="122"/>
      <c r="JC149" s="122"/>
      <c r="JD149" s="122"/>
      <c r="JE149" s="122"/>
      <c r="JF149" s="122"/>
      <c r="JG149" s="122"/>
      <c r="JH149" s="122"/>
      <c r="JI149" s="122"/>
      <c r="JK149" s="118"/>
      <c r="JL149" s="118"/>
      <c r="JY149" s="122"/>
      <c r="JZ149" s="122"/>
      <c r="KA149" s="122"/>
      <c r="KB149" s="122"/>
      <c r="LX149" s="122"/>
      <c r="LY149" s="122"/>
      <c r="LZ149" s="122"/>
      <c r="MB149" s="118"/>
      <c r="MC149" s="118"/>
      <c r="MP149" s="122"/>
      <c r="MQ149" s="122"/>
      <c r="MR149" s="122"/>
      <c r="MS149" s="122"/>
      <c r="MT149" s="122"/>
      <c r="MU149" s="122"/>
      <c r="MV149" s="122"/>
      <c r="OS149" s="118"/>
      <c r="OT149" s="118"/>
      <c r="PC149" s="122"/>
      <c r="PD149" s="122"/>
      <c r="PE149" s="122"/>
      <c r="PF149" s="122"/>
      <c r="PG149" s="122"/>
      <c r="PH149" s="122"/>
      <c r="PI149" s="122"/>
      <c r="PJ149" s="122"/>
      <c r="PP149" s="118"/>
      <c r="PQ149" s="118"/>
      <c r="PZ149" s="122"/>
      <c r="QA149" s="122"/>
      <c r="QB149" s="122"/>
      <c r="QC149" s="122"/>
      <c r="QD149" s="122"/>
      <c r="QE149" s="122"/>
      <c r="QF149" s="122"/>
      <c r="QG149" s="122"/>
      <c r="QM149" s="118"/>
      <c r="QN149" s="118"/>
      <c r="RE149" s="118"/>
      <c r="RF149" s="118"/>
      <c r="RG149" s="118"/>
      <c r="RH149" s="118"/>
      <c r="RI149" s="118"/>
      <c r="RJ149" s="118"/>
      <c r="RK149" s="118"/>
    </row>
    <row r="150" spans="25:479">
      <c r="Y150" s="277" t="s">
        <v>35</v>
      </c>
      <c r="Z150" s="319">
        <f t="shared" si="186"/>
        <v>452914</v>
      </c>
      <c r="AA150" s="319">
        <f t="shared" si="187"/>
        <v>451718.6</v>
      </c>
      <c r="AB150" s="319">
        <f t="shared" si="188"/>
        <v>452045.7</v>
      </c>
      <c r="AC150" s="319">
        <f t="shared" si="189"/>
        <v>506660.46</v>
      </c>
      <c r="AD150" s="319">
        <f t="shared" si="190"/>
        <v>593675.5</v>
      </c>
      <c r="AE150" s="319">
        <f t="shared" si="191"/>
        <v>639580.07999999996</v>
      </c>
      <c r="AF150" s="319">
        <f t="shared" si="192"/>
        <v>621379.29999999993</v>
      </c>
      <c r="AG150" s="319">
        <f t="shared" si="193"/>
        <v>609421.47000000009</v>
      </c>
      <c r="AH150" s="319">
        <f t="shared" si="194"/>
        <v>648596.74</v>
      </c>
      <c r="AI150" s="319">
        <f t="shared" si="195"/>
        <v>652148.25</v>
      </c>
      <c r="AJ150" s="319">
        <f t="shared" si="196"/>
        <v>706147.42</v>
      </c>
      <c r="AK150" s="319">
        <f t="shared" si="197"/>
        <v>640561.73</v>
      </c>
      <c r="AL150" s="319">
        <f t="shared" si="198"/>
        <v>785531.35000000009</v>
      </c>
      <c r="AM150" s="319">
        <f t="shared" si="199"/>
        <v>685174.97</v>
      </c>
      <c r="AN150" s="319">
        <f t="shared" si="200"/>
        <v>773211.37</v>
      </c>
      <c r="AO150" s="319">
        <f t="shared" si="201"/>
        <v>759113.5199999999</v>
      </c>
      <c r="AP150" s="319">
        <f t="shared" si="202"/>
        <v>854491.46000000008</v>
      </c>
      <c r="AQ150" s="319">
        <f t="shared" si="203"/>
        <v>743715.54</v>
      </c>
      <c r="AR150" s="319">
        <f t="shared" si="204"/>
        <v>881142.85</v>
      </c>
      <c r="AS150" s="319">
        <f t="shared" si="205"/>
        <v>905309.72</v>
      </c>
      <c r="AT150" s="319">
        <f t="shared" si="206"/>
        <v>887111.86</v>
      </c>
      <c r="AU150" s="319">
        <f t="shared" si="207"/>
        <v>883811.97</v>
      </c>
      <c r="AW150" s="322" t="s">
        <v>35</v>
      </c>
      <c r="AX150" s="322">
        <f t="shared" si="208"/>
        <v>249102.7</v>
      </c>
      <c r="AY150" s="322">
        <f t="shared" si="209"/>
        <v>225859.30000000002</v>
      </c>
      <c r="AZ150" s="322">
        <f t="shared" si="210"/>
        <v>226022.84999999998</v>
      </c>
      <c r="BA150" s="322">
        <f t="shared" si="211"/>
        <v>213330.72</v>
      </c>
      <c r="BB150" s="322">
        <f t="shared" si="212"/>
        <v>188896.75</v>
      </c>
      <c r="BC150" s="322">
        <f t="shared" si="213"/>
        <v>186544.19</v>
      </c>
      <c r="BD150" s="322">
        <f t="shared" si="214"/>
        <v>199474.87</v>
      </c>
      <c r="BE150" s="322">
        <f t="shared" si="215"/>
        <v>232160.56</v>
      </c>
      <c r="BF150" s="322">
        <f t="shared" si="216"/>
        <v>219653.34999999998</v>
      </c>
      <c r="BG150" s="322">
        <f t="shared" si="217"/>
        <v>211384.08000000002</v>
      </c>
      <c r="BH150" s="322">
        <f t="shared" si="218"/>
        <v>230281.96999999997</v>
      </c>
      <c r="BI150" s="322">
        <f t="shared" si="219"/>
        <v>243334.03</v>
      </c>
      <c r="BJ150" s="322">
        <f t="shared" si="220"/>
        <v>260150.12000000002</v>
      </c>
      <c r="BK150" s="322">
        <f t="shared" si="221"/>
        <v>258036.72</v>
      </c>
      <c r="BL150" s="322">
        <f t="shared" si="222"/>
        <v>262592.58</v>
      </c>
      <c r="BM150" s="322">
        <f t="shared" si="223"/>
        <v>271448.08</v>
      </c>
      <c r="BN150" s="322">
        <f t="shared" si="224"/>
        <v>265677.03999999998</v>
      </c>
      <c r="BO150" s="340">
        <f t="shared" si="225"/>
        <v>273663.28999999998</v>
      </c>
      <c r="BP150" s="340">
        <f t="shared" si="226"/>
        <v>280394.26999999996</v>
      </c>
      <c r="BQ150" s="340">
        <f t="shared" si="227"/>
        <v>283597.72000000003</v>
      </c>
      <c r="BR150" s="340">
        <f t="shared" si="228"/>
        <v>278739.11000000004</v>
      </c>
      <c r="BS150" s="340">
        <f t="shared" si="229"/>
        <v>346576.06999999995</v>
      </c>
      <c r="BU150" s="340" t="s">
        <v>35</v>
      </c>
      <c r="BV150" s="340">
        <f t="shared" si="230"/>
        <v>45291.4</v>
      </c>
      <c r="BW150" s="340">
        <f t="shared" si="231"/>
        <v>45171.86</v>
      </c>
      <c r="BX150" s="340">
        <f t="shared" si="232"/>
        <v>50227.3</v>
      </c>
      <c r="BY150" s="340">
        <f t="shared" si="233"/>
        <v>53332.68</v>
      </c>
      <c r="BZ150" s="340">
        <f t="shared" si="234"/>
        <v>53970.5</v>
      </c>
      <c r="CA150" s="340">
        <f t="shared" si="235"/>
        <v>79947.509999999995</v>
      </c>
      <c r="CB150" s="340">
        <f t="shared" si="236"/>
        <v>85489.23</v>
      </c>
      <c r="CC150" s="340">
        <f t="shared" si="237"/>
        <v>87060.209999999992</v>
      </c>
      <c r="CD150" s="340">
        <f t="shared" si="238"/>
        <v>78029.88</v>
      </c>
      <c r="CE150" s="340">
        <f t="shared" si="239"/>
        <v>82200.659999999989</v>
      </c>
      <c r="CF150" s="340">
        <f t="shared" si="240"/>
        <v>80007.31</v>
      </c>
      <c r="CG150" s="340">
        <f t="shared" si="241"/>
        <v>71083.3</v>
      </c>
      <c r="CH150" s="340">
        <f t="shared" si="242"/>
        <v>92047.97</v>
      </c>
      <c r="CI150" s="340">
        <f t="shared" si="243"/>
        <v>90911.859999999986</v>
      </c>
      <c r="CJ150" s="340">
        <f t="shared" si="244"/>
        <v>76751.64</v>
      </c>
      <c r="CK150" s="340">
        <f t="shared" si="245"/>
        <v>85322.84</v>
      </c>
      <c r="CL150" s="340">
        <f t="shared" si="246"/>
        <v>89653.739999999991</v>
      </c>
      <c r="CM150" s="340">
        <f t="shared" si="247"/>
        <v>91212.17</v>
      </c>
      <c r="CN150" s="340">
        <f t="shared" si="248"/>
        <v>101811.96</v>
      </c>
      <c r="CO150" s="340">
        <f t="shared" si="249"/>
        <v>99637.12000000001</v>
      </c>
      <c r="CP150" s="340">
        <f t="shared" si="250"/>
        <v>106513.95000000001</v>
      </c>
      <c r="CQ150" s="340">
        <f t="shared" si="251"/>
        <v>131420.74</v>
      </c>
      <c r="CR150" s="122"/>
      <c r="CS150" s="340" t="s">
        <v>35</v>
      </c>
      <c r="CT150" s="340">
        <f t="shared" si="252"/>
        <v>588788.20000000007</v>
      </c>
      <c r="CU150" s="340">
        <f t="shared" si="253"/>
        <v>519476.39</v>
      </c>
      <c r="CV150" s="340">
        <f t="shared" si="254"/>
        <v>753409.5</v>
      </c>
      <c r="CW150" s="340">
        <f t="shared" si="255"/>
        <v>773323.8600000001</v>
      </c>
      <c r="CX150" s="340">
        <f t="shared" si="256"/>
        <v>674631.25</v>
      </c>
      <c r="CY150" s="340">
        <f t="shared" si="257"/>
        <v>479685.06</v>
      </c>
      <c r="CZ150" s="340">
        <f t="shared" si="258"/>
        <v>569928.19999999995</v>
      </c>
      <c r="DA150" s="340">
        <f t="shared" si="259"/>
        <v>522361.26</v>
      </c>
      <c r="DB150" s="340">
        <f t="shared" si="260"/>
        <v>610439.17999999993</v>
      </c>
      <c r="DC150" s="340">
        <f t="shared" si="261"/>
        <v>794797.01</v>
      </c>
      <c r="DD150" s="340">
        <f t="shared" si="262"/>
        <v>940265.03</v>
      </c>
      <c r="DE150" s="340">
        <f t="shared" si="263"/>
        <v>961946.21999999986</v>
      </c>
      <c r="DF150" s="340">
        <f t="shared" si="264"/>
        <v>950512.85000000009</v>
      </c>
      <c r="DG150" s="340">
        <f t="shared" si="265"/>
        <v>785101.86</v>
      </c>
      <c r="DH150" s="340">
        <f t="shared" si="266"/>
        <v>852067.63</v>
      </c>
      <c r="DI150" s="340">
        <f t="shared" si="267"/>
        <v>812813.69999999984</v>
      </c>
      <c r="DJ150" s="340">
        <f t="shared" si="268"/>
        <v>830242.57000000007</v>
      </c>
      <c r="DK150" s="340">
        <f t="shared" si="269"/>
        <v>687441.39000000013</v>
      </c>
      <c r="DL150" s="340">
        <f t="shared" si="270"/>
        <v>795260.85</v>
      </c>
      <c r="DM150" s="340">
        <f t="shared" si="271"/>
        <v>828399.48</v>
      </c>
      <c r="DN150" s="340">
        <f t="shared" si="272"/>
        <v>837109.39</v>
      </c>
      <c r="DO150" s="340">
        <f t="shared" si="273"/>
        <v>849123.64000000013</v>
      </c>
      <c r="DP150" s="330"/>
      <c r="DQ150" s="340" t="s">
        <v>35</v>
      </c>
      <c r="DR150" s="340">
        <f t="shared" ref="DR150:EM150" si="342">DR52</f>
        <v>226457</v>
      </c>
      <c r="DS150" s="340">
        <f t="shared" si="342"/>
        <v>271031.15999999997</v>
      </c>
      <c r="DT150" s="340">
        <f t="shared" si="342"/>
        <v>276250.15000000002</v>
      </c>
      <c r="DU150" s="340">
        <f t="shared" si="342"/>
        <v>293329.74</v>
      </c>
      <c r="DV150" s="340">
        <f t="shared" si="342"/>
        <v>350808.25</v>
      </c>
      <c r="DW150" s="340">
        <f t="shared" si="342"/>
        <v>239842.53</v>
      </c>
      <c r="DX150" s="340">
        <f t="shared" si="342"/>
        <v>227971.28</v>
      </c>
      <c r="DY150" s="340">
        <f t="shared" si="342"/>
        <v>261180.63</v>
      </c>
      <c r="DZ150" s="340">
        <f t="shared" si="342"/>
        <v>288209.71999999997</v>
      </c>
      <c r="EA150" s="340">
        <f t="shared" si="342"/>
        <v>314273.28000000003</v>
      </c>
      <c r="EB150" s="340">
        <f t="shared" si="342"/>
        <v>337592.61000000004</v>
      </c>
      <c r="EC150" s="340">
        <f t="shared" si="342"/>
        <v>339695.48</v>
      </c>
      <c r="ED150" s="340">
        <f t="shared" si="342"/>
        <v>377120.42000000004</v>
      </c>
      <c r="EE150" s="340">
        <f t="shared" si="342"/>
        <v>372352.54000000004</v>
      </c>
      <c r="EF150" s="340">
        <f t="shared" si="342"/>
        <v>365137.97000000003</v>
      </c>
      <c r="EG150" s="340">
        <f t="shared" si="342"/>
        <v>381343.75999999995</v>
      </c>
      <c r="EH150" s="340">
        <f t="shared" si="342"/>
        <v>408007.63</v>
      </c>
      <c r="EI150" s="340">
        <f t="shared" si="342"/>
        <v>414499.61000000004</v>
      </c>
      <c r="EJ150" s="340">
        <f t="shared" si="342"/>
        <v>403949.61</v>
      </c>
      <c r="EK150" s="340">
        <f t="shared" si="342"/>
        <v>422974.35</v>
      </c>
      <c r="EL150" s="340">
        <f t="shared" si="342"/>
        <v>417064.86999999994</v>
      </c>
      <c r="EM150" s="340">
        <f t="shared" si="342"/>
        <v>456160</v>
      </c>
      <c r="EO150" s="319" t="s">
        <v>35</v>
      </c>
      <c r="EP150" s="319">
        <f t="shared" si="275"/>
        <v>520851.1</v>
      </c>
      <c r="EQ150" s="319">
        <f t="shared" si="276"/>
        <v>564648.25</v>
      </c>
      <c r="ER150" s="319">
        <f t="shared" si="277"/>
        <v>552500.30000000005</v>
      </c>
      <c r="ES150" s="319">
        <f t="shared" si="278"/>
        <v>613325.82000000007</v>
      </c>
      <c r="ET150" s="319">
        <f t="shared" si="279"/>
        <v>620660.75</v>
      </c>
      <c r="EU150" s="319">
        <f t="shared" si="280"/>
        <v>0</v>
      </c>
      <c r="EV150" s="319">
        <f t="shared" si="281"/>
        <v>0</v>
      </c>
      <c r="EW150" s="319">
        <f t="shared" si="282"/>
        <v>0</v>
      </c>
      <c r="EX150" s="319">
        <f t="shared" si="283"/>
        <v>0</v>
      </c>
      <c r="EY150" s="319">
        <f t="shared" si="284"/>
        <v>0</v>
      </c>
      <c r="EZ150" s="319">
        <f t="shared" si="285"/>
        <v>0</v>
      </c>
      <c r="FA150" s="319">
        <f t="shared" si="286"/>
        <v>0</v>
      </c>
      <c r="FB150" s="319">
        <f t="shared" si="287"/>
        <v>0</v>
      </c>
      <c r="FC150" s="319">
        <f t="shared" si="288"/>
        <v>0</v>
      </c>
      <c r="FD150" s="319">
        <f t="shared" si="289"/>
        <v>0</v>
      </c>
      <c r="FE150" s="319">
        <f t="shared" si="290"/>
        <v>0</v>
      </c>
      <c r="FF150" s="322">
        <f t="shared" si="291"/>
        <v>0</v>
      </c>
      <c r="FG150" s="336">
        <f t="shared" si="292"/>
        <v>0</v>
      </c>
      <c r="FH150" s="336">
        <f t="shared" si="293"/>
        <v>0</v>
      </c>
      <c r="FI150" s="336">
        <f t="shared" si="294"/>
        <v>0</v>
      </c>
      <c r="FJ150" s="336">
        <f t="shared" si="295"/>
        <v>0</v>
      </c>
      <c r="FK150" s="336">
        <f t="shared" si="296"/>
        <v>0</v>
      </c>
      <c r="FL150" s="122"/>
      <c r="FM150" s="340" t="s">
        <v>35</v>
      </c>
      <c r="FN150" s="340">
        <f t="shared" si="297"/>
        <v>135874.20000000001</v>
      </c>
      <c r="FO150" s="340">
        <f t="shared" si="298"/>
        <v>112929.65</v>
      </c>
      <c r="FP150" s="340">
        <f t="shared" si="299"/>
        <v>125568.25</v>
      </c>
      <c r="FQ150" s="340">
        <f t="shared" si="300"/>
        <v>133331.70000000001</v>
      </c>
      <c r="FR150" s="340">
        <f t="shared" si="301"/>
        <v>134926.25</v>
      </c>
      <c r="FS150" s="340">
        <f t="shared" si="302"/>
        <v>159895.01999999999</v>
      </c>
      <c r="FT150" s="340">
        <f t="shared" si="303"/>
        <v>170978.46</v>
      </c>
      <c r="FU150" s="340">
        <f t="shared" si="304"/>
        <v>203140.49</v>
      </c>
      <c r="FV150" s="340">
        <f t="shared" si="305"/>
        <v>220144.12</v>
      </c>
      <c r="FW150" s="340">
        <f t="shared" si="306"/>
        <v>232065.16</v>
      </c>
      <c r="FX150" s="340">
        <f t="shared" si="307"/>
        <v>238375.12</v>
      </c>
      <c r="FY150" s="340">
        <f t="shared" si="308"/>
        <v>250428.45</v>
      </c>
      <c r="FZ150" s="340">
        <f t="shared" si="309"/>
        <v>276985.77</v>
      </c>
      <c r="GA150" s="340">
        <f t="shared" si="310"/>
        <v>267326.52</v>
      </c>
      <c r="GB150" s="340">
        <f t="shared" si="311"/>
        <v>263294.93</v>
      </c>
      <c r="GC150" s="340">
        <f t="shared" si="312"/>
        <v>260255.06</v>
      </c>
      <c r="GD150" s="340">
        <f t="shared" si="313"/>
        <v>291381.52</v>
      </c>
      <c r="GE150" s="340">
        <f t="shared" si="314"/>
        <v>300142.02</v>
      </c>
      <c r="GF150" s="340">
        <f t="shared" si="315"/>
        <v>309118.37000000005</v>
      </c>
      <c r="GG150" s="340">
        <f t="shared" si="316"/>
        <v>309763.01</v>
      </c>
      <c r="GH150" s="340">
        <f t="shared" si="317"/>
        <v>326559.86999999994</v>
      </c>
      <c r="GI150" s="340">
        <f t="shared" si="318"/>
        <v>368337.27</v>
      </c>
      <c r="GJ150" s="122"/>
      <c r="GK150" s="340" t="s">
        <v>35</v>
      </c>
      <c r="GL150" s="340">
        <f t="shared" si="319"/>
        <v>45291.4</v>
      </c>
      <c r="GM150" s="340">
        <f t="shared" si="320"/>
        <v>67757.789999999994</v>
      </c>
      <c r="GN150" s="340">
        <f t="shared" si="321"/>
        <v>75340.95</v>
      </c>
      <c r="GO150" s="340">
        <f t="shared" si="322"/>
        <v>79999.02</v>
      </c>
      <c r="GP150" s="340">
        <f t="shared" si="323"/>
        <v>80955.75</v>
      </c>
      <c r="GQ150" s="340">
        <f t="shared" si="324"/>
        <v>879422.61</v>
      </c>
      <c r="GR150" s="340">
        <f t="shared" si="325"/>
        <v>968877.94</v>
      </c>
      <c r="GS150" s="340">
        <f t="shared" si="326"/>
        <v>986682.38</v>
      </c>
      <c r="GT150" s="340">
        <f t="shared" si="327"/>
        <v>975048.5</v>
      </c>
      <c r="GU150" s="340">
        <f t="shared" si="328"/>
        <v>925341.84</v>
      </c>
      <c r="GV150" s="340">
        <f t="shared" si="329"/>
        <v>961294.04</v>
      </c>
      <c r="GW150" s="340">
        <f t="shared" si="330"/>
        <v>1025074.77</v>
      </c>
      <c r="GX150" s="340">
        <f t="shared" si="331"/>
        <v>1055620.93</v>
      </c>
      <c r="GY150" s="340">
        <f t="shared" si="332"/>
        <v>981452.2</v>
      </c>
      <c r="GZ150" s="340">
        <f t="shared" si="333"/>
        <v>987952</v>
      </c>
      <c r="HA150" s="340">
        <f t="shared" si="334"/>
        <v>983933.33</v>
      </c>
      <c r="HB150" s="340">
        <f t="shared" si="335"/>
        <v>1003763.21</v>
      </c>
      <c r="HC150" s="340">
        <f t="shared" si="336"/>
        <v>988300.51</v>
      </c>
      <c r="HD150" s="340">
        <f t="shared" si="337"/>
        <v>988300.61</v>
      </c>
      <c r="HE150" s="340">
        <f t="shared" si="338"/>
        <v>993603.71000000008</v>
      </c>
      <c r="HF150" s="340">
        <f t="shared" si="339"/>
        <v>988300.51</v>
      </c>
      <c r="HG150" s="340">
        <f t="shared" si="340"/>
        <v>989890.01</v>
      </c>
      <c r="HH150" s="122"/>
      <c r="IF150" s="122"/>
      <c r="IG150" s="122"/>
      <c r="IH150" s="122"/>
      <c r="II150" s="122"/>
      <c r="IJ150" s="122"/>
      <c r="IK150" s="122"/>
      <c r="IL150" s="122"/>
      <c r="IN150" s="118"/>
      <c r="IP150" s="122"/>
      <c r="IQ150" s="122"/>
      <c r="IR150" s="122"/>
      <c r="IS150" s="122"/>
      <c r="IT150" s="122"/>
      <c r="IU150" s="122"/>
      <c r="IV150" s="122"/>
      <c r="IW150" s="122"/>
      <c r="IX150" s="122"/>
      <c r="IY150" s="122"/>
      <c r="IZ150" s="122"/>
      <c r="JA150" s="122"/>
      <c r="JB150" s="122"/>
      <c r="JC150" s="122"/>
      <c r="JD150" s="122"/>
      <c r="JE150" s="122"/>
      <c r="JF150" s="122"/>
      <c r="JG150" s="122"/>
      <c r="JH150" s="122"/>
      <c r="JI150" s="122"/>
      <c r="JK150" s="118"/>
      <c r="JL150" s="118"/>
      <c r="JY150" s="122"/>
      <c r="JZ150" s="122"/>
      <c r="KA150" s="122"/>
      <c r="KB150" s="122"/>
      <c r="LX150" s="122"/>
      <c r="LY150" s="122"/>
      <c r="LZ150" s="122"/>
      <c r="MB150" s="118"/>
      <c r="MC150" s="118"/>
      <c r="MP150" s="122"/>
      <c r="MQ150" s="122"/>
      <c r="MR150" s="122"/>
      <c r="MS150" s="122"/>
      <c r="MT150" s="122"/>
      <c r="MU150" s="122"/>
      <c r="MV150" s="122"/>
      <c r="OS150" s="118"/>
      <c r="OT150" s="118"/>
      <c r="PC150" s="122"/>
      <c r="PD150" s="122"/>
      <c r="PE150" s="122"/>
      <c r="PF150" s="122"/>
      <c r="PG150" s="122"/>
      <c r="PH150" s="122"/>
      <c r="PI150" s="122"/>
      <c r="PJ150" s="122"/>
      <c r="PP150" s="118"/>
      <c r="PQ150" s="118"/>
      <c r="PZ150" s="122"/>
      <c r="QA150" s="122"/>
      <c r="QB150" s="122"/>
      <c r="QC150" s="122"/>
      <c r="QD150" s="122"/>
      <c r="QE150" s="122"/>
      <c r="QF150" s="122"/>
      <c r="QG150" s="122"/>
      <c r="QM150" s="118"/>
      <c r="QN150" s="118"/>
      <c r="RE150" s="118"/>
      <c r="RF150" s="118"/>
      <c r="RG150" s="118"/>
      <c r="RH150" s="118"/>
      <c r="RI150" s="118"/>
      <c r="RJ150" s="118"/>
      <c r="RK150" s="118"/>
    </row>
    <row r="151" spans="25:479">
      <c r="Y151" s="277" t="s">
        <v>36</v>
      </c>
      <c r="Z151" s="319">
        <f t="shared" si="186"/>
        <v>274682.2</v>
      </c>
      <c r="AA151" s="518">
        <f t="shared" si="187"/>
        <v>256187.11000000002</v>
      </c>
      <c r="AB151" s="518">
        <f t="shared" si="188"/>
        <v>294123.18</v>
      </c>
      <c r="AC151" s="319">
        <f t="shared" si="189"/>
        <v>302000.92000000004</v>
      </c>
      <c r="AD151" s="319">
        <f t="shared" si="190"/>
        <v>349261.21</v>
      </c>
      <c r="AE151" s="319">
        <f t="shared" si="191"/>
        <v>303719.03999999998</v>
      </c>
      <c r="AF151" s="319">
        <f t="shared" si="192"/>
        <v>357592.68</v>
      </c>
      <c r="AG151" s="319">
        <f t="shared" si="193"/>
        <v>333465.36000000004</v>
      </c>
      <c r="AH151" s="319">
        <f t="shared" si="194"/>
        <v>386472.54000000004</v>
      </c>
      <c r="AI151" s="319">
        <f t="shared" si="195"/>
        <v>423428.72000000003</v>
      </c>
      <c r="AJ151" s="319">
        <f t="shared" si="196"/>
        <v>459609.49</v>
      </c>
      <c r="AK151" s="319">
        <f t="shared" si="197"/>
        <v>425020.88</v>
      </c>
      <c r="AL151" s="319">
        <f t="shared" si="198"/>
        <v>458795.03</v>
      </c>
      <c r="AM151" s="319">
        <f t="shared" si="199"/>
        <v>489338.15</v>
      </c>
      <c r="AN151" s="319">
        <f t="shared" si="200"/>
        <v>459743.99</v>
      </c>
      <c r="AO151" s="319">
        <f t="shared" si="201"/>
        <v>411538.36999999994</v>
      </c>
      <c r="AP151" s="319">
        <f t="shared" si="202"/>
        <v>436870.31999999989</v>
      </c>
      <c r="AQ151" s="319">
        <f t="shared" si="203"/>
        <v>420706.22</v>
      </c>
      <c r="AR151" s="319">
        <f t="shared" si="204"/>
        <v>517373.35000000009</v>
      </c>
      <c r="AS151" s="319">
        <f t="shared" si="205"/>
        <v>461265.99</v>
      </c>
      <c r="AT151" s="319">
        <f t="shared" si="206"/>
        <v>516074.17000000004</v>
      </c>
      <c r="AU151" s="319">
        <f t="shared" si="207"/>
        <v>506965</v>
      </c>
      <c r="AW151" s="322" t="s">
        <v>36</v>
      </c>
      <c r="AX151" s="322">
        <f t="shared" si="208"/>
        <v>85246.2</v>
      </c>
      <c r="AY151" s="322">
        <f t="shared" si="209"/>
        <v>89108.56</v>
      </c>
      <c r="AZ151" s="322">
        <f t="shared" si="210"/>
        <v>90499.44</v>
      </c>
      <c r="BA151" s="322">
        <f t="shared" si="211"/>
        <v>81307.94</v>
      </c>
      <c r="BB151" s="322">
        <f t="shared" si="212"/>
        <v>84304.43</v>
      </c>
      <c r="BC151" s="322">
        <f t="shared" si="213"/>
        <v>63274.799999999996</v>
      </c>
      <c r="BD151" s="322">
        <f t="shared" si="214"/>
        <v>53650.080000000002</v>
      </c>
      <c r="BE151" s="322">
        <f t="shared" si="215"/>
        <v>69471.95</v>
      </c>
      <c r="BF151" s="322">
        <f t="shared" si="216"/>
        <v>63562.19</v>
      </c>
      <c r="BG151" s="322">
        <f t="shared" si="217"/>
        <v>71078.989999999991</v>
      </c>
      <c r="BH151" s="322">
        <f t="shared" si="218"/>
        <v>73781.33</v>
      </c>
      <c r="BI151" s="322">
        <f t="shared" si="219"/>
        <v>79349.460000000006</v>
      </c>
      <c r="BJ151" s="322">
        <f t="shared" si="220"/>
        <v>69900.649999999994</v>
      </c>
      <c r="BK151" s="322">
        <f t="shared" si="221"/>
        <v>50612.100000000006</v>
      </c>
      <c r="BL151" s="322">
        <f t="shared" si="222"/>
        <v>56591.7</v>
      </c>
      <c r="BM151" s="322">
        <f t="shared" si="223"/>
        <v>52205.659999999996</v>
      </c>
      <c r="BN151" s="322">
        <f t="shared" si="224"/>
        <v>49465.89</v>
      </c>
      <c r="BO151" s="340">
        <f t="shared" si="225"/>
        <v>56454.479999999996</v>
      </c>
      <c r="BP151" s="340">
        <f t="shared" si="226"/>
        <v>57250.07</v>
      </c>
      <c r="BQ151" s="340">
        <f t="shared" si="227"/>
        <v>49709.130000000005</v>
      </c>
      <c r="BR151" s="340">
        <f t="shared" si="228"/>
        <v>57030.98</v>
      </c>
      <c r="BS151" s="340">
        <f t="shared" si="229"/>
        <v>55999</v>
      </c>
      <c r="BU151" s="340" t="s">
        <v>36</v>
      </c>
      <c r="BV151" s="340">
        <f t="shared" si="230"/>
        <v>18943.599999999999</v>
      </c>
      <c r="BW151" s="340">
        <f t="shared" si="231"/>
        <v>11138.57</v>
      </c>
      <c r="BX151" s="340">
        <f t="shared" si="232"/>
        <v>33937.29</v>
      </c>
      <c r="BY151" s="340">
        <f t="shared" si="233"/>
        <v>23230.84</v>
      </c>
      <c r="BZ151" s="340">
        <f t="shared" si="234"/>
        <v>24086.98</v>
      </c>
      <c r="CA151" s="340">
        <f t="shared" si="235"/>
        <v>50619.839999999997</v>
      </c>
      <c r="CB151" s="340">
        <f t="shared" si="236"/>
        <v>53650.080000000002</v>
      </c>
      <c r="CC151" s="340">
        <f t="shared" si="237"/>
        <v>69471.95</v>
      </c>
      <c r="CD151" s="340">
        <f t="shared" si="238"/>
        <v>53883.65</v>
      </c>
      <c r="CE151" s="340">
        <f t="shared" si="239"/>
        <v>60704.469999999994</v>
      </c>
      <c r="CF151" s="340">
        <f t="shared" si="240"/>
        <v>64009.4</v>
      </c>
      <c r="CG151" s="340">
        <f t="shared" si="241"/>
        <v>56557.890000000007</v>
      </c>
      <c r="CH151" s="340">
        <f t="shared" si="242"/>
        <v>56122.439999999995</v>
      </c>
      <c r="CI151" s="340">
        <f t="shared" si="243"/>
        <v>56974.1</v>
      </c>
      <c r="CJ151" s="340">
        <f t="shared" si="244"/>
        <v>55910.080000000002</v>
      </c>
      <c r="CK151" s="340">
        <f t="shared" si="245"/>
        <v>54565.649999999994</v>
      </c>
      <c r="CL151" s="340">
        <f t="shared" si="246"/>
        <v>56295.490000000005</v>
      </c>
      <c r="CM151" s="340">
        <f t="shared" si="247"/>
        <v>54780.33</v>
      </c>
      <c r="CN151" s="340">
        <f t="shared" si="248"/>
        <v>58884.639999999999</v>
      </c>
      <c r="CO151" s="340">
        <f t="shared" si="249"/>
        <v>59150.03</v>
      </c>
      <c r="CP151" s="340">
        <f t="shared" si="250"/>
        <v>58861.33</v>
      </c>
      <c r="CQ151" s="340">
        <f t="shared" si="251"/>
        <v>62789</v>
      </c>
      <c r="CR151" s="122"/>
      <c r="CS151" s="340" t="s">
        <v>36</v>
      </c>
      <c r="CT151" s="340">
        <f t="shared" si="252"/>
        <v>85246.2</v>
      </c>
      <c r="CU151" s="340">
        <f t="shared" si="253"/>
        <v>167078.54999999999</v>
      </c>
      <c r="CV151" s="340">
        <f t="shared" si="254"/>
        <v>203623.74</v>
      </c>
      <c r="CW151" s="340">
        <f t="shared" si="255"/>
        <v>92923.36</v>
      </c>
      <c r="CX151" s="340">
        <f t="shared" si="256"/>
        <v>84304.43</v>
      </c>
      <c r="CY151" s="340">
        <f t="shared" si="257"/>
        <v>151859.51999999999</v>
      </c>
      <c r="CZ151" s="340">
        <f t="shared" si="258"/>
        <v>134125.20000000001</v>
      </c>
      <c r="DA151" s="340">
        <f t="shared" si="259"/>
        <v>97260.73</v>
      </c>
      <c r="DB151" s="340">
        <f t="shared" si="260"/>
        <v>183996.83000000002</v>
      </c>
      <c r="DC151" s="340">
        <f t="shared" si="261"/>
        <v>390889.57999999996</v>
      </c>
      <c r="DD151" s="340">
        <f t="shared" si="262"/>
        <v>224469.67</v>
      </c>
      <c r="DE151" s="340">
        <f t="shared" si="263"/>
        <v>248791.79</v>
      </c>
      <c r="DF151" s="340">
        <f t="shared" si="264"/>
        <v>223983.64</v>
      </c>
      <c r="DG151" s="340">
        <f t="shared" si="265"/>
        <v>267651.03000000003</v>
      </c>
      <c r="DH151" s="340">
        <f t="shared" si="266"/>
        <v>349179.26</v>
      </c>
      <c r="DI151" s="340">
        <f t="shared" si="267"/>
        <v>435888.55000000005</v>
      </c>
      <c r="DJ151" s="340">
        <f t="shared" si="268"/>
        <v>380145.45</v>
      </c>
      <c r="DK151" s="340">
        <f t="shared" si="269"/>
        <v>473724.43</v>
      </c>
      <c r="DL151" s="340">
        <f t="shared" si="270"/>
        <v>362414.03</v>
      </c>
      <c r="DM151" s="340">
        <f t="shared" si="271"/>
        <v>258138.62</v>
      </c>
      <c r="DN151" s="340">
        <f t="shared" si="272"/>
        <v>111096.58</v>
      </c>
      <c r="DO151" s="340">
        <f t="shared" si="273"/>
        <v>111760</v>
      </c>
      <c r="DP151" s="330"/>
      <c r="DQ151" s="340" t="s">
        <v>36</v>
      </c>
      <c r="DR151" s="340">
        <f t="shared" ref="DR151:EM151" si="343">DR53</f>
        <v>94718</v>
      </c>
      <c r="DS151" s="340">
        <f t="shared" si="343"/>
        <v>89108.56</v>
      </c>
      <c r="DT151" s="340">
        <f t="shared" si="343"/>
        <v>101811.87</v>
      </c>
      <c r="DU151" s="340">
        <f t="shared" si="343"/>
        <v>127769.62</v>
      </c>
      <c r="DV151" s="340">
        <f t="shared" si="343"/>
        <v>156565.37</v>
      </c>
      <c r="DW151" s="340">
        <f t="shared" si="343"/>
        <v>164514.48000000001</v>
      </c>
      <c r="DX151" s="340">
        <f t="shared" si="343"/>
        <v>174362.76</v>
      </c>
      <c r="DY151" s="340">
        <f t="shared" si="343"/>
        <v>194521.46</v>
      </c>
      <c r="DZ151" s="340">
        <f t="shared" si="343"/>
        <v>187301.68000000002</v>
      </c>
      <c r="EA151" s="340">
        <f t="shared" si="343"/>
        <v>174760.63</v>
      </c>
      <c r="EB151" s="340">
        <f t="shared" si="343"/>
        <v>179214.22</v>
      </c>
      <c r="EC151" s="340">
        <f t="shared" si="343"/>
        <v>187877.63</v>
      </c>
      <c r="ED151" s="340">
        <f t="shared" si="343"/>
        <v>194311.33</v>
      </c>
      <c r="EE151" s="340">
        <f t="shared" si="343"/>
        <v>221651.90999999997</v>
      </c>
      <c r="EF151" s="340">
        <f t="shared" si="343"/>
        <v>248648.30999999997</v>
      </c>
      <c r="EG151" s="340">
        <f t="shared" si="343"/>
        <v>186738.01</v>
      </c>
      <c r="EH151" s="340">
        <f t="shared" si="343"/>
        <v>161087.60999999999</v>
      </c>
      <c r="EI151" s="340">
        <f t="shared" si="343"/>
        <v>168892.13</v>
      </c>
      <c r="EJ151" s="340">
        <f t="shared" si="343"/>
        <v>177371.65000000002</v>
      </c>
      <c r="EK151" s="340">
        <f t="shared" si="343"/>
        <v>183655.65</v>
      </c>
      <c r="EL151" s="340">
        <f t="shared" si="343"/>
        <v>222209.04000000004</v>
      </c>
      <c r="EM151" s="340">
        <f t="shared" si="343"/>
        <v>248244</v>
      </c>
      <c r="EO151" s="319" t="s">
        <v>36</v>
      </c>
      <c r="EP151" s="319">
        <f t="shared" si="275"/>
        <v>322041.2</v>
      </c>
      <c r="EQ151" s="319">
        <f t="shared" si="276"/>
        <v>445542.8</v>
      </c>
      <c r="ER151" s="319">
        <f t="shared" si="277"/>
        <v>339372.9</v>
      </c>
      <c r="ES151" s="319">
        <f t="shared" si="278"/>
        <v>441385.95999999996</v>
      </c>
      <c r="ET151" s="319">
        <f t="shared" si="279"/>
        <v>421522.15</v>
      </c>
      <c r="EU151" s="319">
        <f t="shared" si="280"/>
        <v>430268.64</v>
      </c>
      <c r="EV151" s="319">
        <f t="shared" si="281"/>
        <v>482850.72000000003</v>
      </c>
      <c r="EW151" s="319">
        <f t="shared" si="282"/>
        <v>514092.43</v>
      </c>
      <c r="EX151" s="319">
        <f t="shared" si="283"/>
        <v>515824.30000000005</v>
      </c>
      <c r="EY151" s="319">
        <f t="shared" si="284"/>
        <v>462181.6700000001</v>
      </c>
      <c r="EZ151" s="319">
        <f t="shared" si="285"/>
        <v>503518.4800000001</v>
      </c>
      <c r="FA151" s="319">
        <f t="shared" si="286"/>
        <v>482848.61</v>
      </c>
      <c r="FB151" s="319">
        <f t="shared" si="287"/>
        <v>556544.38</v>
      </c>
      <c r="FC151" s="319">
        <f t="shared" si="288"/>
        <v>598849.21</v>
      </c>
      <c r="FD151" s="319">
        <f t="shared" si="289"/>
        <v>571781.72000000009</v>
      </c>
      <c r="FE151" s="319">
        <f t="shared" si="290"/>
        <v>472996.14</v>
      </c>
      <c r="FF151" s="322">
        <f t="shared" si="291"/>
        <v>506100.49</v>
      </c>
      <c r="FG151" s="336">
        <f t="shared" si="292"/>
        <v>566139.43999999994</v>
      </c>
      <c r="FH151" s="336">
        <f t="shared" si="293"/>
        <v>564520</v>
      </c>
      <c r="FI151" s="336">
        <f t="shared" si="294"/>
        <v>595358.34</v>
      </c>
      <c r="FJ151" s="336">
        <f t="shared" si="295"/>
        <v>674860.89</v>
      </c>
      <c r="FK151" s="336">
        <f t="shared" si="296"/>
        <v>648950</v>
      </c>
      <c r="FL151" s="122"/>
      <c r="FM151" s="340" t="s">
        <v>36</v>
      </c>
      <c r="FN151" s="340">
        <f t="shared" si="297"/>
        <v>66302.600000000006</v>
      </c>
      <c r="FO151" s="340">
        <f t="shared" si="298"/>
        <v>55692.85</v>
      </c>
      <c r="FP151" s="340">
        <f t="shared" si="299"/>
        <v>67874.58</v>
      </c>
      <c r="FQ151" s="340">
        <f t="shared" si="300"/>
        <v>81307.94</v>
      </c>
      <c r="FR151" s="340">
        <f t="shared" si="301"/>
        <v>84304.43</v>
      </c>
      <c r="FS151" s="340">
        <f t="shared" si="302"/>
        <v>88584.72</v>
      </c>
      <c r="FT151" s="340">
        <f t="shared" si="303"/>
        <v>80475.12</v>
      </c>
      <c r="FU151" s="340">
        <f t="shared" si="304"/>
        <v>97260.73</v>
      </c>
      <c r="FV151" s="340">
        <f t="shared" si="305"/>
        <v>92787.860000000015</v>
      </c>
      <c r="FW151" s="340">
        <f t="shared" si="306"/>
        <v>95995.180000000008</v>
      </c>
      <c r="FX151" s="340">
        <f t="shared" si="307"/>
        <v>75320.36</v>
      </c>
      <c r="FY151" s="340">
        <f t="shared" si="308"/>
        <v>89019.08</v>
      </c>
      <c r="FZ151" s="340">
        <f t="shared" si="309"/>
        <v>83959.65</v>
      </c>
      <c r="GA151" s="340">
        <f t="shared" si="310"/>
        <v>91618.109999999986</v>
      </c>
      <c r="GB151" s="340">
        <f t="shared" si="311"/>
        <v>88395.790000000008</v>
      </c>
      <c r="GC151" s="340">
        <f t="shared" si="312"/>
        <v>95267.64</v>
      </c>
      <c r="GD151" s="340">
        <f t="shared" si="313"/>
        <v>97214.23000000001</v>
      </c>
      <c r="GE151" s="340">
        <f t="shared" si="314"/>
        <v>96303.25</v>
      </c>
      <c r="GF151" s="340">
        <f t="shared" si="315"/>
        <v>96406.35</v>
      </c>
      <c r="GG151" s="340">
        <f t="shared" si="316"/>
        <v>99105.00999999998</v>
      </c>
      <c r="GH151" s="340">
        <f t="shared" si="317"/>
        <v>116530.79000000001</v>
      </c>
      <c r="GI151" s="340">
        <f t="shared" si="318"/>
        <v>143560</v>
      </c>
      <c r="GJ151" s="122"/>
      <c r="GK151" s="340" t="s">
        <v>36</v>
      </c>
      <c r="GL151" s="340">
        <f t="shared" si="319"/>
        <v>0</v>
      </c>
      <c r="GM151" s="340">
        <f t="shared" si="320"/>
        <v>0</v>
      </c>
      <c r="GN151" s="340">
        <f t="shared" si="321"/>
        <v>0</v>
      </c>
      <c r="GO151" s="340">
        <f t="shared" si="322"/>
        <v>11615.42</v>
      </c>
      <c r="GP151" s="340">
        <f t="shared" si="323"/>
        <v>0</v>
      </c>
      <c r="GQ151" s="340">
        <f t="shared" si="324"/>
        <v>12654.96</v>
      </c>
      <c r="GR151" s="340">
        <f t="shared" si="325"/>
        <v>0</v>
      </c>
      <c r="GS151" s="340">
        <f t="shared" si="326"/>
        <v>13894.39</v>
      </c>
      <c r="GT151" s="340">
        <f t="shared" si="327"/>
        <v>25284.11</v>
      </c>
      <c r="GU151" s="340">
        <f t="shared" si="328"/>
        <v>11000</v>
      </c>
      <c r="GV151" s="340">
        <f t="shared" si="329"/>
        <v>12000</v>
      </c>
      <c r="GW151" s="340">
        <f t="shared" si="330"/>
        <v>42372</v>
      </c>
      <c r="GX151" s="340">
        <f t="shared" si="331"/>
        <v>13124</v>
      </c>
      <c r="GY151" s="340">
        <f t="shared" si="332"/>
        <v>2227</v>
      </c>
      <c r="GZ151" s="340">
        <f t="shared" si="333"/>
        <v>12297</v>
      </c>
      <c r="HA151" s="340">
        <f t="shared" si="334"/>
        <v>0</v>
      </c>
      <c r="HB151" s="340">
        <f t="shared" si="335"/>
        <v>9358</v>
      </c>
      <c r="HC151" s="340">
        <f t="shared" si="336"/>
        <v>12401</v>
      </c>
      <c r="HD151" s="340">
        <f t="shared" si="337"/>
        <v>12436</v>
      </c>
      <c r="HE151" s="340">
        <f t="shared" si="338"/>
        <v>12398</v>
      </c>
      <c r="HF151" s="340">
        <f t="shared" si="339"/>
        <v>12412</v>
      </c>
      <c r="HG151" s="340">
        <f t="shared" si="340"/>
        <v>12415</v>
      </c>
      <c r="HH151" s="122"/>
      <c r="IF151" s="122"/>
      <c r="IG151" s="122"/>
      <c r="IH151" s="122"/>
      <c r="II151" s="122"/>
      <c r="IJ151" s="122"/>
      <c r="IK151" s="122"/>
      <c r="IL151" s="122"/>
      <c r="IN151" s="118"/>
      <c r="IP151" s="122"/>
      <c r="IQ151" s="122"/>
      <c r="IR151" s="122"/>
      <c r="IS151" s="122"/>
      <c r="IT151" s="122"/>
      <c r="IU151" s="122"/>
      <c r="IV151" s="122"/>
      <c r="IW151" s="122"/>
      <c r="IX151" s="122"/>
      <c r="IY151" s="122"/>
      <c r="IZ151" s="122"/>
      <c r="JA151" s="122"/>
      <c r="JB151" s="122"/>
      <c r="JC151" s="122"/>
      <c r="JD151" s="122"/>
      <c r="JE151" s="122"/>
      <c r="JF151" s="122"/>
      <c r="JG151" s="122"/>
      <c r="JH151" s="122"/>
      <c r="JI151" s="122"/>
      <c r="JK151" s="118"/>
      <c r="JL151" s="118"/>
      <c r="JY151" s="122"/>
      <c r="JZ151" s="122"/>
      <c r="KA151" s="122"/>
      <c r="KB151" s="122"/>
      <c r="LX151" s="122"/>
      <c r="LY151" s="122"/>
      <c r="LZ151" s="122"/>
      <c r="MB151" s="118"/>
      <c r="MC151" s="118"/>
      <c r="MP151" s="122"/>
      <c r="MQ151" s="122"/>
      <c r="MR151" s="122"/>
      <c r="MS151" s="122"/>
      <c r="MT151" s="122"/>
      <c r="MU151" s="122"/>
      <c r="MV151" s="122"/>
      <c r="OS151" s="118"/>
      <c r="OT151" s="118"/>
      <c r="PC151" s="122"/>
      <c r="PD151" s="122"/>
      <c r="PE151" s="122"/>
      <c r="PF151" s="122"/>
      <c r="PG151" s="122"/>
      <c r="PH151" s="122"/>
      <c r="PI151" s="122"/>
      <c r="PJ151" s="122"/>
      <c r="PP151" s="118"/>
      <c r="PQ151" s="118"/>
      <c r="PZ151" s="122"/>
      <c r="QA151" s="122"/>
      <c r="QB151" s="122"/>
      <c r="QC151" s="122"/>
      <c r="QD151" s="122"/>
      <c r="QE151" s="122"/>
      <c r="QF151" s="122"/>
      <c r="QG151" s="122"/>
      <c r="QM151" s="118"/>
      <c r="QN151" s="118"/>
      <c r="RE151" s="118"/>
      <c r="RF151" s="118"/>
      <c r="RG151" s="118"/>
      <c r="RH151" s="118"/>
      <c r="RI151" s="118"/>
      <c r="RJ151" s="118"/>
      <c r="RK151" s="118"/>
    </row>
    <row r="152" spans="25:479">
      <c r="Y152" s="277" t="s">
        <v>37</v>
      </c>
      <c r="Z152" s="319">
        <f t="shared" si="186"/>
        <v>170772.75999999998</v>
      </c>
      <c r="AA152" s="518">
        <f t="shared" si="187"/>
        <v>209105.2</v>
      </c>
      <c r="AB152" s="518">
        <f t="shared" si="188"/>
        <v>205451.81999999998</v>
      </c>
      <c r="AC152" s="319">
        <f t="shared" si="189"/>
        <v>210366.36</v>
      </c>
      <c r="AD152" s="319">
        <f t="shared" si="190"/>
        <v>246501.84000000003</v>
      </c>
      <c r="AE152" s="319">
        <f t="shared" si="191"/>
        <v>244042.65000000002</v>
      </c>
      <c r="AF152" s="319">
        <f t="shared" si="192"/>
        <v>256193.79</v>
      </c>
      <c r="AG152" s="319">
        <f t="shared" si="193"/>
        <v>291634.5</v>
      </c>
      <c r="AH152" s="319">
        <f t="shared" si="194"/>
        <v>330723.10000000003</v>
      </c>
      <c r="AI152" s="319">
        <f t="shared" si="195"/>
        <v>296809.19000000006</v>
      </c>
      <c r="AJ152" s="319">
        <f t="shared" si="196"/>
        <v>344625.81000000006</v>
      </c>
      <c r="AK152" s="319">
        <f t="shared" si="197"/>
        <v>350323.37999999995</v>
      </c>
      <c r="AL152" s="319">
        <f t="shared" si="198"/>
        <v>390854.65</v>
      </c>
      <c r="AM152" s="319">
        <f t="shared" si="199"/>
        <v>341320.70999999996</v>
      </c>
      <c r="AN152" s="319">
        <f t="shared" si="200"/>
        <v>353342.39999999997</v>
      </c>
      <c r="AO152" s="319">
        <f t="shared" si="201"/>
        <v>327844.76</v>
      </c>
      <c r="AP152" s="319">
        <f t="shared" si="202"/>
        <v>367827.4</v>
      </c>
      <c r="AQ152" s="319">
        <f t="shared" si="203"/>
        <v>346447.84000000008</v>
      </c>
      <c r="AR152" s="319">
        <f t="shared" si="204"/>
        <v>373128.18</v>
      </c>
      <c r="AS152" s="319">
        <f t="shared" si="205"/>
        <v>376911.38</v>
      </c>
      <c r="AT152" s="319">
        <f t="shared" si="206"/>
        <v>387915.67000000004</v>
      </c>
      <c r="AU152" s="319">
        <f t="shared" si="207"/>
        <v>402644.25</v>
      </c>
      <c r="AW152" s="322" t="s">
        <v>37</v>
      </c>
      <c r="AX152" s="322">
        <f t="shared" si="208"/>
        <v>49434.22</v>
      </c>
      <c r="AY152" s="322">
        <f t="shared" si="209"/>
        <v>52276.3</v>
      </c>
      <c r="AZ152" s="322">
        <f t="shared" si="210"/>
        <v>40088.160000000003</v>
      </c>
      <c r="BA152" s="322">
        <f t="shared" si="211"/>
        <v>35807.040000000001</v>
      </c>
      <c r="BB152" s="322">
        <f t="shared" si="212"/>
        <v>23702.1</v>
      </c>
      <c r="BC152" s="322">
        <f t="shared" si="213"/>
        <v>23925.75</v>
      </c>
      <c r="BD152" s="322">
        <f t="shared" si="214"/>
        <v>32052.66</v>
      </c>
      <c r="BE152" s="322">
        <f t="shared" si="215"/>
        <v>34996.14</v>
      </c>
      <c r="BF152" s="322">
        <f t="shared" si="216"/>
        <v>28626.49</v>
      </c>
      <c r="BG152" s="322">
        <f t="shared" si="217"/>
        <v>47799.7</v>
      </c>
      <c r="BH152" s="322">
        <f t="shared" si="218"/>
        <v>40249.72</v>
      </c>
      <c r="BI152" s="322">
        <f t="shared" si="219"/>
        <v>29699.26</v>
      </c>
      <c r="BJ152" s="322">
        <f t="shared" si="220"/>
        <v>26104.55</v>
      </c>
      <c r="BK152" s="322">
        <f t="shared" si="221"/>
        <v>30495.78</v>
      </c>
      <c r="BL152" s="322">
        <f t="shared" si="222"/>
        <v>29409.010000000002</v>
      </c>
      <c r="BM152" s="322">
        <f t="shared" si="223"/>
        <v>36434.22</v>
      </c>
      <c r="BN152" s="322">
        <f t="shared" si="224"/>
        <v>35152.22</v>
      </c>
      <c r="BO152" s="340">
        <f t="shared" si="225"/>
        <v>34813.71</v>
      </c>
      <c r="BP152" s="340">
        <f t="shared" si="226"/>
        <v>43963.729999999996</v>
      </c>
      <c r="BQ152" s="340">
        <f t="shared" si="227"/>
        <v>30383.360000000001</v>
      </c>
      <c r="BR152" s="340">
        <f t="shared" si="228"/>
        <v>29768.17</v>
      </c>
      <c r="BS152" s="340">
        <f t="shared" si="229"/>
        <v>36907.17</v>
      </c>
      <c r="BU152" s="340" t="s">
        <v>37</v>
      </c>
      <c r="BV152" s="340">
        <f t="shared" si="230"/>
        <v>13482.06</v>
      </c>
      <c r="BW152" s="340">
        <f t="shared" si="231"/>
        <v>20910.52</v>
      </c>
      <c r="BX152" s="340">
        <f t="shared" si="232"/>
        <v>20044.080000000002</v>
      </c>
      <c r="BY152" s="340">
        <f t="shared" si="233"/>
        <v>26855.280000000002</v>
      </c>
      <c r="BZ152" s="340">
        <f t="shared" si="234"/>
        <v>28442.519999999997</v>
      </c>
      <c r="CA152" s="340">
        <f t="shared" si="235"/>
        <v>38281.200000000004</v>
      </c>
      <c r="CB152" s="340">
        <f t="shared" si="236"/>
        <v>37394.769999999997</v>
      </c>
      <c r="CC152" s="340">
        <f t="shared" si="237"/>
        <v>34996.14</v>
      </c>
      <c r="CD152" s="340">
        <f t="shared" si="238"/>
        <v>28513.82</v>
      </c>
      <c r="CE152" s="340">
        <f t="shared" si="239"/>
        <v>41536.67</v>
      </c>
      <c r="CF152" s="340">
        <f t="shared" si="240"/>
        <v>33627.67</v>
      </c>
      <c r="CG152" s="340">
        <f t="shared" si="241"/>
        <v>35223.78</v>
      </c>
      <c r="CH152" s="340">
        <f t="shared" si="242"/>
        <v>35484.590000000004</v>
      </c>
      <c r="CI152" s="340">
        <f t="shared" si="243"/>
        <v>35242.740000000005</v>
      </c>
      <c r="CJ152" s="340">
        <f t="shared" si="244"/>
        <v>34958.870000000003</v>
      </c>
      <c r="CK152" s="340">
        <f t="shared" si="245"/>
        <v>33785.32</v>
      </c>
      <c r="CL152" s="340">
        <f t="shared" si="246"/>
        <v>33529.760000000002</v>
      </c>
      <c r="CM152" s="340">
        <f t="shared" si="247"/>
        <v>28007.21</v>
      </c>
      <c r="CN152" s="340">
        <f t="shared" si="248"/>
        <v>28280.54</v>
      </c>
      <c r="CO152" s="340">
        <f t="shared" si="249"/>
        <v>29085.43</v>
      </c>
      <c r="CP152" s="340">
        <f t="shared" si="250"/>
        <v>29481.41</v>
      </c>
      <c r="CQ152" s="340">
        <f t="shared" si="251"/>
        <v>36255.040000000001</v>
      </c>
      <c r="CR152" s="122"/>
      <c r="CS152" s="340" t="s">
        <v>37</v>
      </c>
      <c r="CT152" s="340">
        <f t="shared" si="252"/>
        <v>35952.160000000003</v>
      </c>
      <c r="CU152" s="340">
        <f t="shared" si="253"/>
        <v>47048.67</v>
      </c>
      <c r="CV152" s="340">
        <f t="shared" si="254"/>
        <v>35077.14</v>
      </c>
      <c r="CW152" s="340">
        <f t="shared" si="255"/>
        <v>31331.16</v>
      </c>
      <c r="CX152" s="340">
        <f t="shared" si="256"/>
        <v>61625.46</v>
      </c>
      <c r="CY152" s="340">
        <f t="shared" si="257"/>
        <v>57421.8</v>
      </c>
      <c r="CZ152" s="340">
        <f t="shared" si="258"/>
        <v>48078.99</v>
      </c>
      <c r="DA152" s="340">
        <f t="shared" si="259"/>
        <v>58326.9</v>
      </c>
      <c r="DB152" s="340">
        <f t="shared" si="260"/>
        <v>50509.91</v>
      </c>
      <c r="DC152" s="340">
        <f t="shared" si="261"/>
        <v>45683.7</v>
      </c>
      <c r="DD152" s="340">
        <f t="shared" si="262"/>
        <v>64035.75</v>
      </c>
      <c r="DE152" s="340">
        <f t="shared" si="263"/>
        <v>56450.65</v>
      </c>
      <c r="DF152" s="340">
        <f t="shared" si="264"/>
        <v>56132.170000000006</v>
      </c>
      <c r="DG152" s="340">
        <f t="shared" si="265"/>
        <v>58371.9</v>
      </c>
      <c r="DH152" s="340">
        <f t="shared" si="266"/>
        <v>54228.42</v>
      </c>
      <c r="DI152" s="340">
        <f t="shared" si="267"/>
        <v>35218.439999999995</v>
      </c>
      <c r="DJ152" s="340">
        <f t="shared" si="268"/>
        <v>45410.229999999996</v>
      </c>
      <c r="DK152" s="340">
        <f t="shared" si="269"/>
        <v>63743.390000000007</v>
      </c>
      <c r="DL152" s="340">
        <f t="shared" si="270"/>
        <v>93747.989999999991</v>
      </c>
      <c r="DM152" s="340">
        <f t="shared" si="271"/>
        <v>98003.17</v>
      </c>
      <c r="DN152" s="340">
        <f t="shared" si="272"/>
        <v>133559.97999999998</v>
      </c>
      <c r="DO152" s="340">
        <f t="shared" si="273"/>
        <v>139539.85</v>
      </c>
      <c r="DP152" s="330"/>
      <c r="DQ152" s="340" t="s">
        <v>37</v>
      </c>
      <c r="DR152" s="340">
        <f t="shared" ref="DR152:EM152" si="344">DR54</f>
        <v>31458.14</v>
      </c>
      <c r="DS152" s="340">
        <f t="shared" si="344"/>
        <v>31365.78</v>
      </c>
      <c r="DT152" s="340">
        <f t="shared" si="344"/>
        <v>35077.14</v>
      </c>
      <c r="DU152" s="340">
        <f t="shared" si="344"/>
        <v>31331.16</v>
      </c>
      <c r="DV152" s="340">
        <f t="shared" si="344"/>
        <v>37923.360000000001</v>
      </c>
      <c r="DW152" s="340">
        <f t="shared" si="344"/>
        <v>52636.65</v>
      </c>
      <c r="DX152" s="340">
        <f t="shared" si="344"/>
        <v>53421.1</v>
      </c>
      <c r="DY152" s="340">
        <f t="shared" si="344"/>
        <v>46661.52</v>
      </c>
      <c r="DZ152" s="340">
        <f t="shared" si="344"/>
        <v>60209.009999999995</v>
      </c>
      <c r="EA152" s="340">
        <f t="shared" si="344"/>
        <v>91530.99</v>
      </c>
      <c r="EB152" s="340">
        <f t="shared" si="344"/>
        <v>102280.4</v>
      </c>
      <c r="EC152" s="340">
        <f t="shared" si="344"/>
        <v>83999.77</v>
      </c>
      <c r="ED152" s="340">
        <f t="shared" si="344"/>
        <v>78633.609999999986</v>
      </c>
      <c r="EE152" s="340">
        <f t="shared" si="344"/>
        <v>78410.3</v>
      </c>
      <c r="EF152" s="340">
        <f t="shared" si="344"/>
        <v>116996.97</v>
      </c>
      <c r="EG152" s="340">
        <f t="shared" si="344"/>
        <v>116302.84</v>
      </c>
      <c r="EH152" s="340">
        <f t="shared" si="344"/>
        <v>71102</v>
      </c>
      <c r="EI152" s="340">
        <f t="shared" si="344"/>
        <v>80622.8</v>
      </c>
      <c r="EJ152" s="340">
        <f t="shared" si="344"/>
        <v>76868.7</v>
      </c>
      <c r="EK152" s="340">
        <f t="shared" si="344"/>
        <v>35782</v>
      </c>
      <c r="EL152" s="340">
        <f t="shared" si="344"/>
        <v>30227.88</v>
      </c>
      <c r="EM152" s="340">
        <f t="shared" si="344"/>
        <v>34797.160000000003</v>
      </c>
      <c r="EO152" s="319" t="s">
        <v>37</v>
      </c>
      <c r="EP152" s="319">
        <f t="shared" si="275"/>
        <v>94374.42</v>
      </c>
      <c r="EQ152" s="319">
        <f t="shared" si="276"/>
        <v>109780.23000000001</v>
      </c>
      <c r="ER152" s="319">
        <f t="shared" si="277"/>
        <v>115253.46</v>
      </c>
      <c r="ES152" s="319">
        <f t="shared" si="278"/>
        <v>0</v>
      </c>
      <c r="ET152" s="319">
        <f t="shared" si="279"/>
        <v>0</v>
      </c>
      <c r="EU152" s="319">
        <f t="shared" si="280"/>
        <v>0</v>
      </c>
      <c r="EV152" s="319">
        <f t="shared" si="281"/>
        <v>0</v>
      </c>
      <c r="EW152" s="319">
        <f t="shared" si="282"/>
        <v>0</v>
      </c>
      <c r="EX152" s="319">
        <f t="shared" si="283"/>
        <v>0</v>
      </c>
      <c r="EY152" s="319">
        <f t="shared" si="284"/>
        <v>0</v>
      </c>
      <c r="EZ152" s="319">
        <f t="shared" si="285"/>
        <v>0</v>
      </c>
      <c r="FA152" s="319">
        <f t="shared" si="286"/>
        <v>0</v>
      </c>
      <c r="FB152" s="319">
        <f t="shared" si="287"/>
        <v>0</v>
      </c>
      <c r="FC152" s="319">
        <f t="shared" si="288"/>
        <v>0</v>
      </c>
      <c r="FD152" s="319">
        <f t="shared" si="289"/>
        <v>0</v>
      </c>
      <c r="FE152" s="319">
        <f t="shared" si="290"/>
        <v>0</v>
      </c>
      <c r="FF152" s="322">
        <f t="shared" si="291"/>
        <v>0</v>
      </c>
      <c r="FG152" s="336">
        <f t="shared" si="292"/>
        <v>0</v>
      </c>
      <c r="FH152" s="336">
        <f t="shared" si="293"/>
        <v>0</v>
      </c>
      <c r="FI152" s="336">
        <f t="shared" si="294"/>
        <v>0</v>
      </c>
      <c r="FJ152" s="336">
        <f t="shared" si="295"/>
        <v>63160.36</v>
      </c>
      <c r="FK152" s="336">
        <f t="shared" si="296"/>
        <v>53000</v>
      </c>
      <c r="FL152" s="122"/>
      <c r="FM152" s="340" t="s">
        <v>37</v>
      </c>
      <c r="FN152" s="340">
        <f t="shared" si="297"/>
        <v>40446.18</v>
      </c>
      <c r="FO152" s="340">
        <f t="shared" si="298"/>
        <v>41821.040000000001</v>
      </c>
      <c r="FP152" s="340">
        <f t="shared" si="299"/>
        <v>40088.160000000003</v>
      </c>
      <c r="FQ152" s="340">
        <f t="shared" si="300"/>
        <v>44758.8</v>
      </c>
      <c r="FR152" s="340">
        <f t="shared" si="301"/>
        <v>47404.2</v>
      </c>
      <c r="FS152" s="340">
        <f t="shared" si="302"/>
        <v>47851.5</v>
      </c>
      <c r="FT152" s="340">
        <f t="shared" si="303"/>
        <v>48078.99</v>
      </c>
      <c r="FU152" s="340">
        <f t="shared" si="304"/>
        <v>58326.9</v>
      </c>
      <c r="FV152" s="340">
        <f t="shared" si="305"/>
        <v>55941.1</v>
      </c>
      <c r="FW152" s="340">
        <f t="shared" si="306"/>
        <v>58002.879999999997</v>
      </c>
      <c r="FX152" s="340">
        <f t="shared" si="307"/>
        <v>59437.74</v>
      </c>
      <c r="FY152" s="340">
        <f t="shared" si="308"/>
        <v>61637.34</v>
      </c>
      <c r="FZ152" s="340">
        <f t="shared" si="309"/>
        <v>62928.51</v>
      </c>
      <c r="GA152" s="340">
        <f t="shared" si="310"/>
        <v>62748.509999999987</v>
      </c>
      <c r="GB152" s="340">
        <f t="shared" si="311"/>
        <v>63265.57</v>
      </c>
      <c r="GC152" s="340">
        <f t="shared" si="312"/>
        <v>68486.37999999999</v>
      </c>
      <c r="GD152" s="340">
        <f t="shared" si="313"/>
        <v>66920.479999999996</v>
      </c>
      <c r="GE152" s="340">
        <f t="shared" si="314"/>
        <v>71457.939999999988</v>
      </c>
      <c r="GF152" s="340">
        <f t="shared" si="315"/>
        <v>67511.759999999995</v>
      </c>
      <c r="GG152" s="340">
        <f t="shared" si="316"/>
        <v>73607.709999999992</v>
      </c>
      <c r="GH152" s="340">
        <f t="shared" si="317"/>
        <v>73433.81</v>
      </c>
      <c r="GI152" s="340">
        <f t="shared" si="318"/>
        <v>86138.93</v>
      </c>
      <c r="GJ152" s="122"/>
      <c r="GK152" s="340" t="s">
        <v>37</v>
      </c>
      <c r="GL152" s="340">
        <f t="shared" si="319"/>
        <v>13482.06</v>
      </c>
      <c r="GM152" s="340">
        <f t="shared" si="320"/>
        <v>10455.26</v>
      </c>
      <c r="GN152" s="340">
        <f t="shared" si="321"/>
        <v>10022.040000000001</v>
      </c>
      <c r="GO152" s="340">
        <f t="shared" si="322"/>
        <v>67138.2</v>
      </c>
      <c r="GP152" s="340">
        <f t="shared" si="323"/>
        <v>28442.52</v>
      </c>
      <c r="GQ152" s="340">
        <f t="shared" si="324"/>
        <v>14355.45</v>
      </c>
      <c r="GR152" s="340">
        <f t="shared" si="325"/>
        <v>53421.1</v>
      </c>
      <c r="GS152" s="340">
        <f t="shared" si="326"/>
        <v>58326.9</v>
      </c>
      <c r="GT152" s="340">
        <f t="shared" si="327"/>
        <v>125000</v>
      </c>
      <c r="GU152" s="340">
        <f t="shared" si="328"/>
        <v>57106.35</v>
      </c>
      <c r="GV152" s="340">
        <f t="shared" si="329"/>
        <v>65500</v>
      </c>
      <c r="GW152" s="340">
        <f t="shared" si="330"/>
        <v>100963.8</v>
      </c>
      <c r="GX152" s="340">
        <f t="shared" si="331"/>
        <v>79748.34</v>
      </c>
      <c r="GY152" s="340">
        <f t="shared" si="332"/>
        <v>84292.92</v>
      </c>
      <c r="GZ152" s="340">
        <f t="shared" si="333"/>
        <v>99255.64</v>
      </c>
      <c r="HA152" s="340">
        <f t="shared" si="334"/>
        <v>53700</v>
      </c>
      <c r="HB152" s="340">
        <f t="shared" si="335"/>
        <v>87833</v>
      </c>
      <c r="HC152" s="340">
        <f t="shared" si="336"/>
        <v>87128.59</v>
      </c>
      <c r="HD152" s="340">
        <f t="shared" si="337"/>
        <v>91466.55</v>
      </c>
      <c r="HE152" s="340">
        <f t="shared" si="338"/>
        <v>51522.03</v>
      </c>
      <c r="HF152" s="340">
        <f t="shared" si="339"/>
        <v>65097.48</v>
      </c>
      <c r="HG152" s="340">
        <f t="shared" si="340"/>
        <v>116578.57</v>
      </c>
      <c r="HH152" s="122"/>
      <c r="IF152" s="122"/>
      <c r="IG152" s="122"/>
      <c r="IH152" s="122"/>
      <c r="II152" s="122"/>
      <c r="IJ152" s="122"/>
      <c r="IK152" s="122"/>
      <c r="IL152" s="122"/>
      <c r="IN152" s="118"/>
      <c r="IP152" s="122"/>
      <c r="IQ152" s="122"/>
      <c r="IR152" s="122"/>
      <c r="IS152" s="122"/>
      <c r="IT152" s="122"/>
      <c r="IU152" s="122"/>
      <c r="IV152" s="122"/>
      <c r="IW152" s="122"/>
      <c r="IX152" s="122"/>
      <c r="IY152" s="122"/>
      <c r="IZ152" s="122"/>
      <c r="JA152" s="122"/>
      <c r="JB152" s="122"/>
      <c r="JC152" s="122"/>
      <c r="JD152" s="122"/>
      <c r="JE152" s="122"/>
      <c r="JF152" s="122"/>
      <c r="JG152" s="122"/>
      <c r="JH152" s="122"/>
      <c r="JI152" s="122"/>
      <c r="JK152" s="118"/>
      <c r="JL152" s="118"/>
      <c r="JY152" s="122"/>
      <c r="JZ152" s="122"/>
      <c r="KA152" s="122"/>
      <c r="KB152" s="122"/>
      <c r="LX152" s="122"/>
      <c r="LY152" s="122"/>
      <c r="LZ152" s="122"/>
      <c r="MB152" s="118"/>
      <c r="MC152" s="118"/>
      <c r="MP152" s="122"/>
      <c r="MQ152" s="122"/>
      <c r="MR152" s="122"/>
      <c r="MS152" s="122"/>
      <c r="MT152" s="122"/>
      <c r="MU152" s="122"/>
      <c r="MV152" s="122"/>
      <c r="OS152" s="118"/>
      <c r="OT152" s="118"/>
      <c r="PC152" s="122"/>
      <c r="PD152" s="122"/>
      <c r="PE152" s="122"/>
      <c r="PF152" s="122"/>
      <c r="PG152" s="122"/>
      <c r="PH152" s="122"/>
      <c r="PI152" s="122"/>
      <c r="PJ152" s="122"/>
      <c r="PP152" s="118"/>
      <c r="PQ152" s="118"/>
      <c r="PZ152" s="122"/>
      <c r="QA152" s="122"/>
      <c r="QB152" s="122"/>
      <c r="QC152" s="122"/>
      <c r="QD152" s="122"/>
      <c r="QE152" s="122"/>
      <c r="QF152" s="122"/>
      <c r="QG152" s="122"/>
      <c r="QM152" s="118"/>
      <c r="QN152" s="118"/>
      <c r="RE152" s="118"/>
      <c r="RF152" s="118"/>
      <c r="RG152" s="118"/>
      <c r="RH152" s="118"/>
      <c r="RI152" s="118"/>
      <c r="RJ152" s="118"/>
      <c r="RK152" s="118"/>
    </row>
    <row r="153" spans="25:479">
      <c r="Y153" s="277" t="s">
        <v>38</v>
      </c>
      <c r="Z153" s="319">
        <f t="shared" si="186"/>
        <v>573643.18000000005</v>
      </c>
      <c r="AA153" s="518">
        <f t="shared" si="187"/>
        <v>512908.44</v>
      </c>
      <c r="AB153" s="518">
        <f t="shared" si="188"/>
        <v>748935.73</v>
      </c>
      <c r="AC153" s="319">
        <f t="shared" si="189"/>
        <v>878020.16</v>
      </c>
      <c r="AD153" s="319">
        <f t="shared" si="190"/>
        <v>895981.77</v>
      </c>
      <c r="AE153" s="319">
        <f t="shared" si="191"/>
        <v>939956.36</v>
      </c>
      <c r="AF153" s="319">
        <f t="shared" si="192"/>
        <v>918103.77</v>
      </c>
      <c r="AG153" s="319">
        <f t="shared" si="193"/>
        <v>936647.92</v>
      </c>
      <c r="AH153" s="319">
        <f t="shared" si="194"/>
        <v>911791.32</v>
      </c>
      <c r="AI153" s="319">
        <f t="shared" si="195"/>
        <v>1111051.7</v>
      </c>
      <c r="AJ153" s="319">
        <f t="shared" si="196"/>
        <v>1174647.44</v>
      </c>
      <c r="AK153" s="319">
        <f t="shared" si="197"/>
        <v>1126727.1599999999</v>
      </c>
      <c r="AL153" s="319">
        <f t="shared" si="198"/>
        <v>1292882.29</v>
      </c>
      <c r="AM153" s="319">
        <f t="shared" si="199"/>
        <v>1197322.4100000001</v>
      </c>
      <c r="AN153" s="319">
        <f t="shared" si="200"/>
        <v>1383083.61</v>
      </c>
      <c r="AO153" s="319">
        <f t="shared" si="201"/>
        <v>1297965.1400000001</v>
      </c>
      <c r="AP153" s="319">
        <f t="shared" si="202"/>
        <v>1278552.591</v>
      </c>
      <c r="AQ153" s="319">
        <f t="shared" si="203"/>
        <v>1389821.43</v>
      </c>
      <c r="AR153" s="319">
        <f t="shared" si="204"/>
        <v>1471688.6999999997</v>
      </c>
      <c r="AS153" s="319">
        <f t="shared" si="205"/>
        <v>0</v>
      </c>
      <c r="AT153" s="319">
        <f t="shared" si="206"/>
        <v>0</v>
      </c>
      <c r="AU153" s="319">
        <f t="shared" si="207"/>
        <v>0</v>
      </c>
      <c r="AW153" s="322" t="s">
        <v>38</v>
      </c>
      <c r="AX153" s="322">
        <f t="shared" si="208"/>
        <v>182522.83</v>
      </c>
      <c r="AY153" s="322">
        <f t="shared" si="209"/>
        <v>139884.12</v>
      </c>
      <c r="AZ153" s="322">
        <f t="shared" si="210"/>
        <v>206602.96</v>
      </c>
      <c r="BA153" s="322">
        <f t="shared" si="211"/>
        <v>164628.78</v>
      </c>
      <c r="BB153" s="322">
        <f t="shared" si="212"/>
        <v>132738.04</v>
      </c>
      <c r="BC153" s="322">
        <f t="shared" si="213"/>
        <v>100709.61000000002</v>
      </c>
      <c r="BD153" s="322">
        <f t="shared" si="214"/>
        <v>102174.26999999999</v>
      </c>
      <c r="BE153" s="322">
        <f t="shared" si="215"/>
        <v>108074.76</v>
      </c>
      <c r="BF153" s="322">
        <f t="shared" si="216"/>
        <v>128209.58</v>
      </c>
      <c r="BG153" s="322">
        <f t="shared" si="217"/>
        <v>207168.24</v>
      </c>
      <c r="BH153" s="322">
        <f t="shared" si="218"/>
        <v>221284.59</v>
      </c>
      <c r="BI153" s="322">
        <f t="shared" si="219"/>
        <v>181565.96999999997</v>
      </c>
      <c r="BJ153" s="322">
        <f t="shared" si="220"/>
        <v>165312.43</v>
      </c>
      <c r="BK153" s="322">
        <f t="shared" si="221"/>
        <v>183845.65999999997</v>
      </c>
      <c r="BL153" s="322">
        <f t="shared" si="222"/>
        <v>165748.74</v>
      </c>
      <c r="BM153" s="322">
        <f t="shared" si="223"/>
        <v>171057.55000000002</v>
      </c>
      <c r="BN153" s="322">
        <f t="shared" si="224"/>
        <v>192896.62</v>
      </c>
      <c r="BO153" s="340">
        <f t="shared" si="225"/>
        <v>186977.59000000003</v>
      </c>
      <c r="BP153" s="340">
        <f t="shared" si="226"/>
        <v>179131.92</v>
      </c>
      <c r="BQ153" s="340">
        <f t="shared" si="227"/>
        <v>0</v>
      </c>
      <c r="BR153" s="340">
        <f t="shared" si="228"/>
        <v>0</v>
      </c>
      <c r="BS153" s="340">
        <f t="shared" si="229"/>
        <v>0</v>
      </c>
      <c r="BU153" s="340" t="s">
        <v>38</v>
      </c>
      <c r="BV153" s="340">
        <f t="shared" si="230"/>
        <v>52149.38</v>
      </c>
      <c r="BW153" s="340">
        <f t="shared" si="231"/>
        <v>69942.06</v>
      </c>
      <c r="BX153" s="340">
        <f t="shared" si="232"/>
        <v>51650.74</v>
      </c>
      <c r="BY153" s="340">
        <f t="shared" si="233"/>
        <v>27438.13</v>
      </c>
      <c r="BZ153" s="340">
        <f t="shared" si="234"/>
        <v>99553.53</v>
      </c>
      <c r="CA153" s="340">
        <f t="shared" si="235"/>
        <v>100709.61000000002</v>
      </c>
      <c r="CB153" s="340">
        <f t="shared" si="236"/>
        <v>102174.26999999999</v>
      </c>
      <c r="CC153" s="340">
        <f t="shared" si="237"/>
        <v>108074.76</v>
      </c>
      <c r="CD153" s="340">
        <f t="shared" si="238"/>
        <v>96260.65</v>
      </c>
      <c r="CE153" s="340">
        <f t="shared" si="239"/>
        <v>102125.06</v>
      </c>
      <c r="CF153" s="340">
        <f t="shared" si="240"/>
        <v>110524.91</v>
      </c>
      <c r="CG153" s="340">
        <f t="shared" si="241"/>
        <v>109953.29000000001</v>
      </c>
      <c r="CH153" s="340">
        <f t="shared" si="242"/>
        <v>115403.29999999999</v>
      </c>
      <c r="CI153" s="340">
        <f t="shared" si="243"/>
        <v>121866.09</v>
      </c>
      <c r="CJ153" s="340">
        <f t="shared" si="244"/>
        <v>122578.70999999999</v>
      </c>
      <c r="CK153" s="340">
        <f t="shared" si="245"/>
        <v>120358.20000000001</v>
      </c>
      <c r="CL153" s="340">
        <f t="shared" si="246"/>
        <v>125289.78</v>
      </c>
      <c r="CM153" s="340">
        <f t="shared" si="247"/>
        <v>128461.64</v>
      </c>
      <c r="CN153" s="340">
        <f t="shared" si="248"/>
        <v>127463.56</v>
      </c>
      <c r="CO153" s="340">
        <f t="shared" si="249"/>
        <v>0</v>
      </c>
      <c r="CP153" s="340">
        <f t="shared" si="250"/>
        <v>0</v>
      </c>
      <c r="CQ153" s="340">
        <f t="shared" si="251"/>
        <v>0</v>
      </c>
      <c r="CR153" s="122"/>
      <c r="CS153" s="340" t="s">
        <v>38</v>
      </c>
      <c r="CT153" s="340">
        <f t="shared" si="252"/>
        <v>443269.73</v>
      </c>
      <c r="CU153" s="340">
        <f t="shared" si="253"/>
        <v>233140.2</v>
      </c>
      <c r="CV153" s="340">
        <f t="shared" si="254"/>
        <v>284079.07</v>
      </c>
      <c r="CW153" s="340">
        <f t="shared" si="255"/>
        <v>219505.04</v>
      </c>
      <c r="CX153" s="340">
        <f t="shared" si="256"/>
        <v>464583.14</v>
      </c>
      <c r="CY153" s="340">
        <f t="shared" si="257"/>
        <v>402838.44</v>
      </c>
      <c r="CZ153" s="340">
        <f t="shared" si="258"/>
        <v>476813.26</v>
      </c>
      <c r="DA153" s="340">
        <f t="shared" si="259"/>
        <v>504348.88</v>
      </c>
      <c r="DB153" s="340">
        <f t="shared" si="260"/>
        <v>244419.75</v>
      </c>
      <c r="DC153" s="340">
        <f t="shared" si="261"/>
        <v>392200.09</v>
      </c>
      <c r="DD153" s="340">
        <f t="shared" si="262"/>
        <v>355019.05999999994</v>
      </c>
      <c r="DE153" s="340">
        <f t="shared" si="263"/>
        <v>412268.77999999991</v>
      </c>
      <c r="DF153" s="340">
        <f t="shared" si="264"/>
        <v>378001.22</v>
      </c>
      <c r="DG153" s="340">
        <f t="shared" si="265"/>
        <v>354018.69</v>
      </c>
      <c r="DH153" s="340">
        <f t="shared" si="266"/>
        <v>451406.08000000002</v>
      </c>
      <c r="DI153" s="340">
        <f t="shared" si="267"/>
        <v>395783.17</v>
      </c>
      <c r="DJ153" s="340">
        <f t="shared" si="268"/>
        <v>415255.34</v>
      </c>
      <c r="DK153" s="340">
        <f t="shared" si="269"/>
        <v>440162.55000000005</v>
      </c>
      <c r="DL153" s="340">
        <f t="shared" si="270"/>
        <v>312973.41000000003</v>
      </c>
      <c r="DM153" s="340">
        <f t="shared" si="271"/>
        <v>0</v>
      </c>
      <c r="DN153" s="340">
        <f t="shared" si="272"/>
        <v>0</v>
      </c>
      <c r="DO153" s="340">
        <f t="shared" si="273"/>
        <v>0</v>
      </c>
      <c r="DP153" s="330"/>
      <c r="DQ153" s="340" t="s">
        <v>38</v>
      </c>
      <c r="DR153" s="340">
        <f t="shared" ref="DR153:EM153" si="345">DR55</f>
        <v>156448.14000000001</v>
      </c>
      <c r="DS153" s="340">
        <f t="shared" si="345"/>
        <v>69942.06</v>
      </c>
      <c r="DT153" s="340">
        <f t="shared" si="345"/>
        <v>77476.11</v>
      </c>
      <c r="DU153" s="340">
        <f t="shared" si="345"/>
        <v>82314.39</v>
      </c>
      <c r="DV153" s="340">
        <f t="shared" si="345"/>
        <v>66369.02</v>
      </c>
      <c r="DW153" s="340">
        <f t="shared" si="345"/>
        <v>134279.48000000001</v>
      </c>
      <c r="DX153" s="340">
        <f t="shared" si="345"/>
        <v>136232.35999999999</v>
      </c>
      <c r="DY153" s="340">
        <f t="shared" si="345"/>
        <v>360249.2</v>
      </c>
      <c r="DZ153" s="340">
        <f t="shared" si="345"/>
        <v>344074.49</v>
      </c>
      <c r="EA153" s="340">
        <f t="shared" si="345"/>
        <v>425149.29</v>
      </c>
      <c r="EB153" s="340">
        <f t="shared" si="345"/>
        <v>449577.58999999997</v>
      </c>
      <c r="EC153" s="340">
        <f t="shared" si="345"/>
        <v>456827.04000000004</v>
      </c>
      <c r="ED153" s="340">
        <f t="shared" si="345"/>
        <v>460746.43999999994</v>
      </c>
      <c r="EE153" s="340">
        <f t="shared" si="345"/>
        <v>495569.88</v>
      </c>
      <c r="EF153" s="340">
        <f t="shared" si="345"/>
        <v>464079.96</v>
      </c>
      <c r="EG153" s="340">
        <f t="shared" si="345"/>
        <v>591950.12</v>
      </c>
      <c r="EH153" s="340">
        <f t="shared" si="345"/>
        <v>477678.45999999996</v>
      </c>
      <c r="EI153" s="340">
        <f t="shared" si="345"/>
        <v>489818.01</v>
      </c>
      <c r="EJ153" s="340">
        <f t="shared" si="345"/>
        <v>557251.1</v>
      </c>
      <c r="EK153" s="340">
        <f t="shared" si="345"/>
        <v>0</v>
      </c>
      <c r="EL153" s="340">
        <f t="shared" si="345"/>
        <v>0</v>
      </c>
      <c r="EM153" s="340">
        <f t="shared" si="345"/>
        <v>0</v>
      </c>
      <c r="EO153" s="319" t="s">
        <v>38</v>
      </c>
      <c r="EP153" s="319">
        <f t="shared" si="275"/>
        <v>469344.42000000004</v>
      </c>
      <c r="EQ153" s="319">
        <f t="shared" si="276"/>
        <v>652792.56000000006</v>
      </c>
      <c r="ER153" s="319">
        <f t="shared" si="277"/>
        <v>774761.1</v>
      </c>
      <c r="ES153" s="319">
        <f t="shared" si="278"/>
        <v>823143.9</v>
      </c>
      <c r="ET153" s="319">
        <f t="shared" si="279"/>
        <v>895981.77</v>
      </c>
      <c r="EU153" s="319">
        <f t="shared" si="280"/>
        <v>939956.3600000001</v>
      </c>
      <c r="EV153" s="319">
        <f t="shared" si="281"/>
        <v>987684.6100000001</v>
      </c>
      <c r="EW153" s="319">
        <f t="shared" si="282"/>
        <v>1044722.6799999999</v>
      </c>
      <c r="EX153" s="319">
        <f t="shared" si="283"/>
        <v>1047592.17</v>
      </c>
      <c r="EY153" s="319">
        <f t="shared" si="284"/>
        <v>1220166.8400000001</v>
      </c>
      <c r="EZ153" s="319">
        <f t="shared" si="285"/>
        <v>1285578.6600000001</v>
      </c>
      <c r="FA153" s="319">
        <f t="shared" si="286"/>
        <v>1393144.2400000002</v>
      </c>
      <c r="FB153" s="319">
        <f t="shared" si="287"/>
        <v>1413666.38</v>
      </c>
      <c r="FC153" s="319">
        <f t="shared" si="288"/>
        <v>1469637.3899999997</v>
      </c>
      <c r="FD153" s="319">
        <f t="shared" si="289"/>
        <v>1478664.12</v>
      </c>
      <c r="FE153" s="319">
        <f t="shared" si="290"/>
        <v>1492590.7</v>
      </c>
      <c r="FF153" s="322">
        <f t="shared" si="291"/>
        <v>1495538.4</v>
      </c>
      <c r="FG153" s="336">
        <f t="shared" si="292"/>
        <v>1566419.05</v>
      </c>
      <c r="FH153" s="336">
        <f t="shared" si="293"/>
        <v>1536361.65</v>
      </c>
      <c r="FI153" s="336">
        <f t="shared" si="294"/>
        <v>0</v>
      </c>
      <c r="FJ153" s="336">
        <f t="shared" si="295"/>
        <v>0</v>
      </c>
      <c r="FK153" s="336">
        <f t="shared" si="296"/>
        <v>0</v>
      </c>
      <c r="FL153" s="122"/>
      <c r="FM153" s="340" t="s">
        <v>38</v>
      </c>
      <c r="FN153" s="340">
        <f t="shared" si="297"/>
        <v>156448.14000000001</v>
      </c>
      <c r="FO153" s="340">
        <f t="shared" si="298"/>
        <v>163198.14000000001</v>
      </c>
      <c r="FP153" s="340">
        <f t="shared" si="299"/>
        <v>154952.22</v>
      </c>
      <c r="FQ153" s="340">
        <f t="shared" si="300"/>
        <v>192066.91</v>
      </c>
      <c r="FR153" s="340">
        <f t="shared" si="301"/>
        <v>199107.06</v>
      </c>
      <c r="FS153" s="340">
        <f t="shared" si="302"/>
        <v>201419.22</v>
      </c>
      <c r="FT153" s="340">
        <f t="shared" si="303"/>
        <v>204348.54</v>
      </c>
      <c r="FU153" s="340">
        <f t="shared" si="304"/>
        <v>216149.52</v>
      </c>
      <c r="FV153" s="340">
        <f t="shared" si="305"/>
        <v>211614.69999999998</v>
      </c>
      <c r="FW153" s="340">
        <f t="shared" si="306"/>
        <v>220287.85</v>
      </c>
      <c r="FX153" s="340">
        <f t="shared" si="307"/>
        <v>227033.18999999997</v>
      </c>
      <c r="FY153" s="340">
        <f t="shared" si="308"/>
        <v>233886.35</v>
      </c>
      <c r="FZ153" s="340">
        <f t="shared" si="309"/>
        <v>255194.44000000006</v>
      </c>
      <c r="GA153" s="340">
        <f t="shared" si="310"/>
        <v>270707.81</v>
      </c>
      <c r="GB153" s="340">
        <f t="shared" si="311"/>
        <v>277485.94</v>
      </c>
      <c r="GC153" s="340">
        <f t="shared" si="312"/>
        <v>291914.59000000003</v>
      </c>
      <c r="GD153" s="340">
        <f t="shared" si="313"/>
        <v>322137.59000000003</v>
      </c>
      <c r="GE153" s="340">
        <f t="shared" si="314"/>
        <v>328059.23</v>
      </c>
      <c r="GF153" s="340">
        <f t="shared" si="315"/>
        <v>329843.11000000004</v>
      </c>
      <c r="GG153" s="340">
        <f t="shared" si="316"/>
        <v>0</v>
      </c>
      <c r="GH153" s="340">
        <f t="shared" si="317"/>
        <v>0</v>
      </c>
      <c r="GI153" s="340">
        <f t="shared" si="318"/>
        <v>0</v>
      </c>
      <c r="GJ153" s="122"/>
      <c r="GK153" s="340" t="s">
        <v>38</v>
      </c>
      <c r="GL153" s="340">
        <f t="shared" si="319"/>
        <v>573643.18000000005</v>
      </c>
      <c r="GM153" s="340">
        <f t="shared" si="320"/>
        <v>489594.42</v>
      </c>
      <c r="GN153" s="340">
        <f t="shared" si="321"/>
        <v>284079.07</v>
      </c>
      <c r="GO153" s="340">
        <f t="shared" si="322"/>
        <v>356695.69</v>
      </c>
      <c r="GP153" s="340">
        <f t="shared" si="323"/>
        <v>564136.67000000004</v>
      </c>
      <c r="GQ153" s="340">
        <f t="shared" si="324"/>
        <v>537117.92000000004</v>
      </c>
      <c r="GR153" s="340">
        <f t="shared" si="325"/>
        <v>476813.26</v>
      </c>
      <c r="GS153" s="340">
        <f t="shared" si="326"/>
        <v>324224.28000000003</v>
      </c>
      <c r="GT153" s="340">
        <f t="shared" si="327"/>
        <v>349000</v>
      </c>
      <c r="GU153" s="340">
        <f t="shared" si="328"/>
        <v>300000</v>
      </c>
      <c r="GV153" s="340">
        <f t="shared" si="329"/>
        <v>550000</v>
      </c>
      <c r="GW153" s="340">
        <f t="shared" si="330"/>
        <v>500000</v>
      </c>
      <c r="GX153" s="340">
        <f t="shared" si="331"/>
        <v>1000000</v>
      </c>
      <c r="GY153" s="340">
        <f t="shared" si="332"/>
        <v>705424.34</v>
      </c>
      <c r="GZ153" s="340">
        <f t="shared" si="333"/>
        <v>400000</v>
      </c>
      <c r="HA153" s="340">
        <f t="shared" si="334"/>
        <v>300000</v>
      </c>
      <c r="HB153" s="340">
        <f t="shared" si="335"/>
        <v>400000</v>
      </c>
      <c r="HC153" s="340">
        <f t="shared" si="336"/>
        <v>300000</v>
      </c>
      <c r="HD153" s="340">
        <f t="shared" si="337"/>
        <v>434318.51999999996</v>
      </c>
      <c r="HE153" s="340">
        <f t="shared" si="338"/>
        <v>0</v>
      </c>
      <c r="HF153" s="340">
        <f t="shared" si="339"/>
        <v>0</v>
      </c>
      <c r="HG153" s="340">
        <f t="shared" si="340"/>
        <v>0</v>
      </c>
      <c r="HH153" s="122"/>
      <c r="IF153" s="122"/>
      <c r="IG153" s="122"/>
      <c r="IH153" s="122"/>
      <c r="II153" s="122"/>
      <c r="IJ153" s="122"/>
      <c r="IK153" s="122"/>
      <c r="IL153" s="122"/>
      <c r="IN153" s="118"/>
      <c r="IP153" s="122"/>
      <c r="IQ153" s="122"/>
      <c r="IR153" s="122"/>
      <c r="IS153" s="122"/>
      <c r="IT153" s="122"/>
      <c r="IU153" s="122"/>
      <c r="IV153" s="122"/>
      <c r="IW153" s="122"/>
      <c r="IX153" s="122"/>
      <c r="IY153" s="122"/>
      <c r="IZ153" s="122"/>
      <c r="JA153" s="122"/>
      <c r="JB153" s="122"/>
      <c r="JC153" s="122"/>
      <c r="JD153" s="122"/>
      <c r="JE153" s="122"/>
      <c r="JF153" s="122"/>
      <c r="JG153" s="122"/>
      <c r="JH153" s="122"/>
      <c r="JI153" s="122"/>
      <c r="JK153" s="118"/>
      <c r="JL153" s="118"/>
      <c r="JY153" s="122"/>
      <c r="JZ153" s="122"/>
      <c r="KA153" s="122"/>
      <c r="KB153" s="122"/>
      <c r="LX153" s="122"/>
      <c r="LY153" s="122"/>
      <c r="LZ153" s="122"/>
      <c r="MB153" s="118"/>
      <c r="MC153" s="118"/>
      <c r="MP153" s="122"/>
      <c r="MQ153" s="122"/>
      <c r="MR153" s="122"/>
      <c r="MS153" s="122"/>
      <c r="MT153" s="122"/>
      <c r="MU153" s="122"/>
      <c r="MV153" s="122"/>
      <c r="OS153" s="118"/>
      <c r="OT153" s="118"/>
      <c r="PC153" s="122"/>
      <c r="PD153" s="122"/>
      <c r="PE153" s="122"/>
      <c r="PF153" s="122"/>
      <c r="PG153" s="122"/>
      <c r="PH153" s="122"/>
      <c r="PI153" s="122"/>
      <c r="PJ153" s="122"/>
      <c r="PP153" s="118"/>
      <c r="PQ153" s="118"/>
      <c r="PZ153" s="122"/>
      <c r="QA153" s="122"/>
      <c r="QB153" s="122"/>
      <c r="QC153" s="122"/>
      <c r="QD153" s="122"/>
      <c r="QE153" s="122"/>
      <c r="QF153" s="122"/>
      <c r="QG153" s="122"/>
      <c r="QM153" s="118"/>
      <c r="QN153" s="118"/>
      <c r="RE153" s="118"/>
      <c r="RF153" s="118"/>
      <c r="RG153" s="118"/>
      <c r="RH153" s="118"/>
      <c r="RI153" s="118"/>
      <c r="RJ153" s="118"/>
      <c r="RK153" s="118"/>
    </row>
    <row r="154" spans="25:479">
      <c r="Y154" s="277" t="s">
        <v>39</v>
      </c>
      <c r="Z154" s="319">
        <f t="shared" si="186"/>
        <v>494427.12000000005</v>
      </c>
      <c r="AA154" s="319">
        <f t="shared" si="187"/>
        <v>485259.72</v>
      </c>
      <c r="AB154" s="319">
        <f t="shared" si="188"/>
        <v>616716.88</v>
      </c>
      <c r="AC154" s="319">
        <f t="shared" si="189"/>
        <v>681093.66</v>
      </c>
      <c r="AD154" s="319">
        <f t="shared" si="190"/>
        <v>622021.42999999993</v>
      </c>
      <c r="AE154" s="319">
        <f t="shared" si="191"/>
        <v>591795.32999999996</v>
      </c>
      <c r="AF154" s="319">
        <f t="shared" si="192"/>
        <v>707700.97</v>
      </c>
      <c r="AG154" s="319">
        <f t="shared" si="193"/>
        <v>500695.04999999993</v>
      </c>
      <c r="AH154" s="319">
        <f t="shared" si="194"/>
        <v>652343.64999999991</v>
      </c>
      <c r="AI154" s="319">
        <f t="shared" si="195"/>
        <v>709915.7</v>
      </c>
      <c r="AJ154" s="319">
        <f t="shared" si="196"/>
        <v>854943.19000000006</v>
      </c>
      <c r="AK154" s="319">
        <f t="shared" si="197"/>
        <v>694596.16999999993</v>
      </c>
      <c r="AL154" s="319">
        <f t="shared" si="198"/>
        <v>772418.78</v>
      </c>
      <c r="AM154" s="319">
        <f t="shared" si="199"/>
        <v>676937.34</v>
      </c>
      <c r="AN154" s="319">
        <f t="shared" si="200"/>
        <v>844639.78</v>
      </c>
      <c r="AO154" s="319">
        <f t="shared" si="201"/>
        <v>678311.82</v>
      </c>
      <c r="AP154" s="319">
        <f t="shared" si="202"/>
        <v>779741.44999999984</v>
      </c>
      <c r="AQ154" s="319">
        <f t="shared" si="203"/>
        <v>752569.08</v>
      </c>
      <c r="AR154" s="319">
        <f t="shared" si="204"/>
        <v>818852.27999999991</v>
      </c>
      <c r="AS154" s="319">
        <f t="shared" si="205"/>
        <v>798719.70000000007</v>
      </c>
      <c r="AT154" s="319">
        <f t="shared" si="206"/>
        <v>848259.1399999999</v>
      </c>
      <c r="AU154" s="319">
        <f t="shared" si="207"/>
        <v>665274.76</v>
      </c>
      <c r="AW154" s="322" t="s">
        <v>39</v>
      </c>
      <c r="AX154" s="322">
        <f t="shared" si="208"/>
        <v>164809.04</v>
      </c>
      <c r="AY154" s="322">
        <f t="shared" si="209"/>
        <v>176458.08</v>
      </c>
      <c r="AZ154" s="322">
        <f t="shared" si="210"/>
        <v>189759.03999999998</v>
      </c>
      <c r="BA154" s="322">
        <f t="shared" si="211"/>
        <v>130979.54999999999</v>
      </c>
      <c r="BB154" s="322">
        <f t="shared" si="212"/>
        <v>108177.64</v>
      </c>
      <c r="BC154" s="322">
        <f t="shared" si="213"/>
        <v>112722.92</v>
      </c>
      <c r="BD154" s="322">
        <f t="shared" si="214"/>
        <v>157443.70000000001</v>
      </c>
      <c r="BE154" s="322">
        <f t="shared" si="215"/>
        <v>133518.68</v>
      </c>
      <c r="BF154" s="322">
        <f t="shared" si="216"/>
        <v>167117.38</v>
      </c>
      <c r="BG154" s="322">
        <f t="shared" si="217"/>
        <v>210116.9</v>
      </c>
      <c r="BH154" s="322">
        <f t="shared" si="218"/>
        <v>221283.44</v>
      </c>
      <c r="BI154" s="322">
        <f t="shared" si="219"/>
        <v>213124.87</v>
      </c>
      <c r="BJ154" s="322">
        <f t="shared" si="220"/>
        <v>213216.63</v>
      </c>
      <c r="BK154" s="322">
        <f t="shared" si="221"/>
        <v>212162.61</v>
      </c>
      <c r="BL154" s="322">
        <f t="shared" si="222"/>
        <v>210998.64</v>
      </c>
      <c r="BM154" s="322">
        <f t="shared" si="223"/>
        <v>178420.19</v>
      </c>
      <c r="BN154" s="322">
        <f t="shared" si="224"/>
        <v>178433.43</v>
      </c>
      <c r="BO154" s="340">
        <f t="shared" si="225"/>
        <v>170620.53999999998</v>
      </c>
      <c r="BP154" s="340">
        <f t="shared" si="226"/>
        <v>188329.66999999998</v>
      </c>
      <c r="BQ154" s="340">
        <f t="shared" si="227"/>
        <v>186985.51999999996</v>
      </c>
      <c r="BR154" s="340">
        <f t="shared" si="228"/>
        <v>218935.07</v>
      </c>
      <c r="BS154" s="340">
        <f t="shared" si="229"/>
        <v>287844</v>
      </c>
      <c r="BU154" s="340" t="s">
        <v>39</v>
      </c>
      <c r="BV154" s="340">
        <f t="shared" si="230"/>
        <v>41202.26</v>
      </c>
      <c r="BW154" s="340">
        <f t="shared" si="231"/>
        <v>44114.52</v>
      </c>
      <c r="BX154" s="340">
        <f t="shared" si="232"/>
        <v>47439.76</v>
      </c>
      <c r="BY154" s="340">
        <f t="shared" si="233"/>
        <v>52391.82</v>
      </c>
      <c r="BZ154" s="340">
        <f t="shared" si="234"/>
        <v>81133.23</v>
      </c>
      <c r="CA154" s="340">
        <f t="shared" si="235"/>
        <v>84542.19</v>
      </c>
      <c r="CB154" s="340">
        <f t="shared" si="236"/>
        <v>94466.22</v>
      </c>
      <c r="CC154" s="340">
        <f t="shared" si="237"/>
        <v>100139.01</v>
      </c>
      <c r="CD154" s="340">
        <f t="shared" si="238"/>
        <v>95187.06</v>
      </c>
      <c r="CE154" s="340">
        <f t="shared" si="239"/>
        <v>88634.63</v>
      </c>
      <c r="CF154" s="340">
        <f t="shared" si="240"/>
        <v>91605.72</v>
      </c>
      <c r="CG154" s="340">
        <f t="shared" si="241"/>
        <v>93249.209999999992</v>
      </c>
      <c r="CH154" s="340">
        <f t="shared" si="242"/>
        <v>96079.07</v>
      </c>
      <c r="CI154" s="340">
        <f t="shared" si="243"/>
        <v>102048.69</v>
      </c>
      <c r="CJ154" s="340">
        <f t="shared" si="244"/>
        <v>105815.23000000001</v>
      </c>
      <c r="CK154" s="340">
        <f t="shared" si="245"/>
        <v>98942.01</v>
      </c>
      <c r="CL154" s="340">
        <f t="shared" si="246"/>
        <v>101339.95000000001</v>
      </c>
      <c r="CM154" s="340">
        <f t="shared" si="247"/>
        <v>101288.6</v>
      </c>
      <c r="CN154" s="340">
        <f t="shared" si="248"/>
        <v>103562.36</v>
      </c>
      <c r="CO154" s="340">
        <f t="shared" si="249"/>
        <v>102649.75</v>
      </c>
      <c r="CP154" s="340">
        <f t="shared" si="250"/>
        <v>114910.56</v>
      </c>
      <c r="CQ154" s="340">
        <f t="shared" si="251"/>
        <v>113098.9</v>
      </c>
      <c r="CR154" s="122"/>
      <c r="CS154" s="340" t="s">
        <v>39</v>
      </c>
      <c r="CT154" s="340">
        <f t="shared" si="252"/>
        <v>329618.08</v>
      </c>
      <c r="CU154" s="340">
        <f t="shared" si="253"/>
        <v>463202.45999999996</v>
      </c>
      <c r="CV154" s="340">
        <f t="shared" si="254"/>
        <v>426957.83999999997</v>
      </c>
      <c r="CW154" s="340">
        <f t="shared" si="255"/>
        <v>523918.2</v>
      </c>
      <c r="CX154" s="340">
        <f t="shared" si="256"/>
        <v>594977.02</v>
      </c>
      <c r="CY154" s="340">
        <f t="shared" si="257"/>
        <v>563614.6</v>
      </c>
      <c r="CZ154" s="340">
        <f t="shared" si="258"/>
        <v>566797.32000000007</v>
      </c>
      <c r="DA154" s="340">
        <f t="shared" si="259"/>
        <v>667593.39999999991</v>
      </c>
      <c r="DB154" s="340">
        <f t="shared" si="260"/>
        <v>642089.61999999988</v>
      </c>
      <c r="DC154" s="340">
        <f t="shared" si="261"/>
        <v>653856.47</v>
      </c>
      <c r="DD154" s="340">
        <f t="shared" si="262"/>
        <v>746965.40000000014</v>
      </c>
      <c r="DE154" s="340">
        <f t="shared" si="263"/>
        <v>817854.99</v>
      </c>
      <c r="DF154" s="340">
        <f t="shared" si="264"/>
        <v>1089102.81</v>
      </c>
      <c r="DG154" s="340">
        <f t="shared" si="265"/>
        <v>826441.61999999988</v>
      </c>
      <c r="DH154" s="340">
        <f t="shared" si="266"/>
        <v>1022885</v>
      </c>
      <c r="DI154" s="340">
        <f t="shared" si="267"/>
        <v>952451.79</v>
      </c>
      <c r="DJ154" s="340">
        <f t="shared" si="268"/>
        <v>937742.13</v>
      </c>
      <c r="DK154" s="340">
        <f t="shared" si="269"/>
        <v>935527.97</v>
      </c>
      <c r="DL154" s="340">
        <f t="shared" si="270"/>
        <v>904328.98</v>
      </c>
      <c r="DM154" s="340">
        <f t="shared" si="271"/>
        <v>881385.83000000007</v>
      </c>
      <c r="DN154" s="340">
        <f t="shared" si="272"/>
        <v>914887.98</v>
      </c>
      <c r="DO154" s="340">
        <f t="shared" si="273"/>
        <v>974704.14</v>
      </c>
      <c r="DP154" s="330"/>
      <c r="DQ154" s="340" t="s">
        <v>39</v>
      </c>
      <c r="DR154" s="340">
        <f t="shared" ref="DR154:EM154" si="346">DR56</f>
        <v>164809.04</v>
      </c>
      <c r="DS154" s="340">
        <f t="shared" si="346"/>
        <v>176458.08</v>
      </c>
      <c r="DT154" s="340">
        <f t="shared" si="346"/>
        <v>189759.04</v>
      </c>
      <c r="DU154" s="340">
        <f t="shared" si="346"/>
        <v>209567.28</v>
      </c>
      <c r="DV154" s="340">
        <f t="shared" si="346"/>
        <v>216355.28</v>
      </c>
      <c r="DW154" s="340">
        <f t="shared" si="346"/>
        <v>253626.57</v>
      </c>
      <c r="DX154" s="340">
        <f t="shared" si="346"/>
        <v>251909.92</v>
      </c>
      <c r="DY154" s="340">
        <f t="shared" si="346"/>
        <v>267037.36</v>
      </c>
      <c r="DZ154" s="340">
        <f t="shared" si="346"/>
        <v>261300.36000000002</v>
      </c>
      <c r="EA154" s="340">
        <f t="shared" si="346"/>
        <v>352009.81</v>
      </c>
      <c r="EB154" s="340">
        <f t="shared" si="346"/>
        <v>420810.98000000004</v>
      </c>
      <c r="EC154" s="340">
        <f t="shared" si="346"/>
        <v>442956.58999999997</v>
      </c>
      <c r="ED154" s="340">
        <f t="shared" si="346"/>
        <v>464548.63</v>
      </c>
      <c r="EE154" s="340">
        <f t="shared" si="346"/>
        <v>480297.65</v>
      </c>
      <c r="EF154" s="340">
        <f t="shared" si="346"/>
        <v>491956.26</v>
      </c>
      <c r="EG154" s="340">
        <f t="shared" si="346"/>
        <v>527864.05000000005</v>
      </c>
      <c r="EH154" s="340">
        <f t="shared" si="346"/>
        <v>515841.09999999992</v>
      </c>
      <c r="EI154" s="340">
        <f t="shared" si="346"/>
        <v>534206.39</v>
      </c>
      <c r="EJ154" s="340">
        <f t="shared" si="346"/>
        <v>541309.49</v>
      </c>
      <c r="EK154" s="340">
        <f t="shared" si="346"/>
        <v>575715.43999999994</v>
      </c>
      <c r="EL154" s="340">
        <f t="shared" si="346"/>
        <v>625982.84000000008</v>
      </c>
      <c r="EM154" s="340">
        <f t="shared" si="346"/>
        <v>653304.92000000004</v>
      </c>
      <c r="EO154" s="319" t="s">
        <v>39</v>
      </c>
      <c r="EP154" s="319">
        <f t="shared" si="275"/>
        <v>659236.16</v>
      </c>
      <c r="EQ154" s="319">
        <f t="shared" si="276"/>
        <v>705832.32</v>
      </c>
      <c r="ER154" s="319">
        <f t="shared" si="277"/>
        <v>735316.28</v>
      </c>
      <c r="ES154" s="319">
        <f t="shared" si="278"/>
        <v>812073.21</v>
      </c>
      <c r="ET154" s="319">
        <f t="shared" si="279"/>
        <v>865421.12</v>
      </c>
      <c r="EU154" s="319">
        <f t="shared" si="280"/>
        <v>986325.54999999993</v>
      </c>
      <c r="EV154" s="319">
        <f t="shared" si="281"/>
        <v>1133594.6400000001</v>
      </c>
      <c r="EW154" s="319">
        <f t="shared" si="282"/>
        <v>1068149.44</v>
      </c>
      <c r="EX154" s="319">
        <f t="shared" si="283"/>
        <v>1084936.53</v>
      </c>
      <c r="EY154" s="319">
        <f t="shared" si="284"/>
        <v>1356944.2199999997</v>
      </c>
      <c r="EZ154" s="319">
        <f t="shared" si="285"/>
        <v>1255730.71</v>
      </c>
      <c r="FA154" s="319">
        <f t="shared" si="286"/>
        <v>1324640.2200000002</v>
      </c>
      <c r="FB154" s="319">
        <f t="shared" si="287"/>
        <v>1370730.28</v>
      </c>
      <c r="FC154" s="319">
        <f t="shared" si="288"/>
        <v>1440521.63</v>
      </c>
      <c r="FD154" s="319">
        <f t="shared" si="289"/>
        <v>1225682.5099999998</v>
      </c>
      <c r="FE154" s="319">
        <f t="shared" si="290"/>
        <v>1243066.4300000002</v>
      </c>
      <c r="FF154" s="322">
        <f t="shared" si="291"/>
        <v>1227927.6500000001</v>
      </c>
      <c r="FG154" s="336">
        <f t="shared" si="292"/>
        <v>1213818.05</v>
      </c>
      <c r="FH154" s="336">
        <f t="shared" si="293"/>
        <v>1294109.57</v>
      </c>
      <c r="FI154" s="336">
        <f t="shared" si="294"/>
        <v>1481766.9700000002</v>
      </c>
      <c r="FJ154" s="336">
        <f t="shared" si="295"/>
        <v>1622568.94</v>
      </c>
      <c r="FK154" s="336">
        <f t="shared" si="296"/>
        <v>1510788.12</v>
      </c>
      <c r="FL154" s="122"/>
      <c r="FM154" s="340" t="s">
        <v>39</v>
      </c>
      <c r="FN154" s="340">
        <f t="shared" si="297"/>
        <v>206011.3</v>
      </c>
      <c r="FO154" s="340">
        <f t="shared" si="298"/>
        <v>154400.82</v>
      </c>
      <c r="FP154" s="340">
        <f t="shared" si="299"/>
        <v>166039.16</v>
      </c>
      <c r="FQ154" s="340">
        <f t="shared" si="300"/>
        <v>209567.28</v>
      </c>
      <c r="FR154" s="340">
        <f t="shared" si="301"/>
        <v>216355.28</v>
      </c>
      <c r="FS154" s="340">
        <f t="shared" si="302"/>
        <v>225445.84</v>
      </c>
      <c r="FT154" s="340">
        <f t="shared" si="303"/>
        <v>220421.18</v>
      </c>
      <c r="FU154" s="340">
        <f t="shared" si="304"/>
        <v>233657.69</v>
      </c>
      <c r="FV154" s="340">
        <f t="shared" si="305"/>
        <v>222293.52</v>
      </c>
      <c r="FW154" s="340">
        <f t="shared" si="306"/>
        <v>237654.75</v>
      </c>
      <c r="FX154" s="340">
        <f t="shared" si="307"/>
        <v>252717.62</v>
      </c>
      <c r="FY154" s="340">
        <f t="shared" si="308"/>
        <v>264793.99</v>
      </c>
      <c r="FZ154" s="340">
        <f t="shared" si="309"/>
        <v>276992.43</v>
      </c>
      <c r="GA154" s="340">
        <f t="shared" si="310"/>
        <v>301149.15999999997</v>
      </c>
      <c r="GB154" s="340">
        <f t="shared" si="311"/>
        <v>298814.78000000003</v>
      </c>
      <c r="GC154" s="340">
        <f t="shared" si="312"/>
        <v>296967.36</v>
      </c>
      <c r="GD154" s="340">
        <f t="shared" si="313"/>
        <v>308084.42000000004</v>
      </c>
      <c r="GE154" s="340">
        <f t="shared" si="314"/>
        <v>309631.30999999994</v>
      </c>
      <c r="GF154" s="340">
        <f t="shared" si="315"/>
        <v>327696.89</v>
      </c>
      <c r="GG154" s="340">
        <f t="shared" si="316"/>
        <v>342794.78</v>
      </c>
      <c r="GH154" s="340">
        <f t="shared" si="317"/>
        <v>364108.98000000004</v>
      </c>
      <c r="GI154" s="340">
        <f t="shared" si="318"/>
        <v>353707</v>
      </c>
      <c r="GJ154" s="122"/>
      <c r="GK154" s="340" t="s">
        <v>39</v>
      </c>
      <c r="GL154" s="340">
        <f t="shared" si="319"/>
        <v>0</v>
      </c>
      <c r="GM154" s="340">
        <f t="shared" si="320"/>
        <v>0</v>
      </c>
      <c r="GN154" s="340">
        <f t="shared" si="321"/>
        <v>0</v>
      </c>
      <c r="GO154" s="340">
        <f t="shared" si="322"/>
        <v>0</v>
      </c>
      <c r="GP154" s="340">
        <f t="shared" si="323"/>
        <v>0</v>
      </c>
      <c r="GQ154" s="340">
        <f t="shared" si="324"/>
        <v>0</v>
      </c>
      <c r="GR154" s="340">
        <f t="shared" si="325"/>
        <v>0</v>
      </c>
      <c r="GS154" s="340">
        <f t="shared" si="326"/>
        <v>367176.37</v>
      </c>
      <c r="GT154" s="340">
        <f t="shared" si="327"/>
        <v>220002.31</v>
      </c>
      <c r="GU154" s="340">
        <f t="shared" si="328"/>
        <v>200232.75</v>
      </c>
      <c r="GV154" s="340">
        <f t="shared" si="329"/>
        <v>328000</v>
      </c>
      <c r="GW154" s="340">
        <f t="shared" si="330"/>
        <v>45000</v>
      </c>
      <c r="GX154" s="340">
        <f t="shared" si="331"/>
        <v>50000</v>
      </c>
      <c r="GY154" s="340">
        <f t="shared" si="332"/>
        <v>50000</v>
      </c>
      <c r="GZ154" s="340">
        <f t="shared" si="333"/>
        <v>600000</v>
      </c>
      <c r="HA154" s="340">
        <f t="shared" si="334"/>
        <v>50000</v>
      </c>
      <c r="HB154" s="340">
        <f t="shared" si="335"/>
        <v>57500</v>
      </c>
      <c r="HC154" s="340">
        <f t="shared" si="336"/>
        <v>57500</v>
      </c>
      <c r="HD154" s="340">
        <f t="shared" si="337"/>
        <v>187500</v>
      </c>
      <c r="HE154" s="340">
        <f t="shared" si="338"/>
        <v>147500</v>
      </c>
      <c r="HF154" s="340">
        <f t="shared" si="339"/>
        <v>40000</v>
      </c>
      <c r="HG154" s="340">
        <f t="shared" si="340"/>
        <v>51500</v>
      </c>
      <c r="HH154" s="122"/>
      <c r="IF154" s="122"/>
      <c r="IG154" s="122"/>
      <c r="IH154" s="122"/>
      <c r="II154" s="122"/>
      <c r="IJ154" s="122"/>
      <c r="IK154" s="122"/>
      <c r="IL154" s="122"/>
      <c r="IN154" s="118"/>
      <c r="IP154" s="122"/>
      <c r="IQ154" s="122"/>
      <c r="IR154" s="122"/>
      <c r="IS154" s="122"/>
      <c r="IT154" s="122"/>
      <c r="IU154" s="122"/>
      <c r="IV154" s="122"/>
      <c r="IW154" s="122"/>
      <c r="IX154" s="122"/>
      <c r="IY154" s="122"/>
      <c r="IZ154" s="122"/>
      <c r="JA154" s="122"/>
      <c r="JB154" s="122"/>
      <c r="JC154" s="122"/>
      <c r="JD154" s="122"/>
      <c r="JE154" s="122"/>
      <c r="JF154" s="122"/>
      <c r="JG154" s="122"/>
      <c r="JH154" s="122"/>
      <c r="JI154" s="122"/>
      <c r="JK154" s="118"/>
      <c r="JL154" s="118"/>
      <c r="JY154" s="122"/>
      <c r="JZ154" s="122"/>
      <c r="KA154" s="122"/>
      <c r="KB154" s="122"/>
      <c r="LX154" s="122"/>
      <c r="LY154" s="122"/>
      <c r="LZ154" s="122"/>
      <c r="MB154" s="118"/>
      <c r="MC154" s="118"/>
      <c r="MP154" s="122"/>
      <c r="MQ154" s="122"/>
      <c r="MR154" s="122"/>
      <c r="MS154" s="122"/>
      <c r="MT154" s="122"/>
      <c r="MU154" s="122"/>
      <c r="MV154" s="122"/>
      <c r="OS154" s="118"/>
      <c r="OT154" s="118"/>
      <c r="PC154" s="122"/>
      <c r="PD154" s="122"/>
      <c r="PE154" s="122"/>
      <c r="PF154" s="122"/>
      <c r="PG154" s="122"/>
      <c r="PH154" s="122"/>
      <c r="PI154" s="122"/>
      <c r="PJ154" s="122"/>
      <c r="PP154" s="118"/>
      <c r="PQ154" s="118"/>
      <c r="PZ154" s="122"/>
      <c r="QA154" s="122"/>
      <c r="QB154" s="122"/>
      <c r="QC154" s="122"/>
      <c r="QD154" s="122"/>
      <c r="QE154" s="122"/>
      <c r="QF154" s="122"/>
      <c r="QG154" s="122"/>
      <c r="QM154" s="118"/>
      <c r="QN154" s="118"/>
      <c r="RE154" s="118"/>
      <c r="RF154" s="118"/>
      <c r="RG154" s="118"/>
      <c r="RH154" s="118"/>
      <c r="RI154" s="118"/>
      <c r="RJ154" s="118"/>
      <c r="RK154" s="118"/>
    </row>
    <row r="155" spans="25:479">
      <c r="Y155" s="277" t="s">
        <v>40</v>
      </c>
      <c r="Z155" s="319">
        <f t="shared" si="186"/>
        <v>247161.99999999997</v>
      </c>
      <c r="AA155" s="319">
        <f t="shared" si="187"/>
        <v>246722.58000000002</v>
      </c>
      <c r="AB155" s="319">
        <f t="shared" si="188"/>
        <v>266276.13999999996</v>
      </c>
      <c r="AC155" s="319">
        <f t="shared" si="189"/>
        <v>310262.01</v>
      </c>
      <c r="AD155" s="319">
        <f t="shared" si="190"/>
        <v>311335.59000000003</v>
      </c>
      <c r="AE155" s="319">
        <f t="shared" si="191"/>
        <v>291284.76</v>
      </c>
      <c r="AF155" s="319">
        <f t="shared" si="192"/>
        <v>309350.05</v>
      </c>
      <c r="AG155" s="319">
        <f t="shared" si="193"/>
        <v>319850.15999999997</v>
      </c>
      <c r="AH155" s="319">
        <f t="shared" si="194"/>
        <v>344805.4</v>
      </c>
      <c r="AI155" s="319">
        <f t="shared" si="195"/>
        <v>342938.93</v>
      </c>
      <c r="AJ155" s="319">
        <f t="shared" si="196"/>
        <v>388195.3</v>
      </c>
      <c r="AK155" s="319">
        <f t="shared" si="197"/>
        <v>379726.76</v>
      </c>
      <c r="AL155" s="319">
        <f t="shared" si="198"/>
        <v>399843.56</v>
      </c>
      <c r="AM155" s="319">
        <f t="shared" si="199"/>
        <v>382963.48000000004</v>
      </c>
      <c r="AN155" s="319">
        <f t="shared" si="200"/>
        <v>415394.79700000002</v>
      </c>
      <c r="AO155" s="319">
        <f t="shared" si="201"/>
        <v>402441.77999999997</v>
      </c>
      <c r="AP155" s="319">
        <f t="shared" si="202"/>
        <v>452698.77999999997</v>
      </c>
      <c r="AQ155" s="319">
        <f t="shared" si="203"/>
        <v>540880.02</v>
      </c>
      <c r="AR155" s="319">
        <f t="shared" si="204"/>
        <v>455942.31999999995</v>
      </c>
      <c r="AS155" s="319">
        <f t="shared" si="205"/>
        <v>485794.51000000007</v>
      </c>
      <c r="AT155" s="319">
        <f t="shared" si="206"/>
        <v>505296.57999999996</v>
      </c>
      <c r="AU155" s="319">
        <f t="shared" si="207"/>
        <v>631152.05999999994</v>
      </c>
      <c r="AW155" s="322" t="s">
        <v>40</v>
      </c>
      <c r="AX155" s="322">
        <f t="shared" si="208"/>
        <v>118637.76000000001</v>
      </c>
      <c r="AY155" s="322">
        <f t="shared" si="209"/>
        <v>142339.95000000001</v>
      </c>
      <c r="AZ155" s="322">
        <f t="shared" si="210"/>
        <v>143379.46</v>
      </c>
      <c r="BA155" s="322">
        <f t="shared" si="211"/>
        <v>106986.90000000001</v>
      </c>
      <c r="BB155" s="322">
        <f t="shared" si="212"/>
        <v>85885.68</v>
      </c>
      <c r="BC155" s="322">
        <f t="shared" si="213"/>
        <v>89626.08</v>
      </c>
      <c r="BD155" s="322">
        <f t="shared" si="214"/>
        <v>101949.68</v>
      </c>
      <c r="BE155" s="322">
        <f t="shared" si="215"/>
        <v>106616.72</v>
      </c>
      <c r="BF155" s="322">
        <f t="shared" si="216"/>
        <v>109089.03</v>
      </c>
      <c r="BG155" s="322">
        <f t="shared" si="217"/>
        <v>98099.62</v>
      </c>
      <c r="BH155" s="322">
        <f t="shared" si="218"/>
        <v>85769.42</v>
      </c>
      <c r="BI155" s="322">
        <f t="shared" si="219"/>
        <v>73385.919999999998</v>
      </c>
      <c r="BJ155" s="322">
        <f t="shared" si="220"/>
        <v>63837.59</v>
      </c>
      <c r="BK155" s="322">
        <f t="shared" si="221"/>
        <v>85292.7</v>
      </c>
      <c r="BL155" s="322">
        <f t="shared" si="222"/>
        <v>71367.070000000007</v>
      </c>
      <c r="BM155" s="322">
        <f t="shared" si="223"/>
        <v>76409.59</v>
      </c>
      <c r="BN155" s="322">
        <f t="shared" si="224"/>
        <v>81099.59</v>
      </c>
      <c r="BO155" s="340">
        <f t="shared" si="225"/>
        <v>81717.010000000009</v>
      </c>
      <c r="BP155" s="340">
        <f t="shared" si="226"/>
        <v>77121.429999999993</v>
      </c>
      <c r="BQ155" s="340">
        <f t="shared" si="227"/>
        <v>63175.979999999996</v>
      </c>
      <c r="BR155" s="340">
        <f t="shared" si="228"/>
        <v>60408.649999999994</v>
      </c>
      <c r="BS155" s="340">
        <f t="shared" si="229"/>
        <v>68007.289999999994</v>
      </c>
      <c r="BU155" s="340" t="s">
        <v>40</v>
      </c>
      <c r="BV155" s="340">
        <f t="shared" si="230"/>
        <v>19772.96</v>
      </c>
      <c r="BW155" s="340">
        <f t="shared" si="231"/>
        <v>28467.989999999998</v>
      </c>
      <c r="BX155" s="340">
        <f t="shared" si="232"/>
        <v>30724.17</v>
      </c>
      <c r="BY155" s="340">
        <f t="shared" si="233"/>
        <v>32096.07</v>
      </c>
      <c r="BZ155" s="340">
        <f t="shared" si="234"/>
        <v>32207.129999999997</v>
      </c>
      <c r="CA155" s="340">
        <f t="shared" si="235"/>
        <v>56016.3</v>
      </c>
      <c r="CB155" s="340">
        <f t="shared" si="236"/>
        <v>50974.84</v>
      </c>
      <c r="CC155" s="340">
        <f t="shared" si="237"/>
        <v>60923.839999999997</v>
      </c>
      <c r="CD155" s="340">
        <f t="shared" si="238"/>
        <v>54108.71</v>
      </c>
      <c r="CE155" s="340">
        <f t="shared" si="239"/>
        <v>55348.41</v>
      </c>
      <c r="CF155" s="340">
        <f t="shared" si="240"/>
        <v>59469.460000000006</v>
      </c>
      <c r="CG155" s="340">
        <f t="shared" si="241"/>
        <v>53096.47</v>
      </c>
      <c r="CH155" s="340">
        <f t="shared" si="242"/>
        <v>58800.970000000008</v>
      </c>
      <c r="CI155" s="340">
        <f t="shared" si="243"/>
        <v>65175.020000000004</v>
      </c>
      <c r="CJ155" s="340">
        <f t="shared" si="244"/>
        <v>65386.789999999994</v>
      </c>
      <c r="CK155" s="340">
        <f t="shared" si="245"/>
        <v>58632.43</v>
      </c>
      <c r="CL155" s="340">
        <f t="shared" si="246"/>
        <v>62549.520000000004</v>
      </c>
      <c r="CM155" s="340">
        <f t="shared" si="247"/>
        <v>67851.179999999993</v>
      </c>
      <c r="CN155" s="340">
        <f t="shared" si="248"/>
        <v>64997.729999999996</v>
      </c>
      <c r="CO155" s="340">
        <f t="shared" si="249"/>
        <v>68428.889999999985</v>
      </c>
      <c r="CP155" s="340">
        <f t="shared" si="250"/>
        <v>69385.510000000009</v>
      </c>
      <c r="CQ155" s="340">
        <f t="shared" si="251"/>
        <v>83468.489999999991</v>
      </c>
      <c r="CR155" s="122"/>
      <c r="CS155" s="340" t="s">
        <v>40</v>
      </c>
      <c r="CT155" s="340">
        <f t="shared" si="252"/>
        <v>227389.04</v>
      </c>
      <c r="CU155" s="340">
        <f t="shared" si="253"/>
        <v>218254.59</v>
      </c>
      <c r="CV155" s="340">
        <f t="shared" si="254"/>
        <v>245793.36</v>
      </c>
      <c r="CW155" s="340">
        <f t="shared" si="255"/>
        <v>235371.18</v>
      </c>
      <c r="CX155" s="340">
        <f t="shared" si="256"/>
        <v>268392.75</v>
      </c>
      <c r="CY155" s="340">
        <f t="shared" si="257"/>
        <v>246471.72</v>
      </c>
      <c r="CZ155" s="340">
        <f t="shared" si="258"/>
        <v>305849.03999999998</v>
      </c>
      <c r="DA155" s="340">
        <f t="shared" si="259"/>
        <v>548314.56000000006</v>
      </c>
      <c r="DB155" s="340">
        <f t="shared" si="260"/>
        <v>346807.32999999996</v>
      </c>
      <c r="DC155" s="340">
        <f t="shared" si="261"/>
        <v>349450.18</v>
      </c>
      <c r="DD155" s="340">
        <f t="shared" si="262"/>
        <v>257745.03</v>
      </c>
      <c r="DE155" s="340">
        <f t="shared" si="263"/>
        <v>336109.77</v>
      </c>
      <c r="DF155" s="340">
        <f t="shared" si="264"/>
        <v>298921.63</v>
      </c>
      <c r="DG155" s="340">
        <f t="shared" si="265"/>
        <v>305450.95</v>
      </c>
      <c r="DH155" s="340">
        <f t="shared" si="266"/>
        <v>365360.94</v>
      </c>
      <c r="DI155" s="340">
        <f t="shared" si="267"/>
        <v>431875.56</v>
      </c>
      <c r="DJ155" s="340">
        <f t="shared" si="268"/>
        <v>420777.06</v>
      </c>
      <c r="DK155" s="340">
        <f t="shared" si="269"/>
        <v>307896.44999999995</v>
      </c>
      <c r="DL155" s="340">
        <f t="shared" si="270"/>
        <v>343450.3</v>
      </c>
      <c r="DM155" s="340">
        <f t="shared" si="271"/>
        <v>246131.35</v>
      </c>
      <c r="DN155" s="340">
        <f t="shared" si="272"/>
        <v>276304.54000000004</v>
      </c>
      <c r="DO155" s="340">
        <f t="shared" si="273"/>
        <v>435405.98</v>
      </c>
      <c r="DP155" s="330"/>
      <c r="DQ155" s="340" t="s">
        <v>40</v>
      </c>
      <c r="DR155" s="340">
        <f t="shared" ref="DR155:EM155" si="347">DR57</f>
        <v>108751.28</v>
      </c>
      <c r="DS155" s="340">
        <f t="shared" si="347"/>
        <v>113871.96</v>
      </c>
      <c r="DT155" s="340">
        <f t="shared" si="347"/>
        <v>112655.29</v>
      </c>
      <c r="DU155" s="340">
        <f t="shared" si="347"/>
        <v>64192.14</v>
      </c>
      <c r="DV155" s="340">
        <f t="shared" si="347"/>
        <v>75149.97</v>
      </c>
      <c r="DW155" s="340">
        <f t="shared" si="347"/>
        <v>100829.34</v>
      </c>
      <c r="DX155" s="340">
        <f t="shared" si="347"/>
        <v>89205.97</v>
      </c>
      <c r="DY155" s="340">
        <f t="shared" si="347"/>
        <v>106616.72</v>
      </c>
      <c r="DZ155" s="340">
        <f t="shared" si="347"/>
        <v>116232.16</v>
      </c>
      <c r="EA155" s="340">
        <f t="shared" si="347"/>
        <v>112727.02</v>
      </c>
      <c r="EB155" s="340">
        <f t="shared" si="347"/>
        <v>125699.78000000001</v>
      </c>
      <c r="EC155" s="340">
        <f t="shared" si="347"/>
        <v>126373.58</v>
      </c>
      <c r="ED155" s="340">
        <f t="shared" si="347"/>
        <v>148039.79</v>
      </c>
      <c r="EE155" s="340">
        <f t="shared" si="347"/>
        <v>154375.14000000004</v>
      </c>
      <c r="EF155" s="340">
        <f t="shared" si="347"/>
        <v>160365.01</v>
      </c>
      <c r="EG155" s="340">
        <f t="shared" si="347"/>
        <v>181645.34</v>
      </c>
      <c r="EH155" s="340">
        <f t="shared" si="347"/>
        <v>192449.47</v>
      </c>
      <c r="EI155" s="340">
        <f t="shared" si="347"/>
        <v>183844.58</v>
      </c>
      <c r="EJ155" s="340">
        <f t="shared" si="347"/>
        <v>188987.68999999997</v>
      </c>
      <c r="EK155" s="340">
        <f t="shared" si="347"/>
        <v>194261.62</v>
      </c>
      <c r="EL155" s="340">
        <f t="shared" si="347"/>
        <v>200857.42</v>
      </c>
      <c r="EM155" s="340">
        <f t="shared" si="347"/>
        <v>225150</v>
      </c>
      <c r="EO155" s="319" t="s">
        <v>40</v>
      </c>
      <c r="EP155" s="319">
        <f t="shared" si="275"/>
        <v>177956.64</v>
      </c>
      <c r="EQ155" s="319">
        <f t="shared" si="276"/>
        <v>123361.29</v>
      </c>
      <c r="ER155" s="319">
        <f t="shared" si="277"/>
        <v>153620.85</v>
      </c>
      <c r="ES155" s="319">
        <f t="shared" si="278"/>
        <v>0</v>
      </c>
      <c r="ET155" s="319">
        <f t="shared" si="279"/>
        <v>0</v>
      </c>
      <c r="EU155" s="319">
        <f t="shared" si="280"/>
        <v>0</v>
      </c>
      <c r="EV155" s="319">
        <f t="shared" si="281"/>
        <v>0</v>
      </c>
      <c r="EW155" s="319">
        <f t="shared" si="282"/>
        <v>0</v>
      </c>
      <c r="EX155" s="319">
        <f t="shared" si="283"/>
        <v>0</v>
      </c>
      <c r="EY155" s="319">
        <f t="shared" si="284"/>
        <v>0</v>
      </c>
      <c r="EZ155" s="319">
        <f t="shared" si="285"/>
        <v>0</v>
      </c>
      <c r="FA155" s="319">
        <f t="shared" si="286"/>
        <v>0</v>
      </c>
      <c r="FB155" s="319">
        <f t="shared" si="287"/>
        <v>0</v>
      </c>
      <c r="FC155" s="319">
        <f t="shared" si="288"/>
        <v>0</v>
      </c>
      <c r="FD155" s="319">
        <f t="shared" si="289"/>
        <v>0</v>
      </c>
      <c r="FE155" s="319">
        <f t="shared" si="290"/>
        <v>0</v>
      </c>
      <c r="FF155" s="322">
        <f t="shared" si="291"/>
        <v>0</v>
      </c>
      <c r="FG155" s="336">
        <f t="shared" si="292"/>
        <v>0</v>
      </c>
      <c r="FH155" s="336">
        <f t="shared" si="293"/>
        <v>0</v>
      </c>
      <c r="FI155" s="336">
        <f t="shared" si="294"/>
        <v>0</v>
      </c>
      <c r="FJ155" s="336">
        <f t="shared" si="295"/>
        <v>0</v>
      </c>
      <c r="FK155" s="336">
        <f t="shared" si="296"/>
        <v>0</v>
      </c>
      <c r="FL155" s="122"/>
      <c r="FM155" s="340" t="s">
        <v>40</v>
      </c>
      <c r="FN155" s="340">
        <f t="shared" si="297"/>
        <v>59318.879999999997</v>
      </c>
      <c r="FO155" s="340">
        <f t="shared" si="298"/>
        <v>47446.65</v>
      </c>
      <c r="FP155" s="340">
        <f t="shared" si="299"/>
        <v>51206.95</v>
      </c>
      <c r="FQ155" s="340">
        <f t="shared" si="300"/>
        <v>74890.83</v>
      </c>
      <c r="FR155" s="340">
        <f t="shared" si="301"/>
        <v>64414.26</v>
      </c>
      <c r="FS155" s="340">
        <f t="shared" si="302"/>
        <v>67219.56</v>
      </c>
      <c r="FT155" s="340">
        <f t="shared" si="303"/>
        <v>89205.97</v>
      </c>
      <c r="FU155" s="340">
        <f t="shared" si="304"/>
        <v>60923.839999999997</v>
      </c>
      <c r="FV155" s="340">
        <f t="shared" si="305"/>
        <v>70330.899999999994</v>
      </c>
      <c r="FW155" s="340">
        <f t="shared" si="306"/>
        <v>75857.350000000006</v>
      </c>
      <c r="FX155" s="340">
        <f t="shared" si="307"/>
        <v>75861.570000000007</v>
      </c>
      <c r="FY155" s="340">
        <f t="shared" si="308"/>
        <v>78117.87</v>
      </c>
      <c r="FZ155" s="340">
        <f t="shared" si="309"/>
        <v>76473.240000000005</v>
      </c>
      <c r="GA155" s="340">
        <f t="shared" si="310"/>
        <v>76742.649999999994</v>
      </c>
      <c r="GB155" s="340">
        <f t="shared" si="311"/>
        <v>77383.150000000009</v>
      </c>
      <c r="GC155" s="340">
        <f t="shared" si="312"/>
        <v>81069.790000000008</v>
      </c>
      <c r="GD155" s="340">
        <f t="shared" si="313"/>
        <v>80603.19</v>
      </c>
      <c r="GE155" s="340">
        <f t="shared" si="314"/>
        <v>82549.730000000025</v>
      </c>
      <c r="GF155" s="340">
        <f t="shared" si="315"/>
        <v>103295.87999999999</v>
      </c>
      <c r="GG155" s="340">
        <f t="shared" si="316"/>
        <v>113451.31000000001</v>
      </c>
      <c r="GH155" s="340">
        <f t="shared" si="317"/>
        <v>117219.45999999999</v>
      </c>
      <c r="GI155" s="340">
        <f t="shared" si="318"/>
        <v>137650</v>
      </c>
      <c r="GJ155" s="122"/>
      <c r="GK155" s="340" t="s">
        <v>40</v>
      </c>
      <c r="GL155" s="340">
        <f t="shared" si="319"/>
        <v>29659.439999999999</v>
      </c>
      <c r="GM155" s="340">
        <f t="shared" si="320"/>
        <v>28467.99</v>
      </c>
      <c r="GN155" s="340">
        <f t="shared" si="321"/>
        <v>20482.78</v>
      </c>
      <c r="GO155" s="340">
        <f t="shared" si="322"/>
        <v>246069.87</v>
      </c>
      <c r="GP155" s="340">
        <f t="shared" si="323"/>
        <v>236185.62</v>
      </c>
      <c r="GQ155" s="340">
        <f t="shared" si="324"/>
        <v>268878.24</v>
      </c>
      <c r="GR155" s="340">
        <f t="shared" si="325"/>
        <v>318592.75</v>
      </c>
      <c r="GS155" s="340">
        <f t="shared" si="326"/>
        <v>319850.15999999997</v>
      </c>
      <c r="GT155" s="340">
        <f t="shared" si="327"/>
        <v>331480.46000000002</v>
      </c>
      <c r="GU155" s="340">
        <f t="shared" si="328"/>
        <v>315466.15000000002</v>
      </c>
      <c r="GV155" s="340">
        <f t="shared" si="329"/>
        <v>385620</v>
      </c>
      <c r="GW155" s="340">
        <f t="shared" si="330"/>
        <v>396746.1</v>
      </c>
      <c r="GX155" s="340">
        <f t="shared" si="331"/>
        <v>408000</v>
      </c>
      <c r="GY155" s="340">
        <f t="shared" si="332"/>
        <v>517450.92000000004</v>
      </c>
      <c r="GZ155" s="340">
        <f t="shared" si="333"/>
        <v>377152</v>
      </c>
      <c r="HA155" s="340">
        <f t="shared" si="334"/>
        <v>395820</v>
      </c>
      <c r="HB155" s="340">
        <f t="shared" si="335"/>
        <v>396167</v>
      </c>
      <c r="HC155" s="340">
        <f t="shared" si="336"/>
        <v>403500</v>
      </c>
      <c r="HD155" s="340">
        <f t="shared" si="337"/>
        <v>412500</v>
      </c>
      <c r="HE155" s="340">
        <f t="shared" si="338"/>
        <v>452499.99</v>
      </c>
      <c r="HF155" s="340">
        <f t="shared" si="339"/>
        <v>502500</v>
      </c>
      <c r="HG155" s="340">
        <f t="shared" si="340"/>
        <v>432500</v>
      </c>
      <c r="HH155" s="122"/>
      <c r="IF155" s="122"/>
      <c r="IG155" s="122"/>
      <c r="IH155" s="122"/>
      <c r="II155" s="122"/>
      <c r="IJ155" s="122"/>
      <c r="IK155" s="122"/>
      <c r="IL155" s="122"/>
      <c r="IN155" s="118"/>
      <c r="IP155" s="122"/>
      <c r="IQ155" s="122"/>
      <c r="IR155" s="122"/>
      <c r="IS155" s="122"/>
      <c r="IT155" s="122"/>
      <c r="IU155" s="122"/>
      <c r="IV155" s="122"/>
      <c r="IW155" s="122"/>
      <c r="IX155" s="122"/>
      <c r="IY155" s="122"/>
      <c r="IZ155" s="122"/>
      <c r="JA155" s="122"/>
      <c r="JB155" s="122"/>
      <c r="JC155" s="122"/>
      <c r="JD155" s="122"/>
      <c r="JE155" s="122"/>
      <c r="JF155" s="122"/>
      <c r="JG155" s="122"/>
      <c r="JH155" s="122"/>
      <c r="JI155" s="122"/>
      <c r="JK155" s="118"/>
      <c r="JL155" s="118"/>
      <c r="JY155" s="122"/>
      <c r="JZ155" s="122"/>
      <c r="KA155" s="122"/>
      <c r="KB155" s="122"/>
      <c r="LX155" s="122"/>
      <c r="LY155" s="122"/>
      <c r="LZ155" s="122"/>
      <c r="MB155" s="118"/>
      <c r="MC155" s="118"/>
      <c r="MP155" s="122"/>
      <c r="MQ155" s="122"/>
      <c r="MR155" s="122"/>
      <c r="MS155" s="122"/>
      <c r="MT155" s="122"/>
      <c r="MU155" s="122"/>
      <c r="MV155" s="122"/>
      <c r="OS155" s="118"/>
      <c r="OT155" s="118"/>
      <c r="PC155" s="122"/>
      <c r="PD155" s="122"/>
      <c r="PE155" s="122"/>
      <c r="PF155" s="122"/>
      <c r="PG155" s="122"/>
      <c r="PH155" s="122"/>
      <c r="PI155" s="122"/>
      <c r="PJ155" s="122"/>
      <c r="PP155" s="118"/>
      <c r="PQ155" s="118"/>
      <c r="PZ155" s="122"/>
      <c r="QA155" s="122"/>
      <c r="QB155" s="122"/>
      <c r="QC155" s="122"/>
      <c r="QD155" s="122"/>
      <c r="QE155" s="122"/>
      <c r="QF155" s="122"/>
      <c r="QG155" s="122"/>
      <c r="QM155" s="118"/>
      <c r="QN155" s="118"/>
      <c r="RE155" s="118"/>
      <c r="RF155" s="118"/>
      <c r="RG155" s="118"/>
      <c r="RH155" s="118"/>
      <c r="RI155" s="118"/>
      <c r="RJ155" s="118"/>
      <c r="RK155" s="118"/>
    </row>
    <row r="156" spans="25:479">
      <c r="Y156" s="277" t="s">
        <v>41</v>
      </c>
      <c r="Z156" s="319">
        <f t="shared" si="186"/>
        <v>335905.56</v>
      </c>
      <c r="AA156" s="319">
        <f t="shared" si="187"/>
        <v>269673.96000000002</v>
      </c>
      <c r="AB156" s="319">
        <f t="shared" si="188"/>
        <v>333912.31999999995</v>
      </c>
      <c r="AC156" s="319">
        <f t="shared" si="189"/>
        <v>293237.56</v>
      </c>
      <c r="AD156" s="319">
        <f t="shared" si="190"/>
        <v>400814.28</v>
      </c>
      <c r="AE156" s="319">
        <f t="shared" si="191"/>
        <v>403714.98</v>
      </c>
      <c r="AF156" s="319">
        <f t="shared" si="192"/>
        <v>389386.83999999997</v>
      </c>
      <c r="AG156" s="319">
        <f t="shared" si="193"/>
        <v>328907.78999999998</v>
      </c>
      <c r="AH156" s="319">
        <f t="shared" si="194"/>
        <v>431842.92999999993</v>
      </c>
      <c r="AI156" s="319">
        <f t="shared" si="195"/>
        <v>410897.10000000003</v>
      </c>
      <c r="AJ156" s="319">
        <f t="shared" si="196"/>
        <v>410141.29</v>
      </c>
      <c r="AK156" s="319">
        <f t="shared" si="197"/>
        <v>462967.54999999993</v>
      </c>
      <c r="AL156" s="319">
        <f t="shared" si="198"/>
        <v>493232.55999999994</v>
      </c>
      <c r="AM156" s="319">
        <f t="shared" si="199"/>
        <v>467123.38999999996</v>
      </c>
      <c r="AN156" s="319">
        <f t="shared" si="200"/>
        <v>512792.26</v>
      </c>
      <c r="AO156" s="319">
        <f t="shared" si="201"/>
        <v>399458.08000000007</v>
      </c>
      <c r="AP156" s="319">
        <f t="shared" si="202"/>
        <v>502785.49000000005</v>
      </c>
      <c r="AQ156" s="319">
        <f t="shared" si="203"/>
        <v>457958.20999999996</v>
      </c>
      <c r="AR156" s="319">
        <f t="shared" si="204"/>
        <v>562937.18000000005</v>
      </c>
      <c r="AS156" s="319">
        <f t="shared" si="205"/>
        <v>460514.20000000007</v>
      </c>
      <c r="AT156" s="319">
        <f t="shared" si="206"/>
        <v>537064.94999999995</v>
      </c>
      <c r="AU156" s="319">
        <f t="shared" si="207"/>
        <v>742637</v>
      </c>
      <c r="AW156" s="322" t="s">
        <v>41</v>
      </c>
      <c r="AX156" s="322">
        <f t="shared" si="208"/>
        <v>93307.1</v>
      </c>
      <c r="AY156" s="322">
        <f t="shared" si="209"/>
        <v>121788.24</v>
      </c>
      <c r="AZ156" s="322">
        <f t="shared" si="210"/>
        <v>135651.88</v>
      </c>
      <c r="BA156" s="322">
        <f t="shared" si="211"/>
        <v>101116.4</v>
      </c>
      <c r="BB156" s="322">
        <f t="shared" si="212"/>
        <v>66802.38</v>
      </c>
      <c r="BC156" s="322">
        <f t="shared" si="213"/>
        <v>83117.790000000008</v>
      </c>
      <c r="BD156" s="322">
        <f t="shared" si="214"/>
        <v>97890.16</v>
      </c>
      <c r="BE156" s="322">
        <f t="shared" si="215"/>
        <v>97454.16</v>
      </c>
      <c r="BF156" s="322">
        <f t="shared" si="216"/>
        <v>83209.539999999994</v>
      </c>
      <c r="BG156" s="322">
        <f t="shared" si="217"/>
        <v>82872.01999999999</v>
      </c>
      <c r="BH156" s="322">
        <f t="shared" si="218"/>
        <v>88127.28</v>
      </c>
      <c r="BI156" s="322">
        <f t="shared" si="219"/>
        <v>113679.69</v>
      </c>
      <c r="BJ156" s="322">
        <f t="shared" si="220"/>
        <v>92356.44</v>
      </c>
      <c r="BK156" s="322">
        <f t="shared" si="221"/>
        <v>88446.15</v>
      </c>
      <c r="BL156" s="322">
        <f t="shared" si="222"/>
        <v>98994.85</v>
      </c>
      <c r="BM156" s="322">
        <f t="shared" si="223"/>
        <v>110310.68</v>
      </c>
      <c r="BN156" s="322">
        <f t="shared" si="224"/>
        <v>116756.59999999999</v>
      </c>
      <c r="BO156" s="340">
        <f t="shared" si="225"/>
        <v>130230.76</v>
      </c>
      <c r="BP156" s="340">
        <f t="shared" si="226"/>
        <v>148510.38</v>
      </c>
      <c r="BQ156" s="340">
        <f t="shared" si="227"/>
        <v>141795.79999999999</v>
      </c>
      <c r="BR156" s="340">
        <f t="shared" si="228"/>
        <v>154991.03</v>
      </c>
      <c r="BS156" s="340">
        <f t="shared" si="229"/>
        <v>207400</v>
      </c>
      <c r="BU156" s="340" t="s">
        <v>41</v>
      </c>
      <c r="BV156" s="340">
        <f t="shared" si="230"/>
        <v>18661.419999999998</v>
      </c>
      <c r="BW156" s="340">
        <f t="shared" si="231"/>
        <v>17398.32</v>
      </c>
      <c r="BX156" s="340">
        <f t="shared" si="232"/>
        <v>31304.28</v>
      </c>
      <c r="BY156" s="340">
        <f t="shared" si="233"/>
        <v>30334.92</v>
      </c>
      <c r="BZ156" s="340">
        <f t="shared" si="234"/>
        <v>33401.19</v>
      </c>
      <c r="CA156" s="340">
        <f t="shared" si="235"/>
        <v>47495.880000000005</v>
      </c>
      <c r="CB156" s="340">
        <f t="shared" si="236"/>
        <v>36708.81</v>
      </c>
      <c r="CC156" s="340">
        <f t="shared" si="237"/>
        <v>36545.31</v>
      </c>
      <c r="CD156" s="340">
        <f t="shared" si="238"/>
        <v>40798.730000000003</v>
      </c>
      <c r="CE156" s="340">
        <f t="shared" si="239"/>
        <v>47694.91</v>
      </c>
      <c r="CF156" s="340">
        <f t="shared" si="240"/>
        <v>39460.589999999997</v>
      </c>
      <c r="CG156" s="340">
        <f t="shared" si="241"/>
        <v>37613.26</v>
      </c>
      <c r="CH156" s="340">
        <f t="shared" si="242"/>
        <v>41882.57</v>
      </c>
      <c r="CI156" s="340">
        <f t="shared" si="243"/>
        <v>40296.39</v>
      </c>
      <c r="CJ156" s="340">
        <f t="shared" si="244"/>
        <v>39487.94</v>
      </c>
      <c r="CK156" s="340">
        <f t="shared" si="245"/>
        <v>42560.480000000003</v>
      </c>
      <c r="CL156" s="340">
        <f t="shared" si="246"/>
        <v>46528.98</v>
      </c>
      <c r="CM156" s="340">
        <f t="shared" si="247"/>
        <v>43678.020000000004</v>
      </c>
      <c r="CN156" s="340">
        <f t="shared" si="248"/>
        <v>49585.020000000004</v>
      </c>
      <c r="CO156" s="340">
        <f t="shared" si="249"/>
        <v>45483.900000000009</v>
      </c>
      <c r="CP156" s="340">
        <f t="shared" si="250"/>
        <v>52403.69</v>
      </c>
      <c r="CQ156" s="340">
        <f t="shared" si="251"/>
        <v>57435</v>
      </c>
      <c r="CR156" s="122"/>
      <c r="CS156" s="340" t="s">
        <v>41</v>
      </c>
      <c r="CT156" s="340">
        <f t="shared" si="252"/>
        <v>65314.97</v>
      </c>
      <c r="CU156" s="340">
        <f t="shared" si="253"/>
        <v>86991.6</v>
      </c>
      <c r="CV156" s="340">
        <f t="shared" si="254"/>
        <v>125217.12</v>
      </c>
      <c r="CW156" s="340">
        <f t="shared" si="255"/>
        <v>80893.119999999995</v>
      </c>
      <c r="CX156" s="340">
        <f t="shared" si="256"/>
        <v>111337.3</v>
      </c>
      <c r="CY156" s="340">
        <f t="shared" si="257"/>
        <v>178109.55</v>
      </c>
      <c r="CZ156" s="340">
        <f t="shared" si="258"/>
        <v>122362.7</v>
      </c>
      <c r="DA156" s="340">
        <f t="shared" si="259"/>
        <v>133999.47</v>
      </c>
      <c r="DB156" s="340">
        <f t="shared" si="260"/>
        <v>78532.33</v>
      </c>
      <c r="DC156" s="340">
        <f t="shared" si="261"/>
        <v>156411.14000000001</v>
      </c>
      <c r="DD156" s="340">
        <f t="shared" si="262"/>
        <v>124307.31999999999</v>
      </c>
      <c r="DE156" s="340">
        <f t="shared" si="263"/>
        <v>137945.90000000002</v>
      </c>
      <c r="DF156" s="340">
        <f t="shared" si="264"/>
        <v>160594.30000000002</v>
      </c>
      <c r="DG156" s="340">
        <f t="shared" si="265"/>
        <v>200529.4</v>
      </c>
      <c r="DH156" s="340">
        <f t="shared" si="266"/>
        <v>181541.65000000002</v>
      </c>
      <c r="DI156" s="340">
        <f t="shared" si="267"/>
        <v>194987.29</v>
      </c>
      <c r="DJ156" s="340">
        <f t="shared" si="268"/>
        <v>184820.57</v>
      </c>
      <c r="DK156" s="340">
        <f t="shared" si="269"/>
        <v>210719.53</v>
      </c>
      <c r="DL156" s="340">
        <f t="shared" si="270"/>
        <v>176706.16999999998</v>
      </c>
      <c r="DM156" s="340">
        <f t="shared" si="271"/>
        <v>204435.57</v>
      </c>
      <c r="DN156" s="340">
        <f t="shared" si="272"/>
        <v>253237.94</v>
      </c>
      <c r="DO156" s="340">
        <f t="shared" si="273"/>
        <v>338940</v>
      </c>
      <c r="DP156" s="330"/>
      <c r="DQ156" s="340" t="s">
        <v>41</v>
      </c>
      <c r="DR156" s="340">
        <f t="shared" ref="DR156:EM156" si="348">DR58</f>
        <v>46653.55</v>
      </c>
      <c r="DS156" s="340">
        <f t="shared" si="348"/>
        <v>43495.8</v>
      </c>
      <c r="DT156" s="340">
        <f t="shared" si="348"/>
        <v>62608.56</v>
      </c>
      <c r="DU156" s="340">
        <f t="shared" si="348"/>
        <v>70781.48</v>
      </c>
      <c r="DV156" s="340">
        <f t="shared" si="348"/>
        <v>89069.84</v>
      </c>
      <c r="DW156" s="340">
        <f t="shared" si="348"/>
        <v>94991.76</v>
      </c>
      <c r="DX156" s="340">
        <f t="shared" si="348"/>
        <v>97890.16</v>
      </c>
      <c r="DY156" s="340">
        <f t="shared" si="348"/>
        <v>97454.16</v>
      </c>
      <c r="DZ156" s="340">
        <f t="shared" si="348"/>
        <v>126615.21</v>
      </c>
      <c r="EA156" s="340">
        <f t="shared" si="348"/>
        <v>126013.29</v>
      </c>
      <c r="EB156" s="340">
        <f t="shared" si="348"/>
        <v>126020.33</v>
      </c>
      <c r="EC156" s="340">
        <f t="shared" si="348"/>
        <v>127968.15000000002</v>
      </c>
      <c r="ED156" s="340">
        <f t="shared" si="348"/>
        <v>140984.62</v>
      </c>
      <c r="EE156" s="340">
        <f t="shared" si="348"/>
        <v>145051.08000000002</v>
      </c>
      <c r="EF156" s="340">
        <f t="shared" si="348"/>
        <v>157698.92000000001</v>
      </c>
      <c r="EG156" s="340">
        <f t="shared" si="348"/>
        <v>140988.19</v>
      </c>
      <c r="EH156" s="340">
        <f t="shared" si="348"/>
        <v>146926.06</v>
      </c>
      <c r="EI156" s="340">
        <f t="shared" si="348"/>
        <v>147191.4</v>
      </c>
      <c r="EJ156" s="340">
        <f t="shared" si="348"/>
        <v>157768.43</v>
      </c>
      <c r="EK156" s="340">
        <f t="shared" si="348"/>
        <v>159242.41</v>
      </c>
      <c r="EL156" s="340">
        <f t="shared" si="348"/>
        <v>191892.05</v>
      </c>
      <c r="EM156" s="340">
        <f t="shared" si="348"/>
        <v>212000</v>
      </c>
      <c r="EO156" s="319" t="s">
        <v>41</v>
      </c>
      <c r="EP156" s="319">
        <f t="shared" si="275"/>
        <v>307913.43</v>
      </c>
      <c r="EQ156" s="319">
        <f t="shared" si="276"/>
        <v>278373.12</v>
      </c>
      <c r="ER156" s="319">
        <f t="shared" si="277"/>
        <v>292173.28000000003</v>
      </c>
      <c r="ES156" s="319">
        <f t="shared" si="278"/>
        <v>343795.76</v>
      </c>
      <c r="ET156" s="319">
        <f t="shared" si="279"/>
        <v>334011.90000000002</v>
      </c>
      <c r="EU156" s="319">
        <f t="shared" si="280"/>
        <v>320597.19</v>
      </c>
      <c r="EV156" s="319">
        <f t="shared" si="281"/>
        <v>403796.91000000003</v>
      </c>
      <c r="EW156" s="319">
        <f t="shared" si="282"/>
        <v>414180.18</v>
      </c>
      <c r="EX156" s="319">
        <f t="shared" si="283"/>
        <v>379914.17</v>
      </c>
      <c r="EY156" s="319">
        <f t="shared" si="284"/>
        <v>333770.98000000004</v>
      </c>
      <c r="EZ156" s="319">
        <f t="shared" si="285"/>
        <v>354672.24</v>
      </c>
      <c r="FA156" s="319">
        <f t="shared" si="286"/>
        <v>341919.39</v>
      </c>
      <c r="FB156" s="319">
        <f t="shared" si="287"/>
        <v>382229.61</v>
      </c>
      <c r="FC156" s="319">
        <f t="shared" si="288"/>
        <v>386226.23</v>
      </c>
      <c r="FD156" s="319">
        <f t="shared" si="289"/>
        <v>410693.31999999995</v>
      </c>
      <c r="FE156" s="319">
        <f t="shared" si="290"/>
        <v>441051.92000000004</v>
      </c>
      <c r="FF156" s="322">
        <f t="shared" si="291"/>
        <v>409315.11999999994</v>
      </c>
      <c r="FG156" s="336">
        <f t="shared" si="292"/>
        <v>423433.72</v>
      </c>
      <c r="FH156" s="336">
        <f t="shared" si="293"/>
        <v>476177.9</v>
      </c>
      <c r="FI156" s="336">
        <f t="shared" si="294"/>
        <v>557213.92999999993</v>
      </c>
      <c r="FJ156" s="336">
        <f t="shared" si="295"/>
        <v>630303.39999999991</v>
      </c>
      <c r="FK156" s="336">
        <f t="shared" si="296"/>
        <v>694627</v>
      </c>
      <c r="FL156" s="122"/>
      <c r="FM156" s="340" t="s">
        <v>41</v>
      </c>
      <c r="FN156" s="340">
        <f t="shared" si="297"/>
        <v>65314.97</v>
      </c>
      <c r="FO156" s="340">
        <f t="shared" si="298"/>
        <v>52194.96</v>
      </c>
      <c r="FP156" s="340">
        <f t="shared" si="299"/>
        <v>62608.56</v>
      </c>
      <c r="FQ156" s="340">
        <f t="shared" si="300"/>
        <v>70781.48</v>
      </c>
      <c r="FR156" s="340">
        <f t="shared" si="301"/>
        <v>66802.38</v>
      </c>
      <c r="FS156" s="340">
        <f t="shared" si="302"/>
        <v>59369.85</v>
      </c>
      <c r="FT156" s="340">
        <f t="shared" si="303"/>
        <v>73417.62</v>
      </c>
      <c r="FU156" s="340">
        <f t="shared" si="304"/>
        <v>109635.93</v>
      </c>
      <c r="FV156" s="340">
        <f t="shared" si="305"/>
        <v>103188.90999999999</v>
      </c>
      <c r="FW156" s="340">
        <f t="shared" si="306"/>
        <v>130662.19999999998</v>
      </c>
      <c r="FX156" s="340">
        <f t="shared" si="307"/>
        <v>127882.96</v>
      </c>
      <c r="FY156" s="340">
        <f t="shared" si="308"/>
        <v>120769.16</v>
      </c>
      <c r="FZ156" s="340">
        <f t="shared" si="309"/>
        <v>124317.29</v>
      </c>
      <c r="GA156" s="340">
        <f t="shared" si="310"/>
        <v>126812.61</v>
      </c>
      <c r="GB156" s="340">
        <f t="shared" si="311"/>
        <v>120580.59999999999</v>
      </c>
      <c r="GC156" s="340">
        <f t="shared" si="312"/>
        <v>129555.87</v>
      </c>
      <c r="GD156" s="340">
        <f t="shared" si="313"/>
        <v>142693.08000000002</v>
      </c>
      <c r="GE156" s="340">
        <f t="shared" si="314"/>
        <v>150786.60999999999</v>
      </c>
      <c r="GF156" s="340">
        <f t="shared" si="315"/>
        <v>150826.43999999997</v>
      </c>
      <c r="GG156" s="340">
        <f t="shared" si="316"/>
        <v>148118.91999999998</v>
      </c>
      <c r="GH156" s="340">
        <f t="shared" si="317"/>
        <v>146467.06</v>
      </c>
      <c r="GI156" s="340">
        <f t="shared" si="318"/>
        <v>169408</v>
      </c>
      <c r="GJ156" s="122"/>
      <c r="GK156" s="340" t="s">
        <v>41</v>
      </c>
      <c r="GL156" s="340">
        <f t="shared" si="319"/>
        <v>0</v>
      </c>
      <c r="GM156" s="340">
        <f t="shared" si="320"/>
        <v>0</v>
      </c>
      <c r="GN156" s="340">
        <f t="shared" si="321"/>
        <v>0</v>
      </c>
      <c r="GO156" s="340">
        <f t="shared" si="322"/>
        <v>20223.28</v>
      </c>
      <c r="GP156" s="340">
        <f t="shared" si="323"/>
        <v>11133.73</v>
      </c>
      <c r="GQ156" s="340">
        <f t="shared" si="324"/>
        <v>0</v>
      </c>
      <c r="GR156" s="340">
        <f t="shared" si="325"/>
        <v>0</v>
      </c>
      <c r="GS156" s="340">
        <f t="shared" si="326"/>
        <v>0</v>
      </c>
      <c r="GT156" s="340">
        <f t="shared" si="327"/>
        <v>0</v>
      </c>
      <c r="GU156" s="340">
        <f t="shared" si="328"/>
        <v>0</v>
      </c>
      <c r="GV156" s="340">
        <f t="shared" si="329"/>
        <v>0</v>
      </c>
      <c r="GW156" s="340">
        <f t="shared" si="330"/>
        <v>0</v>
      </c>
      <c r="GX156" s="340">
        <f t="shared" si="331"/>
        <v>0</v>
      </c>
      <c r="GY156" s="340">
        <f t="shared" si="332"/>
        <v>0</v>
      </c>
      <c r="GZ156" s="340">
        <f t="shared" si="333"/>
        <v>0</v>
      </c>
      <c r="HA156" s="340">
        <f t="shared" si="334"/>
        <v>0</v>
      </c>
      <c r="HB156" s="340">
        <f t="shared" si="335"/>
        <v>10.5</v>
      </c>
      <c r="HC156" s="340">
        <f t="shared" si="336"/>
        <v>13760.29</v>
      </c>
      <c r="HD156" s="340">
        <f t="shared" si="337"/>
        <v>0</v>
      </c>
      <c r="HE156" s="340">
        <f t="shared" si="338"/>
        <v>8284.15</v>
      </c>
      <c r="HF156" s="340">
        <f t="shared" si="339"/>
        <v>8386.98</v>
      </c>
      <c r="HG156" s="340">
        <f t="shared" si="340"/>
        <v>37000</v>
      </c>
      <c r="HH156" s="122"/>
      <c r="IF156" s="122"/>
      <c r="IG156" s="122"/>
      <c r="IH156" s="122"/>
      <c r="II156" s="122"/>
      <c r="IJ156" s="122"/>
      <c r="IK156" s="122"/>
      <c r="IL156" s="122"/>
      <c r="IN156" s="118"/>
      <c r="IP156" s="122"/>
      <c r="IQ156" s="122"/>
      <c r="IR156" s="122"/>
      <c r="IS156" s="122"/>
      <c r="IT156" s="122"/>
      <c r="IU156" s="122"/>
      <c r="IV156" s="122"/>
      <c r="IW156" s="122"/>
      <c r="IX156" s="122"/>
      <c r="IY156" s="122"/>
      <c r="IZ156" s="122"/>
      <c r="JA156" s="122"/>
      <c r="JB156" s="122"/>
      <c r="JC156" s="122"/>
      <c r="JD156" s="122"/>
      <c r="JE156" s="122"/>
      <c r="JF156" s="122"/>
      <c r="JG156" s="122"/>
      <c r="JH156" s="122"/>
      <c r="JI156" s="122"/>
      <c r="JK156" s="118"/>
      <c r="JL156" s="118"/>
      <c r="JY156" s="122"/>
      <c r="JZ156" s="122"/>
      <c r="KA156" s="122"/>
      <c r="KB156" s="122"/>
      <c r="LX156" s="122"/>
      <c r="LY156" s="122"/>
      <c r="LZ156" s="122"/>
      <c r="MB156" s="118"/>
      <c r="MC156" s="118"/>
      <c r="MP156" s="122"/>
      <c r="MQ156" s="122"/>
      <c r="MR156" s="122"/>
      <c r="MS156" s="122"/>
      <c r="MT156" s="122"/>
      <c r="MU156" s="122"/>
      <c r="MV156" s="122"/>
      <c r="OS156" s="118"/>
      <c r="OT156" s="118"/>
      <c r="PC156" s="122"/>
      <c r="PD156" s="122"/>
      <c r="PE156" s="122"/>
      <c r="PF156" s="122"/>
      <c r="PG156" s="122"/>
      <c r="PH156" s="122"/>
      <c r="PI156" s="122"/>
      <c r="PJ156" s="122"/>
      <c r="PP156" s="118"/>
      <c r="PQ156" s="118"/>
      <c r="PZ156" s="122"/>
      <c r="QA156" s="122"/>
      <c r="QB156" s="122"/>
      <c r="QC156" s="122"/>
      <c r="QD156" s="122"/>
      <c r="QE156" s="122"/>
      <c r="QF156" s="122"/>
      <c r="QG156" s="122"/>
      <c r="QM156" s="118"/>
      <c r="QN156" s="118"/>
      <c r="RE156" s="118"/>
      <c r="RF156" s="118"/>
      <c r="RG156" s="118"/>
      <c r="RH156" s="118"/>
      <c r="RI156" s="118"/>
      <c r="RJ156" s="118"/>
      <c r="RK156" s="118"/>
    </row>
    <row r="157" spans="25:479">
      <c r="Y157" s="277" t="s">
        <v>42</v>
      </c>
      <c r="Z157" s="319">
        <f t="shared" si="186"/>
        <v>483733.8</v>
      </c>
      <c r="AA157" s="319">
        <f t="shared" si="187"/>
        <v>322113.84000000003</v>
      </c>
      <c r="AB157" s="319">
        <f t="shared" si="188"/>
        <v>355077.44999999995</v>
      </c>
      <c r="AC157" s="319">
        <f t="shared" si="189"/>
        <v>358011.56</v>
      </c>
      <c r="AD157" s="319">
        <f t="shared" si="190"/>
        <v>390239.46</v>
      </c>
      <c r="AE157" s="319">
        <f t="shared" si="191"/>
        <v>365937.13</v>
      </c>
      <c r="AF157" s="319">
        <f t="shared" si="192"/>
        <v>446659.79999999993</v>
      </c>
      <c r="AG157" s="319">
        <f t="shared" si="193"/>
        <v>428866.2</v>
      </c>
      <c r="AH157" s="319">
        <f t="shared" si="194"/>
        <v>499391</v>
      </c>
      <c r="AI157" s="319">
        <f t="shared" si="195"/>
        <v>610825</v>
      </c>
      <c r="AJ157" s="319">
        <f t="shared" si="196"/>
        <v>621134</v>
      </c>
      <c r="AK157" s="319">
        <f t="shared" si="197"/>
        <v>584372</v>
      </c>
      <c r="AL157" s="319">
        <f t="shared" si="198"/>
        <v>728398</v>
      </c>
      <c r="AM157" s="319">
        <f t="shared" si="199"/>
        <v>653231</v>
      </c>
      <c r="AN157" s="319">
        <f t="shared" si="200"/>
        <v>736779</v>
      </c>
      <c r="AO157" s="319">
        <f t="shared" si="201"/>
        <v>691577</v>
      </c>
      <c r="AP157" s="319">
        <f t="shared" si="202"/>
        <v>800375</v>
      </c>
      <c r="AQ157" s="319">
        <f t="shared" si="203"/>
        <v>0</v>
      </c>
      <c r="AR157" s="319">
        <f t="shared" si="204"/>
        <v>0</v>
      </c>
      <c r="AS157" s="319">
        <f t="shared" si="205"/>
        <v>1043985</v>
      </c>
      <c r="AT157" s="319">
        <f t="shared" si="206"/>
        <v>783897</v>
      </c>
      <c r="AU157" s="319">
        <f t="shared" si="207"/>
        <v>790889</v>
      </c>
      <c r="AW157" s="322" t="s">
        <v>42</v>
      </c>
      <c r="AX157" s="322">
        <f t="shared" si="208"/>
        <v>53748.2</v>
      </c>
      <c r="AY157" s="322">
        <f t="shared" si="209"/>
        <v>80528.459999999992</v>
      </c>
      <c r="AZ157" s="322">
        <f t="shared" si="210"/>
        <v>92628.9</v>
      </c>
      <c r="BA157" s="322">
        <f t="shared" si="211"/>
        <v>93394.319999999992</v>
      </c>
      <c r="BB157" s="322">
        <f t="shared" si="212"/>
        <v>75046.049999999988</v>
      </c>
      <c r="BC157" s="322">
        <f t="shared" si="213"/>
        <v>79551.55</v>
      </c>
      <c r="BD157" s="322">
        <f t="shared" si="214"/>
        <v>58737.32</v>
      </c>
      <c r="BE157" s="322">
        <f t="shared" si="215"/>
        <v>61266.6</v>
      </c>
      <c r="BF157" s="322">
        <f t="shared" si="216"/>
        <v>50241</v>
      </c>
      <c r="BG157" s="322">
        <f t="shared" si="217"/>
        <v>70176</v>
      </c>
      <c r="BH157" s="322">
        <f t="shared" si="218"/>
        <v>60439</v>
      </c>
      <c r="BI157" s="322">
        <f t="shared" si="219"/>
        <v>79791</v>
      </c>
      <c r="BJ157" s="322">
        <f t="shared" si="220"/>
        <v>77025</v>
      </c>
      <c r="BK157" s="322">
        <f t="shared" si="221"/>
        <v>84348</v>
      </c>
      <c r="BL157" s="322">
        <f t="shared" si="222"/>
        <v>77167</v>
      </c>
      <c r="BM157" s="322">
        <f t="shared" si="223"/>
        <v>89841</v>
      </c>
      <c r="BN157" s="322">
        <f t="shared" si="224"/>
        <v>118566</v>
      </c>
      <c r="BO157" s="340">
        <f t="shared" si="225"/>
        <v>0</v>
      </c>
      <c r="BP157" s="340">
        <f t="shared" si="226"/>
        <v>0</v>
      </c>
      <c r="BQ157" s="340">
        <f t="shared" si="227"/>
        <v>167073</v>
      </c>
      <c r="BR157" s="340">
        <f t="shared" si="228"/>
        <v>182238</v>
      </c>
      <c r="BS157" s="340">
        <f t="shared" si="229"/>
        <v>206160</v>
      </c>
      <c r="BU157" s="340" t="s">
        <v>42</v>
      </c>
      <c r="BV157" s="340">
        <f t="shared" si="230"/>
        <v>26874.1</v>
      </c>
      <c r="BW157" s="340">
        <f t="shared" si="231"/>
        <v>26842.82</v>
      </c>
      <c r="BX157" s="340">
        <f t="shared" si="232"/>
        <v>30876.3</v>
      </c>
      <c r="BY157" s="340">
        <f t="shared" si="233"/>
        <v>46697.159999999996</v>
      </c>
      <c r="BZ157" s="340">
        <f t="shared" si="234"/>
        <v>45027.63</v>
      </c>
      <c r="CA157" s="340">
        <f t="shared" si="235"/>
        <v>63641.24</v>
      </c>
      <c r="CB157" s="340">
        <f t="shared" si="236"/>
        <v>88105.98</v>
      </c>
      <c r="CC157" s="340">
        <f t="shared" si="237"/>
        <v>91899.9</v>
      </c>
      <c r="CD157" s="340">
        <f t="shared" si="238"/>
        <v>85539</v>
      </c>
      <c r="CE157" s="340">
        <f t="shared" si="239"/>
        <v>56351</v>
      </c>
      <c r="CF157" s="340">
        <f t="shared" si="240"/>
        <v>58928</v>
      </c>
      <c r="CG157" s="340">
        <f t="shared" si="241"/>
        <v>62651</v>
      </c>
      <c r="CH157" s="340">
        <f t="shared" si="242"/>
        <v>67058</v>
      </c>
      <c r="CI157" s="340">
        <f t="shared" si="243"/>
        <v>66936</v>
      </c>
      <c r="CJ157" s="340">
        <f t="shared" si="244"/>
        <v>68317</v>
      </c>
      <c r="CK157" s="340">
        <f t="shared" si="245"/>
        <v>75183</v>
      </c>
      <c r="CL157" s="340">
        <f t="shared" si="246"/>
        <v>79313</v>
      </c>
      <c r="CM157" s="340">
        <f t="shared" si="247"/>
        <v>0</v>
      </c>
      <c r="CN157" s="340">
        <f t="shared" si="248"/>
        <v>0</v>
      </c>
      <c r="CO157" s="340">
        <f t="shared" si="249"/>
        <v>100706</v>
      </c>
      <c r="CP157" s="340">
        <f t="shared" si="250"/>
        <v>102864</v>
      </c>
      <c r="CQ157" s="340">
        <f t="shared" si="251"/>
        <v>107408</v>
      </c>
      <c r="CR157" s="122"/>
      <c r="CS157" s="340" t="s">
        <v>42</v>
      </c>
      <c r="CT157" s="340">
        <f t="shared" si="252"/>
        <v>134370.5</v>
      </c>
      <c r="CU157" s="340">
        <f t="shared" si="253"/>
        <v>93949.87</v>
      </c>
      <c r="CV157" s="340">
        <f t="shared" si="254"/>
        <v>123505.2</v>
      </c>
      <c r="CW157" s="340">
        <f t="shared" si="255"/>
        <v>62262.879999999997</v>
      </c>
      <c r="CX157" s="340">
        <f t="shared" si="256"/>
        <v>45027.63</v>
      </c>
      <c r="CY157" s="340">
        <f t="shared" si="257"/>
        <v>238654.65</v>
      </c>
      <c r="CZ157" s="340">
        <f t="shared" si="258"/>
        <v>73421.649999999994</v>
      </c>
      <c r="DA157" s="340">
        <f t="shared" si="259"/>
        <v>91899.9</v>
      </c>
      <c r="DB157" s="340">
        <f t="shared" si="260"/>
        <v>78756</v>
      </c>
      <c r="DC157" s="340">
        <f t="shared" si="261"/>
        <v>103159</v>
      </c>
      <c r="DD157" s="340">
        <f t="shared" si="262"/>
        <v>101833</v>
      </c>
      <c r="DE157" s="340">
        <f t="shared" si="263"/>
        <v>141520</v>
      </c>
      <c r="DF157" s="340">
        <f t="shared" si="264"/>
        <v>162488</v>
      </c>
      <c r="DG157" s="340">
        <f t="shared" si="265"/>
        <v>149113</v>
      </c>
      <c r="DH157" s="340">
        <f t="shared" si="266"/>
        <v>161448</v>
      </c>
      <c r="DI157" s="340">
        <f t="shared" si="267"/>
        <v>184554</v>
      </c>
      <c r="DJ157" s="340">
        <f t="shared" si="268"/>
        <v>184437</v>
      </c>
      <c r="DK157" s="340">
        <f t="shared" si="269"/>
        <v>0</v>
      </c>
      <c r="DL157" s="340">
        <f t="shared" si="270"/>
        <v>0</v>
      </c>
      <c r="DM157" s="340">
        <f t="shared" si="271"/>
        <v>165086</v>
      </c>
      <c r="DN157" s="340">
        <f t="shared" si="272"/>
        <v>149416</v>
      </c>
      <c r="DO157" s="340">
        <f t="shared" si="273"/>
        <v>162836</v>
      </c>
      <c r="DP157" s="330"/>
      <c r="DQ157" s="340" t="s">
        <v>42</v>
      </c>
      <c r="DR157" s="340">
        <f t="shared" ref="DR157:EM157" si="349">DR59</f>
        <v>134370.5</v>
      </c>
      <c r="DS157" s="340">
        <f t="shared" si="349"/>
        <v>174478.33</v>
      </c>
      <c r="DT157" s="340">
        <f t="shared" si="349"/>
        <v>200695.95</v>
      </c>
      <c r="DU157" s="340">
        <f t="shared" si="349"/>
        <v>217920.08</v>
      </c>
      <c r="DV157" s="340">
        <f t="shared" si="349"/>
        <v>225138.15</v>
      </c>
      <c r="DW157" s="340">
        <f t="shared" si="349"/>
        <v>95461.86</v>
      </c>
      <c r="DX157" s="340">
        <f t="shared" si="349"/>
        <v>14684.33</v>
      </c>
      <c r="DY157" s="340">
        <f t="shared" si="349"/>
        <v>15316.65</v>
      </c>
      <c r="DZ157" s="340">
        <f t="shared" si="349"/>
        <v>21405</v>
      </c>
      <c r="EA157" s="340">
        <f t="shared" si="349"/>
        <v>3937</v>
      </c>
      <c r="EB157" s="340">
        <f t="shared" si="349"/>
        <v>8575</v>
      </c>
      <c r="EC157" s="340">
        <f t="shared" si="349"/>
        <v>9842</v>
      </c>
      <c r="ED157" s="340">
        <f t="shared" si="349"/>
        <v>110029</v>
      </c>
      <c r="EE157" s="340">
        <f t="shared" si="349"/>
        <v>6064</v>
      </c>
      <c r="EF157" s="340">
        <f t="shared" si="349"/>
        <v>111898</v>
      </c>
      <c r="EG157" s="340">
        <f t="shared" si="349"/>
        <v>110935</v>
      </c>
      <c r="EH157" s="340">
        <f t="shared" si="349"/>
        <v>10309</v>
      </c>
      <c r="EI157" s="340">
        <f t="shared" si="349"/>
        <v>0</v>
      </c>
      <c r="EJ157" s="340">
        <f t="shared" si="349"/>
        <v>0</v>
      </c>
      <c r="EK157" s="340">
        <f t="shared" si="349"/>
        <v>10135</v>
      </c>
      <c r="EL157" s="340">
        <f t="shared" si="349"/>
        <v>11409</v>
      </c>
      <c r="EM157" s="340">
        <f t="shared" si="349"/>
        <v>12700</v>
      </c>
      <c r="EO157" s="319" t="s">
        <v>42</v>
      </c>
      <c r="EP157" s="319">
        <f t="shared" si="275"/>
        <v>443422.65</v>
      </c>
      <c r="EQ157" s="319">
        <f t="shared" si="276"/>
        <v>577120.63</v>
      </c>
      <c r="ER157" s="319">
        <f t="shared" si="277"/>
        <v>648402.30000000005</v>
      </c>
      <c r="ES157" s="319">
        <f t="shared" si="278"/>
        <v>684891.67999999993</v>
      </c>
      <c r="ET157" s="319">
        <f t="shared" si="279"/>
        <v>630386.82000000007</v>
      </c>
      <c r="EU157" s="319">
        <f t="shared" si="280"/>
        <v>668233.02</v>
      </c>
      <c r="EV157" s="319">
        <f t="shared" si="281"/>
        <v>704847.84000000008</v>
      </c>
      <c r="EW157" s="319">
        <f t="shared" si="282"/>
        <v>750515.85000000009</v>
      </c>
      <c r="EX157" s="319">
        <f t="shared" si="283"/>
        <v>644930</v>
      </c>
      <c r="EY157" s="319">
        <f t="shared" si="284"/>
        <v>599219</v>
      </c>
      <c r="EZ157" s="319">
        <f t="shared" si="285"/>
        <v>595303</v>
      </c>
      <c r="FA157" s="319">
        <f t="shared" si="286"/>
        <v>570729</v>
      </c>
      <c r="FB157" s="319">
        <f t="shared" si="287"/>
        <v>770754</v>
      </c>
      <c r="FC157" s="319">
        <f t="shared" si="288"/>
        <v>666080</v>
      </c>
      <c r="FD157" s="319">
        <f t="shared" si="289"/>
        <v>685824</v>
      </c>
      <c r="FE157" s="319">
        <f t="shared" si="290"/>
        <v>667216</v>
      </c>
      <c r="FF157" s="322">
        <f t="shared" si="291"/>
        <v>667183</v>
      </c>
      <c r="FG157" s="336">
        <f t="shared" si="292"/>
        <v>0</v>
      </c>
      <c r="FH157" s="336">
        <f t="shared" si="293"/>
        <v>0</v>
      </c>
      <c r="FI157" s="336">
        <f t="shared" si="294"/>
        <v>839920</v>
      </c>
      <c r="FJ157" s="336">
        <f t="shared" si="295"/>
        <v>838087</v>
      </c>
      <c r="FK157" s="336">
        <f t="shared" si="296"/>
        <v>950175</v>
      </c>
      <c r="FL157" s="122"/>
      <c r="FM157" s="340" t="s">
        <v>42</v>
      </c>
      <c r="FN157" s="340">
        <f t="shared" si="297"/>
        <v>53748.2</v>
      </c>
      <c r="FO157" s="340">
        <f t="shared" si="298"/>
        <v>53685.64</v>
      </c>
      <c r="FP157" s="340">
        <f t="shared" si="299"/>
        <v>61752.6</v>
      </c>
      <c r="FQ157" s="340">
        <f t="shared" si="300"/>
        <v>77828.600000000006</v>
      </c>
      <c r="FR157" s="340">
        <f t="shared" si="301"/>
        <v>75046.05</v>
      </c>
      <c r="FS157" s="340">
        <f t="shared" si="302"/>
        <v>79551.55</v>
      </c>
      <c r="FT157" s="340">
        <f t="shared" si="303"/>
        <v>88105.98</v>
      </c>
      <c r="FU157" s="340">
        <f t="shared" si="304"/>
        <v>91899.9</v>
      </c>
      <c r="FV157" s="340">
        <f t="shared" si="305"/>
        <v>93269</v>
      </c>
      <c r="FW157" s="340">
        <f t="shared" si="306"/>
        <v>88508</v>
      </c>
      <c r="FX157" s="340">
        <f t="shared" si="307"/>
        <v>93480</v>
      </c>
      <c r="FY157" s="340">
        <f t="shared" si="308"/>
        <v>94950</v>
      </c>
      <c r="FZ157" s="340">
        <f t="shared" si="309"/>
        <v>102227</v>
      </c>
      <c r="GA157" s="340">
        <f t="shared" si="310"/>
        <v>105158</v>
      </c>
      <c r="GB157" s="340">
        <f t="shared" si="311"/>
        <v>107586</v>
      </c>
      <c r="GC157" s="340">
        <f t="shared" si="312"/>
        <v>120614</v>
      </c>
      <c r="GD157" s="340">
        <f t="shared" si="313"/>
        <v>123462</v>
      </c>
      <c r="GE157" s="340">
        <f t="shared" si="314"/>
        <v>0</v>
      </c>
      <c r="GF157" s="340">
        <f t="shared" si="315"/>
        <v>0</v>
      </c>
      <c r="GG157" s="340">
        <f t="shared" si="316"/>
        <v>128997</v>
      </c>
      <c r="GH157" s="340">
        <f t="shared" si="317"/>
        <v>135980</v>
      </c>
      <c r="GI157" s="340">
        <f t="shared" si="318"/>
        <v>144703</v>
      </c>
      <c r="GJ157" s="122"/>
      <c r="GK157" s="340" t="s">
        <v>42</v>
      </c>
      <c r="GL157" s="340">
        <f t="shared" si="319"/>
        <v>13437.05</v>
      </c>
      <c r="GM157" s="340">
        <f t="shared" si="320"/>
        <v>13421.41</v>
      </c>
      <c r="GN157" s="340">
        <f t="shared" si="321"/>
        <v>30876.3</v>
      </c>
      <c r="GO157" s="340">
        <f t="shared" si="322"/>
        <v>15565.72</v>
      </c>
      <c r="GP157" s="340">
        <f t="shared" si="323"/>
        <v>15009.21</v>
      </c>
      <c r="GQ157" s="340">
        <f t="shared" si="324"/>
        <v>0</v>
      </c>
      <c r="GR157" s="340">
        <f t="shared" si="325"/>
        <v>0</v>
      </c>
      <c r="GS157" s="340">
        <f t="shared" si="326"/>
        <v>0</v>
      </c>
      <c r="GT157" s="340">
        <f t="shared" si="327"/>
        <v>72925</v>
      </c>
      <c r="GU157" s="340">
        <f t="shared" si="328"/>
        <v>12600</v>
      </c>
      <c r="GV157" s="340">
        <f t="shared" si="329"/>
        <v>0</v>
      </c>
      <c r="GW157" s="340">
        <f t="shared" si="330"/>
        <v>1030</v>
      </c>
      <c r="GX157" s="340">
        <f t="shared" si="331"/>
        <v>98000</v>
      </c>
      <c r="GY157" s="340">
        <f t="shared" si="332"/>
        <v>20177</v>
      </c>
      <c r="GZ157" s="340">
        <f t="shared" si="333"/>
        <v>0</v>
      </c>
      <c r="HA157" s="340">
        <f t="shared" si="334"/>
        <v>0</v>
      </c>
      <c r="HB157" s="340">
        <f t="shared" si="335"/>
        <v>27772</v>
      </c>
      <c r="HC157" s="340">
        <f t="shared" si="336"/>
        <v>0</v>
      </c>
      <c r="HD157" s="340">
        <f t="shared" si="337"/>
        <v>0</v>
      </c>
      <c r="HE157" s="340">
        <f t="shared" si="338"/>
        <v>42473</v>
      </c>
      <c r="HF157" s="340">
        <f t="shared" si="339"/>
        <v>23347</v>
      </c>
      <c r="HG157" s="340">
        <f t="shared" si="340"/>
        <v>30605</v>
      </c>
      <c r="HH157" s="122"/>
      <c r="IF157" s="122"/>
      <c r="IG157" s="122"/>
      <c r="IH157" s="122"/>
      <c r="II157" s="122"/>
      <c r="IJ157" s="122"/>
      <c r="IK157" s="122"/>
      <c r="IL157" s="122"/>
      <c r="IN157" s="118"/>
      <c r="IP157" s="122"/>
      <c r="IQ157" s="122"/>
      <c r="IR157" s="122"/>
      <c r="IS157" s="122"/>
      <c r="IT157" s="122"/>
      <c r="IU157" s="122"/>
      <c r="IV157" s="122"/>
      <c r="IW157" s="122"/>
      <c r="IX157" s="122"/>
      <c r="IY157" s="122"/>
      <c r="IZ157" s="122"/>
      <c r="JA157" s="122"/>
      <c r="JB157" s="122"/>
      <c r="JC157" s="122"/>
      <c r="JD157" s="122"/>
      <c r="JE157" s="122"/>
      <c r="JF157" s="122"/>
      <c r="JG157" s="122"/>
      <c r="JH157" s="122"/>
      <c r="JI157" s="122"/>
      <c r="JK157" s="118"/>
      <c r="JL157" s="118"/>
      <c r="JY157" s="122"/>
      <c r="JZ157" s="122"/>
      <c r="KA157" s="122"/>
      <c r="KB157" s="122"/>
      <c r="LX157" s="122"/>
      <c r="LY157" s="122"/>
      <c r="LZ157" s="122"/>
      <c r="MB157" s="118"/>
      <c r="MC157" s="118"/>
      <c r="MP157" s="122"/>
      <c r="MQ157" s="122"/>
      <c r="MR157" s="122"/>
      <c r="MS157" s="122"/>
      <c r="MT157" s="122"/>
      <c r="MU157" s="122"/>
      <c r="MV157" s="122"/>
      <c r="OS157" s="118"/>
      <c r="OT157" s="118"/>
      <c r="PC157" s="122"/>
      <c r="PD157" s="122"/>
      <c r="PE157" s="122"/>
      <c r="PF157" s="122"/>
      <c r="PG157" s="122"/>
      <c r="PH157" s="122"/>
      <c r="PI157" s="122"/>
      <c r="PJ157" s="122"/>
      <c r="PP157" s="118"/>
      <c r="PQ157" s="118"/>
      <c r="PZ157" s="122"/>
      <c r="QA157" s="122"/>
      <c r="QB157" s="122"/>
      <c r="QC157" s="122"/>
      <c r="QD157" s="122"/>
      <c r="QE157" s="122"/>
      <c r="QF157" s="122"/>
      <c r="QG157" s="122"/>
      <c r="QM157" s="118"/>
      <c r="QN157" s="118"/>
      <c r="RE157" s="118"/>
      <c r="RF157" s="118"/>
      <c r="RG157" s="118"/>
      <c r="RH157" s="118"/>
      <c r="RI157" s="118"/>
      <c r="RJ157" s="118"/>
      <c r="RK157" s="118"/>
    </row>
    <row r="158" spans="25:479">
      <c r="Y158" s="277" t="s">
        <v>43</v>
      </c>
      <c r="Z158" s="319">
        <f t="shared" si="186"/>
        <v>376479.19</v>
      </c>
      <c r="AA158" s="319">
        <f t="shared" si="187"/>
        <v>334311.57</v>
      </c>
      <c r="AB158" s="319">
        <f t="shared" si="188"/>
        <v>357502.86</v>
      </c>
      <c r="AC158" s="319">
        <f t="shared" si="189"/>
        <v>356937.84</v>
      </c>
      <c r="AD158" s="319">
        <f t="shared" si="190"/>
        <v>407538.96</v>
      </c>
      <c r="AE158" s="319">
        <f t="shared" si="191"/>
        <v>407108.80000000005</v>
      </c>
      <c r="AF158" s="319">
        <f t="shared" si="192"/>
        <v>412963.35</v>
      </c>
      <c r="AG158" s="319">
        <f t="shared" si="193"/>
        <v>404358.24000000005</v>
      </c>
      <c r="AH158" s="319">
        <f t="shared" si="194"/>
        <v>425613.67</v>
      </c>
      <c r="AI158" s="319">
        <f t="shared" si="195"/>
        <v>408121.23</v>
      </c>
      <c r="AJ158" s="319">
        <f t="shared" si="196"/>
        <v>447457.96000000008</v>
      </c>
      <c r="AK158" s="319">
        <f t="shared" si="197"/>
        <v>421372.16000000003</v>
      </c>
      <c r="AL158" s="319">
        <f t="shared" si="198"/>
        <v>465316.65</v>
      </c>
      <c r="AM158" s="319">
        <f t="shared" si="199"/>
        <v>470750.76000000007</v>
      </c>
      <c r="AN158" s="319">
        <f t="shared" si="200"/>
        <v>0</v>
      </c>
      <c r="AO158" s="319">
        <f t="shared" si="201"/>
        <v>0</v>
      </c>
      <c r="AP158" s="319">
        <f t="shared" si="202"/>
        <v>0</v>
      </c>
      <c r="AQ158" s="319">
        <f t="shared" si="203"/>
        <v>0</v>
      </c>
      <c r="AR158" s="319">
        <f t="shared" si="204"/>
        <v>0</v>
      </c>
      <c r="AS158" s="319">
        <f t="shared" si="205"/>
        <v>0</v>
      </c>
      <c r="AT158" s="319">
        <f t="shared" si="206"/>
        <v>0</v>
      </c>
      <c r="AU158" s="319">
        <f t="shared" si="207"/>
        <v>0</v>
      </c>
      <c r="AW158" s="322" t="s">
        <v>43</v>
      </c>
      <c r="AX158" s="322">
        <f t="shared" si="208"/>
        <v>157878.37</v>
      </c>
      <c r="AY158" s="322">
        <f t="shared" si="209"/>
        <v>160964.83000000002</v>
      </c>
      <c r="AZ158" s="322">
        <f t="shared" si="210"/>
        <v>165001.32</v>
      </c>
      <c r="BA158" s="322">
        <f t="shared" si="211"/>
        <v>158639.04000000001</v>
      </c>
      <c r="BB158" s="322">
        <f t="shared" si="212"/>
        <v>50942.37</v>
      </c>
      <c r="BC158" s="322">
        <f t="shared" si="213"/>
        <v>72698</v>
      </c>
      <c r="BD158" s="322">
        <f t="shared" si="214"/>
        <v>77553.75</v>
      </c>
      <c r="BE158" s="322">
        <f t="shared" si="215"/>
        <v>93313.44</v>
      </c>
      <c r="BF158" s="322">
        <f t="shared" si="216"/>
        <v>98968.5</v>
      </c>
      <c r="BG158" s="322">
        <f t="shared" si="217"/>
        <v>107038.37000000001</v>
      </c>
      <c r="BH158" s="322">
        <f t="shared" si="218"/>
        <v>91672.43</v>
      </c>
      <c r="BI158" s="322">
        <f t="shared" si="219"/>
        <v>112245.71</v>
      </c>
      <c r="BJ158" s="322">
        <f t="shared" si="220"/>
        <v>94446.98000000001</v>
      </c>
      <c r="BK158" s="322">
        <f t="shared" si="221"/>
        <v>106310.21</v>
      </c>
      <c r="BL158" s="322">
        <f t="shared" si="222"/>
        <v>0</v>
      </c>
      <c r="BM158" s="322">
        <f t="shared" si="223"/>
        <v>0</v>
      </c>
      <c r="BN158" s="322">
        <f t="shared" si="224"/>
        <v>0</v>
      </c>
      <c r="BO158" s="340">
        <f t="shared" si="225"/>
        <v>0</v>
      </c>
      <c r="BP158" s="340">
        <f t="shared" si="226"/>
        <v>0</v>
      </c>
      <c r="BQ158" s="340">
        <f t="shared" si="227"/>
        <v>0</v>
      </c>
      <c r="BR158" s="340">
        <f t="shared" si="228"/>
        <v>0</v>
      </c>
      <c r="BS158" s="340">
        <f t="shared" si="229"/>
        <v>0</v>
      </c>
      <c r="BU158" s="340" t="s">
        <v>43</v>
      </c>
      <c r="BV158" s="340">
        <f t="shared" si="230"/>
        <v>36433.47</v>
      </c>
      <c r="BW158" s="340">
        <f t="shared" si="231"/>
        <v>49527.64</v>
      </c>
      <c r="BX158" s="340">
        <f t="shared" si="232"/>
        <v>41250.33</v>
      </c>
      <c r="BY158" s="340">
        <f t="shared" si="233"/>
        <v>39659.760000000002</v>
      </c>
      <c r="BZ158" s="340">
        <f t="shared" si="234"/>
        <v>33961.58</v>
      </c>
      <c r="CA158" s="340">
        <f t="shared" si="235"/>
        <v>58158.400000000001</v>
      </c>
      <c r="CB158" s="340">
        <f t="shared" si="236"/>
        <v>62043</v>
      </c>
      <c r="CC158" s="340">
        <f t="shared" si="237"/>
        <v>62208.959999999999</v>
      </c>
      <c r="CD158" s="340">
        <f t="shared" si="238"/>
        <v>58860.04</v>
      </c>
      <c r="CE158" s="340">
        <f t="shared" si="239"/>
        <v>61314.189999999995</v>
      </c>
      <c r="CF158" s="340">
        <f t="shared" si="240"/>
        <v>61379.200000000004</v>
      </c>
      <c r="CG158" s="340">
        <f t="shared" si="241"/>
        <v>72477.070000000007</v>
      </c>
      <c r="CH158" s="340">
        <f t="shared" si="242"/>
        <v>70911.790000000008</v>
      </c>
      <c r="CI158" s="340">
        <f t="shared" si="243"/>
        <v>70704.179999999993</v>
      </c>
      <c r="CJ158" s="340">
        <f t="shared" si="244"/>
        <v>0</v>
      </c>
      <c r="CK158" s="340">
        <f t="shared" si="245"/>
        <v>0</v>
      </c>
      <c r="CL158" s="340">
        <f t="shared" si="246"/>
        <v>0</v>
      </c>
      <c r="CM158" s="340">
        <f t="shared" si="247"/>
        <v>0</v>
      </c>
      <c r="CN158" s="340">
        <f t="shared" si="248"/>
        <v>0</v>
      </c>
      <c r="CO158" s="340">
        <f t="shared" si="249"/>
        <v>0</v>
      </c>
      <c r="CP158" s="340">
        <f t="shared" si="250"/>
        <v>0</v>
      </c>
      <c r="CQ158" s="340">
        <f t="shared" si="251"/>
        <v>0</v>
      </c>
      <c r="CR158" s="122"/>
      <c r="CS158" s="340" t="s">
        <v>43</v>
      </c>
      <c r="CT158" s="340">
        <f t="shared" si="252"/>
        <v>97155.92</v>
      </c>
      <c r="CU158" s="340">
        <f t="shared" si="253"/>
        <v>111437.19</v>
      </c>
      <c r="CV158" s="340">
        <f t="shared" si="254"/>
        <v>151251.21000000002</v>
      </c>
      <c r="CW158" s="340">
        <f t="shared" si="255"/>
        <v>105759.36</v>
      </c>
      <c r="CX158" s="340">
        <f t="shared" si="256"/>
        <v>543385.28</v>
      </c>
      <c r="CY158" s="340">
        <f t="shared" si="257"/>
        <v>203554.4</v>
      </c>
      <c r="CZ158" s="340">
        <f t="shared" si="258"/>
        <v>155107.5</v>
      </c>
      <c r="DA158" s="340">
        <f t="shared" si="259"/>
        <v>171074.63999999998</v>
      </c>
      <c r="DB158" s="340">
        <f t="shared" si="260"/>
        <v>129672.31999999998</v>
      </c>
      <c r="DC158" s="340">
        <f t="shared" si="261"/>
        <v>171210.59999999998</v>
      </c>
      <c r="DD158" s="340">
        <f t="shared" si="262"/>
        <v>157187.63000000003</v>
      </c>
      <c r="DE158" s="340">
        <f t="shared" si="263"/>
        <v>153053.75</v>
      </c>
      <c r="DF158" s="340">
        <f t="shared" si="264"/>
        <v>145023.43</v>
      </c>
      <c r="DG158" s="340">
        <f t="shared" si="265"/>
        <v>157756.48999999996</v>
      </c>
      <c r="DH158" s="340">
        <f t="shared" si="266"/>
        <v>0</v>
      </c>
      <c r="DI158" s="340">
        <f t="shared" si="267"/>
        <v>0</v>
      </c>
      <c r="DJ158" s="340">
        <f t="shared" si="268"/>
        <v>0</v>
      </c>
      <c r="DK158" s="340">
        <f t="shared" si="269"/>
        <v>0</v>
      </c>
      <c r="DL158" s="340">
        <f t="shared" si="270"/>
        <v>0</v>
      </c>
      <c r="DM158" s="340">
        <f t="shared" si="271"/>
        <v>0</v>
      </c>
      <c r="DN158" s="340">
        <f t="shared" si="272"/>
        <v>0</v>
      </c>
      <c r="DO158" s="340">
        <f t="shared" si="273"/>
        <v>0</v>
      </c>
      <c r="DP158" s="330"/>
      <c r="DQ158" s="340" t="s">
        <v>43</v>
      </c>
      <c r="DR158" s="340">
        <f t="shared" ref="DR158:EM158" si="350">DR60</f>
        <v>145733.88</v>
      </c>
      <c r="DS158" s="340">
        <f t="shared" si="350"/>
        <v>160964.82999999999</v>
      </c>
      <c r="DT158" s="340">
        <f t="shared" si="350"/>
        <v>178751.43</v>
      </c>
      <c r="DU158" s="340">
        <f t="shared" si="350"/>
        <v>171858.96</v>
      </c>
      <c r="DV158" s="340">
        <f t="shared" si="350"/>
        <v>186788.69</v>
      </c>
      <c r="DW158" s="340">
        <f t="shared" si="350"/>
        <v>189014.8</v>
      </c>
      <c r="DX158" s="340">
        <f t="shared" si="350"/>
        <v>201639.75</v>
      </c>
      <c r="DY158" s="340">
        <f t="shared" si="350"/>
        <v>202179.12</v>
      </c>
      <c r="DZ158" s="340">
        <f t="shared" si="350"/>
        <v>222728.93999999997</v>
      </c>
      <c r="EA158" s="340">
        <f t="shared" si="350"/>
        <v>225635.27</v>
      </c>
      <c r="EB158" s="340">
        <f t="shared" si="350"/>
        <v>229958.46999999997</v>
      </c>
      <c r="EC158" s="340">
        <f t="shared" si="350"/>
        <v>239997.49</v>
      </c>
      <c r="ED158" s="340">
        <f t="shared" si="350"/>
        <v>240698.91999999998</v>
      </c>
      <c r="EE158" s="340">
        <f t="shared" si="350"/>
        <v>268251.18</v>
      </c>
      <c r="EF158" s="340">
        <f t="shared" si="350"/>
        <v>0</v>
      </c>
      <c r="EG158" s="340">
        <f t="shared" si="350"/>
        <v>0</v>
      </c>
      <c r="EH158" s="340">
        <f t="shared" si="350"/>
        <v>0</v>
      </c>
      <c r="EI158" s="340">
        <f t="shared" si="350"/>
        <v>0</v>
      </c>
      <c r="EJ158" s="340">
        <f t="shared" si="350"/>
        <v>0</v>
      </c>
      <c r="EK158" s="340">
        <f t="shared" si="350"/>
        <v>0</v>
      </c>
      <c r="EL158" s="340">
        <f t="shared" si="350"/>
        <v>0</v>
      </c>
      <c r="EM158" s="340">
        <f t="shared" si="350"/>
        <v>0</v>
      </c>
      <c r="EO158" s="319" t="s">
        <v>43</v>
      </c>
      <c r="EP158" s="319">
        <f t="shared" si="275"/>
        <v>303612.25</v>
      </c>
      <c r="EQ158" s="319">
        <f t="shared" si="276"/>
        <v>309547.75</v>
      </c>
      <c r="ER158" s="319">
        <f t="shared" si="277"/>
        <v>371252.97</v>
      </c>
      <c r="ES158" s="319">
        <f t="shared" si="278"/>
        <v>383377.68000000005</v>
      </c>
      <c r="ET158" s="319">
        <f t="shared" si="279"/>
        <v>390558.17000000004</v>
      </c>
      <c r="EU158" s="319">
        <f t="shared" si="280"/>
        <v>407108.80000000005</v>
      </c>
      <c r="EV158" s="319">
        <f t="shared" si="281"/>
        <v>527365.5</v>
      </c>
      <c r="EW158" s="319">
        <f t="shared" si="282"/>
        <v>513223.92000000004</v>
      </c>
      <c r="EX158" s="319">
        <f t="shared" si="283"/>
        <v>512770.26999999996</v>
      </c>
      <c r="EY158" s="319">
        <f t="shared" si="284"/>
        <v>501831.68999999994</v>
      </c>
      <c r="EZ158" s="319">
        <f t="shared" si="285"/>
        <v>471453.86</v>
      </c>
      <c r="FA158" s="319">
        <f t="shared" si="286"/>
        <v>528494.04</v>
      </c>
      <c r="FB158" s="319">
        <f t="shared" si="287"/>
        <v>505499.27</v>
      </c>
      <c r="FC158" s="319">
        <f t="shared" si="288"/>
        <v>508211.42999999993</v>
      </c>
      <c r="FD158" s="319">
        <f t="shared" si="289"/>
        <v>0</v>
      </c>
      <c r="FE158" s="319">
        <f t="shared" si="290"/>
        <v>0</v>
      </c>
      <c r="FF158" s="322">
        <f t="shared" si="291"/>
        <v>0</v>
      </c>
      <c r="FG158" s="336">
        <f t="shared" si="292"/>
        <v>0</v>
      </c>
      <c r="FH158" s="336">
        <f t="shared" si="293"/>
        <v>0</v>
      </c>
      <c r="FI158" s="336">
        <f t="shared" si="294"/>
        <v>0</v>
      </c>
      <c r="FJ158" s="336">
        <f t="shared" si="295"/>
        <v>0</v>
      </c>
      <c r="FK158" s="336">
        <f t="shared" si="296"/>
        <v>0</v>
      </c>
      <c r="FL158" s="122"/>
      <c r="FM158" s="340" t="s">
        <v>43</v>
      </c>
      <c r="FN158" s="340">
        <f t="shared" si="297"/>
        <v>85011.43</v>
      </c>
      <c r="FO158" s="340">
        <f t="shared" si="298"/>
        <v>99055.28</v>
      </c>
      <c r="FP158" s="340">
        <f t="shared" si="299"/>
        <v>96250.77</v>
      </c>
      <c r="FQ158" s="340">
        <f t="shared" si="300"/>
        <v>92539.44</v>
      </c>
      <c r="FR158" s="340">
        <f t="shared" si="301"/>
        <v>84903.95</v>
      </c>
      <c r="FS158" s="340">
        <f t="shared" si="302"/>
        <v>101777.2</v>
      </c>
      <c r="FT158" s="340">
        <f t="shared" si="303"/>
        <v>108575.25</v>
      </c>
      <c r="FU158" s="340">
        <f t="shared" si="304"/>
        <v>108865.68</v>
      </c>
      <c r="FV158" s="340">
        <f t="shared" si="305"/>
        <v>101398.84</v>
      </c>
      <c r="FW158" s="340">
        <f t="shared" si="306"/>
        <v>105808.75</v>
      </c>
      <c r="FX158" s="340">
        <f t="shared" si="307"/>
        <v>109061.34</v>
      </c>
      <c r="FY158" s="340">
        <f t="shared" si="308"/>
        <v>108541.95</v>
      </c>
      <c r="FZ158" s="340">
        <f t="shared" si="309"/>
        <v>111562.27</v>
      </c>
      <c r="GA158" s="340">
        <f t="shared" si="310"/>
        <v>116139.01</v>
      </c>
      <c r="GB158" s="340">
        <f t="shared" si="311"/>
        <v>0</v>
      </c>
      <c r="GC158" s="340">
        <f t="shared" si="312"/>
        <v>0</v>
      </c>
      <c r="GD158" s="340">
        <f t="shared" si="313"/>
        <v>0</v>
      </c>
      <c r="GE158" s="340">
        <f t="shared" si="314"/>
        <v>0</v>
      </c>
      <c r="GF158" s="340">
        <f t="shared" si="315"/>
        <v>0</v>
      </c>
      <c r="GG158" s="340">
        <f t="shared" si="316"/>
        <v>0</v>
      </c>
      <c r="GH158" s="340">
        <f t="shared" si="317"/>
        <v>0</v>
      </c>
      <c r="GI158" s="340">
        <f t="shared" si="318"/>
        <v>0</v>
      </c>
      <c r="GJ158" s="122"/>
      <c r="GK158" s="340" t="s">
        <v>43</v>
      </c>
      <c r="GL158" s="340">
        <f t="shared" si="319"/>
        <v>12144.49</v>
      </c>
      <c r="GM158" s="340">
        <f t="shared" si="320"/>
        <v>12381.91</v>
      </c>
      <c r="GN158" s="340">
        <f t="shared" si="321"/>
        <v>13750.11</v>
      </c>
      <c r="GO158" s="340">
        <f t="shared" si="322"/>
        <v>13219.92</v>
      </c>
      <c r="GP158" s="340">
        <f t="shared" si="323"/>
        <v>0</v>
      </c>
      <c r="GQ158" s="340">
        <f t="shared" si="324"/>
        <v>14539.6</v>
      </c>
      <c r="GR158" s="340">
        <f t="shared" si="325"/>
        <v>0</v>
      </c>
      <c r="GS158" s="340">
        <f t="shared" si="326"/>
        <v>0</v>
      </c>
      <c r="GT158" s="340">
        <f t="shared" si="327"/>
        <v>10500</v>
      </c>
      <c r="GU158" s="340">
        <f t="shared" si="328"/>
        <v>0</v>
      </c>
      <c r="GV158" s="340">
        <f t="shared" si="329"/>
        <v>0</v>
      </c>
      <c r="GW158" s="340">
        <f t="shared" si="330"/>
        <v>23000</v>
      </c>
      <c r="GX158" s="340">
        <f t="shared" si="331"/>
        <v>194000</v>
      </c>
      <c r="GY158" s="340">
        <f t="shared" si="332"/>
        <v>20131.43</v>
      </c>
      <c r="GZ158" s="340">
        <f t="shared" si="333"/>
        <v>0</v>
      </c>
      <c r="HA158" s="340">
        <f t="shared" si="334"/>
        <v>0</v>
      </c>
      <c r="HB158" s="340">
        <f t="shared" si="335"/>
        <v>0</v>
      </c>
      <c r="HC158" s="340">
        <f t="shared" si="336"/>
        <v>0</v>
      </c>
      <c r="HD158" s="340">
        <f t="shared" si="337"/>
        <v>0</v>
      </c>
      <c r="HE158" s="340">
        <f t="shared" si="338"/>
        <v>0</v>
      </c>
      <c r="HF158" s="340">
        <f t="shared" si="339"/>
        <v>0</v>
      </c>
      <c r="HG158" s="340">
        <f t="shared" si="340"/>
        <v>0</v>
      </c>
      <c r="HH158" s="122"/>
      <c r="IF158" s="122"/>
      <c r="IG158" s="122"/>
      <c r="IH158" s="122"/>
      <c r="II158" s="122"/>
      <c r="IJ158" s="122"/>
      <c r="IK158" s="122"/>
      <c r="IL158" s="122"/>
      <c r="IN158" s="118"/>
      <c r="IP158" s="122"/>
      <c r="IQ158" s="122"/>
      <c r="IR158" s="122"/>
      <c r="IS158" s="122"/>
      <c r="IT158" s="122"/>
      <c r="IU158" s="122"/>
      <c r="IV158" s="122"/>
      <c r="IW158" s="122"/>
      <c r="IX158" s="122"/>
      <c r="IY158" s="122"/>
      <c r="IZ158" s="122"/>
      <c r="JA158" s="122"/>
      <c r="JB158" s="122"/>
      <c r="JC158" s="122"/>
      <c r="JD158" s="122"/>
      <c r="JE158" s="122"/>
      <c r="JF158" s="122"/>
      <c r="JG158" s="122"/>
      <c r="JH158" s="122"/>
      <c r="JI158" s="122"/>
      <c r="JK158" s="118"/>
      <c r="JL158" s="118"/>
      <c r="JY158" s="122"/>
      <c r="JZ158" s="122"/>
      <c r="KA158" s="122"/>
      <c r="KB158" s="122"/>
      <c r="LX158" s="122"/>
      <c r="LY158" s="122"/>
      <c r="LZ158" s="122"/>
      <c r="MB158" s="118"/>
      <c r="MC158" s="118"/>
      <c r="MP158" s="122"/>
      <c r="MQ158" s="122"/>
      <c r="MR158" s="122"/>
      <c r="MS158" s="122"/>
      <c r="MT158" s="122"/>
      <c r="MU158" s="122"/>
      <c r="MV158" s="122"/>
      <c r="OS158" s="118"/>
      <c r="OT158" s="118"/>
      <c r="PC158" s="122"/>
      <c r="PD158" s="122"/>
      <c r="PE158" s="122"/>
      <c r="PF158" s="122"/>
      <c r="PG158" s="122"/>
      <c r="PH158" s="122"/>
      <c r="PI158" s="122"/>
      <c r="PJ158" s="122"/>
      <c r="PP158" s="118"/>
      <c r="PQ158" s="118"/>
      <c r="PZ158" s="122"/>
      <c r="QA158" s="122"/>
      <c r="QB158" s="122"/>
      <c r="QC158" s="122"/>
      <c r="QD158" s="122"/>
      <c r="QE158" s="122"/>
      <c r="QF158" s="122"/>
      <c r="QG158" s="122"/>
      <c r="QM158" s="118"/>
      <c r="QN158" s="118"/>
      <c r="RE158" s="118"/>
      <c r="RF158" s="118"/>
      <c r="RG158" s="118"/>
      <c r="RH158" s="118"/>
      <c r="RI158" s="118"/>
      <c r="RJ158" s="118"/>
      <c r="RK158" s="118"/>
    </row>
    <row r="159" spans="25:479">
      <c r="Y159" s="277" t="s">
        <v>44</v>
      </c>
      <c r="Z159" s="319">
        <f t="shared" si="186"/>
        <v>296287.46000000002</v>
      </c>
      <c r="AA159" s="319">
        <f t="shared" si="187"/>
        <v>240197.03999999998</v>
      </c>
      <c r="AB159" s="319">
        <f t="shared" si="188"/>
        <v>302884.92</v>
      </c>
      <c r="AC159" s="319">
        <f t="shared" si="189"/>
        <v>294930.72000000003</v>
      </c>
      <c r="AD159" s="319">
        <f t="shared" si="190"/>
        <v>344275.82</v>
      </c>
      <c r="AE159" s="319">
        <f t="shared" si="191"/>
        <v>299420.55</v>
      </c>
      <c r="AF159" s="319">
        <f t="shared" si="192"/>
        <v>358232.5</v>
      </c>
      <c r="AG159" s="319">
        <f t="shared" si="193"/>
        <v>348647.56</v>
      </c>
      <c r="AH159" s="319">
        <f t="shared" si="194"/>
        <v>423783.48</v>
      </c>
      <c r="AI159" s="319">
        <f t="shared" si="195"/>
        <v>396898.8</v>
      </c>
      <c r="AJ159" s="319">
        <f t="shared" si="196"/>
        <v>475825.20999999996</v>
      </c>
      <c r="AK159" s="319">
        <f t="shared" si="197"/>
        <v>491519.93999999994</v>
      </c>
      <c r="AL159" s="319">
        <f t="shared" si="198"/>
        <v>558466.96</v>
      </c>
      <c r="AM159" s="319">
        <f t="shared" si="199"/>
        <v>546946.52999999991</v>
      </c>
      <c r="AN159" s="319">
        <f t="shared" si="200"/>
        <v>0</v>
      </c>
      <c r="AO159" s="319">
        <f t="shared" si="201"/>
        <v>589788.46999999986</v>
      </c>
      <c r="AP159" s="319">
        <f t="shared" si="202"/>
        <v>0</v>
      </c>
      <c r="AQ159" s="319">
        <f t="shared" si="203"/>
        <v>0</v>
      </c>
      <c r="AR159" s="319">
        <f t="shared" si="204"/>
        <v>663182.27</v>
      </c>
      <c r="AS159" s="319">
        <f t="shared" si="205"/>
        <v>0</v>
      </c>
      <c r="AT159" s="319">
        <f t="shared" si="206"/>
        <v>0</v>
      </c>
      <c r="AU159" s="319">
        <f t="shared" si="207"/>
        <v>0</v>
      </c>
      <c r="AW159" s="322" t="s">
        <v>44</v>
      </c>
      <c r="AX159" s="322">
        <f t="shared" si="208"/>
        <v>95576.599999999991</v>
      </c>
      <c r="AY159" s="322">
        <f t="shared" si="209"/>
        <v>100082.1</v>
      </c>
      <c r="AZ159" s="322">
        <f t="shared" si="210"/>
        <v>100961.63999999998</v>
      </c>
      <c r="BA159" s="322">
        <f t="shared" si="211"/>
        <v>76463.520000000004</v>
      </c>
      <c r="BB159" s="322">
        <f t="shared" si="212"/>
        <v>71229.48</v>
      </c>
      <c r="BC159" s="322">
        <f t="shared" si="213"/>
        <v>66537.899999999994</v>
      </c>
      <c r="BD159" s="322">
        <f t="shared" si="214"/>
        <v>36334.11</v>
      </c>
      <c r="BE159" s="322">
        <f t="shared" si="215"/>
        <v>20508.68</v>
      </c>
      <c r="BF159" s="322">
        <f t="shared" si="216"/>
        <v>32245.350000000002</v>
      </c>
      <c r="BG159" s="322">
        <f t="shared" si="217"/>
        <v>32940.07</v>
      </c>
      <c r="BH159" s="322">
        <f t="shared" si="218"/>
        <v>41166.25</v>
      </c>
      <c r="BI159" s="322">
        <f t="shared" si="219"/>
        <v>38525.199999999997</v>
      </c>
      <c r="BJ159" s="322">
        <f t="shared" si="220"/>
        <v>36211.57</v>
      </c>
      <c r="BK159" s="322">
        <f t="shared" si="221"/>
        <v>33797.969999999994</v>
      </c>
      <c r="BL159" s="322">
        <f t="shared" si="222"/>
        <v>0</v>
      </c>
      <c r="BM159" s="322">
        <f t="shared" si="223"/>
        <v>37935.22</v>
      </c>
      <c r="BN159" s="322">
        <f t="shared" si="224"/>
        <v>0</v>
      </c>
      <c r="BO159" s="340">
        <f t="shared" si="225"/>
        <v>0</v>
      </c>
      <c r="BP159" s="340">
        <f t="shared" si="226"/>
        <v>44408.25</v>
      </c>
      <c r="BQ159" s="340">
        <f t="shared" si="227"/>
        <v>0</v>
      </c>
      <c r="BR159" s="340">
        <f t="shared" si="228"/>
        <v>0</v>
      </c>
      <c r="BS159" s="340">
        <f t="shared" si="229"/>
        <v>0</v>
      </c>
      <c r="BU159" s="340" t="s">
        <v>44</v>
      </c>
      <c r="BV159" s="340">
        <f t="shared" si="230"/>
        <v>9557.66</v>
      </c>
      <c r="BW159" s="340">
        <f t="shared" si="231"/>
        <v>20016.419999999998</v>
      </c>
      <c r="BX159" s="340">
        <f t="shared" si="232"/>
        <v>22435.919999999998</v>
      </c>
      <c r="BY159" s="340">
        <f t="shared" si="233"/>
        <v>21846.720000000001</v>
      </c>
      <c r="BZ159" s="340">
        <f t="shared" si="234"/>
        <v>23743.16</v>
      </c>
      <c r="CA159" s="340">
        <f t="shared" si="235"/>
        <v>33268.949999999997</v>
      </c>
      <c r="CB159" s="340">
        <f t="shared" si="236"/>
        <v>24222.74</v>
      </c>
      <c r="CC159" s="340">
        <f t="shared" si="237"/>
        <v>30763.02</v>
      </c>
      <c r="CD159" s="340">
        <f t="shared" si="238"/>
        <v>35408.490000000005</v>
      </c>
      <c r="CE159" s="340">
        <f t="shared" si="239"/>
        <v>37087.539999999994</v>
      </c>
      <c r="CF159" s="340">
        <f t="shared" si="240"/>
        <v>48748.179999999993</v>
      </c>
      <c r="CG159" s="340">
        <f t="shared" si="241"/>
        <v>41041.56</v>
      </c>
      <c r="CH159" s="340">
        <f t="shared" si="242"/>
        <v>46324.85</v>
      </c>
      <c r="CI159" s="340">
        <f t="shared" si="243"/>
        <v>47917.91</v>
      </c>
      <c r="CJ159" s="340">
        <f t="shared" si="244"/>
        <v>0</v>
      </c>
      <c r="CK159" s="340">
        <f t="shared" si="245"/>
        <v>50459.01</v>
      </c>
      <c r="CL159" s="340">
        <f t="shared" si="246"/>
        <v>0</v>
      </c>
      <c r="CM159" s="340">
        <f t="shared" si="247"/>
        <v>0</v>
      </c>
      <c r="CN159" s="340">
        <f t="shared" si="248"/>
        <v>56611.17</v>
      </c>
      <c r="CO159" s="340">
        <f t="shared" si="249"/>
        <v>0</v>
      </c>
      <c r="CP159" s="340">
        <f t="shared" si="250"/>
        <v>0</v>
      </c>
      <c r="CQ159" s="340">
        <f t="shared" si="251"/>
        <v>0</v>
      </c>
      <c r="CR159" s="122"/>
      <c r="CS159" s="340" t="s">
        <v>44</v>
      </c>
      <c r="CT159" s="340">
        <f t="shared" si="252"/>
        <v>124249.58</v>
      </c>
      <c r="CU159" s="340">
        <f t="shared" si="253"/>
        <v>130106.73</v>
      </c>
      <c r="CV159" s="340">
        <f t="shared" si="254"/>
        <v>112179.6</v>
      </c>
      <c r="CW159" s="340">
        <f t="shared" si="255"/>
        <v>218467.20000000001</v>
      </c>
      <c r="CX159" s="340">
        <f t="shared" si="256"/>
        <v>284917.92</v>
      </c>
      <c r="CY159" s="340">
        <f t="shared" si="257"/>
        <v>155255.1</v>
      </c>
      <c r="CZ159" s="340">
        <f t="shared" si="258"/>
        <v>351229.73</v>
      </c>
      <c r="DA159" s="340">
        <f t="shared" si="259"/>
        <v>451190.96</v>
      </c>
      <c r="DB159" s="340">
        <f t="shared" si="260"/>
        <v>406730.89</v>
      </c>
      <c r="DC159" s="340">
        <f t="shared" si="261"/>
        <v>241053.59000000005</v>
      </c>
      <c r="DD159" s="340">
        <f t="shared" si="262"/>
        <v>320528.87000000005</v>
      </c>
      <c r="DE159" s="340">
        <f t="shared" si="263"/>
        <v>190406.63</v>
      </c>
      <c r="DF159" s="340">
        <f t="shared" si="264"/>
        <v>162284.26</v>
      </c>
      <c r="DG159" s="340">
        <f t="shared" si="265"/>
        <v>160231.53000000003</v>
      </c>
      <c r="DH159" s="340">
        <f t="shared" si="266"/>
        <v>0</v>
      </c>
      <c r="DI159" s="340">
        <f t="shared" si="267"/>
        <v>1010.5</v>
      </c>
      <c r="DJ159" s="340">
        <f t="shared" si="268"/>
        <v>0</v>
      </c>
      <c r="DK159" s="340">
        <f t="shared" si="269"/>
        <v>0</v>
      </c>
      <c r="DL159" s="340">
        <f t="shared" si="270"/>
        <v>3091.32</v>
      </c>
      <c r="DM159" s="340">
        <f t="shared" si="271"/>
        <v>0</v>
      </c>
      <c r="DN159" s="340">
        <f t="shared" si="272"/>
        <v>0</v>
      </c>
      <c r="DO159" s="340">
        <f t="shared" si="273"/>
        <v>0</v>
      </c>
      <c r="DP159" s="330"/>
      <c r="DQ159" s="340" t="s">
        <v>44</v>
      </c>
      <c r="DR159" s="340">
        <f t="shared" ref="DR159:EM159" si="351">DR61</f>
        <v>76461.279999999999</v>
      </c>
      <c r="DS159" s="340">
        <f t="shared" si="351"/>
        <v>90073.89</v>
      </c>
      <c r="DT159" s="340">
        <f t="shared" si="351"/>
        <v>100961.64</v>
      </c>
      <c r="DU159" s="340">
        <f t="shared" si="351"/>
        <v>120156.96</v>
      </c>
      <c r="DV159" s="340">
        <f t="shared" si="351"/>
        <v>118715.8</v>
      </c>
      <c r="DW159" s="340">
        <f t="shared" si="351"/>
        <v>144165.45000000001</v>
      </c>
      <c r="DX159" s="340">
        <f t="shared" si="351"/>
        <v>133225.07</v>
      </c>
      <c r="DY159" s="340">
        <f t="shared" si="351"/>
        <v>102543.4</v>
      </c>
      <c r="DZ159" s="340">
        <f t="shared" si="351"/>
        <v>106818.93000000001</v>
      </c>
      <c r="EA159" s="340">
        <f t="shared" si="351"/>
        <v>106993.88999999998</v>
      </c>
      <c r="EB159" s="340">
        <f t="shared" si="351"/>
        <v>113628.95</v>
      </c>
      <c r="EC159" s="340">
        <f t="shared" si="351"/>
        <v>132859.77000000002</v>
      </c>
      <c r="ED159" s="340">
        <f t="shared" si="351"/>
        <v>172136.48</v>
      </c>
      <c r="EE159" s="340">
        <f t="shared" si="351"/>
        <v>139796.59</v>
      </c>
      <c r="EF159" s="340">
        <f t="shared" si="351"/>
        <v>0</v>
      </c>
      <c r="EG159" s="340">
        <f t="shared" si="351"/>
        <v>166227.23000000001</v>
      </c>
      <c r="EH159" s="340">
        <f t="shared" si="351"/>
        <v>0</v>
      </c>
      <c r="EI159" s="340">
        <f t="shared" si="351"/>
        <v>0</v>
      </c>
      <c r="EJ159" s="340">
        <f t="shared" si="351"/>
        <v>172033.81000000003</v>
      </c>
      <c r="EK159" s="340">
        <f t="shared" si="351"/>
        <v>0</v>
      </c>
      <c r="EL159" s="340">
        <f t="shared" si="351"/>
        <v>0</v>
      </c>
      <c r="EM159" s="340">
        <f t="shared" si="351"/>
        <v>0</v>
      </c>
      <c r="EO159" s="319" t="s">
        <v>44</v>
      </c>
      <c r="EP159" s="319">
        <f t="shared" si="275"/>
        <v>277172.14</v>
      </c>
      <c r="EQ159" s="319">
        <f t="shared" si="276"/>
        <v>310254.51</v>
      </c>
      <c r="ER159" s="319">
        <f t="shared" si="277"/>
        <v>381410.64</v>
      </c>
      <c r="ES159" s="319">
        <f t="shared" si="278"/>
        <v>294930.71999999997</v>
      </c>
      <c r="ET159" s="319">
        <f t="shared" si="279"/>
        <v>284917.92</v>
      </c>
      <c r="EU159" s="319">
        <f t="shared" si="280"/>
        <v>288330.90000000002</v>
      </c>
      <c r="EV159" s="319">
        <f t="shared" si="281"/>
        <v>0</v>
      </c>
      <c r="EW159" s="319">
        <f t="shared" si="282"/>
        <v>0</v>
      </c>
      <c r="EX159" s="319">
        <f t="shared" si="283"/>
        <v>0</v>
      </c>
      <c r="EY159" s="319">
        <f t="shared" si="284"/>
        <v>0</v>
      </c>
      <c r="EZ159" s="319">
        <f t="shared" si="285"/>
        <v>0</v>
      </c>
      <c r="FA159" s="319">
        <f t="shared" si="286"/>
        <v>0</v>
      </c>
      <c r="FB159" s="319">
        <f t="shared" si="287"/>
        <v>0</v>
      </c>
      <c r="FC159" s="319">
        <f t="shared" si="288"/>
        <v>0</v>
      </c>
      <c r="FD159" s="319">
        <f t="shared" si="289"/>
        <v>0</v>
      </c>
      <c r="FE159" s="319">
        <f t="shared" si="290"/>
        <v>0</v>
      </c>
      <c r="FF159" s="322">
        <f t="shared" si="291"/>
        <v>0</v>
      </c>
      <c r="FG159" s="336">
        <f t="shared" si="292"/>
        <v>0</v>
      </c>
      <c r="FH159" s="336">
        <f t="shared" si="293"/>
        <v>0</v>
      </c>
      <c r="FI159" s="336">
        <f t="shared" si="294"/>
        <v>0</v>
      </c>
      <c r="FJ159" s="336">
        <f t="shared" si="295"/>
        <v>0</v>
      </c>
      <c r="FK159" s="336">
        <f t="shared" si="296"/>
        <v>0</v>
      </c>
      <c r="FL159" s="122"/>
      <c r="FM159" s="340" t="s">
        <v>44</v>
      </c>
      <c r="FN159" s="340">
        <f t="shared" si="297"/>
        <v>47788.3</v>
      </c>
      <c r="FO159" s="340">
        <f t="shared" si="298"/>
        <v>50041.05</v>
      </c>
      <c r="FP159" s="340">
        <f t="shared" si="299"/>
        <v>44871.839999999997</v>
      </c>
      <c r="FQ159" s="340">
        <f t="shared" si="300"/>
        <v>65540.160000000003</v>
      </c>
      <c r="FR159" s="340">
        <f t="shared" si="301"/>
        <v>59357.9</v>
      </c>
      <c r="FS159" s="340">
        <f t="shared" si="302"/>
        <v>66537.899999999994</v>
      </c>
      <c r="FT159" s="340">
        <f t="shared" si="303"/>
        <v>60556.85</v>
      </c>
      <c r="FU159" s="340">
        <f t="shared" si="304"/>
        <v>71780.38</v>
      </c>
      <c r="FV159" s="340">
        <f t="shared" si="305"/>
        <v>72397.039999999994</v>
      </c>
      <c r="FW159" s="340">
        <f t="shared" si="306"/>
        <v>72397.039999999994</v>
      </c>
      <c r="FX159" s="340">
        <f t="shared" si="307"/>
        <v>73456.19</v>
      </c>
      <c r="FY159" s="340">
        <f t="shared" si="308"/>
        <v>105103.09999999999</v>
      </c>
      <c r="FZ159" s="340">
        <f t="shared" si="309"/>
        <v>103250.84000000001</v>
      </c>
      <c r="GA159" s="340">
        <f t="shared" si="310"/>
        <v>127102.72</v>
      </c>
      <c r="GB159" s="340">
        <f t="shared" si="311"/>
        <v>0</v>
      </c>
      <c r="GC159" s="340">
        <f t="shared" si="312"/>
        <v>123585.18000000001</v>
      </c>
      <c r="GD159" s="340">
        <f t="shared" si="313"/>
        <v>0</v>
      </c>
      <c r="GE159" s="340">
        <f t="shared" si="314"/>
        <v>0</v>
      </c>
      <c r="GF159" s="340">
        <f t="shared" si="315"/>
        <v>142578.88</v>
      </c>
      <c r="GG159" s="340">
        <f t="shared" si="316"/>
        <v>0</v>
      </c>
      <c r="GH159" s="340">
        <f t="shared" si="317"/>
        <v>0</v>
      </c>
      <c r="GI159" s="340">
        <f t="shared" si="318"/>
        <v>0</v>
      </c>
      <c r="GJ159" s="122"/>
      <c r="GK159" s="340" t="s">
        <v>44</v>
      </c>
      <c r="GL159" s="340">
        <f t="shared" si="319"/>
        <v>28672.98</v>
      </c>
      <c r="GM159" s="340">
        <f t="shared" si="320"/>
        <v>60049.26</v>
      </c>
      <c r="GN159" s="340">
        <f t="shared" si="321"/>
        <v>56089.8</v>
      </c>
      <c r="GO159" s="340">
        <f t="shared" si="322"/>
        <v>0</v>
      </c>
      <c r="GP159" s="340">
        <f t="shared" si="323"/>
        <v>0</v>
      </c>
      <c r="GQ159" s="340">
        <f t="shared" si="324"/>
        <v>55448.25</v>
      </c>
      <c r="GR159" s="340">
        <f t="shared" si="325"/>
        <v>242227.4</v>
      </c>
      <c r="GS159" s="340">
        <f t="shared" si="326"/>
        <v>0</v>
      </c>
      <c r="GT159" s="340">
        <f t="shared" si="327"/>
        <v>0</v>
      </c>
      <c r="GU159" s="340">
        <f t="shared" si="328"/>
        <v>0</v>
      </c>
      <c r="GV159" s="340">
        <f t="shared" si="329"/>
        <v>333913.49</v>
      </c>
      <c r="GW159" s="340">
        <f t="shared" si="330"/>
        <v>125213.41</v>
      </c>
      <c r="GX159" s="340">
        <f t="shared" si="331"/>
        <v>100000</v>
      </c>
      <c r="GY159" s="340">
        <f t="shared" si="332"/>
        <v>80016</v>
      </c>
      <c r="GZ159" s="340">
        <f t="shared" si="333"/>
        <v>0</v>
      </c>
      <c r="HA159" s="340">
        <f t="shared" si="334"/>
        <v>138973.67000000001</v>
      </c>
      <c r="HB159" s="340">
        <f t="shared" si="335"/>
        <v>0</v>
      </c>
      <c r="HC159" s="340">
        <f t="shared" si="336"/>
        <v>0</v>
      </c>
      <c r="HD159" s="340">
        <f t="shared" si="337"/>
        <v>235000</v>
      </c>
      <c r="HE159" s="340">
        <f t="shared" si="338"/>
        <v>0</v>
      </c>
      <c r="HF159" s="340">
        <f t="shared" si="339"/>
        <v>0</v>
      </c>
      <c r="HG159" s="340">
        <f t="shared" si="340"/>
        <v>0</v>
      </c>
      <c r="HH159" s="122"/>
      <c r="IF159" s="122"/>
      <c r="IG159" s="122"/>
      <c r="IH159" s="122"/>
      <c r="II159" s="122"/>
      <c r="IJ159" s="122"/>
      <c r="IK159" s="122"/>
      <c r="IL159" s="122"/>
      <c r="IN159" s="118"/>
      <c r="IP159" s="122"/>
      <c r="IQ159" s="122"/>
      <c r="IR159" s="122"/>
      <c r="IS159" s="122"/>
      <c r="IT159" s="122"/>
      <c r="IU159" s="122"/>
      <c r="IV159" s="122"/>
      <c r="IW159" s="122"/>
      <c r="IX159" s="122"/>
      <c r="IY159" s="122"/>
      <c r="IZ159" s="122"/>
      <c r="JA159" s="122"/>
      <c r="JB159" s="122"/>
      <c r="JC159" s="122"/>
      <c r="JD159" s="122"/>
      <c r="JE159" s="122"/>
      <c r="JF159" s="122"/>
      <c r="JG159" s="122"/>
      <c r="JH159" s="122"/>
      <c r="JI159" s="122"/>
      <c r="JK159" s="118"/>
      <c r="JL159" s="118"/>
      <c r="JY159" s="122"/>
      <c r="JZ159" s="122"/>
      <c r="KA159" s="122"/>
      <c r="KB159" s="122"/>
      <c r="LX159" s="122"/>
      <c r="LY159" s="122"/>
      <c r="LZ159" s="122"/>
      <c r="MB159" s="118"/>
      <c r="MC159" s="118"/>
      <c r="MP159" s="122"/>
      <c r="MQ159" s="122"/>
      <c r="MR159" s="122"/>
      <c r="MS159" s="122"/>
      <c r="MT159" s="122"/>
      <c r="MU159" s="122"/>
      <c r="MV159" s="122"/>
      <c r="OS159" s="118"/>
      <c r="OT159" s="118"/>
      <c r="PC159" s="122"/>
      <c r="PD159" s="122"/>
      <c r="PE159" s="122"/>
      <c r="PF159" s="122"/>
      <c r="PG159" s="122"/>
      <c r="PH159" s="122"/>
      <c r="PI159" s="122"/>
      <c r="PJ159" s="122"/>
      <c r="PP159" s="118"/>
      <c r="PQ159" s="118"/>
      <c r="PZ159" s="122"/>
      <c r="QA159" s="122"/>
      <c r="QB159" s="122"/>
      <c r="QC159" s="122"/>
      <c r="QD159" s="122"/>
      <c r="QE159" s="122"/>
      <c r="QF159" s="122"/>
      <c r="QG159" s="122"/>
      <c r="QM159" s="118"/>
      <c r="QN159" s="118"/>
      <c r="RE159" s="118"/>
      <c r="RF159" s="118"/>
      <c r="RG159" s="118"/>
      <c r="RH159" s="118"/>
      <c r="RI159" s="118"/>
      <c r="RJ159" s="118"/>
      <c r="RK159" s="118"/>
    </row>
    <row r="160" spans="25:479">
      <c r="Y160" s="277" t="s">
        <v>45</v>
      </c>
      <c r="Z160" s="319">
        <f t="shared" si="186"/>
        <v>217043.55</v>
      </c>
      <c r="AA160" s="319">
        <f t="shared" si="187"/>
        <v>207204.66</v>
      </c>
      <c r="AB160" s="319">
        <f t="shared" si="188"/>
        <v>239796.19999999998</v>
      </c>
      <c r="AC160" s="319">
        <f t="shared" si="189"/>
        <v>255308.09999999998</v>
      </c>
      <c r="AD160" s="319">
        <f t="shared" si="190"/>
        <v>287028</v>
      </c>
      <c r="AE160" s="319">
        <f t="shared" si="191"/>
        <v>259267.44</v>
      </c>
      <c r="AF160" s="319">
        <f t="shared" si="192"/>
        <v>314933.65000000002</v>
      </c>
      <c r="AG160" s="319">
        <f t="shared" si="193"/>
        <v>270129.16000000003</v>
      </c>
      <c r="AH160" s="319">
        <f t="shared" si="194"/>
        <v>322880</v>
      </c>
      <c r="AI160" s="319">
        <f t="shared" si="195"/>
        <v>304101</v>
      </c>
      <c r="AJ160" s="319">
        <f t="shared" si="196"/>
        <v>378439</v>
      </c>
      <c r="AK160" s="319">
        <f t="shared" si="197"/>
        <v>331971</v>
      </c>
      <c r="AL160" s="319">
        <f t="shared" si="198"/>
        <v>392156</v>
      </c>
      <c r="AM160" s="319">
        <f t="shared" si="199"/>
        <v>335710</v>
      </c>
      <c r="AN160" s="319">
        <f t="shared" si="200"/>
        <v>415637</v>
      </c>
      <c r="AO160" s="319">
        <f t="shared" si="201"/>
        <v>375635</v>
      </c>
      <c r="AP160" s="319">
        <f t="shared" si="202"/>
        <v>0</v>
      </c>
      <c r="AQ160" s="319">
        <f t="shared" si="203"/>
        <v>0</v>
      </c>
      <c r="AR160" s="319">
        <f t="shared" si="204"/>
        <v>0</v>
      </c>
      <c r="AS160" s="319">
        <f t="shared" si="205"/>
        <v>0</v>
      </c>
      <c r="AT160" s="319">
        <f t="shared" si="206"/>
        <v>0</v>
      </c>
      <c r="AU160" s="319">
        <f t="shared" si="207"/>
        <v>0</v>
      </c>
      <c r="AW160" s="322" t="s">
        <v>45</v>
      </c>
      <c r="AX160" s="322">
        <f t="shared" si="208"/>
        <v>48231.899999999994</v>
      </c>
      <c r="AY160" s="322">
        <f t="shared" si="209"/>
        <v>55785.869999999995</v>
      </c>
      <c r="AZ160" s="322">
        <f t="shared" si="210"/>
        <v>51384.899999999994</v>
      </c>
      <c r="BA160" s="322">
        <f t="shared" si="211"/>
        <v>51061.62</v>
      </c>
      <c r="BB160" s="322">
        <f t="shared" si="212"/>
        <v>61506</v>
      </c>
      <c r="BC160" s="322">
        <f t="shared" si="213"/>
        <v>64816.86</v>
      </c>
      <c r="BD160" s="322">
        <f t="shared" si="214"/>
        <v>54358.25</v>
      </c>
      <c r="BE160" s="322">
        <f t="shared" si="215"/>
        <v>48237.349999999991</v>
      </c>
      <c r="BF160" s="322">
        <f t="shared" si="216"/>
        <v>58126</v>
      </c>
      <c r="BG160" s="322">
        <f t="shared" si="217"/>
        <v>65409</v>
      </c>
      <c r="BH160" s="322">
        <f t="shared" si="218"/>
        <v>90612</v>
      </c>
      <c r="BI160" s="322">
        <f t="shared" si="219"/>
        <v>66642</v>
      </c>
      <c r="BJ160" s="322">
        <f t="shared" si="220"/>
        <v>64007</v>
      </c>
      <c r="BK160" s="322">
        <f t="shared" si="221"/>
        <v>86570</v>
      </c>
      <c r="BL160" s="322">
        <f t="shared" si="222"/>
        <v>74762</v>
      </c>
      <c r="BM160" s="322">
        <f t="shared" si="223"/>
        <v>77151</v>
      </c>
      <c r="BN160" s="322">
        <f t="shared" si="224"/>
        <v>0</v>
      </c>
      <c r="BO160" s="340">
        <f t="shared" si="225"/>
        <v>0</v>
      </c>
      <c r="BP160" s="340">
        <f t="shared" si="226"/>
        <v>0</v>
      </c>
      <c r="BQ160" s="340">
        <f t="shared" si="227"/>
        <v>0</v>
      </c>
      <c r="BR160" s="340">
        <f t="shared" si="228"/>
        <v>0</v>
      </c>
      <c r="BS160" s="340">
        <f t="shared" si="229"/>
        <v>0</v>
      </c>
      <c r="BU160" s="340" t="s">
        <v>45</v>
      </c>
      <c r="BV160" s="340">
        <f t="shared" si="230"/>
        <v>16077.3</v>
      </c>
      <c r="BW160" s="340">
        <f t="shared" si="231"/>
        <v>15938.82</v>
      </c>
      <c r="BX160" s="340">
        <f t="shared" si="232"/>
        <v>17128.3</v>
      </c>
      <c r="BY160" s="340">
        <f t="shared" si="233"/>
        <v>17020.54</v>
      </c>
      <c r="BZ160" s="340">
        <f t="shared" si="234"/>
        <v>20502</v>
      </c>
      <c r="CA160" s="340">
        <f t="shared" si="235"/>
        <v>32408.43</v>
      </c>
      <c r="CB160" s="340">
        <f t="shared" si="236"/>
        <v>21743.3</v>
      </c>
      <c r="CC160" s="340">
        <f t="shared" si="237"/>
        <v>28942.409999999996</v>
      </c>
      <c r="CD160" s="340">
        <f t="shared" si="238"/>
        <v>26251</v>
      </c>
      <c r="CE160" s="340">
        <f t="shared" si="239"/>
        <v>38138</v>
      </c>
      <c r="CF160" s="340">
        <f t="shared" si="240"/>
        <v>39281</v>
      </c>
      <c r="CG160" s="340">
        <f t="shared" si="241"/>
        <v>38430</v>
      </c>
      <c r="CH160" s="340">
        <f t="shared" si="242"/>
        <v>38383</v>
      </c>
      <c r="CI160" s="340">
        <f t="shared" si="243"/>
        <v>42979</v>
      </c>
      <c r="CJ160" s="340">
        <f t="shared" si="244"/>
        <v>47478</v>
      </c>
      <c r="CK160" s="340">
        <f t="shared" si="245"/>
        <v>48397</v>
      </c>
      <c r="CL160" s="340">
        <f t="shared" si="246"/>
        <v>0</v>
      </c>
      <c r="CM160" s="340">
        <f t="shared" si="247"/>
        <v>0</v>
      </c>
      <c r="CN160" s="340">
        <f t="shared" si="248"/>
        <v>0</v>
      </c>
      <c r="CO160" s="340">
        <f t="shared" si="249"/>
        <v>0</v>
      </c>
      <c r="CP160" s="340">
        <f t="shared" si="250"/>
        <v>0</v>
      </c>
      <c r="CQ160" s="340">
        <f t="shared" si="251"/>
        <v>0</v>
      </c>
      <c r="CR160" s="122"/>
      <c r="CS160" s="340" t="s">
        <v>45</v>
      </c>
      <c r="CT160" s="340">
        <f t="shared" si="252"/>
        <v>209004.9</v>
      </c>
      <c r="CU160" s="340">
        <f t="shared" si="253"/>
        <v>111571.74</v>
      </c>
      <c r="CV160" s="340">
        <f t="shared" si="254"/>
        <v>128462.25</v>
      </c>
      <c r="CW160" s="340">
        <f t="shared" si="255"/>
        <v>136164.32</v>
      </c>
      <c r="CX160" s="340">
        <f t="shared" si="256"/>
        <v>153765</v>
      </c>
      <c r="CY160" s="340">
        <f t="shared" si="257"/>
        <v>237661.82</v>
      </c>
      <c r="CZ160" s="340">
        <f t="shared" si="258"/>
        <v>163074.75</v>
      </c>
      <c r="DA160" s="340">
        <f t="shared" si="259"/>
        <v>202596.87</v>
      </c>
      <c r="DB160" s="340">
        <f t="shared" si="260"/>
        <v>448979</v>
      </c>
      <c r="DC160" s="340">
        <f t="shared" si="261"/>
        <v>218964</v>
      </c>
      <c r="DD160" s="340">
        <f t="shared" si="262"/>
        <v>185233</v>
      </c>
      <c r="DE160" s="340">
        <f t="shared" si="263"/>
        <v>201300</v>
      </c>
      <c r="DF160" s="340">
        <f t="shared" si="264"/>
        <v>208135</v>
      </c>
      <c r="DG160" s="340">
        <f t="shared" si="265"/>
        <v>172630</v>
      </c>
      <c r="DH160" s="340">
        <f t="shared" si="266"/>
        <v>158162</v>
      </c>
      <c r="DI160" s="340">
        <f t="shared" si="267"/>
        <v>143875</v>
      </c>
      <c r="DJ160" s="340">
        <f t="shared" si="268"/>
        <v>0</v>
      </c>
      <c r="DK160" s="340">
        <f t="shared" si="269"/>
        <v>0</v>
      </c>
      <c r="DL160" s="340">
        <f t="shared" si="270"/>
        <v>0</v>
      </c>
      <c r="DM160" s="340">
        <f t="shared" si="271"/>
        <v>0</v>
      </c>
      <c r="DN160" s="340">
        <f t="shared" si="272"/>
        <v>0</v>
      </c>
      <c r="DO160" s="340">
        <f t="shared" si="273"/>
        <v>0</v>
      </c>
      <c r="DP160" s="330"/>
      <c r="DQ160" s="340" t="s">
        <v>45</v>
      </c>
      <c r="DR160" s="340">
        <f t="shared" ref="DR160:EM160" si="352">DR62</f>
        <v>0</v>
      </c>
      <c r="DS160" s="340">
        <f t="shared" si="352"/>
        <v>79694.100000000006</v>
      </c>
      <c r="DT160" s="340">
        <f t="shared" si="352"/>
        <v>77077.350000000006</v>
      </c>
      <c r="DU160" s="340">
        <f t="shared" si="352"/>
        <v>76592.429999999993</v>
      </c>
      <c r="DV160" s="340">
        <f t="shared" si="352"/>
        <v>92259</v>
      </c>
      <c r="DW160" s="340">
        <f t="shared" si="352"/>
        <v>97225.29</v>
      </c>
      <c r="DX160" s="340">
        <f t="shared" si="352"/>
        <v>130459.8</v>
      </c>
      <c r="DY160" s="340">
        <f t="shared" si="352"/>
        <v>125417.11</v>
      </c>
      <c r="DZ160" s="340">
        <f t="shared" si="352"/>
        <v>137569</v>
      </c>
      <c r="EA160" s="340">
        <f t="shared" si="352"/>
        <v>148868</v>
      </c>
      <c r="EB160" s="340">
        <f t="shared" si="352"/>
        <v>112375</v>
      </c>
      <c r="EC160" s="340">
        <f t="shared" si="352"/>
        <v>103199</v>
      </c>
      <c r="ED160" s="340">
        <f t="shared" si="352"/>
        <v>83890</v>
      </c>
      <c r="EE160" s="340">
        <f t="shared" si="352"/>
        <v>93061</v>
      </c>
      <c r="EF160" s="340">
        <f t="shared" si="352"/>
        <v>63109</v>
      </c>
      <c r="EG160" s="340">
        <f t="shared" si="352"/>
        <v>56929</v>
      </c>
      <c r="EH160" s="340">
        <f t="shared" si="352"/>
        <v>0</v>
      </c>
      <c r="EI160" s="340">
        <f t="shared" si="352"/>
        <v>0</v>
      </c>
      <c r="EJ160" s="340">
        <f t="shared" si="352"/>
        <v>0</v>
      </c>
      <c r="EK160" s="340">
        <f t="shared" si="352"/>
        <v>0</v>
      </c>
      <c r="EL160" s="340">
        <f t="shared" si="352"/>
        <v>0</v>
      </c>
      <c r="EM160" s="340">
        <f t="shared" si="352"/>
        <v>0</v>
      </c>
      <c r="EO160" s="319" t="s">
        <v>45</v>
      </c>
      <c r="EP160" s="319">
        <f t="shared" si="275"/>
        <v>225082.2</v>
      </c>
      <c r="EQ160" s="319">
        <f t="shared" si="276"/>
        <v>262990.52999999997</v>
      </c>
      <c r="ER160" s="319">
        <f t="shared" si="277"/>
        <v>282616.95</v>
      </c>
      <c r="ES160" s="319">
        <f t="shared" si="278"/>
        <v>263818.37</v>
      </c>
      <c r="ET160" s="319">
        <f t="shared" si="279"/>
        <v>358785</v>
      </c>
      <c r="EU160" s="319">
        <f t="shared" si="280"/>
        <v>313281.49</v>
      </c>
      <c r="EV160" s="319">
        <f t="shared" si="281"/>
        <v>326149.5</v>
      </c>
      <c r="EW160" s="319">
        <f t="shared" si="282"/>
        <v>221891.81</v>
      </c>
      <c r="EX160" s="319">
        <f t="shared" si="283"/>
        <v>213740</v>
      </c>
      <c r="EY160" s="319">
        <f t="shared" si="284"/>
        <v>275862</v>
      </c>
      <c r="EZ160" s="319">
        <f t="shared" si="285"/>
        <v>235257</v>
      </c>
      <c r="FA160" s="319">
        <f t="shared" si="286"/>
        <v>264137</v>
      </c>
      <c r="FB160" s="319">
        <f t="shared" si="287"/>
        <v>231771</v>
      </c>
      <c r="FC160" s="319">
        <f t="shared" si="288"/>
        <v>271998</v>
      </c>
      <c r="FD160" s="319">
        <f t="shared" si="289"/>
        <v>49867</v>
      </c>
      <c r="FE160" s="319">
        <f t="shared" si="290"/>
        <v>40267</v>
      </c>
      <c r="FF160" s="322">
        <f t="shared" si="291"/>
        <v>0</v>
      </c>
      <c r="FG160" s="336">
        <f t="shared" si="292"/>
        <v>0</v>
      </c>
      <c r="FH160" s="336">
        <f t="shared" si="293"/>
        <v>0</v>
      </c>
      <c r="FI160" s="336">
        <f t="shared" si="294"/>
        <v>0</v>
      </c>
      <c r="FJ160" s="336">
        <f t="shared" si="295"/>
        <v>0</v>
      </c>
      <c r="FK160" s="336">
        <f t="shared" si="296"/>
        <v>0</v>
      </c>
      <c r="FL160" s="122"/>
      <c r="FM160" s="340" t="s">
        <v>45</v>
      </c>
      <c r="FN160" s="340">
        <f t="shared" si="297"/>
        <v>40193.25</v>
      </c>
      <c r="FO160" s="340">
        <f t="shared" si="298"/>
        <v>39847.050000000003</v>
      </c>
      <c r="FP160" s="340">
        <f t="shared" si="299"/>
        <v>42820.75</v>
      </c>
      <c r="FQ160" s="340">
        <f t="shared" si="300"/>
        <v>51061.62</v>
      </c>
      <c r="FR160" s="340">
        <f t="shared" si="301"/>
        <v>51255</v>
      </c>
      <c r="FS160" s="340">
        <f t="shared" si="302"/>
        <v>54014.05</v>
      </c>
      <c r="FT160" s="340">
        <f t="shared" si="303"/>
        <v>54358.25</v>
      </c>
      <c r="FU160" s="340">
        <f t="shared" si="304"/>
        <v>67532.289999999994</v>
      </c>
      <c r="FV160" s="340">
        <f t="shared" si="305"/>
        <v>61874</v>
      </c>
      <c r="FW160" s="340">
        <f t="shared" si="306"/>
        <v>68192</v>
      </c>
      <c r="FX160" s="340">
        <f t="shared" si="307"/>
        <v>80350</v>
      </c>
      <c r="FY160" s="340">
        <f t="shared" si="308"/>
        <v>77864</v>
      </c>
      <c r="FZ160" s="340">
        <f t="shared" si="309"/>
        <v>82989</v>
      </c>
      <c r="GA160" s="340">
        <f t="shared" si="310"/>
        <v>88354</v>
      </c>
      <c r="GB160" s="340">
        <f t="shared" si="311"/>
        <v>85135</v>
      </c>
      <c r="GC160" s="340">
        <f t="shared" si="312"/>
        <v>85679</v>
      </c>
      <c r="GD160" s="340">
        <f t="shared" si="313"/>
        <v>0</v>
      </c>
      <c r="GE160" s="340">
        <f t="shared" si="314"/>
        <v>0</v>
      </c>
      <c r="GF160" s="340">
        <f t="shared" si="315"/>
        <v>0</v>
      </c>
      <c r="GG160" s="340">
        <f t="shared" si="316"/>
        <v>0</v>
      </c>
      <c r="GH160" s="340">
        <f t="shared" si="317"/>
        <v>0</v>
      </c>
      <c r="GI160" s="340">
        <f t="shared" si="318"/>
        <v>0</v>
      </c>
      <c r="GJ160" s="122"/>
      <c r="GK160" s="340" t="s">
        <v>45</v>
      </c>
      <c r="GL160" s="340">
        <f t="shared" si="319"/>
        <v>48231.9</v>
      </c>
      <c r="GM160" s="340">
        <f t="shared" si="320"/>
        <v>23908.23</v>
      </c>
      <c r="GN160" s="340">
        <f t="shared" si="321"/>
        <v>17128.3</v>
      </c>
      <c r="GO160" s="340">
        <f t="shared" si="322"/>
        <v>0</v>
      </c>
      <c r="GP160" s="340">
        <f t="shared" si="323"/>
        <v>0</v>
      </c>
      <c r="GQ160" s="340">
        <f t="shared" si="324"/>
        <v>21605.62</v>
      </c>
      <c r="GR160" s="340">
        <f t="shared" si="325"/>
        <v>21743.3</v>
      </c>
      <c r="GS160" s="340">
        <f t="shared" si="326"/>
        <v>0</v>
      </c>
      <c r="GT160" s="340">
        <f t="shared" si="327"/>
        <v>0</v>
      </c>
      <c r="GU160" s="340">
        <f t="shared" si="328"/>
        <v>153240</v>
      </c>
      <c r="GV160" s="340">
        <f t="shared" si="329"/>
        <v>100000</v>
      </c>
      <c r="GW160" s="340">
        <f t="shared" si="330"/>
        <v>129420</v>
      </c>
      <c r="GX160" s="340">
        <f t="shared" si="331"/>
        <v>49661</v>
      </c>
      <c r="GY160" s="340">
        <f t="shared" si="332"/>
        <v>69906</v>
      </c>
      <c r="GZ160" s="340">
        <f t="shared" si="333"/>
        <v>193576</v>
      </c>
      <c r="HA160" s="340">
        <f t="shared" si="334"/>
        <v>164919</v>
      </c>
      <c r="HB160" s="340">
        <f t="shared" si="335"/>
        <v>0</v>
      </c>
      <c r="HC160" s="340">
        <f t="shared" si="336"/>
        <v>0</v>
      </c>
      <c r="HD160" s="340">
        <f t="shared" si="337"/>
        <v>0</v>
      </c>
      <c r="HE160" s="340">
        <f t="shared" si="338"/>
        <v>0</v>
      </c>
      <c r="HF160" s="340">
        <f t="shared" si="339"/>
        <v>0</v>
      </c>
      <c r="HG160" s="340">
        <f t="shared" si="340"/>
        <v>0</v>
      </c>
      <c r="HH160" s="122"/>
      <c r="IF160" s="122"/>
      <c r="IG160" s="122"/>
      <c r="IH160" s="122"/>
      <c r="II160" s="122"/>
      <c r="IJ160" s="122"/>
      <c r="IK160" s="122"/>
      <c r="IL160" s="122"/>
      <c r="IN160" s="118"/>
      <c r="IP160" s="122"/>
      <c r="IQ160" s="122"/>
      <c r="IR160" s="122"/>
      <c r="IS160" s="122"/>
      <c r="IT160" s="122"/>
      <c r="IU160" s="122"/>
      <c r="IV160" s="122"/>
      <c r="IW160" s="122"/>
      <c r="IX160" s="122"/>
      <c r="IY160" s="122"/>
      <c r="IZ160" s="122"/>
      <c r="JA160" s="122"/>
      <c r="JB160" s="122"/>
      <c r="JC160" s="122"/>
      <c r="JD160" s="122"/>
      <c r="JE160" s="122"/>
      <c r="JF160" s="122"/>
      <c r="JG160" s="122"/>
      <c r="JH160" s="122"/>
      <c r="JI160" s="122"/>
      <c r="JK160" s="118"/>
      <c r="JL160" s="118"/>
      <c r="JY160" s="122"/>
      <c r="JZ160" s="122"/>
      <c r="KA160" s="122"/>
      <c r="KB160" s="122"/>
      <c r="LX160" s="122"/>
      <c r="LY160" s="122"/>
      <c r="LZ160" s="122"/>
      <c r="MB160" s="118"/>
      <c r="MC160" s="118"/>
      <c r="MP160" s="122"/>
      <c r="MQ160" s="122"/>
      <c r="MR160" s="122"/>
      <c r="MS160" s="122"/>
      <c r="MT160" s="122"/>
      <c r="MU160" s="122"/>
      <c r="MV160" s="122"/>
      <c r="OS160" s="118"/>
      <c r="OT160" s="118"/>
      <c r="PC160" s="122"/>
      <c r="PD160" s="122"/>
      <c r="PE160" s="122"/>
      <c r="PF160" s="122"/>
      <c r="PG160" s="122"/>
      <c r="PH160" s="122"/>
      <c r="PI160" s="122"/>
      <c r="PJ160" s="122"/>
      <c r="PP160" s="118"/>
      <c r="PQ160" s="118"/>
      <c r="PZ160" s="122"/>
      <c r="QA160" s="122"/>
      <c r="QB160" s="122"/>
      <c r="QC160" s="122"/>
      <c r="QD160" s="122"/>
      <c r="QE160" s="122"/>
      <c r="QF160" s="122"/>
      <c r="QG160" s="122"/>
      <c r="QM160" s="118"/>
      <c r="QN160" s="118"/>
      <c r="RE160" s="118"/>
      <c r="RF160" s="118"/>
      <c r="RG160" s="118"/>
      <c r="RH160" s="118"/>
      <c r="RI160" s="118"/>
      <c r="RJ160" s="118"/>
      <c r="RK160" s="118"/>
    </row>
    <row r="161" spans="25:479">
      <c r="Y161" s="277" t="s">
        <v>46</v>
      </c>
      <c r="Z161" s="319">
        <f t="shared" si="186"/>
        <v>706629.75000000012</v>
      </c>
      <c r="AA161" s="319">
        <f t="shared" si="187"/>
        <v>636891.42000000004</v>
      </c>
      <c r="AB161" s="319">
        <f t="shared" si="188"/>
        <v>659013.5199999999</v>
      </c>
      <c r="AC161" s="319">
        <f t="shared" si="189"/>
        <v>719019.12</v>
      </c>
      <c r="AD161" s="319">
        <f t="shared" si="190"/>
        <v>787527.12000000011</v>
      </c>
      <c r="AE161" s="319">
        <f t="shared" si="191"/>
        <v>798760.1</v>
      </c>
      <c r="AF161" s="319">
        <f t="shared" si="192"/>
        <v>809234.4</v>
      </c>
      <c r="AG161" s="319">
        <f t="shared" si="193"/>
        <v>899651.5</v>
      </c>
      <c r="AH161" s="319">
        <f t="shared" si="194"/>
        <v>1059468.46</v>
      </c>
      <c r="AI161" s="319">
        <f t="shared" si="195"/>
        <v>971431.28</v>
      </c>
      <c r="AJ161" s="319">
        <f t="shared" si="196"/>
        <v>1048160.0899999999</v>
      </c>
      <c r="AK161" s="319">
        <f t="shared" si="197"/>
        <v>1128790.9899999998</v>
      </c>
      <c r="AL161" s="319">
        <f t="shared" si="198"/>
        <v>1383302.7699999998</v>
      </c>
      <c r="AM161" s="319">
        <f t="shared" si="199"/>
        <v>0</v>
      </c>
      <c r="AN161" s="319">
        <f t="shared" si="200"/>
        <v>0</v>
      </c>
      <c r="AO161" s="319">
        <f t="shared" si="201"/>
        <v>0</v>
      </c>
      <c r="AP161" s="319">
        <f t="shared" si="202"/>
        <v>0</v>
      </c>
      <c r="AQ161" s="319">
        <f t="shared" si="203"/>
        <v>0</v>
      </c>
      <c r="AR161" s="319">
        <f t="shared" si="204"/>
        <v>0</v>
      </c>
      <c r="AS161" s="319">
        <f t="shared" si="205"/>
        <v>0</v>
      </c>
      <c r="AT161" s="319">
        <f t="shared" si="206"/>
        <v>0</v>
      </c>
      <c r="AU161" s="319">
        <f t="shared" si="207"/>
        <v>0</v>
      </c>
      <c r="AW161" s="322" t="s">
        <v>46</v>
      </c>
      <c r="AX161" s="322">
        <f t="shared" si="208"/>
        <v>254386.71000000002</v>
      </c>
      <c r="AY161" s="322">
        <f t="shared" si="209"/>
        <v>231596.88</v>
      </c>
      <c r="AZ161" s="322">
        <f t="shared" si="210"/>
        <v>299551.59999999998</v>
      </c>
      <c r="BA161" s="322">
        <f t="shared" si="211"/>
        <v>209713.91</v>
      </c>
      <c r="BB161" s="322">
        <f t="shared" si="212"/>
        <v>196881.77999999997</v>
      </c>
      <c r="BC161" s="322">
        <f t="shared" si="213"/>
        <v>208372.19999999998</v>
      </c>
      <c r="BD161" s="322">
        <f t="shared" si="214"/>
        <v>201095.88</v>
      </c>
      <c r="BE161" s="322">
        <f t="shared" si="215"/>
        <v>204466.25</v>
      </c>
      <c r="BF161" s="322">
        <f t="shared" si="216"/>
        <v>158387.67000000001</v>
      </c>
      <c r="BG161" s="322">
        <f t="shared" si="217"/>
        <v>221701.01</v>
      </c>
      <c r="BH161" s="322">
        <f t="shared" si="218"/>
        <v>198949.03</v>
      </c>
      <c r="BI161" s="322">
        <f t="shared" si="219"/>
        <v>162112.53</v>
      </c>
      <c r="BJ161" s="322">
        <f t="shared" si="220"/>
        <v>179420.99</v>
      </c>
      <c r="BK161" s="322">
        <f t="shared" si="221"/>
        <v>0</v>
      </c>
      <c r="BL161" s="322">
        <f t="shared" si="222"/>
        <v>0</v>
      </c>
      <c r="BM161" s="322">
        <f t="shared" si="223"/>
        <v>0</v>
      </c>
      <c r="BN161" s="322">
        <f t="shared" si="224"/>
        <v>0</v>
      </c>
      <c r="BO161" s="340">
        <f t="shared" si="225"/>
        <v>0</v>
      </c>
      <c r="BP161" s="340">
        <f t="shared" si="226"/>
        <v>0</v>
      </c>
      <c r="BQ161" s="340">
        <f t="shared" si="227"/>
        <v>0</v>
      </c>
      <c r="BR161" s="340">
        <f t="shared" si="228"/>
        <v>0</v>
      </c>
      <c r="BS161" s="340">
        <f t="shared" si="229"/>
        <v>0</v>
      </c>
      <c r="BU161" s="340" t="s">
        <v>46</v>
      </c>
      <c r="BV161" s="340">
        <f t="shared" si="230"/>
        <v>56530.38</v>
      </c>
      <c r="BW161" s="340">
        <f t="shared" si="231"/>
        <v>57899.22</v>
      </c>
      <c r="BX161" s="340">
        <f t="shared" si="232"/>
        <v>89865.48</v>
      </c>
      <c r="BY161" s="340">
        <f t="shared" si="233"/>
        <v>119836.52</v>
      </c>
      <c r="BZ161" s="340">
        <f t="shared" si="234"/>
        <v>131254.51999999999</v>
      </c>
      <c r="CA161" s="340">
        <f t="shared" si="235"/>
        <v>173643.5</v>
      </c>
      <c r="CB161" s="340">
        <f t="shared" si="236"/>
        <v>134063.92000000001</v>
      </c>
      <c r="CC161" s="340">
        <f t="shared" si="237"/>
        <v>163573</v>
      </c>
      <c r="CD161" s="340">
        <f t="shared" si="238"/>
        <v>220145.45</v>
      </c>
      <c r="CE161" s="340">
        <f t="shared" si="239"/>
        <v>216402.96</v>
      </c>
      <c r="CF161" s="340">
        <f t="shared" si="240"/>
        <v>193252.5</v>
      </c>
      <c r="CG161" s="340">
        <f t="shared" si="241"/>
        <v>205912.02</v>
      </c>
      <c r="CH161" s="340">
        <f t="shared" si="242"/>
        <v>227184.60000000003</v>
      </c>
      <c r="CI161" s="340">
        <f t="shared" si="243"/>
        <v>0</v>
      </c>
      <c r="CJ161" s="340">
        <f t="shared" si="244"/>
        <v>0</v>
      </c>
      <c r="CK161" s="340">
        <f t="shared" si="245"/>
        <v>0</v>
      </c>
      <c r="CL161" s="340">
        <f t="shared" si="246"/>
        <v>0</v>
      </c>
      <c r="CM161" s="340">
        <f t="shared" si="247"/>
        <v>0</v>
      </c>
      <c r="CN161" s="340">
        <f t="shared" si="248"/>
        <v>0</v>
      </c>
      <c r="CO161" s="340">
        <f t="shared" si="249"/>
        <v>0</v>
      </c>
      <c r="CP161" s="340">
        <f t="shared" si="250"/>
        <v>0</v>
      </c>
      <c r="CQ161" s="340">
        <f t="shared" si="251"/>
        <v>0</v>
      </c>
      <c r="CR161" s="122"/>
      <c r="CS161" s="340" t="s">
        <v>46</v>
      </c>
      <c r="CT161" s="340">
        <f t="shared" si="252"/>
        <v>282651.90000000002</v>
      </c>
      <c r="CU161" s="340">
        <f t="shared" si="253"/>
        <v>289496.09999999998</v>
      </c>
      <c r="CV161" s="340">
        <f t="shared" si="254"/>
        <v>269596.44</v>
      </c>
      <c r="CW161" s="340">
        <f t="shared" si="255"/>
        <v>329550.43</v>
      </c>
      <c r="CX161" s="340">
        <f t="shared" si="256"/>
        <v>262509.03999999998</v>
      </c>
      <c r="CY161" s="340">
        <f t="shared" si="257"/>
        <v>243100.9</v>
      </c>
      <c r="CZ161" s="340">
        <f t="shared" si="258"/>
        <v>335159.8</v>
      </c>
      <c r="DA161" s="340">
        <f t="shared" si="259"/>
        <v>531612.25</v>
      </c>
      <c r="DB161" s="340">
        <f t="shared" si="260"/>
        <v>368018.46</v>
      </c>
      <c r="DC161" s="340">
        <f t="shared" si="261"/>
        <v>396685.42</v>
      </c>
      <c r="DD161" s="340">
        <f t="shared" si="262"/>
        <v>402027.00000000006</v>
      </c>
      <c r="DE161" s="340">
        <f t="shared" si="263"/>
        <v>682225.3</v>
      </c>
      <c r="DF161" s="340">
        <f t="shared" si="264"/>
        <v>764905.13</v>
      </c>
      <c r="DG161" s="340">
        <f t="shared" si="265"/>
        <v>0</v>
      </c>
      <c r="DH161" s="340">
        <f t="shared" si="266"/>
        <v>0</v>
      </c>
      <c r="DI161" s="340">
        <f t="shared" si="267"/>
        <v>0</v>
      </c>
      <c r="DJ161" s="340">
        <f t="shared" si="268"/>
        <v>0</v>
      </c>
      <c r="DK161" s="340">
        <f t="shared" si="269"/>
        <v>0</v>
      </c>
      <c r="DL161" s="340">
        <f t="shared" si="270"/>
        <v>0</v>
      </c>
      <c r="DM161" s="340">
        <f t="shared" si="271"/>
        <v>0</v>
      </c>
      <c r="DN161" s="340">
        <f t="shared" si="272"/>
        <v>0</v>
      </c>
      <c r="DO161" s="340">
        <f t="shared" si="273"/>
        <v>0</v>
      </c>
      <c r="DP161" s="330"/>
      <c r="DQ161" s="340" t="s">
        <v>46</v>
      </c>
      <c r="DR161" s="340">
        <f t="shared" ref="DR161:EM161" si="353">DR63</f>
        <v>0</v>
      </c>
      <c r="DS161" s="340">
        <f t="shared" si="353"/>
        <v>0</v>
      </c>
      <c r="DT161" s="340">
        <f t="shared" si="353"/>
        <v>0</v>
      </c>
      <c r="DU161" s="340">
        <f t="shared" si="353"/>
        <v>0</v>
      </c>
      <c r="DV161" s="340">
        <f t="shared" si="353"/>
        <v>0</v>
      </c>
      <c r="DW161" s="340">
        <f t="shared" si="353"/>
        <v>0</v>
      </c>
      <c r="DX161" s="340">
        <f t="shared" si="353"/>
        <v>0</v>
      </c>
      <c r="DY161" s="340">
        <f t="shared" si="353"/>
        <v>0</v>
      </c>
      <c r="DZ161" s="340">
        <f t="shared" si="353"/>
        <v>10023.099999999999</v>
      </c>
      <c r="EA161" s="340">
        <f t="shared" si="353"/>
        <v>18185.57</v>
      </c>
      <c r="EB161" s="340">
        <f t="shared" si="353"/>
        <v>110222.5</v>
      </c>
      <c r="EC161" s="340">
        <f t="shared" si="353"/>
        <v>49592.15</v>
      </c>
      <c r="ED161" s="340">
        <f t="shared" si="353"/>
        <v>37971.39</v>
      </c>
      <c r="EE161" s="340">
        <f t="shared" si="353"/>
        <v>0</v>
      </c>
      <c r="EF161" s="340">
        <f t="shared" si="353"/>
        <v>0</v>
      </c>
      <c r="EG161" s="340">
        <f t="shared" si="353"/>
        <v>0</v>
      </c>
      <c r="EH161" s="340">
        <f t="shared" si="353"/>
        <v>0</v>
      </c>
      <c r="EI161" s="340">
        <f t="shared" si="353"/>
        <v>0</v>
      </c>
      <c r="EJ161" s="340">
        <f t="shared" si="353"/>
        <v>0</v>
      </c>
      <c r="EK161" s="340">
        <f t="shared" si="353"/>
        <v>0</v>
      </c>
      <c r="EL161" s="340">
        <f t="shared" si="353"/>
        <v>0</v>
      </c>
      <c r="EM161" s="340">
        <f t="shared" si="353"/>
        <v>0</v>
      </c>
      <c r="EO161" s="319" t="s">
        <v>46</v>
      </c>
      <c r="EP161" s="319">
        <f t="shared" si="275"/>
        <v>1356729.12</v>
      </c>
      <c r="EQ161" s="319">
        <f t="shared" si="276"/>
        <v>1418530.89</v>
      </c>
      <c r="ER161" s="319">
        <f t="shared" si="277"/>
        <v>1437847.68</v>
      </c>
      <c r="ES161" s="319">
        <f t="shared" si="278"/>
        <v>1378119.98</v>
      </c>
      <c r="ET161" s="319">
        <f t="shared" si="279"/>
        <v>1410986.09</v>
      </c>
      <c r="EU161" s="319">
        <f t="shared" si="280"/>
        <v>1666977.6</v>
      </c>
      <c r="EV161" s="319">
        <f t="shared" si="281"/>
        <v>1608767.04</v>
      </c>
      <c r="EW161" s="319">
        <f t="shared" si="282"/>
        <v>1962876</v>
      </c>
      <c r="EX161" s="319">
        <f t="shared" si="283"/>
        <v>1921871.2399999998</v>
      </c>
      <c r="EY161" s="319">
        <f t="shared" si="284"/>
        <v>2104493.83</v>
      </c>
      <c r="EZ161" s="319">
        <f t="shared" si="285"/>
        <v>2111956.64</v>
      </c>
      <c r="FA161" s="319">
        <f t="shared" si="286"/>
        <v>2150367.3500000006</v>
      </c>
      <c r="FB161" s="319">
        <f t="shared" si="287"/>
        <v>2323859.81</v>
      </c>
      <c r="FC161" s="319">
        <f t="shared" si="288"/>
        <v>0</v>
      </c>
      <c r="FD161" s="319">
        <f t="shared" si="289"/>
        <v>0</v>
      </c>
      <c r="FE161" s="319">
        <f t="shared" si="290"/>
        <v>0</v>
      </c>
      <c r="FF161" s="322">
        <f t="shared" si="291"/>
        <v>0</v>
      </c>
      <c r="FG161" s="336">
        <f t="shared" si="292"/>
        <v>0</v>
      </c>
      <c r="FH161" s="336">
        <f t="shared" si="293"/>
        <v>0</v>
      </c>
      <c r="FI161" s="336">
        <f t="shared" si="294"/>
        <v>0</v>
      </c>
      <c r="FJ161" s="336">
        <f t="shared" si="295"/>
        <v>0</v>
      </c>
      <c r="FK161" s="336">
        <f t="shared" si="296"/>
        <v>0</v>
      </c>
      <c r="FL161" s="122"/>
      <c r="FM161" s="340" t="s">
        <v>46</v>
      </c>
      <c r="FN161" s="340">
        <f t="shared" si="297"/>
        <v>169591.14</v>
      </c>
      <c r="FO161" s="340">
        <f t="shared" si="298"/>
        <v>173697.66</v>
      </c>
      <c r="FP161" s="340">
        <f t="shared" si="299"/>
        <v>209686.12</v>
      </c>
      <c r="FQ161" s="340">
        <f t="shared" si="300"/>
        <v>239673.04</v>
      </c>
      <c r="FR161" s="340">
        <f t="shared" si="301"/>
        <v>262509.03999999998</v>
      </c>
      <c r="FS161" s="340">
        <f t="shared" si="302"/>
        <v>277829.59999999998</v>
      </c>
      <c r="FT161" s="340">
        <f t="shared" si="303"/>
        <v>268127.84000000003</v>
      </c>
      <c r="FU161" s="340">
        <f t="shared" si="304"/>
        <v>286252.75</v>
      </c>
      <c r="FV161" s="340">
        <f t="shared" si="305"/>
        <v>280361.67000000004</v>
      </c>
      <c r="FW161" s="340">
        <f t="shared" si="306"/>
        <v>261086.38</v>
      </c>
      <c r="FX161" s="340">
        <f t="shared" si="307"/>
        <v>255226.61</v>
      </c>
      <c r="FY161" s="340">
        <f t="shared" si="308"/>
        <v>280340.78999999998</v>
      </c>
      <c r="FZ161" s="340">
        <f t="shared" si="309"/>
        <v>287543.44</v>
      </c>
      <c r="GA161" s="340">
        <f t="shared" si="310"/>
        <v>0</v>
      </c>
      <c r="GB161" s="340">
        <f t="shared" si="311"/>
        <v>0</v>
      </c>
      <c r="GC161" s="340">
        <f t="shared" si="312"/>
        <v>0</v>
      </c>
      <c r="GD161" s="340">
        <f t="shared" si="313"/>
        <v>0</v>
      </c>
      <c r="GE161" s="340">
        <f t="shared" si="314"/>
        <v>0</v>
      </c>
      <c r="GF161" s="340">
        <f t="shared" si="315"/>
        <v>0</v>
      </c>
      <c r="GG161" s="340">
        <f t="shared" si="316"/>
        <v>0</v>
      </c>
      <c r="GH161" s="340">
        <f t="shared" si="317"/>
        <v>0</v>
      </c>
      <c r="GI161" s="340">
        <f t="shared" si="318"/>
        <v>0</v>
      </c>
      <c r="GJ161" s="122"/>
      <c r="GK161" s="340" t="s">
        <v>46</v>
      </c>
      <c r="GL161" s="340">
        <f t="shared" si="319"/>
        <v>0</v>
      </c>
      <c r="GM161" s="340">
        <f t="shared" si="320"/>
        <v>86848.83</v>
      </c>
      <c r="GN161" s="340">
        <f t="shared" si="321"/>
        <v>29955.16</v>
      </c>
      <c r="GO161" s="340">
        <f t="shared" si="322"/>
        <v>0</v>
      </c>
      <c r="GP161" s="340">
        <f t="shared" si="323"/>
        <v>229695.41</v>
      </c>
      <c r="GQ161" s="340">
        <f t="shared" si="324"/>
        <v>104186.1</v>
      </c>
      <c r="GR161" s="340">
        <f t="shared" si="325"/>
        <v>0</v>
      </c>
      <c r="GS161" s="340">
        <f t="shared" si="326"/>
        <v>40893.25</v>
      </c>
      <c r="GT161" s="340">
        <f t="shared" si="327"/>
        <v>38631.5</v>
      </c>
      <c r="GU161" s="340">
        <f t="shared" si="328"/>
        <v>20000</v>
      </c>
      <c r="GV161" s="340">
        <f t="shared" si="329"/>
        <v>8844.14</v>
      </c>
      <c r="GW161" s="340">
        <f t="shared" si="330"/>
        <v>0</v>
      </c>
      <c r="GX161" s="340">
        <f t="shared" si="331"/>
        <v>42000</v>
      </c>
      <c r="GY161" s="340">
        <f t="shared" si="332"/>
        <v>0</v>
      </c>
      <c r="GZ161" s="340">
        <f t="shared" si="333"/>
        <v>0</v>
      </c>
      <c r="HA161" s="340">
        <f t="shared" si="334"/>
        <v>0</v>
      </c>
      <c r="HB161" s="340">
        <f t="shared" si="335"/>
        <v>0</v>
      </c>
      <c r="HC161" s="340">
        <f t="shared" si="336"/>
        <v>0</v>
      </c>
      <c r="HD161" s="340">
        <f t="shared" si="337"/>
        <v>0</v>
      </c>
      <c r="HE161" s="340">
        <f t="shared" si="338"/>
        <v>0</v>
      </c>
      <c r="HF161" s="340">
        <f t="shared" si="339"/>
        <v>0</v>
      </c>
      <c r="HG161" s="340">
        <f t="shared" si="340"/>
        <v>0</v>
      </c>
      <c r="HH161" s="122"/>
      <c r="IF161" s="122"/>
      <c r="IG161" s="122"/>
      <c r="IH161" s="122"/>
      <c r="II161" s="122"/>
      <c r="IJ161" s="122"/>
      <c r="IK161" s="122"/>
      <c r="IL161" s="122"/>
      <c r="IN161" s="118"/>
      <c r="IP161" s="122"/>
      <c r="IQ161" s="122"/>
      <c r="IR161" s="122"/>
      <c r="IS161" s="122"/>
      <c r="IT161" s="122"/>
      <c r="IU161" s="122"/>
      <c r="IV161" s="122"/>
      <c r="IW161" s="122"/>
      <c r="IX161" s="122"/>
      <c r="IY161" s="122"/>
      <c r="IZ161" s="122"/>
      <c r="JA161" s="122"/>
      <c r="JB161" s="122"/>
      <c r="JC161" s="122"/>
      <c r="JD161" s="122"/>
      <c r="JE161" s="122"/>
      <c r="JF161" s="122"/>
      <c r="JG161" s="122"/>
      <c r="JH161" s="122"/>
      <c r="JI161" s="122"/>
      <c r="JK161" s="118"/>
      <c r="JL161" s="118"/>
      <c r="JY161" s="122"/>
      <c r="JZ161" s="122"/>
      <c r="KA161" s="122"/>
      <c r="KB161" s="122"/>
      <c r="LX161" s="122"/>
      <c r="LY161" s="122"/>
      <c r="LZ161" s="122"/>
      <c r="MB161" s="118"/>
      <c r="MC161" s="118"/>
      <c r="MP161" s="122"/>
      <c r="MQ161" s="122"/>
      <c r="MR161" s="122"/>
      <c r="MS161" s="122"/>
      <c r="MT161" s="122"/>
      <c r="MU161" s="122"/>
      <c r="MV161" s="122"/>
      <c r="OS161" s="118"/>
      <c r="OT161" s="118"/>
      <c r="PC161" s="122"/>
      <c r="PD161" s="122"/>
      <c r="PE161" s="122"/>
      <c r="PF161" s="122"/>
      <c r="PG161" s="122"/>
      <c r="PH161" s="122"/>
      <c r="PI161" s="122"/>
      <c r="PJ161" s="122"/>
      <c r="PP161" s="118"/>
      <c r="PQ161" s="118"/>
      <c r="PZ161" s="122"/>
      <c r="QA161" s="122"/>
      <c r="QB161" s="122"/>
      <c r="QC161" s="122"/>
      <c r="QD161" s="122"/>
      <c r="QE161" s="122"/>
      <c r="QF161" s="122"/>
      <c r="QG161" s="122"/>
      <c r="QM161" s="118"/>
      <c r="QN161" s="118"/>
      <c r="RE161" s="118"/>
      <c r="RF161" s="118"/>
      <c r="RG161" s="118"/>
      <c r="RH161" s="118"/>
      <c r="RI161" s="118"/>
      <c r="RJ161" s="118"/>
      <c r="RK161" s="118"/>
    </row>
    <row r="162" spans="25:479">
      <c r="Y162" s="277" t="s">
        <v>47</v>
      </c>
      <c r="Z162" s="319">
        <f t="shared" si="186"/>
        <v>317918.44</v>
      </c>
      <c r="AA162" s="319">
        <f t="shared" si="187"/>
        <v>319775.82</v>
      </c>
      <c r="AB162" s="319">
        <f t="shared" si="188"/>
        <v>404416.1</v>
      </c>
      <c r="AC162" s="319">
        <f t="shared" si="189"/>
        <v>359076.25</v>
      </c>
      <c r="AD162" s="319">
        <f t="shared" si="190"/>
        <v>414439.22000000003</v>
      </c>
      <c r="AE162" s="319">
        <f t="shared" si="191"/>
        <v>415404.5</v>
      </c>
      <c r="AF162" s="319">
        <f t="shared" si="192"/>
        <v>459270.34</v>
      </c>
      <c r="AG162" s="319">
        <f t="shared" si="193"/>
        <v>460718.58</v>
      </c>
      <c r="AH162" s="319">
        <f t="shared" si="194"/>
        <v>614920.04999999993</v>
      </c>
      <c r="AI162" s="319">
        <f t="shared" si="195"/>
        <v>580304.12</v>
      </c>
      <c r="AJ162" s="319">
        <f t="shared" si="196"/>
        <v>619562.44999999995</v>
      </c>
      <c r="AK162" s="319">
        <f t="shared" si="197"/>
        <v>659250.34</v>
      </c>
      <c r="AL162" s="319">
        <f t="shared" si="198"/>
        <v>781765.82000000007</v>
      </c>
      <c r="AM162" s="319">
        <f t="shared" si="199"/>
        <v>703063.82999999984</v>
      </c>
      <c r="AN162" s="319">
        <f t="shared" si="200"/>
        <v>809039.01</v>
      </c>
      <c r="AO162" s="319">
        <f t="shared" si="201"/>
        <v>753414.28999999992</v>
      </c>
      <c r="AP162" s="319">
        <f t="shared" si="202"/>
        <v>827549.49000000011</v>
      </c>
      <c r="AQ162" s="319">
        <f t="shared" si="203"/>
        <v>749216.44999999984</v>
      </c>
      <c r="AR162" s="319">
        <f t="shared" si="204"/>
        <v>769346.80999999994</v>
      </c>
      <c r="AS162" s="319">
        <f t="shared" si="205"/>
        <v>818721.02</v>
      </c>
      <c r="AT162" s="319">
        <f t="shared" si="206"/>
        <v>1670348.23</v>
      </c>
      <c r="AU162" s="319">
        <f t="shared" si="207"/>
        <v>1537190</v>
      </c>
      <c r="AW162" s="322" t="s">
        <v>47</v>
      </c>
      <c r="AX162" s="322">
        <f t="shared" si="208"/>
        <v>79479.61</v>
      </c>
      <c r="AY162" s="322">
        <f t="shared" si="209"/>
        <v>86093.489999999991</v>
      </c>
      <c r="AZ162" s="322">
        <f t="shared" si="210"/>
        <v>73530.2</v>
      </c>
      <c r="BA162" s="322">
        <f t="shared" si="211"/>
        <v>57452.2</v>
      </c>
      <c r="BB162" s="322">
        <f t="shared" si="212"/>
        <v>31879.94</v>
      </c>
      <c r="BC162" s="322">
        <f t="shared" si="213"/>
        <v>49848.54</v>
      </c>
      <c r="BD162" s="322">
        <f t="shared" si="214"/>
        <v>51298.559999999998</v>
      </c>
      <c r="BE162" s="322">
        <f t="shared" si="215"/>
        <v>0</v>
      </c>
      <c r="BF162" s="322">
        <f t="shared" si="216"/>
        <v>0</v>
      </c>
      <c r="BG162" s="322">
        <f t="shared" si="217"/>
        <v>0</v>
      </c>
      <c r="BH162" s="322">
        <f t="shared" si="218"/>
        <v>0</v>
      </c>
      <c r="BI162" s="322">
        <f t="shared" si="219"/>
        <v>0</v>
      </c>
      <c r="BJ162" s="322">
        <f t="shared" si="220"/>
        <v>0</v>
      </c>
      <c r="BK162" s="322">
        <f t="shared" si="221"/>
        <v>0</v>
      </c>
      <c r="BL162" s="322">
        <f t="shared" si="222"/>
        <v>0</v>
      </c>
      <c r="BM162" s="322">
        <f t="shared" si="223"/>
        <v>0</v>
      </c>
      <c r="BN162" s="322">
        <f t="shared" si="224"/>
        <v>0</v>
      </c>
      <c r="BO162" s="340">
        <f t="shared" si="225"/>
        <v>0</v>
      </c>
      <c r="BP162" s="340">
        <f t="shared" si="226"/>
        <v>0</v>
      </c>
      <c r="BQ162" s="340">
        <f t="shared" si="227"/>
        <v>0</v>
      </c>
      <c r="BR162" s="340">
        <f t="shared" si="228"/>
        <v>0</v>
      </c>
      <c r="BS162" s="340">
        <f t="shared" si="229"/>
        <v>0</v>
      </c>
      <c r="BU162" s="340" t="s">
        <v>47</v>
      </c>
      <c r="BV162" s="340">
        <f t="shared" si="230"/>
        <v>11354.23</v>
      </c>
      <c r="BW162" s="340">
        <f t="shared" si="231"/>
        <v>12299.07</v>
      </c>
      <c r="BX162" s="340">
        <f t="shared" si="232"/>
        <v>18382.55</v>
      </c>
      <c r="BY162" s="340">
        <f t="shared" si="233"/>
        <v>14363.05</v>
      </c>
      <c r="BZ162" s="340">
        <f t="shared" si="234"/>
        <v>15939.97</v>
      </c>
      <c r="CA162" s="340">
        <f t="shared" si="235"/>
        <v>66464.72</v>
      </c>
      <c r="CB162" s="340">
        <f t="shared" si="236"/>
        <v>68398.080000000002</v>
      </c>
      <c r="CC162" s="340">
        <f t="shared" si="237"/>
        <v>47012.1</v>
      </c>
      <c r="CD162" s="340">
        <f t="shared" si="238"/>
        <v>46155.760000000009</v>
      </c>
      <c r="CE162" s="340">
        <f t="shared" si="239"/>
        <v>52501.360000000008</v>
      </c>
      <c r="CF162" s="340">
        <f t="shared" si="240"/>
        <v>70492.680000000008</v>
      </c>
      <c r="CG162" s="340">
        <f t="shared" si="241"/>
        <v>77180.83</v>
      </c>
      <c r="CH162" s="340">
        <f t="shared" si="242"/>
        <v>78418.509999999995</v>
      </c>
      <c r="CI162" s="340">
        <f t="shared" si="243"/>
        <v>77575.149999999994</v>
      </c>
      <c r="CJ162" s="340">
        <f t="shared" si="244"/>
        <v>78087.509999999995</v>
      </c>
      <c r="CK162" s="340">
        <f t="shared" si="245"/>
        <v>78371.69</v>
      </c>
      <c r="CL162" s="340">
        <f t="shared" si="246"/>
        <v>78341.13</v>
      </c>
      <c r="CM162" s="340">
        <f t="shared" si="247"/>
        <v>73084.570000000007</v>
      </c>
      <c r="CN162" s="340">
        <f t="shared" si="248"/>
        <v>72429.16</v>
      </c>
      <c r="CO162" s="340">
        <f t="shared" si="249"/>
        <v>73027.5</v>
      </c>
      <c r="CP162" s="340">
        <f t="shared" si="250"/>
        <v>77087.929999999993</v>
      </c>
      <c r="CQ162" s="340">
        <f t="shared" si="251"/>
        <v>81250</v>
      </c>
      <c r="CR162" s="122"/>
      <c r="CS162" s="340" t="s">
        <v>47</v>
      </c>
      <c r="CT162" s="340">
        <f t="shared" si="252"/>
        <v>113542.3</v>
      </c>
      <c r="CU162" s="340">
        <f t="shared" si="253"/>
        <v>110691.63</v>
      </c>
      <c r="CV162" s="340">
        <f t="shared" si="254"/>
        <v>551476.5</v>
      </c>
      <c r="CW162" s="340">
        <f t="shared" si="255"/>
        <v>157993.54999999999</v>
      </c>
      <c r="CX162" s="340">
        <f t="shared" si="256"/>
        <v>350679.34</v>
      </c>
      <c r="CY162" s="340">
        <f t="shared" si="257"/>
        <v>199394.16</v>
      </c>
      <c r="CZ162" s="340">
        <f t="shared" si="258"/>
        <v>222293.76000000001</v>
      </c>
      <c r="DA162" s="340">
        <f t="shared" si="259"/>
        <v>225658.08</v>
      </c>
      <c r="DB162" s="340">
        <f t="shared" si="260"/>
        <v>195891.91</v>
      </c>
      <c r="DC162" s="340">
        <f t="shared" si="261"/>
        <v>237513.33</v>
      </c>
      <c r="DD162" s="340">
        <f t="shared" si="262"/>
        <v>258487.98</v>
      </c>
      <c r="DE162" s="340">
        <f t="shared" si="263"/>
        <v>277993.76</v>
      </c>
      <c r="DF162" s="340">
        <f t="shared" si="264"/>
        <v>327424.60000000003</v>
      </c>
      <c r="DG162" s="340">
        <f t="shared" si="265"/>
        <v>277414.65999999997</v>
      </c>
      <c r="DH162" s="340">
        <f t="shared" si="266"/>
        <v>277671.67999999999</v>
      </c>
      <c r="DI162" s="340">
        <f t="shared" si="267"/>
        <v>248686.37</v>
      </c>
      <c r="DJ162" s="340">
        <f t="shared" si="268"/>
        <v>273509.92</v>
      </c>
      <c r="DK162" s="340">
        <f t="shared" si="269"/>
        <v>217933.69</v>
      </c>
      <c r="DL162" s="340">
        <f t="shared" si="270"/>
        <v>358638.68</v>
      </c>
      <c r="DM162" s="340">
        <f t="shared" si="271"/>
        <v>573340.04999999993</v>
      </c>
      <c r="DN162" s="340">
        <f t="shared" si="272"/>
        <v>219585.88999999998</v>
      </c>
      <c r="DO162" s="340">
        <f t="shared" si="273"/>
        <v>267205</v>
      </c>
      <c r="DP162" s="330"/>
      <c r="DQ162" s="340" t="s">
        <v>47</v>
      </c>
      <c r="DR162" s="340">
        <f t="shared" ref="DR162:EM162" si="354">DR64</f>
        <v>102188.07</v>
      </c>
      <c r="DS162" s="340">
        <f t="shared" si="354"/>
        <v>110691.63</v>
      </c>
      <c r="DT162" s="340">
        <f t="shared" si="354"/>
        <v>110295.3</v>
      </c>
      <c r="DU162" s="340">
        <f t="shared" si="354"/>
        <v>129267.45</v>
      </c>
      <c r="DV162" s="340">
        <f t="shared" si="354"/>
        <v>143459.73000000001</v>
      </c>
      <c r="DW162" s="340">
        <f t="shared" si="354"/>
        <v>132929.44</v>
      </c>
      <c r="DX162" s="340">
        <f t="shared" si="354"/>
        <v>153895.67999999999</v>
      </c>
      <c r="DY162" s="340">
        <f t="shared" si="354"/>
        <v>56414.52</v>
      </c>
      <c r="DZ162" s="340">
        <f t="shared" si="354"/>
        <v>61582.939999999995</v>
      </c>
      <c r="EA162" s="340">
        <f t="shared" si="354"/>
        <v>61499.830000000009</v>
      </c>
      <c r="EB162" s="340">
        <f t="shared" si="354"/>
        <v>68956.41</v>
      </c>
      <c r="EC162" s="340">
        <f t="shared" si="354"/>
        <v>66459.429999999993</v>
      </c>
      <c r="ED162" s="340">
        <f t="shared" si="354"/>
        <v>90857.61</v>
      </c>
      <c r="EE162" s="340">
        <f t="shared" si="354"/>
        <v>87229.170000000013</v>
      </c>
      <c r="EF162" s="340">
        <f t="shared" si="354"/>
        <v>97431.42</v>
      </c>
      <c r="EG162" s="340">
        <f t="shared" si="354"/>
        <v>97176.840000000011</v>
      </c>
      <c r="EH162" s="340">
        <f t="shared" si="354"/>
        <v>95619.390000000014</v>
      </c>
      <c r="EI162" s="340">
        <f t="shared" si="354"/>
        <v>94839.319999999992</v>
      </c>
      <c r="EJ162" s="340">
        <f t="shared" si="354"/>
        <v>86488.929999999978</v>
      </c>
      <c r="EK162" s="340">
        <f t="shared" si="354"/>
        <v>91070.779999999984</v>
      </c>
      <c r="EL162" s="340">
        <f t="shared" si="354"/>
        <v>92343.09</v>
      </c>
      <c r="EM162" s="340">
        <f t="shared" si="354"/>
        <v>111610</v>
      </c>
      <c r="EO162" s="319" t="s">
        <v>47</v>
      </c>
      <c r="EP162" s="319">
        <f t="shared" si="275"/>
        <v>351981.13</v>
      </c>
      <c r="EQ162" s="319">
        <f t="shared" si="276"/>
        <v>405869.31</v>
      </c>
      <c r="ER162" s="319">
        <f t="shared" si="277"/>
        <v>477946.3</v>
      </c>
      <c r="ES162" s="319">
        <f t="shared" si="278"/>
        <v>502706.75</v>
      </c>
      <c r="ET162" s="319">
        <f t="shared" si="279"/>
        <v>446319.16</v>
      </c>
      <c r="EU162" s="319">
        <f t="shared" si="280"/>
        <v>581566.30000000005</v>
      </c>
      <c r="EV162" s="319">
        <f t="shared" si="281"/>
        <v>547184.64000000001</v>
      </c>
      <c r="EW162" s="319">
        <f t="shared" si="282"/>
        <v>0</v>
      </c>
      <c r="EX162" s="319">
        <f t="shared" si="283"/>
        <v>0</v>
      </c>
      <c r="EY162" s="319">
        <f t="shared" si="284"/>
        <v>0</v>
      </c>
      <c r="EZ162" s="319">
        <f t="shared" si="285"/>
        <v>0</v>
      </c>
      <c r="FA162" s="319">
        <f t="shared" si="286"/>
        <v>0</v>
      </c>
      <c r="FB162" s="319">
        <f t="shared" si="287"/>
        <v>0</v>
      </c>
      <c r="FC162" s="319">
        <f t="shared" si="288"/>
        <v>0</v>
      </c>
      <c r="FD162" s="319">
        <f t="shared" si="289"/>
        <v>0</v>
      </c>
      <c r="FE162" s="319">
        <f t="shared" si="290"/>
        <v>0</v>
      </c>
      <c r="FF162" s="322">
        <f t="shared" si="291"/>
        <v>0</v>
      </c>
      <c r="FG162" s="336">
        <f t="shared" si="292"/>
        <v>0</v>
      </c>
      <c r="FH162" s="336">
        <f t="shared" si="293"/>
        <v>0</v>
      </c>
      <c r="FI162" s="336">
        <f t="shared" si="294"/>
        <v>0</v>
      </c>
      <c r="FJ162" s="336">
        <f t="shared" si="295"/>
        <v>0</v>
      </c>
      <c r="FK162" s="336">
        <f t="shared" si="296"/>
        <v>0</v>
      </c>
      <c r="FL162" s="122"/>
      <c r="FM162" s="340" t="s">
        <v>47</v>
      </c>
      <c r="FN162" s="340">
        <f t="shared" si="297"/>
        <v>124896.53</v>
      </c>
      <c r="FO162" s="340">
        <f t="shared" si="298"/>
        <v>122990.7</v>
      </c>
      <c r="FP162" s="340">
        <f t="shared" si="299"/>
        <v>147060.4</v>
      </c>
      <c r="FQ162" s="340">
        <f t="shared" si="300"/>
        <v>172356.6</v>
      </c>
      <c r="FR162" s="340">
        <f t="shared" si="301"/>
        <v>159399.70000000001</v>
      </c>
      <c r="FS162" s="340">
        <f t="shared" si="302"/>
        <v>182777.98</v>
      </c>
      <c r="FT162" s="340">
        <f t="shared" si="303"/>
        <v>170995.20000000001</v>
      </c>
      <c r="FU162" s="340">
        <f t="shared" si="304"/>
        <v>0</v>
      </c>
      <c r="FV162" s="340">
        <f t="shared" si="305"/>
        <v>0</v>
      </c>
      <c r="FW162" s="340">
        <f t="shared" si="306"/>
        <v>0</v>
      </c>
      <c r="FX162" s="340">
        <f t="shared" si="307"/>
        <v>0</v>
      </c>
      <c r="FY162" s="340">
        <f t="shared" si="308"/>
        <v>0</v>
      </c>
      <c r="FZ162" s="340">
        <f t="shared" si="309"/>
        <v>0</v>
      </c>
      <c r="GA162" s="340">
        <f t="shared" si="310"/>
        <v>0</v>
      </c>
      <c r="GB162" s="340">
        <f t="shared" si="311"/>
        <v>0</v>
      </c>
      <c r="GC162" s="340">
        <f t="shared" si="312"/>
        <v>0</v>
      </c>
      <c r="GD162" s="340">
        <f t="shared" si="313"/>
        <v>0</v>
      </c>
      <c r="GE162" s="340">
        <f t="shared" si="314"/>
        <v>0</v>
      </c>
      <c r="GF162" s="340">
        <f t="shared" si="315"/>
        <v>0</v>
      </c>
      <c r="GG162" s="340">
        <f t="shared" si="316"/>
        <v>0</v>
      </c>
      <c r="GH162" s="340">
        <f t="shared" si="317"/>
        <v>0</v>
      </c>
      <c r="GI162" s="340">
        <f t="shared" si="318"/>
        <v>0</v>
      </c>
      <c r="GJ162" s="122"/>
      <c r="GK162" s="340" t="s">
        <v>47</v>
      </c>
      <c r="GL162" s="340">
        <f t="shared" si="319"/>
        <v>34062.69</v>
      </c>
      <c r="GM162" s="340">
        <f t="shared" si="320"/>
        <v>61495.35</v>
      </c>
      <c r="GN162" s="340">
        <f t="shared" si="321"/>
        <v>55147.65</v>
      </c>
      <c r="GO162" s="340">
        <f t="shared" si="322"/>
        <v>43089.15</v>
      </c>
      <c r="GP162" s="340">
        <f t="shared" si="323"/>
        <v>31879.94</v>
      </c>
      <c r="GQ162" s="340">
        <f t="shared" si="324"/>
        <v>33232.36</v>
      </c>
      <c r="GR162" s="340">
        <f t="shared" si="325"/>
        <v>34199.040000000001</v>
      </c>
      <c r="GS162" s="340">
        <f t="shared" si="326"/>
        <v>150438.72</v>
      </c>
      <c r="GT162" s="340">
        <f t="shared" si="327"/>
        <v>335000</v>
      </c>
      <c r="GU162" s="340">
        <f t="shared" si="328"/>
        <v>565000</v>
      </c>
      <c r="GV162" s="340">
        <f t="shared" si="329"/>
        <v>586278.93999999994</v>
      </c>
      <c r="GW162" s="340">
        <f t="shared" si="330"/>
        <v>851040</v>
      </c>
      <c r="GX162" s="340">
        <f t="shared" si="331"/>
        <v>765880.2</v>
      </c>
      <c r="GY162" s="340">
        <f t="shared" si="332"/>
        <v>602650</v>
      </c>
      <c r="GZ162" s="340">
        <f t="shared" si="333"/>
        <v>560000</v>
      </c>
      <c r="HA162" s="340">
        <f t="shared" si="334"/>
        <v>283589.29000000004</v>
      </c>
      <c r="HB162" s="340">
        <f t="shared" si="335"/>
        <v>538000</v>
      </c>
      <c r="HC162" s="340">
        <f t="shared" si="336"/>
        <v>225000</v>
      </c>
      <c r="HD162" s="340">
        <f t="shared" si="337"/>
        <v>235000</v>
      </c>
      <c r="HE162" s="340">
        <f t="shared" si="338"/>
        <v>250049.91</v>
      </c>
      <c r="HF162" s="340">
        <f t="shared" si="339"/>
        <v>287000</v>
      </c>
      <c r="HG162" s="340">
        <f t="shared" si="340"/>
        <v>367000</v>
      </c>
      <c r="HH162" s="122"/>
      <c r="IF162" s="122"/>
      <c r="IG162" s="122"/>
      <c r="IH162" s="122"/>
      <c r="II162" s="122"/>
      <c r="IJ162" s="122"/>
      <c r="IK162" s="122"/>
      <c r="IL162" s="122"/>
      <c r="IN162" s="118"/>
      <c r="IP162" s="122"/>
      <c r="IQ162" s="122"/>
      <c r="IR162" s="122"/>
      <c r="IS162" s="122"/>
      <c r="IT162" s="122"/>
      <c r="IU162" s="122"/>
      <c r="IV162" s="122"/>
      <c r="IW162" s="122"/>
      <c r="IX162" s="122"/>
      <c r="IY162" s="122"/>
      <c r="IZ162" s="122"/>
      <c r="JA162" s="122"/>
      <c r="JB162" s="122"/>
      <c r="JC162" s="122"/>
      <c r="JD162" s="122"/>
      <c r="JE162" s="122"/>
      <c r="JF162" s="122"/>
      <c r="JG162" s="122"/>
      <c r="JH162" s="122"/>
      <c r="JI162" s="122"/>
      <c r="JK162" s="118"/>
      <c r="JL162" s="118"/>
      <c r="JY162" s="122"/>
      <c r="JZ162" s="122"/>
      <c r="KA162" s="122"/>
      <c r="KB162" s="122"/>
      <c r="LX162" s="122"/>
      <c r="LY162" s="122"/>
      <c r="LZ162" s="122"/>
      <c r="MB162" s="118"/>
      <c r="MC162" s="118"/>
      <c r="MP162" s="122"/>
      <c r="MQ162" s="122"/>
      <c r="MR162" s="122"/>
      <c r="MS162" s="122"/>
      <c r="MT162" s="122"/>
      <c r="MU162" s="122"/>
      <c r="MV162" s="122"/>
      <c r="OS162" s="118"/>
      <c r="OT162" s="118"/>
      <c r="PC162" s="122"/>
      <c r="PD162" s="122"/>
      <c r="PE162" s="122"/>
      <c r="PF162" s="122"/>
      <c r="PG162" s="122"/>
      <c r="PH162" s="122"/>
      <c r="PI162" s="122"/>
      <c r="PJ162" s="122"/>
      <c r="PP162" s="118"/>
      <c r="PQ162" s="118"/>
      <c r="PZ162" s="122"/>
      <c r="QA162" s="122"/>
      <c r="QB162" s="122"/>
      <c r="QC162" s="122"/>
      <c r="QD162" s="122"/>
      <c r="QE162" s="122"/>
      <c r="QF162" s="122"/>
      <c r="QG162" s="122"/>
      <c r="QM162" s="118"/>
      <c r="QN162" s="118"/>
      <c r="RE162" s="118"/>
      <c r="RF162" s="118"/>
      <c r="RG162" s="118"/>
      <c r="RH162" s="118"/>
      <c r="RI162" s="118"/>
      <c r="RJ162" s="118"/>
      <c r="RK162" s="118"/>
    </row>
    <row r="163" spans="25:479">
      <c r="Y163" s="277" t="s">
        <v>48</v>
      </c>
      <c r="Z163" s="319">
        <f t="shared" si="186"/>
        <v>149644.20000000001</v>
      </c>
      <c r="AA163" s="319">
        <f t="shared" si="187"/>
        <v>149840.38999999998</v>
      </c>
      <c r="AB163" s="319">
        <f t="shared" si="188"/>
        <v>172780.66999999998</v>
      </c>
      <c r="AC163" s="319">
        <f t="shared" si="189"/>
        <v>188889.05000000002</v>
      </c>
      <c r="AD163" s="319">
        <f t="shared" si="190"/>
        <v>212378.95</v>
      </c>
      <c r="AE163" s="319">
        <f t="shared" si="191"/>
        <v>275728.05</v>
      </c>
      <c r="AF163" s="319">
        <f t="shared" si="192"/>
        <v>214737.94</v>
      </c>
      <c r="AG163" s="319">
        <f t="shared" si="193"/>
        <v>215183.43000000002</v>
      </c>
      <c r="AH163" s="319">
        <f t="shared" si="194"/>
        <v>211857.58</v>
      </c>
      <c r="AI163" s="319">
        <f t="shared" si="195"/>
        <v>235577.58000000002</v>
      </c>
      <c r="AJ163" s="319">
        <f t="shared" si="196"/>
        <v>235384.93999999997</v>
      </c>
      <c r="AK163" s="319">
        <f t="shared" si="197"/>
        <v>268338.12</v>
      </c>
      <c r="AL163" s="319">
        <f t="shared" si="198"/>
        <v>328948.07</v>
      </c>
      <c r="AM163" s="319">
        <f t="shared" si="199"/>
        <v>359385.8</v>
      </c>
      <c r="AN163" s="319">
        <f t="shared" si="200"/>
        <v>314075.94</v>
      </c>
      <c r="AO163" s="319">
        <f t="shared" si="201"/>
        <v>322687.43</v>
      </c>
      <c r="AP163" s="319">
        <f t="shared" si="202"/>
        <v>312650.94</v>
      </c>
      <c r="AQ163" s="319">
        <f t="shared" si="203"/>
        <v>303949.76</v>
      </c>
      <c r="AR163" s="319">
        <f t="shared" si="204"/>
        <v>332738.73000000004</v>
      </c>
      <c r="AS163" s="319">
        <f t="shared" si="205"/>
        <v>293323.32</v>
      </c>
      <c r="AT163" s="319">
        <f t="shared" si="206"/>
        <v>374156.95</v>
      </c>
      <c r="AU163" s="319">
        <f t="shared" si="207"/>
        <v>370422.52999999997</v>
      </c>
      <c r="AW163" s="322" t="s">
        <v>48</v>
      </c>
      <c r="AX163" s="322">
        <f t="shared" si="208"/>
        <v>19952.560000000001</v>
      </c>
      <c r="AY163" s="322">
        <f t="shared" si="209"/>
        <v>31001.46</v>
      </c>
      <c r="AZ163" s="322">
        <f t="shared" si="210"/>
        <v>27867.85</v>
      </c>
      <c r="BA163" s="322">
        <f t="shared" si="211"/>
        <v>21587.32</v>
      </c>
      <c r="BB163" s="322">
        <f t="shared" si="212"/>
        <v>18203.91</v>
      </c>
      <c r="BC163" s="322">
        <f t="shared" si="213"/>
        <v>28279.8</v>
      </c>
      <c r="BD163" s="322">
        <f t="shared" si="214"/>
        <v>26279.72</v>
      </c>
      <c r="BE163" s="322">
        <f t="shared" si="215"/>
        <v>19562.13</v>
      </c>
      <c r="BF163" s="322">
        <f t="shared" si="216"/>
        <v>16378.05</v>
      </c>
      <c r="BG163" s="322">
        <f t="shared" si="217"/>
        <v>15864.580000000002</v>
      </c>
      <c r="BH163" s="322">
        <f t="shared" si="218"/>
        <v>13016.830000000002</v>
      </c>
      <c r="BI163" s="322">
        <f t="shared" si="219"/>
        <v>13874</v>
      </c>
      <c r="BJ163" s="322">
        <f t="shared" si="220"/>
        <v>15003.410000000002</v>
      </c>
      <c r="BK163" s="322">
        <f t="shared" si="221"/>
        <v>19287.190000000002</v>
      </c>
      <c r="BL163" s="322">
        <f t="shared" si="222"/>
        <v>15526.43</v>
      </c>
      <c r="BM163" s="322">
        <f t="shared" si="223"/>
        <v>17376.84</v>
      </c>
      <c r="BN163" s="322">
        <f t="shared" si="224"/>
        <v>15514.11</v>
      </c>
      <c r="BO163" s="340">
        <f t="shared" si="225"/>
        <v>18802.57</v>
      </c>
      <c r="BP163" s="340">
        <f t="shared" si="226"/>
        <v>18750.46</v>
      </c>
      <c r="BQ163" s="340">
        <f t="shared" si="227"/>
        <v>33422.070000000007</v>
      </c>
      <c r="BR163" s="340">
        <f t="shared" si="228"/>
        <v>52398.239999999998</v>
      </c>
      <c r="BS163" s="340">
        <f t="shared" si="229"/>
        <v>83809.81</v>
      </c>
      <c r="BU163" s="340" t="s">
        <v>48</v>
      </c>
      <c r="BV163" s="340">
        <f t="shared" si="230"/>
        <v>4988.1400000000003</v>
      </c>
      <c r="BW163" s="340">
        <f t="shared" si="231"/>
        <v>15500.73</v>
      </c>
      <c r="BX163" s="340">
        <f t="shared" si="232"/>
        <v>16720.71</v>
      </c>
      <c r="BY163" s="340">
        <f t="shared" si="233"/>
        <v>16190.49</v>
      </c>
      <c r="BZ163" s="340">
        <f t="shared" si="234"/>
        <v>18203.91</v>
      </c>
      <c r="CA163" s="340">
        <f t="shared" si="235"/>
        <v>28279.8</v>
      </c>
      <c r="CB163" s="340">
        <f t="shared" si="236"/>
        <v>26279.72</v>
      </c>
      <c r="CC163" s="340">
        <f t="shared" si="237"/>
        <v>26082.84</v>
      </c>
      <c r="CD163" s="340">
        <f t="shared" si="238"/>
        <v>23385.599999999999</v>
      </c>
      <c r="CE163" s="340">
        <f t="shared" si="239"/>
        <v>35050.68</v>
      </c>
      <c r="CF163" s="340">
        <f t="shared" si="240"/>
        <v>35525</v>
      </c>
      <c r="CG163" s="340">
        <f t="shared" si="241"/>
        <v>36843.630000000005</v>
      </c>
      <c r="CH163" s="340">
        <f t="shared" si="242"/>
        <v>39297.72</v>
      </c>
      <c r="CI163" s="340">
        <f t="shared" si="243"/>
        <v>37451.96</v>
      </c>
      <c r="CJ163" s="340">
        <f t="shared" si="244"/>
        <v>37185.339999999997</v>
      </c>
      <c r="CK163" s="340">
        <f t="shared" si="245"/>
        <v>31700.739999999998</v>
      </c>
      <c r="CL163" s="340">
        <f t="shared" si="246"/>
        <v>32651.32</v>
      </c>
      <c r="CM163" s="340">
        <f t="shared" si="247"/>
        <v>33414.61</v>
      </c>
      <c r="CN163" s="340">
        <f t="shared" si="248"/>
        <v>34826.840000000004</v>
      </c>
      <c r="CO163" s="340">
        <f t="shared" si="249"/>
        <v>36606.120000000003</v>
      </c>
      <c r="CP163" s="340">
        <f t="shared" si="250"/>
        <v>32742.77</v>
      </c>
      <c r="CQ163" s="340">
        <f t="shared" si="251"/>
        <v>43390.81</v>
      </c>
      <c r="CR163" s="122"/>
      <c r="CS163" s="340" t="s">
        <v>48</v>
      </c>
      <c r="CT163" s="340">
        <f t="shared" si="252"/>
        <v>64845.82</v>
      </c>
      <c r="CU163" s="340">
        <f t="shared" si="253"/>
        <v>62002.92</v>
      </c>
      <c r="CV163" s="340">
        <f t="shared" si="254"/>
        <v>61309.27</v>
      </c>
      <c r="CW163" s="340">
        <f t="shared" si="255"/>
        <v>64761.96</v>
      </c>
      <c r="CX163" s="340">
        <f t="shared" si="256"/>
        <v>54611.73</v>
      </c>
      <c r="CY163" s="340">
        <f t="shared" si="257"/>
        <v>63629.55</v>
      </c>
      <c r="CZ163" s="340">
        <f t="shared" si="258"/>
        <v>59129.37</v>
      </c>
      <c r="DA163" s="340">
        <f t="shared" si="259"/>
        <v>65207.1</v>
      </c>
      <c r="DB163" s="340">
        <f t="shared" si="260"/>
        <v>72492.47</v>
      </c>
      <c r="DC163" s="340">
        <f t="shared" si="261"/>
        <v>89065.21</v>
      </c>
      <c r="DD163" s="340">
        <f t="shared" si="262"/>
        <v>82643.39</v>
      </c>
      <c r="DE163" s="340">
        <f t="shared" si="263"/>
        <v>84126.73</v>
      </c>
      <c r="DF163" s="340">
        <f t="shared" si="264"/>
        <v>98522.06</v>
      </c>
      <c r="DG163" s="340">
        <f t="shared" si="265"/>
        <v>125808.2</v>
      </c>
      <c r="DH163" s="340">
        <f t="shared" si="266"/>
        <v>89475.64</v>
      </c>
      <c r="DI163" s="340">
        <f t="shared" si="267"/>
        <v>85187.1</v>
      </c>
      <c r="DJ163" s="340">
        <f t="shared" si="268"/>
        <v>67926.66</v>
      </c>
      <c r="DK163" s="340">
        <f t="shared" si="269"/>
        <v>56985.020000000004</v>
      </c>
      <c r="DL163" s="340">
        <f t="shared" si="270"/>
        <v>63978.23</v>
      </c>
      <c r="DM163" s="340">
        <f t="shared" si="271"/>
        <v>63499.839999999997</v>
      </c>
      <c r="DN163" s="340">
        <f t="shared" si="272"/>
        <v>67293.22</v>
      </c>
      <c r="DO163" s="340">
        <f t="shared" si="273"/>
        <v>81831</v>
      </c>
      <c r="DP163" s="330"/>
      <c r="DQ163" s="340" t="s">
        <v>48</v>
      </c>
      <c r="DR163" s="340">
        <f t="shared" ref="DR163:EM163" si="355">DR65</f>
        <v>29928.84</v>
      </c>
      <c r="DS163" s="340">
        <f t="shared" si="355"/>
        <v>31001.46</v>
      </c>
      <c r="DT163" s="340">
        <f t="shared" si="355"/>
        <v>33441.42</v>
      </c>
      <c r="DU163" s="340">
        <f t="shared" si="355"/>
        <v>32380.98</v>
      </c>
      <c r="DV163" s="340">
        <f t="shared" si="355"/>
        <v>54611.73</v>
      </c>
      <c r="DW163" s="340">
        <f t="shared" si="355"/>
        <v>63629.55</v>
      </c>
      <c r="DX163" s="340">
        <f t="shared" si="355"/>
        <v>59129.37</v>
      </c>
      <c r="DY163" s="340">
        <f t="shared" si="355"/>
        <v>71727.81</v>
      </c>
      <c r="DZ163" s="340">
        <f t="shared" si="355"/>
        <v>61978.83</v>
      </c>
      <c r="EA163" s="340">
        <f t="shared" si="355"/>
        <v>56892.99</v>
      </c>
      <c r="EB163" s="340">
        <f t="shared" si="355"/>
        <v>59150.720000000001</v>
      </c>
      <c r="EC163" s="340">
        <f t="shared" si="355"/>
        <v>67192.38</v>
      </c>
      <c r="ED163" s="340">
        <f t="shared" si="355"/>
        <v>73636.66</v>
      </c>
      <c r="EE163" s="340">
        <f t="shared" si="355"/>
        <v>77823.520000000004</v>
      </c>
      <c r="EF163" s="340">
        <f t="shared" si="355"/>
        <v>80955.320000000007</v>
      </c>
      <c r="EG163" s="340">
        <f t="shared" si="355"/>
        <v>84517.33</v>
      </c>
      <c r="EH163" s="340">
        <f t="shared" si="355"/>
        <v>92569.049999999988</v>
      </c>
      <c r="EI163" s="340">
        <f t="shared" si="355"/>
        <v>95711.090000000011</v>
      </c>
      <c r="EJ163" s="340">
        <f t="shared" si="355"/>
        <v>97684.85</v>
      </c>
      <c r="EK163" s="340">
        <f t="shared" si="355"/>
        <v>108360.06</v>
      </c>
      <c r="EL163" s="340">
        <f t="shared" si="355"/>
        <v>121661.67</v>
      </c>
      <c r="EM163" s="340">
        <f t="shared" si="355"/>
        <v>160650</v>
      </c>
      <c r="EO163" s="319" t="s">
        <v>48</v>
      </c>
      <c r="EP163" s="319">
        <f t="shared" si="275"/>
        <v>189549.32</v>
      </c>
      <c r="EQ163" s="319">
        <f t="shared" si="276"/>
        <v>186008.76</v>
      </c>
      <c r="ER163" s="319">
        <f t="shared" si="277"/>
        <v>200648.52000000002</v>
      </c>
      <c r="ES163" s="319">
        <f t="shared" si="278"/>
        <v>167301.72999999998</v>
      </c>
      <c r="ET163" s="319">
        <f t="shared" si="279"/>
        <v>200243.01</v>
      </c>
      <c r="EU163" s="319">
        <f t="shared" si="280"/>
        <v>190888.65</v>
      </c>
      <c r="EV163" s="319">
        <f t="shared" si="281"/>
        <v>223377.62</v>
      </c>
      <c r="EW163" s="319">
        <f t="shared" si="282"/>
        <v>202142.01</v>
      </c>
      <c r="EX163" s="319">
        <f t="shared" si="283"/>
        <v>187687.11</v>
      </c>
      <c r="EY163" s="319">
        <f t="shared" si="284"/>
        <v>67661.260000000009</v>
      </c>
      <c r="EZ163" s="319">
        <f t="shared" si="285"/>
        <v>102608.76000000001</v>
      </c>
      <c r="FA163" s="319">
        <f t="shared" si="286"/>
        <v>109667.74</v>
      </c>
      <c r="FB163" s="319">
        <f t="shared" si="287"/>
        <v>93522.57</v>
      </c>
      <c r="FC163" s="319">
        <f t="shared" si="288"/>
        <v>119548.52</v>
      </c>
      <c r="FD163" s="319">
        <f t="shared" si="289"/>
        <v>145868.93</v>
      </c>
      <c r="FE163" s="319">
        <f t="shared" si="290"/>
        <v>130889.15999999999</v>
      </c>
      <c r="FF163" s="322">
        <f t="shared" si="291"/>
        <v>153700.18000000002</v>
      </c>
      <c r="FG163" s="336">
        <f t="shared" si="292"/>
        <v>130886.68</v>
      </c>
      <c r="FH163" s="336">
        <f t="shared" si="293"/>
        <v>133442.54999999999</v>
      </c>
      <c r="FI163" s="336">
        <f t="shared" si="294"/>
        <v>166705.23000000001</v>
      </c>
      <c r="FJ163" s="336">
        <f t="shared" si="295"/>
        <v>148242.01</v>
      </c>
      <c r="FK163" s="336">
        <f t="shared" si="296"/>
        <v>182171.5</v>
      </c>
      <c r="FL163" s="122"/>
      <c r="FM163" s="340" t="s">
        <v>48</v>
      </c>
      <c r="FN163" s="340">
        <f t="shared" si="297"/>
        <v>39905.120000000003</v>
      </c>
      <c r="FO163" s="340">
        <f t="shared" si="298"/>
        <v>41335.279999999999</v>
      </c>
      <c r="FP163" s="340">
        <f t="shared" si="299"/>
        <v>44588.56</v>
      </c>
      <c r="FQ163" s="340">
        <f t="shared" si="300"/>
        <v>48571.47</v>
      </c>
      <c r="FR163" s="340">
        <f t="shared" si="301"/>
        <v>48543.76</v>
      </c>
      <c r="FS163" s="340">
        <f t="shared" si="302"/>
        <v>56559.6</v>
      </c>
      <c r="FT163" s="340">
        <f t="shared" si="303"/>
        <v>52559.44</v>
      </c>
      <c r="FU163" s="340">
        <f t="shared" si="304"/>
        <v>52165.68</v>
      </c>
      <c r="FV163" s="340">
        <f t="shared" si="305"/>
        <v>54861.72</v>
      </c>
      <c r="FW163" s="340">
        <f t="shared" si="306"/>
        <v>61233.290000000008</v>
      </c>
      <c r="FX163" s="340">
        <f t="shared" si="307"/>
        <v>61633.18</v>
      </c>
      <c r="FY163" s="340">
        <f t="shared" si="308"/>
        <v>60313.18</v>
      </c>
      <c r="FZ163" s="340">
        <f t="shared" si="309"/>
        <v>61376.429999999993</v>
      </c>
      <c r="GA163" s="340">
        <f t="shared" si="310"/>
        <v>62340.42</v>
      </c>
      <c r="GB163" s="340">
        <f t="shared" si="311"/>
        <v>65017.97</v>
      </c>
      <c r="GC163" s="340">
        <f t="shared" si="312"/>
        <v>66879.95</v>
      </c>
      <c r="GD163" s="340">
        <f t="shared" si="313"/>
        <v>68328.849999999991</v>
      </c>
      <c r="GE163" s="340">
        <f t="shared" si="314"/>
        <v>71915.129999999976</v>
      </c>
      <c r="GF163" s="340">
        <f t="shared" si="315"/>
        <v>70020.28</v>
      </c>
      <c r="GG163" s="340">
        <f t="shared" si="316"/>
        <v>73264.13999999997</v>
      </c>
      <c r="GH163" s="340">
        <f t="shared" si="317"/>
        <v>66415.359999999986</v>
      </c>
      <c r="GI163" s="340">
        <f t="shared" si="318"/>
        <v>81839.58</v>
      </c>
      <c r="GJ163" s="122"/>
      <c r="GK163" s="340" t="s">
        <v>48</v>
      </c>
      <c r="GL163" s="340">
        <f t="shared" si="319"/>
        <v>0</v>
      </c>
      <c r="GM163" s="340">
        <f t="shared" si="320"/>
        <v>0</v>
      </c>
      <c r="GN163" s="340">
        <f t="shared" si="321"/>
        <v>0</v>
      </c>
      <c r="GO163" s="340">
        <f t="shared" si="322"/>
        <v>0</v>
      </c>
      <c r="GP163" s="340">
        <f t="shared" si="323"/>
        <v>0</v>
      </c>
      <c r="GQ163" s="340">
        <f t="shared" si="324"/>
        <v>0</v>
      </c>
      <c r="GR163" s="340">
        <f t="shared" si="325"/>
        <v>0</v>
      </c>
      <c r="GS163" s="340">
        <f t="shared" si="326"/>
        <v>0</v>
      </c>
      <c r="GT163" s="340">
        <f t="shared" si="327"/>
        <v>0</v>
      </c>
      <c r="GU163" s="340">
        <f t="shared" si="328"/>
        <v>0</v>
      </c>
      <c r="GV163" s="340">
        <f t="shared" si="329"/>
        <v>0</v>
      </c>
      <c r="GW163" s="340">
        <f t="shared" si="330"/>
        <v>0</v>
      </c>
      <c r="GX163" s="340">
        <f t="shared" si="331"/>
        <v>0</v>
      </c>
      <c r="GY163" s="340">
        <f t="shared" si="332"/>
        <v>0</v>
      </c>
      <c r="GZ163" s="340">
        <f t="shared" si="333"/>
        <v>0</v>
      </c>
      <c r="HA163" s="340">
        <f t="shared" si="334"/>
        <v>0</v>
      </c>
      <c r="HB163" s="340">
        <f t="shared" si="335"/>
        <v>0</v>
      </c>
      <c r="HC163" s="340">
        <f t="shared" si="336"/>
        <v>0</v>
      </c>
      <c r="HD163" s="340">
        <f t="shared" si="337"/>
        <v>0</v>
      </c>
      <c r="HE163" s="340">
        <f t="shared" si="338"/>
        <v>0</v>
      </c>
      <c r="HF163" s="340">
        <f t="shared" si="339"/>
        <v>0</v>
      </c>
      <c r="HG163" s="340">
        <f t="shared" si="340"/>
        <v>0</v>
      </c>
      <c r="HH163" s="122"/>
      <c r="IF163" s="122"/>
      <c r="IG163" s="122"/>
      <c r="IH163" s="122"/>
      <c r="II163" s="122"/>
      <c r="IJ163" s="122"/>
      <c r="IK163" s="122"/>
      <c r="IL163" s="122"/>
      <c r="IN163" s="118"/>
      <c r="IP163" s="122"/>
      <c r="IQ163" s="122"/>
      <c r="IR163" s="122"/>
      <c r="IS163" s="122"/>
      <c r="IT163" s="122"/>
      <c r="IU163" s="122"/>
      <c r="IV163" s="122"/>
      <c r="IW163" s="122"/>
      <c r="IX163" s="122"/>
      <c r="IY163" s="122"/>
      <c r="IZ163" s="122"/>
      <c r="JA163" s="122"/>
      <c r="JB163" s="122"/>
      <c r="JC163" s="122"/>
      <c r="JD163" s="122"/>
      <c r="JE163" s="122"/>
      <c r="JF163" s="122"/>
      <c r="JG163" s="122"/>
      <c r="JH163" s="122"/>
      <c r="JI163" s="122"/>
      <c r="JK163" s="118"/>
      <c r="JL163" s="118"/>
      <c r="JY163" s="122"/>
      <c r="JZ163" s="122"/>
      <c r="KA163" s="122"/>
      <c r="KB163" s="122"/>
      <c r="LX163" s="122"/>
      <c r="LY163" s="122"/>
      <c r="LZ163" s="122"/>
      <c r="MB163" s="118"/>
      <c r="MC163" s="118"/>
      <c r="MP163" s="122"/>
      <c r="MQ163" s="122"/>
      <c r="MR163" s="122"/>
      <c r="MS163" s="122"/>
      <c r="MT163" s="122"/>
      <c r="MU163" s="122"/>
      <c r="MV163" s="122"/>
      <c r="OS163" s="118"/>
      <c r="OT163" s="118"/>
      <c r="PC163" s="122"/>
      <c r="PD163" s="122"/>
      <c r="PE163" s="122"/>
      <c r="PF163" s="122"/>
      <c r="PG163" s="122"/>
      <c r="PH163" s="122"/>
      <c r="PI163" s="122"/>
      <c r="PJ163" s="122"/>
      <c r="PP163" s="118"/>
      <c r="PQ163" s="118"/>
      <c r="PZ163" s="122"/>
      <c r="QA163" s="122"/>
      <c r="QB163" s="122"/>
      <c r="QC163" s="122"/>
      <c r="QD163" s="122"/>
      <c r="QE163" s="122"/>
      <c r="QF163" s="122"/>
      <c r="QG163" s="122"/>
      <c r="QM163" s="118"/>
      <c r="QN163" s="118"/>
      <c r="RE163" s="118"/>
      <c r="RF163" s="118"/>
      <c r="RG163" s="118"/>
      <c r="RH163" s="118"/>
      <c r="RI163" s="118"/>
      <c r="RJ163" s="118"/>
      <c r="RK163" s="118"/>
    </row>
    <row r="164" spans="25:479">
      <c r="Y164" s="277" t="s">
        <v>49</v>
      </c>
      <c r="Z164" s="319">
        <f t="shared" si="186"/>
        <v>479671.2</v>
      </c>
      <c r="AA164" s="319">
        <f t="shared" si="187"/>
        <v>398516.39999999997</v>
      </c>
      <c r="AB164" s="319">
        <f t="shared" si="188"/>
        <v>471880.92000000004</v>
      </c>
      <c r="AC164" s="319">
        <f t="shared" si="189"/>
        <v>511408.04</v>
      </c>
      <c r="AD164" s="319">
        <f t="shared" si="190"/>
        <v>662383.19999999995</v>
      </c>
      <c r="AE164" s="319">
        <f t="shared" si="191"/>
        <v>505155.3</v>
      </c>
      <c r="AF164" s="319">
        <f t="shared" si="192"/>
        <v>531277.35</v>
      </c>
      <c r="AG164" s="319">
        <f t="shared" si="193"/>
        <v>563140.5</v>
      </c>
      <c r="AH164" s="319">
        <f t="shared" si="194"/>
        <v>718423.54166666651</v>
      </c>
      <c r="AI164" s="319">
        <f t="shared" si="195"/>
        <v>0</v>
      </c>
      <c r="AJ164" s="319">
        <f t="shared" si="196"/>
        <v>0</v>
      </c>
      <c r="AK164" s="319">
        <f t="shared" si="197"/>
        <v>0</v>
      </c>
      <c r="AL164" s="319">
        <f t="shared" si="198"/>
        <v>0</v>
      </c>
      <c r="AM164" s="319">
        <f t="shared" si="199"/>
        <v>0</v>
      </c>
      <c r="AN164" s="319">
        <f t="shared" si="200"/>
        <v>0</v>
      </c>
      <c r="AO164" s="319">
        <f t="shared" si="201"/>
        <v>0</v>
      </c>
      <c r="AP164" s="319">
        <f t="shared" si="202"/>
        <v>0</v>
      </c>
      <c r="AQ164" s="319">
        <f t="shared" si="203"/>
        <v>0</v>
      </c>
      <c r="AR164" s="319">
        <f t="shared" si="204"/>
        <v>0</v>
      </c>
      <c r="AS164" s="319">
        <f t="shared" si="205"/>
        <v>0</v>
      </c>
      <c r="AT164" s="319">
        <f t="shared" si="206"/>
        <v>0</v>
      </c>
      <c r="AU164" s="319">
        <f t="shared" si="207"/>
        <v>0</v>
      </c>
      <c r="AW164" s="322" t="s">
        <v>49</v>
      </c>
      <c r="AX164" s="322">
        <f t="shared" si="208"/>
        <v>106593.60000000001</v>
      </c>
      <c r="AY164" s="322">
        <f t="shared" si="209"/>
        <v>103960.8</v>
      </c>
      <c r="AZ164" s="322">
        <f t="shared" si="210"/>
        <v>168528.9</v>
      </c>
      <c r="BA164" s="322">
        <f t="shared" si="211"/>
        <v>98347.700000000012</v>
      </c>
      <c r="BB164" s="322">
        <f t="shared" si="212"/>
        <v>68522.399999999994</v>
      </c>
      <c r="BC164" s="322">
        <f t="shared" si="213"/>
        <v>116574.29999999999</v>
      </c>
      <c r="BD164" s="322">
        <f t="shared" si="214"/>
        <v>94598.040000000008</v>
      </c>
      <c r="BE164" s="322">
        <f t="shared" si="215"/>
        <v>90102.48</v>
      </c>
      <c r="BF164" s="322">
        <f t="shared" si="216"/>
        <v>56797.72</v>
      </c>
      <c r="BG164" s="322">
        <f t="shared" si="217"/>
        <v>0</v>
      </c>
      <c r="BH164" s="322">
        <f t="shared" si="218"/>
        <v>0</v>
      </c>
      <c r="BI164" s="322">
        <f t="shared" si="219"/>
        <v>0</v>
      </c>
      <c r="BJ164" s="322">
        <f t="shared" si="220"/>
        <v>0</v>
      </c>
      <c r="BK164" s="322">
        <f t="shared" si="221"/>
        <v>0</v>
      </c>
      <c r="BL164" s="322">
        <f t="shared" si="222"/>
        <v>0</v>
      </c>
      <c r="BM164" s="322">
        <f t="shared" si="223"/>
        <v>0</v>
      </c>
      <c r="BN164" s="322">
        <f t="shared" si="224"/>
        <v>0</v>
      </c>
      <c r="BO164" s="340">
        <f t="shared" si="225"/>
        <v>0</v>
      </c>
      <c r="BP164" s="340">
        <f t="shared" si="226"/>
        <v>0</v>
      </c>
      <c r="BQ164" s="340">
        <f t="shared" si="227"/>
        <v>0</v>
      </c>
      <c r="BR164" s="340">
        <f t="shared" si="228"/>
        <v>0</v>
      </c>
      <c r="BS164" s="340">
        <f t="shared" si="229"/>
        <v>0</v>
      </c>
      <c r="BU164" s="340" t="s">
        <v>49</v>
      </c>
      <c r="BV164" s="340">
        <f t="shared" si="230"/>
        <v>35531.199999999997</v>
      </c>
      <c r="BW164" s="340">
        <f t="shared" si="231"/>
        <v>34653.599999999999</v>
      </c>
      <c r="BX164" s="340">
        <f t="shared" si="232"/>
        <v>33705.78</v>
      </c>
      <c r="BY164" s="340">
        <f t="shared" si="233"/>
        <v>39339.08</v>
      </c>
      <c r="BZ164" s="340">
        <f t="shared" si="234"/>
        <v>45681.599999999999</v>
      </c>
      <c r="CA164" s="340">
        <f t="shared" si="235"/>
        <v>58287.149999999994</v>
      </c>
      <c r="CB164" s="340">
        <f t="shared" si="236"/>
        <v>63065.36</v>
      </c>
      <c r="CC164" s="340">
        <f t="shared" si="237"/>
        <v>45051.24</v>
      </c>
      <c r="CD164" s="340">
        <f t="shared" si="238"/>
        <v>56797.72</v>
      </c>
      <c r="CE164" s="340">
        <f t="shared" si="239"/>
        <v>0</v>
      </c>
      <c r="CF164" s="340">
        <f t="shared" si="240"/>
        <v>0</v>
      </c>
      <c r="CG164" s="340">
        <f t="shared" si="241"/>
        <v>0</v>
      </c>
      <c r="CH164" s="340">
        <f t="shared" si="242"/>
        <v>0</v>
      </c>
      <c r="CI164" s="340">
        <f t="shared" si="243"/>
        <v>0</v>
      </c>
      <c r="CJ164" s="340">
        <f t="shared" si="244"/>
        <v>0</v>
      </c>
      <c r="CK164" s="340">
        <f t="shared" si="245"/>
        <v>0</v>
      </c>
      <c r="CL164" s="340">
        <f t="shared" si="246"/>
        <v>0</v>
      </c>
      <c r="CM164" s="340">
        <f t="shared" si="247"/>
        <v>0</v>
      </c>
      <c r="CN164" s="340">
        <f t="shared" si="248"/>
        <v>0</v>
      </c>
      <c r="CO164" s="340">
        <f t="shared" si="249"/>
        <v>0</v>
      </c>
      <c r="CP164" s="340">
        <f t="shared" si="250"/>
        <v>0</v>
      </c>
      <c r="CQ164" s="340">
        <f t="shared" si="251"/>
        <v>0</v>
      </c>
      <c r="CR164" s="122"/>
      <c r="CS164" s="340" t="s">
        <v>49</v>
      </c>
      <c r="CT164" s="340">
        <f t="shared" si="252"/>
        <v>248718.4</v>
      </c>
      <c r="CU164" s="340">
        <f t="shared" si="253"/>
        <v>242575.19999999998</v>
      </c>
      <c r="CV164" s="340">
        <f t="shared" si="254"/>
        <v>320204.90999999997</v>
      </c>
      <c r="CW164" s="340">
        <f t="shared" si="255"/>
        <v>393390.8</v>
      </c>
      <c r="CX164" s="340">
        <f t="shared" si="256"/>
        <v>548179.19999999995</v>
      </c>
      <c r="CY164" s="340">
        <f t="shared" si="257"/>
        <v>116574.3</v>
      </c>
      <c r="CZ164" s="340">
        <f t="shared" si="258"/>
        <v>189196.08</v>
      </c>
      <c r="DA164" s="340">
        <f t="shared" si="259"/>
        <v>270307.44</v>
      </c>
      <c r="DB164" s="340">
        <f t="shared" si="260"/>
        <v>312387.46000000002</v>
      </c>
      <c r="DC164" s="340">
        <f t="shared" si="261"/>
        <v>0</v>
      </c>
      <c r="DD164" s="340">
        <f t="shared" si="262"/>
        <v>0</v>
      </c>
      <c r="DE164" s="340">
        <f t="shared" si="263"/>
        <v>0</v>
      </c>
      <c r="DF164" s="340">
        <f t="shared" si="264"/>
        <v>0</v>
      </c>
      <c r="DG164" s="340">
        <f t="shared" si="265"/>
        <v>0</v>
      </c>
      <c r="DH164" s="340">
        <f t="shared" si="266"/>
        <v>0</v>
      </c>
      <c r="DI164" s="340">
        <f t="shared" si="267"/>
        <v>0</v>
      </c>
      <c r="DJ164" s="340">
        <f t="shared" si="268"/>
        <v>0</v>
      </c>
      <c r="DK164" s="340">
        <f t="shared" si="269"/>
        <v>0</v>
      </c>
      <c r="DL164" s="340">
        <f t="shared" si="270"/>
        <v>0</v>
      </c>
      <c r="DM164" s="340">
        <f t="shared" si="271"/>
        <v>0</v>
      </c>
      <c r="DN164" s="340">
        <f t="shared" si="272"/>
        <v>0</v>
      </c>
      <c r="DO164" s="340">
        <f t="shared" si="273"/>
        <v>0</v>
      </c>
      <c r="DP164" s="330"/>
      <c r="DQ164" s="340" t="s">
        <v>49</v>
      </c>
      <c r="DR164" s="340">
        <f t="shared" ref="DR164:EM164" si="356">DR66</f>
        <v>177656</v>
      </c>
      <c r="DS164" s="340">
        <f t="shared" si="356"/>
        <v>138614.39999999999</v>
      </c>
      <c r="DT164" s="340">
        <f t="shared" si="356"/>
        <v>202234.68</v>
      </c>
      <c r="DU164" s="340">
        <f t="shared" si="356"/>
        <v>216364.94</v>
      </c>
      <c r="DV164" s="340">
        <f t="shared" si="356"/>
        <v>228408</v>
      </c>
      <c r="DW164" s="340">
        <f t="shared" si="356"/>
        <v>272006.7</v>
      </c>
      <c r="DX164" s="340">
        <f t="shared" si="356"/>
        <v>378392.16</v>
      </c>
      <c r="DY164" s="340">
        <f t="shared" si="356"/>
        <v>315358.68</v>
      </c>
      <c r="DZ164" s="340">
        <f t="shared" si="356"/>
        <v>340786.32</v>
      </c>
      <c r="EA164" s="340">
        <f t="shared" si="356"/>
        <v>0</v>
      </c>
      <c r="EB164" s="340">
        <f t="shared" si="356"/>
        <v>0</v>
      </c>
      <c r="EC164" s="340">
        <f t="shared" si="356"/>
        <v>0</v>
      </c>
      <c r="ED164" s="340">
        <f t="shared" si="356"/>
        <v>0</v>
      </c>
      <c r="EE164" s="340">
        <f t="shared" si="356"/>
        <v>0</v>
      </c>
      <c r="EF164" s="340">
        <f t="shared" si="356"/>
        <v>0</v>
      </c>
      <c r="EG164" s="340">
        <f t="shared" si="356"/>
        <v>0</v>
      </c>
      <c r="EH164" s="340">
        <f t="shared" si="356"/>
        <v>0</v>
      </c>
      <c r="EI164" s="340">
        <f t="shared" si="356"/>
        <v>0</v>
      </c>
      <c r="EJ164" s="340">
        <f t="shared" si="356"/>
        <v>0</v>
      </c>
      <c r="EK164" s="340">
        <f t="shared" si="356"/>
        <v>0</v>
      </c>
      <c r="EL164" s="340">
        <f t="shared" si="356"/>
        <v>0</v>
      </c>
      <c r="EM164" s="340">
        <f t="shared" si="356"/>
        <v>0</v>
      </c>
      <c r="EO164" s="319" t="s">
        <v>49</v>
      </c>
      <c r="EP164" s="319">
        <f t="shared" si="275"/>
        <v>621796</v>
      </c>
      <c r="EQ164" s="319">
        <f t="shared" si="276"/>
        <v>693072</v>
      </c>
      <c r="ER164" s="319">
        <f t="shared" si="277"/>
        <v>387616.47</v>
      </c>
      <c r="ES164" s="319">
        <f t="shared" si="278"/>
        <v>373721.26</v>
      </c>
      <c r="ET164" s="319">
        <f t="shared" si="279"/>
        <v>433975.2</v>
      </c>
      <c r="EU164" s="319">
        <f t="shared" si="280"/>
        <v>505155.3</v>
      </c>
      <c r="EV164" s="319">
        <f t="shared" si="281"/>
        <v>756784.32</v>
      </c>
      <c r="EW164" s="319">
        <f t="shared" si="282"/>
        <v>630717.36</v>
      </c>
      <c r="EX164" s="319">
        <f t="shared" si="283"/>
        <v>653173.78</v>
      </c>
      <c r="EY164" s="319">
        <f t="shared" si="284"/>
        <v>0</v>
      </c>
      <c r="EZ164" s="319">
        <f t="shared" si="285"/>
        <v>0</v>
      </c>
      <c r="FA164" s="319">
        <f t="shared" si="286"/>
        <v>0</v>
      </c>
      <c r="FB164" s="319">
        <f t="shared" si="287"/>
        <v>0</v>
      </c>
      <c r="FC164" s="319">
        <f t="shared" si="288"/>
        <v>0</v>
      </c>
      <c r="FD164" s="319">
        <f t="shared" si="289"/>
        <v>0</v>
      </c>
      <c r="FE164" s="319">
        <f t="shared" si="290"/>
        <v>0</v>
      </c>
      <c r="FF164" s="322">
        <f t="shared" si="291"/>
        <v>0</v>
      </c>
      <c r="FG164" s="336">
        <f t="shared" si="292"/>
        <v>0</v>
      </c>
      <c r="FH164" s="336">
        <f t="shared" si="293"/>
        <v>0</v>
      </c>
      <c r="FI164" s="336">
        <f t="shared" si="294"/>
        <v>0</v>
      </c>
      <c r="FJ164" s="336">
        <f t="shared" si="295"/>
        <v>0</v>
      </c>
      <c r="FK164" s="336">
        <f t="shared" si="296"/>
        <v>0</v>
      </c>
      <c r="FL164" s="122"/>
      <c r="FM164" s="340" t="s">
        <v>49</v>
      </c>
      <c r="FN164" s="340">
        <f t="shared" si="297"/>
        <v>88828</v>
      </c>
      <c r="FO164" s="340">
        <f t="shared" si="298"/>
        <v>103960.8</v>
      </c>
      <c r="FP164" s="340">
        <f t="shared" si="299"/>
        <v>101117.34</v>
      </c>
      <c r="FQ164" s="340">
        <f t="shared" si="300"/>
        <v>137686.78</v>
      </c>
      <c r="FR164" s="340">
        <f t="shared" si="301"/>
        <v>159885.6</v>
      </c>
      <c r="FS164" s="340">
        <f t="shared" si="302"/>
        <v>174861.45</v>
      </c>
      <c r="FT164" s="340">
        <f t="shared" si="303"/>
        <v>189196.08</v>
      </c>
      <c r="FU164" s="340">
        <f t="shared" si="304"/>
        <v>180204.96</v>
      </c>
      <c r="FV164" s="340">
        <f t="shared" si="305"/>
        <v>170393.16</v>
      </c>
      <c r="FW164" s="340">
        <f t="shared" si="306"/>
        <v>0</v>
      </c>
      <c r="FX164" s="340">
        <f t="shared" si="307"/>
        <v>0</v>
      </c>
      <c r="FY164" s="340">
        <f t="shared" si="308"/>
        <v>0</v>
      </c>
      <c r="FZ164" s="340">
        <f t="shared" si="309"/>
        <v>0</v>
      </c>
      <c r="GA164" s="340">
        <f t="shared" si="310"/>
        <v>0</v>
      </c>
      <c r="GB164" s="340">
        <f t="shared" si="311"/>
        <v>0</v>
      </c>
      <c r="GC164" s="340">
        <f t="shared" si="312"/>
        <v>0</v>
      </c>
      <c r="GD164" s="340">
        <f t="shared" si="313"/>
        <v>0</v>
      </c>
      <c r="GE164" s="340">
        <f t="shared" si="314"/>
        <v>0</v>
      </c>
      <c r="GF164" s="340">
        <f t="shared" si="315"/>
        <v>0</v>
      </c>
      <c r="GG164" s="340">
        <f t="shared" si="316"/>
        <v>0</v>
      </c>
      <c r="GH164" s="340">
        <f t="shared" si="317"/>
        <v>0</v>
      </c>
      <c r="GI164" s="340">
        <f t="shared" si="318"/>
        <v>0</v>
      </c>
      <c r="GJ164" s="122"/>
      <c r="GK164" s="340" t="s">
        <v>49</v>
      </c>
      <c r="GL164" s="340">
        <f t="shared" si="319"/>
        <v>17765.599999999999</v>
      </c>
      <c r="GM164" s="340">
        <f t="shared" si="320"/>
        <v>17326.8</v>
      </c>
      <c r="GN164" s="340">
        <f t="shared" si="321"/>
        <v>0</v>
      </c>
      <c r="GO164" s="340">
        <f t="shared" si="322"/>
        <v>196695.4</v>
      </c>
      <c r="GP164" s="340">
        <f t="shared" si="323"/>
        <v>137044.79999999999</v>
      </c>
      <c r="GQ164" s="340">
        <f t="shared" si="324"/>
        <v>194290.5</v>
      </c>
      <c r="GR164" s="340">
        <f t="shared" si="325"/>
        <v>914447.72</v>
      </c>
      <c r="GS164" s="340">
        <f t="shared" si="326"/>
        <v>157679.34</v>
      </c>
      <c r="GT164" s="340">
        <f t="shared" si="327"/>
        <v>454381.76</v>
      </c>
      <c r="GU164" s="340">
        <f t="shared" si="328"/>
        <v>0</v>
      </c>
      <c r="GV164" s="340">
        <f t="shared" si="329"/>
        <v>0</v>
      </c>
      <c r="GW164" s="340">
        <f t="shared" si="330"/>
        <v>0</v>
      </c>
      <c r="GX164" s="340">
        <f t="shared" si="331"/>
        <v>0</v>
      </c>
      <c r="GY164" s="340">
        <f t="shared" si="332"/>
        <v>0</v>
      </c>
      <c r="GZ164" s="340">
        <f t="shared" si="333"/>
        <v>0</v>
      </c>
      <c r="HA164" s="340">
        <f t="shared" si="334"/>
        <v>0</v>
      </c>
      <c r="HB164" s="340">
        <f t="shared" si="335"/>
        <v>0</v>
      </c>
      <c r="HC164" s="340">
        <f t="shared" si="336"/>
        <v>0</v>
      </c>
      <c r="HD164" s="340">
        <f t="shared" si="337"/>
        <v>0</v>
      </c>
      <c r="HE164" s="340">
        <f t="shared" si="338"/>
        <v>0</v>
      </c>
      <c r="HF164" s="340">
        <f t="shared" si="339"/>
        <v>0</v>
      </c>
      <c r="HG164" s="340">
        <f t="shared" si="340"/>
        <v>0</v>
      </c>
      <c r="HH164" s="122"/>
      <c r="IF164" s="122"/>
      <c r="IG164" s="122"/>
      <c r="IH164" s="122"/>
      <c r="II164" s="122"/>
      <c r="IJ164" s="122"/>
      <c r="IK164" s="122"/>
      <c r="IL164" s="122"/>
      <c r="IN164" s="118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  <c r="JD164" s="122"/>
      <c r="JE164" s="122"/>
      <c r="JF164" s="122"/>
      <c r="JG164" s="122"/>
      <c r="JH164" s="122"/>
      <c r="JI164" s="122"/>
      <c r="JK164" s="118"/>
      <c r="JL164" s="118"/>
      <c r="JY164" s="122"/>
      <c r="JZ164" s="122"/>
      <c r="KA164" s="122"/>
      <c r="KB164" s="122"/>
      <c r="LX164" s="122"/>
      <c r="LY164" s="122"/>
      <c r="LZ164" s="122"/>
      <c r="MB164" s="118"/>
      <c r="MC164" s="118"/>
      <c r="MP164" s="122"/>
      <c r="MQ164" s="122"/>
      <c r="MR164" s="122"/>
      <c r="MS164" s="122"/>
      <c r="MT164" s="122"/>
      <c r="MU164" s="122"/>
      <c r="MV164" s="122"/>
      <c r="OS164" s="118"/>
      <c r="OT164" s="118"/>
      <c r="PC164" s="122"/>
      <c r="PD164" s="122"/>
      <c r="PE164" s="122"/>
      <c r="PF164" s="122"/>
      <c r="PG164" s="122"/>
      <c r="PH164" s="122"/>
      <c r="PI164" s="122"/>
      <c r="PJ164" s="122"/>
      <c r="PP164" s="118"/>
      <c r="PQ164" s="118"/>
      <c r="PZ164" s="122"/>
      <c r="QA164" s="122"/>
      <c r="QB164" s="122"/>
      <c r="QC164" s="122"/>
      <c r="QD164" s="122"/>
      <c r="QE164" s="122"/>
      <c r="QF164" s="122"/>
      <c r="QG164" s="122"/>
      <c r="QM164" s="118"/>
      <c r="QN164" s="118"/>
      <c r="RE164" s="118"/>
      <c r="RF164" s="118"/>
      <c r="RG164" s="118"/>
      <c r="RH164" s="118"/>
      <c r="RI164" s="118"/>
      <c r="RJ164" s="118"/>
      <c r="RK164" s="118"/>
    </row>
    <row r="165" spans="25:479">
      <c r="Y165" s="277" t="s">
        <v>50</v>
      </c>
      <c r="Z165" s="319">
        <f t="shared" si="186"/>
        <v>343597.80000000005</v>
      </c>
      <c r="AA165" s="319">
        <f t="shared" si="187"/>
        <v>341339.44</v>
      </c>
      <c r="AB165" s="319">
        <f t="shared" si="188"/>
        <v>381312</v>
      </c>
      <c r="AC165" s="319">
        <f t="shared" si="189"/>
        <v>365636.4</v>
      </c>
      <c r="AD165" s="319">
        <f t="shared" si="190"/>
        <v>400456.22000000003</v>
      </c>
      <c r="AE165" s="319">
        <f t="shared" si="191"/>
        <v>414735.51</v>
      </c>
      <c r="AF165" s="319">
        <f t="shared" si="192"/>
        <v>471465.5400000001</v>
      </c>
      <c r="AG165" s="319">
        <f t="shared" si="193"/>
        <v>464143.4</v>
      </c>
      <c r="AH165" s="319">
        <f t="shared" si="194"/>
        <v>482037.48</v>
      </c>
      <c r="AI165" s="319">
        <f t="shared" si="195"/>
        <v>473241.42000000004</v>
      </c>
      <c r="AJ165" s="319">
        <f t="shared" si="196"/>
        <v>542438.2699999999</v>
      </c>
      <c r="AK165" s="319">
        <f t="shared" si="197"/>
        <v>531025.19999999995</v>
      </c>
      <c r="AL165" s="319">
        <f t="shared" si="198"/>
        <v>585788.38</v>
      </c>
      <c r="AM165" s="319">
        <f t="shared" si="199"/>
        <v>573495.80000000005</v>
      </c>
      <c r="AN165" s="319">
        <f t="shared" si="200"/>
        <v>622727.68999999994</v>
      </c>
      <c r="AO165" s="319">
        <f t="shared" si="201"/>
        <v>593970.42000000004</v>
      </c>
      <c r="AP165" s="319">
        <f t="shared" si="202"/>
        <v>622884.85000000009</v>
      </c>
      <c r="AQ165" s="319">
        <f t="shared" si="203"/>
        <v>603490.05000000005</v>
      </c>
      <c r="AR165" s="319">
        <f t="shared" si="204"/>
        <v>650169.15</v>
      </c>
      <c r="AS165" s="319">
        <f t="shared" si="205"/>
        <v>610441.64</v>
      </c>
      <c r="AT165" s="319">
        <f t="shared" si="206"/>
        <v>614731.52000000002</v>
      </c>
      <c r="AU165" s="319">
        <f t="shared" si="207"/>
        <v>653282</v>
      </c>
      <c r="AW165" s="322" t="s">
        <v>50</v>
      </c>
      <c r="AX165" s="322">
        <f t="shared" si="208"/>
        <v>114532.6</v>
      </c>
      <c r="AY165" s="322">
        <f t="shared" si="209"/>
        <v>118155.95999999999</v>
      </c>
      <c r="AZ165" s="322">
        <f t="shared" si="210"/>
        <v>91514.87999999999</v>
      </c>
      <c r="BA165" s="322">
        <f t="shared" si="211"/>
        <v>106643.95000000001</v>
      </c>
      <c r="BB165" s="322">
        <f t="shared" si="212"/>
        <v>52233.42</v>
      </c>
      <c r="BC165" s="322">
        <f t="shared" si="213"/>
        <v>59247.930000000008</v>
      </c>
      <c r="BD165" s="322">
        <f t="shared" si="214"/>
        <v>67232.320000000007</v>
      </c>
      <c r="BE165" s="322">
        <f t="shared" si="215"/>
        <v>66306.2</v>
      </c>
      <c r="BF165" s="322">
        <f t="shared" si="216"/>
        <v>65223.76999999999</v>
      </c>
      <c r="BG165" s="322">
        <f t="shared" si="217"/>
        <v>67431.83</v>
      </c>
      <c r="BH165" s="322">
        <f t="shared" si="218"/>
        <v>59374</v>
      </c>
      <c r="BI165" s="322">
        <f t="shared" si="219"/>
        <v>48299.009999999995</v>
      </c>
      <c r="BJ165" s="322">
        <f t="shared" si="220"/>
        <v>47681.210000000006</v>
      </c>
      <c r="BK165" s="322">
        <f t="shared" si="221"/>
        <v>42393.34</v>
      </c>
      <c r="BL165" s="322">
        <f t="shared" si="222"/>
        <v>47619.369999999995</v>
      </c>
      <c r="BM165" s="322">
        <f t="shared" si="223"/>
        <v>52900.55</v>
      </c>
      <c r="BN165" s="322">
        <f t="shared" si="224"/>
        <v>57759.839999999997</v>
      </c>
      <c r="BO165" s="340">
        <f t="shared" si="225"/>
        <v>57809.25</v>
      </c>
      <c r="BP165" s="340">
        <f t="shared" si="226"/>
        <v>65454.19</v>
      </c>
      <c r="BQ165" s="340">
        <f t="shared" si="227"/>
        <v>53724.740000000005</v>
      </c>
      <c r="BR165" s="340">
        <f t="shared" si="228"/>
        <v>72217.299999999988</v>
      </c>
      <c r="BS165" s="340">
        <f t="shared" si="229"/>
        <v>83700</v>
      </c>
      <c r="BU165" s="340" t="s">
        <v>50</v>
      </c>
      <c r="BV165" s="340">
        <f t="shared" si="230"/>
        <v>22906.52</v>
      </c>
      <c r="BW165" s="340">
        <f t="shared" si="231"/>
        <v>26256.880000000001</v>
      </c>
      <c r="BX165" s="340">
        <f t="shared" si="232"/>
        <v>30504.959999999999</v>
      </c>
      <c r="BY165" s="340">
        <f t="shared" si="233"/>
        <v>30469.7</v>
      </c>
      <c r="BZ165" s="340">
        <f t="shared" si="234"/>
        <v>34822.28</v>
      </c>
      <c r="CA165" s="340">
        <f t="shared" si="235"/>
        <v>39498.620000000003</v>
      </c>
      <c r="CB165" s="340">
        <f t="shared" si="236"/>
        <v>33616.160000000003</v>
      </c>
      <c r="CC165" s="340">
        <f t="shared" si="237"/>
        <v>33153.1</v>
      </c>
      <c r="CD165" s="340">
        <f t="shared" si="238"/>
        <v>44583.17</v>
      </c>
      <c r="CE165" s="340">
        <f t="shared" si="239"/>
        <v>45860.19</v>
      </c>
      <c r="CF165" s="340">
        <f t="shared" si="240"/>
        <v>53132.259999999995</v>
      </c>
      <c r="CG165" s="340">
        <f t="shared" si="241"/>
        <v>47446.62</v>
      </c>
      <c r="CH165" s="340">
        <f t="shared" si="242"/>
        <v>40546.689999999995</v>
      </c>
      <c r="CI165" s="340">
        <f t="shared" si="243"/>
        <v>49646.630000000005</v>
      </c>
      <c r="CJ165" s="340">
        <f t="shared" si="244"/>
        <v>52610.5</v>
      </c>
      <c r="CK165" s="340">
        <f t="shared" si="245"/>
        <v>58650.990000000005</v>
      </c>
      <c r="CL165" s="340">
        <f t="shared" si="246"/>
        <v>55109.15</v>
      </c>
      <c r="CM165" s="340">
        <f t="shared" si="247"/>
        <v>68139.149999999994</v>
      </c>
      <c r="CN165" s="340">
        <f t="shared" si="248"/>
        <v>63355.57</v>
      </c>
      <c r="CO165" s="340">
        <f t="shared" si="249"/>
        <v>78871.13</v>
      </c>
      <c r="CP165" s="340">
        <f t="shared" si="250"/>
        <v>94767.09</v>
      </c>
      <c r="CQ165" s="340">
        <f t="shared" si="251"/>
        <v>93400</v>
      </c>
      <c r="CR165" s="122"/>
      <c r="CS165" s="340" t="s">
        <v>50</v>
      </c>
      <c r="CT165" s="340">
        <f t="shared" si="252"/>
        <v>125985.86</v>
      </c>
      <c r="CU165" s="340">
        <f t="shared" si="253"/>
        <v>157541.28</v>
      </c>
      <c r="CV165" s="340">
        <f t="shared" si="254"/>
        <v>320302.08000000002</v>
      </c>
      <c r="CW165" s="340">
        <f t="shared" si="255"/>
        <v>396106.1</v>
      </c>
      <c r="CX165" s="340">
        <f t="shared" si="256"/>
        <v>487511.92000000004</v>
      </c>
      <c r="CY165" s="340">
        <f t="shared" si="257"/>
        <v>967716.19000000006</v>
      </c>
      <c r="CZ165" s="340">
        <f t="shared" si="258"/>
        <v>504242.4</v>
      </c>
      <c r="DA165" s="340">
        <f t="shared" si="259"/>
        <v>265224.8</v>
      </c>
      <c r="DB165" s="340">
        <f t="shared" si="260"/>
        <v>184720.27000000002</v>
      </c>
      <c r="DC165" s="340">
        <f t="shared" si="261"/>
        <v>142885.56</v>
      </c>
      <c r="DD165" s="340">
        <f t="shared" si="262"/>
        <v>135627.60999999999</v>
      </c>
      <c r="DE165" s="340">
        <f t="shared" si="263"/>
        <v>139670.51999999999</v>
      </c>
      <c r="DF165" s="340">
        <f t="shared" si="264"/>
        <v>157282.03</v>
      </c>
      <c r="DG165" s="340">
        <f t="shared" si="265"/>
        <v>112490.1</v>
      </c>
      <c r="DH165" s="340">
        <f t="shared" si="266"/>
        <v>128337.14</v>
      </c>
      <c r="DI165" s="340">
        <f t="shared" si="267"/>
        <v>156661.09000000003</v>
      </c>
      <c r="DJ165" s="340">
        <f t="shared" si="268"/>
        <v>188898.90000000002</v>
      </c>
      <c r="DK165" s="340">
        <f t="shared" si="269"/>
        <v>141154.23000000001</v>
      </c>
      <c r="DL165" s="340">
        <f t="shared" si="270"/>
        <v>185759.12000000002</v>
      </c>
      <c r="DM165" s="340">
        <f t="shared" si="271"/>
        <v>222288.97</v>
      </c>
      <c r="DN165" s="340">
        <f t="shared" si="272"/>
        <v>191492.81</v>
      </c>
      <c r="DO165" s="340">
        <f t="shared" si="273"/>
        <v>202861</v>
      </c>
      <c r="DP165" s="330"/>
      <c r="DQ165" s="340" t="s">
        <v>50</v>
      </c>
      <c r="DR165" s="340">
        <f t="shared" ref="DR165:EM165" si="357">DR67</f>
        <v>125985.86</v>
      </c>
      <c r="DS165" s="340">
        <f t="shared" si="357"/>
        <v>131284.4</v>
      </c>
      <c r="DT165" s="340">
        <f t="shared" si="357"/>
        <v>152524.79999999999</v>
      </c>
      <c r="DU165" s="340">
        <f t="shared" si="357"/>
        <v>76174.25</v>
      </c>
      <c r="DV165" s="340">
        <f t="shared" si="357"/>
        <v>104466.84</v>
      </c>
      <c r="DW165" s="340">
        <f t="shared" si="357"/>
        <v>98746.55</v>
      </c>
      <c r="DX165" s="340">
        <f t="shared" si="357"/>
        <v>117656.56</v>
      </c>
      <c r="DY165" s="340">
        <f t="shared" si="357"/>
        <v>116035.85</v>
      </c>
      <c r="DZ165" s="340">
        <f t="shared" si="357"/>
        <v>125329.34999999999</v>
      </c>
      <c r="EA165" s="340">
        <f t="shared" si="357"/>
        <v>151192</v>
      </c>
      <c r="EB165" s="340">
        <f t="shared" si="357"/>
        <v>129621.92</v>
      </c>
      <c r="EC165" s="340">
        <f t="shared" si="357"/>
        <v>159464.99999999997</v>
      </c>
      <c r="ED165" s="340">
        <f t="shared" si="357"/>
        <v>167694.60999999999</v>
      </c>
      <c r="EE165" s="340">
        <f t="shared" si="357"/>
        <v>181295.83000000002</v>
      </c>
      <c r="EF165" s="340">
        <f t="shared" si="357"/>
        <v>199311.96</v>
      </c>
      <c r="EG165" s="340">
        <f t="shared" si="357"/>
        <v>231537.35</v>
      </c>
      <c r="EH165" s="340">
        <f t="shared" si="357"/>
        <v>249293.69000000003</v>
      </c>
      <c r="EI165" s="340">
        <f t="shared" si="357"/>
        <v>229596.46000000002</v>
      </c>
      <c r="EJ165" s="340">
        <f t="shared" si="357"/>
        <v>165925.96000000002</v>
      </c>
      <c r="EK165" s="340">
        <f t="shared" si="357"/>
        <v>168927.37999999998</v>
      </c>
      <c r="EL165" s="340">
        <f t="shared" si="357"/>
        <v>134670.6</v>
      </c>
      <c r="EM165" s="340">
        <f t="shared" si="357"/>
        <v>183250</v>
      </c>
      <c r="EO165" s="319" t="s">
        <v>50</v>
      </c>
      <c r="EP165" s="319">
        <f t="shared" si="275"/>
        <v>309238.02</v>
      </c>
      <c r="EQ165" s="319">
        <f t="shared" si="276"/>
        <v>328211</v>
      </c>
      <c r="ER165" s="319">
        <f t="shared" si="277"/>
        <v>396564.47999999998</v>
      </c>
      <c r="ES165" s="319">
        <f t="shared" si="278"/>
        <v>0</v>
      </c>
      <c r="ET165" s="319">
        <f t="shared" si="279"/>
        <v>0</v>
      </c>
      <c r="EU165" s="319">
        <f t="shared" si="280"/>
        <v>0</v>
      </c>
      <c r="EV165" s="319">
        <f t="shared" si="281"/>
        <v>0</v>
      </c>
      <c r="EW165" s="319">
        <f t="shared" si="282"/>
        <v>182342.05</v>
      </c>
      <c r="EX165" s="319">
        <f t="shared" si="283"/>
        <v>44504.46</v>
      </c>
      <c r="EY165" s="319">
        <f t="shared" si="284"/>
        <v>0</v>
      </c>
      <c r="EZ165" s="319">
        <f t="shared" si="285"/>
        <v>0</v>
      </c>
      <c r="FA165" s="319">
        <f t="shared" si="286"/>
        <v>0</v>
      </c>
      <c r="FB165" s="319">
        <f t="shared" si="287"/>
        <v>0</v>
      </c>
      <c r="FC165" s="319">
        <f t="shared" si="288"/>
        <v>0</v>
      </c>
      <c r="FD165" s="319">
        <f t="shared" si="289"/>
        <v>0</v>
      </c>
      <c r="FE165" s="319">
        <f t="shared" si="290"/>
        <v>0</v>
      </c>
      <c r="FF165" s="322">
        <f t="shared" si="291"/>
        <v>0</v>
      </c>
      <c r="FG165" s="336">
        <f t="shared" si="292"/>
        <v>0</v>
      </c>
      <c r="FH165" s="336">
        <f t="shared" si="293"/>
        <v>0</v>
      </c>
      <c r="FI165" s="336">
        <f t="shared" si="294"/>
        <v>0</v>
      </c>
      <c r="FJ165" s="336">
        <f t="shared" si="295"/>
        <v>0</v>
      </c>
      <c r="FK165" s="336">
        <f t="shared" si="296"/>
        <v>0</v>
      </c>
      <c r="FL165" s="122"/>
      <c r="FM165" s="340" t="s">
        <v>50</v>
      </c>
      <c r="FN165" s="340">
        <f t="shared" si="297"/>
        <v>68719.56</v>
      </c>
      <c r="FO165" s="340">
        <f t="shared" si="298"/>
        <v>65642.2</v>
      </c>
      <c r="FP165" s="340">
        <f t="shared" si="299"/>
        <v>91514.880000000005</v>
      </c>
      <c r="FQ165" s="340">
        <f t="shared" si="300"/>
        <v>106643.95</v>
      </c>
      <c r="FR165" s="340">
        <f t="shared" si="301"/>
        <v>104466.84</v>
      </c>
      <c r="FS165" s="340">
        <f t="shared" si="302"/>
        <v>118495.86</v>
      </c>
      <c r="FT165" s="340">
        <f t="shared" si="303"/>
        <v>117656.56</v>
      </c>
      <c r="FU165" s="340">
        <f t="shared" si="304"/>
        <v>99459.3</v>
      </c>
      <c r="FV165" s="340">
        <f t="shared" si="305"/>
        <v>110371.54999999999</v>
      </c>
      <c r="FW165" s="340">
        <f t="shared" si="306"/>
        <v>122404.18</v>
      </c>
      <c r="FX165" s="340">
        <f t="shared" si="307"/>
        <v>150295.58999999997</v>
      </c>
      <c r="FY165" s="340">
        <f t="shared" si="308"/>
        <v>147885.5</v>
      </c>
      <c r="FZ165" s="340">
        <f t="shared" si="309"/>
        <v>159413.57000000007</v>
      </c>
      <c r="GA165" s="340">
        <f t="shared" si="310"/>
        <v>161145.69999999998</v>
      </c>
      <c r="GB165" s="340">
        <f t="shared" si="311"/>
        <v>163266.44999999995</v>
      </c>
      <c r="GC165" s="340">
        <f t="shared" si="312"/>
        <v>209554.46000000002</v>
      </c>
      <c r="GD165" s="340">
        <f t="shared" si="313"/>
        <v>222704.34999999998</v>
      </c>
      <c r="GE165" s="340">
        <f t="shared" si="314"/>
        <v>214857.21</v>
      </c>
      <c r="GF165" s="340">
        <f t="shared" si="315"/>
        <v>190801.57</v>
      </c>
      <c r="GG165" s="340">
        <f t="shared" si="316"/>
        <v>235633.15999999997</v>
      </c>
      <c r="GH165" s="340">
        <f t="shared" si="317"/>
        <v>239546.11000000002</v>
      </c>
      <c r="GI165" s="340">
        <f t="shared" si="318"/>
        <v>248260</v>
      </c>
      <c r="GJ165" s="122"/>
      <c r="GK165" s="340" t="s">
        <v>50</v>
      </c>
      <c r="GL165" s="340">
        <f t="shared" si="319"/>
        <v>34359.78</v>
      </c>
      <c r="GM165" s="340">
        <f t="shared" si="320"/>
        <v>144412.84</v>
      </c>
      <c r="GN165" s="340">
        <f t="shared" si="321"/>
        <v>61009.919999999998</v>
      </c>
      <c r="GO165" s="340">
        <f t="shared" si="322"/>
        <v>441810.65</v>
      </c>
      <c r="GP165" s="340">
        <f t="shared" si="323"/>
        <v>557156.48</v>
      </c>
      <c r="GQ165" s="340">
        <f t="shared" si="324"/>
        <v>276490.34000000003</v>
      </c>
      <c r="GR165" s="340">
        <f t="shared" si="325"/>
        <v>386585.84</v>
      </c>
      <c r="GS165" s="340">
        <f t="shared" si="326"/>
        <v>430990.3</v>
      </c>
      <c r="GT165" s="340">
        <f t="shared" si="327"/>
        <v>658000</v>
      </c>
      <c r="GU165" s="340">
        <f t="shared" si="328"/>
        <v>412000</v>
      </c>
      <c r="GV165" s="340">
        <f t="shared" si="329"/>
        <v>517759.77</v>
      </c>
      <c r="GW165" s="340">
        <f t="shared" si="330"/>
        <v>543166.67000000004</v>
      </c>
      <c r="GX165" s="340">
        <f t="shared" si="331"/>
        <v>542222.22</v>
      </c>
      <c r="GY165" s="340">
        <f t="shared" si="332"/>
        <v>462722.22</v>
      </c>
      <c r="GZ165" s="340">
        <f t="shared" si="333"/>
        <v>642222.22</v>
      </c>
      <c r="HA165" s="340">
        <f t="shared" si="334"/>
        <v>562222.22</v>
      </c>
      <c r="HB165" s="340">
        <f t="shared" si="335"/>
        <v>527222.22</v>
      </c>
      <c r="HC165" s="340">
        <f t="shared" si="336"/>
        <v>406990.54000000004</v>
      </c>
      <c r="HD165" s="340">
        <f t="shared" si="337"/>
        <v>417222.22</v>
      </c>
      <c r="HE165" s="340">
        <f t="shared" si="338"/>
        <v>417222.22</v>
      </c>
      <c r="HF165" s="340">
        <f t="shared" si="339"/>
        <v>482222.22</v>
      </c>
      <c r="HG165" s="340">
        <f t="shared" si="340"/>
        <v>527347.22</v>
      </c>
      <c r="HH165" s="122"/>
      <c r="IF165" s="122"/>
      <c r="IG165" s="122"/>
      <c r="IH165" s="122"/>
      <c r="II165" s="122"/>
      <c r="IJ165" s="122"/>
      <c r="IK165" s="122"/>
      <c r="IL165" s="122"/>
      <c r="IN165" s="118"/>
      <c r="IP165" s="122"/>
      <c r="IQ165" s="122"/>
      <c r="IR165" s="122"/>
      <c r="IS165" s="122"/>
      <c r="IT165" s="122"/>
      <c r="IU165" s="122"/>
      <c r="IV165" s="122"/>
      <c r="IW165" s="122"/>
      <c r="IX165" s="122"/>
      <c r="IY165" s="122"/>
      <c r="IZ165" s="122"/>
      <c r="JA165" s="122"/>
      <c r="JB165" s="122"/>
      <c r="JC165" s="122"/>
      <c r="JD165" s="122"/>
      <c r="JE165" s="122"/>
      <c r="JF165" s="122"/>
      <c r="JG165" s="122"/>
      <c r="JH165" s="122"/>
      <c r="JI165" s="122"/>
      <c r="JK165" s="118"/>
      <c r="JL165" s="118"/>
      <c r="JY165" s="122"/>
      <c r="JZ165" s="122"/>
      <c r="KA165" s="122"/>
      <c r="KB165" s="122"/>
      <c r="LX165" s="122"/>
      <c r="LY165" s="122"/>
      <c r="LZ165" s="122"/>
      <c r="MB165" s="118"/>
      <c r="MC165" s="118"/>
      <c r="MP165" s="122"/>
      <c r="MQ165" s="122"/>
      <c r="MR165" s="122"/>
      <c r="MS165" s="122"/>
      <c r="MT165" s="122"/>
      <c r="MU165" s="122"/>
      <c r="MV165" s="122"/>
      <c r="OS165" s="118"/>
      <c r="OT165" s="118"/>
      <c r="PC165" s="122"/>
      <c r="PD165" s="122"/>
      <c r="PE165" s="122"/>
      <c r="PF165" s="122"/>
      <c r="PG165" s="122"/>
      <c r="PH165" s="122"/>
      <c r="PI165" s="122"/>
      <c r="PJ165" s="122"/>
      <c r="PP165" s="118"/>
      <c r="PQ165" s="118"/>
      <c r="PZ165" s="122"/>
      <c r="QA165" s="122"/>
      <c r="QB165" s="122"/>
      <c r="QC165" s="122"/>
      <c r="QD165" s="122"/>
      <c r="QE165" s="122"/>
      <c r="QF165" s="122"/>
      <c r="QG165" s="122"/>
      <c r="QM165" s="118"/>
      <c r="QN165" s="118"/>
      <c r="RE165" s="118"/>
      <c r="RF165" s="118"/>
      <c r="RG165" s="118"/>
      <c r="RH165" s="118"/>
      <c r="RI165" s="118"/>
      <c r="RJ165" s="118"/>
      <c r="RK165" s="118"/>
    </row>
    <row r="166" spans="25:479">
      <c r="Y166" s="277" t="s">
        <v>51</v>
      </c>
      <c r="Z166" s="319">
        <f t="shared" si="186"/>
        <v>248425.5</v>
      </c>
      <c r="AA166" s="319">
        <f t="shared" si="187"/>
        <v>264285.90000000002</v>
      </c>
      <c r="AB166" s="319">
        <f t="shared" si="188"/>
        <v>333325.3</v>
      </c>
      <c r="AC166" s="319">
        <f t="shared" si="189"/>
        <v>297320.10000000003</v>
      </c>
      <c r="AD166" s="319">
        <f t="shared" si="190"/>
        <v>345443.67</v>
      </c>
      <c r="AE166" s="319">
        <f t="shared" si="191"/>
        <v>351399.3</v>
      </c>
      <c r="AF166" s="319">
        <f t="shared" si="192"/>
        <v>391348.1700000001</v>
      </c>
      <c r="AG166" s="319">
        <f t="shared" si="193"/>
        <v>331472.02</v>
      </c>
      <c r="AH166" s="319">
        <f t="shared" si="194"/>
        <v>364334.32</v>
      </c>
      <c r="AI166" s="319">
        <f t="shared" si="195"/>
        <v>346791.75000000006</v>
      </c>
      <c r="AJ166" s="319">
        <f t="shared" si="196"/>
        <v>405741.47</v>
      </c>
      <c r="AK166" s="319">
        <f t="shared" si="197"/>
        <v>374867.13</v>
      </c>
      <c r="AL166" s="319">
        <f t="shared" si="198"/>
        <v>450259.34</v>
      </c>
      <c r="AM166" s="319">
        <f t="shared" si="199"/>
        <v>380338.56</v>
      </c>
      <c r="AN166" s="319">
        <f t="shared" si="200"/>
        <v>402577.3</v>
      </c>
      <c r="AO166" s="319">
        <f t="shared" si="201"/>
        <v>364497.1</v>
      </c>
      <c r="AP166" s="319">
        <f t="shared" si="202"/>
        <v>422307.75000000012</v>
      </c>
      <c r="AQ166" s="319">
        <f t="shared" si="203"/>
        <v>359608.02999999997</v>
      </c>
      <c r="AR166" s="319">
        <f t="shared" si="204"/>
        <v>436493.77</v>
      </c>
      <c r="AS166" s="319">
        <f t="shared" si="205"/>
        <v>364966.41999999993</v>
      </c>
      <c r="AT166" s="319">
        <f t="shared" si="206"/>
        <v>428500.74999999994</v>
      </c>
      <c r="AU166" s="319">
        <f t="shared" si="207"/>
        <v>393140.51</v>
      </c>
      <c r="AW166" s="322" t="s">
        <v>51</v>
      </c>
      <c r="AX166" s="322">
        <f t="shared" si="208"/>
        <v>91089.35</v>
      </c>
      <c r="AY166" s="322">
        <f t="shared" si="209"/>
        <v>88095.3</v>
      </c>
      <c r="AZ166" s="322">
        <f t="shared" si="210"/>
        <v>95235.799999999988</v>
      </c>
      <c r="BA166" s="322">
        <f t="shared" si="211"/>
        <v>59464.020000000004</v>
      </c>
      <c r="BB166" s="322">
        <f t="shared" si="212"/>
        <v>41871.96</v>
      </c>
      <c r="BC166" s="322">
        <f t="shared" si="213"/>
        <v>70279.86</v>
      </c>
      <c r="BD166" s="322">
        <f t="shared" si="214"/>
        <v>74245.200000000012</v>
      </c>
      <c r="BE166" s="322">
        <f t="shared" si="215"/>
        <v>150669.1</v>
      </c>
      <c r="BF166" s="322">
        <f t="shared" si="216"/>
        <v>39664.699999999997</v>
      </c>
      <c r="BG166" s="322">
        <f t="shared" si="217"/>
        <v>196358.79</v>
      </c>
      <c r="BH166" s="322">
        <f t="shared" si="218"/>
        <v>136039.14000000001</v>
      </c>
      <c r="BI166" s="322">
        <f t="shared" si="219"/>
        <v>58668.49</v>
      </c>
      <c r="BJ166" s="322">
        <f t="shared" si="220"/>
        <v>65848.47</v>
      </c>
      <c r="BK166" s="322">
        <f t="shared" si="221"/>
        <v>59940.159999999996</v>
      </c>
      <c r="BL166" s="322">
        <f t="shared" si="222"/>
        <v>77319.149999999994</v>
      </c>
      <c r="BM166" s="322">
        <f t="shared" si="223"/>
        <v>99679.829999999987</v>
      </c>
      <c r="BN166" s="322">
        <f t="shared" si="224"/>
        <v>105375.74</v>
      </c>
      <c r="BO166" s="340">
        <f t="shared" si="225"/>
        <v>98601.01999999999</v>
      </c>
      <c r="BP166" s="340">
        <f t="shared" si="226"/>
        <v>97556.19</v>
      </c>
      <c r="BQ166" s="340">
        <f t="shared" si="227"/>
        <v>89364.26999999999</v>
      </c>
      <c r="BR166" s="340">
        <f t="shared" si="228"/>
        <v>87645.98000000001</v>
      </c>
      <c r="BS166" s="340">
        <f t="shared" si="229"/>
        <v>116182.22</v>
      </c>
      <c r="BU166" s="340" t="s">
        <v>51</v>
      </c>
      <c r="BV166" s="340">
        <f t="shared" si="230"/>
        <v>8280.85</v>
      </c>
      <c r="BW166" s="340">
        <f t="shared" si="231"/>
        <v>26428.590000000004</v>
      </c>
      <c r="BX166" s="340">
        <f t="shared" si="232"/>
        <v>28570.739999999998</v>
      </c>
      <c r="BY166" s="340">
        <f t="shared" si="233"/>
        <v>49553.35</v>
      </c>
      <c r="BZ166" s="340">
        <f t="shared" si="234"/>
        <v>41871.96</v>
      </c>
      <c r="CA166" s="340">
        <f t="shared" si="235"/>
        <v>46853.24</v>
      </c>
      <c r="CB166" s="340">
        <f t="shared" si="236"/>
        <v>37122.600000000006</v>
      </c>
      <c r="CC166" s="340">
        <f t="shared" si="237"/>
        <v>45200.729999999996</v>
      </c>
      <c r="CD166" s="340">
        <f t="shared" si="238"/>
        <v>42355.97</v>
      </c>
      <c r="CE166" s="340">
        <f t="shared" si="239"/>
        <v>43086.94</v>
      </c>
      <c r="CF166" s="340">
        <f t="shared" si="240"/>
        <v>43509.11</v>
      </c>
      <c r="CG166" s="340">
        <f t="shared" si="241"/>
        <v>46324.05</v>
      </c>
      <c r="CH166" s="340">
        <f t="shared" si="242"/>
        <v>49772.789999999994</v>
      </c>
      <c r="CI166" s="340">
        <f t="shared" si="243"/>
        <v>49333.099999999991</v>
      </c>
      <c r="CJ166" s="340">
        <f t="shared" si="244"/>
        <v>47490.689999999995</v>
      </c>
      <c r="CK166" s="340">
        <f t="shared" si="245"/>
        <v>48516.58</v>
      </c>
      <c r="CL166" s="340">
        <f t="shared" si="246"/>
        <v>49056.85</v>
      </c>
      <c r="CM166" s="340">
        <f t="shared" si="247"/>
        <v>51367.869999999995</v>
      </c>
      <c r="CN166" s="340">
        <f t="shared" si="248"/>
        <v>56373.19</v>
      </c>
      <c r="CO166" s="340">
        <f t="shared" si="249"/>
        <v>55183.37</v>
      </c>
      <c r="CP166" s="340">
        <f t="shared" si="250"/>
        <v>58155.6</v>
      </c>
      <c r="CQ166" s="340">
        <f t="shared" si="251"/>
        <v>76200</v>
      </c>
      <c r="CR166" s="122"/>
      <c r="CS166" s="340" t="s">
        <v>51</v>
      </c>
      <c r="CT166" s="340">
        <f t="shared" si="252"/>
        <v>66246.8</v>
      </c>
      <c r="CU166" s="340">
        <f t="shared" si="253"/>
        <v>52857.18</v>
      </c>
      <c r="CV166" s="340">
        <f t="shared" si="254"/>
        <v>57141.48</v>
      </c>
      <c r="CW166" s="340">
        <f t="shared" si="255"/>
        <v>79285.36</v>
      </c>
      <c r="CX166" s="340">
        <f t="shared" si="256"/>
        <v>94211.91</v>
      </c>
      <c r="CY166" s="340">
        <f t="shared" si="257"/>
        <v>105419.79</v>
      </c>
      <c r="CZ166" s="340">
        <f t="shared" si="258"/>
        <v>173238.8</v>
      </c>
      <c r="DA166" s="340">
        <f t="shared" si="259"/>
        <v>391739.66</v>
      </c>
      <c r="DB166" s="340">
        <f t="shared" si="260"/>
        <v>309934.11</v>
      </c>
      <c r="DC166" s="340">
        <f t="shared" si="261"/>
        <v>423850.78</v>
      </c>
      <c r="DD166" s="340">
        <f t="shared" si="262"/>
        <v>268160.12</v>
      </c>
      <c r="DE166" s="340">
        <f t="shared" si="263"/>
        <v>183050.52000000002</v>
      </c>
      <c r="DF166" s="340">
        <f t="shared" si="264"/>
        <v>122937.25999999998</v>
      </c>
      <c r="DG166" s="340">
        <f t="shared" si="265"/>
        <v>100186.52999999998</v>
      </c>
      <c r="DH166" s="340">
        <f t="shared" si="266"/>
        <v>94545.7</v>
      </c>
      <c r="DI166" s="340">
        <f t="shared" si="267"/>
        <v>106593.22</v>
      </c>
      <c r="DJ166" s="340">
        <f t="shared" si="268"/>
        <v>116582.36000000002</v>
      </c>
      <c r="DK166" s="340">
        <f t="shared" si="269"/>
        <v>101923.29</v>
      </c>
      <c r="DL166" s="340">
        <f t="shared" si="270"/>
        <v>125724.67</v>
      </c>
      <c r="DM166" s="340">
        <f t="shared" si="271"/>
        <v>136600.65</v>
      </c>
      <c r="DN166" s="340">
        <f t="shared" si="272"/>
        <v>132661.81999999998</v>
      </c>
      <c r="DO166" s="340">
        <f t="shared" si="273"/>
        <v>140396.33000000002</v>
      </c>
      <c r="DP166" s="330"/>
      <c r="DQ166" s="340" t="s">
        <v>51</v>
      </c>
      <c r="DR166" s="340">
        <f t="shared" ref="DR166:EM166" si="358">DR68</f>
        <v>66246.8</v>
      </c>
      <c r="DS166" s="340">
        <f t="shared" si="358"/>
        <v>70476.240000000005</v>
      </c>
      <c r="DT166" s="340">
        <f t="shared" si="358"/>
        <v>76188.639999999999</v>
      </c>
      <c r="DU166" s="340">
        <f t="shared" si="358"/>
        <v>79285.36</v>
      </c>
      <c r="DV166" s="340">
        <f t="shared" si="358"/>
        <v>83743.92</v>
      </c>
      <c r="DW166" s="340">
        <f t="shared" si="358"/>
        <v>93706.48</v>
      </c>
      <c r="DX166" s="340">
        <f t="shared" si="358"/>
        <v>86619.4</v>
      </c>
      <c r="DY166" s="340">
        <f t="shared" si="358"/>
        <v>90401.46</v>
      </c>
      <c r="DZ166" s="340">
        <f t="shared" si="358"/>
        <v>81473.179999999993</v>
      </c>
      <c r="EA166" s="340">
        <f t="shared" si="358"/>
        <v>109486.92000000001</v>
      </c>
      <c r="EB166" s="340">
        <f t="shared" si="358"/>
        <v>126345.72</v>
      </c>
      <c r="EC166" s="340">
        <f t="shared" si="358"/>
        <v>143569.44</v>
      </c>
      <c r="ED166" s="340">
        <f t="shared" si="358"/>
        <v>145992.59</v>
      </c>
      <c r="EE166" s="340">
        <f t="shared" si="358"/>
        <v>148591.18</v>
      </c>
      <c r="EF166" s="340">
        <f t="shared" si="358"/>
        <v>159649.75</v>
      </c>
      <c r="EG166" s="340">
        <f t="shared" si="358"/>
        <v>183480.79</v>
      </c>
      <c r="EH166" s="340">
        <f t="shared" si="358"/>
        <v>175496.00999999998</v>
      </c>
      <c r="EI166" s="340">
        <f t="shared" si="358"/>
        <v>195177.09000000003</v>
      </c>
      <c r="EJ166" s="340">
        <f t="shared" si="358"/>
        <v>208376.62</v>
      </c>
      <c r="EK166" s="340">
        <f t="shared" si="358"/>
        <v>249280.38</v>
      </c>
      <c r="EL166" s="340">
        <f t="shared" si="358"/>
        <v>229336.52</v>
      </c>
      <c r="EM166" s="340">
        <f t="shared" si="358"/>
        <v>250300</v>
      </c>
      <c r="EO166" s="319" t="s">
        <v>51</v>
      </c>
      <c r="EP166" s="319">
        <f t="shared" si="275"/>
        <v>264987.2</v>
      </c>
      <c r="EQ166" s="319">
        <f t="shared" si="276"/>
        <v>299524.02</v>
      </c>
      <c r="ER166" s="319">
        <f t="shared" si="277"/>
        <v>276183.82</v>
      </c>
      <c r="ES166" s="319">
        <f t="shared" si="278"/>
        <v>307230.77</v>
      </c>
      <c r="ET166" s="319">
        <f t="shared" si="279"/>
        <v>334975.68</v>
      </c>
      <c r="EU166" s="319">
        <f t="shared" si="280"/>
        <v>363112.61</v>
      </c>
      <c r="EV166" s="319">
        <f t="shared" si="281"/>
        <v>371226</v>
      </c>
      <c r="EW166" s="319">
        <f t="shared" si="282"/>
        <v>391739.66</v>
      </c>
      <c r="EX166" s="319">
        <f t="shared" si="283"/>
        <v>389712.54000000004</v>
      </c>
      <c r="EY166" s="319">
        <f t="shared" si="284"/>
        <v>485744.39</v>
      </c>
      <c r="EZ166" s="319">
        <f t="shared" si="285"/>
        <v>447368.39</v>
      </c>
      <c r="FA166" s="319">
        <f t="shared" si="286"/>
        <v>416545.59</v>
      </c>
      <c r="FB166" s="319">
        <f t="shared" si="287"/>
        <v>465117.85999999993</v>
      </c>
      <c r="FC166" s="319">
        <f t="shared" si="288"/>
        <v>414058.89999999997</v>
      </c>
      <c r="FD166" s="319">
        <f t="shared" si="289"/>
        <v>398312.04999999993</v>
      </c>
      <c r="FE166" s="319">
        <f t="shared" si="290"/>
        <v>422545.85</v>
      </c>
      <c r="FF166" s="322">
        <f t="shared" si="291"/>
        <v>466779.83999999997</v>
      </c>
      <c r="FG166" s="336">
        <f t="shared" si="292"/>
        <v>564827.67000000004</v>
      </c>
      <c r="FH166" s="336">
        <f t="shared" si="293"/>
        <v>636504.61999999988</v>
      </c>
      <c r="FI166" s="336">
        <f t="shared" si="294"/>
        <v>599454.57999999996</v>
      </c>
      <c r="FJ166" s="336">
        <f t="shared" si="295"/>
        <v>658881.16</v>
      </c>
      <c r="FK166" s="336">
        <f t="shared" si="296"/>
        <v>808147.24</v>
      </c>
      <c r="FL166" s="122"/>
      <c r="FM166" s="340" t="s">
        <v>51</v>
      </c>
      <c r="FN166" s="340">
        <f t="shared" si="297"/>
        <v>82808.5</v>
      </c>
      <c r="FO166" s="340">
        <f t="shared" si="298"/>
        <v>70476.240000000005</v>
      </c>
      <c r="FP166" s="340">
        <f t="shared" si="299"/>
        <v>76188.639999999999</v>
      </c>
      <c r="FQ166" s="340">
        <f t="shared" si="300"/>
        <v>118928.04</v>
      </c>
      <c r="FR166" s="340">
        <f t="shared" si="301"/>
        <v>104679.9</v>
      </c>
      <c r="FS166" s="340">
        <f t="shared" si="302"/>
        <v>105419.79</v>
      </c>
      <c r="FT166" s="340">
        <f t="shared" si="303"/>
        <v>98993.600000000006</v>
      </c>
      <c r="FU166" s="340">
        <f t="shared" si="304"/>
        <v>105468.37</v>
      </c>
      <c r="FV166" s="340">
        <f t="shared" si="305"/>
        <v>102281.53</v>
      </c>
      <c r="FW166" s="340">
        <f t="shared" si="306"/>
        <v>107980.64</v>
      </c>
      <c r="FX166" s="340">
        <f t="shared" si="307"/>
        <v>120743.86000000002</v>
      </c>
      <c r="FY166" s="340">
        <f t="shared" si="308"/>
        <v>168340.49</v>
      </c>
      <c r="FZ166" s="340">
        <f t="shared" si="309"/>
        <v>172280.01</v>
      </c>
      <c r="GA166" s="340">
        <f t="shared" si="310"/>
        <v>179454.02</v>
      </c>
      <c r="GB166" s="340">
        <f t="shared" si="311"/>
        <v>183968.3</v>
      </c>
      <c r="GC166" s="340">
        <f t="shared" si="312"/>
        <v>175959.05</v>
      </c>
      <c r="GD166" s="340">
        <f t="shared" si="313"/>
        <v>176609.33</v>
      </c>
      <c r="GE166" s="340">
        <f t="shared" si="314"/>
        <v>182413.13999999998</v>
      </c>
      <c r="GF166" s="340">
        <f t="shared" si="315"/>
        <v>190767.65000000002</v>
      </c>
      <c r="GG166" s="340">
        <f t="shared" si="316"/>
        <v>206895.68</v>
      </c>
      <c r="GH166" s="340">
        <f t="shared" si="317"/>
        <v>211619.44</v>
      </c>
      <c r="GI166" s="340">
        <f t="shared" si="318"/>
        <v>232768</v>
      </c>
      <c r="GJ166" s="122"/>
      <c r="GK166" s="340" t="s">
        <v>51</v>
      </c>
      <c r="GL166" s="340">
        <f t="shared" si="319"/>
        <v>0</v>
      </c>
      <c r="GM166" s="340">
        <f t="shared" si="320"/>
        <v>8809.5300000000007</v>
      </c>
      <c r="GN166" s="340">
        <f t="shared" si="321"/>
        <v>9523.58</v>
      </c>
      <c r="GO166" s="340">
        <f t="shared" si="322"/>
        <v>0</v>
      </c>
      <c r="GP166" s="340">
        <f t="shared" si="323"/>
        <v>0</v>
      </c>
      <c r="GQ166" s="340">
        <f t="shared" si="324"/>
        <v>35139.93</v>
      </c>
      <c r="GR166" s="340">
        <f t="shared" si="325"/>
        <v>0</v>
      </c>
      <c r="GS166" s="340">
        <f t="shared" si="326"/>
        <v>0</v>
      </c>
      <c r="GT166" s="340">
        <f t="shared" si="327"/>
        <v>16626.07</v>
      </c>
      <c r="GU166" s="340">
        <f t="shared" si="328"/>
        <v>0</v>
      </c>
      <c r="GV166" s="340">
        <f t="shared" si="329"/>
        <v>0</v>
      </c>
      <c r="GW166" s="340">
        <f t="shared" si="330"/>
        <v>0</v>
      </c>
      <c r="GX166" s="340">
        <f t="shared" si="331"/>
        <v>0</v>
      </c>
      <c r="GY166" s="340">
        <f t="shared" si="332"/>
        <v>0</v>
      </c>
      <c r="GZ166" s="340">
        <f t="shared" si="333"/>
        <v>1125</v>
      </c>
      <c r="HA166" s="340">
        <f t="shared" si="334"/>
        <v>0</v>
      </c>
      <c r="HB166" s="340">
        <f t="shared" si="335"/>
        <v>12525</v>
      </c>
      <c r="HC166" s="340">
        <f t="shared" si="336"/>
        <v>0</v>
      </c>
      <c r="HD166" s="340">
        <f t="shared" si="337"/>
        <v>0</v>
      </c>
      <c r="HE166" s="340">
        <f t="shared" si="338"/>
        <v>0</v>
      </c>
      <c r="HF166" s="340">
        <f t="shared" si="339"/>
        <v>50600</v>
      </c>
      <c r="HG166" s="340">
        <f t="shared" si="340"/>
        <v>0</v>
      </c>
      <c r="HH166" s="122"/>
      <c r="IF166" s="122"/>
      <c r="IG166" s="122"/>
      <c r="IH166" s="122"/>
      <c r="II166" s="122"/>
      <c r="IJ166" s="122"/>
      <c r="IK166" s="122"/>
      <c r="IL166" s="122"/>
      <c r="IN166" s="118"/>
      <c r="IP166" s="122"/>
      <c r="IQ166" s="122"/>
      <c r="IR166" s="122"/>
      <c r="IS166" s="122"/>
      <c r="IT166" s="122"/>
      <c r="IU166" s="122"/>
      <c r="IV166" s="122"/>
      <c r="IW166" s="122"/>
      <c r="IX166" s="122"/>
      <c r="IY166" s="122"/>
      <c r="IZ166" s="122"/>
      <c r="JA166" s="122"/>
      <c r="JB166" s="122"/>
      <c r="JC166" s="122"/>
      <c r="JD166" s="122"/>
      <c r="JE166" s="122"/>
      <c r="JF166" s="122"/>
      <c r="JG166" s="122"/>
      <c r="JH166" s="122"/>
      <c r="JI166" s="122"/>
      <c r="JK166" s="118"/>
      <c r="JL166" s="118"/>
      <c r="JY166" s="122"/>
      <c r="JZ166" s="122"/>
      <c r="KA166" s="122"/>
      <c r="KB166" s="122"/>
      <c r="LX166" s="122"/>
      <c r="LY166" s="122"/>
      <c r="LZ166" s="122"/>
      <c r="MB166" s="118"/>
      <c r="MC166" s="118"/>
      <c r="MP166" s="122"/>
      <c r="MQ166" s="122"/>
      <c r="MR166" s="122"/>
      <c r="MS166" s="122"/>
      <c r="MT166" s="122"/>
      <c r="MU166" s="122"/>
      <c r="MV166" s="122"/>
      <c r="OS166" s="118"/>
      <c r="OT166" s="118"/>
      <c r="PC166" s="122"/>
      <c r="PD166" s="122"/>
      <c r="PE166" s="122"/>
      <c r="PF166" s="122"/>
      <c r="PG166" s="122"/>
      <c r="PH166" s="122"/>
      <c r="PI166" s="122"/>
      <c r="PJ166" s="122"/>
      <c r="PP166" s="118"/>
      <c r="PQ166" s="118"/>
      <c r="PZ166" s="122"/>
      <c r="QA166" s="122"/>
      <c r="QB166" s="122"/>
      <c r="QC166" s="122"/>
      <c r="QD166" s="122"/>
      <c r="QE166" s="122"/>
      <c r="QF166" s="122"/>
      <c r="QG166" s="122"/>
      <c r="QM166" s="118"/>
      <c r="QN166" s="118"/>
      <c r="RE166" s="118"/>
      <c r="RF166" s="118"/>
      <c r="RG166" s="118"/>
      <c r="RH166" s="118"/>
      <c r="RI166" s="118"/>
      <c r="RJ166" s="118"/>
      <c r="RK166" s="118"/>
    </row>
    <row r="167" spans="25:479">
      <c r="Y167" s="277" t="s">
        <v>52</v>
      </c>
      <c r="Z167" s="319">
        <f t="shared" si="186"/>
        <v>269076.5</v>
      </c>
      <c r="AA167" s="319">
        <f t="shared" si="187"/>
        <v>265540.86</v>
      </c>
      <c r="AB167" s="319">
        <f t="shared" si="188"/>
        <v>287906.75</v>
      </c>
      <c r="AC167" s="319">
        <f t="shared" si="189"/>
        <v>301976.00000000006</v>
      </c>
      <c r="AD167" s="319">
        <f t="shared" si="190"/>
        <v>334359.56</v>
      </c>
      <c r="AE167" s="319">
        <f t="shared" si="191"/>
        <v>302368</v>
      </c>
      <c r="AF167" s="319">
        <f t="shared" si="192"/>
        <v>348255.06000000006</v>
      </c>
      <c r="AG167" s="319">
        <f t="shared" si="193"/>
        <v>343400.96000000002</v>
      </c>
      <c r="AH167" s="319">
        <f t="shared" si="194"/>
        <v>402860.45</v>
      </c>
      <c r="AI167" s="319">
        <f t="shared" si="195"/>
        <v>497282.52999999997</v>
      </c>
      <c r="AJ167" s="319">
        <f t="shared" si="196"/>
        <v>547743.28</v>
      </c>
      <c r="AK167" s="319">
        <f t="shared" si="197"/>
        <v>517909.31</v>
      </c>
      <c r="AL167" s="319">
        <f t="shared" si="198"/>
        <v>551927.62</v>
      </c>
      <c r="AM167" s="319">
        <f t="shared" si="199"/>
        <v>0</v>
      </c>
      <c r="AN167" s="319">
        <f t="shared" si="200"/>
        <v>553708.19999999995</v>
      </c>
      <c r="AO167" s="319">
        <f t="shared" si="201"/>
        <v>651417.14</v>
      </c>
      <c r="AP167" s="319">
        <f t="shared" si="202"/>
        <v>583896.04</v>
      </c>
      <c r="AQ167" s="319">
        <f t="shared" si="203"/>
        <v>544378.01</v>
      </c>
      <c r="AR167" s="319">
        <f t="shared" si="204"/>
        <v>589876.91000000015</v>
      </c>
      <c r="AS167" s="319">
        <f t="shared" si="205"/>
        <v>564957.31000000006</v>
      </c>
      <c r="AT167" s="319">
        <f t="shared" si="206"/>
        <v>742699.32000000018</v>
      </c>
      <c r="AU167" s="319">
        <f t="shared" si="207"/>
        <v>602039.22</v>
      </c>
      <c r="AW167" s="322" t="s">
        <v>52</v>
      </c>
      <c r="AX167" s="322">
        <f t="shared" si="208"/>
        <v>92785</v>
      </c>
      <c r="AY167" s="322">
        <f t="shared" si="209"/>
        <v>91917.99</v>
      </c>
      <c r="AZ167" s="322">
        <f t="shared" si="210"/>
        <v>92130.16</v>
      </c>
      <c r="BA167" s="322">
        <f t="shared" si="211"/>
        <v>60395.200000000004</v>
      </c>
      <c r="BB167" s="322">
        <f t="shared" si="212"/>
        <v>69177.84</v>
      </c>
      <c r="BC167" s="322">
        <f t="shared" si="213"/>
        <v>72568.320000000007</v>
      </c>
      <c r="BD167" s="322">
        <f t="shared" si="214"/>
        <v>78767.64</v>
      </c>
      <c r="BE167" s="322">
        <f t="shared" si="215"/>
        <v>36792.959999999999</v>
      </c>
      <c r="BF167" s="322">
        <f t="shared" si="216"/>
        <v>55615.960000000006</v>
      </c>
      <c r="BG167" s="322">
        <f t="shared" si="217"/>
        <v>53445.91</v>
      </c>
      <c r="BH167" s="322">
        <f t="shared" si="218"/>
        <v>64978.880000000005</v>
      </c>
      <c r="BI167" s="322">
        <f t="shared" si="219"/>
        <v>47814.81</v>
      </c>
      <c r="BJ167" s="322">
        <f t="shared" si="220"/>
        <v>56539.31</v>
      </c>
      <c r="BK167" s="322">
        <f t="shared" si="221"/>
        <v>0</v>
      </c>
      <c r="BL167" s="322">
        <f t="shared" si="222"/>
        <v>53033.09</v>
      </c>
      <c r="BM167" s="322">
        <f t="shared" si="223"/>
        <v>50314.97</v>
      </c>
      <c r="BN167" s="322">
        <f t="shared" si="224"/>
        <v>32902.080000000002</v>
      </c>
      <c r="BO167" s="340">
        <f t="shared" si="225"/>
        <v>45000.75</v>
      </c>
      <c r="BP167" s="340">
        <f t="shared" si="226"/>
        <v>50479.66</v>
      </c>
      <c r="BQ167" s="340">
        <f t="shared" si="227"/>
        <v>44686.75</v>
      </c>
      <c r="BR167" s="340">
        <f t="shared" si="228"/>
        <v>47258.04</v>
      </c>
      <c r="BS167" s="340">
        <f t="shared" si="229"/>
        <v>62733.31</v>
      </c>
      <c r="BU167" s="340" t="s">
        <v>52</v>
      </c>
      <c r="BV167" s="340">
        <f t="shared" si="230"/>
        <v>18557</v>
      </c>
      <c r="BW167" s="340">
        <f t="shared" si="231"/>
        <v>20426.22</v>
      </c>
      <c r="BX167" s="340">
        <f t="shared" si="232"/>
        <v>23032.54</v>
      </c>
      <c r="BY167" s="340">
        <f t="shared" si="233"/>
        <v>36237.120000000003</v>
      </c>
      <c r="BZ167" s="340">
        <f t="shared" si="234"/>
        <v>34588.92</v>
      </c>
      <c r="CA167" s="340">
        <f t="shared" si="235"/>
        <v>36284.159999999996</v>
      </c>
      <c r="CB167" s="340">
        <f t="shared" si="236"/>
        <v>39383.82</v>
      </c>
      <c r="CC167" s="340">
        <f t="shared" si="237"/>
        <v>36792.959999999999</v>
      </c>
      <c r="CD167" s="340">
        <f t="shared" si="238"/>
        <v>30168.559999999998</v>
      </c>
      <c r="CE167" s="340">
        <f t="shared" si="239"/>
        <v>38698.86</v>
      </c>
      <c r="CF167" s="340">
        <f t="shared" si="240"/>
        <v>41240.020000000004</v>
      </c>
      <c r="CG167" s="340">
        <f t="shared" si="241"/>
        <v>48388.78</v>
      </c>
      <c r="CH167" s="340">
        <f t="shared" si="242"/>
        <v>46138.720000000001</v>
      </c>
      <c r="CI167" s="340">
        <f t="shared" si="243"/>
        <v>0</v>
      </c>
      <c r="CJ167" s="340">
        <f t="shared" si="244"/>
        <v>55480.98</v>
      </c>
      <c r="CK167" s="340">
        <f t="shared" si="245"/>
        <v>56068.009999999995</v>
      </c>
      <c r="CL167" s="340">
        <f t="shared" si="246"/>
        <v>53760.85</v>
      </c>
      <c r="CM167" s="340">
        <f t="shared" si="247"/>
        <v>57414.55</v>
      </c>
      <c r="CN167" s="340">
        <f t="shared" si="248"/>
        <v>56611.66</v>
      </c>
      <c r="CO167" s="340">
        <f t="shared" si="249"/>
        <v>52954.69</v>
      </c>
      <c r="CP167" s="340">
        <f t="shared" si="250"/>
        <v>56629.469999999994</v>
      </c>
      <c r="CQ167" s="340">
        <f t="shared" si="251"/>
        <v>60709.590000000004</v>
      </c>
      <c r="CR167" s="122"/>
      <c r="CS167" s="340" t="s">
        <v>52</v>
      </c>
      <c r="CT167" s="340">
        <f t="shared" si="252"/>
        <v>64949.5</v>
      </c>
      <c r="CU167" s="340">
        <f t="shared" si="253"/>
        <v>81704.88</v>
      </c>
      <c r="CV167" s="340">
        <f t="shared" si="254"/>
        <v>161227.78</v>
      </c>
      <c r="CW167" s="340">
        <f t="shared" si="255"/>
        <v>205343.68</v>
      </c>
      <c r="CX167" s="340">
        <f t="shared" si="256"/>
        <v>138355.68</v>
      </c>
      <c r="CY167" s="340">
        <f t="shared" si="257"/>
        <v>96757.759999999995</v>
      </c>
      <c r="CZ167" s="340">
        <f t="shared" si="258"/>
        <v>91895.58</v>
      </c>
      <c r="DA167" s="340">
        <f t="shared" si="259"/>
        <v>134907.51999999999</v>
      </c>
      <c r="DB167" s="340">
        <f t="shared" si="260"/>
        <v>134071.90999999997</v>
      </c>
      <c r="DC167" s="340">
        <f t="shared" si="261"/>
        <v>133970.62</v>
      </c>
      <c r="DD167" s="340">
        <f t="shared" si="262"/>
        <v>119163.55</v>
      </c>
      <c r="DE167" s="340">
        <f t="shared" si="263"/>
        <v>419423.08</v>
      </c>
      <c r="DF167" s="340">
        <f t="shared" si="264"/>
        <v>412128.8</v>
      </c>
      <c r="DG167" s="340">
        <f t="shared" si="265"/>
        <v>0</v>
      </c>
      <c r="DH167" s="340">
        <f t="shared" si="266"/>
        <v>384828.08000000007</v>
      </c>
      <c r="DI167" s="340">
        <f t="shared" si="267"/>
        <v>422548.20999999996</v>
      </c>
      <c r="DJ167" s="340">
        <f t="shared" si="268"/>
        <v>412589.91000000003</v>
      </c>
      <c r="DK167" s="340">
        <f t="shared" si="269"/>
        <v>455691.04000000004</v>
      </c>
      <c r="DL167" s="340">
        <f t="shared" si="270"/>
        <v>512564.65</v>
      </c>
      <c r="DM167" s="340">
        <f t="shared" si="271"/>
        <v>529060.93000000005</v>
      </c>
      <c r="DN167" s="340">
        <f t="shared" si="272"/>
        <v>498383.05</v>
      </c>
      <c r="DO167" s="340">
        <f t="shared" si="273"/>
        <v>532832.03</v>
      </c>
      <c r="DP167" s="330"/>
      <c r="DQ167" s="340" t="s">
        <v>52</v>
      </c>
      <c r="DR167" s="340">
        <f t="shared" ref="DR167:EM167" si="359">DR69</f>
        <v>102063.5</v>
      </c>
      <c r="DS167" s="340">
        <f t="shared" si="359"/>
        <v>112344.21</v>
      </c>
      <c r="DT167" s="340">
        <f t="shared" si="359"/>
        <v>149711.51</v>
      </c>
      <c r="DU167" s="340">
        <f t="shared" si="359"/>
        <v>144948.48000000001</v>
      </c>
      <c r="DV167" s="340">
        <f t="shared" si="359"/>
        <v>126826.04</v>
      </c>
      <c r="DW167" s="340">
        <f t="shared" si="359"/>
        <v>157231.35999999999</v>
      </c>
      <c r="DX167" s="340">
        <f t="shared" si="359"/>
        <v>157535.28</v>
      </c>
      <c r="DY167" s="340">
        <f t="shared" si="359"/>
        <v>159436.16</v>
      </c>
      <c r="DZ167" s="340">
        <f t="shared" si="359"/>
        <v>198909.49000000002</v>
      </c>
      <c r="EA167" s="340">
        <f t="shared" si="359"/>
        <v>0</v>
      </c>
      <c r="EB167" s="340">
        <f t="shared" si="359"/>
        <v>0</v>
      </c>
      <c r="EC167" s="340">
        <f t="shared" si="359"/>
        <v>6495.84</v>
      </c>
      <c r="ED167" s="340">
        <f t="shared" si="359"/>
        <v>1960</v>
      </c>
      <c r="EE167" s="340">
        <f t="shared" si="359"/>
        <v>0</v>
      </c>
      <c r="EF167" s="340">
        <f t="shared" si="359"/>
        <v>3759.32</v>
      </c>
      <c r="EG167" s="340">
        <f t="shared" si="359"/>
        <v>372.88</v>
      </c>
      <c r="EH167" s="340">
        <f t="shared" si="359"/>
        <v>5166.99</v>
      </c>
      <c r="EI167" s="340">
        <f t="shared" si="359"/>
        <v>2979.96</v>
      </c>
      <c r="EJ167" s="340">
        <f t="shared" si="359"/>
        <v>1110.95</v>
      </c>
      <c r="EK167" s="340">
        <f t="shared" si="359"/>
        <v>0</v>
      </c>
      <c r="EL167" s="340">
        <f t="shared" si="359"/>
        <v>0</v>
      </c>
      <c r="EM167" s="340">
        <f t="shared" si="359"/>
        <v>2500</v>
      </c>
      <c r="EO167" s="319" t="s">
        <v>52</v>
      </c>
      <c r="EP167" s="319">
        <f t="shared" si="275"/>
        <v>250519.5</v>
      </c>
      <c r="EQ167" s="319">
        <f t="shared" si="276"/>
        <v>316606.41000000003</v>
      </c>
      <c r="ER167" s="319">
        <f t="shared" si="277"/>
        <v>380036.91000000003</v>
      </c>
      <c r="ES167" s="319">
        <f t="shared" si="278"/>
        <v>386529.27999999997</v>
      </c>
      <c r="ET167" s="319">
        <f t="shared" si="279"/>
        <v>288241</v>
      </c>
      <c r="EU167" s="319">
        <f t="shared" si="280"/>
        <v>387031.03999999998</v>
      </c>
      <c r="EV167" s="319">
        <f t="shared" si="281"/>
        <v>433222.02</v>
      </c>
      <c r="EW167" s="319">
        <f t="shared" si="282"/>
        <v>355665.27999999997</v>
      </c>
      <c r="EX167" s="319">
        <f t="shared" si="283"/>
        <v>357704.87999999995</v>
      </c>
      <c r="EY167" s="319">
        <f t="shared" si="284"/>
        <v>432331.03</v>
      </c>
      <c r="EZ167" s="319">
        <f t="shared" si="285"/>
        <v>467847.0500000001</v>
      </c>
      <c r="FA167" s="319">
        <f t="shared" si="286"/>
        <v>505493.33999999997</v>
      </c>
      <c r="FB167" s="319">
        <f t="shared" si="287"/>
        <v>455255.11</v>
      </c>
      <c r="FC167" s="319">
        <f t="shared" si="288"/>
        <v>0</v>
      </c>
      <c r="FD167" s="319">
        <f t="shared" si="289"/>
        <v>432457.67000000004</v>
      </c>
      <c r="FE167" s="319">
        <f t="shared" si="290"/>
        <v>410227.50000000006</v>
      </c>
      <c r="FF167" s="322">
        <f t="shared" si="291"/>
        <v>392057.34</v>
      </c>
      <c r="FG167" s="336">
        <f t="shared" si="292"/>
        <v>425428.15999999992</v>
      </c>
      <c r="FH167" s="336">
        <f t="shared" si="293"/>
        <v>494125.97000000003</v>
      </c>
      <c r="FI167" s="336">
        <f t="shared" si="294"/>
        <v>496440.14</v>
      </c>
      <c r="FJ167" s="336">
        <f t="shared" si="295"/>
        <v>479280.75</v>
      </c>
      <c r="FK167" s="336">
        <f t="shared" si="296"/>
        <v>537400.93000000005</v>
      </c>
      <c r="FL167" s="122"/>
      <c r="FM167" s="340" t="s">
        <v>52</v>
      </c>
      <c r="FN167" s="340">
        <f t="shared" si="297"/>
        <v>55671</v>
      </c>
      <c r="FO167" s="340">
        <f t="shared" si="298"/>
        <v>61278.66</v>
      </c>
      <c r="FP167" s="340">
        <f t="shared" si="299"/>
        <v>57581.35</v>
      </c>
      <c r="FQ167" s="340">
        <f t="shared" si="300"/>
        <v>72474.240000000005</v>
      </c>
      <c r="FR167" s="340">
        <f t="shared" si="301"/>
        <v>69177.84</v>
      </c>
      <c r="FS167" s="340">
        <f t="shared" si="302"/>
        <v>72568.320000000007</v>
      </c>
      <c r="FT167" s="340">
        <f t="shared" si="303"/>
        <v>78767.64</v>
      </c>
      <c r="FU167" s="340">
        <f t="shared" si="304"/>
        <v>73585.919999999998</v>
      </c>
      <c r="FV167" s="340">
        <f t="shared" si="305"/>
        <v>67585.079999999987</v>
      </c>
      <c r="FW167" s="340">
        <f t="shared" si="306"/>
        <v>88810.21</v>
      </c>
      <c r="FX167" s="340">
        <f t="shared" si="307"/>
        <v>88521.810000000012</v>
      </c>
      <c r="FY167" s="340">
        <f t="shared" si="308"/>
        <v>87765.930000000008</v>
      </c>
      <c r="FZ167" s="340">
        <f t="shared" si="309"/>
        <v>92372.96</v>
      </c>
      <c r="GA167" s="340">
        <f t="shared" si="310"/>
        <v>0</v>
      </c>
      <c r="GB167" s="340">
        <f t="shared" si="311"/>
        <v>107105.72000000002</v>
      </c>
      <c r="GC167" s="340">
        <f t="shared" si="312"/>
        <v>97748.530000000013</v>
      </c>
      <c r="GD167" s="340">
        <f t="shared" si="313"/>
        <v>104510.93999999999</v>
      </c>
      <c r="GE167" s="340">
        <f t="shared" si="314"/>
        <v>100672.62</v>
      </c>
      <c r="GF167" s="340">
        <f t="shared" si="315"/>
        <v>101549.2</v>
      </c>
      <c r="GG167" s="340">
        <f t="shared" si="316"/>
        <v>95904.39</v>
      </c>
      <c r="GH167" s="340">
        <f t="shared" si="317"/>
        <v>96049.640000000014</v>
      </c>
      <c r="GI167" s="340">
        <f t="shared" si="318"/>
        <v>106533.73</v>
      </c>
      <c r="GJ167" s="122"/>
      <c r="GK167" s="340" t="s">
        <v>52</v>
      </c>
      <c r="GL167" s="340">
        <f t="shared" si="319"/>
        <v>74228</v>
      </c>
      <c r="GM167" s="340">
        <f t="shared" si="320"/>
        <v>71491.77</v>
      </c>
      <c r="GN167" s="340">
        <f t="shared" si="321"/>
        <v>0</v>
      </c>
      <c r="GO167" s="340">
        <f t="shared" si="322"/>
        <v>0</v>
      </c>
      <c r="GP167" s="340">
        <f t="shared" si="323"/>
        <v>92237.119999999995</v>
      </c>
      <c r="GQ167" s="340">
        <f t="shared" si="324"/>
        <v>84663.039999999994</v>
      </c>
      <c r="GR167" s="340">
        <f t="shared" si="325"/>
        <v>78767.64</v>
      </c>
      <c r="GS167" s="340">
        <f t="shared" si="326"/>
        <v>85850.240000000005</v>
      </c>
      <c r="GT167" s="340">
        <f t="shared" si="327"/>
        <v>206236.41</v>
      </c>
      <c r="GU167" s="340">
        <f t="shared" si="328"/>
        <v>176780.72</v>
      </c>
      <c r="GV167" s="340">
        <f t="shared" si="329"/>
        <v>224063.1</v>
      </c>
      <c r="GW167" s="340">
        <f t="shared" si="330"/>
        <v>103014.09</v>
      </c>
      <c r="GX167" s="340">
        <f t="shared" si="331"/>
        <v>104780.09</v>
      </c>
      <c r="GY167" s="340">
        <f t="shared" si="332"/>
        <v>0</v>
      </c>
      <c r="GZ167" s="340">
        <f t="shared" si="333"/>
        <v>95460.65</v>
      </c>
      <c r="HA167" s="340">
        <f t="shared" si="334"/>
        <v>109103.46</v>
      </c>
      <c r="HB167" s="340">
        <f t="shared" si="335"/>
        <v>7311.15</v>
      </c>
      <c r="HC167" s="340">
        <f t="shared" si="336"/>
        <v>20003.37</v>
      </c>
      <c r="HD167" s="340">
        <f t="shared" si="337"/>
        <v>66963.790000000008</v>
      </c>
      <c r="HE167" s="340">
        <f t="shared" si="338"/>
        <v>11000</v>
      </c>
      <c r="HF167" s="340">
        <f t="shared" si="339"/>
        <v>32000</v>
      </c>
      <c r="HG167" s="340">
        <f t="shared" si="340"/>
        <v>27020</v>
      </c>
      <c r="HH167" s="122"/>
      <c r="IF167" s="122"/>
      <c r="IG167" s="122"/>
      <c r="IH167" s="122"/>
      <c r="II167" s="122"/>
      <c r="IJ167" s="122"/>
      <c r="IK167" s="122"/>
      <c r="IL167" s="122"/>
      <c r="IN167" s="118"/>
      <c r="IP167" s="122"/>
      <c r="IQ167" s="122"/>
      <c r="IR167" s="122"/>
      <c r="IS167" s="122"/>
      <c r="IT167" s="122"/>
      <c r="IU167" s="122"/>
      <c r="IV167" s="122"/>
      <c r="IW167" s="122"/>
      <c r="IX167" s="122"/>
      <c r="IY167" s="122"/>
      <c r="IZ167" s="122"/>
      <c r="JA167" s="122"/>
      <c r="JB167" s="122"/>
      <c r="JC167" s="122"/>
      <c r="JD167" s="122"/>
      <c r="JE167" s="122"/>
      <c r="JF167" s="122"/>
      <c r="JG167" s="122"/>
      <c r="JH167" s="122"/>
      <c r="JI167" s="122"/>
      <c r="JK167" s="118"/>
      <c r="JL167" s="118"/>
      <c r="JY167" s="122"/>
      <c r="JZ167" s="122"/>
      <c r="KA167" s="122"/>
      <c r="KB167" s="122"/>
      <c r="LX167" s="122"/>
      <c r="LY167" s="122"/>
      <c r="LZ167" s="122"/>
      <c r="MB167" s="118"/>
      <c r="MC167" s="118"/>
      <c r="MP167" s="122"/>
      <c r="MQ167" s="122"/>
      <c r="MR167" s="122"/>
      <c r="MS167" s="122"/>
      <c r="MT167" s="122"/>
      <c r="MU167" s="122"/>
      <c r="MV167" s="122"/>
      <c r="OS167" s="118"/>
      <c r="OT167" s="118"/>
      <c r="PC167" s="122"/>
      <c r="PD167" s="122"/>
      <c r="PE167" s="122"/>
      <c r="PF167" s="122"/>
      <c r="PG167" s="122"/>
      <c r="PH167" s="122"/>
      <c r="PI167" s="122"/>
      <c r="PJ167" s="122"/>
      <c r="PP167" s="118"/>
      <c r="PQ167" s="118"/>
      <c r="PZ167" s="122"/>
      <c r="QA167" s="122"/>
      <c r="QB167" s="122"/>
      <c r="QC167" s="122"/>
      <c r="QD167" s="122"/>
      <c r="QE167" s="122"/>
      <c r="QF167" s="122"/>
      <c r="QG167" s="122"/>
      <c r="QM167" s="118"/>
      <c r="QN167" s="118"/>
      <c r="RE167" s="118"/>
      <c r="RF167" s="118"/>
      <c r="RG167" s="118"/>
      <c r="RH167" s="118"/>
      <c r="RI167" s="118"/>
      <c r="RJ167" s="118"/>
      <c r="RK167" s="118"/>
    </row>
    <row r="168" spans="25:479">
      <c r="Y168" s="277" t="s">
        <v>53</v>
      </c>
      <c r="Z168" s="319">
        <f t="shared" si="186"/>
        <v>291766.80000000005</v>
      </c>
      <c r="AA168" s="319">
        <f t="shared" si="187"/>
        <v>310014.93000000005</v>
      </c>
      <c r="AB168" s="319">
        <f t="shared" si="188"/>
        <v>300165.3</v>
      </c>
      <c r="AC168" s="319">
        <f t="shared" si="189"/>
        <v>315542.7</v>
      </c>
      <c r="AD168" s="319">
        <f t="shared" si="190"/>
        <v>361094</v>
      </c>
      <c r="AE168" s="319">
        <f t="shared" si="191"/>
        <v>353418.81000000006</v>
      </c>
      <c r="AF168" s="319">
        <f t="shared" si="192"/>
        <v>411513.40000000008</v>
      </c>
      <c r="AG168" s="319">
        <f t="shared" si="193"/>
        <v>434776.5</v>
      </c>
      <c r="AH168" s="319">
        <f t="shared" si="194"/>
        <v>506530.61</v>
      </c>
      <c r="AI168" s="319">
        <f t="shared" si="195"/>
        <v>498357.54999999993</v>
      </c>
      <c r="AJ168" s="319">
        <f t="shared" si="196"/>
        <v>616136.38</v>
      </c>
      <c r="AK168" s="319">
        <f t="shared" si="197"/>
        <v>584375.37</v>
      </c>
      <c r="AL168" s="319">
        <f t="shared" si="198"/>
        <v>603974.76</v>
      </c>
      <c r="AM168" s="319">
        <f t="shared" si="199"/>
        <v>583118.73</v>
      </c>
      <c r="AN168" s="319">
        <f t="shared" si="200"/>
        <v>0</v>
      </c>
      <c r="AO168" s="319">
        <f t="shared" si="201"/>
        <v>600324.67999999993</v>
      </c>
      <c r="AP168" s="319">
        <f t="shared" si="202"/>
        <v>661333.10999999987</v>
      </c>
      <c r="AQ168" s="319">
        <f t="shared" si="203"/>
        <v>623743.07999999984</v>
      </c>
      <c r="AR168" s="319">
        <f t="shared" si="204"/>
        <v>660737.47</v>
      </c>
      <c r="AS168" s="319">
        <f t="shared" si="205"/>
        <v>649579.97</v>
      </c>
      <c r="AT168" s="319">
        <f t="shared" si="206"/>
        <v>738251.23</v>
      </c>
      <c r="AU168" s="319">
        <f t="shared" si="207"/>
        <v>708920</v>
      </c>
      <c r="AW168" s="322" t="s">
        <v>53</v>
      </c>
      <c r="AX168" s="322">
        <f t="shared" si="208"/>
        <v>109412.54999999999</v>
      </c>
      <c r="AY168" s="322">
        <f t="shared" si="209"/>
        <v>107831.28</v>
      </c>
      <c r="AZ168" s="322">
        <f t="shared" si="210"/>
        <v>166758.5</v>
      </c>
      <c r="BA168" s="322">
        <f t="shared" si="211"/>
        <v>122711.05000000002</v>
      </c>
      <c r="BB168" s="322">
        <f t="shared" si="212"/>
        <v>90273.5</v>
      </c>
      <c r="BC168" s="322">
        <f t="shared" si="213"/>
        <v>93004.950000000012</v>
      </c>
      <c r="BD168" s="322">
        <f t="shared" si="214"/>
        <v>105346.70000000001</v>
      </c>
      <c r="BE168" s="322">
        <f t="shared" si="215"/>
        <v>96617</v>
      </c>
      <c r="BF168" s="322">
        <f t="shared" si="216"/>
        <v>81739.8</v>
      </c>
      <c r="BG168" s="322">
        <f t="shared" si="217"/>
        <v>95256.78</v>
      </c>
      <c r="BH168" s="322">
        <f t="shared" si="218"/>
        <v>133269.49</v>
      </c>
      <c r="BI168" s="322">
        <f t="shared" si="219"/>
        <v>126623.99</v>
      </c>
      <c r="BJ168" s="322">
        <f t="shared" si="220"/>
        <v>125780.8</v>
      </c>
      <c r="BK168" s="322">
        <f t="shared" si="221"/>
        <v>129250.95000000001</v>
      </c>
      <c r="BL168" s="322">
        <f t="shared" si="222"/>
        <v>0</v>
      </c>
      <c r="BM168" s="322">
        <f t="shared" si="223"/>
        <v>110405.59</v>
      </c>
      <c r="BN168" s="322">
        <f t="shared" si="224"/>
        <v>125141.68</v>
      </c>
      <c r="BO168" s="340">
        <f t="shared" si="225"/>
        <v>120818.72999999998</v>
      </c>
      <c r="BP168" s="340">
        <f t="shared" si="226"/>
        <v>127606.33</v>
      </c>
      <c r="BQ168" s="340">
        <f t="shared" si="227"/>
        <v>125365.29000000001</v>
      </c>
      <c r="BR168" s="340">
        <f t="shared" si="228"/>
        <v>143443.37</v>
      </c>
      <c r="BS168" s="340">
        <f t="shared" si="229"/>
        <v>146840</v>
      </c>
      <c r="BU168" s="340" t="s">
        <v>53</v>
      </c>
      <c r="BV168" s="340">
        <f t="shared" si="230"/>
        <v>12156.95</v>
      </c>
      <c r="BW168" s="340">
        <f t="shared" si="231"/>
        <v>26957.82</v>
      </c>
      <c r="BX168" s="340">
        <f t="shared" si="232"/>
        <v>0</v>
      </c>
      <c r="BY168" s="340">
        <f t="shared" si="233"/>
        <v>17530.150000000001</v>
      </c>
      <c r="BZ168" s="340">
        <f t="shared" si="234"/>
        <v>0</v>
      </c>
      <c r="CA168" s="340">
        <f t="shared" si="235"/>
        <v>37201.980000000003</v>
      </c>
      <c r="CB168" s="340">
        <f t="shared" si="236"/>
        <v>42138.68</v>
      </c>
      <c r="CC168" s="340">
        <f t="shared" si="237"/>
        <v>48308.5</v>
      </c>
      <c r="CD168" s="340">
        <f t="shared" si="238"/>
        <v>43450.619999999995</v>
      </c>
      <c r="CE168" s="340">
        <f t="shared" si="239"/>
        <v>50150.11</v>
      </c>
      <c r="CF168" s="340">
        <f t="shared" si="240"/>
        <v>51865.32</v>
      </c>
      <c r="CG168" s="340">
        <f t="shared" si="241"/>
        <v>54118.91</v>
      </c>
      <c r="CH168" s="340">
        <f t="shared" si="242"/>
        <v>53262.290000000008</v>
      </c>
      <c r="CI168" s="340">
        <f t="shared" si="243"/>
        <v>51851.51</v>
      </c>
      <c r="CJ168" s="340">
        <f t="shared" si="244"/>
        <v>0</v>
      </c>
      <c r="CK168" s="340">
        <f t="shared" si="245"/>
        <v>56005.9</v>
      </c>
      <c r="CL168" s="340">
        <f t="shared" si="246"/>
        <v>55819.42</v>
      </c>
      <c r="CM168" s="340">
        <f t="shared" si="247"/>
        <v>56142.58</v>
      </c>
      <c r="CN168" s="340">
        <f t="shared" si="248"/>
        <v>54902.44</v>
      </c>
      <c r="CO168" s="340">
        <f t="shared" si="249"/>
        <v>61373.4</v>
      </c>
      <c r="CP168" s="340">
        <f t="shared" si="250"/>
        <v>62216.37</v>
      </c>
      <c r="CQ168" s="340">
        <f t="shared" si="251"/>
        <v>83340</v>
      </c>
      <c r="CR168" s="122"/>
      <c r="CS168" s="340" t="s">
        <v>53</v>
      </c>
      <c r="CT168" s="340">
        <f t="shared" si="252"/>
        <v>279609.84999999998</v>
      </c>
      <c r="CU168" s="340">
        <f t="shared" si="253"/>
        <v>296536.02</v>
      </c>
      <c r="CV168" s="340">
        <f t="shared" si="254"/>
        <v>350192.85</v>
      </c>
      <c r="CW168" s="340">
        <f t="shared" si="255"/>
        <v>385663.3</v>
      </c>
      <c r="CX168" s="340">
        <f t="shared" si="256"/>
        <v>415258.1</v>
      </c>
      <c r="CY168" s="340">
        <f t="shared" si="257"/>
        <v>446423.76</v>
      </c>
      <c r="CZ168" s="340">
        <f t="shared" si="258"/>
        <v>484594.82</v>
      </c>
      <c r="DA168" s="340">
        <f t="shared" si="259"/>
        <v>483085</v>
      </c>
      <c r="DB168" s="340">
        <f t="shared" si="260"/>
        <v>487622.9</v>
      </c>
      <c r="DC168" s="340">
        <f t="shared" si="261"/>
        <v>569301.4</v>
      </c>
      <c r="DD168" s="340">
        <f t="shared" si="262"/>
        <v>587710.93999999994</v>
      </c>
      <c r="DE168" s="340">
        <f t="shared" si="263"/>
        <v>568080.32999999996</v>
      </c>
      <c r="DF168" s="340">
        <f t="shared" si="264"/>
        <v>591507.56000000006</v>
      </c>
      <c r="DG168" s="340">
        <f t="shared" si="265"/>
        <v>568228.60999999987</v>
      </c>
      <c r="DH168" s="340">
        <f t="shared" si="266"/>
        <v>0</v>
      </c>
      <c r="DI168" s="340">
        <f t="shared" si="267"/>
        <v>543718.96</v>
      </c>
      <c r="DJ168" s="340">
        <f t="shared" si="268"/>
        <v>592135.53</v>
      </c>
      <c r="DK168" s="340">
        <f t="shared" si="269"/>
        <v>473714.04000000004</v>
      </c>
      <c r="DL168" s="340">
        <f t="shared" si="270"/>
        <v>488041.62</v>
      </c>
      <c r="DM168" s="340">
        <f t="shared" si="271"/>
        <v>562811.6</v>
      </c>
      <c r="DN168" s="340">
        <f t="shared" si="272"/>
        <v>561486.03</v>
      </c>
      <c r="DO168" s="340">
        <f t="shared" si="273"/>
        <v>641620</v>
      </c>
      <c r="DP168" s="330"/>
      <c r="DQ168" s="340" t="s">
        <v>53</v>
      </c>
      <c r="DR168" s="340">
        <f t="shared" ref="DR168:EM168" si="360">DR70</f>
        <v>0</v>
      </c>
      <c r="DS168" s="340">
        <f t="shared" si="360"/>
        <v>0</v>
      </c>
      <c r="DT168" s="340">
        <f t="shared" si="360"/>
        <v>0</v>
      </c>
      <c r="DU168" s="340">
        <f t="shared" si="360"/>
        <v>0</v>
      </c>
      <c r="DV168" s="340">
        <f t="shared" si="360"/>
        <v>0</v>
      </c>
      <c r="DW168" s="340">
        <f t="shared" si="360"/>
        <v>0</v>
      </c>
      <c r="DX168" s="340">
        <f t="shared" si="360"/>
        <v>0</v>
      </c>
      <c r="DY168" s="340">
        <f t="shared" si="360"/>
        <v>0</v>
      </c>
      <c r="DZ168" s="340">
        <f t="shared" si="360"/>
        <v>5917.31</v>
      </c>
      <c r="EA168" s="340">
        <f t="shared" si="360"/>
        <v>8291.33</v>
      </c>
      <c r="EB168" s="340">
        <f t="shared" si="360"/>
        <v>11079.67</v>
      </c>
      <c r="EC168" s="340">
        <f t="shared" si="360"/>
        <v>11193.24</v>
      </c>
      <c r="ED168" s="340">
        <f t="shared" si="360"/>
        <v>12438.35</v>
      </c>
      <c r="EE168" s="340">
        <f t="shared" si="360"/>
        <v>10201.780000000001</v>
      </c>
      <c r="EF168" s="340">
        <f t="shared" si="360"/>
        <v>0</v>
      </c>
      <c r="EG168" s="340">
        <f t="shared" si="360"/>
        <v>13368.65</v>
      </c>
      <c r="EH168" s="340">
        <f t="shared" si="360"/>
        <v>16846.28</v>
      </c>
      <c r="EI168" s="340">
        <f t="shared" si="360"/>
        <v>14670.73</v>
      </c>
      <c r="EJ168" s="340">
        <f t="shared" si="360"/>
        <v>16219.36</v>
      </c>
      <c r="EK168" s="340">
        <f t="shared" si="360"/>
        <v>14096.15</v>
      </c>
      <c r="EL168" s="340">
        <f t="shared" si="360"/>
        <v>11094.36</v>
      </c>
      <c r="EM168" s="340">
        <f t="shared" si="360"/>
        <v>11000</v>
      </c>
      <c r="EO168" s="319" t="s">
        <v>53</v>
      </c>
      <c r="EP168" s="319">
        <f t="shared" si="275"/>
        <v>413336.3</v>
      </c>
      <c r="EQ168" s="319">
        <f t="shared" si="276"/>
        <v>485240.76</v>
      </c>
      <c r="ER168" s="319">
        <f t="shared" si="277"/>
        <v>667034</v>
      </c>
      <c r="ES168" s="319">
        <f t="shared" si="278"/>
        <v>736266.3</v>
      </c>
      <c r="ET168" s="319">
        <f t="shared" si="279"/>
        <v>830516.2</v>
      </c>
      <c r="EU168" s="319">
        <f t="shared" si="280"/>
        <v>818443.56</v>
      </c>
      <c r="EV168" s="319">
        <f t="shared" si="281"/>
        <v>927050.96</v>
      </c>
      <c r="EW168" s="319">
        <f t="shared" si="282"/>
        <v>1014478.5</v>
      </c>
      <c r="EX168" s="319">
        <f t="shared" si="283"/>
        <v>1193883.02</v>
      </c>
      <c r="EY168" s="319">
        <f t="shared" si="284"/>
        <v>1362411.23</v>
      </c>
      <c r="EZ168" s="319">
        <f t="shared" si="285"/>
        <v>1580548.9200000002</v>
      </c>
      <c r="FA168" s="319">
        <f t="shared" si="286"/>
        <v>1520853.9700000002</v>
      </c>
      <c r="FB168" s="319">
        <f t="shared" si="287"/>
        <v>1563090.64</v>
      </c>
      <c r="FC168" s="319">
        <f t="shared" si="288"/>
        <v>1584913.0100000002</v>
      </c>
      <c r="FD168" s="319">
        <f t="shared" si="289"/>
        <v>0</v>
      </c>
      <c r="FE168" s="319">
        <f t="shared" si="290"/>
        <v>1650510.42</v>
      </c>
      <c r="FF168" s="322">
        <f t="shared" si="291"/>
        <v>1674303.1</v>
      </c>
      <c r="FG168" s="336">
        <f t="shared" si="292"/>
        <v>1574958.0699999998</v>
      </c>
      <c r="FH168" s="336">
        <f t="shared" si="293"/>
        <v>1636728.3399999999</v>
      </c>
      <c r="FI168" s="336">
        <f t="shared" si="294"/>
        <v>1749047.83</v>
      </c>
      <c r="FJ168" s="336">
        <f t="shared" si="295"/>
        <v>1846477.4699999997</v>
      </c>
      <c r="FK168" s="336">
        <f t="shared" si="296"/>
        <v>2215850</v>
      </c>
      <c r="FL168" s="122"/>
      <c r="FM168" s="340" t="s">
        <v>53</v>
      </c>
      <c r="FN168" s="340">
        <f t="shared" si="297"/>
        <v>85098.65</v>
      </c>
      <c r="FO168" s="340">
        <f t="shared" si="298"/>
        <v>94352.37</v>
      </c>
      <c r="FP168" s="340">
        <f t="shared" si="299"/>
        <v>83379.25</v>
      </c>
      <c r="FQ168" s="340">
        <f t="shared" si="300"/>
        <v>105180.9</v>
      </c>
      <c r="FR168" s="340">
        <f t="shared" si="301"/>
        <v>108328.2</v>
      </c>
      <c r="FS168" s="340">
        <f t="shared" si="302"/>
        <v>111605.94</v>
      </c>
      <c r="FT168" s="340">
        <f t="shared" si="303"/>
        <v>105346.7</v>
      </c>
      <c r="FU168" s="340">
        <f t="shared" si="304"/>
        <v>120771.25</v>
      </c>
      <c r="FV168" s="340">
        <f t="shared" si="305"/>
        <v>182348.16999999998</v>
      </c>
      <c r="FW168" s="340">
        <f t="shared" si="306"/>
        <v>190930.07</v>
      </c>
      <c r="FX168" s="340">
        <f t="shared" si="307"/>
        <v>187449.82000000004</v>
      </c>
      <c r="FY168" s="340">
        <f t="shared" si="308"/>
        <v>193177.69000000003</v>
      </c>
      <c r="FZ168" s="340">
        <f t="shared" si="309"/>
        <v>188101.18</v>
      </c>
      <c r="GA168" s="340">
        <f t="shared" si="310"/>
        <v>215098.04</v>
      </c>
      <c r="GB168" s="340">
        <f t="shared" si="311"/>
        <v>0</v>
      </c>
      <c r="GC168" s="340">
        <f t="shared" si="312"/>
        <v>213581.46000000002</v>
      </c>
      <c r="GD168" s="340">
        <f t="shared" si="313"/>
        <v>228156.3</v>
      </c>
      <c r="GE168" s="340">
        <f t="shared" si="314"/>
        <v>180978.11000000002</v>
      </c>
      <c r="GF168" s="340">
        <f t="shared" si="315"/>
        <v>200750.65999999995</v>
      </c>
      <c r="GG168" s="340">
        <f t="shared" si="316"/>
        <v>210170.31</v>
      </c>
      <c r="GH168" s="340">
        <f t="shared" si="317"/>
        <v>218582.16999999998</v>
      </c>
      <c r="GI168" s="340">
        <f t="shared" si="318"/>
        <v>282195</v>
      </c>
      <c r="GJ168" s="122"/>
      <c r="GK168" s="340" t="s">
        <v>53</v>
      </c>
      <c r="GL168" s="340">
        <f t="shared" si="319"/>
        <v>24313.9</v>
      </c>
      <c r="GM168" s="340">
        <f t="shared" si="320"/>
        <v>26957.82</v>
      </c>
      <c r="GN168" s="340">
        <f t="shared" si="321"/>
        <v>100055.1</v>
      </c>
      <c r="GO168" s="340">
        <f t="shared" si="322"/>
        <v>70120.600000000006</v>
      </c>
      <c r="GP168" s="340">
        <f t="shared" si="323"/>
        <v>0</v>
      </c>
      <c r="GQ168" s="340">
        <f t="shared" si="324"/>
        <v>0</v>
      </c>
      <c r="GR168" s="340">
        <f t="shared" si="325"/>
        <v>21069.34</v>
      </c>
      <c r="GS168" s="340">
        <f t="shared" si="326"/>
        <v>217388.25</v>
      </c>
      <c r="GT168" s="340">
        <f t="shared" si="327"/>
        <v>289173</v>
      </c>
      <c r="GU168" s="340">
        <f t="shared" si="328"/>
        <v>306793.52</v>
      </c>
      <c r="GV168" s="340">
        <f t="shared" si="329"/>
        <v>146600</v>
      </c>
      <c r="GW168" s="340">
        <f t="shared" si="330"/>
        <v>46600</v>
      </c>
      <c r="GX168" s="340">
        <f t="shared" si="331"/>
        <v>46600</v>
      </c>
      <c r="GY168" s="340">
        <f t="shared" si="332"/>
        <v>46600</v>
      </c>
      <c r="GZ168" s="340">
        <f t="shared" si="333"/>
        <v>0</v>
      </c>
      <c r="HA168" s="340">
        <f t="shared" si="334"/>
        <v>126600</v>
      </c>
      <c r="HB168" s="340">
        <f t="shared" si="335"/>
        <v>46600</v>
      </c>
      <c r="HC168" s="340">
        <f t="shared" si="336"/>
        <v>0</v>
      </c>
      <c r="HD168" s="340">
        <f t="shared" si="337"/>
        <v>0</v>
      </c>
      <c r="HE168" s="340">
        <f t="shared" si="338"/>
        <v>206000</v>
      </c>
      <c r="HF168" s="340">
        <f t="shared" si="339"/>
        <v>340000</v>
      </c>
      <c r="HG168" s="340">
        <f t="shared" si="340"/>
        <v>28000</v>
      </c>
      <c r="HH168" s="122"/>
      <c r="IF168" s="122"/>
      <c r="IG168" s="122"/>
      <c r="IH168" s="122"/>
      <c r="II168" s="122"/>
      <c r="IJ168" s="122"/>
      <c r="IK168" s="122"/>
      <c r="IL168" s="122"/>
      <c r="IN168" s="118"/>
      <c r="IP168" s="122"/>
      <c r="IQ168" s="122"/>
      <c r="IR168" s="122"/>
      <c r="IS168" s="122"/>
      <c r="IT168" s="122"/>
      <c r="IU168" s="122"/>
      <c r="IV168" s="122"/>
      <c r="IW168" s="122"/>
      <c r="IX168" s="122"/>
      <c r="IY168" s="122"/>
      <c r="IZ168" s="122"/>
      <c r="JA168" s="122"/>
      <c r="JB168" s="122"/>
      <c r="JC168" s="122"/>
      <c r="JD168" s="122"/>
      <c r="JE168" s="122"/>
      <c r="JF168" s="122"/>
      <c r="JG168" s="122"/>
      <c r="JH168" s="122"/>
      <c r="JI168" s="122"/>
      <c r="JK168" s="118"/>
      <c r="JL168" s="118"/>
      <c r="JY168" s="122"/>
      <c r="JZ168" s="122"/>
      <c r="KA168" s="122"/>
      <c r="KB168" s="122"/>
      <c r="LX168" s="122"/>
      <c r="LY168" s="122"/>
      <c r="LZ168" s="122"/>
      <c r="MB168" s="118"/>
      <c r="MC168" s="118"/>
      <c r="MP168" s="122"/>
      <c r="MQ168" s="122"/>
      <c r="MR168" s="122"/>
      <c r="MS168" s="122"/>
      <c r="MT168" s="122"/>
      <c r="MU168" s="122"/>
      <c r="MV168" s="122"/>
      <c r="OS168" s="118"/>
      <c r="OT168" s="118"/>
      <c r="PC168" s="122"/>
      <c r="PD168" s="122"/>
      <c r="PE168" s="122"/>
      <c r="PF168" s="122"/>
      <c r="PG168" s="122"/>
      <c r="PH168" s="122"/>
      <c r="PI168" s="122"/>
      <c r="PJ168" s="122"/>
      <c r="PP168" s="118"/>
      <c r="PQ168" s="118"/>
      <c r="PZ168" s="122"/>
      <c r="QA168" s="122"/>
      <c r="QB168" s="122"/>
      <c r="QC168" s="122"/>
      <c r="QD168" s="122"/>
      <c r="QE168" s="122"/>
      <c r="QF168" s="122"/>
      <c r="QG168" s="122"/>
      <c r="QM168" s="118"/>
      <c r="QN168" s="118"/>
      <c r="RE168" s="118"/>
      <c r="RF168" s="118"/>
      <c r="RG168" s="118"/>
      <c r="RH168" s="118"/>
      <c r="RI168" s="118"/>
      <c r="RJ168" s="118"/>
      <c r="RK168" s="118"/>
    </row>
    <row r="169" spans="25:479">
      <c r="Y169" s="277" t="s">
        <v>54</v>
      </c>
      <c r="Z169" s="319">
        <f t="shared" si="186"/>
        <v>357929.75</v>
      </c>
      <c r="AA169" s="319">
        <f t="shared" si="187"/>
        <v>322153.25999999995</v>
      </c>
      <c r="AB169" s="319">
        <f t="shared" si="188"/>
        <v>409823.96</v>
      </c>
      <c r="AC169" s="319">
        <f t="shared" si="189"/>
        <v>396744.04000000004</v>
      </c>
      <c r="AD169" s="319">
        <f t="shared" si="190"/>
        <v>451778.53</v>
      </c>
      <c r="AE169" s="319">
        <f t="shared" si="191"/>
        <v>487958.25</v>
      </c>
      <c r="AF169" s="319">
        <f t="shared" si="192"/>
        <v>521030.07</v>
      </c>
      <c r="AG169" s="319">
        <f t="shared" si="193"/>
        <v>476279.4</v>
      </c>
      <c r="AH169" s="319">
        <f t="shared" si="194"/>
        <v>530414.25</v>
      </c>
      <c r="AI169" s="319">
        <f t="shared" si="195"/>
        <v>526892.46</v>
      </c>
      <c r="AJ169" s="319">
        <f t="shared" si="196"/>
        <v>547444.94000000006</v>
      </c>
      <c r="AK169" s="319">
        <f t="shared" si="197"/>
        <v>538104.22</v>
      </c>
      <c r="AL169" s="319">
        <f t="shared" si="198"/>
        <v>608549.42999999993</v>
      </c>
      <c r="AM169" s="319">
        <f t="shared" si="199"/>
        <v>578565.49</v>
      </c>
      <c r="AN169" s="319">
        <f t="shared" si="200"/>
        <v>631665.72</v>
      </c>
      <c r="AO169" s="319">
        <f t="shared" si="201"/>
        <v>591724.51</v>
      </c>
      <c r="AP169" s="319">
        <f t="shared" si="202"/>
        <v>0</v>
      </c>
      <c r="AQ169" s="319">
        <f t="shared" si="203"/>
        <v>646563.52</v>
      </c>
      <c r="AR169" s="319">
        <f t="shared" si="204"/>
        <v>651787.99999999988</v>
      </c>
      <c r="AS169" s="319">
        <f t="shared" si="205"/>
        <v>594921.07999999996</v>
      </c>
      <c r="AT169" s="319">
        <f t="shared" si="206"/>
        <v>717653.15000000014</v>
      </c>
      <c r="AU169" s="319">
        <f t="shared" si="207"/>
        <v>667019.04</v>
      </c>
      <c r="AW169" s="322" t="s">
        <v>54</v>
      </c>
      <c r="AX169" s="322">
        <f t="shared" si="208"/>
        <v>128854.71</v>
      </c>
      <c r="AY169" s="322">
        <f t="shared" si="209"/>
        <v>87859.98</v>
      </c>
      <c r="AZ169" s="322">
        <f t="shared" si="210"/>
        <v>87819.420000000013</v>
      </c>
      <c r="BA169" s="322">
        <f t="shared" si="211"/>
        <v>85016.58</v>
      </c>
      <c r="BB169" s="322">
        <f t="shared" si="212"/>
        <v>93471.42</v>
      </c>
      <c r="BC169" s="322">
        <f t="shared" si="213"/>
        <v>58554.990000000005</v>
      </c>
      <c r="BD169" s="322">
        <f t="shared" si="214"/>
        <v>57702.87</v>
      </c>
      <c r="BE169" s="322">
        <f t="shared" si="215"/>
        <v>62123.399999999994</v>
      </c>
      <c r="BF169" s="322">
        <f t="shared" si="216"/>
        <v>64876.11</v>
      </c>
      <c r="BG169" s="322">
        <f t="shared" si="217"/>
        <v>81788.53</v>
      </c>
      <c r="BH169" s="322">
        <f t="shared" si="218"/>
        <v>72057.489999999991</v>
      </c>
      <c r="BI169" s="322">
        <f t="shared" si="219"/>
        <v>77195.929999999993</v>
      </c>
      <c r="BJ169" s="322">
        <f t="shared" si="220"/>
        <v>93243.9</v>
      </c>
      <c r="BK169" s="322">
        <f t="shared" si="221"/>
        <v>85207.1</v>
      </c>
      <c r="BL169" s="322">
        <f t="shared" si="222"/>
        <v>91739.78</v>
      </c>
      <c r="BM169" s="322">
        <f t="shared" si="223"/>
        <v>105543.56</v>
      </c>
      <c r="BN169" s="322">
        <f t="shared" si="224"/>
        <v>0</v>
      </c>
      <c r="BO169" s="340">
        <f t="shared" si="225"/>
        <v>118030.68</v>
      </c>
      <c r="BP169" s="340">
        <f t="shared" si="226"/>
        <v>106045.54000000001</v>
      </c>
      <c r="BQ169" s="340">
        <f t="shared" si="227"/>
        <v>99456.639999999999</v>
      </c>
      <c r="BR169" s="340">
        <f t="shared" si="228"/>
        <v>92787.239999999991</v>
      </c>
      <c r="BS169" s="340">
        <f t="shared" si="229"/>
        <v>139128.35999999999</v>
      </c>
      <c r="BU169" s="340" t="s">
        <v>54</v>
      </c>
      <c r="BV169" s="340">
        <f t="shared" si="230"/>
        <v>14317.19</v>
      </c>
      <c r="BW169" s="340">
        <f t="shared" si="231"/>
        <v>29286.66</v>
      </c>
      <c r="BX169" s="340">
        <f t="shared" si="232"/>
        <v>43909.71</v>
      </c>
      <c r="BY169" s="340">
        <f t="shared" si="233"/>
        <v>42508.29</v>
      </c>
      <c r="BZ169" s="340">
        <f t="shared" si="234"/>
        <v>46735.71</v>
      </c>
      <c r="CA169" s="340">
        <f t="shared" si="235"/>
        <v>78073.320000000007</v>
      </c>
      <c r="CB169" s="340">
        <f t="shared" si="236"/>
        <v>76937.16</v>
      </c>
      <c r="CC169" s="340">
        <f t="shared" si="237"/>
        <v>82831.199999999997</v>
      </c>
      <c r="CD169" s="340">
        <f t="shared" si="238"/>
        <v>76523.37</v>
      </c>
      <c r="CE169" s="340">
        <f t="shared" si="239"/>
        <v>86078.45</v>
      </c>
      <c r="CF169" s="340">
        <f t="shared" si="240"/>
        <v>92832.98</v>
      </c>
      <c r="CG169" s="340">
        <f t="shared" si="241"/>
        <v>93871.579999999987</v>
      </c>
      <c r="CH169" s="340">
        <f t="shared" si="242"/>
        <v>103488.4</v>
      </c>
      <c r="CI169" s="340">
        <f t="shared" si="243"/>
        <v>99508.6</v>
      </c>
      <c r="CJ169" s="340">
        <f t="shared" si="244"/>
        <v>109889.81999999999</v>
      </c>
      <c r="CK169" s="340">
        <f t="shared" si="245"/>
        <v>102667.27999999998</v>
      </c>
      <c r="CL169" s="340">
        <f t="shared" si="246"/>
        <v>0</v>
      </c>
      <c r="CM169" s="340">
        <f t="shared" si="247"/>
        <v>106898.49000000002</v>
      </c>
      <c r="CN169" s="340">
        <f t="shared" si="248"/>
        <v>116393.01999999999</v>
      </c>
      <c r="CO169" s="340">
        <f t="shared" si="249"/>
        <v>126410.09000000001</v>
      </c>
      <c r="CP169" s="340">
        <f t="shared" si="250"/>
        <v>120430.04999999999</v>
      </c>
      <c r="CQ169" s="340">
        <f t="shared" si="251"/>
        <v>133914.37</v>
      </c>
      <c r="CR169" s="122"/>
      <c r="CS169" s="340" t="s">
        <v>54</v>
      </c>
      <c r="CT169" s="340">
        <f t="shared" si="252"/>
        <v>200440.66</v>
      </c>
      <c r="CU169" s="340">
        <f t="shared" si="253"/>
        <v>278223.27</v>
      </c>
      <c r="CV169" s="340">
        <f t="shared" si="254"/>
        <v>365914.25</v>
      </c>
      <c r="CW169" s="340">
        <f t="shared" si="255"/>
        <v>538438.34</v>
      </c>
      <c r="CX169" s="340">
        <f t="shared" si="256"/>
        <v>218099.98</v>
      </c>
      <c r="CY169" s="340">
        <f t="shared" si="257"/>
        <v>214701.63</v>
      </c>
      <c r="CZ169" s="340">
        <f t="shared" si="258"/>
        <v>250045.77</v>
      </c>
      <c r="DA169" s="340">
        <f t="shared" si="259"/>
        <v>393448.2</v>
      </c>
      <c r="DB169" s="340">
        <f t="shared" si="260"/>
        <v>452469.16</v>
      </c>
      <c r="DC169" s="340">
        <f t="shared" si="261"/>
        <v>874598.80000000016</v>
      </c>
      <c r="DD169" s="340">
        <f t="shared" si="262"/>
        <v>362967.74</v>
      </c>
      <c r="DE169" s="340">
        <f t="shared" si="263"/>
        <v>531133.92999999993</v>
      </c>
      <c r="DF169" s="340">
        <f t="shared" si="264"/>
        <v>845990.09</v>
      </c>
      <c r="DG169" s="340">
        <f t="shared" si="265"/>
        <v>337223</v>
      </c>
      <c r="DH169" s="340">
        <f t="shared" si="266"/>
        <v>471228.62999999995</v>
      </c>
      <c r="DI169" s="340">
        <f t="shared" si="267"/>
        <v>473091</v>
      </c>
      <c r="DJ169" s="340">
        <f t="shared" si="268"/>
        <v>0</v>
      </c>
      <c r="DK169" s="340">
        <f t="shared" si="269"/>
        <v>917245.13</v>
      </c>
      <c r="DL169" s="340">
        <f t="shared" si="270"/>
        <v>617372.75999999989</v>
      </c>
      <c r="DM169" s="340">
        <f t="shared" si="271"/>
        <v>746723.98</v>
      </c>
      <c r="DN169" s="340">
        <f t="shared" si="272"/>
        <v>706164.23</v>
      </c>
      <c r="DO169" s="340">
        <f t="shared" si="273"/>
        <v>921141.92999999993</v>
      </c>
      <c r="DP169" s="330"/>
      <c r="DQ169" s="340" t="s">
        <v>54</v>
      </c>
      <c r="DR169" s="340">
        <f t="shared" ref="DR169:EM169" si="361">DR71</f>
        <v>71585.95</v>
      </c>
      <c r="DS169" s="340">
        <f t="shared" si="361"/>
        <v>73216.649999999994</v>
      </c>
      <c r="DT169" s="340">
        <f t="shared" si="361"/>
        <v>43909.71</v>
      </c>
      <c r="DU169" s="340">
        <f t="shared" si="361"/>
        <v>56677.72</v>
      </c>
      <c r="DV169" s="340">
        <f t="shared" si="361"/>
        <v>62314.28</v>
      </c>
      <c r="DW169" s="340">
        <f t="shared" si="361"/>
        <v>78073.320000000007</v>
      </c>
      <c r="DX169" s="340">
        <f t="shared" si="361"/>
        <v>76937.16</v>
      </c>
      <c r="DY169" s="340">
        <f t="shared" si="361"/>
        <v>82831.199999999997</v>
      </c>
      <c r="DZ169" s="340">
        <f t="shared" si="361"/>
        <v>93949.62</v>
      </c>
      <c r="EA169" s="340">
        <f t="shared" si="361"/>
        <v>97971.9</v>
      </c>
      <c r="EB169" s="340">
        <f t="shared" si="361"/>
        <v>108952</v>
      </c>
      <c r="EC169" s="340">
        <f t="shared" si="361"/>
        <v>125210.08000000002</v>
      </c>
      <c r="ED169" s="340">
        <f t="shared" si="361"/>
        <v>135593.31</v>
      </c>
      <c r="EE169" s="340">
        <f t="shared" si="361"/>
        <v>144934.74</v>
      </c>
      <c r="EF169" s="340">
        <f t="shared" si="361"/>
        <v>143697.82</v>
      </c>
      <c r="EG169" s="340">
        <f t="shared" si="361"/>
        <v>149049.35999999999</v>
      </c>
      <c r="EH169" s="340">
        <f t="shared" si="361"/>
        <v>0</v>
      </c>
      <c r="EI169" s="340">
        <f t="shared" si="361"/>
        <v>171523.95</v>
      </c>
      <c r="EJ169" s="340">
        <f t="shared" si="361"/>
        <v>165769.71</v>
      </c>
      <c r="EK169" s="340">
        <f t="shared" si="361"/>
        <v>164361.80000000002</v>
      </c>
      <c r="EL169" s="340">
        <f t="shared" si="361"/>
        <v>175075.64</v>
      </c>
      <c r="EM169" s="340">
        <f t="shared" si="361"/>
        <v>181720</v>
      </c>
      <c r="EO169" s="319" t="s">
        <v>54</v>
      </c>
      <c r="EP169" s="319">
        <f t="shared" si="275"/>
        <v>386564.13</v>
      </c>
      <c r="EQ169" s="319">
        <f t="shared" si="276"/>
        <v>424656.57</v>
      </c>
      <c r="ER169" s="319">
        <f t="shared" si="277"/>
        <v>0</v>
      </c>
      <c r="ES169" s="319">
        <f t="shared" si="278"/>
        <v>0</v>
      </c>
      <c r="ET169" s="319">
        <f t="shared" si="279"/>
        <v>0</v>
      </c>
      <c r="EU169" s="319">
        <f t="shared" si="280"/>
        <v>0</v>
      </c>
      <c r="EV169" s="319">
        <f t="shared" si="281"/>
        <v>0</v>
      </c>
      <c r="EW169" s="319">
        <f t="shared" si="282"/>
        <v>0</v>
      </c>
      <c r="EX169" s="319">
        <f t="shared" si="283"/>
        <v>0</v>
      </c>
      <c r="EY169" s="319">
        <f t="shared" si="284"/>
        <v>0</v>
      </c>
      <c r="EZ169" s="319">
        <f t="shared" si="285"/>
        <v>0</v>
      </c>
      <c r="FA169" s="319">
        <f t="shared" si="286"/>
        <v>0</v>
      </c>
      <c r="FB169" s="319">
        <f t="shared" si="287"/>
        <v>0</v>
      </c>
      <c r="FC169" s="319">
        <f t="shared" si="288"/>
        <v>0</v>
      </c>
      <c r="FD169" s="319">
        <f t="shared" si="289"/>
        <v>0</v>
      </c>
      <c r="FE169" s="319">
        <f t="shared" si="290"/>
        <v>0</v>
      </c>
      <c r="FF169" s="322">
        <f t="shared" si="291"/>
        <v>0</v>
      </c>
      <c r="FG169" s="336">
        <f t="shared" si="292"/>
        <v>31684</v>
      </c>
      <c r="FH169" s="336">
        <f t="shared" si="293"/>
        <v>31674</v>
      </c>
      <c r="FI169" s="336">
        <f t="shared" si="294"/>
        <v>33075</v>
      </c>
      <c r="FJ169" s="336">
        <f t="shared" si="295"/>
        <v>13950</v>
      </c>
      <c r="FK169" s="336">
        <f t="shared" si="296"/>
        <v>0</v>
      </c>
      <c r="FL169" s="122"/>
      <c r="FM169" s="340" t="s">
        <v>54</v>
      </c>
      <c r="FN169" s="340">
        <f t="shared" si="297"/>
        <v>100220.33</v>
      </c>
      <c r="FO169" s="340">
        <f t="shared" si="298"/>
        <v>102503.31</v>
      </c>
      <c r="FP169" s="340">
        <f t="shared" si="299"/>
        <v>117092.56</v>
      </c>
      <c r="FQ169" s="340">
        <f t="shared" si="300"/>
        <v>113355.44</v>
      </c>
      <c r="FR169" s="340">
        <f t="shared" si="301"/>
        <v>140207.13</v>
      </c>
      <c r="FS169" s="340">
        <f t="shared" si="302"/>
        <v>136628.31</v>
      </c>
      <c r="FT169" s="340">
        <f t="shared" si="303"/>
        <v>134640.03</v>
      </c>
      <c r="FU169" s="340">
        <f t="shared" si="304"/>
        <v>144954.6</v>
      </c>
      <c r="FV169" s="340">
        <f t="shared" si="305"/>
        <v>166303.93000000002</v>
      </c>
      <c r="FW169" s="340">
        <f t="shared" si="306"/>
        <v>203335.71</v>
      </c>
      <c r="FX169" s="340">
        <f t="shared" si="307"/>
        <v>205785.97999999998</v>
      </c>
      <c r="FY169" s="340">
        <f t="shared" si="308"/>
        <v>241250.44</v>
      </c>
      <c r="FZ169" s="340">
        <f t="shared" si="309"/>
        <v>275794.48000000004</v>
      </c>
      <c r="GA169" s="340">
        <f t="shared" si="310"/>
        <v>282538.99000000005</v>
      </c>
      <c r="GB169" s="340">
        <f t="shared" si="311"/>
        <v>257530.37999999998</v>
      </c>
      <c r="GC169" s="340">
        <f t="shared" si="312"/>
        <v>281366.09999999998</v>
      </c>
      <c r="GD169" s="340">
        <f t="shared" si="313"/>
        <v>0</v>
      </c>
      <c r="GE169" s="340">
        <f t="shared" si="314"/>
        <v>367602.24999999994</v>
      </c>
      <c r="GF169" s="340">
        <f t="shared" si="315"/>
        <v>344584.58000000007</v>
      </c>
      <c r="GG169" s="340">
        <f t="shared" si="316"/>
        <v>370825.55</v>
      </c>
      <c r="GH169" s="340">
        <f t="shared" si="317"/>
        <v>384146.43</v>
      </c>
      <c r="GI169" s="340">
        <f t="shared" si="318"/>
        <v>413490</v>
      </c>
      <c r="GJ169" s="122"/>
      <c r="GK169" s="340" t="s">
        <v>54</v>
      </c>
      <c r="GL169" s="340">
        <f t="shared" si="319"/>
        <v>171806.28</v>
      </c>
      <c r="GM169" s="340">
        <f t="shared" si="320"/>
        <v>146433.29999999999</v>
      </c>
      <c r="GN169" s="340">
        <f t="shared" si="321"/>
        <v>395187.39</v>
      </c>
      <c r="GO169" s="340">
        <f t="shared" si="322"/>
        <v>184202.59</v>
      </c>
      <c r="GP169" s="340">
        <f t="shared" si="323"/>
        <v>545249.94999999995</v>
      </c>
      <c r="GQ169" s="340">
        <f t="shared" si="324"/>
        <v>897843.18</v>
      </c>
      <c r="GR169" s="340">
        <f t="shared" si="325"/>
        <v>807840.18</v>
      </c>
      <c r="GS169" s="340">
        <f t="shared" si="326"/>
        <v>828312</v>
      </c>
      <c r="GT169" s="340">
        <f t="shared" si="327"/>
        <v>1181858.95</v>
      </c>
      <c r="GU169" s="340">
        <f t="shared" si="328"/>
        <v>1205277.3799999999</v>
      </c>
      <c r="GV169" s="340">
        <f t="shared" si="329"/>
        <v>1375525.16</v>
      </c>
      <c r="GW169" s="340">
        <f t="shared" si="330"/>
        <v>1369429.29</v>
      </c>
      <c r="GX169" s="340">
        <f t="shared" si="331"/>
        <v>1689803.93</v>
      </c>
      <c r="GY169" s="340">
        <f t="shared" si="332"/>
        <v>1641716.03</v>
      </c>
      <c r="GZ169" s="340">
        <f t="shared" si="333"/>
        <v>1146983.71</v>
      </c>
      <c r="HA169" s="340">
        <f t="shared" si="334"/>
        <v>341326.29</v>
      </c>
      <c r="HB169" s="340">
        <f t="shared" si="335"/>
        <v>0</v>
      </c>
      <c r="HC169" s="340">
        <f t="shared" si="336"/>
        <v>400539.89</v>
      </c>
      <c r="HD169" s="340">
        <f t="shared" si="337"/>
        <v>868736.12</v>
      </c>
      <c r="HE169" s="340">
        <f t="shared" si="338"/>
        <v>395175.15</v>
      </c>
      <c r="HF169" s="340">
        <f t="shared" si="339"/>
        <v>422758.32</v>
      </c>
      <c r="HG169" s="340">
        <f t="shared" si="340"/>
        <v>464815.85</v>
      </c>
      <c r="HH169" s="122"/>
      <c r="IF169" s="122"/>
      <c r="IG169" s="122"/>
      <c r="IH169" s="122"/>
      <c r="II169" s="122"/>
      <c r="IJ169" s="122"/>
      <c r="IK169" s="122"/>
      <c r="IL169" s="122"/>
      <c r="IN169" s="118"/>
      <c r="IP169" s="122"/>
      <c r="IQ169" s="122"/>
      <c r="IR169" s="122"/>
      <c r="IS169" s="122"/>
      <c r="IT169" s="122"/>
      <c r="IU169" s="122"/>
      <c r="IV169" s="122"/>
      <c r="IW169" s="122"/>
      <c r="IX169" s="122"/>
      <c r="IY169" s="122"/>
      <c r="IZ169" s="122"/>
      <c r="JA169" s="122"/>
      <c r="JB169" s="122"/>
      <c r="JC169" s="122"/>
      <c r="JD169" s="122"/>
      <c r="JE169" s="122"/>
      <c r="JF169" s="122"/>
      <c r="JG169" s="122"/>
      <c r="JH169" s="122"/>
      <c r="JI169" s="122"/>
      <c r="JK169" s="118"/>
      <c r="JL169" s="118"/>
      <c r="JY169" s="122"/>
      <c r="JZ169" s="122"/>
      <c r="KA169" s="122"/>
      <c r="KB169" s="122"/>
      <c r="LX169" s="122"/>
      <c r="LY169" s="122"/>
      <c r="LZ169" s="122"/>
      <c r="MB169" s="118"/>
      <c r="MC169" s="118"/>
      <c r="MP169" s="122"/>
      <c r="MQ169" s="122"/>
      <c r="MR169" s="122"/>
      <c r="MS169" s="122"/>
      <c r="MT169" s="122"/>
      <c r="MU169" s="122"/>
      <c r="MV169" s="122"/>
      <c r="OS169" s="118"/>
      <c r="OT169" s="118"/>
      <c r="PC169" s="122"/>
      <c r="PD169" s="122"/>
      <c r="PE169" s="122"/>
      <c r="PF169" s="122"/>
      <c r="PG169" s="122"/>
      <c r="PH169" s="122"/>
      <c r="PI169" s="122"/>
      <c r="PJ169" s="122"/>
      <c r="PP169" s="118"/>
      <c r="PQ169" s="118"/>
      <c r="PZ169" s="122"/>
      <c r="QA169" s="122"/>
      <c r="QB169" s="122"/>
      <c r="QC169" s="122"/>
      <c r="QD169" s="122"/>
      <c r="QE169" s="122"/>
      <c r="QF169" s="122"/>
      <c r="QG169" s="122"/>
      <c r="QM169" s="118"/>
      <c r="QN169" s="118"/>
      <c r="RE169" s="118"/>
      <c r="RF169" s="118"/>
      <c r="RG169" s="118"/>
      <c r="RH169" s="118"/>
      <c r="RI169" s="118"/>
      <c r="RJ169" s="118"/>
      <c r="RK169" s="118"/>
    </row>
    <row r="170" spans="25:479">
      <c r="Y170" s="386" t="s">
        <v>513</v>
      </c>
      <c r="Z170" s="340">
        <f t="shared" si="186"/>
        <v>526435.78</v>
      </c>
      <c r="AA170" s="518">
        <f t="shared" si="187"/>
        <v>548592.5</v>
      </c>
      <c r="AB170" s="518">
        <f t="shared" si="188"/>
        <v>0</v>
      </c>
      <c r="AC170" s="518">
        <f t="shared" si="189"/>
        <v>0</v>
      </c>
      <c r="AD170" s="518">
        <f t="shared" si="190"/>
        <v>0</v>
      </c>
      <c r="AE170" s="518">
        <f t="shared" si="191"/>
        <v>0</v>
      </c>
      <c r="AF170" s="518">
        <f t="shared" si="192"/>
        <v>0</v>
      </c>
      <c r="AG170" s="518">
        <f t="shared" si="193"/>
        <v>0</v>
      </c>
      <c r="AH170" s="518">
        <f t="shared" si="194"/>
        <v>0</v>
      </c>
      <c r="AI170" s="518">
        <f t="shared" si="195"/>
        <v>0</v>
      </c>
      <c r="AJ170" s="518">
        <f t="shared" si="196"/>
        <v>0</v>
      </c>
      <c r="AK170" s="518">
        <f t="shared" si="197"/>
        <v>1110287.82</v>
      </c>
      <c r="AL170" s="518">
        <f t="shared" si="198"/>
        <v>0</v>
      </c>
      <c r="AM170" s="518">
        <f t="shared" si="199"/>
        <v>1171337.46</v>
      </c>
      <c r="AN170" s="518">
        <f t="shared" si="200"/>
        <v>0</v>
      </c>
      <c r="AO170" s="518">
        <f t="shared" si="201"/>
        <v>1246306.5299999998</v>
      </c>
      <c r="AP170" s="621">
        <f t="shared" si="202"/>
        <v>0</v>
      </c>
      <c r="AQ170" s="336">
        <f t="shared" si="203"/>
        <v>1201220.4300000002</v>
      </c>
      <c r="AR170" s="336">
        <f t="shared" si="204"/>
        <v>914958.5</v>
      </c>
      <c r="AS170" s="336">
        <f t="shared" si="205"/>
        <v>1007042.31</v>
      </c>
      <c r="AT170" s="336">
        <f t="shared" si="206"/>
        <v>1061255.26</v>
      </c>
      <c r="AU170" s="336">
        <f t="shared" si="207"/>
        <v>1059478.9300000002</v>
      </c>
      <c r="AW170" s="342" t="s">
        <v>513</v>
      </c>
      <c r="AX170" s="342">
        <f t="shared" si="208"/>
        <v>101237.65</v>
      </c>
      <c r="AY170" s="342">
        <f t="shared" si="209"/>
        <v>131662.20000000001</v>
      </c>
      <c r="AZ170" s="342">
        <f t="shared" si="210"/>
        <v>0</v>
      </c>
      <c r="BA170" s="342">
        <f t="shared" si="211"/>
        <v>0</v>
      </c>
      <c r="BB170" s="342">
        <f t="shared" si="212"/>
        <v>0</v>
      </c>
      <c r="BC170" s="342">
        <f t="shared" si="213"/>
        <v>0</v>
      </c>
      <c r="BD170" s="342">
        <f t="shared" si="214"/>
        <v>0</v>
      </c>
      <c r="BE170" s="342">
        <f t="shared" si="215"/>
        <v>0</v>
      </c>
      <c r="BF170" s="342">
        <f t="shared" si="216"/>
        <v>0</v>
      </c>
      <c r="BG170" s="342">
        <f t="shared" si="217"/>
        <v>0</v>
      </c>
      <c r="BH170" s="342">
        <f t="shared" si="218"/>
        <v>0</v>
      </c>
      <c r="BI170" s="342">
        <f t="shared" si="219"/>
        <v>125351.73</v>
      </c>
      <c r="BJ170" s="342">
        <f t="shared" si="220"/>
        <v>0</v>
      </c>
      <c r="BK170" s="342">
        <f t="shared" si="221"/>
        <v>110651.09</v>
      </c>
      <c r="BL170" s="342">
        <f t="shared" si="222"/>
        <v>0</v>
      </c>
      <c r="BM170" s="342">
        <f t="shared" si="223"/>
        <v>71902.290000000008</v>
      </c>
      <c r="BN170" s="342">
        <f t="shared" si="224"/>
        <v>0</v>
      </c>
      <c r="BO170" s="342">
        <f t="shared" si="225"/>
        <v>85113.19</v>
      </c>
      <c r="BP170" s="342">
        <f t="shared" si="226"/>
        <v>63188.14</v>
      </c>
      <c r="BQ170" s="342">
        <f t="shared" si="227"/>
        <v>58675.900000000009</v>
      </c>
      <c r="BR170" s="342">
        <f t="shared" si="228"/>
        <v>55586.11</v>
      </c>
      <c r="BS170" s="342">
        <f t="shared" si="229"/>
        <v>118000</v>
      </c>
      <c r="BU170" s="342" t="s">
        <v>513</v>
      </c>
      <c r="BV170" s="342">
        <f t="shared" si="230"/>
        <v>40495.06</v>
      </c>
      <c r="BW170" s="342">
        <f t="shared" si="231"/>
        <v>43887.4</v>
      </c>
      <c r="BX170" s="342">
        <f t="shared" si="232"/>
        <v>0</v>
      </c>
      <c r="BY170" s="342">
        <f t="shared" si="233"/>
        <v>0</v>
      </c>
      <c r="BZ170" s="342">
        <f t="shared" si="234"/>
        <v>0</v>
      </c>
      <c r="CA170" s="342">
        <f t="shared" si="235"/>
        <v>0</v>
      </c>
      <c r="CB170" s="342">
        <f t="shared" si="236"/>
        <v>0</v>
      </c>
      <c r="CC170" s="342">
        <f t="shared" si="237"/>
        <v>0</v>
      </c>
      <c r="CD170" s="342">
        <f t="shared" si="238"/>
        <v>0</v>
      </c>
      <c r="CE170" s="342">
        <f t="shared" si="239"/>
        <v>0</v>
      </c>
      <c r="CF170" s="342">
        <f t="shared" si="240"/>
        <v>0</v>
      </c>
      <c r="CG170" s="342">
        <f t="shared" si="241"/>
        <v>81762.38</v>
      </c>
      <c r="CH170" s="342">
        <f t="shared" si="242"/>
        <v>0</v>
      </c>
      <c r="CI170" s="342">
        <f t="shared" si="243"/>
        <v>85542.209999999992</v>
      </c>
      <c r="CJ170" s="342">
        <f t="shared" si="244"/>
        <v>0</v>
      </c>
      <c r="CK170" s="342">
        <f t="shared" si="245"/>
        <v>143714.23999999999</v>
      </c>
      <c r="CL170" s="342">
        <f t="shared" si="246"/>
        <v>0</v>
      </c>
      <c r="CM170" s="342">
        <f t="shared" si="247"/>
        <v>98037.92</v>
      </c>
      <c r="CN170" s="342">
        <f t="shared" si="248"/>
        <v>109736.94</v>
      </c>
      <c r="CO170" s="342">
        <f t="shared" si="249"/>
        <v>114824.49</v>
      </c>
      <c r="CP170" s="342">
        <f t="shared" si="250"/>
        <v>120745.14</v>
      </c>
      <c r="CQ170" s="342">
        <f t="shared" si="251"/>
        <v>138063.32</v>
      </c>
      <c r="CR170" s="122"/>
      <c r="CS170" s="342" t="s">
        <v>513</v>
      </c>
      <c r="CT170" s="342">
        <f t="shared" si="252"/>
        <v>222722.83</v>
      </c>
      <c r="CU170" s="342">
        <f t="shared" si="253"/>
        <v>175549.6</v>
      </c>
      <c r="CV170" s="342">
        <f t="shared" si="254"/>
        <v>0</v>
      </c>
      <c r="CW170" s="342">
        <f t="shared" si="255"/>
        <v>0</v>
      </c>
      <c r="CX170" s="342">
        <f t="shared" si="256"/>
        <v>0</v>
      </c>
      <c r="CY170" s="342">
        <f t="shared" si="257"/>
        <v>0</v>
      </c>
      <c r="CZ170" s="342">
        <f t="shared" si="258"/>
        <v>0</v>
      </c>
      <c r="DA170" s="342">
        <f t="shared" si="259"/>
        <v>0</v>
      </c>
      <c r="DB170" s="342">
        <f t="shared" si="260"/>
        <v>0</v>
      </c>
      <c r="DC170" s="342">
        <f t="shared" si="261"/>
        <v>0</v>
      </c>
      <c r="DD170" s="342">
        <f t="shared" si="262"/>
        <v>0</v>
      </c>
      <c r="DE170" s="342">
        <f t="shared" si="263"/>
        <v>596005.2100000002</v>
      </c>
      <c r="DF170" s="342">
        <f t="shared" si="264"/>
        <v>0</v>
      </c>
      <c r="DG170" s="342">
        <f t="shared" si="265"/>
        <v>570557.47</v>
      </c>
      <c r="DH170" s="342">
        <f t="shared" si="266"/>
        <v>0</v>
      </c>
      <c r="DI170" s="342">
        <f t="shared" si="267"/>
        <v>538663.15</v>
      </c>
      <c r="DJ170" s="342">
        <f t="shared" si="268"/>
        <v>0</v>
      </c>
      <c r="DK170" s="342">
        <f t="shared" si="269"/>
        <v>420494.32</v>
      </c>
      <c r="DL170" s="342">
        <f t="shared" si="270"/>
        <v>1607131.9699999997</v>
      </c>
      <c r="DM170" s="342">
        <f t="shared" si="271"/>
        <v>947274.53000000014</v>
      </c>
      <c r="DN170" s="342">
        <f t="shared" si="272"/>
        <v>970167.08000000007</v>
      </c>
      <c r="DO170" s="342">
        <f t="shared" si="273"/>
        <v>1522262.64</v>
      </c>
      <c r="DP170" s="330"/>
      <c r="DQ170" s="342" t="s">
        <v>513</v>
      </c>
      <c r="DR170" s="342">
        <f t="shared" ref="DR170:EM170" si="362">DR72</f>
        <v>263217.89</v>
      </c>
      <c r="DS170" s="342">
        <f t="shared" si="362"/>
        <v>285268.09999999998</v>
      </c>
      <c r="DT170" s="342">
        <f t="shared" si="362"/>
        <v>0</v>
      </c>
      <c r="DU170" s="342">
        <f t="shared" si="362"/>
        <v>0</v>
      </c>
      <c r="DV170" s="342">
        <f t="shared" si="362"/>
        <v>0</v>
      </c>
      <c r="DW170" s="342">
        <f t="shared" si="362"/>
        <v>0</v>
      </c>
      <c r="DX170" s="342">
        <f t="shared" si="362"/>
        <v>0</v>
      </c>
      <c r="DY170" s="342">
        <f t="shared" si="362"/>
        <v>0</v>
      </c>
      <c r="DZ170" s="342">
        <f t="shared" si="362"/>
        <v>0</v>
      </c>
      <c r="EA170" s="342">
        <f t="shared" si="362"/>
        <v>0</v>
      </c>
      <c r="EB170" s="342">
        <f t="shared" si="362"/>
        <v>0</v>
      </c>
      <c r="EC170" s="342">
        <f t="shared" si="362"/>
        <v>642487.08999999985</v>
      </c>
      <c r="ED170" s="342">
        <f t="shared" si="362"/>
        <v>0</v>
      </c>
      <c r="EE170" s="342">
        <f t="shared" si="362"/>
        <v>794347.52999999991</v>
      </c>
      <c r="EF170" s="342">
        <f t="shared" si="362"/>
        <v>0</v>
      </c>
      <c r="EG170" s="342">
        <f t="shared" si="362"/>
        <v>879167.84000000008</v>
      </c>
      <c r="EH170" s="342">
        <f t="shared" si="362"/>
        <v>0</v>
      </c>
      <c r="EI170" s="342">
        <f t="shared" si="362"/>
        <v>972575.07</v>
      </c>
      <c r="EJ170" s="342">
        <f t="shared" si="362"/>
        <v>1118146.3799999999</v>
      </c>
      <c r="EK170" s="342">
        <f t="shared" si="362"/>
        <v>778930.33</v>
      </c>
      <c r="EL170" s="342">
        <f t="shared" si="362"/>
        <v>918921.94</v>
      </c>
      <c r="EM170" s="342">
        <f t="shared" si="362"/>
        <v>955000</v>
      </c>
      <c r="EO170" s="338" t="s">
        <v>513</v>
      </c>
      <c r="EP170" s="338">
        <f t="shared" si="275"/>
        <v>708663.55</v>
      </c>
      <c r="EQ170" s="338">
        <f t="shared" si="276"/>
        <v>833860.60000000009</v>
      </c>
      <c r="ER170" s="338">
        <f t="shared" si="277"/>
        <v>0</v>
      </c>
      <c r="ES170" s="338">
        <f t="shared" si="278"/>
        <v>0</v>
      </c>
      <c r="ET170" s="338">
        <f t="shared" si="279"/>
        <v>0</v>
      </c>
      <c r="EU170" s="338">
        <f t="shared" si="280"/>
        <v>0</v>
      </c>
      <c r="EV170" s="338">
        <f t="shared" si="281"/>
        <v>0</v>
      </c>
      <c r="EW170" s="338">
        <f t="shared" si="282"/>
        <v>0</v>
      </c>
      <c r="EX170" s="338">
        <f t="shared" si="283"/>
        <v>0</v>
      </c>
      <c r="EY170" s="338">
        <f t="shared" si="284"/>
        <v>0</v>
      </c>
      <c r="EZ170" s="338">
        <f t="shared" si="285"/>
        <v>0</v>
      </c>
      <c r="FA170" s="338">
        <f t="shared" si="286"/>
        <v>878214</v>
      </c>
      <c r="FB170" s="338">
        <f t="shared" si="287"/>
        <v>0</v>
      </c>
      <c r="FC170" s="338">
        <f t="shared" si="288"/>
        <v>901682.2899999998</v>
      </c>
      <c r="FD170" s="338">
        <f t="shared" si="289"/>
        <v>0</v>
      </c>
      <c r="FE170" s="338">
        <f t="shared" si="290"/>
        <v>1045171.1200000001</v>
      </c>
      <c r="FF170" s="342">
        <f t="shared" si="291"/>
        <v>0</v>
      </c>
      <c r="FG170" s="338">
        <f t="shared" si="292"/>
        <v>1129913.74</v>
      </c>
      <c r="FH170" s="338">
        <f t="shared" si="293"/>
        <v>1309030.1499999999</v>
      </c>
      <c r="FI170" s="338">
        <f t="shared" si="294"/>
        <v>1223667.31</v>
      </c>
      <c r="FJ170" s="338">
        <f t="shared" si="295"/>
        <v>1524380.6400000001</v>
      </c>
      <c r="FK170" s="338">
        <f t="shared" si="296"/>
        <v>1744505.24</v>
      </c>
      <c r="FL170" s="122"/>
      <c r="FM170" s="342" t="s">
        <v>513</v>
      </c>
      <c r="FN170" s="342">
        <f t="shared" si="297"/>
        <v>121485.18</v>
      </c>
      <c r="FO170" s="342">
        <f t="shared" si="298"/>
        <v>131662.19999999998</v>
      </c>
      <c r="FP170" s="342">
        <f t="shared" si="299"/>
        <v>0</v>
      </c>
      <c r="FQ170" s="342">
        <f t="shared" si="300"/>
        <v>0</v>
      </c>
      <c r="FR170" s="342">
        <f t="shared" si="301"/>
        <v>0</v>
      </c>
      <c r="FS170" s="342">
        <f t="shared" si="302"/>
        <v>0</v>
      </c>
      <c r="FT170" s="342">
        <f t="shared" si="303"/>
        <v>0</v>
      </c>
      <c r="FU170" s="342">
        <f t="shared" si="304"/>
        <v>0</v>
      </c>
      <c r="FV170" s="342">
        <f t="shared" si="305"/>
        <v>0</v>
      </c>
      <c r="FW170" s="342">
        <f t="shared" si="306"/>
        <v>0</v>
      </c>
      <c r="FX170" s="342">
        <f t="shared" si="307"/>
        <v>0</v>
      </c>
      <c r="FY170" s="342">
        <f t="shared" si="308"/>
        <v>262855.20999999996</v>
      </c>
      <c r="FZ170" s="342">
        <f t="shared" si="309"/>
        <v>0</v>
      </c>
      <c r="GA170" s="342">
        <f t="shared" si="310"/>
        <v>287842.53999999998</v>
      </c>
      <c r="GB170" s="342">
        <f t="shared" si="311"/>
        <v>0</v>
      </c>
      <c r="GC170" s="342">
        <f t="shared" si="312"/>
        <v>296562.52</v>
      </c>
      <c r="GD170" s="342">
        <f t="shared" si="313"/>
        <v>0</v>
      </c>
      <c r="GE170" s="342">
        <f t="shared" si="314"/>
        <v>361526.17999999993</v>
      </c>
      <c r="GF170" s="342">
        <f t="shared" si="315"/>
        <v>369324.73</v>
      </c>
      <c r="GG170" s="342">
        <f t="shared" si="316"/>
        <v>362219.9</v>
      </c>
      <c r="GH170" s="342">
        <f t="shared" si="317"/>
        <v>369050.87</v>
      </c>
      <c r="GI170" s="342">
        <f t="shared" si="318"/>
        <v>380343.72</v>
      </c>
      <c r="GJ170" s="122"/>
      <c r="GK170" s="342" t="s">
        <v>513</v>
      </c>
      <c r="GL170" s="342">
        <f t="shared" si="319"/>
        <v>40495.06</v>
      </c>
      <c r="GM170" s="342">
        <f t="shared" si="320"/>
        <v>21943.7</v>
      </c>
      <c r="GN170" s="342">
        <f t="shared" si="321"/>
        <v>0</v>
      </c>
      <c r="GO170" s="342">
        <f t="shared" si="322"/>
        <v>0</v>
      </c>
      <c r="GP170" s="342">
        <f t="shared" si="323"/>
        <v>0</v>
      </c>
      <c r="GQ170" s="342">
        <f t="shared" si="324"/>
        <v>0</v>
      </c>
      <c r="GR170" s="342">
        <f t="shared" si="325"/>
        <v>0</v>
      </c>
      <c r="GS170" s="342">
        <f t="shared" si="326"/>
        <v>0</v>
      </c>
      <c r="GT170" s="342">
        <f t="shared" si="327"/>
        <v>0</v>
      </c>
      <c r="GU170" s="342">
        <f t="shared" si="328"/>
        <v>0</v>
      </c>
      <c r="GV170" s="342">
        <f t="shared" si="329"/>
        <v>0</v>
      </c>
      <c r="GW170" s="342">
        <f t="shared" si="330"/>
        <v>247368.33000000002</v>
      </c>
      <c r="GX170" s="342">
        <f t="shared" si="331"/>
        <v>0</v>
      </c>
      <c r="GY170" s="342">
        <f t="shared" si="332"/>
        <v>182106</v>
      </c>
      <c r="GZ170" s="342">
        <f t="shared" si="333"/>
        <v>0</v>
      </c>
      <c r="HA170" s="342">
        <f t="shared" si="334"/>
        <v>382752</v>
      </c>
      <c r="HB170" s="342">
        <f t="shared" si="335"/>
        <v>0</v>
      </c>
      <c r="HC170" s="342">
        <f t="shared" si="336"/>
        <v>400629.64</v>
      </c>
      <c r="HD170" s="342">
        <f t="shared" si="337"/>
        <v>139796.25999999998</v>
      </c>
      <c r="HE170" s="342">
        <f t="shared" si="338"/>
        <v>92752</v>
      </c>
      <c r="HF170" s="342">
        <f t="shared" si="339"/>
        <v>480384.5</v>
      </c>
      <c r="HG170" s="342">
        <f t="shared" si="340"/>
        <v>677753</v>
      </c>
      <c r="HH170" s="122"/>
      <c r="IF170" s="122"/>
      <c r="IG170" s="122"/>
      <c r="IH170" s="122"/>
      <c r="II170" s="122"/>
      <c r="IJ170" s="122"/>
      <c r="IK170" s="122"/>
      <c r="IL170" s="122"/>
      <c r="IN170" s="118"/>
      <c r="IP170" s="122"/>
      <c r="IQ170" s="122"/>
      <c r="IR170" s="122"/>
      <c r="IS170" s="122"/>
      <c r="IT170" s="122"/>
      <c r="IU170" s="122"/>
      <c r="IV170" s="122"/>
      <c r="IW170" s="122"/>
      <c r="IX170" s="122"/>
      <c r="IY170" s="122"/>
      <c r="IZ170" s="122"/>
      <c r="JA170" s="122"/>
      <c r="JB170" s="122"/>
      <c r="JC170" s="122"/>
      <c r="JD170" s="122"/>
      <c r="JE170" s="122"/>
      <c r="JF170" s="122"/>
      <c r="JG170" s="122"/>
      <c r="JH170" s="122"/>
      <c r="JI170" s="122"/>
      <c r="JK170" s="118"/>
      <c r="JL170" s="118"/>
      <c r="JY170" s="122"/>
      <c r="JZ170" s="122"/>
      <c r="KA170" s="122"/>
      <c r="KB170" s="122"/>
      <c r="LX170" s="122"/>
      <c r="LY170" s="122"/>
      <c r="LZ170" s="122"/>
      <c r="MB170" s="118"/>
      <c r="MC170" s="118"/>
      <c r="MP170" s="122"/>
      <c r="MQ170" s="122"/>
      <c r="MR170" s="122"/>
      <c r="MS170" s="122"/>
      <c r="MT170" s="122"/>
      <c r="MU170" s="122"/>
      <c r="MV170" s="122"/>
      <c r="OS170" s="118"/>
      <c r="OT170" s="118"/>
      <c r="PC170" s="122"/>
      <c r="PD170" s="122"/>
      <c r="PE170" s="122"/>
      <c r="PF170" s="122"/>
      <c r="PG170" s="122"/>
      <c r="PH170" s="122"/>
      <c r="PI170" s="122"/>
      <c r="PJ170" s="122"/>
      <c r="PP170" s="118"/>
      <c r="PQ170" s="118"/>
      <c r="PZ170" s="122"/>
      <c r="QA170" s="122"/>
      <c r="QB170" s="122"/>
      <c r="QC170" s="122"/>
      <c r="QD170" s="122"/>
      <c r="QE170" s="122"/>
      <c r="QF170" s="122"/>
      <c r="QG170" s="122"/>
      <c r="QM170" s="118"/>
      <c r="QN170" s="118"/>
      <c r="RE170" s="118"/>
      <c r="RF170" s="118"/>
      <c r="RG170" s="118"/>
      <c r="RH170" s="118"/>
      <c r="RI170" s="118"/>
      <c r="RJ170" s="118"/>
      <c r="RK170" s="118"/>
    </row>
    <row r="171" spans="25:479">
      <c r="Y171" s="277" t="s">
        <v>55</v>
      </c>
      <c r="Z171" s="319">
        <f t="shared" si="186"/>
        <v>487457.64</v>
      </c>
      <c r="AA171" s="319">
        <f t="shared" si="187"/>
        <v>542929.88</v>
      </c>
      <c r="AB171" s="319">
        <f t="shared" si="188"/>
        <v>670026.56000000006</v>
      </c>
      <c r="AC171" s="319">
        <f t="shared" si="189"/>
        <v>459888.02999999991</v>
      </c>
      <c r="AD171" s="319">
        <f t="shared" si="190"/>
        <v>575847.03</v>
      </c>
      <c r="AE171" s="319">
        <f t="shared" si="191"/>
        <v>533020.77</v>
      </c>
      <c r="AF171" s="319">
        <f t="shared" si="192"/>
        <v>674214.96</v>
      </c>
      <c r="AG171" s="319">
        <f t="shared" si="193"/>
        <v>533524.25</v>
      </c>
      <c r="AH171" s="319">
        <f t="shared" si="194"/>
        <v>561669.73</v>
      </c>
      <c r="AI171" s="319">
        <f t="shared" si="195"/>
        <v>951905.32</v>
      </c>
      <c r="AJ171" s="319">
        <f t="shared" si="196"/>
        <v>976849.46000000008</v>
      </c>
      <c r="AK171" s="319">
        <f t="shared" si="197"/>
        <v>1507083.14</v>
      </c>
      <c r="AL171" s="319">
        <f t="shared" si="198"/>
        <v>919080.71000000008</v>
      </c>
      <c r="AM171" s="319">
        <f t="shared" si="199"/>
        <v>731706.26</v>
      </c>
      <c r="AN171" s="319">
        <f t="shared" si="200"/>
        <v>1439078.3900000001</v>
      </c>
      <c r="AO171" s="319">
        <f t="shared" si="201"/>
        <v>995955.39999999991</v>
      </c>
      <c r="AP171" s="319">
        <f t="shared" si="202"/>
        <v>819012.78</v>
      </c>
      <c r="AQ171" s="319">
        <f t="shared" si="203"/>
        <v>764431.59</v>
      </c>
      <c r="AR171" s="319">
        <f t="shared" si="204"/>
        <v>932877.40999999992</v>
      </c>
      <c r="AS171" s="319">
        <f t="shared" si="205"/>
        <v>0</v>
      </c>
      <c r="AT171" s="319">
        <f t="shared" si="206"/>
        <v>0</v>
      </c>
      <c r="AU171" s="319">
        <f t="shared" si="207"/>
        <v>0</v>
      </c>
      <c r="AW171" s="322" t="s">
        <v>55</v>
      </c>
      <c r="AX171" s="322">
        <f t="shared" si="208"/>
        <v>125795.51999999999</v>
      </c>
      <c r="AY171" s="322">
        <f t="shared" si="209"/>
        <v>112330.32</v>
      </c>
      <c r="AZ171" s="322">
        <f t="shared" si="210"/>
        <v>172910.07999999999</v>
      </c>
      <c r="BA171" s="322">
        <f t="shared" si="211"/>
        <v>131396.57999999999</v>
      </c>
      <c r="BB171" s="322">
        <f t="shared" si="212"/>
        <v>104699.45999999999</v>
      </c>
      <c r="BC171" s="322">
        <f t="shared" si="213"/>
        <v>217156.61</v>
      </c>
      <c r="BD171" s="322">
        <f t="shared" si="214"/>
        <v>212588.9</v>
      </c>
      <c r="BE171" s="322">
        <f t="shared" si="215"/>
        <v>128045.82</v>
      </c>
      <c r="BF171" s="322">
        <f t="shared" si="216"/>
        <v>112382.13999999998</v>
      </c>
      <c r="BG171" s="322">
        <f t="shared" si="217"/>
        <v>125011.75</v>
      </c>
      <c r="BH171" s="322">
        <f t="shared" si="218"/>
        <v>96410.450000000012</v>
      </c>
      <c r="BI171" s="322">
        <f t="shared" si="219"/>
        <v>91866</v>
      </c>
      <c r="BJ171" s="322">
        <f t="shared" si="220"/>
        <v>98759.91</v>
      </c>
      <c r="BK171" s="322">
        <f t="shared" si="221"/>
        <v>95661.84</v>
      </c>
      <c r="BL171" s="322">
        <f t="shared" si="222"/>
        <v>87514.84</v>
      </c>
      <c r="BM171" s="322">
        <f t="shared" si="223"/>
        <v>90212.97</v>
      </c>
      <c r="BN171" s="322">
        <f t="shared" si="224"/>
        <v>93286.93</v>
      </c>
      <c r="BO171" s="340">
        <f t="shared" si="225"/>
        <v>87870.17</v>
      </c>
      <c r="BP171" s="340">
        <f t="shared" si="226"/>
        <v>103148.46</v>
      </c>
      <c r="BQ171" s="340">
        <f t="shared" si="227"/>
        <v>0</v>
      </c>
      <c r="BR171" s="340">
        <f t="shared" si="228"/>
        <v>0</v>
      </c>
      <c r="BS171" s="340">
        <f t="shared" si="229"/>
        <v>0</v>
      </c>
      <c r="BU171" s="340" t="s">
        <v>55</v>
      </c>
      <c r="BV171" s="340">
        <f t="shared" si="230"/>
        <v>15724.44</v>
      </c>
      <c r="BW171" s="340">
        <f t="shared" si="231"/>
        <v>74886.880000000005</v>
      </c>
      <c r="BX171" s="340">
        <f t="shared" si="232"/>
        <v>64841.279999999999</v>
      </c>
      <c r="BY171" s="340">
        <f t="shared" si="233"/>
        <v>65698.290000000008</v>
      </c>
      <c r="BZ171" s="340">
        <f t="shared" si="234"/>
        <v>69799.64</v>
      </c>
      <c r="CA171" s="340">
        <f t="shared" si="235"/>
        <v>78966.039999999994</v>
      </c>
      <c r="CB171" s="340">
        <f t="shared" si="236"/>
        <v>42517.78</v>
      </c>
      <c r="CC171" s="340">
        <f t="shared" si="237"/>
        <v>42681.94</v>
      </c>
      <c r="CD171" s="340">
        <f t="shared" si="238"/>
        <v>49608.81</v>
      </c>
      <c r="CE171" s="340">
        <f t="shared" si="239"/>
        <v>52382.45</v>
      </c>
      <c r="CF171" s="340">
        <f t="shared" si="240"/>
        <v>58850.42</v>
      </c>
      <c r="CG171" s="340">
        <f t="shared" si="241"/>
        <v>58800.729999999996</v>
      </c>
      <c r="CH171" s="340">
        <f t="shared" si="242"/>
        <v>63899.189999999995</v>
      </c>
      <c r="CI171" s="340">
        <f t="shared" si="243"/>
        <v>58254.58</v>
      </c>
      <c r="CJ171" s="340">
        <f t="shared" si="244"/>
        <v>59481.219999999994</v>
      </c>
      <c r="CK171" s="340">
        <f t="shared" si="245"/>
        <v>63988.770000000004</v>
      </c>
      <c r="CL171" s="340">
        <f t="shared" si="246"/>
        <v>70456.680000000008</v>
      </c>
      <c r="CM171" s="340">
        <f t="shared" si="247"/>
        <v>80077.45</v>
      </c>
      <c r="CN171" s="340">
        <f t="shared" si="248"/>
        <v>87585.74</v>
      </c>
      <c r="CO171" s="340">
        <f t="shared" si="249"/>
        <v>0</v>
      </c>
      <c r="CP171" s="340">
        <f t="shared" si="250"/>
        <v>0</v>
      </c>
      <c r="CQ171" s="340">
        <f t="shared" si="251"/>
        <v>0</v>
      </c>
      <c r="CR171" s="122"/>
      <c r="CS171" s="340" t="s">
        <v>55</v>
      </c>
      <c r="CT171" s="340">
        <f t="shared" si="252"/>
        <v>125795.52</v>
      </c>
      <c r="CU171" s="340">
        <f t="shared" si="253"/>
        <v>149773.76000000001</v>
      </c>
      <c r="CV171" s="340">
        <f t="shared" si="254"/>
        <v>194523.84</v>
      </c>
      <c r="CW171" s="340">
        <f t="shared" si="255"/>
        <v>153296.01</v>
      </c>
      <c r="CX171" s="340">
        <f t="shared" si="256"/>
        <v>157049.19</v>
      </c>
      <c r="CY171" s="340">
        <f t="shared" si="257"/>
        <v>177673.59</v>
      </c>
      <c r="CZ171" s="340">
        <f t="shared" si="258"/>
        <v>148812.23000000001</v>
      </c>
      <c r="DA171" s="340">
        <f t="shared" si="259"/>
        <v>213409.7</v>
      </c>
      <c r="DB171" s="340">
        <f t="shared" si="260"/>
        <v>314273.74</v>
      </c>
      <c r="DC171" s="340">
        <f t="shared" si="261"/>
        <v>295104.65000000002</v>
      </c>
      <c r="DD171" s="340">
        <f t="shared" si="262"/>
        <v>283531.64</v>
      </c>
      <c r="DE171" s="340">
        <f t="shared" si="263"/>
        <v>347736.06</v>
      </c>
      <c r="DF171" s="340">
        <f t="shared" si="264"/>
        <v>296492.83</v>
      </c>
      <c r="DG171" s="340">
        <f t="shared" si="265"/>
        <v>776993.34999999986</v>
      </c>
      <c r="DH171" s="340">
        <f t="shared" si="266"/>
        <v>304875.58</v>
      </c>
      <c r="DI171" s="340">
        <f t="shared" si="267"/>
        <v>317702.33</v>
      </c>
      <c r="DJ171" s="340">
        <f t="shared" si="268"/>
        <v>525547.19000000006</v>
      </c>
      <c r="DK171" s="340">
        <f t="shared" si="269"/>
        <v>576006.66000000015</v>
      </c>
      <c r="DL171" s="340">
        <f t="shared" si="270"/>
        <v>286896.01</v>
      </c>
      <c r="DM171" s="340">
        <f t="shared" si="271"/>
        <v>0</v>
      </c>
      <c r="DN171" s="340">
        <f t="shared" si="272"/>
        <v>0</v>
      </c>
      <c r="DO171" s="340">
        <f t="shared" si="273"/>
        <v>0</v>
      </c>
      <c r="DP171" s="330"/>
      <c r="DQ171" s="340" t="s">
        <v>55</v>
      </c>
      <c r="DR171" s="340">
        <f t="shared" ref="DR171:EM171" si="363">DR73</f>
        <v>31448.880000000001</v>
      </c>
      <c r="DS171" s="340">
        <f t="shared" si="363"/>
        <v>74886.880000000005</v>
      </c>
      <c r="DT171" s="340">
        <f t="shared" si="363"/>
        <v>86455.039999999994</v>
      </c>
      <c r="DU171" s="340">
        <f t="shared" si="363"/>
        <v>153296.01</v>
      </c>
      <c r="DV171" s="340">
        <f t="shared" si="363"/>
        <v>157049.19</v>
      </c>
      <c r="DW171" s="340">
        <f t="shared" si="363"/>
        <v>177673.59</v>
      </c>
      <c r="DX171" s="340">
        <f t="shared" si="363"/>
        <v>191330.01</v>
      </c>
      <c r="DY171" s="340">
        <f t="shared" si="363"/>
        <v>213409.7</v>
      </c>
      <c r="DZ171" s="340">
        <f t="shared" si="363"/>
        <v>230297.64</v>
      </c>
      <c r="EA171" s="340">
        <f t="shared" si="363"/>
        <v>273772.97000000003</v>
      </c>
      <c r="EB171" s="340">
        <f t="shared" si="363"/>
        <v>282668.94</v>
      </c>
      <c r="EC171" s="340">
        <f t="shared" si="363"/>
        <v>290564.38</v>
      </c>
      <c r="ED171" s="340">
        <f t="shared" si="363"/>
        <v>292366.58</v>
      </c>
      <c r="EE171" s="340">
        <f t="shared" si="363"/>
        <v>268214.3</v>
      </c>
      <c r="EF171" s="340">
        <f t="shared" si="363"/>
        <v>300611.7</v>
      </c>
      <c r="EG171" s="340">
        <f t="shared" si="363"/>
        <v>337714.22000000003</v>
      </c>
      <c r="EH171" s="340">
        <f t="shared" si="363"/>
        <v>336395.36</v>
      </c>
      <c r="EI171" s="340">
        <f t="shared" si="363"/>
        <v>317818.24000000005</v>
      </c>
      <c r="EJ171" s="340">
        <f t="shared" si="363"/>
        <v>339117.92999999993</v>
      </c>
      <c r="EK171" s="340">
        <f t="shared" si="363"/>
        <v>0</v>
      </c>
      <c r="EL171" s="340">
        <f t="shared" si="363"/>
        <v>0</v>
      </c>
      <c r="EM171" s="340">
        <f t="shared" si="363"/>
        <v>0</v>
      </c>
      <c r="EO171" s="319" t="s">
        <v>55</v>
      </c>
      <c r="EP171" s="319">
        <f t="shared" si="275"/>
        <v>440284.31999999995</v>
      </c>
      <c r="EQ171" s="319">
        <f t="shared" si="276"/>
        <v>468043</v>
      </c>
      <c r="ER171" s="319">
        <f t="shared" si="277"/>
        <v>518730.23999999999</v>
      </c>
      <c r="ES171" s="319">
        <f t="shared" si="278"/>
        <v>525586.32000000007</v>
      </c>
      <c r="ET171" s="319">
        <f t="shared" si="279"/>
        <v>558397.12</v>
      </c>
      <c r="EU171" s="319">
        <f t="shared" si="280"/>
        <v>552762.28</v>
      </c>
      <c r="EV171" s="319">
        <f t="shared" si="281"/>
        <v>616507.81000000006</v>
      </c>
      <c r="EW171" s="319">
        <f t="shared" si="282"/>
        <v>704252.01</v>
      </c>
      <c r="EX171" s="319">
        <f t="shared" si="283"/>
        <v>735759.48</v>
      </c>
      <c r="EY171" s="319">
        <f t="shared" si="284"/>
        <v>842324.4800000001</v>
      </c>
      <c r="EZ171" s="319">
        <f t="shared" si="285"/>
        <v>833280.55999999994</v>
      </c>
      <c r="FA171" s="319">
        <f t="shared" si="286"/>
        <v>894574.80999999994</v>
      </c>
      <c r="FB171" s="319">
        <f t="shared" si="287"/>
        <v>885871.3899999999</v>
      </c>
      <c r="FC171" s="319">
        <f t="shared" si="288"/>
        <v>889924.1100000001</v>
      </c>
      <c r="FD171" s="319">
        <f t="shared" si="289"/>
        <v>912493.92999999993</v>
      </c>
      <c r="FE171" s="319">
        <f t="shared" si="290"/>
        <v>1002248.3399999999</v>
      </c>
      <c r="FF171" s="322">
        <f t="shared" si="291"/>
        <v>978790.2699999999</v>
      </c>
      <c r="FG171" s="336">
        <f t="shared" si="292"/>
        <v>1032327.4200000002</v>
      </c>
      <c r="FH171" s="336">
        <f t="shared" si="293"/>
        <v>1063860.69</v>
      </c>
      <c r="FI171" s="336">
        <f t="shared" si="294"/>
        <v>0</v>
      </c>
      <c r="FJ171" s="336">
        <f t="shared" si="295"/>
        <v>0</v>
      </c>
      <c r="FK171" s="336">
        <f t="shared" si="296"/>
        <v>0</v>
      </c>
      <c r="FL171" s="122"/>
      <c r="FM171" s="340" t="s">
        <v>55</v>
      </c>
      <c r="FN171" s="340">
        <f t="shared" si="297"/>
        <v>110071.08</v>
      </c>
      <c r="FO171" s="340">
        <f t="shared" si="298"/>
        <v>112330.32</v>
      </c>
      <c r="FP171" s="340">
        <f t="shared" si="299"/>
        <v>108068.8</v>
      </c>
      <c r="FQ171" s="340">
        <f t="shared" si="300"/>
        <v>131396.57999999999</v>
      </c>
      <c r="FR171" s="340">
        <f t="shared" si="301"/>
        <v>122149.37</v>
      </c>
      <c r="FS171" s="340">
        <f t="shared" si="302"/>
        <v>138190.57</v>
      </c>
      <c r="FT171" s="340">
        <f t="shared" si="303"/>
        <v>127553.34</v>
      </c>
      <c r="FU171" s="340">
        <f t="shared" si="304"/>
        <v>149386.79</v>
      </c>
      <c r="FV171" s="340">
        <f t="shared" si="305"/>
        <v>140504.54</v>
      </c>
      <c r="FW171" s="340">
        <f t="shared" si="306"/>
        <v>144520.51999999999</v>
      </c>
      <c r="FX171" s="340">
        <f t="shared" si="307"/>
        <v>137073.45000000001</v>
      </c>
      <c r="FY171" s="340">
        <f t="shared" si="308"/>
        <v>209159.45</v>
      </c>
      <c r="FZ171" s="340">
        <f t="shared" si="309"/>
        <v>233862.73999999996</v>
      </c>
      <c r="GA171" s="340">
        <f t="shared" si="310"/>
        <v>195936.03000000003</v>
      </c>
      <c r="GB171" s="340">
        <f t="shared" si="311"/>
        <v>197283.71</v>
      </c>
      <c r="GC171" s="340">
        <f t="shared" si="312"/>
        <v>193333.65</v>
      </c>
      <c r="GD171" s="340">
        <f t="shared" si="313"/>
        <v>204324.18000000002</v>
      </c>
      <c r="GE171" s="340">
        <f t="shared" si="314"/>
        <v>200188.7</v>
      </c>
      <c r="GF171" s="340">
        <f t="shared" si="315"/>
        <v>205306.74000000002</v>
      </c>
      <c r="GG171" s="340">
        <f t="shared" si="316"/>
        <v>0</v>
      </c>
      <c r="GH171" s="340">
        <f t="shared" si="317"/>
        <v>0</v>
      </c>
      <c r="GI171" s="340">
        <f t="shared" si="318"/>
        <v>0</v>
      </c>
      <c r="GJ171" s="122"/>
      <c r="GK171" s="340" t="s">
        <v>55</v>
      </c>
      <c r="GL171" s="340">
        <f t="shared" si="319"/>
        <v>235866.6</v>
      </c>
      <c r="GM171" s="340">
        <f t="shared" si="320"/>
        <v>336990.96</v>
      </c>
      <c r="GN171" s="340">
        <f t="shared" si="321"/>
        <v>345820.15999999997</v>
      </c>
      <c r="GO171" s="340">
        <f t="shared" si="322"/>
        <v>569385.18000000005</v>
      </c>
      <c r="GP171" s="340">
        <f t="shared" si="323"/>
        <v>0</v>
      </c>
      <c r="GQ171" s="340">
        <f t="shared" si="324"/>
        <v>98707.55</v>
      </c>
      <c r="GR171" s="340">
        <f t="shared" si="325"/>
        <v>106294.45</v>
      </c>
      <c r="GS171" s="340">
        <f t="shared" si="326"/>
        <v>149386.79</v>
      </c>
      <c r="GT171" s="340">
        <f t="shared" si="327"/>
        <v>250000</v>
      </c>
      <c r="GU171" s="340">
        <f t="shared" si="328"/>
        <v>250000</v>
      </c>
      <c r="GV171" s="340">
        <f t="shared" si="329"/>
        <v>250000</v>
      </c>
      <c r="GW171" s="340">
        <f t="shared" si="330"/>
        <v>1667443.48</v>
      </c>
      <c r="GX171" s="340">
        <f t="shared" si="331"/>
        <v>250000</v>
      </c>
      <c r="GY171" s="340">
        <f t="shared" si="332"/>
        <v>500000</v>
      </c>
      <c r="GZ171" s="340">
        <f t="shared" si="333"/>
        <v>250000</v>
      </c>
      <c r="HA171" s="340">
        <f t="shared" si="334"/>
        <v>250000</v>
      </c>
      <c r="HB171" s="340">
        <f t="shared" si="335"/>
        <v>283082</v>
      </c>
      <c r="HC171" s="340">
        <f t="shared" si="336"/>
        <v>250000</v>
      </c>
      <c r="HD171" s="340">
        <f t="shared" si="337"/>
        <v>562526</v>
      </c>
      <c r="HE171" s="340">
        <f t="shared" si="338"/>
        <v>0</v>
      </c>
      <c r="HF171" s="340">
        <f t="shared" si="339"/>
        <v>0</v>
      </c>
      <c r="HG171" s="340">
        <f t="shared" si="340"/>
        <v>0</v>
      </c>
      <c r="HH171" s="122"/>
      <c r="IF171" s="122"/>
      <c r="IG171" s="122"/>
      <c r="IH171" s="122"/>
      <c r="II171" s="122"/>
      <c r="IJ171" s="122"/>
      <c r="IK171" s="122"/>
      <c r="IL171" s="122"/>
      <c r="IN171" s="118"/>
      <c r="IP171" s="122"/>
      <c r="IQ171" s="122"/>
      <c r="IR171" s="122"/>
      <c r="IS171" s="122"/>
      <c r="IT171" s="122"/>
      <c r="IU171" s="122"/>
      <c r="IV171" s="122"/>
      <c r="IW171" s="122"/>
      <c r="IX171" s="122"/>
      <c r="IY171" s="122"/>
      <c r="IZ171" s="122"/>
      <c r="JA171" s="122"/>
      <c r="JB171" s="122"/>
      <c r="JC171" s="122"/>
      <c r="JD171" s="122"/>
      <c r="JE171" s="122"/>
      <c r="JF171" s="122"/>
      <c r="JG171" s="122"/>
      <c r="JH171" s="122"/>
      <c r="JI171" s="122"/>
      <c r="JK171" s="118"/>
      <c r="JL171" s="118"/>
      <c r="JY171" s="122"/>
      <c r="JZ171" s="122"/>
      <c r="KA171" s="122"/>
      <c r="KB171" s="122"/>
      <c r="LX171" s="122"/>
      <c r="LY171" s="122"/>
      <c r="LZ171" s="122"/>
      <c r="MB171" s="118"/>
      <c r="MC171" s="118"/>
      <c r="MP171" s="122"/>
      <c r="MQ171" s="122"/>
      <c r="MR171" s="122"/>
      <c r="MS171" s="122"/>
      <c r="MT171" s="122"/>
      <c r="MU171" s="122"/>
      <c r="MV171" s="122"/>
      <c r="OS171" s="118"/>
      <c r="OT171" s="118"/>
      <c r="PC171" s="122"/>
      <c r="PD171" s="122"/>
      <c r="PE171" s="122"/>
      <c r="PF171" s="122"/>
      <c r="PG171" s="122"/>
      <c r="PH171" s="122"/>
      <c r="PI171" s="122"/>
      <c r="PJ171" s="122"/>
      <c r="PP171" s="118"/>
      <c r="PQ171" s="118"/>
      <c r="PZ171" s="122"/>
      <c r="QA171" s="122"/>
      <c r="QB171" s="122"/>
      <c r="QC171" s="122"/>
      <c r="QD171" s="122"/>
      <c r="QE171" s="122"/>
      <c r="QF171" s="122"/>
      <c r="QG171" s="122"/>
      <c r="QM171" s="118"/>
      <c r="QN171" s="118"/>
      <c r="RE171" s="118"/>
      <c r="RF171" s="118"/>
      <c r="RG171" s="118"/>
      <c r="RH171" s="118"/>
      <c r="RI171" s="118"/>
      <c r="RJ171" s="118"/>
      <c r="RK171" s="118"/>
    </row>
    <row r="172" spans="25:479">
      <c r="Y172" s="277" t="s">
        <v>56</v>
      </c>
      <c r="Z172" s="319">
        <f t="shared" si="186"/>
        <v>306052.36</v>
      </c>
      <c r="AA172" s="319">
        <f t="shared" si="187"/>
        <v>260586.17</v>
      </c>
      <c r="AB172" s="319">
        <f t="shared" si="188"/>
        <v>278388.09000000003</v>
      </c>
      <c r="AC172" s="319">
        <f t="shared" si="189"/>
        <v>314065.33999999997</v>
      </c>
      <c r="AD172" s="319">
        <f t="shared" si="190"/>
        <v>365021.96</v>
      </c>
      <c r="AE172" s="319">
        <f t="shared" si="191"/>
        <v>322336.44999999995</v>
      </c>
      <c r="AF172" s="319">
        <f t="shared" si="192"/>
        <v>333699.73000000004</v>
      </c>
      <c r="AG172" s="319">
        <f t="shared" si="193"/>
        <v>342769.79000000004</v>
      </c>
      <c r="AH172" s="319">
        <f t="shared" si="194"/>
        <v>402746.34</v>
      </c>
      <c r="AI172" s="319">
        <f t="shared" si="195"/>
        <v>348793.20999999996</v>
      </c>
      <c r="AJ172" s="319">
        <f t="shared" si="196"/>
        <v>378357.95999999996</v>
      </c>
      <c r="AK172" s="319">
        <f t="shared" si="197"/>
        <v>369526.45</v>
      </c>
      <c r="AL172" s="319">
        <f t="shared" si="198"/>
        <v>415627.98</v>
      </c>
      <c r="AM172" s="319">
        <f t="shared" si="199"/>
        <v>312736.59999999998</v>
      </c>
      <c r="AN172" s="319">
        <f t="shared" si="200"/>
        <v>360632.1</v>
      </c>
      <c r="AO172" s="319">
        <f t="shared" si="201"/>
        <v>339899.08999999997</v>
      </c>
      <c r="AP172" s="319">
        <f t="shared" si="202"/>
        <v>395090.01999999996</v>
      </c>
      <c r="AQ172" s="319">
        <f t="shared" si="203"/>
        <v>405163.29</v>
      </c>
      <c r="AR172" s="319">
        <f t="shared" si="204"/>
        <v>457017.75</v>
      </c>
      <c r="AS172" s="319">
        <f t="shared" si="205"/>
        <v>420992.93999999994</v>
      </c>
      <c r="AT172" s="319">
        <f t="shared" si="206"/>
        <v>463015.86</v>
      </c>
      <c r="AU172" s="319">
        <f t="shared" si="207"/>
        <v>455105.26</v>
      </c>
      <c r="AW172" s="322" t="s">
        <v>56</v>
      </c>
      <c r="AX172" s="322">
        <f t="shared" si="208"/>
        <v>72012.320000000007</v>
      </c>
      <c r="AY172" s="322">
        <f t="shared" si="209"/>
        <v>62900.11</v>
      </c>
      <c r="AZ172" s="322">
        <f t="shared" si="210"/>
        <v>72174.69</v>
      </c>
      <c r="BA172" s="322">
        <f t="shared" si="211"/>
        <v>70917.98</v>
      </c>
      <c r="BB172" s="322">
        <f t="shared" si="212"/>
        <v>64415.64</v>
      </c>
      <c r="BC172" s="322">
        <f t="shared" si="213"/>
        <v>62387.700000000004</v>
      </c>
      <c r="BD172" s="322">
        <f t="shared" si="214"/>
        <v>65228.520000000004</v>
      </c>
      <c r="BE172" s="322">
        <f t="shared" si="215"/>
        <v>66342.540000000008</v>
      </c>
      <c r="BF172" s="322">
        <f t="shared" si="216"/>
        <v>63273.58</v>
      </c>
      <c r="BG172" s="322">
        <f t="shared" si="217"/>
        <v>65229.070000000007</v>
      </c>
      <c r="BH172" s="322">
        <f t="shared" si="218"/>
        <v>72163.48</v>
      </c>
      <c r="BI172" s="322">
        <f t="shared" si="219"/>
        <v>77510.520000000019</v>
      </c>
      <c r="BJ172" s="322">
        <f t="shared" si="220"/>
        <v>75980.939999999988</v>
      </c>
      <c r="BK172" s="322">
        <f t="shared" si="221"/>
        <v>76933.639999999985</v>
      </c>
      <c r="BL172" s="322">
        <f t="shared" si="222"/>
        <v>80194</v>
      </c>
      <c r="BM172" s="322">
        <f t="shared" si="223"/>
        <v>82650.929999999993</v>
      </c>
      <c r="BN172" s="322">
        <f t="shared" si="224"/>
        <v>78597.58</v>
      </c>
      <c r="BO172" s="340">
        <f t="shared" si="225"/>
        <v>83964.41</v>
      </c>
      <c r="BP172" s="340">
        <f t="shared" si="226"/>
        <v>84782.88</v>
      </c>
      <c r="BQ172" s="340">
        <f t="shared" si="227"/>
        <v>88703.62000000001</v>
      </c>
      <c r="BR172" s="340">
        <f t="shared" si="228"/>
        <v>88723.430000000008</v>
      </c>
      <c r="BS172" s="340">
        <f t="shared" si="229"/>
        <v>111969.25</v>
      </c>
      <c r="BU172" s="340" t="s">
        <v>56</v>
      </c>
      <c r="BV172" s="340">
        <f t="shared" si="230"/>
        <v>18003.080000000002</v>
      </c>
      <c r="BW172" s="340">
        <f t="shared" si="231"/>
        <v>26957.19</v>
      </c>
      <c r="BX172" s="340">
        <f t="shared" si="232"/>
        <v>30932.010000000002</v>
      </c>
      <c r="BY172" s="340">
        <f t="shared" si="233"/>
        <v>30393.42</v>
      </c>
      <c r="BZ172" s="340">
        <f t="shared" si="234"/>
        <v>32207.82</v>
      </c>
      <c r="CA172" s="340">
        <f t="shared" si="235"/>
        <v>41591.800000000003</v>
      </c>
      <c r="CB172" s="340">
        <f t="shared" si="236"/>
        <v>43485.68</v>
      </c>
      <c r="CC172" s="340">
        <f t="shared" si="237"/>
        <v>44228.36</v>
      </c>
      <c r="CD172" s="340">
        <f t="shared" si="238"/>
        <v>39919.300000000003</v>
      </c>
      <c r="CE172" s="340">
        <f t="shared" si="239"/>
        <v>47507.69</v>
      </c>
      <c r="CF172" s="340">
        <f t="shared" si="240"/>
        <v>47732.459999999992</v>
      </c>
      <c r="CG172" s="340">
        <f t="shared" si="241"/>
        <v>48519.71</v>
      </c>
      <c r="CH172" s="340">
        <f t="shared" si="242"/>
        <v>50317</v>
      </c>
      <c r="CI172" s="340">
        <f t="shared" si="243"/>
        <v>48475.939999999988</v>
      </c>
      <c r="CJ172" s="340">
        <f t="shared" si="244"/>
        <v>47866.65</v>
      </c>
      <c r="CK172" s="340">
        <f t="shared" si="245"/>
        <v>48221.290000000008</v>
      </c>
      <c r="CL172" s="340">
        <f t="shared" si="246"/>
        <v>48335.549999999996</v>
      </c>
      <c r="CM172" s="340">
        <f t="shared" si="247"/>
        <v>50818.260000000009</v>
      </c>
      <c r="CN172" s="340">
        <f t="shared" si="248"/>
        <v>50029.03</v>
      </c>
      <c r="CO172" s="340">
        <f t="shared" si="249"/>
        <v>50245.260000000009</v>
      </c>
      <c r="CP172" s="340">
        <f t="shared" si="250"/>
        <v>58831.989999999991</v>
      </c>
      <c r="CQ172" s="340">
        <f t="shared" si="251"/>
        <v>65654.76999999999</v>
      </c>
      <c r="CR172" s="122"/>
      <c r="CS172" s="340" t="s">
        <v>56</v>
      </c>
      <c r="CT172" s="340">
        <f t="shared" si="252"/>
        <v>117020.02</v>
      </c>
      <c r="CU172" s="340">
        <f t="shared" si="253"/>
        <v>125800.22</v>
      </c>
      <c r="CV172" s="340">
        <f t="shared" si="254"/>
        <v>185592.06</v>
      </c>
      <c r="CW172" s="340">
        <f t="shared" si="255"/>
        <v>121573.68</v>
      </c>
      <c r="CX172" s="340">
        <f t="shared" si="256"/>
        <v>128831.28</v>
      </c>
      <c r="CY172" s="340">
        <f t="shared" si="257"/>
        <v>145571.29999999999</v>
      </c>
      <c r="CZ172" s="340">
        <f t="shared" si="258"/>
        <v>108714.2</v>
      </c>
      <c r="DA172" s="340">
        <f t="shared" si="259"/>
        <v>110570.9</v>
      </c>
      <c r="DB172" s="340">
        <f t="shared" si="260"/>
        <v>142733.26999999999</v>
      </c>
      <c r="DC172" s="340">
        <f t="shared" si="261"/>
        <v>144210.46999999997</v>
      </c>
      <c r="DD172" s="340">
        <f t="shared" si="262"/>
        <v>163650.43</v>
      </c>
      <c r="DE172" s="340">
        <f t="shared" si="263"/>
        <v>248556.09</v>
      </c>
      <c r="DF172" s="340">
        <f t="shared" si="264"/>
        <v>157192.03</v>
      </c>
      <c r="DG172" s="340">
        <f t="shared" si="265"/>
        <v>153695.5</v>
      </c>
      <c r="DH172" s="340">
        <f t="shared" si="266"/>
        <v>105171.92</v>
      </c>
      <c r="DI172" s="340">
        <f t="shared" si="267"/>
        <v>105716.47</v>
      </c>
      <c r="DJ172" s="340">
        <f t="shared" si="268"/>
        <v>90027.95</v>
      </c>
      <c r="DK172" s="340">
        <f t="shared" si="269"/>
        <v>110470.3</v>
      </c>
      <c r="DL172" s="340">
        <f t="shared" si="270"/>
        <v>127020.29999999999</v>
      </c>
      <c r="DM172" s="340">
        <f t="shared" si="271"/>
        <v>147639.37999999998</v>
      </c>
      <c r="DN172" s="340">
        <f t="shared" si="272"/>
        <v>189639.95999999996</v>
      </c>
      <c r="DO172" s="340">
        <f t="shared" si="273"/>
        <v>332184</v>
      </c>
      <c r="DP172" s="330"/>
      <c r="DQ172" s="340" t="s">
        <v>56</v>
      </c>
      <c r="DR172" s="340">
        <f t="shared" ref="DR172:EM172" si="364">DR74</f>
        <v>81013.86</v>
      </c>
      <c r="DS172" s="340">
        <f t="shared" si="364"/>
        <v>107828.76</v>
      </c>
      <c r="DT172" s="340">
        <f t="shared" si="364"/>
        <v>103106.7</v>
      </c>
      <c r="DU172" s="340">
        <f t="shared" si="364"/>
        <v>101311.4</v>
      </c>
      <c r="DV172" s="340">
        <f t="shared" si="364"/>
        <v>107359.4</v>
      </c>
      <c r="DW172" s="340">
        <f t="shared" si="364"/>
        <v>114377.45</v>
      </c>
      <c r="DX172" s="340">
        <f t="shared" si="364"/>
        <v>130457.04</v>
      </c>
      <c r="DY172" s="340">
        <f t="shared" si="364"/>
        <v>132685.07999999999</v>
      </c>
      <c r="DZ172" s="340">
        <f t="shared" si="364"/>
        <v>144057.27999999997</v>
      </c>
      <c r="EA172" s="340">
        <f t="shared" si="364"/>
        <v>165178.87000000002</v>
      </c>
      <c r="EB172" s="340">
        <f t="shared" si="364"/>
        <v>177562.86</v>
      </c>
      <c r="EC172" s="340">
        <f t="shared" si="364"/>
        <v>184285.31000000003</v>
      </c>
      <c r="ED172" s="340">
        <f t="shared" si="364"/>
        <v>193605.84000000003</v>
      </c>
      <c r="EE172" s="340">
        <f t="shared" si="364"/>
        <v>167321.41</v>
      </c>
      <c r="EF172" s="340">
        <f t="shared" si="364"/>
        <v>163443.12999999998</v>
      </c>
      <c r="EG172" s="340">
        <f t="shared" si="364"/>
        <v>160548.29</v>
      </c>
      <c r="EH172" s="340">
        <f t="shared" si="364"/>
        <v>171798.02</v>
      </c>
      <c r="EI172" s="340">
        <f t="shared" si="364"/>
        <v>191085.99</v>
      </c>
      <c r="EJ172" s="340">
        <f t="shared" si="364"/>
        <v>143094.76999999999</v>
      </c>
      <c r="EK172" s="340">
        <f t="shared" si="364"/>
        <v>156479.47999999998</v>
      </c>
      <c r="EL172" s="340">
        <f t="shared" si="364"/>
        <v>183136.75999999998</v>
      </c>
      <c r="EM172" s="340">
        <f t="shared" si="364"/>
        <v>188395</v>
      </c>
      <c r="EO172" s="319" t="s">
        <v>56</v>
      </c>
      <c r="EP172" s="319">
        <f t="shared" si="275"/>
        <v>216036.96</v>
      </c>
      <c r="EQ172" s="319">
        <f t="shared" si="276"/>
        <v>224643.25</v>
      </c>
      <c r="ER172" s="319">
        <f t="shared" si="277"/>
        <v>257766.75</v>
      </c>
      <c r="ES172" s="319">
        <f t="shared" si="278"/>
        <v>273540.77999999997</v>
      </c>
      <c r="ET172" s="319">
        <f t="shared" si="279"/>
        <v>257662.56</v>
      </c>
      <c r="EU172" s="319">
        <f t="shared" si="280"/>
        <v>259948.75</v>
      </c>
      <c r="EV172" s="319">
        <f t="shared" si="281"/>
        <v>271785.5</v>
      </c>
      <c r="EW172" s="319">
        <f t="shared" si="282"/>
        <v>265370.16000000003</v>
      </c>
      <c r="EX172" s="319">
        <f t="shared" si="283"/>
        <v>290079.46000000002</v>
      </c>
      <c r="EY172" s="319">
        <f t="shared" si="284"/>
        <v>287603.40000000002</v>
      </c>
      <c r="EZ172" s="319">
        <f t="shared" si="285"/>
        <v>327025.43</v>
      </c>
      <c r="FA172" s="319">
        <f t="shared" si="286"/>
        <v>380302.86</v>
      </c>
      <c r="FB172" s="319">
        <f t="shared" si="287"/>
        <v>361686.02</v>
      </c>
      <c r="FC172" s="319">
        <f t="shared" si="288"/>
        <v>382244.73</v>
      </c>
      <c r="FD172" s="319">
        <f t="shared" si="289"/>
        <v>370309.94000000006</v>
      </c>
      <c r="FE172" s="319">
        <f t="shared" si="290"/>
        <v>354221.1</v>
      </c>
      <c r="FF172" s="322">
        <f t="shared" si="291"/>
        <v>357787.51</v>
      </c>
      <c r="FG172" s="336">
        <f t="shared" si="292"/>
        <v>343559.32</v>
      </c>
      <c r="FH172" s="336">
        <f t="shared" si="293"/>
        <v>27513.56</v>
      </c>
      <c r="FI172" s="336">
        <f t="shared" si="294"/>
        <v>77683.070000000007</v>
      </c>
      <c r="FJ172" s="336">
        <f t="shared" si="295"/>
        <v>69748.529999999984</v>
      </c>
      <c r="FK172" s="336">
        <f t="shared" si="296"/>
        <v>71211.22</v>
      </c>
      <c r="FL172" s="122"/>
      <c r="FM172" s="340" t="s">
        <v>56</v>
      </c>
      <c r="FN172" s="340">
        <f t="shared" si="297"/>
        <v>63010.78</v>
      </c>
      <c r="FO172" s="340">
        <f t="shared" si="298"/>
        <v>62900.11</v>
      </c>
      <c r="FP172" s="340">
        <f t="shared" si="299"/>
        <v>72174.69</v>
      </c>
      <c r="FQ172" s="340">
        <f t="shared" si="300"/>
        <v>70917.98</v>
      </c>
      <c r="FR172" s="340">
        <f t="shared" si="301"/>
        <v>85887.52</v>
      </c>
      <c r="FS172" s="340">
        <f t="shared" si="302"/>
        <v>72785.649999999994</v>
      </c>
      <c r="FT172" s="340">
        <f t="shared" si="303"/>
        <v>76099.94</v>
      </c>
      <c r="FU172" s="340">
        <f t="shared" si="304"/>
        <v>88456.72</v>
      </c>
      <c r="FV172" s="340">
        <f t="shared" si="305"/>
        <v>88003.059999999983</v>
      </c>
      <c r="FW172" s="340">
        <f t="shared" si="306"/>
        <v>88033.89</v>
      </c>
      <c r="FX172" s="340">
        <f t="shared" si="307"/>
        <v>88190.55</v>
      </c>
      <c r="FY172" s="340">
        <f t="shared" si="308"/>
        <v>87926.48000000001</v>
      </c>
      <c r="FZ172" s="340">
        <f t="shared" si="309"/>
        <v>86492.599999999991</v>
      </c>
      <c r="GA172" s="340">
        <f t="shared" si="310"/>
        <v>87107.060000000012</v>
      </c>
      <c r="GB172" s="340">
        <f t="shared" si="311"/>
        <v>87492.090000000011</v>
      </c>
      <c r="GC172" s="340">
        <f t="shared" si="312"/>
        <v>90219.650000000023</v>
      </c>
      <c r="GD172" s="340">
        <f t="shared" si="313"/>
        <v>96307.97</v>
      </c>
      <c r="GE172" s="340">
        <f t="shared" si="314"/>
        <v>99477.48000000001</v>
      </c>
      <c r="GF172" s="340">
        <f t="shared" si="315"/>
        <v>102101.20000000001</v>
      </c>
      <c r="GG172" s="340">
        <f t="shared" si="316"/>
        <v>98830.98000000001</v>
      </c>
      <c r="GH172" s="340">
        <f t="shared" si="317"/>
        <v>99524.010000000009</v>
      </c>
      <c r="GI172" s="340">
        <f t="shared" si="318"/>
        <v>106645.94</v>
      </c>
      <c r="GJ172" s="122"/>
      <c r="GK172" s="340" t="s">
        <v>56</v>
      </c>
      <c r="GL172" s="340">
        <f t="shared" si="319"/>
        <v>27004.62</v>
      </c>
      <c r="GM172" s="340">
        <f t="shared" si="320"/>
        <v>26957.19</v>
      </c>
      <c r="GN172" s="340">
        <f t="shared" si="321"/>
        <v>30932.01</v>
      </c>
      <c r="GO172" s="340">
        <f t="shared" si="322"/>
        <v>30393.42</v>
      </c>
      <c r="GP172" s="340">
        <f t="shared" si="323"/>
        <v>32207.82</v>
      </c>
      <c r="GQ172" s="340">
        <f t="shared" si="324"/>
        <v>20795.900000000001</v>
      </c>
      <c r="GR172" s="340">
        <f t="shared" si="325"/>
        <v>54357.1</v>
      </c>
      <c r="GS172" s="340">
        <f t="shared" si="326"/>
        <v>55285.45</v>
      </c>
      <c r="GT172" s="340">
        <f t="shared" si="327"/>
        <v>53845.73</v>
      </c>
      <c r="GU172" s="340">
        <f t="shared" si="328"/>
        <v>76989.33</v>
      </c>
      <c r="GV172" s="340">
        <f t="shared" si="329"/>
        <v>51851.810000000005</v>
      </c>
      <c r="GW172" s="340">
        <f t="shared" si="330"/>
        <v>45279.9</v>
      </c>
      <c r="GX172" s="340">
        <f t="shared" si="331"/>
        <v>41589.320000000007</v>
      </c>
      <c r="GY172" s="340">
        <f t="shared" si="332"/>
        <v>37109.33</v>
      </c>
      <c r="GZ172" s="340">
        <f t="shared" si="333"/>
        <v>24882.1</v>
      </c>
      <c r="HA172" s="340">
        <f t="shared" si="334"/>
        <v>29846.5</v>
      </c>
      <c r="HB172" s="340">
        <f t="shared" si="335"/>
        <v>47335.87000000001</v>
      </c>
      <c r="HC172" s="340">
        <f t="shared" si="336"/>
        <v>40505.64</v>
      </c>
      <c r="HD172" s="340">
        <f t="shared" si="337"/>
        <v>64928.409999999996</v>
      </c>
      <c r="HE172" s="340">
        <f t="shared" si="338"/>
        <v>55893.23</v>
      </c>
      <c r="HF172" s="340">
        <f t="shared" si="339"/>
        <v>148446.64000000001</v>
      </c>
      <c r="HG172" s="340">
        <f t="shared" si="340"/>
        <v>69562</v>
      </c>
      <c r="HH172" s="122"/>
      <c r="IF172" s="122"/>
      <c r="IG172" s="122"/>
      <c r="IH172" s="122"/>
      <c r="II172" s="122"/>
      <c r="IJ172" s="122"/>
      <c r="IK172" s="122"/>
      <c r="IL172" s="122"/>
      <c r="IN172" s="118"/>
      <c r="IP172" s="122"/>
      <c r="IQ172" s="122"/>
      <c r="IR172" s="122"/>
      <c r="IS172" s="122"/>
      <c r="IT172" s="122"/>
      <c r="IU172" s="122"/>
      <c r="IV172" s="122"/>
      <c r="IW172" s="122"/>
      <c r="IX172" s="122"/>
      <c r="IY172" s="122"/>
      <c r="IZ172" s="122"/>
      <c r="JA172" s="122"/>
      <c r="JB172" s="122"/>
      <c r="JC172" s="122"/>
      <c r="JD172" s="122"/>
      <c r="JE172" s="122"/>
      <c r="JF172" s="122"/>
      <c r="JG172" s="122"/>
      <c r="JH172" s="122"/>
      <c r="JI172" s="122"/>
      <c r="JK172" s="118"/>
      <c r="JL172" s="118"/>
      <c r="JY172" s="122"/>
      <c r="JZ172" s="122"/>
      <c r="KA172" s="122"/>
      <c r="KB172" s="122"/>
      <c r="LX172" s="122"/>
      <c r="LY172" s="122"/>
      <c r="LZ172" s="122"/>
      <c r="MB172" s="118"/>
      <c r="MC172" s="118"/>
      <c r="MP172" s="122"/>
      <c r="MQ172" s="122"/>
      <c r="MR172" s="122"/>
      <c r="MS172" s="122"/>
      <c r="MT172" s="122"/>
      <c r="MU172" s="122"/>
      <c r="MV172" s="122"/>
      <c r="OS172" s="118"/>
      <c r="OT172" s="118"/>
      <c r="PC172" s="122"/>
      <c r="PD172" s="122"/>
      <c r="PE172" s="122"/>
      <c r="PF172" s="122"/>
      <c r="PG172" s="122"/>
      <c r="PH172" s="122"/>
      <c r="PI172" s="122"/>
      <c r="PJ172" s="122"/>
      <c r="PP172" s="118"/>
      <c r="PQ172" s="118"/>
      <c r="PZ172" s="122"/>
      <c r="QA172" s="122"/>
      <c r="QB172" s="122"/>
      <c r="QC172" s="122"/>
      <c r="QD172" s="122"/>
      <c r="QE172" s="122"/>
      <c r="QF172" s="122"/>
      <c r="QG172" s="122"/>
      <c r="QM172" s="118"/>
      <c r="QN172" s="118"/>
      <c r="RE172" s="118"/>
      <c r="RF172" s="118"/>
      <c r="RG172" s="118"/>
      <c r="RH172" s="118"/>
      <c r="RI172" s="118"/>
      <c r="RJ172" s="118"/>
      <c r="RK172" s="118"/>
    </row>
    <row r="173" spans="25:479">
      <c r="Y173" s="277" t="s">
        <v>57</v>
      </c>
      <c r="Z173" s="319">
        <f t="shared" si="186"/>
        <v>272263.39</v>
      </c>
      <c r="AA173" s="319">
        <f t="shared" si="187"/>
        <v>307169.96000000002</v>
      </c>
      <c r="AB173" s="319">
        <f t="shared" si="188"/>
        <v>304055.64</v>
      </c>
      <c r="AC173" s="319">
        <f t="shared" si="189"/>
        <v>315831.26</v>
      </c>
      <c r="AD173" s="319">
        <f t="shared" si="190"/>
        <v>318451.14</v>
      </c>
      <c r="AE173" s="319">
        <f t="shared" si="191"/>
        <v>322049.60000000003</v>
      </c>
      <c r="AF173" s="319">
        <f t="shared" si="192"/>
        <v>346588.96</v>
      </c>
      <c r="AG173" s="319">
        <f t="shared" si="193"/>
        <v>325964.09999999998</v>
      </c>
      <c r="AH173" s="319">
        <f t="shared" si="194"/>
        <v>458418.56000000006</v>
      </c>
      <c r="AI173" s="319">
        <f t="shared" si="195"/>
        <v>375687.07</v>
      </c>
      <c r="AJ173" s="319">
        <f t="shared" si="196"/>
        <v>431614.61</v>
      </c>
      <c r="AK173" s="319">
        <f t="shared" si="197"/>
        <v>379373.06000000006</v>
      </c>
      <c r="AL173" s="319">
        <f t="shared" si="198"/>
        <v>457186.20999999996</v>
      </c>
      <c r="AM173" s="319">
        <f t="shared" si="199"/>
        <v>418698.53</v>
      </c>
      <c r="AN173" s="319">
        <f t="shared" si="200"/>
        <v>469210.22000000003</v>
      </c>
      <c r="AO173" s="319">
        <f t="shared" si="201"/>
        <v>448391.43000000005</v>
      </c>
      <c r="AP173" s="319">
        <f t="shared" si="202"/>
        <v>0</v>
      </c>
      <c r="AQ173" s="319">
        <f t="shared" si="203"/>
        <v>451131.31</v>
      </c>
      <c r="AR173" s="319">
        <f t="shared" si="204"/>
        <v>408308.28103499999</v>
      </c>
      <c r="AS173" s="319">
        <f t="shared" si="205"/>
        <v>520862.67000000004</v>
      </c>
      <c r="AT173" s="319">
        <f t="shared" si="206"/>
        <v>650929.12</v>
      </c>
      <c r="AU173" s="319">
        <f t="shared" si="207"/>
        <v>601009.31000000006</v>
      </c>
      <c r="AW173" s="322" t="s">
        <v>57</v>
      </c>
      <c r="AX173" s="322">
        <f t="shared" si="208"/>
        <v>36792.35</v>
      </c>
      <c r="AY173" s="322">
        <f t="shared" si="209"/>
        <v>48500.52</v>
      </c>
      <c r="AZ173" s="322">
        <f t="shared" si="210"/>
        <v>41088.6</v>
      </c>
      <c r="BA173" s="322">
        <f t="shared" si="211"/>
        <v>34143.919999999998</v>
      </c>
      <c r="BB173" s="322">
        <f t="shared" si="212"/>
        <v>37464.839999999997</v>
      </c>
      <c r="BC173" s="322">
        <f t="shared" si="213"/>
        <v>40256.199999999997</v>
      </c>
      <c r="BD173" s="322">
        <f t="shared" si="214"/>
        <v>38088.36</v>
      </c>
      <c r="BE173" s="322">
        <f t="shared" si="215"/>
        <v>39510.800000000003</v>
      </c>
      <c r="BF173" s="322">
        <f t="shared" si="216"/>
        <v>37933.68</v>
      </c>
      <c r="BG173" s="322">
        <f t="shared" si="217"/>
        <v>37836.75</v>
      </c>
      <c r="BH173" s="322">
        <f t="shared" si="218"/>
        <v>33454.270000000004</v>
      </c>
      <c r="BI173" s="322">
        <f t="shared" si="219"/>
        <v>30654.91</v>
      </c>
      <c r="BJ173" s="322">
        <f t="shared" si="220"/>
        <v>37339.449999999997</v>
      </c>
      <c r="BK173" s="322">
        <f t="shared" si="221"/>
        <v>37144.299999999996</v>
      </c>
      <c r="BL173" s="322">
        <f t="shared" si="222"/>
        <v>37785.47</v>
      </c>
      <c r="BM173" s="322">
        <f t="shared" si="223"/>
        <v>34243.339999999997</v>
      </c>
      <c r="BN173" s="322">
        <f t="shared" si="224"/>
        <v>0</v>
      </c>
      <c r="BO173" s="340">
        <f t="shared" si="225"/>
        <v>36014.270000000004</v>
      </c>
      <c r="BP173" s="340">
        <f t="shared" si="226"/>
        <v>45446.52</v>
      </c>
      <c r="BQ173" s="340">
        <f t="shared" si="227"/>
        <v>30085.68</v>
      </c>
      <c r="BR173" s="340">
        <f t="shared" si="228"/>
        <v>41453.910000000003</v>
      </c>
      <c r="BS173" s="340">
        <f t="shared" si="229"/>
        <v>37700</v>
      </c>
      <c r="BU173" s="340" t="s">
        <v>57</v>
      </c>
      <c r="BV173" s="340">
        <f t="shared" si="230"/>
        <v>14716.94</v>
      </c>
      <c r="BW173" s="340">
        <f t="shared" si="231"/>
        <v>16166.84</v>
      </c>
      <c r="BX173" s="340">
        <f t="shared" si="232"/>
        <v>8217.7199999999993</v>
      </c>
      <c r="BY173" s="340">
        <f t="shared" si="233"/>
        <v>17071.96</v>
      </c>
      <c r="BZ173" s="340">
        <f t="shared" si="234"/>
        <v>18732.419999999998</v>
      </c>
      <c r="CA173" s="340">
        <f t="shared" si="235"/>
        <v>20128.099999999999</v>
      </c>
      <c r="CB173" s="340">
        <f t="shared" si="236"/>
        <v>19044.18</v>
      </c>
      <c r="CC173" s="340">
        <f t="shared" si="237"/>
        <v>29633.100000000002</v>
      </c>
      <c r="CD173" s="340">
        <f t="shared" si="238"/>
        <v>28007.47</v>
      </c>
      <c r="CE173" s="340">
        <f t="shared" si="239"/>
        <v>29260.86</v>
      </c>
      <c r="CF173" s="340">
        <f t="shared" si="240"/>
        <v>28290.43</v>
      </c>
      <c r="CG173" s="340">
        <f t="shared" si="241"/>
        <v>28984.41</v>
      </c>
      <c r="CH173" s="340">
        <f t="shared" si="242"/>
        <v>28250.61</v>
      </c>
      <c r="CI173" s="340">
        <f t="shared" si="243"/>
        <v>41973.59</v>
      </c>
      <c r="CJ173" s="340">
        <f t="shared" si="244"/>
        <v>39371.72</v>
      </c>
      <c r="CK173" s="340">
        <f t="shared" si="245"/>
        <v>40138.259999999995</v>
      </c>
      <c r="CL173" s="340">
        <f t="shared" si="246"/>
        <v>0</v>
      </c>
      <c r="CM173" s="340">
        <f t="shared" si="247"/>
        <v>40415.9</v>
      </c>
      <c r="CN173" s="340">
        <f t="shared" si="248"/>
        <v>51230.93</v>
      </c>
      <c r="CO173" s="340">
        <f t="shared" si="249"/>
        <v>53009.369999999995</v>
      </c>
      <c r="CP173" s="340">
        <f t="shared" si="250"/>
        <v>50890.92</v>
      </c>
      <c r="CQ173" s="340">
        <f t="shared" si="251"/>
        <v>55500.97</v>
      </c>
      <c r="CR173" s="122"/>
      <c r="CS173" s="340" t="s">
        <v>57</v>
      </c>
      <c r="CT173" s="340">
        <f t="shared" si="252"/>
        <v>51509.29</v>
      </c>
      <c r="CU173" s="340">
        <f t="shared" si="253"/>
        <v>56583.94</v>
      </c>
      <c r="CV173" s="340">
        <f t="shared" si="254"/>
        <v>65741.759999999995</v>
      </c>
      <c r="CW173" s="340">
        <f t="shared" si="255"/>
        <v>59751.86</v>
      </c>
      <c r="CX173" s="340">
        <f t="shared" si="256"/>
        <v>74929.679999999993</v>
      </c>
      <c r="CY173" s="340">
        <f t="shared" si="257"/>
        <v>100640.5</v>
      </c>
      <c r="CZ173" s="340">
        <f t="shared" si="258"/>
        <v>133309.26</v>
      </c>
      <c r="DA173" s="340">
        <f t="shared" si="259"/>
        <v>88899.299999999988</v>
      </c>
      <c r="DB173" s="340">
        <f t="shared" si="260"/>
        <v>146737.47000000003</v>
      </c>
      <c r="DC173" s="340">
        <f t="shared" si="261"/>
        <v>139208.90999999997</v>
      </c>
      <c r="DD173" s="340">
        <f t="shared" si="262"/>
        <v>113228.48999999999</v>
      </c>
      <c r="DE173" s="340">
        <f t="shared" si="263"/>
        <v>130249.05000000002</v>
      </c>
      <c r="DF173" s="340">
        <f t="shared" si="264"/>
        <v>106894.37</v>
      </c>
      <c r="DG173" s="340">
        <f t="shared" si="265"/>
        <v>104564.66</v>
      </c>
      <c r="DH173" s="340">
        <f t="shared" si="266"/>
        <v>144024.41999999998</v>
      </c>
      <c r="DI173" s="340">
        <f t="shared" si="267"/>
        <v>228385.55</v>
      </c>
      <c r="DJ173" s="340">
        <f t="shared" si="268"/>
        <v>0</v>
      </c>
      <c r="DK173" s="340">
        <f t="shared" si="269"/>
        <v>298009.67000000004</v>
      </c>
      <c r="DL173" s="340">
        <f t="shared" si="270"/>
        <v>241299.44</v>
      </c>
      <c r="DM173" s="340">
        <f t="shared" si="271"/>
        <v>250837.47000000003</v>
      </c>
      <c r="DN173" s="340">
        <f t="shared" si="272"/>
        <v>256934.84999999998</v>
      </c>
      <c r="DO173" s="340">
        <f t="shared" si="273"/>
        <v>261203.54000000004</v>
      </c>
      <c r="DP173" s="330"/>
      <c r="DQ173" s="340" t="s">
        <v>57</v>
      </c>
      <c r="DR173" s="340">
        <f t="shared" ref="DR173:EM173" si="365">DR75</f>
        <v>36792.35</v>
      </c>
      <c r="DS173" s="340">
        <f t="shared" si="365"/>
        <v>40417.1</v>
      </c>
      <c r="DT173" s="340">
        <f t="shared" si="365"/>
        <v>49306.32</v>
      </c>
      <c r="DU173" s="340">
        <f t="shared" si="365"/>
        <v>51215.88</v>
      </c>
      <c r="DV173" s="340">
        <f t="shared" si="365"/>
        <v>56197.26</v>
      </c>
      <c r="DW173" s="340">
        <f t="shared" si="365"/>
        <v>70448.350000000006</v>
      </c>
      <c r="DX173" s="340">
        <f t="shared" si="365"/>
        <v>57132.54</v>
      </c>
      <c r="DY173" s="340">
        <f t="shared" si="365"/>
        <v>69143.899999999994</v>
      </c>
      <c r="DZ173" s="340">
        <f t="shared" si="365"/>
        <v>72550.06</v>
      </c>
      <c r="EA173" s="340">
        <f t="shared" si="365"/>
        <v>99836.08</v>
      </c>
      <c r="EB173" s="340">
        <f t="shared" si="365"/>
        <v>118244.15</v>
      </c>
      <c r="EC173" s="340">
        <f t="shared" si="365"/>
        <v>131315.57</v>
      </c>
      <c r="ED173" s="340">
        <f t="shared" si="365"/>
        <v>115482.98</v>
      </c>
      <c r="EE173" s="340">
        <f t="shared" si="365"/>
        <v>148682.79999999999</v>
      </c>
      <c r="EF173" s="340">
        <f t="shared" si="365"/>
        <v>120656.69000000002</v>
      </c>
      <c r="EG173" s="340">
        <f t="shared" si="365"/>
        <v>123448.25</v>
      </c>
      <c r="EH173" s="340">
        <f t="shared" si="365"/>
        <v>0</v>
      </c>
      <c r="EI173" s="340">
        <f t="shared" si="365"/>
        <v>150513.24000000002</v>
      </c>
      <c r="EJ173" s="340">
        <f t="shared" si="365"/>
        <v>123529.89000000001</v>
      </c>
      <c r="EK173" s="340">
        <f t="shared" si="365"/>
        <v>0</v>
      </c>
      <c r="EL173" s="340">
        <f t="shared" si="365"/>
        <v>138886.99</v>
      </c>
      <c r="EM173" s="340">
        <f t="shared" si="365"/>
        <v>142000</v>
      </c>
      <c r="EO173" s="319" t="s">
        <v>57</v>
      </c>
      <c r="EP173" s="319">
        <f t="shared" si="275"/>
        <v>242829.51</v>
      </c>
      <c r="EQ173" s="319">
        <f t="shared" si="276"/>
        <v>258669.44</v>
      </c>
      <c r="ER173" s="319">
        <f t="shared" si="277"/>
        <v>262967.03999999998</v>
      </c>
      <c r="ES173" s="319">
        <f t="shared" si="278"/>
        <v>290223.32</v>
      </c>
      <c r="ET173" s="319">
        <f t="shared" si="279"/>
        <v>346549.77</v>
      </c>
      <c r="EU173" s="319">
        <f t="shared" si="280"/>
        <v>362305.8</v>
      </c>
      <c r="EV173" s="319">
        <f t="shared" si="281"/>
        <v>285662.7</v>
      </c>
      <c r="EW173" s="319">
        <f t="shared" si="282"/>
        <v>325964.09999999998</v>
      </c>
      <c r="EX173" s="319">
        <f t="shared" si="283"/>
        <v>348322.15</v>
      </c>
      <c r="EY173" s="319">
        <f t="shared" si="284"/>
        <v>443950.81000000006</v>
      </c>
      <c r="EZ173" s="319">
        <f t="shared" si="285"/>
        <v>465468.38</v>
      </c>
      <c r="FA173" s="319">
        <f t="shared" si="286"/>
        <v>425889.37000000005</v>
      </c>
      <c r="FB173" s="319">
        <f t="shared" si="287"/>
        <v>487079.88999999996</v>
      </c>
      <c r="FC173" s="319">
        <f t="shared" si="288"/>
        <v>454011.92</v>
      </c>
      <c r="FD173" s="319">
        <f t="shared" si="289"/>
        <v>468924.9</v>
      </c>
      <c r="FE173" s="319">
        <f t="shared" si="290"/>
        <v>530636.84000000008</v>
      </c>
      <c r="FF173" s="322">
        <f t="shared" si="291"/>
        <v>0</v>
      </c>
      <c r="FG173" s="336">
        <f t="shared" si="292"/>
        <v>674711.46</v>
      </c>
      <c r="FH173" s="336">
        <f t="shared" si="293"/>
        <v>523945.11000000004</v>
      </c>
      <c r="FI173" s="336">
        <f t="shared" si="294"/>
        <v>611715.95000000007</v>
      </c>
      <c r="FJ173" s="336">
        <f t="shared" si="295"/>
        <v>669698.94999999995</v>
      </c>
      <c r="FK173" s="336">
        <f t="shared" si="296"/>
        <v>823179.59000000008</v>
      </c>
      <c r="FL173" s="122"/>
      <c r="FM173" s="340" t="s">
        <v>57</v>
      </c>
      <c r="FN173" s="340">
        <f t="shared" si="297"/>
        <v>73584.7</v>
      </c>
      <c r="FO173" s="340">
        <f t="shared" si="298"/>
        <v>72750.78</v>
      </c>
      <c r="FP173" s="340">
        <f t="shared" si="299"/>
        <v>82177.2</v>
      </c>
      <c r="FQ173" s="340">
        <f t="shared" si="300"/>
        <v>76823.820000000007</v>
      </c>
      <c r="FR173" s="340">
        <f t="shared" si="301"/>
        <v>84295.89</v>
      </c>
      <c r="FS173" s="340">
        <f t="shared" si="302"/>
        <v>90576.45</v>
      </c>
      <c r="FT173" s="340">
        <f t="shared" si="303"/>
        <v>76176.72</v>
      </c>
      <c r="FU173" s="340">
        <f t="shared" si="304"/>
        <v>98777</v>
      </c>
      <c r="FV173" s="340">
        <f t="shared" si="305"/>
        <v>94352.950000000012</v>
      </c>
      <c r="FW173" s="340">
        <f t="shared" si="306"/>
        <v>96890.069999999992</v>
      </c>
      <c r="FX173" s="340">
        <f t="shared" si="307"/>
        <v>97633.54</v>
      </c>
      <c r="FY173" s="340">
        <f t="shared" si="308"/>
        <v>100333.80000000002</v>
      </c>
      <c r="FZ173" s="340">
        <f t="shared" si="309"/>
        <v>100632.52</v>
      </c>
      <c r="GA173" s="340">
        <f t="shared" si="310"/>
        <v>105945.70000000001</v>
      </c>
      <c r="GB173" s="340">
        <f t="shared" si="311"/>
        <v>101207.86000000002</v>
      </c>
      <c r="GC173" s="340">
        <f t="shared" si="312"/>
        <v>102789.16</v>
      </c>
      <c r="GD173" s="340">
        <f t="shared" si="313"/>
        <v>0</v>
      </c>
      <c r="GE173" s="340">
        <f t="shared" si="314"/>
        <v>104617.3</v>
      </c>
      <c r="GF173" s="340">
        <f t="shared" si="315"/>
        <v>112651.42</v>
      </c>
      <c r="GG173" s="340">
        <f t="shared" si="316"/>
        <v>112466.61</v>
      </c>
      <c r="GH173" s="340">
        <f t="shared" si="317"/>
        <v>126428.17</v>
      </c>
      <c r="GI173" s="340">
        <f t="shared" si="318"/>
        <v>131431.16</v>
      </c>
      <c r="GJ173" s="122"/>
      <c r="GK173" s="340" t="s">
        <v>57</v>
      </c>
      <c r="GL173" s="340">
        <f t="shared" si="319"/>
        <v>7358.47</v>
      </c>
      <c r="GM173" s="340">
        <f t="shared" si="320"/>
        <v>8083.42</v>
      </c>
      <c r="GN173" s="340">
        <f t="shared" si="321"/>
        <v>8217.7199999999993</v>
      </c>
      <c r="GO173" s="340">
        <f t="shared" si="322"/>
        <v>8535.98</v>
      </c>
      <c r="GP173" s="340">
        <f t="shared" si="323"/>
        <v>0</v>
      </c>
      <c r="GQ173" s="340">
        <f t="shared" si="324"/>
        <v>0</v>
      </c>
      <c r="GR173" s="340">
        <f t="shared" si="325"/>
        <v>0</v>
      </c>
      <c r="GS173" s="340">
        <f t="shared" si="326"/>
        <v>9877.7000000000007</v>
      </c>
      <c r="GT173" s="340">
        <f t="shared" si="327"/>
        <v>18706.260000000002</v>
      </c>
      <c r="GU173" s="340">
        <f t="shared" si="328"/>
        <v>29573.35</v>
      </c>
      <c r="GV173" s="340">
        <f t="shared" si="329"/>
        <v>11810</v>
      </c>
      <c r="GW173" s="340">
        <f t="shared" si="330"/>
        <v>7166.12</v>
      </c>
      <c r="GX173" s="340">
        <f t="shared" si="331"/>
        <v>62137.16</v>
      </c>
      <c r="GY173" s="340">
        <f t="shared" si="332"/>
        <v>48773.04</v>
      </c>
      <c r="GZ173" s="340">
        <f t="shared" si="333"/>
        <v>48722.1</v>
      </c>
      <c r="HA173" s="340">
        <f t="shared" si="334"/>
        <v>43451.87</v>
      </c>
      <c r="HB173" s="340">
        <f t="shared" si="335"/>
        <v>0</v>
      </c>
      <c r="HC173" s="340">
        <f t="shared" si="336"/>
        <v>43890</v>
      </c>
      <c r="HD173" s="340">
        <f t="shared" si="337"/>
        <v>48813</v>
      </c>
      <c r="HE173" s="340">
        <f t="shared" si="338"/>
        <v>48932.45</v>
      </c>
      <c r="HF173" s="340">
        <f t="shared" si="339"/>
        <v>55875.360000000001</v>
      </c>
      <c r="HG173" s="340">
        <f t="shared" si="340"/>
        <v>58788</v>
      </c>
      <c r="HH173" s="122"/>
      <c r="IF173" s="122"/>
      <c r="IG173" s="122"/>
      <c r="IH173" s="122"/>
      <c r="II173" s="122"/>
      <c r="IJ173" s="122"/>
      <c r="IK173" s="122"/>
      <c r="IL173" s="122"/>
      <c r="IN173" s="118"/>
      <c r="IP173" s="122"/>
      <c r="IQ173" s="122"/>
      <c r="IR173" s="122"/>
      <c r="IS173" s="122"/>
      <c r="IT173" s="122"/>
      <c r="IU173" s="122"/>
      <c r="IV173" s="122"/>
      <c r="IW173" s="122"/>
      <c r="IX173" s="122"/>
      <c r="IY173" s="122"/>
      <c r="IZ173" s="122"/>
      <c r="JA173" s="122"/>
      <c r="JB173" s="122"/>
      <c r="JC173" s="122"/>
      <c r="JD173" s="122"/>
      <c r="JE173" s="122"/>
      <c r="JF173" s="122"/>
      <c r="JG173" s="122"/>
      <c r="JH173" s="122"/>
      <c r="JI173" s="122"/>
      <c r="JK173" s="118"/>
      <c r="JL173" s="118"/>
      <c r="JY173" s="122"/>
      <c r="JZ173" s="122"/>
      <c r="KA173" s="122"/>
      <c r="KB173" s="122"/>
      <c r="LX173" s="122"/>
      <c r="LY173" s="122"/>
      <c r="LZ173" s="122"/>
      <c r="MB173" s="118"/>
      <c r="MC173" s="118"/>
      <c r="MP173" s="122"/>
      <c r="MQ173" s="122"/>
      <c r="MR173" s="122"/>
      <c r="MS173" s="122"/>
      <c r="MT173" s="122"/>
      <c r="MU173" s="122"/>
      <c r="MV173" s="122"/>
      <c r="OS173" s="118"/>
      <c r="OT173" s="118"/>
      <c r="PC173" s="122"/>
      <c r="PD173" s="122"/>
      <c r="PE173" s="122"/>
      <c r="PF173" s="122"/>
      <c r="PG173" s="122"/>
      <c r="PH173" s="122"/>
      <c r="PI173" s="122"/>
      <c r="PJ173" s="122"/>
      <c r="PP173" s="118"/>
      <c r="PQ173" s="118"/>
      <c r="PZ173" s="122"/>
      <c r="QA173" s="122"/>
      <c r="QB173" s="122"/>
      <c r="QC173" s="122"/>
      <c r="QD173" s="122"/>
      <c r="QE173" s="122"/>
      <c r="QF173" s="122"/>
      <c r="QG173" s="122"/>
      <c r="QM173" s="118"/>
      <c r="QN173" s="118"/>
      <c r="RE173" s="118"/>
      <c r="RF173" s="118"/>
      <c r="RG173" s="118"/>
      <c r="RH173" s="118"/>
      <c r="RI173" s="118"/>
      <c r="RJ173" s="118"/>
      <c r="RK173" s="118"/>
    </row>
    <row r="174" spans="25:479">
      <c r="Y174" s="277" t="s">
        <v>58</v>
      </c>
      <c r="Z174" s="319">
        <f t="shared" si="186"/>
        <v>284353.08</v>
      </c>
      <c r="AA174" s="319">
        <f t="shared" si="187"/>
        <v>267725.63999999996</v>
      </c>
      <c r="AB174" s="319">
        <f t="shared" si="188"/>
        <v>257020.00000000003</v>
      </c>
      <c r="AC174" s="319">
        <f t="shared" si="189"/>
        <v>252999.75999999998</v>
      </c>
      <c r="AD174" s="319">
        <f t="shared" si="190"/>
        <v>295006.55999999994</v>
      </c>
      <c r="AE174" s="319">
        <f t="shared" si="191"/>
        <v>323985.90000000002</v>
      </c>
      <c r="AF174" s="319">
        <f t="shared" si="192"/>
        <v>333736.26999999996</v>
      </c>
      <c r="AG174" s="319">
        <f t="shared" si="193"/>
        <v>343927.33999999997</v>
      </c>
      <c r="AH174" s="319">
        <f t="shared" si="194"/>
        <v>383544.26999999996</v>
      </c>
      <c r="AI174" s="319">
        <f t="shared" si="195"/>
        <v>396992.08999999997</v>
      </c>
      <c r="AJ174" s="319">
        <f t="shared" si="196"/>
        <v>384174.4</v>
      </c>
      <c r="AK174" s="319">
        <f t="shared" si="197"/>
        <v>488269.35</v>
      </c>
      <c r="AL174" s="319">
        <f t="shared" si="198"/>
        <v>420753.52999999997</v>
      </c>
      <c r="AM174" s="319">
        <f t="shared" si="199"/>
        <v>398245.63999999996</v>
      </c>
      <c r="AN174" s="319">
        <f t="shared" si="200"/>
        <v>474368.57999999996</v>
      </c>
      <c r="AO174" s="319">
        <f t="shared" si="201"/>
        <v>379508.5</v>
      </c>
      <c r="AP174" s="319">
        <f t="shared" si="202"/>
        <v>404873.49999999994</v>
      </c>
      <c r="AQ174" s="319">
        <f t="shared" si="203"/>
        <v>365649.93</v>
      </c>
      <c r="AR174" s="319">
        <f t="shared" si="204"/>
        <v>411163.11</v>
      </c>
      <c r="AS174" s="319">
        <f t="shared" si="205"/>
        <v>0</v>
      </c>
      <c r="AT174" s="319">
        <f t="shared" si="206"/>
        <v>0</v>
      </c>
      <c r="AU174" s="319">
        <f t="shared" si="207"/>
        <v>0</v>
      </c>
      <c r="AW174" s="322" t="s">
        <v>58</v>
      </c>
      <c r="AX174" s="322">
        <f t="shared" si="208"/>
        <v>45863.4</v>
      </c>
      <c r="AY174" s="322">
        <f t="shared" si="209"/>
        <v>38246.519999999997</v>
      </c>
      <c r="AZ174" s="322">
        <f t="shared" si="210"/>
        <v>41123.199999999997</v>
      </c>
      <c r="BA174" s="322">
        <f t="shared" si="211"/>
        <v>29192.28</v>
      </c>
      <c r="BB174" s="322">
        <f t="shared" si="212"/>
        <v>30517.919999999998</v>
      </c>
      <c r="BC174" s="322">
        <f t="shared" si="213"/>
        <v>10799.53</v>
      </c>
      <c r="BD174" s="322">
        <f t="shared" si="214"/>
        <v>36877.08</v>
      </c>
      <c r="BE174" s="322">
        <f t="shared" si="215"/>
        <v>40462.04</v>
      </c>
      <c r="BF174" s="322">
        <f t="shared" si="216"/>
        <v>33143.71</v>
      </c>
      <c r="BG174" s="322">
        <f t="shared" si="217"/>
        <v>41333.93</v>
      </c>
      <c r="BH174" s="322">
        <f t="shared" si="218"/>
        <v>39557.160000000003</v>
      </c>
      <c r="BI174" s="322">
        <f t="shared" si="219"/>
        <v>39902.31</v>
      </c>
      <c r="BJ174" s="322">
        <f t="shared" si="220"/>
        <v>36719.440000000002</v>
      </c>
      <c r="BK174" s="322">
        <f t="shared" si="221"/>
        <v>38177.46</v>
      </c>
      <c r="BL174" s="322">
        <f t="shared" si="222"/>
        <v>34348.129999999997</v>
      </c>
      <c r="BM174" s="322">
        <f t="shared" si="223"/>
        <v>42065.16</v>
      </c>
      <c r="BN174" s="322">
        <f t="shared" si="224"/>
        <v>48120.94</v>
      </c>
      <c r="BO174" s="340">
        <f t="shared" si="225"/>
        <v>43261.65</v>
      </c>
      <c r="BP174" s="340">
        <f t="shared" si="226"/>
        <v>41463.630000000005</v>
      </c>
      <c r="BQ174" s="340">
        <f t="shared" si="227"/>
        <v>0</v>
      </c>
      <c r="BR174" s="340">
        <f t="shared" si="228"/>
        <v>0</v>
      </c>
      <c r="BS174" s="340">
        <f t="shared" si="229"/>
        <v>0</v>
      </c>
      <c r="BU174" s="340" t="s">
        <v>58</v>
      </c>
      <c r="BV174" s="340">
        <f t="shared" si="230"/>
        <v>18345.36</v>
      </c>
      <c r="BW174" s="340">
        <f t="shared" si="231"/>
        <v>19123.259999999998</v>
      </c>
      <c r="BX174" s="340">
        <f t="shared" si="232"/>
        <v>30842.399999999998</v>
      </c>
      <c r="BY174" s="340">
        <f t="shared" si="233"/>
        <v>29192.28</v>
      </c>
      <c r="BZ174" s="340">
        <f t="shared" si="234"/>
        <v>30517.919999999998</v>
      </c>
      <c r="CA174" s="340">
        <f t="shared" si="235"/>
        <v>32398.590000000004</v>
      </c>
      <c r="CB174" s="340">
        <f t="shared" si="236"/>
        <v>46096.350000000006</v>
      </c>
      <c r="CC174" s="340">
        <f t="shared" si="237"/>
        <v>60693.06</v>
      </c>
      <c r="CD174" s="340">
        <f t="shared" si="238"/>
        <v>60707.75</v>
      </c>
      <c r="CE174" s="340">
        <f t="shared" si="239"/>
        <v>44790.51</v>
      </c>
      <c r="CF174" s="340">
        <f t="shared" si="240"/>
        <v>50988.80999999999</v>
      </c>
      <c r="CG174" s="340">
        <f t="shared" si="241"/>
        <v>49343.3</v>
      </c>
      <c r="CH174" s="340">
        <f t="shared" si="242"/>
        <v>58293.72</v>
      </c>
      <c r="CI174" s="340">
        <f t="shared" si="243"/>
        <v>47471.360000000001</v>
      </c>
      <c r="CJ174" s="340">
        <f t="shared" si="244"/>
        <v>48239.42</v>
      </c>
      <c r="CK174" s="340">
        <f t="shared" si="245"/>
        <v>47682.040000000008</v>
      </c>
      <c r="CL174" s="340">
        <f t="shared" si="246"/>
        <v>49275.99</v>
      </c>
      <c r="CM174" s="340">
        <f t="shared" si="247"/>
        <v>66731.17</v>
      </c>
      <c r="CN174" s="340">
        <f t="shared" si="248"/>
        <v>60639.97</v>
      </c>
      <c r="CO174" s="340">
        <f t="shared" si="249"/>
        <v>0</v>
      </c>
      <c r="CP174" s="340">
        <f t="shared" si="250"/>
        <v>0</v>
      </c>
      <c r="CQ174" s="340">
        <f t="shared" si="251"/>
        <v>0</v>
      </c>
      <c r="CR174" s="122"/>
      <c r="CS174" s="340" t="s">
        <v>58</v>
      </c>
      <c r="CT174" s="340">
        <f t="shared" si="252"/>
        <v>91726.8</v>
      </c>
      <c r="CU174" s="340">
        <f t="shared" si="253"/>
        <v>143424.45000000001</v>
      </c>
      <c r="CV174" s="340">
        <f t="shared" si="254"/>
        <v>174773.6</v>
      </c>
      <c r="CW174" s="340">
        <f t="shared" si="255"/>
        <v>116769.12</v>
      </c>
      <c r="CX174" s="340">
        <f t="shared" si="256"/>
        <v>111899.04</v>
      </c>
      <c r="CY174" s="340">
        <f t="shared" si="257"/>
        <v>140393.89000000001</v>
      </c>
      <c r="CZ174" s="340">
        <f t="shared" si="258"/>
        <v>110631.24</v>
      </c>
      <c r="DA174" s="340">
        <f t="shared" si="259"/>
        <v>141617.14000000001</v>
      </c>
      <c r="DB174" s="340">
        <f t="shared" si="260"/>
        <v>154171.84000000003</v>
      </c>
      <c r="DC174" s="340">
        <f t="shared" si="261"/>
        <v>170493.56</v>
      </c>
      <c r="DD174" s="340">
        <f t="shared" si="262"/>
        <v>152354.46</v>
      </c>
      <c r="DE174" s="340">
        <f t="shared" si="263"/>
        <v>288061.97000000003</v>
      </c>
      <c r="DF174" s="340">
        <f t="shared" si="264"/>
        <v>194785.25</v>
      </c>
      <c r="DG174" s="340">
        <f t="shared" si="265"/>
        <v>182054.09</v>
      </c>
      <c r="DH174" s="340">
        <f t="shared" si="266"/>
        <v>171961.45</v>
      </c>
      <c r="DI174" s="340">
        <f t="shared" si="267"/>
        <v>159771.08000000005</v>
      </c>
      <c r="DJ174" s="340">
        <f t="shared" si="268"/>
        <v>160199.62</v>
      </c>
      <c r="DK174" s="340">
        <f t="shared" si="269"/>
        <v>160761.60999999999</v>
      </c>
      <c r="DL174" s="340">
        <f t="shared" si="270"/>
        <v>191597.37</v>
      </c>
      <c r="DM174" s="340">
        <f t="shared" si="271"/>
        <v>0</v>
      </c>
      <c r="DN174" s="340">
        <f t="shared" si="272"/>
        <v>0</v>
      </c>
      <c r="DO174" s="340">
        <f t="shared" si="273"/>
        <v>0</v>
      </c>
      <c r="DP174" s="330"/>
      <c r="DQ174" s="340" t="s">
        <v>58</v>
      </c>
      <c r="DR174" s="340">
        <f t="shared" ref="DR174:EM174" si="366">DR76</f>
        <v>82554.12</v>
      </c>
      <c r="DS174" s="340">
        <f t="shared" si="366"/>
        <v>86054.67</v>
      </c>
      <c r="DT174" s="340">
        <f t="shared" si="366"/>
        <v>102808</v>
      </c>
      <c r="DU174" s="340">
        <f t="shared" si="366"/>
        <v>116769.12</v>
      </c>
      <c r="DV174" s="340">
        <f t="shared" si="366"/>
        <v>122071.67999999999</v>
      </c>
      <c r="DW174" s="340">
        <f t="shared" si="366"/>
        <v>151193.42000000001</v>
      </c>
      <c r="DX174" s="340">
        <f t="shared" si="366"/>
        <v>119850.51</v>
      </c>
      <c r="DY174" s="340">
        <f t="shared" si="366"/>
        <v>131501.63</v>
      </c>
      <c r="DZ174" s="340">
        <f t="shared" si="366"/>
        <v>150009.91</v>
      </c>
      <c r="EA174" s="340">
        <f t="shared" si="366"/>
        <v>161660.81000000003</v>
      </c>
      <c r="EB174" s="340">
        <f t="shared" si="366"/>
        <v>138905.65000000002</v>
      </c>
      <c r="EC174" s="340">
        <f t="shared" si="366"/>
        <v>149147.07999999999</v>
      </c>
      <c r="ED174" s="340">
        <f t="shared" si="366"/>
        <v>154682.19</v>
      </c>
      <c r="EE174" s="340">
        <f t="shared" si="366"/>
        <v>140442.32</v>
      </c>
      <c r="EF174" s="340">
        <f t="shared" si="366"/>
        <v>107314.40000000001</v>
      </c>
      <c r="EG174" s="340">
        <f t="shared" si="366"/>
        <v>109707.81</v>
      </c>
      <c r="EH174" s="340">
        <f t="shared" si="366"/>
        <v>95680.15</v>
      </c>
      <c r="EI174" s="340">
        <f t="shared" si="366"/>
        <v>104497.52999999998</v>
      </c>
      <c r="EJ174" s="340">
        <f t="shared" si="366"/>
        <v>117466.93000000001</v>
      </c>
      <c r="EK174" s="340">
        <f t="shared" si="366"/>
        <v>0</v>
      </c>
      <c r="EL174" s="340">
        <f t="shared" si="366"/>
        <v>0</v>
      </c>
      <c r="EM174" s="340">
        <f t="shared" si="366"/>
        <v>0</v>
      </c>
      <c r="EO174" s="319" t="s">
        <v>58</v>
      </c>
      <c r="EP174" s="319">
        <f t="shared" si="275"/>
        <v>321043.80000000005</v>
      </c>
      <c r="EQ174" s="319">
        <f t="shared" si="276"/>
        <v>315533.78999999998</v>
      </c>
      <c r="ER174" s="319">
        <f t="shared" si="277"/>
        <v>339266.4</v>
      </c>
      <c r="ES174" s="319">
        <f t="shared" si="278"/>
        <v>340576.6</v>
      </c>
      <c r="ET174" s="319">
        <f t="shared" si="279"/>
        <v>345869.76</v>
      </c>
      <c r="EU174" s="319">
        <f t="shared" si="280"/>
        <v>313186.37</v>
      </c>
      <c r="EV174" s="319">
        <f t="shared" si="281"/>
        <v>0</v>
      </c>
      <c r="EW174" s="319">
        <f t="shared" si="282"/>
        <v>0</v>
      </c>
      <c r="EX174" s="319">
        <f t="shared" si="283"/>
        <v>0</v>
      </c>
      <c r="EY174" s="319">
        <f t="shared" si="284"/>
        <v>0</v>
      </c>
      <c r="EZ174" s="319">
        <f t="shared" si="285"/>
        <v>0</v>
      </c>
      <c r="FA174" s="319">
        <f t="shared" si="286"/>
        <v>0</v>
      </c>
      <c r="FB174" s="319">
        <f t="shared" si="287"/>
        <v>0</v>
      </c>
      <c r="FC174" s="319">
        <f t="shared" si="288"/>
        <v>0</v>
      </c>
      <c r="FD174" s="319">
        <f t="shared" si="289"/>
        <v>0</v>
      </c>
      <c r="FE174" s="319">
        <f t="shared" si="290"/>
        <v>0</v>
      </c>
      <c r="FF174" s="322">
        <f t="shared" si="291"/>
        <v>0</v>
      </c>
      <c r="FG174" s="336">
        <f t="shared" si="292"/>
        <v>0</v>
      </c>
      <c r="FH174" s="336">
        <f t="shared" si="293"/>
        <v>0</v>
      </c>
      <c r="FI174" s="336">
        <f t="shared" si="294"/>
        <v>0</v>
      </c>
      <c r="FJ174" s="336">
        <f t="shared" si="295"/>
        <v>0</v>
      </c>
      <c r="FK174" s="336">
        <f t="shared" si="296"/>
        <v>0</v>
      </c>
      <c r="FL174" s="122"/>
      <c r="FM174" s="340" t="s">
        <v>58</v>
      </c>
      <c r="FN174" s="340">
        <f t="shared" si="297"/>
        <v>45863.4</v>
      </c>
      <c r="FO174" s="340">
        <f t="shared" si="298"/>
        <v>57369.78</v>
      </c>
      <c r="FP174" s="340">
        <f t="shared" si="299"/>
        <v>51404</v>
      </c>
      <c r="FQ174" s="340">
        <f t="shared" si="300"/>
        <v>58384.56</v>
      </c>
      <c r="FR174" s="340">
        <f t="shared" si="301"/>
        <v>30517.919999999998</v>
      </c>
      <c r="FS174" s="340">
        <f t="shared" si="302"/>
        <v>64797.18</v>
      </c>
      <c r="FT174" s="340">
        <f t="shared" si="303"/>
        <v>64534.89</v>
      </c>
      <c r="FU174" s="340">
        <f t="shared" si="304"/>
        <v>80924.08</v>
      </c>
      <c r="FV174" s="340">
        <f t="shared" si="305"/>
        <v>79016.200000000012</v>
      </c>
      <c r="FW174" s="340">
        <f t="shared" si="306"/>
        <v>91120.65</v>
      </c>
      <c r="FX174" s="340">
        <f t="shared" si="307"/>
        <v>96096.41</v>
      </c>
      <c r="FY174" s="340">
        <f t="shared" si="308"/>
        <v>97739.260000000009</v>
      </c>
      <c r="FZ174" s="340">
        <f t="shared" si="309"/>
        <v>107031.33</v>
      </c>
      <c r="GA174" s="340">
        <f t="shared" si="310"/>
        <v>103291.43</v>
      </c>
      <c r="GB174" s="340">
        <f t="shared" si="311"/>
        <v>112106</v>
      </c>
      <c r="GC174" s="340">
        <f t="shared" si="312"/>
        <v>159965.97999999998</v>
      </c>
      <c r="GD174" s="340">
        <f t="shared" si="313"/>
        <v>163534.02000000002</v>
      </c>
      <c r="GE174" s="340">
        <f t="shared" si="314"/>
        <v>163695.01000000004</v>
      </c>
      <c r="GF174" s="340">
        <f t="shared" si="315"/>
        <v>180219.91</v>
      </c>
      <c r="GG174" s="340">
        <f t="shared" si="316"/>
        <v>0</v>
      </c>
      <c r="GH174" s="340">
        <f t="shared" si="317"/>
        <v>0</v>
      </c>
      <c r="GI174" s="340">
        <f t="shared" si="318"/>
        <v>0</v>
      </c>
      <c r="GJ174" s="122"/>
      <c r="GK174" s="340" t="s">
        <v>58</v>
      </c>
      <c r="GL174" s="340">
        <f t="shared" si="319"/>
        <v>27518.04</v>
      </c>
      <c r="GM174" s="340">
        <f t="shared" si="320"/>
        <v>28684.89</v>
      </c>
      <c r="GN174" s="340">
        <f t="shared" si="321"/>
        <v>30842.400000000001</v>
      </c>
      <c r="GO174" s="340">
        <f t="shared" si="322"/>
        <v>29192.28</v>
      </c>
      <c r="GP174" s="340">
        <f t="shared" si="323"/>
        <v>50863.199999999997</v>
      </c>
      <c r="GQ174" s="340">
        <f t="shared" si="324"/>
        <v>43198.12</v>
      </c>
      <c r="GR174" s="340">
        <f t="shared" si="325"/>
        <v>221262.48</v>
      </c>
      <c r="GS174" s="340">
        <f t="shared" si="326"/>
        <v>212425.71</v>
      </c>
      <c r="GT174" s="340">
        <f t="shared" si="327"/>
        <v>204310.65</v>
      </c>
      <c r="GU174" s="340">
        <f t="shared" si="328"/>
        <v>231602.88</v>
      </c>
      <c r="GV174" s="340">
        <f t="shared" si="329"/>
        <v>140992.18</v>
      </c>
      <c r="GW174" s="340">
        <f t="shared" si="330"/>
        <v>165881.03</v>
      </c>
      <c r="GX174" s="340">
        <f t="shared" si="331"/>
        <v>145924.09</v>
      </c>
      <c r="GY174" s="340">
        <f t="shared" si="332"/>
        <v>326679.06</v>
      </c>
      <c r="GZ174" s="340">
        <f t="shared" si="333"/>
        <v>329910.02</v>
      </c>
      <c r="HA174" s="340">
        <f t="shared" si="334"/>
        <v>266218.44</v>
      </c>
      <c r="HB174" s="340">
        <f t="shared" si="335"/>
        <v>186679.88</v>
      </c>
      <c r="HC174" s="340">
        <f t="shared" si="336"/>
        <v>260935.57</v>
      </c>
      <c r="HD174" s="340">
        <f t="shared" si="337"/>
        <v>202673.38999999998</v>
      </c>
      <c r="HE174" s="340">
        <f t="shared" si="338"/>
        <v>0</v>
      </c>
      <c r="HF174" s="340">
        <f t="shared" si="339"/>
        <v>0</v>
      </c>
      <c r="HG174" s="340">
        <f t="shared" si="340"/>
        <v>0</v>
      </c>
      <c r="HH174" s="122"/>
      <c r="IF174" s="122"/>
      <c r="IG174" s="122"/>
      <c r="IH174" s="122"/>
      <c r="II174" s="122"/>
      <c r="IJ174" s="122"/>
      <c r="IK174" s="122"/>
      <c r="IL174" s="122"/>
      <c r="IN174" s="118"/>
      <c r="IP174" s="122"/>
      <c r="IQ174" s="122"/>
      <c r="IR174" s="122"/>
      <c r="IS174" s="122"/>
      <c r="IT174" s="122"/>
      <c r="IU174" s="122"/>
      <c r="IV174" s="122"/>
      <c r="IW174" s="122"/>
      <c r="IX174" s="122"/>
      <c r="IY174" s="122"/>
      <c r="IZ174" s="122"/>
      <c r="JA174" s="122"/>
      <c r="JB174" s="122"/>
      <c r="JC174" s="122"/>
      <c r="JD174" s="122"/>
      <c r="JE174" s="122"/>
      <c r="JF174" s="122"/>
      <c r="JG174" s="122"/>
      <c r="JH174" s="122"/>
      <c r="JI174" s="122"/>
      <c r="JK174" s="118"/>
      <c r="JL174" s="118"/>
      <c r="JY174" s="122"/>
      <c r="JZ174" s="122"/>
      <c r="KA174" s="122"/>
      <c r="KB174" s="122"/>
      <c r="LX174" s="122"/>
      <c r="LY174" s="122"/>
      <c r="LZ174" s="122"/>
      <c r="MB174" s="118"/>
      <c r="MC174" s="118"/>
      <c r="MP174" s="122"/>
      <c r="MQ174" s="122"/>
      <c r="MR174" s="122"/>
      <c r="MS174" s="122"/>
      <c r="MT174" s="122"/>
      <c r="MU174" s="122"/>
      <c r="MV174" s="122"/>
      <c r="OS174" s="118"/>
      <c r="OT174" s="118"/>
      <c r="PC174" s="122"/>
      <c r="PD174" s="122"/>
      <c r="PE174" s="122"/>
      <c r="PF174" s="122"/>
      <c r="PG174" s="122"/>
      <c r="PH174" s="122"/>
      <c r="PI174" s="122"/>
      <c r="PJ174" s="122"/>
      <c r="PP174" s="118"/>
      <c r="PQ174" s="118"/>
      <c r="PZ174" s="122"/>
      <c r="QA174" s="122"/>
      <c r="QB174" s="122"/>
      <c r="QC174" s="122"/>
      <c r="QD174" s="122"/>
      <c r="QE174" s="122"/>
      <c r="QF174" s="122"/>
      <c r="QG174" s="122"/>
      <c r="QM174" s="118"/>
      <c r="QN174" s="118"/>
      <c r="RE174" s="118"/>
      <c r="RF174" s="118"/>
      <c r="RG174" s="118"/>
      <c r="RH174" s="118"/>
      <c r="RI174" s="118"/>
      <c r="RJ174" s="118"/>
      <c r="RK174" s="118"/>
    </row>
    <row r="175" spans="25:479">
      <c r="Y175" s="277" t="s">
        <v>59</v>
      </c>
      <c r="Z175" s="319">
        <f t="shared" si="186"/>
        <v>445251.89999999997</v>
      </c>
      <c r="AA175" s="319">
        <f t="shared" si="187"/>
        <v>496130.7</v>
      </c>
      <c r="AB175" s="319">
        <f t="shared" si="188"/>
        <v>545349.64</v>
      </c>
      <c r="AC175" s="319">
        <f t="shared" si="189"/>
        <v>500881.44</v>
      </c>
      <c r="AD175" s="319">
        <f t="shared" si="190"/>
        <v>553860.99</v>
      </c>
      <c r="AE175" s="319">
        <f t="shared" si="191"/>
        <v>537210.4800000001</v>
      </c>
      <c r="AF175" s="319">
        <f t="shared" si="192"/>
        <v>626388.32000000007</v>
      </c>
      <c r="AG175" s="319">
        <f t="shared" si="193"/>
        <v>668765.57999999984</v>
      </c>
      <c r="AH175" s="319">
        <f t="shared" si="194"/>
        <v>724444.56999999983</v>
      </c>
      <c r="AI175" s="319">
        <f t="shared" si="195"/>
        <v>649729.76</v>
      </c>
      <c r="AJ175" s="319">
        <f t="shared" si="196"/>
        <v>870317.69000000018</v>
      </c>
      <c r="AK175" s="319">
        <f t="shared" si="197"/>
        <v>920329.8899999999</v>
      </c>
      <c r="AL175" s="319">
        <f t="shared" si="198"/>
        <v>927999.93</v>
      </c>
      <c r="AM175" s="319">
        <f t="shared" si="199"/>
        <v>755784.53</v>
      </c>
      <c r="AN175" s="319">
        <f t="shared" si="200"/>
        <v>0</v>
      </c>
      <c r="AO175" s="319">
        <f t="shared" si="201"/>
        <v>617080.94999999995</v>
      </c>
      <c r="AP175" s="319">
        <f t="shared" si="202"/>
        <v>0</v>
      </c>
      <c r="AQ175" s="319">
        <f t="shared" si="203"/>
        <v>598704.41</v>
      </c>
      <c r="AR175" s="319">
        <f t="shared" si="204"/>
        <v>0</v>
      </c>
      <c r="AS175" s="319">
        <f t="shared" si="205"/>
        <v>0</v>
      </c>
      <c r="AT175" s="319">
        <f t="shared" si="206"/>
        <v>0</v>
      </c>
      <c r="AU175" s="319">
        <f t="shared" si="207"/>
        <v>0</v>
      </c>
      <c r="AW175" s="322" t="s">
        <v>59</v>
      </c>
      <c r="AX175" s="322">
        <f t="shared" si="208"/>
        <v>89050.38</v>
      </c>
      <c r="AY175" s="322">
        <f t="shared" si="209"/>
        <v>114491.70000000001</v>
      </c>
      <c r="AZ175" s="322">
        <f t="shared" si="210"/>
        <v>112830.95999999999</v>
      </c>
      <c r="BA175" s="322">
        <f t="shared" si="211"/>
        <v>83480.240000000005</v>
      </c>
      <c r="BB175" s="322">
        <f t="shared" si="212"/>
        <v>61540.11</v>
      </c>
      <c r="BC175" s="322">
        <f t="shared" si="213"/>
        <v>67151.31</v>
      </c>
      <c r="BD175" s="322">
        <f t="shared" si="214"/>
        <v>59650.36</v>
      </c>
      <c r="BE175" s="322">
        <f t="shared" si="215"/>
        <v>63691.96</v>
      </c>
      <c r="BF175" s="322">
        <f t="shared" si="216"/>
        <v>63931.26999999999</v>
      </c>
      <c r="BG175" s="322">
        <f t="shared" si="217"/>
        <v>45816.03</v>
      </c>
      <c r="BH175" s="322">
        <f t="shared" si="218"/>
        <v>40430.520000000004</v>
      </c>
      <c r="BI175" s="322">
        <f t="shared" si="219"/>
        <v>60604.770000000004</v>
      </c>
      <c r="BJ175" s="322">
        <f t="shared" si="220"/>
        <v>39534.660000000003</v>
      </c>
      <c r="BK175" s="322">
        <f t="shared" si="221"/>
        <v>42320.299999999996</v>
      </c>
      <c r="BL175" s="322">
        <f t="shared" si="222"/>
        <v>0</v>
      </c>
      <c r="BM175" s="322">
        <f t="shared" si="223"/>
        <v>58120.46</v>
      </c>
      <c r="BN175" s="322">
        <f t="shared" si="224"/>
        <v>0</v>
      </c>
      <c r="BO175" s="340">
        <f t="shared" si="225"/>
        <v>45753.18</v>
      </c>
      <c r="BP175" s="340">
        <f t="shared" si="226"/>
        <v>0</v>
      </c>
      <c r="BQ175" s="340">
        <f t="shared" si="227"/>
        <v>0</v>
      </c>
      <c r="BR175" s="340">
        <f t="shared" si="228"/>
        <v>0</v>
      </c>
      <c r="BS175" s="340">
        <f t="shared" si="229"/>
        <v>0</v>
      </c>
      <c r="BU175" s="340" t="s">
        <v>59</v>
      </c>
      <c r="BV175" s="340">
        <f t="shared" si="230"/>
        <v>29683.46</v>
      </c>
      <c r="BW175" s="340">
        <f t="shared" si="231"/>
        <v>38163.9</v>
      </c>
      <c r="BX175" s="340">
        <f t="shared" si="232"/>
        <v>37610.32</v>
      </c>
      <c r="BY175" s="340">
        <f t="shared" si="233"/>
        <v>41740.120000000003</v>
      </c>
      <c r="BZ175" s="340">
        <f t="shared" si="234"/>
        <v>41026.74</v>
      </c>
      <c r="CA175" s="340">
        <f t="shared" si="235"/>
        <v>67151.31</v>
      </c>
      <c r="CB175" s="340">
        <f t="shared" si="236"/>
        <v>59650.36</v>
      </c>
      <c r="CC175" s="340">
        <f t="shared" si="237"/>
        <v>63691.96</v>
      </c>
      <c r="CD175" s="340">
        <f t="shared" si="238"/>
        <v>51877.770000000004</v>
      </c>
      <c r="CE175" s="340">
        <f t="shared" si="239"/>
        <v>50959.45</v>
      </c>
      <c r="CF175" s="340">
        <f t="shared" si="240"/>
        <v>55262.41</v>
      </c>
      <c r="CG175" s="340">
        <f t="shared" si="241"/>
        <v>44918.94</v>
      </c>
      <c r="CH175" s="340">
        <f t="shared" si="242"/>
        <v>52052</v>
      </c>
      <c r="CI175" s="340">
        <f t="shared" si="243"/>
        <v>53206.979999999996</v>
      </c>
      <c r="CJ175" s="340">
        <f t="shared" si="244"/>
        <v>0</v>
      </c>
      <c r="CK175" s="340">
        <f t="shared" si="245"/>
        <v>50773.72</v>
      </c>
      <c r="CL175" s="340">
        <f t="shared" si="246"/>
        <v>0</v>
      </c>
      <c r="CM175" s="340">
        <f t="shared" si="247"/>
        <v>87871.299999999988</v>
      </c>
      <c r="CN175" s="340">
        <f t="shared" si="248"/>
        <v>0</v>
      </c>
      <c r="CO175" s="340">
        <f t="shared" si="249"/>
        <v>0</v>
      </c>
      <c r="CP175" s="340">
        <f t="shared" si="250"/>
        <v>0</v>
      </c>
      <c r="CQ175" s="340">
        <f t="shared" si="251"/>
        <v>0</v>
      </c>
      <c r="CR175" s="122"/>
      <c r="CS175" s="340" t="s">
        <v>59</v>
      </c>
      <c r="CT175" s="340">
        <f t="shared" si="252"/>
        <v>148417.29999999999</v>
      </c>
      <c r="CU175" s="340">
        <f t="shared" si="253"/>
        <v>248065.35</v>
      </c>
      <c r="CV175" s="340">
        <f t="shared" si="254"/>
        <v>206856.76</v>
      </c>
      <c r="CW175" s="340">
        <f t="shared" si="255"/>
        <v>229570.66</v>
      </c>
      <c r="CX175" s="340">
        <f t="shared" si="256"/>
        <v>205133.7</v>
      </c>
      <c r="CY175" s="340">
        <f t="shared" si="257"/>
        <v>201453.93</v>
      </c>
      <c r="CZ175" s="340">
        <f t="shared" si="258"/>
        <v>268426.62</v>
      </c>
      <c r="DA175" s="340">
        <f t="shared" si="259"/>
        <v>254767.84</v>
      </c>
      <c r="DB175" s="340">
        <f t="shared" si="260"/>
        <v>385547.11000000004</v>
      </c>
      <c r="DC175" s="340">
        <f t="shared" si="261"/>
        <v>505501.85</v>
      </c>
      <c r="DD175" s="340">
        <f t="shared" si="262"/>
        <v>267265.84999999998</v>
      </c>
      <c r="DE175" s="340">
        <f t="shared" si="263"/>
        <v>333877.33999999997</v>
      </c>
      <c r="DF175" s="340">
        <f t="shared" si="264"/>
        <v>372469.82999999996</v>
      </c>
      <c r="DG175" s="340">
        <f t="shared" si="265"/>
        <v>1086113.1599999999</v>
      </c>
      <c r="DH175" s="340">
        <f t="shared" si="266"/>
        <v>0</v>
      </c>
      <c r="DI175" s="340">
        <f t="shared" si="267"/>
        <v>416372.61999999994</v>
      </c>
      <c r="DJ175" s="340">
        <f t="shared" si="268"/>
        <v>0</v>
      </c>
      <c r="DK175" s="340">
        <f t="shared" si="269"/>
        <v>264567.24</v>
      </c>
      <c r="DL175" s="340">
        <f t="shared" si="270"/>
        <v>0</v>
      </c>
      <c r="DM175" s="340">
        <f t="shared" si="271"/>
        <v>0</v>
      </c>
      <c r="DN175" s="340">
        <f t="shared" si="272"/>
        <v>0</v>
      </c>
      <c r="DO175" s="340">
        <f t="shared" si="273"/>
        <v>0</v>
      </c>
      <c r="DP175" s="330"/>
      <c r="DQ175" s="340" t="s">
        <v>59</v>
      </c>
      <c r="DR175" s="340">
        <f t="shared" ref="DR175:EM175" si="367">DR77</f>
        <v>163259.03</v>
      </c>
      <c r="DS175" s="340">
        <f t="shared" si="367"/>
        <v>228983.4</v>
      </c>
      <c r="DT175" s="340">
        <f t="shared" si="367"/>
        <v>225661.92</v>
      </c>
      <c r="DU175" s="340">
        <f t="shared" si="367"/>
        <v>250440.72</v>
      </c>
      <c r="DV175" s="340">
        <f t="shared" si="367"/>
        <v>287187.18</v>
      </c>
      <c r="DW175" s="340">
        <f t="shared" si="367"/>
        <v>290989.01</v>
      </c>
      <c r="DX175" s="340">
        <f t="shared" si="367"/>
        <v>387727.34</v>
      </c>
      <c r="DY175" s="340">
        <f t="shared" si="367"/>
        <v>445843.72</v>
      </c>
      <c r="DZ175" s="340">
        <f t="shared" si="367"/>
        <v>400010.93</v>
      </c>
      <c r="EA175" s="340">
        <f t="shared" si="367"/>
        <v>395822.29</v>
      </c>
      <c r="EB175" s="340">
        <f t="shared" si="367"/>
        <v>442908.92</v>
      </c>
      <c r="EC175" s="340">
        <f t="shared" si="367"/>
        <v>465443.52999999997</v>
      </c>
      <c r="ED175" s="340">
        <f t="shared" si="367"/>
        <v>521757.28999999992</v>
      </c>
      <c r="EE175" s="340">
        <f t="shared" si="367"/>
        <v>507503.47000000003</v>
      </c>
      <c r="EF175" s="340">
        <f t="shared" si="367"/>
        <v>0</v>
      </c>
      <c r="EG175" s="340">
        <f t="shared" si="367"/>
        <v>589246.79</v>
      </c>
      <c r="EH175" s="340">
        <f t="shared" si="367"/>
        <v>0</v>
      </c>
      <c r="EI175" s="340">
        <f t="shared" si="367"/>
        <v>403047.35</v>
      </c>
      <c r="EJ175" s="340">
        <f t="shared" si="367"/>
        <v>0</v>
      </c>
      <c r="EK175" s="340">
        <f t="shared" si="367"/>
        <v>0</v>
      </c>
      <c r="EL175" s="340">
        <f t="shared" si="367"/>
        <v>0</v>
      </c>
      <c r="EM175" s="340">
        <f t="shared" si="367"/>
        <v>0</v>
      </c>
      <c r="EO175" s="319" t="s">
        <v>59</v>
      </c>
      <c r="EP175" s="319">
        <f t="shared" si="275"/>
        <v>474935.36</v>
      </c>
      <c r="EQ175" s="319">
        <f t="shared" si="276"/>
        <v>629704.35</v>
      </c>
      <c r="ER175" s="319">
        <f t="shared" si="277"/>
        <v>620570.28</v>
      </c>
      <c r="ES175" s="319">
        <f t="shared" si="278"/>
        <v>646971.86</v>
      </c>
      <c r="ET175" s="319">
        <f t="shared" si="279"/>
        <v>676941.21</v>
      </c>
      <c r="EU175" s="319">
        <f t="shared" si="280"/>
        <v>805815.72</v>
      </c>
      <c r="EV175" s="319">
        <f t="shared" si="281"/>
        <v>1282482.74</v>
      </c>
      <c r="EW175" s="319">
        <f t="shared" si="282"/>
        <v>1433069.1</v>
      </c>
      <c r="EX175" s="319">
        <f t="shared" si="283"/>
        <v>1192498.2</v>
      </c>
      <c r="EY175" s="319">
        <f t="shared" si="284"/>
        <v>1100530.8399999999</v>
      </c>
      <c r="EZ175" s="319">
        <f t="shared" si="285"/>
        <v>1262302.2199999997</v>
      </c>
      <c r="FA175" s="319">
        <f t="shared" si="286"/>
        <v>1222229.4299999997</v>
      </c>
      <c r="FB175" s="319">
        <f t="shared" si="287"/>
        <v>1259648.1200000001</v>
      </c>
      <c r="FC175" s="319">
        <f t="shared" si="288"/>
        <v>1327514.6499999997</v>
      </c>
      <c r="FD175" s="319">
        <f t="shared" si="289"/>
        <v>0</v>
      </c>
      <c r="FE175" s="319">
        <f t="shared" si="290"/>
        <v>1318597.9700000002</v>
      </c>
      <c r="FF175" s="322">
        <f t="shared" si="291"/>
        <v>0</v>
      </c>
      <c r="FG175" s="336">
        <f t="shared" si="292"/>
        <v>1212984.78</v>
      </c>
      <c r="FH175" s="336">
        <f t="shared" si="293"/>
        <v>0</v>
      </c>
      <c r="FI175" s="336">
        <f t="shared" si="294"/>
        <v>0</v>
      </c>
      <c r="FJ175" s="336">
        <f t="shared" si="295"/>
        <v>0</v>
      </c>
      <c r="FK175" s="336">
        <f t="shared" si="296"/>
        <v>0</v>
      </c>
      <c r="FL175" s="122"/>
      <c r="FM175" s="340" t="s">
        <v>59</v>
      </c>
      <c r="FN175" s="340">
        <f t="shared" si="297"/>
        <v>133575.57</v>
      </c>
      <c r="FO175" s="340">
        <f t="shared" si="298"/>
        <v>152655.6</v>
      </c>
      <c r="FP175" s="340">
        <f t="shared" si="299"/>
        <v>131636.12</v>
      </c>
      <c r="FQ175" s="340">
        <f t="shared" si="300"/>
        <v>208700.6</v>
      </c>
      <c r="FR175" s="340">
        <f t="shared" si="301"/>
        <v>225647.07</v>
      </c>
      <c r="FS175" s="340">
        <f t="shared" si="302"/>
        <v>223837.7</v>
      </c>
      <c r="FT175" s="340">
        <f t="shared" si="303"/>
        <v>238601.44</v>
      </c>
      <c r="FU175" s="340">
        <f t="shared" si="304"/>
        <v>222921.86</v>
      </c>
      <c r="FV175" s="340">
        <f t="shared" si="305"/>
        <v>229862.39999999997</v>
      </c>
      <c r="FW175" s="340">
        <f t="shared" si="306"/>
        <v>229675.66999999998</v>
      </c>
      <c r="FX175" s="340">
        <f t="shared" si="307"/>
        <v>259383.44</v>
      </c>
      <c r="FY175" s="340">
        <f t="shared" si="308"/>
        <v>256583.06</v>
      </c>
      <c r="FZ175" s="340">
        <f t="shared" si="309"/>
        <v>298545.21000000002</v>
      </c>
      <c r="GA175" s="340">
        <f t="shared" si="310"/>
        <v>310594.02</v>
      </c>
      <c r="GB175" s="340">
        <f t="shared" si="311"/>
        <v>0</v>
      </c>
      <c r="GC175" s="340">
        <f t="shared" si="312"/>
        <v>325490.52</v>
      </c>
      <c r="GD175" s="340">
        <f t="shared" si="313"/>
        <v>0</v>
      </c>
      <c r="GE175" s="340">
        <f t="shared" si="314"/>
        <v>339690.85000000003</v>
      </c>
      <c r="GF175" s="340">
        <f t="shared" si="315"/>
        <v>0</v>
      </c>
      <c r="GG175" s="340">
        <f t="shared" si="316"/>
        <v>0</v>
      </c>
      <c r="GH175" s="340">
        <f t="shared" si="317"/>
        <v>0</v>
      </c>
      <c r="GI175" s="340">
        <f t="shared" si="318"/>
        <v>0</v>
      </c>
      <c r="GJ175" s="122"/>
      <c r="GK175" s="340" t="s">
        <v>59</v>
      </c>
      <c r="GL175" s="340">
        <f t="shared" si="319"/>
        <v>0</v>
      </c>
      <c r="GM175" s="340">
        <f t="shared" si="320"/>
        <v>0</v>
      </c>
      <c r="GN175" s="340">
        <f t="shared" si="321"/>
        <v>0</v>
      </c>
      <c r="GO175" s="340">
        <f t="shared" si="322"/>
        <v>125220.36</v>
      </c>
      <c r="GP175" s="340">
        <f t="shared" si="323"/>
        <v>0</v>
      </c>
      <c r="GQ175" s="340">
        <f t="shared" si="324"/>
        <v>44767.54</v>
      </c>
      <c r="GR175" s="340">
        <f t="shared" si="325"/>
        <v>29825.18</v>
      </c>
      <c r="GS175" s="340">
        <f t="shared" si="326"/>
        <v>31845.98</v>
      </c>
      <c r="GT175" s="340">
        <f t="shared" si="327"/>
        <v>0</v>
      </c>
      <c r="GU175" s="340">
        <f t="shared" si="328"/>
        <v>125262.3</v>
      </c>
      <c r="GV175" s="340">
        <f t="shared" si="329"/>
        <v>118450</v>
      </c>
      <c r="GW175" s="340">
        <f t="shared" si="330"/>
        <v>75000</v>
      </c>
      <c r="GX175" s="340">
        <f t="shared" si="331"/>
        <v>136814.9</v>
      </c>
      <c r="GY175" s="340">
        <f t="shared" si="332"/>
        <v>79179.02</v>
      </c>
      <c r="GZ175" s="340">
        <f t="shared" si="333"/>
        <v>0</v>
      </c>
      <c r="HA175" s="340">
        <f t="shared" si="334"/>
        <v>124129</v>
      </c>
      <c r="HB175" s="340">
        <f t="shared" si="335"/>
        <v>0</v>
      </c>
      <c r="HC175" s="340">
        <f t="shared" si="336"/>
        <v>78890.78</v>
      </c>
      <c r="HD175" s="340">
        <f t="shared" si="337"/>
        <v>0</v>
      </c>
      <c r="HE175" s="340">
        <f t="shared" si="338"/>
        <v>0</v>
      </c>
      <c r="HF175" s="340">
        <f t="shared" si="339"/>
        <v>0</v>
      </c>
      <c r="HG175" s="340">
        <f t="shared" si="340"/>
        <v>0</v>
      </c>
      <c r="HH175" s="122"/>
      <c r="IF175" s="122"/>
      <c r="IG175" s="122"/>
      <c r="IH175" s="122"/>
      <c r="II175" s="122"/>
      <c r="IJ175" s="122"/>
      <c r="IK175" s="122"/>
      <c r="IL175" s="122"/>
      <c r="IN175" s="118"/>
      <c r="IP175" s="122"/>
      <c r="IQ175" s="122"/>
      <c r="IR175" s="122"/>
      <c r="IS175" s="122"/>
      <c r="IT175" s="122"/>
      <c r="IU175" s="122"/>
      <c r="IV175" s="122"/>
      <c r="IW175" s="122"/>
      <c r="IX175" s="122"/>
      <c r="IY175" s="122"/>
      <c r="IZ175" s="122"/>
      <c r="JA175" s="122"/>
      <c r="JB175" s="122"/>
      <c r="JC175" s="122"/>
      <c r="JD175" s="122"/>
      <c r="JE175" s="122"/>
      <c r="JF175" s="122"/>
      <c r="JG175" s="122"/>
      <c r="JH175" s="122"/>
      <c r="JI175" s="122"/>
      <c r="JK175" s="118"/>
      <c r="JL175" s="118"/>
      <c r="JY175" s="122"/>
      <c r="JZ175" s="122"/>
      <c r="KA175" s="122"/>
      <c r="KB175" s="122"/>
      <c r="LX175" s="122"/>
      <c r="LY175" s="122"/>
      <c r="LZ175" s="122"/>
      <c r="MB175" s="118"/>
      <c r="MC175" s="118"/>
      <c r="MP175" s="122"/>
      <c r="MQ175" s="122"/>
      <c r="MR175" s="122"/>
      <c r="MS175" s="122"/>
      <c r="MT175" s="122"/>
      <c r="MU175" s="122"/>
      <c r="MV175" s="122"/>
      <c r="OS175" s="118"/>
      <c r="OT175" s="118"/>
      <c r="PC175" s="122"/>
      <c r="PD175" s="122"/>
      <c r="PE175" s="122"/>
      <c r="PF175" s="122"/>
      <c r="PG175" s="122"/>
      <c r="PH175" s="122"/>
      <c r="PI175" s="122"/>
      <c r="PJ175" s="122"/>
      <c r="PP175" s="118"/>
      <c r="PQ175" s="118"/>
      <c r="PZ175" s="122"/>
      <c r="QA175" s="122"/>
      <c r="QB175" s="122"/>
      <c r="QC175" s="122"/>
      <c r="QD175" s="122"/>
      <c r="QE175" s="122"/>
      <c r="QF175" s="122"/>
      <c r="QG175" s="122"/>
      <c r="QM175" s="118"/>
      <c r="QN175" s="118"/>
      <c r="RE175" s="118"/>
      <c r="RF175" s="118"/>
      <c r="RG175" s="118"/>
      <c r="RH175" s="118"/>
      <c r="RI175" s="118"/>
      <c r="RJ175" s="118"/>
      <c r="RK175" s="118"/>
    </row>
    <row r="176" spans="25:479">
      <c r="Y176" s="277" t="s">
        <v>60</v>
      </c>
      <c r="Z176" s="319">
        <f t="shared" si="186"/>
        <v>367220.8</v>
      </c>
      <c r="AA176" s="319">
        <f t="shared" si="187"/>
        <v>330068</v>
      </c>
      <c r="AB176" s="319">
        <f t="shared" si="188"/>
        <v>401524.4</v>
      </c>
      <c r="AC176" s="319">
        <f t="shared" si="189"/>
        <v>358971.2</v>
      </c>
      <c r="AD176" s="319">
        <f t="shared" si="190"/>
        <v>427312.62</v>
      </c>
      <c r="AE176" s="319">
        <f t="shared" si="191"/>
        <v>448237.44</v>
      </c>
      <c r="AF176" s="319">
        <f t="shared" si="192"/>
        <v>503628.75999999995</v>
      </c>
      <c r="AG176" s="319">
        <f t="shared" si="193"/>
        <v>568805.5</v>
      </c>
      <c r="AH176" s="319">
        <f t="shared" si="194"/>
        <v>653490.41999999993</v>
      </c>
      <c r="AI176" s="319">
        <f t="shared" si="195"/>
        <v>636611.30999999994</v>
      </c>
      <c r="AJ176" s="319">
        <f t="shared" si="196"/>
        <v>718941.01</v>
      </c>
      <c r="AK176" s="319">
        <f t="shared" si="197"/>
        <v>632990.79</v>
      </c>
      <c r="AL176" s="319">
        <f t="shared" si="198"/>
        <v>782594.89999999991</v>
      </c>
      <c r="AM176" s="319">
        <f t="shared" si="199"/>
        <v>618437.24999999988</v>
      </c>
      <c r="AN176" s="319">
        <f t="shared" si="200"/>
        <v>630769.4</v>
      </c>
      <c r="AO176" s="319">
        <f t="shared" si="201"/>
        <v>662175.85</v>
      </c>
      <c r="AP176" s="319">
        <f t="shared" si="202"/>
        <v>631651.3899999999</v>
      </c>
      <c r="AQ176" s="319">
        <f t="shared" si="203"/>
        <v>636139.79</v>
      </c>
      <c r="AR176" s="319">
        <f t="shared" si="204"/>
        <v>779014.85</v>
      </c>
      <c r="AS176" s="319">
        <f t="shared" si="205"/>
        <v>573982.21</v>
      </c>
      <c r="AT176" s="319">
        <f t="shared" si="206"/>
        <v>731974.17999999993</v>
      </c>
      <c r="AU176" s="319">
        <f t="shared" si="207"/>
        <v>931400</v>
      </c>
      <c r="AW176" s="322" t="s">
        <v>60</v>
      </c>
      <c r="AX176" s="322">
        <f t="shared" si="208"/>
        <v>183610.40000000002</v>
      </c>
      <c r="AY176" s="322">
        <f t="shared" si="209"/>
        <v>191092</v>
      </c>
      <c r="AZ176" s="322">
        <f t="shared" si="210"/>
        <v>200762.2</v>
      </c>
      <c r="BA176" s="322">
        <f t="shared" si="211"/>
        <v>179485.6</v>
      </c>
      <c r="BB176" s="322">
        <f t="shared" si="212"/>
        <v>142437.54</v>
      </c>
      <c r="BC176" s="322">
        <f t="shared" si="213"/>
        <v>149412.47999999998</v>
      </c>
      <c r="BD176" s="322">
        <f t="shared" si="214"/>
        <v>104562.54999999999</v>
      </c>
      <c r="BE176" s="322">
        <f t="shared" si="215"/>
        <v>45504.44</v>
      </c>
      <c r="BF176" s="322">
        <f t="shared" si="216"/>
        <v>78332.14</v>
      </c>
      <c r="BG176" s="322">
        <f t="shared" si="217"/>
        <v>98724.19</v>
      </c>
      <c r="BH176" s="322">
        <f t="shared" si="218"/>
        <v>78019.61</v>
      </c>
      <c r="BI176" s="322">
        <f t="shared" si="219"/>
        <v>138262.84999999998</v>
      </c>
      <c r="BJ176" s="322">
        <f t="shared" si="220"/>
        <v>98342.8</v>
      </c>
      <c r="BK176" s="322">
        <f t="shared" si="221"/>
        <v>100202.93</v>
      </c>
      <c r="BL176" s="322">
        <f t="shared" si="222"/>
        <v>131435.07</v>
      </c>
      <c r="BM176" s="322">
        <f t="shared" si="223"/>
        <v>125950.53</v>
      </c>
      <c r="BN176" s="322">
        <f t="shared" si="224"/>
        <v>134270.13999999998</v>
      </c>
      <c r="BO176" s="340">
        <f t="shared" si="225"/>
        <v>141211.04999999999</v>
      </c>
      <c r="BP176" s="340">
        <f t="shared" si="226"/>
        <v>146439.47</v>
      </c>
      <c r="BQ176" s="340">
        <f t="shared" si="227"/>
        <v>142418.60999999999</v>
      </c>
      <c r="BR176" s="340">
        <f t="shared" si="228"/>
        <v>160885.27000000002</v>
      </c>
      <c r="BS176" s="340">
        <f t="shared" si="229"/>
        <v>164050</v>
      </c>
      <c r="BU176" s="340" t="s">
        <v>60</v>
      </c>
      <c r="BV176" s="340">
        <f t="shared" si="230"/>
        <v>18361.04</v>
      </c>
      <c r="BW176" s="340">
        <f t="shared" si="231"/>
        <v>17372</v>
      </c>
      <c r="BX176" s="340">
        <f t="shared" si="232"/>
        <v>40152.44</v>
      </c>
      <c r="BY176" s="340">
        <f t="shared" si="233"/>
        <v>35897.120000000003</v>
      </c>
      <c r="BZ176" s="340">
        <f t="shared" si="234"/>
        <v>40696.44</v>
      </c>
      <c r="CA176" s="340">
        <f t="shared" si="235"/>
        <v>42689.279999999999</v>
      </c>
      <c r="CB176" s="340">
        <f t="shared" si="236"/>
        <v>41825.019999999997</v>
      </c>
      <c r="CC176" s="340">
        <f t="shared" si="237"/>
        <v>45504.44</v>
      </c>
      <c r="CD176" s="340">
        <f t="shared" si="238"/>
        <v>34215.270000000004</v>
      </c>
      <c r="CE176" s="340">
        <f t="shared" si="239"/>
        <v>33343.19</v>
      </c>
      <c r="CF176" s="340">
        <f t="shared" si="240"/>
        <v>35724.400000000001</v>
      </c>
      <c r="CG176" s="340">
        <f t="shared" si="241"/>
        <v>38219.340000000004</v>
      </c>
      <c r="CH176" s="340">
        <f t="shared" si="242"/>
        <v>42077.91</v>
      </c>
      <c r="CI176" s="340">
        <f t="shared" si="243"/>
        <v>79645.049999999988</v>
      </c>
      <c r="CJ176" s="340">
        <f t="shared" si="244"/>
        <v>83415.240000000005</v>
      </c>
      <c r="CK176" s="340">
        <f t="shared" si="245"/>
        <v>88380.970000000016</v>
      </c>
      <c r="CL176" s="340">
        <f t="shared" si="246"/>
        <v>99193.8</v>
      </c>
      <c r="CM176" s="340">
        <f t="shared" si="247"/>
        <v>96876.08</v>
      </c>
      <c r="CN176" s="340">
        <f t="shared" si="248"/>
        <v>97731.71</v>
      </c>
      <c r="CO176" s="340">
        <f t="shared" si="249"/>
        <v>96635.17</v>
      </c>
      <c r="CP176" s="340">
        <f t="shared" si="250"/>
        <v>111178.70000000001</v>
      </c>
      <c r="CQ176" s="340">
        <f t="shared" si="251"/>
        <v>157950</v>
      </c>
      <c r="CR176" s="122"/>
      <c r="CS176" s="340" t="s">
        <v>60</v>
      </c>
      <c r="CT176" s="340">
        <f t="shared" si="252"/>
        <v>312137.68</v>
      </c>
      <c r="CU176" s="340">
        <f t="shared" si="253"/>
        <v>434300</v>
      </c>
      <c r="CV176" s="340">
        <f t="shared" si="254"/>
        <v>421600.62</v>
      </c>
      <c r="CW176" s="340">
        <f t="shared" si="255"/>
        <v>484611.12</v>
      </c>
      <c r="CX176" s="340">
        <f t="shared" si="256"/>
        <v>549401.93999999994</v>
      </c>
      <c r="CY176" s="340">
        <f t="shared" si="257"/>
        <v>512271.35999999999</v>
      </c>
      <c r="CZ176" s="340">
        <f t="shared" si="258"/>
        <v>460075.22</v>
      </c>
      <c r="DA176" s="340">
        <f t="shared" si="259"/>
        <v>386787.74</v>
      </c>
      <c r="DB176" s="340">
        <f t="shared" si="260"/>
        <v>415645.89999999991</v>
      </c>
      <c r="DC176" s="340">
        <f t="shared" si="261"/>
        <v>440449.42</v>
      </c>
      <c r="DD176" s="340">
        <f t="shared" si="262"/>
        <v>498034.47000000003</v>
      </c>
      <c r="DE176" s="340">
        <f t="shared" si="263"/>
        <v>463425.2</v>
      </c>
      <c r="DF176" s="340">
        <f t="shared" si="264"/>
        <v>435894.09</v>
      </c>
      <c r="DG176" s="340">
        <f t="shared" si="265"/>
        <v>408966.68</v>
      </c>
      <c r="DH176" s="340">
        <f t="shared" si="266"/>
        <v>396823.39999999997</v>
      </c>
      <c r="DI176" s="340">
        <f t="shared" si="267"/>
        <v>407643.95999999996</v>
      </c>
      <c r="DJ176" s="340">
        <f t="shared" si="268"/>
        <v>536408.29999999993</v>
      </c>
      <c r="DK176" s="340">
        <f t="shared" si="269"/>
        <v>450134.55000000005</v>
      </c>
      <c r="DL176" s="340">
        <f t="shared" si="270"/>
        <v>407094.03</v>
      </c>
      <c r="DM176" s="340">
        <f t="shared" si="271"/>
        <v>509053.33999999997</v>
      </c>
      <c r="DN176" s="340">
        <f t="shared" si="272"/>
        <v>501854.49</v>
      </c>
      <c r="DO176" s="340">
        <f t="shared" si="273"/>
        <v>623980</v>
      </c>
      <c r="DP176" s="330"/>
      <c r="DQ176" s="340" t="s">
        <v>60</v>
      </c>
      <c r="DR176" s="340">
        <f t="shared" ref="DR176:EM176" si="368">DR78</f>
        <v>165249.35999999999</v>
      </c>
      <c r="DS176" s="340">
        <f t="shared" si="368"/>
        <v>173720</v>
      </c>
      <c r="DT176" s="340">
        <f t="shared" si="368"/>
        <v>200762.2</v>
      </c>
      <c r="DU176" s="340">
        <f t="shared" si="368"/>
        <v>197434.16</v>
      </c>
      <c r="DV176" s="340">
        <f t="shared" si="368"/>
        <v>223830.42</v>
      </c>
      <c r="DW176" s="340">
        <f t="shared" si="368"/>
        <v>277480.32000000001</v>
      </c>
      <c r="DX176" s="340">
        <f t="shared" si="368"/>
        <v>292775.14</v>
      </c>
      <c r="DY176" s="340">
        <f t="shared" si="368"/>
        <v>341283.3</v>
      </c>
      <c r="DZ176" s="340">
        <f t="shared" si="368"/>
        <v>383141.36000000004</v>
      </c>
      <c r="EA176" s="340">
        <f t="shared" si="368"/>
        <v>419963.97000000009</v>
      </c>
      <c r="EB176" s="340">
        <f t="shared" si="368"/>
        <v>436620.12</v>
      </c>
      <c r="EC176" s="340">
        <f t="shared" si="368"/>
        <v>454836.77999999997</v>
      </c>
      <c r="ED176" s="340">
        <f t="shared" si="368"/>
        <v>476865.85</v>
      </c>
      <c r="EE176" s="340">
        <f t="shared" si="368"/>
        <v>466898.56</v>
      </c>
      <c r="EF176" s="340">
        <f t="shared" si="368"/>
        <v>523600.74</v>
      </c>
      <c r="EG176" s="340">
        <f t="shared" si="368"/>
        <v>544704.30000000005</v>
      </c>
      <c r="EH176" s="340">
        <f t="shared" si="368"/>
        <v>640510.16999999993</v>
      </c>
      <c r="EI176" s="340">
        <f t="shared" si="368"/>
        <v>626756.89</v>
      </c>
      <c r="EJ176" s="340">
        <f t="shared" si="368"/>
        <v>670815.37</v>
      </c>
      <c r="EK176" s="340">
        <f t="shared" si="368"/>
        <v>620330.22000000009</v>
      </c>
      <c r="EL176" s="340">
        <f t="shared" si="368"/>
        <v>686025.76</v>
      </c>
      <c r="EM176" s="340">
        <f t="shared" si="368"/>
        <v>867500</v>
      </c>
      <c r="EO176" s="319" t="s">
        <v>60</v>
      </c>
      <c r="EP176" s="319">
        <f t="shared" si="275"/>
        <v>624275.36</v>
      </c>
      <c r="EQ176" s="319">
        <f t="shared" si="276"/>
        <v>469044</v>
      </c>
      <c r="ER176" s="319">
        <f t="shared" si="277"/>
        <v>481829.28</v>
      </c>
      <c r="ES176" s="319">
        <f t="shared" si="278"/>
        <v>448714</v>
      </c>
      <c r="ET176" s="319">
        <f t="shared" si="279"/>
        <v>549401.93999999994</v>
      </c>
      <c r="EU176" s="319">
        <f t="shared" si="280"/>
        <v>597649.92000000004</v>
      </c>
      <c r="EV176" s="319">
        <f t="shared" si="281"/>
        <v>585550.28</v>
      </c>
      <c r="EW176" s="319">
        <f t="shared" si="282"/>
        <v>637062.15999999992</v>
      </c>
      <c r="EX176" s="319">
        <f t="shared" si="283"/>
        <v>703903.93</v>
      </c>
      <c r="EY176" s="319">
        <f t="shared" si="284"/>
        <v>765944.32000000007</v>
      </c>
      <c r="EZ176" s="319">
        <f t="shared" si="285"/>
        <v>798086.34999999986</v>
      </c>
      <c r="FA176" s="319">
        <f t="shared" si="286"/>
        <v>858465.56</v>
      </c>
      <c r="FB176" s="319">
        <f t="shared" si="287"/>
        <v>799706.85000000009</v>
      </c>
      <c r="FC176" s="319">
        <f t="shared" si="288"/>
        <v>729216.67999999993</v>
      </c>
      <c r="FD176" s="319">
        <f t="shared" si="289"/>
        <v>682325.77</v>
      </c>
      <c r="FE176" s="319">
        <f t="shared" si="290"/>
        <v>898049.18000000017</v>
      </c>
      <c r="FF176" s="322">
        <f t="shared" si="291"/>
        <v>871586.38000000012</v>
      </c>
      <c r="FG176" s="336">
        <f t="shared" si="292"/>
        <v>941521.13000000012</v>
      </c>
      <c r="FH176" s="336">
        <f t="shared" si="293"/>
        <v>807962.61</v>
      </c>
      <c r="FI176" s="336">
        <f t="shared" si="294"/>
        <v>777534.34</v>
      </c>
      <c r="FJ176" s="336">
        <f t="shared" si="295"/>
        <v>899209.12000000011</v>
      </c>
      <c r="FK176" s="336">
        <f t="shared" si="296"/>
        <v>896700</v>
      </c>
      <c r="FL176" s="122"/>
      <c r="FM176" s="340" t="s">
        <v>60</v>
      </c>
      <c r="FN176" s="340">
        <f t="shared" si="297"/>
        <v>73444.160000000003</v>
      </c>
      <c r="FO176" s="340">
        <f t="shared" si="298"/>
        <v>69488</v>
      </c>
      <c r="FP176" s="340">
        <f t="shared" si="299"/>
        <v>80304.88</v>
      </c>
      <c r="FQ176" s="340">
        <f t="shared" si="300"/>
        <v>89742.8</v>
      </c>
      <c r="FR176" s="340">
        <f t="shared" si="301"/>
        <v>101741.1</v>
      </c>
      <c r="FS176" s="340">
        <f t="shared" si="302"/>
        <v>106723.2</v>
      </c>
      <c r="FT176" s="340">
        <f t="shared" si="303"/>
        <v>104562.55</v>
      </c>
      <c r="FU176" s="340">
        <f t="shared" si="304"/>
        <v>113761.1</v>
      </c>
      <c r="FV176" s="340">
        <f t="shared" si="305"/>
        <v>120659.6</v>
      </c>
      <c r="FW176" s="340">
        <f t="shared" si="306"/>
        <v>125745.16</v>
      </c>
      <c r="FX176" s="340">
        <f t="shared" si="307"/>
        <v>129150.34</v>
      </c>
      <c r="FY176" s="340">
        <f t="shared" si="308"/>
        <v>131768.97</v>
      </c>
      <c r="FZ176" s="340">
        <f t="shared" si="309"/>
        <v>135880.75</v>
      </c>
      <c r="GA176" s="340">
        <f t="shared" si="310"/>
        <v>134812.08000000002</v>
      </c>
      <c r="GB176" s="340">
        <f t="shared" si="311"/>
        <v>134006.47</v>
      </c>
      <c r="GC176" s="340">
        <f t="shared" si="312"/>
        <v>136885.97</v>
      </c>
      <c r="GD176" s="340">
        <f t="shared" si="313"/>
        <v>142777.33000000002</v>
      </c>
      <c r="GE176" s="340">
        <f t="shared" si="314"/>
        <v>143919.66</v>
      </c>
      <c r="GF176" s="340">
        <f t="shared" si="315"/>
        <v>146072.95999999999</v>
      </c>
      <c r="GG176" s="340">
        <f t="shared" si="316"/>
        <v>140650.33000000002</v>
      </c>
      <c r="GH176" s="340">
        <f t="shared" si="317"/>
        <v>150519.64000000001</v>
      </c>
      <c r="GI176" s="340">
        <f t="shared" si="318"/>
        <v>154466</v>
      </c>
      <c r="GJ176" s="122"/>
      <c r="GK176" s="340" t="s">
        <v>60</v>
      </c>
      <c r="GL176" s="340">
        <f t="shared" si="319"/>
        <v>91805.2</v>
      </c>
      <c r="GM176" s="340">
        <f t="shared" si="320"/>
        <v>52116</v>
      </c>
      <c r="GN176" s="340">
        <f t="shared" si="321"/>
        <v>180685.98</v>
      </c>
      <c r="GO176" s="340">
        <f t="shared" si="322"/>
        <v>0</v>
      </c>
      <c r="GP176" s="340">
        <f t="shared" si="323"/>
        <v>0</v>
      </c>
      <c r="GQ176" s="340">
        <f t="shared" si="324"/>
        <v>0</v>
      </c>
      <c r="GR176" s="340">
        <f t="shared" si="325"/>
        <v>0</v>
      </c>
      <c r="GS176" s="340">
        <f t="shared" si="326"/>
        <v>136513.32</v>
      </c>
      <c r="GT176" s="340">
        <f t="shared" si="327"/>
        <v>153301.51</v>
      </c>
      <c r="GU176" s="340">
        <f t="shared" si="328"/>
        <v>183644.21000000002</v>
      </c>
      <c r="GV176" s="340">
        <f t="shared" si="329"/>
        <v>135758.51999999999</v>
      </c>
      <c r="GW176" s="340">
        <f t="shared" si="330"/>
        <v>145627.60999999999</v>
      </c>
      <c r="GX176" s="340">
        <f t="shared" si="331"/>
        <v>183921.53999999998</v>
      </c>
      <c r="GY176" s="340">
        <f t="shared" si="332"/>
        <v>169305.03</v>
      </c>
      <c r="GZ176" s="340">
        <f t="shared" si="333"/>
        <v>172209.98</v>
      </c>
      <c r="HA176" s="340">
        <f t="shared" si="334"/>
        <v>172255.83</v>
      </c>
      <c r="HB176" s="340">
        <f t="shared" si="335"/>
        <v>271902.24</v>
      </c>
      <c r="HC176" s="340">
        <f t="shared" si="336"/>
        <v>148227.19</v>
      </c>
      <c r="HD176" s="340">
        <f t="shared" si="337"/>
        <v>162883.19999999998</v>
      </c>
      <c r="HE176" s="340">
        <f t="shared" si="338"/>
        <v>159174.91</v>
      </c>
      <c r="HF176" s="340">
        <f t="shared" si="339"/>
        <v>189853.69</v>
      </c>
      <c r="HG176" s="340">
        <f t="shared" si="340"/>
        <v>195000</v>
      </c>
      <c r="HH176" s="122"/>
      <c r="IF176" s="122"/>
      <c r="IG176" s="122"/>
      <c r="IH176" s="122"/>
      <c r="II176" s="122"/>
      <c r="IJ176" s="122"/>
      <c r="IK176" s="122"/>
      <c r="IL176" s="122"/>
      <c r="IN176" s="118"/>
      <c r="IP176" s="122"/>
      <c r="IQ176" s="122"/>
      <c r="IR176" s="122"/>
      <c r="IS176" s="122"/>
      <c r="IT176" s="122"/>
      <c r="IU176" s="122"/>
      <c r="IV176" s="122"/>
      <c r="IW176" s="122"/>
      <c r="IX176" s="122"/>
      <c r="IY176" s="122"/>
      <c r="IZ176" s="122"/>
      <c r="JA176" s="122"/>
      <c r="JB176" s="122"/>
      <c r="JC176" s="122"/>
      <c r="JD176" s="122"/>
      <c r="JE176" s="122"/>
      <c r="JF176" s="122"/>
      <c r="JG176" s="122"/>
      <c r="JH176" s="122"/>
      <c r="JI176" s="122"/>
      <c r="JK176" s="118"/>
      <c r="JL176" s="118"/>
      <c r="JY176" s="122"/>
      <c r="JZ176" s="122"/>
      <c r="KA176" s="122"/>
      <c r="KB176" s="122"/>
      <c r="LX176" s="122"/>
      <c r="LY176" s="122"/>
      <c r="LZ176" s="122"/>
      <c r="MB176" s="118"/>
      <c r="MC176" s="118"/>
      <c r="MP176" s="122"/>
      <c r="MQ176" s="122"/>
      <c r="MR176" s="122"/>
      <c r="MS176" s="122"/>
      <c r="MT176" s="122"/>
      <c r="MU176" s="122"/>
      <c r="MV176" s="122"/>
      <c r="OS176" s="118"/>
      <c r="OT176" s="118"/>
      <c r="PC176" s="122"/>
      <c r="PD176" s="122"/>
      <c r="PE176" s="122"/>
      <c r="PF176" s="122"/>
      <c r="PG176" s="122"/>
      <c r="PH176" s="122"/>
      <c r="PI176" s="122"/>
      <c r="PJ176" s="122"/>
      <c r="PP176" s="118"/>
      <c r="PQ176" s="118"/>
      <c r="PZ176" s="122"/>
      <c r="QA176" s="122"/>
      <c r="QB176" s="122"/>
      <c r="QC176" s="122"/>
      <c r="QD176" s="122"/>
      <c r="QE176" s="122"/>
      <c r="QF176" s="122"/>
      <c r="QG176" s="122"/>
      <c r="QM176" s="118"/>
      <c r="QN176" s="118"/>
      <c r="RE176" s="118"/>
      <c r="RF176" s="118"/>
      <c r="RG176" s="118"/>
      <c r="RH176" s="118"/>
      <c r="RI176" s="118"/>
      <c r="RJ176" s="118"/>
      <c r="RK176" s="118"/>
    </row>
    <row r="177" spans="25:479">
      <c r="Y177" s="277" t="s">
        <v>61</v>
      </c>
      <c r="Z177" s="319">
        <f t="shared" si="186"/>
        <v>710468.75</v>
      </c>
      <c r="AA177" s="319">
        <f t="shared" si="187"/>
        <v>605761.67999999993</v>
      </c>
      <c r="AB177" s="319">
        <f t="shared" si="188"/>
        <v>726892.4</v>
      </c>
      <c r="AC177" s="319">
        <f t="shared" si="189"/>
        <v>689980.05999999994</v>
      </c>
      <c r="AD177" s="319">
        <f t="shared" si="190"/>
        <v>888287.28</v>
      </c>
      <c r="AE177" s="319">
        <f t="shared" si="191"/>
        <v>744462.4</v>
      </c>
      <c r="AF177" s="319">
        <f t="shared" si="192"/>
        <v>915844.55</v>
      </c>
      <c r="AG177" s="319">
        <f t="shared" si="193"/>
        <v>979297.45000000007</v>
      </c>
      <c r="AH177" s="319">
        <f t="shared" si="194"/>
        <v>1250923</v>
      </c>
      <c r="AI177" s="319">
        <f t="shared" si="195"/>
        <v>1364011</v>
      </c>
      <c r="AJ177" s="319">
        <f t="shared" si="196"/>
        <v>1467512</v>
      </c>
      <c r="AK177" s="319">
        <f t="shared" si="197"/>
        <v>1202841</v>
      </c>
      <c r="AL177" s="319">
        <f t="shared" si="198"/>
        <v>1386361</v>
      </c>
      <c r="AM177" s="319">
        <f t="shared" si="199"/>
        <v>1265630</v>
      </c>
      <c r="AN177" s="319">
        <f t="shared" si="200"/>
        <v>1414685</v>
      </c>
      <c r="AO177" s="319">
        <f t="shared" si="201"/>
        <v>1281728</v>
      </c>
      <c r="AP177" s="319">
        <f t="shared" si="202"/>
        <v>1490533</v>
      </c>
      <c r="AQ177" s="319">
        <f t="shared" si="203"/>
        <v>1488155</v>
      </c>
      <c r="AR177" s="319">
        <f t="shared" si="204"/>
        <v>1624491</v>
      </c>
      <c r="AS177" s="319">
        <f t="shared" si="205"/>
        <v>1477853</v>
      </c>
      <c r="AT177" s="319">
        <f t="shared" si="206"/>
        <v>1621440</v>
      </c>
      <c r="AU177" s="319">
        <f t="shared" si="207"/>
        <v>1561326</v>
      </c>
      <c r="AW177" s="322" t="s">
        <v>61</v>
      </c>
      <c r="AX177" s="322">
        <f t="shared" si="208"/>
        <v>539956.25</v>
      </c>
      <c r="AY177" s="322">
        <f t="shared" si="209"/>
        <v>677027.76</v>
      </c>
      <c r="AZ177" s="322">
        <f t="shared" si="210"/>
        <v>763237.02</v>
      </c>
      <c r="BA177" s="322">
        <f t="shared" si="211"/>
        <v>617350.58000000007</v>
      </c>
      <c r="BB177" s="322">
        <f t="shared" si="212"/>
        <v>629203.49</v>
      </c>
      <c r="BC177" s="322">
        <f t="shared" si="213"/>
        <v>707239.28</v>
      </c>
      <c r="BD177" s="322">
        <f t="shared" si="214"/>
        <v>719525.17</v>
      </c>
      <c r="BE177" s="322">
        <f t="shared" si="215"/>
        <v>425781.5</v>
      </c>
      <c r="BF177" s="322">
        <f t="shared" si="216"/>
        <v>448783</v>
      </c>
      <c r="BG177" s="322">
        <f t="shared" si="217"/>
        <v>450996</v>
      </c>
      <c r="BH177" s="322">
        <f t="shared" si="218"/>
        <v>477789</v>
      </c>
      <c r="BI177" s="322">
        <f t="shared" si="219"/>
        <v>460557</v>
      </c>
      <c r="BJ177" s="322">
        <f t="shared" si="220"/>
        <v>500971</v>
      </c>
      <c r="BK177" s="322">
        <f t="shared" si="221"/>
        <v>601195</v>
      </c>
      <c r="BL177" s="322">
        <f t="shared" si="222"/>
        <v>557739</v>
      </c>
      <c r="BM177" s="322">
        <f t="shared" si="223"/>
        <v>551819</v>
      </c>
      <c r="BN177" s="322">
        <f t="shared" si="224"/>
        <v>525585</v>
      </c>
      <c r="BO177" s="340">
        <f t="shared" si="225"/>
        <v>597891</v>
      </c>
      <c r="BP177" s="340">
        <f t="shared" si="226"/>
        <v>529572</v>
      </c>
      <c r="BQ177" s="340">
        <f t="shared" si="227"/>
        <v>541528</v>
      </c>
      <c r="BR177" s="340">
        <f t="shared" si="228"/>
        <v>510813</v>
      </c>
      <c r="BS177" s="340">
        <f t="shared" si="229"/>
        <v>558970</v>
      </c>
      <c r="BU177" s="340" t="s">
        <v>61</v>
      </c>
      <c r="BV177" s="340">
        <f t="shared" si="230"/>
        <v>56837.5</v>
      </c>
      <c r="BW177" s="340">
        <f t="shared" si="231"/>
        <v>35633.040000000001</v>
      </c>
      <c r="BX177" s="340">
        <f t="shared" si="232"/>
        <v>36344.620000000003</v>
      </c>
      <c r="BY177" s="340">
        <f t="shared" si="233"/>
        <v>36314.74</v>
      </c>
      <c r="BZ177" s="340">
        <f t="shared" si="234"/>
        <v>111035.91</v>
      </c>
      <c r="CA177" s="340">
        <f t="shared" si="235"/>
        <v>74446.240000000005</v>
      </c>
      <c r="CB177" s="340">
        <f t="shared" si="236"/>
        <v>84650.02</v>
      </c>
      <c r="CC177" s="340">
        <f t="shared" si="237"/>
        <v>85156.3</v>
      </c>
      <c r="CD177" s="340">
        <f t="shared" si="238"/>
        <v>90950</v>
      </c>
      <c r="CE177" s="340">
        <f t="shared" si="239"/>
        <v>125333</v>
      </c>
      <c r="CF177" s="340">
        <f t="shared" si="240"/>
        <v>119928</v>
      </c>
      <c r="CG177" s="340">
        <f t="shared" si="241"/>
        <v>126639</v>
      </c>
      <c r="CH177" s="340">
        <f t="shared" si="242"/>
        <v>123422</v>
      </c>
      <c r="CI177" s="340">
        <f t="shared" si="243"/>
        <v>128026</v>
      </c>
      <c r="CJ177" s="340">
        <f t="shared" si="244"/>
        <v>142936</v>
      </c>
      <c r="CK177" s="340">
        <f t="shared" si="245"/>
        <v>128773</v>
      </c>
      <c r="CL177" s="340">
        <f t="shared" si="246"/>
        <v>134404</v>
      </c>
      <c r="CM177" s="340">
        <f t="shared" si="247"/>
        <v>177675</v>
      </c>
      <c r="CN177" s="340">
        <f t="shared" si="248"/>
        <v>175698</v>
      </c>
      <c r="CO177" s="340">
        <f t="shared" si="249"/>
        <v>204657</v>
      </c>
      <c r="CP177" s="340">
        <f t="shared" si="250"/>
        <v>198186</v>
      </c>
      <c r="CQ177" s="340">
        <f t="shared" si="251"/>
        <v>216872</v>
      </c>
      <c r="CR177" s="122"/>
      <c r="CS177" s="340" t="s">
        <v>61</v>
      </c>
      <c r="CT177" s="340">
        <f t="shared" si="252"/>
        <v>85256.25</v>
      </c>
      <c r="CU177" s="340">
        <f t="shared" si="253"/>
        <v>142532.16</v>
      </c>
      <c r="CV177" s="340">
        <f t="shared" si="254"/>
        <v>181723.1</v>
      </c>
      <c r="CW177" s="340">
        <f t="shared" si="255"/>
        <v>399462.13999999996</v>
      </c>
      <c r="CX177" s="340">
        <f t="shared" si="256"/>
        <v>148047.88</v>
      </c>
      <c r="CY177" s="340">
        <f t="shared" si="257"/>
        <v>223338.72000000003</v>
      </c>
      <c r="CZ177" s="340">
        <f t="shared" si="258"/>
        <v>253950.06</v>
      </c>
      <c r="DA177" s="340">
        <f t="shared" si="259"/>
        <v>383203.35</v>
      </c>
      <c r="DB177" s="340">
        <f t="shared" si="260"/>
        <v>365754</v>
      </c>
      <c r="DC177" s="340">
        <f t="shared" si="261"/>
        <v>530503</v>
      </c>
      <c r="DD177" s="340">
        <f t="shared" si="262"/>
        <v>458223</v>
      </c>
      <c r="DE177" s="340">
        <f t="shared" si="263"/>
        <v>528873</v>
      </c>
      <c r="DF177" s="340">
        <f t="shared" si="264"/>
        <v>662572</v>
      </c>
      <c r="DG177" s="340">
        <f t="shared" si="265"/>
        <v>766648</v>
      </c>
      <c r="DH177" s="340">
        <f t="shared" si="266"/>
        <v>1033791</v>
      </c>
      <c r="DI177" s="340">
        <f t="shared" si="267"/>
        <v>662127</v>
      </c>
      <c r="DJ177" s="340">
        <f t="shared" si="268"/>
        <v>725853</v>
      </c>
      <c r="DK177" s="340">
        <f t="shared" si="269"/>
        <v>574993</v>
      </c>
      <c r="DL177" s="340">
        <f t="shared" si="270"/>
        <v>533810</v>
      </c>
      <c r="DM177" s="340">
        <f t="shared" si="271"/>
        <v>560294</v>
      </c>
      <c r="DN177" s="340">
        <f t="shared" si="272"/>
        <v>400382</v>
      </c>
      <c r="DO177" s="340">
        <f t="shared" si="273"/>
        <v>427687</v>
      </c>
      <c r="DP177" s="330"/>
      <c r="DQ177" s="340" t="s">
        <v>61</v>
      </c>
      <c r="DR177" s="340">
        <f t="shared" ref="DR177:EM177" si="369">DR79</f>
        <v>369443.75</v>
      </c>
      <c r="DS177" s="340">
        <f t="shared" si="369"/>
        <v>391963.44</v>
      </c>
      <c r="DT177" s="340">
        <f t="shared" si="369"/>
        <v>363446.2</v>
      </c>
      <c r="DU177" s="340">
        <f t="shared" si="369"/>
        <v>326832.65999999997</v>
      </c>
      <c r="DV177" s="340">
        <f t="shared" si="369"/>
        <v>296095.76</v>
      </c>
      <c r="DW177" s="340">
        <f t="shared" si="369"/>
        <v>335008.08</v>
      </c>
      <c r="DX177" s="340">
        <f t="shared" si="369"/>
        <v>380925.09</v>
      </c>
      <c r="DY177" s="340">
        <f t="shared" si="369"/>
        <v>425781.5</v>
      </c>
      <c r="DZ177" s="340">
        <f t="shared" si="369"/>
        <v>335310</v>
      </c>
      <c r="EA177" s="340">
        <f t="shared" si="369"/>
        <v>351537</v>
      </c>
      <c r="EB177" s="340">
        <f t="shared" si="369"/>
        <v>374655</v>
      </c>
      <c r="EC177" s="340">
        <f t="shared" si="369"/>
        <v>417107</v>
      </c>
      <c r="ED177" s="340">
        <f t="shared" si="369"/>
        <v>463946</v>
      </c>
      <c r="EE177" s="340">
        <f t="shared" si="369"/>
        <v>469704</v>
      </c>
      <c r="EF177" s="340">
        <f t="shared" si="369"/>
        <v>469720</v>
      </c>
      <c r="EG177" s="340">
        <f t="shared" si="369"/>
        <v>499659</v>
      </c>
      <c r="EH177" s="340">
        <f t="shared" si="369"/>
        <v>525119</v>
      </c>
      <c r="EI177" s="340">
        <f t="shared" si="369"/>
        <v>0</v>
      </c>
      <c r="EJ177" s="340">
        <f t="shared" si="369"/>
        <v>0</v>
      </c>
      <c r="EK177" s="340">
        <f t="shared" si="369"/>
        <v>0</v>
      </c>
      <c r="EL177" s="340">
        <f t="shared" si="369"/>
        <v>0</v>
      </c>
      <c r="EM177" s="340">
        <f t="shared" si="369"/>
        <v>0</v>
      </c>
      <c r="EO177" s="319" t="s">
        <v>61</v>
      </c>
      <c r="EP177" s="319">
        <f t="shared" si="275"/>
        <v>738887.5</v>
      </c>
      <c r="EQ177" s="319">
        <f t="shared" si="276"/>
        <v>819559.92</v>
      </c>
      <c r="ER177" s="319">
        <f t="shared" si="277"/>
        <v>872270.88</v>
      </c>
      <c r="ES177" s="319">
        <f t="shared" si="278"/>
        <v>944183.24</v>
      </c>
      <c r="ET177" s="319">
        <f t="shared" si="279"/>
        <v>1184383.04</v>
      </c>
      <c r="EU177" s="319">
        <f t="shared" si="280"/>
        <v>1079470.48</v>
      </c>
      <c r="EV177" s="319">
        <f t="shared" si="281"/>
        <v>1354400.3199999998</v>
      </c>
      <c r="EW177" s="319">
        <f t="shared" si="282"/>
        <v>1405078.9500000002</v>
      </c>
      <c r="EX177" s="319">
        <f t="shared" si="283"/>
        <v>0</v>
      </c>
      <c r="EY177" s="319">
        <f t="shared" si="284"/>
        <v>0</v>
      </c>
      <c r="EZ177" s="319">
        <f t="shared" si="285"/>
        <v>0</v>
      </c>
      <c r="FA177" s="319">
        <f t="shared" si="286"/>
        <v>0</v>
      </c>
      <c r="FB177" s="319">
        <f t="shared" si="287"/>
        <v>0</v>
      </c>
      <c r="FC177" s="319">
        <f t="shared" si="288"/>
        <v>0</v>
      </c>
      <c r="FD177" s="319">
        <f t="shared" si="289"/>
        <v>0</v>
      </c>
      <c r="FE177" s="319">
        <f t="shared" si="290"/>
        <v>0</v>
      </c>
      <c r="FF177" s="322">
        <f t="shared" si="291"/>
        <v>0</v>
      </c>
      <c r="FG177" s="336">
        <f t="shared" si="292"/>
        <v>0</v>
      </c>
      <c r="FH177" s="336">
        <f t="shared" si="293"/>
        <v>0</v>
      </c>
      <c r="FI177" s="336">
        <f t="shared" si="294"/>
        <v>0</v>
      </c>
      <c r="FJ177" s="336">
        <f t="shared" si="295"/>
        <v>0</v>
      </c>
      <c r="FK177" s="336">
        <f t="shared" si="296"/>
        <v>0</v>
      </c>
      <c r="FL177" s="122"/>
      <c r="FM177" s="340" t="s">
        <v>61</v>
      </c>
      <c r="FN177" s="340">
        <f t="shared" si="297"/>
        <v>198931.25</v>
      </c>
      <c r="FO177" s="340">
        <f t="shared" si="298"/>
        <v>213798.24</v>
      </c>
      <c r="FP177" s="340">
        <f t="shared" si="299"/>
        <v>218067.72</v>
      </c>
      <c r="FQ177" s="340">
        <f t="shared" si="300"/>
        <v>290517.92</v>
      </c>
      <c r="FR177" s="340">
        <f t="shared" si="301"/>
        <v>296095.76</v>
      </c>
      <c r="FS177" s="340">
        <f t="shared" si="302"/>
        <v>372231.2</v>
      </c>
      <c r="FT177" s="340">
        <f t="shared" si="303"/>
        <v>338600.08</v>
      </c>
      <c r="FU177" s="340">
        <f t="shared" si="304"/>
        <v>383203.35</v>
      </c>
      <c r="FV177" s="340">
        <f t="shared" si="305"/>
        <v>414067</v>
      </c>
      <c r="FW177" s="340">
        <f t="shared" si="306"/>
        <v>458767</v>
      </c>
      <c r="FX177" s="340">
        <f t="shared" si="307"/>
        <v>481468</v>
      </c>
      <c r="FY177" s="340">
        <f t="shared" si="308"/>
        <v>473960</v>
      </c>
      <c r="FZ177" s="340">
        <f t="shared" si="309"/>
        <v>511172</v>
      </c>
      <c r="GA177" s="340">
        <f t="shared" si="310"/>
        <v>465379</v>
      </c>
      <c r="GB177" s="340">
        <f t="shared" si="311"/>
        <v>473638</v>
      </c>
      <c r="GC177" s="340">
        <f t="shared" si="312"/>
        <v>505986</v>
      </c>
      <c r="GD177" s="340">
        <f t="shared" si="313"/>
        <v>618017</v>
      </c>
      <c r="GE177" s="340">
        <f t="shared" si="314"/>
        <v>694331</v>
      </c>
      <c r="GF177" s="340">
        <f t="shared" si="315"/>
        <v>701054</v>
      </c>
      <c r="GG177" s="340">
        <f t="shared" si="316"/>
        <v>697785</v>
      </c>
      <c r="GH177" s="340">
        <f t="shared" si="317"/>
        <v>717137</v>
      </c>
      <c r="GI177" s="340">
        <f t="shared" si="318"/>
        <v>794327</v>
      </c>
      <c r="GJ177" s="122"/>
      <c r="GK177" s="340" t="s">
        <v>61</v>
      </c>
      <c r="GL177" s="340">
        <f t="shared" si="319"/>
        <v>142093.75</v>
      </c>
      <c r="GM177" s="340">
        <f t="shared" si="320"/>
        <v>677027.76</v>
      </c>
      <c r="GN177" s="340">
        <f t="shared" si="321"/>
        <v>472480.06</v>
      </c>
      <c r="GO177" s="340">
        <f t="shared" si="322"/>
        <v>326832.65999999997</v>
      </c>
      <c r="GP177" s="340">
        <f t="shared" si="323"/>
        <v>148047.88</v>
      </c>
      <c r="GQ177" s="340">
        <f t="shared" si="324"/>
        <v>186115.6</v>
      </c>
      <c r="GR177" s="340">
        <f t="shared" si="325"/>
        <v>169300.04</v>
      </c>
      <c r="GS177" s="340">
        <f t="shared" si="326"/>
        <v>170312.6</v>
      </c>
      <c r="GT177" s="340">
        <f t="shared" si="327"/>
        <v>802759</v>
      </c>
      <c r="GU177" s="340">
        <f t="shared" si="328"/>
        <v>747238</v>
      </c>
      <c r="GV177" s="340">
        <f t="shared" si="329"/>
        <v>748062</v>
      </c>
      <c r="GW177" s="340">
        <f t="shared" si="330"/>
        <v>731715</v>
      </c>
      <c r="GX177" s="340">
        <f t="shared" si="331"/>
        <v>737795</v>
      </c>
      <c r="GY177" s="340">
        <f t="shared" si="332"/>
        <v>761595</v>
      </c>
      <c r="GZ177" s="340">
        <f t="shared" si="333"/>
        <v>730717</v>
      </c>
      <c r="HA177" s="340">
        <f t="shared" si="334"/>
        <v>730865</v>
      </c>
      <c r="HB177" s="340">
        <f t="shared" si="335"/>
        <v>738111</v>
      </c>
      <c r="HC177" s="340">
        <f t="shared" si="336"/>
        <v>803101</v>
      </c>
      <c r="HD177" s="340">
        <f t="shared" si="337"/>
        <v>717220</v>
      </c>
      <c r="HE177" s="340">
        <f t="shared" si="338"/>
        <v>716070</v>
      </c>
      <c r="HF177" s="340">
        <f t="shared" si="339"/>
        <v>715645</v>
      </c>
      <c r="HG177" s="340">
        <f t="shared" si="340"/>
        <v>765645</v>
      </c>
      <c r="HH177" s="122"/>
      <c r="IF177" s="122"/>
      <c r="IG177" s="122"/>
      <c r="IH177" s="122"/>
      <c r="II177" s="122"/>
      <c r="IJ177" s="122"/>
      <c r="IK177" s="122"/>
      <c r="IL177" s="122"/>
      <c r="IN177" s="118"/>
      <c r="IP177" s="122"/>
      <c r="IQ177" s="122"/>
      <c r="IR177" s="122"/>
      <c r="IS177" s="122"/>
      <c r="IT177" s="122"/>
      <c r="IU177" s="122"/>
      <c r="IV177" s="122"/>
      <c r="IW177" s="122"/>
      <c r="IX177" s="122"/>
      <c r="IY177" s="122"/>
      <c r="IZ177" s="122"/>
      <c r="JA177" s="122"/>
      <c r="JB177" s="122"/>
      <c r="JC177" s="122"/>
      <c r="JD177" s="122"/>
      <c r="JE177" s="122"/>
      <c r="JF177" s="122"/>
      <c r="JG177" s="122"/>
      <c r="JH177" s="122"/>
      <c r="JI177" s="122"/>
      <c r="JK177" s="118"/>
      <c r="JL177" s="118"/>
      <c r="JY177" s="122"/>
      <c r="JZ177" s="122"/>
      <c r="KA177" s="122"/>
      <c r="KB177" s="122"/>
      <c r="LX177" s="122"/>
      <c r="LY177" s="122"/>
      <c r="LZ177" s="122"/>
      <c r="MB177" s="118"/>
      <c r="MC177" s="118"/>
      <c r="MP177" s="122"/>
      <c r="MQ177" s="122"/>
      <c r="MR177" s="122"/>
      <c r="MS177" s="122"/>
      <c r="MT177" s="122"/>
      <c r="MU177" s="122"/>
      <c r="MV177" s="122"/>
      <c r="OS177" s="118"/>
      <c r="OT177" s="118"/>
      <c r="PC177" s="122"/>
      <c r="PD177" s="122"/>
      <c r="PE177" s="122"/>
      <c r="PF177" s="122"/>
      <c r="PG177" s="122"/>
      <c r="PH177" s="122"/>
      <c r="PI177" s="122"/>
      <c r="PJ177" s="122"/>
      <c r="PP177" s="118"/>
      <c r="PQ177" s="118"/>
      <c r="PZ177" s="122"/>
      <c r="QA177" s="122"/>
      <c r="QB177" s="122"/>
      <c r="QC177" s="122"/>
      <c r="QD177" s="122"/>
      <c r="QE177" s="122"/>
      <c r="QF177" s="122"/>
      <c r="QG177" s="122"/>
      <c r="QM177" s="118"/>
      <c r="QN177" s="118"/>
      <c r="RE177" s="118"/>
      <c r="RF177" s="118"/>
      <c r="RG177" s="118"/>
      <c r="RH177" s="118"/>
      <c r="RI177" s="118"/>
      <c r="RJ177" s="118"/>
      <c r="RK177" s="118"/>
    </row>
    <row r="178" spans="25:479">
      <c r="Y178" s="277" t="s">
        <v>62</v>
      </c>
      <c r="Z178" s="319">
        <f t="shared" si="186"/>
        <v>395877.78000000009</v>
      </c>
      <c r="AA178" s="319">
        <f t="shared" si="187"/>
        <v>348201.28</v>
      </c>
      <c r="AB178" s="319">
        <f t="shared" si="188"/>
        <v>381073.05</v>
      </c>
      <c r="AC178" s="319">
        <f t="shared" si="189"/>
        <v>416449.34</v>
      </c>
      <c r="AD178" s="319">
        <f t="shared" si="190"/>
        <v>391650.07999999996</v>
      </c>
      <c r="AE178" s="319">
        <f t="shared" si="191"/>
        <v>503201.78999999992</v>
      </c>
      <c r="AF178" s="319">
        <f t="shared" si="192"/>
        <v>511924.76999999996</v>
      </c>
      <c r="AG178" s="319">
        <f t="shared" si="193"/>
        <v>433005.75</v>
      </c>
      <c r="AH178" s="319">
        <f t="shared" si="194"/>
        <v>505400.21</v>
      </c>
      <c r="AI178" s="319">
        <f t="shared" si="195"/>
        <v>422270.76</v>
      </c>
      <c r="AJ178" s="319">
        <f t="shared" si="196"/>
        <v>430523.85999999993</v>
      </c>
      <c r="AK178" s="319">
        <f t="shared" si="197"/>
        <v>494809.11</v>
      </c>
      <c r="AL178" s="319">
        <f t="shared" si="198"/>
        <v>498040.37</v>
      </c>
      <c r="AM178" s="319">
        <f t="shared" si="199"/>
        <v>552073.94999999995</v>
      </c>
      <c r="AN178" s="319">
        <f t="shared" si="200"/>
        <v>564038.07000000007</v>
      </c>
      <c r="AO178" s="319">
        <f t="shared" si="201"/>
        <v>556452.09</v>
      </c>
      <c r="AP178" s="319">
        <f t="shared" si="202"/>
        <v>0</v>
      </c>
      <c r="AQ178" s="319">
        <f t="shared" si="203"/>
        <v>0</v>
      </c>
      <c r="AR178" s="319">
        <f t="shared" si="204"/>
        <v>0</v>
      </c>
      <c r="AS178" s="319">
        <f t="shared" si="205"/>
        <v>0</v>
      </c>
      <c r="AT178" s="319">
        <f t="shared" si="206"/>
        <v>0</v>
      </c>
      <c r="AU178" s="319">
        <f t="shared" si="207"/>
        <v>0</v>
      </c>
      <c r="AW178" s="322" t="s">
        <v>62</v>
      </c>
      <c r="AX178" s="322">
        <f t="shared" si="208"/>
        <v>87972.84</v>
      </c>
      <c r="AY178" s="322">
        <f t="shared" si="209"/>
        <v>74614.559999999998</v>
      </c>
      <c r="AZ178" s="322">
        <f t="shared" si="210"/>
        <v>101619.48</v>
      </c>
      <c r="BA178" s="322">
        <f t="shared" si="211"/>
        <v>97988.08</v>
      </c>
      <c r="BB178" s="322">
        <f t="shared" si="212"/>
        <v>92152.960000000006</v>
      </c>
      <c r="BC178" s="322">
        <f t="shared" si="213"/>
        <v>95847.96</v>
      </c>
      <c r="BD178" s="322">
        <f t="shared" si="214"/>
        <v>81811.740000000005</v>
      </c>
      <c r="BE178" s="322">
        <f t="shared" si="215"/>
        <v>96223.5</v>
      </c>
      <c r="BF178" s="322">
        <f t="shared" si="216"/>
        <v>79383.94</v>
      </c>
      <c r="BG178" s="322">
        <f t="shared" si="217"/>
        <v>112427.08</v>
      </c>
      <c r="BH178" s="322">
        <f t="shared" si="218"/>
        <v>122275.39</v>
      </c>
      <c r="BI178" s="322">
        <f t="shared" si="219"/>
        <v>128344.86000000002</v>
      </c>
      <c r="BJ178" s="322">
        <f t="shared" si="220"/>
        <v>145109.43</v>
      </c>
      <c r="BK178" s="322">
        <f t="shared" si="221"/>
        <v>161714.62</v>
      </c>
      <c r="BL178" s="322">
        <f t="shared" si="222"/>
        <v>116991.17000000001</v>
      </c>
      <c r="BM178" s="322">
        <f t="shared" si="223"/>
        <v>108567.69</v>
      </c>
      <c r="BN178" s="322">
        <f t="shared" si="224"/>
        <v>0</v>
      </c>
      <c r="BO178" s="340">
        <f t="shared" si="225"/>
        <v>0</v>
      </c>
      <c r="BP178" s="340">
        <f t="shared" si="226"/>
        <v>0</v>
      </c>
      <c r="BQ178" s="340">
        <f t="shared" si="227"/>
        <v>0</v>
      </c>
      <c r="BR178" s="340">
        <f t="shared" si="228"/>
        <v>0</v>
      </c>
      <c r="BS178" s="340">
        <f t="shared" si="229"/>
        <v>0</v>
      </c>
      <c r="BU178" s="340" t="s">
        <v>62</v>
      </c>
      <c r="BV178" s="340">
        <f t="shared" si="230"/>
        <v>0</v>
      </c>
      <c r="BW178" s="340">
        <f t="shared" si="231"/>
        <v>0</v>
      </c>
      <c r="BX178" s="340">
        <f t="shared" si="232"/>
        <v>0</v>
      </c>
      <c r="BY178" s="340">
        <f t="shared" si="233"/>
        <v>0</v>
      </c>
      <c r="BZ178" s="340">
        <f t="shared" si="234"/>
        <v>46076.480000000003</v>
      </c>
      <c r="CA178" s="340">
        <f t="shared" si="235"/>
        <v>71885.97</v>
      </c>
      <c r="CB178" s="340">
        <f t="shared" si="236"/>
        <v>68176.450000000012</v>
      </c>
      <c r="CC178" s="340">
        <f t="shared" si="237"/>
        <v>80186.25</v>
      </c>
      <c r="CD178" s="340">
        <f t="shared" si="238"/>
        <v>60841.299999999996</v>
      </c>
      <c r="CE178" s="340">
        <f t="shared" si="239"/>
        <v>70586.66</v>
      </c>
      <c r="CF178" s="340">
        <f t="shared" si="240"/>
        <v>68821.08</v>
      </c>
      <c r="CG178" s="340">
        <f t="shared" si="241"/>
        <v>65914.399999999994</v>
      </c>
      <c r="CH178" s="340">
        <f t="shared" si="242"/>
        <v>69139.960000000006</v>
      </c>
      <c r="CI178" s="340">
        <f t="shared" si="243"/>
        <v>77995.429999999993</v>
      </c>
      <c r="CJ178" s="340">
        <f t="shared" si="244"/>
        <v>75882.820000000007</v>
      </c>
      <c r="CK178" s="340">
        <f t="shared" si="245"/>
        <v>78163.199999999997</v>
      </c>
      <c r="CL178" s="340">
        <f t="shared" si="246"/>
        <v>0</v>
      </c>
      <c r="CM178" s="340">
        <f t="shared" si="247"/>
        <v>0</v>
      </c>
      <c r="CN178" s="340">
        <f t="shared" si="248"/>
        <v>0</v>
      </c>
      <c r="CO178" s="340">
        <f t="shared" si="249"/>
        <v>0</v>
      </c>
      <c r="CP178" s="340">
        <f t="shared" si="250"/>
        <v>0</v>
      </c>
      <c r="CQ178" s="340">
        <f t="shared" si="251"/>
        <v>0</v>
      </c>
      <c r="CR178" s="122"/>
      <c r="CS178" s="340" t="s">
        <v>62</v>
      </c>
      <c r="CT178" s="340">
        <f t="shared" si="252"/>
        <v>1385572.23</v>
      </c>
      <c r="CU178" s="340">
        <f t="shared" si="253"/>
        <v>1492291.2</v>
      </c>
      <c r="CV178" s="340">
        <f t="shared" si="254"/>
        <v>1371862.98</v>
      </c>
      <c r="CW178" s="340">
        <f t="shared" si="255"/>
        <v>1371833.12</v>
      </c>
      <c r="CX178" s="340">
        <f t="shared" si="256"/>
        <v>1244064.96</v>
      </c>
      <c r="CY178" s="340">
        <f t="shared" si="257"/>
        <v>1341871.44</v>
      </c>
      <c r="CZ178" s="340">
        <f t="shared" si="258"/>
        <v>340882.25</v>
      </c>
      <c r="DA178" s="340">
        <f t="shared" si="259"/>
        <v>400931.25</v>
      </c>
      <c r="DB178" s="340">
        <f t="shared" si="260"/>
        <v>610472.28</v>
      </c>
      <c r="DC178" s="340">
        <f t="shared" si="261"/>
        <v>397983.12</v>
      </c>
      <c r="DD178" s="340">
        <f t="shared" si="262"/>
        <v>482205.31999999995</v>
      </c>
      <c r="DE178" s="340">
        <f t="shared" si="263"/>
        <v>289344.78000000003</v>
      </c>
      <c r="DF178" s="340">
        <f t="shared" si="264"/>
        <v>283604.39</v>
      </c>
      <c r="DG178" s="340">
        <f t="shared" si="265"/>
        <v>452962.69</v>
      </c>
      <c r="DH178" s="340">
        <f t="shared" si="266"/>
        <v>328407.36</v>
      </c>
      <c r="DI178" s="340">
        <f t="shared" si="267"/>
        <v>380030.69999999995</v>
      </c>
      <c r="DJ178" s="340">
        <f t="shared" si="268"/>
        <v>0</v>
      </c>
      <c r="DK178" s="340">
        <f t="shared" si="269"/>
        <v>0</v>
      </c>
      <c r="DL178" s="340">
        <f t="shared" si="270"/>
        <v>0</v>
      </c>
      <c r="DM178" s="340">
        <f t="shared" si="271"/>
        <v>0</v>
      </c>
      <c r="DN178" s="340">
        <f t="shared" si="272"/>
        <v>0</v>
      </c>
      <c r="DO178" s="340">
        <f t="shared" si="273"/>
        <v>0</v>
      </c>
      <c r="DP178" s="330"/>
      <c r="DQ178" s="340" t="s">
        <v>62</v>
      </c>
      <c r="DR178" s="340">
        <f t="shared" ref="DR178:EM178" si="370">DR80</f>
        <v>219932.1</v>
      </c>
      <c r="DS178" s="340">
        <f t="shared" si="370"/>
        <v>248715.2</v>
      </c>
      <c r="DT178" s="340">
        <f t="shared" si="370"/>
        <v>254048.7</v>
      </c>
      <c r="DU178" s="340">
        <f t="shared" si="370"/>
        <v>220473.18</v>
      </c>
      <c r="DV178" s="340">
        <f t="shared" si="370"/>
        <v>230382.4</v>
      </c>
      <c r="DW178" s="340">
        <f t="shared" si="370"/>
        <v>215657.91</v>
      </c>
      <c r="DX178" s="340">
        <f t="shared" si="370"/>
        <v>136352.9</v>
      </c>
      <c r="DY178" s="340">
        <f t="shared" si="370"/>
        <v>160372.5</v>
      </c>
      <c r="DZ178" s="340">
        <f t="shared" si="370"/>
        <v>164385.78999999998</v>
      </c>
      <c r="EA178" s="340">
        <f t="shared" si="370"/>
        <v>152828.15999999997</v>
      </c>
      <c r="EB178" s="340">
        <f t="shared" si="370"/>
        <v>161939.97</v>
      </c>
      <c r="EC178" s="340">
        <f t="shared" si="370"/>
        <v>157840.93</v>
      </c>
      <c r="ED178" s="340">
        <f t="shared" si="370"/>
        <v>169727.28</v>
      </c>
      <c r="EE178" s="340">
        <f t="shared" si="370"/>
        <v>186314.06999999998</v>
      </c>
      <c r="EF178" s="340">
        <f t="shared" si="370"/>
        <v>222282.17000000004</v>
      </c>
      <c r="EG178" s="340">
        <f t="shared" si="370"/>
        <v>249894.62999999998</v>
      </c>
      <c r="EH178" s="340">
        <f t="shared" si="370"/>
        <v>0</v>
      </c>
      <c r="EI178" s="340">
        <f t="shared" si="370"/>
        <v>0</v>
      </c>
      <c r="EJ178" s="340">
        <f t="shared" si="370"/>
        <v>0</v>
      </c>
      <c r="EK178" s="340">
        <f t="shared" si="370"/>
        <v>0</v>
      </c>
      <c r="EL178" s="340">
        <f t="shared" si="370"/>
        <v>0</v>
      </c>
      <c r="EM178" s="340">
        <f t="shared" si="370"/>
        <v>0</v>
      </c>
      <c r="EO178" s="319" t="s">
        <v>62</v>
      </c>
      <c r="EP178" s="319">
        <f t="shared" si="275"/>
        <v>0</v>
      </c>
      <c r="EQ178" s="319">
        <f t="shared" si="276"/>
        <v>0</v>
      </c>
      <c r="ER178" s="319">
        <f t="shared" si="277"/>
        <v>0</v>
      </c>
      <c r="ES178" s="319">
        <f t="shared" si="278"/>
        <v>0</v>
      </c>
      <c r="ET178" s="319">
        <f t="shared" si="279"/>
        <v>0</v>
      </c>
      <c r="EU178" s="319">
        <f t="shared" si="280"/>
        <v>0</v>
      </c>
      <c r="EV178" s="319">
        <f t="shared" si="281"/>
        <v>0</v>
      </c>
      <c r="EW178" s="319">
        <f t="shared" si="282"/>
        <v>0</v>
      </c>
      <c r="EX178" s="319">
        <f t="shared" si="283"/>
        <v>0</v>
      </c>
      <c r="EY178" s="319">
        <f t="shared" si="284"/>
        <v>0</v>
      </c>
      <c r="EZ178" s="319">
        <f t="shared" si="285"/>
        <v>0</v>
      </c>
      <c r="FA178" s="319">
        <f t="shared" si="286"/>
        <v>0</v>
      </c>
      <c r="FB178" s="319">
        <f t="shared" si="287"/>
        <v>0</v>
      </c>
      <c r="FC178" s="319">
        <f t="shared" si="288"/>
        <v>0</v>
      </c>
      <c r="FD178" s="319">
        <f t="shared" si="289"/>
        <v>0</v>
      </c>
      <c r="FE178" s="319">
        <f t="shared" si="290"/>
        <v>0</v>
      </c>
      <c r="FF178" s="322">
        <f t="shared" si="291"/>
        <v>0</v>
      </c>
      <c r="FG178" s="336">
        <f t="shared" si="292"/>
        <v>0</v>
      </c>
      <c r="FH178" s="336">
        <f t="shared" si="293"/>
        <v>0</v>
      </c>
      <c r="FI178" s="336">
        <f t="shared" si="294"/>
        <v>0</v>
      </c>
      <c r="FJ178" s="336">
        <f t="shared" si="295"/>
        <v>0</v>
      </c>
      <c r="FK178" s="336">
        <f t="shared" si="296"/>
        <v>0</v>
      </c>
      <c r="FL178" s="122"/>
      <c r="FM178" s="340" t="s">
        <v>62</v>
      </c>
      <c r="FN178" s="340">
        <f t="shared" si="297"/>
        <v>109966.05</v>
      </c>
      <c r="FO178" s="340">
        <f t="shared" si="298"/>
        <v>99486.080000000002</v>
      </c>
      <c r="FP178" s="340">
        <f t="shared" si="299"/>
        <v>127024.35</v>
      </c>
      <c r="FQ178" s="340">
        <f t="shared" si="300"/>
        <v>146982.12</v>
      </c>
      <c r="FR178" s="340">
        <f t="shared" si="301"/>
        <v>161267.68</v>
      </c>
      <c r="FS178" s="340">
        <f t="shared" si="302"/>
        <v>119809.95</v>
      </c>
      <c r="FT178" s="340">
        <f t="shared" si="303"/>
        <v>136352.9</v>
      </c>
      <c r="FU178" s="340">
        <f t="shared" si="304"/>
        <v>176409.75</v>
      </c>
      <c r="FV178" s="340">
        <f t="shared" si="305"/>
        <v>174969.25999999998</v>
      </c>
      <c r="FW178" s="340">
        <f t="shared" si="306"/>
        <v>177457.34000000003</v>
      </c>
      <c r="FX178" s="340">
        <f t="shared" si="307"/>
        <v>173740.98</v>
      </c>
      <c r="FY178" s="340">
        <f t="shared" si="308"/>
        <v>177895.59999999998</v>
      </c>
      <c r="FZ178" s="340">
        <f t="shared" si="309"/>
        <v>195013.80999999997</v>
      </c>
      <c r="GA178" s="340">
        <f t="shared" si="310"/>
        <v>222930.62</v>
      </c>
      <c r="GB178" s="340">
        <f t="shared" si="311"/>
        <v>222581.39999999997</v>
      </c>
      <c r="GC178" s="340">
        <f t="shared" si="312"/>
        <v>224373.71000000005</v>
      </c>
      <c r="GD178" s="340">
        <f t="shared" si="313"/>
        <v>0</v>
      </c>
      <c r="GE178" s="340">
        <f t="shared" si="314"/>
        <v>0</v>
      </c>
      <c r="GF178" s="340">
        <f t="shared" si="315"/>
        <v>0</v>
      </c>
      <c r="GG178" s="340">
        <f t="shared" si="316"/>
        <v>0</v>
      </c>
      <c r="GH178" s="340">
        <f t="shared" si="317"/>
        <v>0</v>
      </c>
      <c r="GI178" s="340">
        <f t="shared" si="318"/>
        <v>0</v>
      </c>
      <c r="GJ178" s="122"/>
      <c r="GK178" s="340" t="s">
        <v>62</v>
      </c>
      <c r="GL178" s="340">
        <f t="shared" si="319"/>
        <v>0</v>
      </c>
      <c r="GM178" s="340">
        <f t="shared" si="320"/>
        <v>223843.68</v>
      </c>
      <c r="GN178" s="340">
        <f t="shared" si="321"/>
        <v>304858.44</v>
      </c>
      <c r="GO178" s="340">
        <f t="shared" si="322"/>
        <v>195976.16</v>
      </c>
      <c r="GP178" s="340">
        <f t="shared" si="323"/>
        <v>138229.44</v>
      </c>
      <c r="GQ178" s="340">
        <f t="shared" si="324"/>
        <v>47923.98</v>
      </c>
      <c r="GR178" s="340">
        <f t="shared" si="325"/>
        <v>149988.19</v>
      </c>
      <c r="GS178" s="340">
        <f t="shared" si="326"/>
        <v>256596</v>
      </c>
      <c r="GT178" s="340">
        <f t="shared" si="327"/>
        <v>362724</v>
      </c>
      <c r="GU178" s="340">
        <f t="shared" si="328"/>
        <v>274673.2</v>
      </c>
      <c r="GV178" s="340">
        <f t="shared" si="329"/>
        <v>222095.43</v>
      </c>
      <c r="GW178" s="340">
        <f t="shared" si="330"/>
        <v>370164.03</v>
      </c>
      <c r="GX178" s="340">
        <f t="shared" si="331"/>
        <v>306977.55</v>
      </c>
      <c r="GY178" s="340">
        <f t="shared" si="332"/>
        <v>346977.55</v>
      </c>
      <c r="GZ178" s="340">
        <f t="shared" si="333"/>
        <v>387000</v>
      </c>
      <c r="HA178" s="340">
        <f t="shared" si="334"/>
        <v>378858</v>
      </c>
      <c r="HB178" s="340">
        <f t="shared" si="335"/>
        <v>0</v>
      </c>
      <c r="HC178" s="340">
        <f t="shared" si="336"/>
        <v>0</v>
      </c>
      <c r="HD178" s="340">
        <f t="shared" si="337"/>
        <v>0</v>
      </c>
      <c r="HE178" s="340">
        <f t="shared" si="338"/>
        <v>0</v>
      </c>
      <c r="HF178" s="340">
        <f t="shared" si="339"/>
        <v>0</v>
      </c>
      <c r="HG178" s="340">
        <f t="shared" si="340"/>
        <v>0</v>
      </c>
      <c r="HH178" s="122"/>
      <c r="IF178" s="122"/>
      <c r="IG178" s="122"/>
      <c r="IH178" s="122"/>
      <c r="II178" s="122"/>
      <c r="IJ178" s="122"/>
      <c r="IK178" s="122"/>
      <c r="IL178" s="122"/>
      <c r="IN178" s="118"/>
      <c r="IP178" s="122"/>
      <c r="IQ178" s="122"/>
      <c r="IR178" s="122"/>
      <c r="IS178" s="122"/>
      <c r="IT178" s="122"/>
      <c r="IU178" s="122"/>
      <c r="IV178" s="122"/>
      <c r="IW178" s="122"/>
      <c r="IX178" s="122"/>
      <c r="IY178" s="122"/>
      <c r="IZ178" s="122"/>
      <c r="JA178" s="122"/>
      <c r="JB178" s="122"/>
      <c r="JC178" s="122"/>
      <c r="JD178" s="122"/>
      <c r="JE178" s="122"/>
      <c r="JF178" s="122"/>
      <c r="JG178" s="122"/>
      <c r="JH178" s="122"/>
      <c r="JI178" s="122"/>
      <c r="JK178" s="118"/>
      <c r="JL178" s="118"/>
      <c r="JY178" s="122"/>
      <c r="JZ178" s="122"/>
      <c r="KA178" s="122"/>
      <c r="KB178" s="122"/>
      <c r="LX178" s="122"/>
      <c r="LY178" s="122"/>
      <c r="LZ178" s="122"/>
      <c r="MB178" s="118"/>
      <c r="MC178" s="118"/>
      <c r="MP178" s="122"/>
      <c r="MQ178" s="122"/>
      <c r="MR178" s="122"/>
      <c r="MS178" s="122"/>
      <c r="MT178" s="122"/>
      <c r="MU178" s="122"/>
      <c r="MV178" s="122"/>
      <c r="OS178" s="118"/>
      <c r="OT178" s="118"/>
      <c r="PC178" s="122"/>
      <c r="PD178" s="122"/>
      <c r="PE178" s="122"/>
      <c r="PF178" s="122"/>
      <c r="PG178" s="122"/>
      <c r="PH178" s="122"/>
      <c r="PI178" s="122"/>
      <c r="PJ178" s="122"/>
      <c r="PP178" s="118"/>
      <c r="PQ178" s="118"/>
      <c r="PZ178" s="122"/>
      <c r="QA178" s="122"/>
      <c r="QB178" s="122"/>
      <c r="QC178" s="122"/>
      <c r="QD178" s="122"/>
      <c r="QE178" s="122"/>
      <c r="QF178" s="122"/>
      <c r="QG178" s="122"/>
      <c r="QM178" s="118"/>
      <c r="QN178" s="118"/>
      <c r="RE178" s="118"/>
      <c r="RF178" s="118"/>
      <c r="RG178" s="118"/>
      <c r="RH178" s="118"/>
      <c r="RI178" s="118"/>
      <c r="RJ178" s="118"/>
      <c r="RK178" s="118"/>
    </row>
    <row r="179" spans="25:479">
      <c r="Y179" s="277" t="s">
        <v>63</v>
      </c>
      <c r="Z179" s="319">
        <f t="shared" si="186"/>
        <v>859377.22</v>
      </c>
      <c r="AA179" s="319">
        <f t="shared" si="187"/>
        <v>381834.42000000004</v>
      </c>
      <c r="AB179" s="319">
        <f t="shared" si="188"/>
        <v>483712.1</v>
      </c>
      <c r="AC179" s="319">
        <f t="shared" si="189"/>
        <v>480449.92000000004</v>
      </c>
      <c r="AD179" s="319">
        <f t="shared" si="190"/>
        <v>742140.35999999987</v>
      </c>
      <c r="AE179" s="319">
        <f t="shared" si="191"/>
        <v>769399.45999999985</v>
      </c>
      <c r="AF179" s="319">
        <f t="shared" si="192"/>
        <v>675381.32000000007</v>
      </c>
      <c r="AG179" s="319">
        <f t="shared" si="193"/>
        <v>816363.12</v>
      </c>
      <c r="AH179" s="319">
        <f t="shared" si="194"/>
        <v>723836.42</v>
      </c>
      <c r="AI179" s="319">
        <f t="shared" si="195"/>
        <v>930174.58000000007</v>
      </c>
      <c r="AJ179" s="319">
        <f t="shared" si="196"/>
        <v>842564.04</v>
      </c>
      <c r="AK179" s="319">
        <f t="shared" si="197"/>
        <v>759288.44000000006</v>
      </c>
      <c r="AL179" s="319">
        <f t="shared" si="198"/>
        <v>872377.28999999992</v>
      </c>
      <c r="AM179" s="319">
        <f t="shared" si="199"/>
        <v>772452.20000000007</v>
      </c>
      <c r="AN179" s="319">
        <f t="shared" si="200"/>
        <v>872251.54</v>
      </c>
      <c r="AO179" s="319">
        <f t="shared" si="201"/>
        <v>751215.7</v>
      </c>
      <c r="AP179" s="319">
        <f t="shared" si="202"/>
        <v>762443.60000000009</v>
      </c>
      <c r="AQ179" s="319">
        <f t="shared" si="203"/>
        <v>709660.93</v>
      </c>
      <c r="AR179" s="319">
        <f t="shared" si="204"/>
        <v>903937.51000000013</v>
      </c>
      <c r="AS179" s="319">
        <f t="shared" si="205"/>
        <v>922925.79000000015</v>
      </c>
      <c r="AT179" s="319">
        <f t="shared" si="206"/>
        <v>1033003.4700000001</v>
      </c>
      <c r="AU179" s="319">
        <f t="shared" si="207"/>
        <v>1194666</v>
      </c>
      <c r="AW179" s="322" t="s">
        <v>63</v>
      </c>
      <c r="AX179" s="322">
        <f t="shared" si="208"/>
        <v>41920.839999999997</v>
      </c>
      <c r="AY179" s="322">
        <f t="shared" si="209"/>
        <v>46282.96</v>
      </c>
      <c r="AZ179" s="322">
        <f t="shared" si="210"/>
        <v>19609.949999999997</v>
      </c>
      <c r="BA179" s="322">
        <f t="shared" si="211"/>
        <v>28261.759999999998</v>
      </c>
      <c r="BB179" s="322">
        <f t="shared" si="212"/>
        <v>9514.6200000000008</v>
      </c>
      <c r="BC179" s="322">
        <f t="shared" si="213"/>
        <v>31191.870000000003</v>
      </c>
      <c r="BD179" s="322">
        <f t="shared" si="214"/>
        <v>35532.18</v>
      </c>
      <c r="BE179" s="322">
        <f t="shared" si="215"/>
        <v>48021.36</v>
      </c>
      <c r="BF179" s="322">
        <f t="shared" si="216"/>
        <v>45813.87</v>
      </c>
      <c r="BG179" s="322">
        <f t="shared" si="217"/>
        <v>34967.450000000004</v>
      </c>
      <c r="BH179" s="322">
        <f t="shared" si="218"/>
        <v>48842.250000000007</v>
      </c>
      <c r="BI179" s="322">
        <f t="shared" si="219"/>
        <v>36820.599999999991</v>
      </c>
      <c r="BJ179" s="322">
        <f t="shared" si="220"/>
        <v>43342.749999999993</v>
      </c>
      <c r="BK179" s="322">
        <f t="shared" si="221"/>
        <v>52049.080000000009</v>
      </c>
      <c r="BL179" s="322">
        <f t="shared" si="222"/>
        <v>46323.53</v>
      </c>
      <c r="BM179" s="322">
        <f t="shared" si="223"/>
        <v>52569.110000000008</v>
      </c>
      <c r="BN179" s="322">
        <f t="shared" si="224"/>
        <v>46033.549999999996</v>
      </c>
      <c r="BO179" s="340">
        <f t="shared" si="225"/>
        <v>54356.84</v>
      </c>
      <c r="BP179" s="340">
        <f t="shared" si="226"/>
        <v>71594.22</v>
      </c>
      <c r="BQ179" s="340">
        <f t="shared" si="227"/>
        <v>66487.95</v>
      </c>
      <c r="BR179" s="340">
        <f t="shared" si="228"/>
        <v>55709.139999999992</v>
      </c>
      <c r="BS179" s="340">
        <f t="shared" si="229"/>
        <v>150045</v>
      </c>
      <c r="BU179" s="340" t="s">
        <v>63</v>
      </c>
      <c r="BV179" s="340">
        <f t="shared" si="230"/>
        <v>20960.419999999998</v>
      </c>
      <c r="BW179" s="340">
        <f t="shared" si="231"/>
        <v>34712.22</v>
      </c>
      <c r="BX179" s="340">
        <f t="shared" si="232"/>
        <v>26146.6</v>
      </c>
      <c r="BY179" s="340">
        <f t="shared" si="233"/>
        <v>28261.759999999998</v>
      </c>
      <c r="BZ179" s="340">
        <f t="shared" si="234"/>
        <v>38058.480000000003</v>
      </c>
      <c r="CA179" s="340">
        <f t="shared" si="235"/>
        <v>41589.160000000003</v>
      </c>
      <c r="CB179" s="340">
        <f t="shared" si="236"/>
        <v>47376.24</v>
      </c>
      <c r="CC179" s="340">
        <f t="shared" si="237"/>
        <v>48021.36</v>
      </c>
      <c r="CD179" s="340">
        <f t="shared" si="238"/>
        <v>46560.840000000004</v>
      </c>
      <c r="CE179" s="340">
        <f t="shared" si="239"/>
        <v>53762.990000000005</v>
      </c>
      <c r="CF179" s="340">
        <f t="shared" si="240"/>
        <v>51621.32</v>
      </c>
      <c r="CG179" s="340">
        <f t="shared" si="241"/>
        <v>52563.119999999995</v>
      </c>
      <c r="CH179" s="340">
        <f t="shared" si="242"/>
        <v>53858.700000000004</v>
      </c>
      <c r="CI179" s="340">
        <f t="shared" si="243"/>
        <v>56901.37</v>
      </c>
      <c r="CJ179" s="340">
        <f t="shared" si="244"/>
        <v>56899.999999999993</v>
      </c>
      <c r="CK179" s="340">
        <f t="shared" si="245"/>
        <v>72798.759999999995</v>
      </c>
      <c r="CL179" s="340">
        <f t="shared" si="246"/>
        <v>59336.939999999995</v>
      </c>
      <c r="CM179" s="340">
        <f t="shared" si="247"/>
        <v>58335.69</v>
      </c>
      <c r="CN179" s="340">
        <f t="shared" si="248"/>
        <v>60203.989999999991</v>
      </c>
      <c r="CO179" s="340">
        <f t="shared" si="249"/>
        <v>67666.490000000005</v>
      </c>
      <c r="CP179" s="340">
        <f t="shared" si="250"/>
        <v>72265.81</v>
      </c>
      <c r="CQ179" s="340">
        <f t="shared" si="251"/>
        <v>77950</v>
      </c>
      <c r="CR179" s="122"/>
      <c r="CS179" s="340" t="s">
        <v>63</v>
      </c>
      <c r="CT179" s="340">
        <f t="shared" si="252"/>
        <v>94321.89</v>
      </c>
      <c r="CU179" s="340">
        <f t="shared" si="253"/>
        <v>63639.07</v>
      </c>
      <c r="CV179" s="340">
        <f t="shared" si="254"/>
        <v>65366.5</v>
      </c>
      <c r="CW179" s="340">
        <f t="shared" si="255"/>
        <v>91850.72</v>
      </c>
      <c r="CX179" s="340">
        <f t="shared" si="256"/>
        <v>114175.44</v>
      </c>
      <c r="CY179" s="340">
        <f t="shared" si="257"/>
        <v>135164.76999999999</v>
      </c>
      <c r="CZ179" s="340">
        <f t="shared" si="258"/>
        <v>343477.74</v>
      </c>
      <c r="DA179" s="340">
        <f t="shared" si="259"/>
        <v>156069.42000000001</v>
      </c>
      <c r="DB179" s="340">
        <f t="shared" si="260"/>
        <v>208146.32</v>
      </c>
      <c r="DC179" s="340">
        <f t="shared" si="261"/>
        <v>302302.7300000001</v>
      </c>
      <c r="DD179" s="340">
        <f t="shared" si="262"/>
        <v>173614.84599999999</v>
      </c>
      <c r="DE179" s="340">
        <f t="shared" si="263"/>
        <v>184531.21</v>
      </c>
      <c r="DF179" s="340">
        <f t="shared" si="264"/>
        <v>240079.79</v>
      </c>
      <c r="DG179" s="340">
        <f t="shared" si="265"/>
        <v>272880.93</v>
      </c>
      <c r="DH179" s="340">
        <f t="shared" si="266"/>
        <v>329634.88000000006</v>
      </c>
      <c r="DI179" s="340">
        <f t="shared" si="267"/>
        <v>412639.32000000007</v>
      </c>
      <c r="DJ179" s="340">
        <f t="shared" si="268"/>
        <v>255724.81</v>
      </c>
      <c r="DK179" s="340">
        <f t="shared" si="269"/>
        <v>198317.34999999998</v>
      </c>
      <c r="DL179" s="340">
        <f t="shared" si="270"/>
        <v>279458.94300000003</v>
      </c>
      <c r="DM179" s="340">
        <f t="shared" si="271"/>
        <v>234852.90000000002</v>
      </c>
      <c r="DN179" s="340">
        <f t="shared" si="272"/>
        <v>234584.03</v>
      </c>
      <c r="DO179" s="340">
        <f t="shared" si="273"/>
        <v>312944</v>
      </c>
      <c r="DP179" s="330"/>
      <c r="DQ179" s="340" t="s">
        <v>63</v>
      </c>
      <c r="DR179" s="340">
        <f t="shared" ref="DR179:EM179" si="371">DR81</f>
        <v>20960.419999999998</v>
      </c>
      <c r="DS179" s="340">
        <f t="shared" si="371"/>
        <v>28926.85</v>
      </c>
      <c r="DT179" s="340">
        <f t="shared" si="371"/>
        <v>19609.95</v>
      </c>
      <c r="DU179" s="340">
        <f t="shared" si="371"/>
        <v>28261.759999999998</v>
      </c>
      <c r="DV179" s="340">
        <f t="shared" si="371"/>
        <v>28543.86</v>
      </c>
      <c r="DW179" s="340">
        <f t="shared" si="371"/>
        <v>41589.160000000003</v>
      </c>
      <c r="DX179" s="340">
        <f t="shared" si="371"/>
        <v>47376.24</v>
      </c>
      <c r="DY179" s="340">
        <f t="shared" si="371"/>
        <v>72032.039999999994</v>
      </c>
      <c r="DZ179" s="340">
        <f t="shared" si="371"/>
        <v>72159.62</v>
      </c>
      <c r="EA179" s="340">
        <f t="shared" si="371"/>
        <v>59056.35</v>
      </c>
      <c r="EB179" s="340">
        <f t="shared" si="371"/>
        <v>61777.8</v>
      </c>
      <c r="EC179" s="340">
        <f t="shared" si="371"/>
        <v>72076.11</v>
      </c>
      <c r="ED179" s="340">
        <f t="shared" si="371"/>
        <v>92235.7</v>
      </c>
      <c r="EE179" s="340">
        <f t="shared" si="371"/>
        <v>97806</v>
      </c>
      <c r="EF179" s="340">
        <f t="shared" si="371"/>
        <v>129482.39</v>
      </c>
      <c r="EG179" s="340">
        <f t="shared" si="371"/>
        <v>153004.51999999999</v>
      </c>
      <c r="EH179" s="340">
        <f t="shared" si="371"/>
        <v>82992.92</v>
      </c>
      <c r="EI179" s="340">
        <f t="shared" si="371"/>
        <v>79511.920000000013</v>
      </c>
      <c r="EJ179" s="340">
        <f t="shared" si="371"/>
        <v>62103.040000000001</v>
      </c>
      <c r="EK179" s="340">
        <f t="shared" si="371"/>
        <v>67660.06</v>
      </c>
      <c r="EL179" s="340">
        <f t="shared" si="371"/>
        <v>60824.33</v>
      </c>
      <c r="EM179" s="340">
        <f t="shared" si="371"/>
        <v>63500</v>
      </c>
      <c r="EO179" s="319" t="s">
        <v>63</v>
      </c>
      <c r="EP179" s="319">
        <f t="shared" si="275"/>
        <v>0</v>
      </c>
      <c r="EQ179" s="319">
        <f t="shared" si="276"/>
        <v>0</v>
      </c>
      <c r="ER179" s="319">
        <f t="shared" si="277"/>
        <v>0</v>
      </c>
      <c r="ES179" s="319">
        <f t="shared" si="278"/>
        <v>0</v>
      </c>
      <c r="ET179" s="319">
        <f t="shared" si="279"/>
        <v>0</v>
      </c>
      <c r="EU179" s="319">
        <f t="shared" si="280"/>
        <v>0</v>
      </c>
      <c r="EV179" s="319">
        <f t="shared" si="281"/>
        <v>0</v>
      </c>
      <c r="EW179" s="319">
        <f t="shared" si="282"/>
        <v>0</v>
      </c>
      <c r="EX179" s="319">
        <f t="shared" si="283"/>
        <v>0</v>
      </c>
      <c r="EY179" s="319">
        <f t="shared" si="284"/>
        <v>0</v>
      </c>
      <c r="EZ179" s="319">
        <f t="shared" si="285"/>
        <v>0</v>
      </c>
      <c r="FA179" s="319">
        <f t="shared" si="286"/>
        <v>0</v>
      </c>
      <c r="FB179" s="319">
        <f t="shared" si="287"/>
        <v>0</v>
      </c>
      <c r="FC179" s="319">
        <f t="shared" si="288"/>
        <v>0</v>
      </c>
      <c r="FD179" s="319">
        <f t="shared" si="289"/>
        <v>0</v>
      </c>
      <c r="FE179" s="319">
        <f t="shared" si="290"/>
        <v>0</v>
      </c>
      <c r="FF179" s="322">
        <f t="shared" si="291"/>
        <v>0</v>
      </c>
      <c r="FG179" s="336">
        <f t="shared" si="292"/>
        <v>0</v>
      </c>
      <c r="FH179" s="336">
        <f t="shared" si="293"/>
        <v>0</v>
      </c>
      <c r="FI179" s="336">
        <f t="shared" si="294"/>
        <v>0</v>
      </c>
      <c r="FJ179" s="336">
        <f t="shared" si="295"/>
        <v>0</v>
      </c>
      <c r="FK179" s="336">
        <f t="shared" si="296"/>
        <v>0</v>
      </c>
      <c r="FL179" s="122"/>
      <c r="FM179" s="340" t="s">
        <v>63</v>
      </c>
      <c r="FN179" s="340">
        <f t="shared" si="297"/>
        <v>0</v>
      </c>
      <c r="FO179" s="340">
        <f t="shared" si="298"/>
        <v>0</v>
      </c>
      <c r="FP179" s="340">
        <f t="shared" si="299"/>
        <v>0</v>
      </c>
      <c r="FQ179" s="340">
        <f t="shared" si="300"/>
        <v>0</v>
      </c>
      <c r="FR179" s="340">
        <f t="shared" si="301"/>
        <v>0</v>
      </c>
      <c r="FS179" s="340">
        <f t="shared" si="302"/>
        <v>0</v>
      </c>
      <c r="FT179" s="340">
        <f t="shared" si="303"/>
        <v>0</v>
      </c>
      <c r="FU179" s="340">
        <f t="shared" si="304"/>
        <v>0</v>
      </c>
      <c r="FV179" s="340">
        <f t="shared" si="305"/>
        <v>0</v>
      </c>
      <c r="FW179" s="340">
        <f t="shared" si="306"/>
        <v>0</v>
      </c>
      <c r="FX179" s="340">
        <f t="shared" si="307"/>
        <v>0</v>
      </c>
      <c r="FY179" s="340">
        <f t="shared" si="308"/>
        <v>0</v>
      </c>
      <c r="FZ179" s="340">
        <f t="shared" si="309"/>
        <v>0</v>
      </c>
      <c r="GA179" s="340">
        <f t="shared" si="310"/>
        <v>0</v>
      </c>
      <c r="GB179" s="340">
        <f t="shared" si="311"/>
        <v>0</v>
      </c>
      <c r="GC179" s="340">
        <f t="shared" si="312"/>
        <v>0</v>
      </c>
      <c r="GD179" s="340">
        <f t="shared" si="313"/>
        <v>0</v>
      </c>
      <c r="GE179" s="340">
        <f t="shared" si="314"/>
        <v>0</v>
      </c>
      <c r="GF179" s="340">
        <f t="shared" si="315"/>
        <v>0</v>
      </c>
      <c r="GG179" s="340">
        <f t="shared" si="316"/>
        <v>0</v>
      </c>
      <c r="GH179" s="340">
        <f t="shared" si="317"/>
        <v>0</v>
      </c>
      <c r="GI179" s="340">
        <f t="shared" si="318"/>
        <v>0</v>
      </c>
      <c r="GJ179" s="122"/>
      <c r="GK179" s="340" t="s">
        <v>63</v>
      </c>
      <c r="GL179" s="340">
        <f t="shared" si="319"/>
        <v>10480.209999999999</v>
      </c>
      <c r="GM179" s="340">
        <f t="shared" si="320"/>
        <v>23141.48</v>
      </c>
      <c r="GN179" s="340">
        <f t="shared" si="321"/>
        <v>39219.9</v>
      </c>
      <c r="GO179" s="340">
        <f t="shared" si="322"/>
        <v>49458.080000000002</v>
      </c>
      <c r="GP179" s="340">
        <f t="shared" si="323"/>
        <v>19029.240000000002</v>
      </c>
      <c r="GQ179" s="340">
        <f t="shared" si="324"/>
        <v>20794.580000000002</v>
      </c>
      <c r="GR179" s="340">
        <f t="shared" si="325"/>
        <v>23688.12</v>
      </c>
      <c r="GS179" s="340">
        <f t="shared" si="326"/>
        <v>60026.7</v>
      </c>
      <c r="GT179" s="340">
        <f t="shared" si="327"/>
        <v>56212.509999999995</v>
      </c>
      <c r="GU179" s="340">
        <f t="shared" si="328"/>
        <v>127438.62</v>
      </c>
      <c r="GV179" s="340">
        <f t="shared" si="329"/>
        <v>112773.94</v>
      </c>
      <c r="GW179" s="340">
        <f t="shared" si="330"/>
        <v>221267.45</v>
      </c>
      <c r="GX179" s="340">
        <f t="shared" si="331"/>
        <v>433744.2</v>
      </c>
      <c r="GY179" s="340">
        <f t="shared" si="332"/>
        <v>512311.12</v>
      </c>
      <c r="GZ179" s="340">
        <f t="shared" si="333"/>
        <v>638344.05999999994</v>
      </c>
      <c r="HA179" s="340">
        <f t="shared" si="334"/>
        <v>705894.84</v>
      </c>
      <c r="HB179" s="340">
        <f t="shared" si="335"/>
        <v>131296.36000000002</v>
      </c>
      <c r="HC179" s="340">
        <f t="shared" si="336"/>
        <v>51259.389999999992</v>
      </c>
      <c r="HD179" s="340">
        <f t="shared" si="337"/>
        <v>54674.270000000004</v>
      </c>
      <c r="HE179" s="340">
        <f t="shared" si="338"/>
        <v>51030.05</v>
      </c>
      <c r="HF179" s="340">
        <f t="shared" si="339"/>
        <v>57497.710000000006</v>
      </c>
      <c r="HG179" s="340">
        <f t="shared" si="340"/>
        <v>170164.54</v>
      </c>
      <c r="HH179" s="122"/>
      <c r="IF179" s="122"/>
      <c r="IG179" s="122"/>
      <c r="IH179" s="122"/>
      <c r="II179" s="122"/>
      <c r="IJ179" s="122"/>
      <c r="IK179" s="122"/>
      <c r="IL179" s="122"/>
      <c r="IN179" s="118"/>
      <c r="IP179" s="122"/>
      <c r="IQ179" s="122"/>
      <c r="IR179" s="122"/>
      <c r="IS179" s="122"/>
      <c r="IT179" s="122"/>
      <c r="IU179" s="122"/>
      <c r="IV179" s="122"/>
      <c r="IW179" s="122"/>
      <c r="IX179" s="122"/>
      <c r="IY179" s="122"/>
      <c r="IZ179" s="122"/>
      <c r="JA179" s="122"/>
      <c r="JB179" s="122"/>
      <c r="JC179" s="122"/>
      <c r="JD179" s="122"/>
      <c r="JE179" s="122"/>
      <c r="JF179" s="122"/>
      <c r="JG179" s="122"/>
      <c r="JH179" s="122"/>
      <c r="JI179" s="122"/>
      <c r="JK179" s="118"/>
      <c r="JL179" s="118"/>
      <c r="JY179" s="122"/>
      <c r="JZ179" s="122"/>
      <c r="KA179" s="122"/>
      <c r="KB179" s="122"/>
      <c r="LX179" s="122"/>
      <c r="LY179" s="122"/>
      <c r="LZ179" s="122"/>
      <c r="MB179" s="118"/>
      <c r="MC179" s="118"/>
      <c r="MP179" s="122"/>
      <c r="MQ179" s="122"/>
      <c r="MR179" s="122"/>
      <c r="MS179" s="122"/>
      <c r="MT179" s="122"/>
      <c r="MU179" s="122"/>
      <c r="MV179" s="122"/>
      <c r="OS179" s="118"/>
      <c r="OT179" s="118"/>
      <c r="PC179" s="122"/>
      <c r="PD179" s="122"/>
      <c r="PE179" s="122"/>
      <c r="PF179" s="122"/>
      <c r="PG179" s="122"/>
      <c r="PH179" s="122"/>
      <c r="PI179" s="122"/>
      <c r="PJ179" s="122"/>
      <c r="PP179" s="118"/>
      <c r="PQ179" s="118"/>
      <c r="PZ179" s="122"/>
      <c r="QA179" s="122"/>
      <c r="QB179" s="122"/>
      <c r="QC179" s="122"/>
      <c r="QD179" s="122"/>
      <c r="QE179" s="122"/>
      <c r="QF179" s="122"/>
      <c r="QG179" s="122"/>
      <c r="QM179" s="118"/>
      <c r="QN179" s="118"/>
      <c r="RE179" s="118"/>
      <c r="RF179" s="118"/>
      <c r="RG179" s="118"/>
      <c r="RH179" s="118"/>
      <c r="RI179" s="118"/>
      <c r="RJ179" s="118"/>
      <c r="RK179" s="118"/>
    </row>
    <row r="180" spans="25:479">
      <c r="Y180" s="277" t="s">
        <v>64</v>
      </c>
      <c r="Z180" s="319">
        <f t="shared" ref="Z180:Z182" si="372">Z82+AX82+BV82+CT82+EP82+FN82+GL82</f>
        <v>350447.21000000008</v>
      </c>
      <c r="AA180" s="319">
        <f t="shared" ref="AA180:AA204" si="373">AA82+AY82+BW82+CU82+EQ82+FO82+GM82</f>
        <v>405516.63999999996</v>
      </c>
      <c r="AB180" s="319">
        <f t="shared" ref="AB180:AB204" si="374">AB82+AZ82+BX82+CV82+ER82+FP82+GN82</f>
        <v>444481.25</v>
      </c>
      <c r="AC180" s="319">
        <f t="shared" ref="AC180:AC204" si="375">AC82+BA82+BY82+CW82+ES82+FQ82+GO82</f>
        <v>429886.4</v>
      </c>
      <c r="AD180" s="319">
        <f t="shared" ref="AD180:AD204" si="376">AD82+BB82+BZ82+CX82+ET82+FR82+GP82</f>
        <v>560463.84</v>
      </c>
      <c r="AE180" s="319">
        <f t="shared" ref="AE180:AE204" si="377">AE82+BC82+CA82+CY82+EU82+FS82+GQ82</f>
        <v>569232.51</v>
      </c>
      <c r="AF180" s="319">
        <f t="shared" ref="AF180:AF204" si="378">AF82+BD82+CB82+CZ82+EV82+FT82+GR82</f>
        <v>567315.62</v>
      </c>
      <c r="AG180" s="319">
        <f t="shared" ref="AG180:AG204" si="379">AG82+BE82+CC82+DA82+EW82+FU82+GS82</f>
        <v>479967.29</v>
      </c>
      <c r="AH180" s="319">
        <f t="shared" ref="AH180:AH204" si="380">AH82+BF82+CD82+DB82+EX82+FV82+GT82</f>
        <v>570081</v>
      </c>
      <c r="AI180" s="319">
        <f t="shared" ref="AI180:AI204" si="381">AI82+BG82+CE82+DC82+EY82+FW82+GU82</f>
        <v>489437</v>
      </c>
      <c r="AJ180" s="319">
        <f t="shared" ref="AJ180:AJ204" si="382">AJ82+BH82+CF82+DD82+EZ82+FX82+GV82</f>
        <v>538750</v>
      </c>
      <c r="AK180" s="319">
        <f t="shared" ref="AK180:AK204" si="383">AK82+BI82+CG82+DE82+FA82+FY82+GW82</f>
        <v>526149</v>
      </c>
      <c r="AL180" s="319">
        <f t="shared" ref="AL180:AL204" si="384">AL82+BJ82+CH82+DF82+FB82+FZ82+GX82</f>
        <v>605752</v>
      </c>
      <c r="AM180" s="319">
        <f t="shared" ref="AM180:AM204" si="385">AM82+BK82+CI82+DG82+FC82+GA82+GY82</f>
        <v>442340</v>
      </c>
      <c r="AN180" s="319">
        <f t="shared" ref="AN180:AN204" si="386">AN82+BL82+CJ82+DH82+FD82+GB82+GZ82</f>
        <v>529792</v>
      </c>
      <c r="AO180" s="319">
        <f t="shared" ref="AO180:AO204" si="387">AO82+BM82+CK82+DI82+FE82+GC82+HA82</f>
        <v>465749</v>
      </c>
      <c r="AP180" s="319">
        <f t="shared" ref="AP180:AP182" si="388">AP82+BN82+CL82+DJ82+FF82+GD82+HB82</f>
        <v>736376</v>
      </c>
      <c r="AQ180" s="319">
        <f t="shared" ref="AQ180:AQ182" si="389">AQ82+BO82+CM82+DK82+FG82+GE82+HC82</f>
        <v>690832</v>
      </c>
      <c r="AR180" s="319">
        <f t="shared" ref="AR180:AR204" si="390">AR82+BP82+CN82+DL82+FH82+GF82+HD82</f>
        <v>767793</v>
      </c>
      <c r="AS180" s="319">
        <f t="shared" ref="AS180:AS204" si="391">AS82+BQ82+CO82+DM82+FI82+GG82+HE82</f>
        <v>666978</v>
      </c>
      <c r="AT180" s="319">
        <f t="shared" ref="AT180:AT204" si="392">AT82+BR82+CP82+DN82+FJ82+GH82+HF82</f>
        <v>854146</v>
      </c>
      <c r="AU180" s="319">
        <f t="shared" ref="AU180:AU204" si="393">AU82+BS82+CQ82+DO82+FK82+GI82+HG82</f>
        <v>807360</v>
      </c>
      <c r="AW180" s="322" t="s">
        <v>64</v>
      </c>
      <c r="AX180" s="322">
        <f t="shared" ref="AX180" si="394">HJ82+IH82+JF82+OT82</f>
        <v>166001.31</v>
      </c>
      <c r="AY180" s="322">
        <f t="shared" ref="AY180:AY204" si="395">HK82+II82+JG82+OU82</f>
        <v>202758.32</v>
      </c>
      <c r="AZ180" s="322">
        <f t="shared" ref="AZ180:AZ204" si="396">HL82+IJ82+JH82+OV82</f>
        <v>233937.5</v>
      </c>
      <c r="BA180" s="322">
        <f t="shared" ref="BA180:BA204" si="397">HM82+IK82+JI82+OW82</f>
        <v>248881.6</v>
      </c>
      <c r="BB180" s="322">
        <f t="shared" ref="BB180:BB204" si="398">HN82+IL82+JJ82+OX82</f>
        <v>210173.94</v>
      </c>
      <c r="BC180" s="322">
        <f t="shared" ref="BC180:BC204" si="399">HO82+IM82+JK82+OY82</f>
        <v>189744.17</v>
      </c>
      <c r="BD180" s="322">
        <f t="shared" ref="BD180:BD204" si="400">HP82+IN82+JL82+OZ82</f>
        <v>177046.52000000002</v>
      </c>
      <c r="BE180" s="322">
        <f t="shared" ref="BE180:BE204" si="401">HQ82+IO82+JM82+PA82</f>
        <v>197633.59</v>
      </c>
      <c r="BF180" s="322">
        <f t="shared" ref="BF180:BF204" si="402">HR82+IP82+JN82+PB82</f>
        <v>172304</v>
      </c>
      <c r="BG180" s="322">
        <f t="shared" ref="BG180:BG204" si="403">HS82+IQ82+JO82+PC82</f>
        <v>141191</v>
      </c>
      <c r="BH180" s="322">
        <f t="shared" ref="BH180:BH204" si="404">HT82+IR82+JP82+PD82</f>
        <v>204565</v>
      </c>
      <c r="BI180" s="322">
        <f t="shared" ref="BI180:BI204" si="405">HU82+IS82+JQ82+PE82</f>
        <v>244509</v>
      </c>
      <c r="BJ180" s="322">
        <f t="shared" ref="BJ180:BJ204" si="406">HV82+IT82+JR82+PF82</f>
        <v>224996</v>
      </c>
      <c r="BK180" s="322">
        <f t="shared" ref="BK180:BK204" si="407">HW82+IU82+JS82+PG82</f>
        <v>287213</v>
      </c>
      <c r="BL180" s="322">
        <f t="shared" ref="BL180" si="408">HX82+IV82+JT82+PH82</f>
        <v>282919</v>
      </c>
      <c r="BM180" s="322">
        <f t="shared" ref="BM180" si="409">HY82+IW82+JU82+PI82</f>
        <v>290926</v>
      </c>
      <c r="BN180" s="322">
        <f t="shared" ref="BN180" si="410">HZ82+IX82+JV82+PJ82</f>
        <v>328721</v>
      </c>
      <c r="BO180" s="340">
        <f t="shared" ref="BO180" si="411">IA82+IY82+JW82+PK82</f>
        <v>327781</v>
      </c>
      <c r="BP180" s="340">
        <f t="shared" ref="BP180:BP204" si="412">IB82+IZ82+JX82+PL82</f>
        <v>318643</v>
      </c>
      <c r="BQ180" s="340">
        <f t="shared" ref="BQ180:BQ204" si="413">IC82+JA82+JY82+PM82</f>
        <v>323327</v>
      </c>
      <c r="BR180" s="340">
        <f t="shared" ref="BR180:BR204" si="414">ID82+JB82+JZ82+PN82</f>
        <v>265537</v>
      </c>
      <c r="BS180" s="340">
        <f t="shared" ref="BS180:BS204" si="415">IE82+JC82+KA82+PO82</f>
        <v>281201</v>
      </c>
      <c r="BU180" s="340" t="s">
        <v>64</v>
      </c>
      <c r="BV180" s="340">
        <f t="shared" ref="BV180:BV201" si="416">KD82+PR82</f>
        <v>36889.18</v>
      </c>
      <c r="BW180" s="340">
        <f t="shared" ref="BW180:BW201" si="417">KE82+PS82</f>
        <v>25344.79</v>
      </c>
      <c r="BX180" s="340">
        <f t="shared" ref="BX180:BX201" si="418">KF82+PT82</f>
        <v>70181.25</v>
      </c>
      <c r="BY180" s="340">
        <f t="shared" ref="BY180:BY201" si="419">KG82+PU82</f>
        <v>67876.799999999988</v>
      </c>
      <c r="BZ180" s="340">
        <f t="shared" ref="BZ180:BZ201" si="420">KH82+PV82</f>
        <v>93410.64</v>
      </c>
      <c r="CA180" s="340">
        <f t="shared" ref="CA180:CA201" si="421">KI82+PW82</f>
        <v>81318.930000000008</v>
      </c>
      <c r="CB180" s="340">
        <f t="shared" ref="CB180:CB201" si="422">KJ82+PX82</f>
        <v>101169.44</v>
      </c>
      <c r="CC180" s="340">
        <f t="shared" ref="CC180:CC201" si="423">KK82+PY82</f>
        <v>112933.48</v>
      </c>
      <c r="CD180" s="340">
        <f t="shared" ref="CD180:CD201" si="424">KL82+PZ82</f>
        <v>95956</v>
      </c>
      <c r="CE180" s="340">
        <f t="shared" ref="CE180:CE201" si="425">KM82+QA82</f>
        <v>85529</v>
      </c>
      <c r="CF180" s="340">
        <f t="shared" ref="CF180:CF201" si="426">KN82+QB82</f>
        <v>91479</v>
      </c>
      <c r="CG180" s="340">
        <f t="shared" ref="CG180:CG201" si="427">KO82+QC82</f>
        <v>111406</v>
      </c>
      <c r="CH180" s="340">
        <f t="shared" ref="CH180:CH201" si="428">KP82+QD82</f>
        <v>108544</v>
      </c>
      <c r="CI180" s="340">
        <f t="shared" ref="CI180:CI201" si="429">KQ82+QE82</f>
        <v>127664</v>
      </c>
      <c r="CJ180" s="340">
        <f t="shared" ref="CJ180:CJ201" si="430">KR82+QF82</f>
        <v>118143</v>
      </c>
      <c r="CK180" s="340">
        <f t="shared" ref="CK180:CK201" si="431">KS82+QG82</f>
        <v>146141</v>
      </c>
      <c r="CL180" s="340">
        <f t="shared" ref="CL180:CL201" si="432">KT82+QH82</f>
        <v>141305</v>
      </c>
      <c r="CM180" s="340">
        <f t="shared" ref="CM180:CM201" si="433">KU82+QI82</f>
        <v>133621</v>
      </c>
      <c r="CN180" s="340">
        <f t="shared" ref="CN180:CN201" si="434">KV82+QJ82</f>
        <v>150372</v>
      </c>
      <c r="CO180" s="340">
        <f t="shared" ref="CO180:CO201" si="435">KW82+QK82</f>
        <v>142914</v>
      </c>
      <c r="CP180" s="340">
        <f t="shared" ref="CP180:CP201" si="436">KX82+QL82</f>
        <v>155424</v>
      </c>
      <c r="CQ180" s="340">
        <f t="shared" ref="CQ180:CQ201" si="437">KY82+QM82</f>
        <v>139306</v>
      </c>
      <c r="CR180" s="122"/>
      <c r="CS180" s="340" t="s">
        <v>64</v>
      </c>
      <c r="CT180" s="340">
        <f t="shared" ref="CT180:CT204" si="438">QP82+LB82</f>
        <v>498003.93</v>
      </c>
      <c r="CU180" s="340">
        <f t="shared" ref="CU180:CU204" si="439">QQ82+LC82</f>
        <v>304137.48</v>
      </c>
      <c r="CV180" s="340">
        <f t="shared" ref="CV180:CV204" si="440">QR82+LD82</f>
        <v>397693.75</v>
      </c>
      <c r="CW180" s="340">
        <f t="shared" ref="CW180:CW204" si="441">QS82+LE82</f>
        <v>475137.6</v>
      </c>
      <c r="CX180" s="340">
        <f t="shared" ref="CX180:CX204" si="442">QT82+LF82</f>
        <v>350289.9</v>
      </c>
      <c r="CY180" s="340">
        <f t="shared" ref="CY180:CY204" si="443">QU82+LG82</f>
        <v>379488.34</v>
      </c>
      <c r="CZ180" s="340">
        <f t="shared" ref="CZ180:CZ204" si="444">QV82+LH82</f>
        <v>303508.32</v>
      </c>
      <c r="DA180" s="340">
        <f t="shared" ref="DA180:DA204" si="445">QW82+LI82</f>
        <v>310567.07</v>
      </c>
      <c r="DB180" s="340">
        <f t="shared" ref="DB180:DB204" si="446">QX82+LJ82</f>
        <v>253172</v>
      </c>
      <c r="DC180" s="340">
        <f t="shared" ref="DC180:DC204" si="447">QY82+LK82</f>
        <v>375375</v>
      </c>
      <c r="DD180" s="340">
        <f t="shared" ref="DD180:DD204" si="448">QZ82+LL82</f>
        <v>272812</v>
      </c>
      <c r="DE180" s="340">
        <f t="shared" ref="DE180:DE204" si="449">RA82+LM82</f>
        <v>227863</v>
      </c>
      <c r="DF180" s="340">
        <f t="shared" ref="DF180:DF204" si="450">RB82+LN82</f>
        <v>310434</v>
      </c>
      <c r="DG180" s="340">
        <f t="shared" ref="DG180:DG204" si="451">RC82+LO82</f>
        <v>336676</v>
      </c>
      <c r="DH180" s="340">
        <f t="shared" ref="DH180:DH204" si="452">RD82+LP82</f>
        <v>330562</v>
      </c>
      <c r="DI180" s="340">
        <f t="shared" ref="DI180:DI204" si="453">RE82+LQ82</f>
        <v>381586</v>
      </c>
      <c r="DJ180" s="340">
        <f t="shared" ref="DJ180:DJ204" si="454">RF82+LR82</f>
        <v>376421</v>
      </c>
      <c r="DK180" s="340">
        <f t="shared" ref="DK180:DK204" si="455">RG82+LS82</f>
        <v>323930</v>
      </c>
      <c r="DL180" s="340">
        <f t="shared" ref="DL180:DL204" si="456">RH82+LT82</f>
        <v>370407</v>
      </c>
      <c r="DM180" s="340">
        <f t="shared" ref="DM180:DM204" si="457">RI82+LU82</f>
        <v>315891</v>
      </c>
      <c r="DN180" s="340">
        <f t="shared" ref="DN180:DN204" si="458">RJ82+LV82</f>
        <v>310010</v>
      </c>
      <c r="DO180" s="340">
        <f t="shared" ref="DO180:DO204" si="459">RK82+LW82</f>
        <v>401390</v>
      </c>
      <c r="DP180" s="330"/>
      <c r="DQ180" s="340" t="s">
        <v>64</v>
      </c>
      <c r="DR180" s="340">
        <f t="shared" ref="DR180:EM180" si="460">DR82</f>
        <v>92222.95</v>
      </c>
      <c r="DS180" s="340">
        <f t="shared" si="460"/>
        <v>76034.37</v>
      </c>
      <c r="DT180" s="340">
        <f t="shared" si="460"/>
        <v>93575</v>
      </c>
      <c r="DU180" s="340">
        <f t="shared" si="460"/>
        <v>181004.79999999999</v>
      </c>
      <c r="DV180" s="340">
        <f t="shared" si="460"/>
        <v>210173.94</v>
      </c>
      <c r="DW180" s="340">
        <f t="shared" si="460"/>
        <v>271063.09999999998</v>
      </c>
      <c r="DX180" s="340">
        <f t="shared" si="460"/>
        <v>151754.16</v>
      </c>
      <c r="DY180" s="340">
        <f t="shared" si="460"/>
        <v>169400.22</v>
      </c>
      <c r="DZ180" s="340">
        <f t="shared" si="460"/>
        <v>188590</v>
      </c>
      <c r="EA180" s="340">
        <f t="shared" si="460"/>
        <v>197652</v>
      </c>
      <c r="EB180" s="340">
        <f t="shared" si="460"/>
        <v>182934</v>
      </c>
      <c r="EC180" s="340">
        <f t="shared" si="460"/>
        <v>190632</v>
      </c>
      <c r="ED180" s="340">
        <f t="shared" si="460"/>
        <v>211850</v>
      </c>
      <c r="EE180" s="340">
        <f t="shared" si="460"/>
        <v>205129</v>
      </c>
      <c r="EF180" s="340">
        <f t="shared" si="460"/>
        <v>234628</v>
      </c>
      <c r="EG180" s="340">
        <f t="shared" si="460"/>
        <v>232003</v>
      </c>
      <c r="EH180" s="340">
        <f t="shared" si="460"/>
        <v>238890</v>
      </c>
      <c r="EI180" s="340">
        <f t="shared" si="460"/>
        <v>252723</v>
      </c>
      <c r="EJ180" s="340">
        <f t="shared" si="460"/>
        <v>253020</v>
      </c>
      <c r="EK180" s="340">
        <f t="shared" si="460"/>
        <v>284803</v>
      </c>
      <c r="EL180" s="340">
        <f t="shared" si="460"/>
        <v>345237</v>
      </c>
      <c r="EM180" s="340">
        <f t="shared" si="460"/>
        <v>254800</v>
      </c>
      <c r="EO180" s="319" t="s">
        <v>64</v>
      </c>
      <c r="EP180" s="319">
        <f t="shared" ref="EP180:EP204" si="461">LZ82+MX82</f>
        <v>424225.57</v>
      </c>
      <c r="EQ180" s="319">
        <f t="shared" ref="EQ180:EQ204" si="462">MA82+MY82</f>
        <v>557585.38</v>
      </c>
      <c r="ER180" s="319">
        <f t="shared" ref="ER180:ER204" si="463">MB82+MZ82</f>
        <v>514662.5</v>
      </c>
      <c r="ES180" s="319">
        <f t="shared" ref="ES180:ES204" si="464">MC82+NA82</f>
        <v>543014.40000000002</v>
      </c>
      <c r="ET180" s="319">
        <f t="shared" ref="ET180:ET204" si="465">MD82+NB82</f>
        <v>677227.14</v>
      </c>
      <c r="EU180" s="319">
        <f t="shared" ref="EU180:EU204" si="466">ME82+NC82</f>
        <v>948720.85</v>
      </c>
      <c r="EV180" s="319">
        <f t="shared" ref="EV180:EV204" si="467">MF82+ND82</f>
        <v>986402.03999999992</v>
      </c>
      <c r="EW180" s="319">
        <f t="shared" ref="EW180:EW204" si="468">MG82+NE82</f>
        <v>1242268.28</v>
      </c>
      <c r="EX180" s="319">
        <f t="shared" ref="EX180:EX204" si="469">MH82+NF82</f>
        <v>1438162</v>
      </c>
      <c r="EY180" s="319">
        <f t="shared" ref="EY180:EY204" si="470">MI82+NG82</f>
        <v>1119488</v>
      </c>
      <c r="EZ180" s="319">
        <f t="shared" ref="EZ180:EZ204" si="471">MJ82+NH82</f>
        <v>1366692</v>
      </c>
      <c r="FA180" s="319">
        <f t="shared" ref="FA180:FA204" si="472">MK82+NI82</f>
        <v>1472528</v>
      </c>
      <c r="FB180" s="319">
        <f t="shared" ref="FB180:FB204" si="473">ML82+NJ82</f>
        <v>1569073</v>
      </c>
      <c r="FC180" s="319">
        <f t="shared" ref="FC180:FC204" si="474">MM82+NK82</f>
        <v>1378648</v>
      </c>
      <c r="FD180" s="319">
        <f t="shared" ref="FD180:FD204" si="475">MN82+NL82</f>
        <v>1463069</v>
      </c>
      <c r="FE180" s="319">
        <f t="shared" ref="FE180:FE204" si="476">MO82+NM82</f>
        <v>1459527</v>
      </c>
      <c r="FF180" s="322">
        <f t="shared" ref="FF180:FF204" si="477">MP82+NN82</f>
        <v>1463004</v>
      </c>
      <c r="FG180" s="336">
        <f t="shared" ref="FG180:FG204" si="478">MQ82+NO82</f>
        <v>1613958</v>
      </c>
      <c r="FH180" s="336">
        <f t="shared" ref="FH180:FH204" si="479">MR82+NP82</f>
        <v>1421855</v>
      </c>
      <c r="FI180" s="336">
        <f t="shared" ref="FI180:FI204" si="480">MS82+NQ82</f>
        <v>1352614</v>
      </c>
      <c r="FJ180" s="336">
        <f t="shared" ref="FJ180:FJ204" si="481">MT82+NR82</f>
        <v>1315346</v>
      </c>
      <c r="FK180" s="336">
        <f t="shared" ref="FK180:FK204" si="482">MU82+NS82</f>
        <v>1409321</v>
      </c>
      <c r="FL180" s="122"/>
      <c r="FM180" s="340" t="s">
        <v>64</v>
      </c>
      <c r="FN180" s="340">
        <f t="shared" ref="FN180:FN204" si="483">NV82</f>
        <v>110667.54</v>
      </c>
      <c r="FO180" s="340">
        <f t="shared" ref="FO180:FO204" si="484">NW82</f>
        <v>126723.95</v>
      </c>
      <c r="FP180" s="340">
        <f t="shared" ref="FP180:FP204" si="485">NX82</f>
        <v>163756.25</v>
      </c>
      <c r="FQ180" s="340">
        <f t="shared" ref="FQ180:FQ204" si="486">NY82</f>
        <v>181004.79999999999</v>
      </c>
      <c r="FR180" s="340">
        <f t="shared" ref="FR180:FR204" si="487">NZ82</f>
        <v>186821.28</v>
      </c>
      <c r="FS180" s="340">
        <f t="shared" ref="FS180:FS204" si="488">OA82</f>
        <v>189744.17</v>
      </c>
      <c r="FT180" s="340">
        <f t="shared" ref="FT180:FT204" si="489">OB82</f>
        <v>202338.88</v>
      </c>
      <c r="FU180" s="340">
        <f t="shared" ref="FU180:FU204" si="490">OC82</f>
        <v>225866.96</v>
      </c>
      <c r="FV180" s="340">
        <f t="shared" ref="FV180:FV204" si="491">OD82</f>
        <v>247030</v>
      </c>
      <c r="FW180" s="340">
        <f t="shared" ref="FW180:FW204" si="492">OE82</f>
        <v>246026</v>
      </c>
      <c r="FX180" s="340">
        <f t="shared" ref="FX180:FX204" si="493">OF82</f>
        <v>220362</v>
      </c>
      <c r="FY180" s="340">
        <f t="shared" ref="FY180:FY204" si="494">OG82</f>
        <v>233599</v>
      </c>
      <c r="FZ180" s="340">
        <f t="shared" ref="FZ180:FZ204" si="495">OH82</f>
        <v>254768</v>
      </c>
      <c r="GA180" s="340">
        <f t="shared" ref="GA180:GA204" si="496">OI82</f>
        <v>254774</v>
      </c>
      <c r="GB180" s="340">
        <f t="shared" ref="GB180:GB204" si="497">OJ82</f>
        <v>242681</v>
      </c>
      <c r="GC180" s="340">
        <f t="shared" ref="GC180:GC204" si="498">OK82</f>
        <v>338640</v>
      </c>
      <c r="GD180" s="340">
        <f t="shared" ref="GD180:GD204" si="499">OL82</f>
        <v>341675</v>
      </c>
      <c r="GE180" s="340">
        <f t="shared" ref="GE180:GE204" si="500">OM82</f>
        <v>338464</v>
      </c>
      <c r="GF180" s="340">
        <f t="shared" ref="GF180:GF204" si="501">ON82</f>
        <v>389368</v>
      </c>
      <c r="GG180" s="340">
        <f t="shared" ref="GG180:GG204" si="502">OO82</f>
        <v>410416</v>
      </c>
      <c r="GH180" s="340">
        <f t="shared" ref="GH180:GH204" si="503">OP82</f>
        <v>416147</v>
      </c>
      <c r="GI180" s="340">
        <f t="shared" ref="GI180:GI204" si="504">OQ82</f>
        <v>440786</v>
      </c>
      <c r="GJ180" s="122"/>
      <c r="GK180" s="340" t="s">
        <v>64</v>
      </c>
      <c r="GL180" s="340">
        <f t="shared" ref="GL180:GL204" si="505">RN82</f>
        <v>166001.31</v>
      </c>
      <c r="GM180" s="340">
        <f t="shared" ref="GM180:GM204" si="506">RO82</f>
        <v>836378.07</v>
      </c>
      <c r="GN180" s="340">
        <f t="shared" ref="GN180:GN204" si="507">RP82</f>
        <v>421087.5</v>
      </c>
      <c r="GO180" s="340">
        <f t="shared" ref="GO180:GO204" si="508">RQ82</f>
        <v>135753.60000000001</v>
      </c>
      <c r="GP180" s="340">
        <f t="shared" ref="GP180:GP204" si="509">RR82</f>
        <v>46705.32</v>
      </c>
      <c r="GQ180" s="340">
        <f t="shared" ref="GQ180:GQ204" si="510">RS82</f>
        <v>81318.929999999993</v>
      </c>
      <c r="GR180" s="340">
        <f t="shared" ref="GR180:GR204" si="511">RT82</f>
        <v>50584.72</v>
      </c>
      <c r="GS180" s="340">
        <f t="shared" ref="GS180:GS204" si="512">RU82</f>
        <v>84700.11</v>
      </c>
      <c r="GT180" s="340">
        <f t="shared" ref="GT180:GT204" si="513">RV82</f>
        <v>170171</v>
      </c>
      <c r="GU180" s="340">
        <f t="shared" ref="GU180:GU204" si="514">RW82</f>
        <v>168136</v>
      </c>
      <c r="GV180" s="340">
        <f t="shared" ref="GV180:GV204" si="515">RX82</f>
        <v>184752</v>
      </c>
      <c r="GW180" s="340">
        <f t="shared" ref="GW180:GW204" si="516">RY82</f>
        <v>127785</v>
      </c>
      <c r="GX180" s="340">
        <f t="shared" ref="GX180:GX204" si="517">RZ82</f>
        <v>41486</v>
      </c>
      <c r="GY180" s="340">
        <f t="shared" ref="GY180:GY204" si="518">SA82</f>
        <v>85931</v>
      </c>
      <c r="GZ180" s="340">
        <f t="shared" ref="GZ180:GZ204" si="519">SB82</f>
        <v>65237</v>
      </c>
      <c r="HA180" s="340">
        <f t="shared" ref="HA180:HA204" si="520">SC82</f>
        <v>65237</v>
      </c>
      <c r="HB180" s="340">
        <f t="shared" ref="HB180:HB204" si="521">SD82</f>
        <v>0</v>
      </c>
      <c r="HC180" s="340">
        <f t="shared" ref="HC180:HC204" si="522">SE82</f>
        <v>0</v>
      </c>
      <c r="HD180" s="340">
        <f t="shared" ref="HD180:HD204" si="523">SF82</f>
        <v>0</v>
      </c>
      <c r="HE180" s="340">
        <f t="shared" ref="HE180:HE204" si="524">SG82</f>
        <v>0</v>
      </c>
      <c r="HF180" s="340">
        <f t="shared" ref="HF180:HF204" si="525">SH82</f>
        <v>0</v>
      </c>
      <c r="HG180" s="340">
        <f t="shared" ref="HG180:HG204" si="526">SI82</f>
        <v>0</v>
      </c>
      <c r="HH180" s="122"/>
      <c r="IF180" s="122"/>
      <c r="IG180" s="122"/>
      <c r="IH180" s="122"/>
      <c r="II180" s="122"/>
      <c r="IJ180" s="122"/>
      <c r="IK180" s="122"/>
      <c r="IL180" s="122"/>
      <c r="IN180" s="118"/>
      <c r="IP180" s="122"/>
      <c r="IQ180" s="122"/>
      <c r="IR180" s="122"/>
      <c r="IS180" s="122"/>
      <c r="IT180" s="122"/>
      <c r="IU180" s="122"/>
      <c r="IV180" s="122"/>
      <c r="IW180" s="122"/>
      <c r="IX180" s="122"/>
      <c r="IY180" s="122"/>
      <c r="IZ180" s="122"/>
      <c r="JA180" s="122"/>
      <c r="JB180" s="122"/>
      <c r="JC180" s="122"/>
      <c r="JD180" s="122"/>
      <c r="JE180" s="122"/>
      <c r="JF180" s="122"/>
      <c r="JG180" s="122"/>
      <c r="JH180" s="122"/>
      <c r="JI180" s="122"/>
      <c r="JK180" s="118"/>
      <c r="JL180" s="118"/>
      <c r="JY180" s="122"/>
      <c r="JZ180" s="122"/>
      <c r="KA180" s="122"/>
      <c r="KB180" s="122"/>
      <c r="LX180" s="122"/>
      <c r="LY180" s="122"/>
      <c r="LZ180" s="122"/>
      <c r="MB180" s="118"/>
      <c r="MC180" s="118"/>
      <c r="MP180" s="122"/>
      <c r="MQ180" s="122"/>
      <c r="MR180" s="122"/>
      <c r="MS180" s="122"/>
      <c r="MT180" s="122"/>
      <c r="MU180" s="122"/>
      <c r="MV180" s="122"/>
      <c r="OS180" s="118"/>
      <c r="OT180" s="118"/>
      <c r="PC180" s="122"/>
      <c r="PD180" s="122"/>
      <c r="PE180" s="122"/>
      <c r="PF180" s="122"/>
      <c r="PG180" s="122"/>
      <c r="PH180" s="122"/>
      <c r="PI180" s="122"/>
      <c r="PJ180" s="122"/>
      <c r="PP180" s="118"/>
      <c r="PQ180" s="118"/>
      <c r="PZ180" s="122"/>
      <c r="QA180" s="122"/>
      <c r="QB180" s="122"/>
      <c r="QC180" s="122"/>
      <c r="QD180" s="122"/>
      <c r="QE180" s="122"/>
      <c r="QF180" s="122"/>
      <c r="QG180" s="122"/>
      <c r="QM180" s="118"/>
      <c r="QN180" s="118"/>
      <c r="RE180" s="118"/>
      <c r="RF180" s="118"/>
      <c r="RG180" s="118"/>
      <c r="RH180" s="118"/>
      <c r="RI180" s="118"/>
      <c r="RJ180" s="118"/>
      <c r="RK180" s="118"/>
    </row>
    <row r="181" spans="25:479">
      <c r="Y181" s="277" t="s">
        <v>65</v>
      </c>
      <c r="Z181" s="319">
        <f t="shared" si="372"/>
        <v>185697.63000000003</v>
      </c>
      <c r="AA181" s="319">
        <f t="shared" si="373"/>
        <v>165972.40000000002</v>
      </c>
      <c r="AB181" s="319">
        <f t="shared" si="374"/>
        <v>181188.48000000001</v>
      </c>
      <c r="AC181" s="319">
        <f t="shared" si="375"/>
        <v>195310.08000000002</v>
      </c>
      <c r="AD181" s="319">
        <f t="shared" si="376"/>
        <v>229289.66</v>
      </c>
      <c r="AE181" s="319">
        <f t="shared" si="377"/>
        <v>231367.05</v>
      </c>
      <c r="AF181" s="319">
        <f t="shared" si="378"/>
        <v>213610.52</v>
      </c>
      <c r="AG181" s="319">
        <f t="shared" si="379"/>
        <v>235461.19999999998</v>
      </c>
      <c r="AH181" s="319">
        <f t="shared" si="380"/>
        <v>265377.09999999998</v>
      </c>
      <c r="AI181" s="319">
        <f t="shared" si="381"/>
        <v>249705.38000000003</v>
      </c>
      <c r="AJ181" s="319">
        <f t="shared" si="382"/>
        <v>298849</v>
      </c>
      <c r="AK181" s="319">
        <f t="shared" si="383"/>
        <v>358557</v>
      </c>
      <c r="AL181" s="319">
        <f t="shared" si="384"/>
        <v>404663</v>
      </c>
      <c r="AM181" s="319">
        <f t="shared" si="385"/>
        <v>379017</v>
      </c>
      <c r="AN181" s="319">
        <f t="shared" si="386"/>
        <v>422154</v>
      </c>
      <c r="AO181" s="319">
        <f t="shared" si="387"/>
        <v>445681</v>
      </c>
      <c r="AP181" s="319">
        <f t="shared" si="388"/>
        <v>570389</v>
      </c>
      <c r="AQ181" s="319">
        <f t="shared" si="389"/>
        <v>687346</v>
      </c>
      <c r="AR181" s="319">
        <f t="shared" si="390"/>
        <v>487977</v>
      </c>
      <c r="AS181" s="319">
        <f t="shared" si="391"/>
        <v>495852</v>
      </c>
      <c r="AT181" s="319">
        <f t="shared" si="392"/>
        <v>649845</v>
      </c>
      <c r="AU181" s="319">
        <f t="shared" si="393"/>
        <v>819282</v>
      </c>
      <c r="AW181" s="322" t="s">
        <v>65</v>
      </c>
      <c r="AX181" s="322">
        <f t="shared" ref="AX181:AX204" si="527">HJ83+IH83+JF83+OT83</f>
        <v>58258.080000000002</v>
      </c>
      <c r="AY181" s="322">
        <f t="shared" si="395"/>
        <v>45265.2</v>
      </c>
      <c r="AZ181" s="322">
        <f t="shared" si="396"/>
        <v>53532.959999999999</v>
      </c>
      <c r="BA181" s="322">
        <f t="shared" si="397"/>
        <v>44758.559999999998</v>
      </c>
      <c r="BB181" s="322">
        <f t="shared" si="398"/>
        <v>38935.980000000003</v>
      </c>
      <c r="BC181" s="322">
        <f t="shared" si="399"/>
        <v>35990.43</v>
      </c>
      <c r="BD181" s="322">
        <f t="shared" si="400"/>
        <v>25871.79</v>
      </c>
      <c r="BE181" s="322">
        <f t="shared" si="401"/>
        <v>17659.59</v>
      </c>
      <c r="BF181" s="322">
        <f t="shared" si="402"/>
        <v>15815.68</v>
      </c>
      <c r="BG181" s="322">
        <f t="shared" si="403"/>
        <v>16347.119999999999</v>
      </c>
      <c r="BH181" s="322">
        <f t="shared" si="404"/>
        <v>23977</v>
      </c>
      <c r="BI181" s="322">
        <f t="shared" si="405"/>
        <v>22323</v>
      </c>
      <c r="BJ181" s="322">
        <f t="shared" si="406"/>
        <v>18354</v>
      </c>
      <c r="BK181" s="322">
        <f t="shared" si="407"/>
        <v>16751</v>
      </c>
      <c r="BL181" s="322"/>
      <c r="BM181" s="322"/>
      <c r="BN181" s="322"/>
      <c r="BO181" s="340">
        <f t="shared" ref="BO181:BO204" si="528">IA83+IY83+JW83+PK83</f>
        <v>23473</v>
      </c>
      <c r="BP181" s="340">
        <f t="shared" si="412"/>
        <v>24382</v>
      </c>
      <c r="BQ181" s="340">
        <f t="shared" si="413"/>
        <v>24383</v>
      </c>
      <c r="BR181" s="340">
        <f t="shared" si="414"/>
        <v>25572</v>
      </c>
      <c r="BS181" s="340">
        <f t="shared" si="415"/>
        <v>58456</v>
      </c>
      <c r="BU181" s="340" t="s">
        <v>65</v>
      </c>
      <c r="BV181" s="340">
        <f t="shared" si="416"/>
        <v>7282.26</v>
      </c>
      <c r="BW181" s="340">
        <f t="shared" si="417"/>
        <v>15088.4</v>
      </c>
      <c r="BX181" s="340">
        <f t="shared" si="418"/>
        <v>16471.68</v>
      </c>
      <c r="BY181" s="340">
        <f t="shared" si="419"/>
        <v>16275.84</v>
      </c>
      <c r="BZ181" s="340">
        <f t="shared" si="420"/>
        <v>12978.66</v>
      </c>
      <c r="CA181" s="340">
        <f t="shared" si="421"/>
        <v>25707.449999999997</v>
      </c>
      <c r="CB181" s="340">
        <f t="shared" si="422"/>
        <v>25871.79</v>
      </c>
      <c r="CC181" s="340">
        <f t="shared" si="423"/>
        <v>29432.65</v>
      </c>
      <c r="CD181" s="340">
        <f t="shared" si="424"/>
        <v>24919.760000000002</v>
      </c>
      <c r="CE181" s="340">
        <f t="shared" si="425"/>
        <v>24632.29</v>
      </c>
      <c r="CF181" s="340">
        <f t="shared" si="426"/>
        <v>24588</v>
      </c>
      <c r="CG181" s="340">
        <f t="shared" si="427"/>
        <v>25083</v>
      </c>
      <c r="CH181" s="340">
        <f t="shared" si="428"/>
        <v>25912</v>
      </c>
      <c r="CI181" s="340">
        <f t="shared" si="429"/>
        <v>28372</v>
      </c>
      <c r="CJ181" s="340">
        <f t="shared" si="430"/>
        <v>28319</v>
      </c>
      <c r="CK181" s="340">
        <f t="shared" si="431"/>
        <v>30063</v>
      </c>
      <c r="CL181" s="340">
        <f t="shared" si="432"/>
        <v>29641</v>
      </c>
      <c r="CM181" s="340">
        <f t="shared" si="433"/>
        <v>30527</v>
      </c>
      <c r="CN181" s="340">
        <f t="shared" si="434"/>
        <v>29395</v>
      </c>
      <c r="CO181" s="340">
        <f t="shared" si="435"/>
        <v>30135</v>
      </c>
      <c r="CP181" s="340">
        <f t="shared" si="436"/>
        <v>29643</v>
      </c>
      <c r="CQ181" s="340">
        <f t="shared" si="437"/>
        <v>32850</v>
      </c>
      <c r="CR181" s="122"/>
      <c r="CS181" s="340" t="s">
        <v>65</v>
      </c>
      <c r="CT181" s="340">
        <f t="shared" si="438"/>
        <v>54616.95</v>
      </c>
      <c r="CU181" s="340">
        <f t="shared" si="439"/>
        <v>94302.5</v>
      </c>
      <c r="CV181" s="340">
        <f t="shared" si="440"/>
        <v>53532.959999999999</v>
      </c>
      <c r="CW181" s="340">
        <f t="shared" si="441"/>
        <v>61034.400000000001</v>
      </c>
      <c r="CX181" s="340">
        <f t="shared" si="442"/>
        <v>56240.86</v>
      </c>
      <c r="CY181" s="340">
        <f t="shared" si="443"/>
        <v>123395.76</v>
      </c>
      <c r="CZ181" s="340">
        <f t="shared" si="444"/>
        <v>465692.22</v>
      </c>
      <c r="DA181" s="340">
        <f t="shared" si="445"/>
        <v>211915.08</v>
      </c>
      <c r="DB181" s="340">
        <f t="shared" si="446"/>
        <v>274767.2</v>
      </c>
      <c r="DC181" s="340">
        <f t="shared" si="447"/>
        <v>312553.01999999996</v>
      </c>
      <c r="DD181" s="340">
        <f t="shared" si="448"/>
        <v>378915</v>
      </c>
      <c r="DE181" s="340">
        <f t="shared" si="449"/>
        <v>368641</v>
      </c>
      <c r="DF181" s="340">
        <f t="shared" si="450"/>
        <v>358457</v>
      </c>
      <c r="DG181" s="340">
        <f t="shared" si="451"/>
        <v>465682</v>
      </c>
      <c r="DH181" s="340">
        <f t="shared" si="452"/>
        <v>486967</v>
      </c>
      <c r="DI181" s="340">
        <f t="shared" si="453"/>
        <v>398533</v>
      </c>
      <c r="DJ181" s="340">
        <f t="shared" si="454"/>
        <v>315622</v>
      </c>
      <c r="DK181" s="340">
        <f t="shared" si="455"/>
        <v>276133</v>
      </c>
      <c r="DL181" s="340">
        <f t="shared" si="456"/>
        <v>307180</v>
      </c>
      <c r="DM181" s="340">
        <f t="shared" si="457"/>
        <v>329085</v>
      </c>
      <c r="DN181" s="340">
        <f t="shared" si="458"/>
        <v>314625</v>
      </c>
      <c r="DO181" s="340">
        <f t="shared" si="459"/>
        <v>325816</v>
      </c>
      <c r="DP181" s="330"/>
      <c r="DQ181" s="340" t="s">
        <v>65</v>
      </c>
      <c r="DR181" s="340">
        <f t="shared" ref="DR181:EM181" si="529">DR83</f>
        <v>0</v>
      </c>
      <c r="DS181" s="340">
        <f t="shared" si="529"/>
        <v>7544.2</v>
      </c>
      <c r="DT181" s="340">
        <f t="shared" si="529"/>
        <v>37061.279999999999</v>
      </c>
      <c r="DU181" s="340">
        <f t="shared" si="529"/>
        <v>28482.720000000001</v>
      </c>
      <c r="DV181" s="340">
        <f t="shared" si="529"/>
        <v>25957.32</v>
      </c>
      <c r="DW181" s="340">
        <f t="shared" si="529"/>
        <v>25707.45</v>
      </c>
      <c r="DX181" s="340">
        <f t="shared" si="529"/>
        <v>25871.79</v>
      </c>
      <c r="DY181" s="340">
        <f t="shared" si="529"/>
        <v>23546.12</v>
      </c>
      <c r="DZ181" s="340">
        <f t="shared" si="529"/>
        <v>27227.569999999996</v>
      </c>
      <c r="EA181" s="340">
        <f t="shared" si="529"/>
        <v>27536.01</v>
      </c>
      <c r="EB181" s="340">
        <f t="shared" si="529"/>
        <v>36232</v>
      </c>
      <c r="EC181" s="340">
        <f t="shared" si="529"/>
        <v>17066</v>
      </c>
      <c r="ED181" s="340">
        <f t="shared" si="529"/>
        <v>27735</v>
      </c>
      <c r="EE181" s="340">
        <f t="shared" si="529"/>
        <v>22626</v>
      </c>
      <c r="EF181" s="340">
        <f t="shared" si="529"/>
        <v>19523</v>
      </c>
      <c r="EG181" s="340">
        <f t="shared" si="529"/>
        <v>22077</v>
      </c>
      <c r="EH181" s="340">
        <f t="shared" si="529"/>
        <v>20752</v>
      </c>
      <c r="EI181" s="340">
        <f t="shared" si="529"/>
        <v>24482</v>
      </c>
      <c r="EJ181" s="340">
        <f t="shared" si="529"/>
        <v>24660</v>
      </c>
      <c r="EK181" s="340">
        <f t="shared" si="529"/>
        <v>22856</v>
      </c>
      <c r="EL181" s="340">
        <f t="shared" si="529"/>
        <v>23895</v>
      </c>
      <c r="EM181" s="340">
        <f t="shared" si="529"/>
        <v>35581</v>
      </c>
      <c r="EO181" s="319" t="s">
        <v>65</v>
      </c>
      <c r="EP181" s="319">
        <f t="shared" si="461"/>
        <v>0</v>
      </c>
      <c r="EQ181" s="319">
        <f t="shared" si="462"/>
        <v>0</v>
      </c>
      <c r="ER181" s="319">
        <f t="shared" si="463"/>
        <v>0</v>
      </c>
      <c r="ES181" s="319">
        <f t="shared" si="464"/>
        <v>0</v>
      </c>
      <c r="ET181" s="319">
        <f t="shared" si="465"/>
        <v>0</v>
      </c>
      <c r="EU181" s="319">
        <f t="shared" si="466"/>
        <v>0</v>
      </c>
      <c r="EV181" s="319">
        <f t="shared" si="467"/>
        <v>0</v>
      </c>
      <c r="EW181" s="319">
        <f t="shared" si="468"/>
        <v>0</v>
      </c>
      <c r="EX181" s="319">
        <f t="shared" si="469"/>
        <v>0</v>
      </c>
      <c r="EY181" s="319">
        <f t="shared" si="470"/>
        <v>0</v>
      </c>
      <c r="EZ181" s="319">
        <f t="shared" si="471"/>
        <v>0</v>
      </c>
      <c r="FA181" s="319">
        <f t="shared" si="472"/>
        <v>0</v>
      </c>
      <c r="FB181" s="319">
        <f t="shared" si="473"/>
        <v>0</v>
      </c>
      <c r="FC181" s="319">
        <f t="shared" si="474"/>
        <v>0</v>
      </c>
      <c r="FD181" s="319">
        <f t="shared" si="475"/>
        <v>0</v>
      </c>
      <c r="FE181" s="319">
        <f t="shared" si="476"/>
        <v>0</v>
      </c>
      <c r="FF181" s="322">
        <f t="shared" si="477"/>
        <v>0</v>
      </c>
      <c r="FG181" s="336">
        <f t="shared" si="478"/>
        <v>0</v>
      </c>
      <c r="FH181" s="336">
        <f t="shared" si="479"/>
        <v>0</v>
      </c>
      <c r="FI181" s="336">
        <f t="shared" si="480"/>
        <v>0</v>
      </c>
      <c r="FJ181" s="336">
        <f t="shared" si="481"/>
        <v>0</v>
      </c>
      <c r="FK181" s="336">
        <f t="shared" si="482"/>
        <v>0</v>
      </c>
      <c r="FL181" s="122"/>
      <c r="FM181" s="340" t="s">
        <v>65</v>
      </c>
      <c r="FN181" s="340">
        <f t="shared" si="483"/>
        <v>50975.82</v>
      </c>
      <c r="FO181" s="340">
        <f t="shared" si="484"/>
        <v>49037.3</v>
      </c>
      <c r="FP181" s="340">
        <f t="shared" si="485"/>
        <v>53532.959999999999</v>
      </c>
      <c r="FQ181" s="340">
        <f t="shared" si="486"/>
        <v>61034.400000000001</v>
      </c>
      <c r="FR181" s="340">
        <f t="shared" si="487"/>
        <v>69219.520000000004</v>
      </c>
      <c r="FS181" s="340">
        <f t="shared" si="488"/>
        <v>66839.37</v>
      </c>
      <c r="FT181" s="340">
        <f t="shared" si="489"/>
        <v>68991.44</v>
      </c>
      <c r="FU181" s="340">
        <f t="shared" si="490"/>
        <v>70638.36</v>
      </c>
      <c r="FV181" s="340">
        <f t="shared" si="491"/>
        <v>74885.3</v>
      </c>
      <c r="FW181" s="340">
        <f t="shared" si="492"/>
        <v>73715.049999999988</v>
      </c>
      <c r="FX181" s="340">
        <f t="shared" si="493"/>
        <v>74568</v>
      </c>
      <c r="FY181" s="340">
        <f t="shared" si="494"/>
        <v>76799</v>
      </c>
      <c r="FZ181" s="340">
        <f t="shared" si="495"/>
        <v>77210</v>
      </c>
      <c r="GA181" s="340">
        <f t="shared" si="496"/>
        <v>80259</v>
      </c>
      <c r="GB181" s="340">
        <f t="shared" si="497"/>
        <v>85461</v>
      </c>
      <c r="GC181" s="340">
        <f t="shared" si="498"/>
        <v>91373</v>
      </c>
      <c r="GD181" s="340">
        <f t="shared" si="499"/>
        <v>82907</v>
      </c>
      <c r="GE181" s="340">
        <f t="shared" si="500"/>
        <v>82582</v>
      </c>
      <c r="GF181" s="340">
        <f t="shared" si="501"/>
        <v>84259</v>
      </c>
      <c r="GG181" s="340">
        <f t="shared" si="502"/>
        <v>85663</v>
      </c>
      <c r="GH181" s="340">
        <f t="shared" si="503"/>
        <v>86332</v>
      </c>
      <c r="GI181" s="340">
        <f t="shared" si="504"/>
        <v>93170</v>
      </c>
      <c r="GJ181" s="122"/>
      <c r="GK181" s="340" t="s">
        <v>65</v>
      </c>
      <c r="GL181" s="340">
        <f t="shared" si="505"/>
        <v>7282.26</v>
      </c>
      <c r="GM181" s="340">
        <f t="shared" si="506"/>
        <v>0</v>
      </c>
      <c r="GN181" s="340">
        <f t="shared" si="507"/>
        <v>16471.68</v>
      </c>
      <c r="GO181" s="340">
        <f t="shared" si="508"/>
        <v>0</v>
      </c>
      <c r="GP181" s="340">
        <f t="shared" si="509"/>
        <v>0</v>
      </c>
      <c r="GQ181" s="340">
        <f t="shared" si="510"/>
        <v>5141.49</v>
      </c>
      <c r="GR181" s="340">
        <f t="shared" si="511"/>
        <v>8623.93</v>
      </c>
      <c r="GS181" s="340">
        <f t="shared" si="512"/>
        <v>0</v>
      </c>
      <c r="GT181" s="340">
        <f t="shared" si="513"/>
        <v>0</v>
      </c>
      <c r="GU181" s="340">
        <f t="shared" si="514"/>
        <v>6295.01</v>
      </c>
      <c r="GV181" s="340">
        <f t="shared" si="515"/>
        <v>0</v>
      </c>
      <c r="GW181" s="340">
        <f t="shared" si="516"/>
        <v>0</v>
      </c>
      <c r="GX181" s="340">
        <f t="shared" si="517"/>
        <v>0</v>
      </c>
      <c r="GY181" s="340">
        <f t="shared" si="518"/>
        <v>0</v>
      </c>
      <c r="GZ181" s="340">
        <f t="shared" si="519"/>
        <v>0</v>
      </c>
      <c r="HA181" s="340">
        <f t="shared" si="520"/>
        <v>0</v>
      </c>
      <c r="HB181" s="340">
        <f t="shared" si="521"/>
        <v>0</v>
      </c>
      <c r="HC181" s="340">
        <f t="shared" si="522"/>
        <v>13000</v>
      </c>
      <c r="HD181" s="340">
        <f t="shared" si="523"/>
        <v>0</v>
      </c>
      <c r="HE181" s="340">
        <f t="shared" si="524"/>
        <v>0</v>
      </c>
      <c r="HF181" s="340">
        <f t="shared" si="525"/>
        <v>67</v>
      </c>
      <c r="HG181" s="340">
        <f t="shared" si="526"/>
        <v>0</v>
      </c>
      <c r="HH181" s="122"/>
      <c r="IF181" s="122"/>
      <c r="IG181" s="122"/>
      <c r="IH181" s="122"/>
      <c r="II181" s="122"/>
      <c r="IJ181" s="122"/>
      <c r="IK181" s="122"/>
      <c r="IL181" s="122"/>
      <c r="IN181" s="118"/>
      <c r="IP181" s="122"/>
      <c r="IQ181" s="122"/>
      <c r="IR181" s="122"/>
      <c r="IS181" s="122"/>
      <c r="IT181" s="122"/>
      <c r="IU181" s="122"/>
      <c r="IV181" s="122"/>
      <c r="IW181" s="122"/>
      <c r="IX181" s="122"/>
      <c r="IY181" s="122"/>
      <c r="IZ181" s="122"/>
      <c r="JA181" s="122"/>
      <c r="JB181" s="122"/>
      <c r="JC181" s="122"/>
      <c r="JD181" s="122"/>
      <c r="JE181" s="122"/>
      <c r="JF181" s="122"/>
      <c r="JG181" s="122"/>
      <c r="JH181" s="122"/>
      <c r="JI181" s="122"/>
      <c r="JK181" s="118"/>
      <c r="JL181" s="118"/>
      <c r="JY181" s="122"/>
      <c r="JZ181" s="122"/>
      <c r="KA181" s="122"/>
      <c r="KB181" s="122"/>
      <c r="LX181" s="122"/>
      <c r="LY181" s="122"/>
      <c r="LZ181" s="122"/>
      <c r="MB181" s="118"/>
      <c r="MC181" s="118"/>
      <c r="MP181" s="122"/>
      <c r="MQ181" s="122"/>
      <c r="MR181" s="122"/>
      <c r="MS181" s="122"/>
      <c r="MT181" s="122"/>
      <c r="MU181" s="122"/>
      <c r="MV181" s="122"/>
      <c r="OS181" s="118"/>
      <c r="OT181" s="118"/>
      <c r="PC181" s="122"/>
      <c r="PD181" s="122"/>
      <c r="PE181" s="122"/>
      <c r="PF181" s="122"/>
      <c r="PG181" s="122"/>
      <c r="PH181" s="122"/>
      <c r="PI181" s="122"/>
      <c r="PJ181" s="122"/>
      <c r="PP181" s="118"/>
      <c r="PQ181" s="118"/>
      <c r="PZ181" s="122"/>
      <c r="QA181" s="122"/>
      <c r="QB181" s="122"/>
      <c r="QC181" s="122"/>
      <c r="QD181" s="122"/>
      <c r="QE181" s="122"/>
      <c r="QF181" s="122"/>
      <c r="QG181" s="122"/>
      <c r="QM181" s="118"/>
      <c r="QN181" s="118"/>
      <c r="RE181" s="118"/>
      <c r="RF181" s="118"/>
      <c r="RG181" s="118"/>
      <c r="RH181" s="118"/>
      <c r="RI181" s="118"/>
      <c r="RJ181" s="118"/>
      <c r="RK181" s="118"/>
    </row>
    <row r="182" spans="25:479">
      <c r="Y182" s="277" t="s">
        <v>66</v>
      </c>
      <c r="Z182" s="319">
        <f t="shared" si="372"/>
        <v>283811.31</v>
      </c>
      <c r="AA182" s="319">
        <f t="shared" si="373"/>
        <v>269471.45</v>
      </c>
      <c r="AB182" s="319">
        <f t="shared" si="374"/>
        <v>297853.75</v>
      </c>
      <c r="AC182" s="319">
        <f t="shared" si="375"/>
        <v>314378.40000000002</v>
      </c>
      <c r="AD182" s="319">
        <f t="shared" si="376"/>
        <v>331188.48000000004</v>
      </c>
      <c r="AE182" s="319">
        <f t="shared" si="377"/>
        <v>310328.5</v>
      </c>
      <c r="AF182" s="319">
        <f t="shared" si="378"/>
        <v>376113.36000000004</v>
      </c>
      <c r="AG182" s="319">
        <f t="shared" si="379"/>
        <v>343436.75</v>
      </c>
      <c r="AH182" s="319">
        <f t="shared" si="380"/>
        <v>395119.76</v>
      </c>
      <c r="AI182" s="319">
        <f t="shared" si="381"/>
        <v>334224.83999999997</v>
      </c>
      <c r="AJ182" s="319">
        <f t="shared" si="382"/>
        <v>375882.53</v>
      </c>
      <c r="AK182" s="319">
        <f t="shared" si="383"/>
        <v>354676.42</v>
      </c>
      <c r="AL182" s="319">
        <f t="shared" si="384"/>
        <v>409373.27999999997</v>
      </c>
      <c r="AM182" s="319">
        <f t="shared" si="385"/>
        <v>371302</v>
      </c>
      <c r="AN182" s="319">
        <f t="shared" si="386"/>
        <v>411246.67</v>
      </c>
      <c r="AO182" s="319">
        <f t="shared" si="387"/>
        <v>437444.43999999994</v>
      </c>
      <c r="AP182" s="319">
        <f t="shared" si="388"/>
        <v>0</v>
      </c>
      <c r="AQ182" s="319">
        <f t="shared" si="389"/>
        <v>529589.49</v>
      </c>
      <c r="AR182" s="319">
        <f t="shared" si="390"/>
        <v>485264.01</v>
      </c>
      <c r="AS182" s="319">
        <f t="shared" si="391"/>
        <v>0</v>
      </c>
      <c r="AT182" s="319">
        <f t="shared" si="392"/>
        <v>0</v>
      </c>
      <c r="AU182" s="319">
        <f t="shared" si="393"/>
        <v>0</v>
      </c>
      <c r="AW182" s="322" t="s">
        <v>66</v>
      </c>
      <c r="AX182" s="322">
        <f t="shared" si="527"/>
        <v>105115.3</v>
      </c>
      <c r="AY182" s="322">
        <f t="shared" si="395"/>
        <v>105445.35</v>
      </c>
      <c r="AZ182" s="322">
        <f t="shared" si="396"/>
        <v>107227.35</v>
      </c>
      <c r="BA182" s="322">
        <f t="shared" si="397"/>
        <v>101050.20000000001</v>
      </c>
      <c r="BB182" s="322">
        <f t="shared" si="398"/>
        <v>73597.440000000002</v>
      </c>
      <c r="BC182" s="322">
        <f t="shared" si="399"/>
        <v>74478.84</v>
      </c>
      <c r="BD182" s="322">
        <f t="shared" si="400"/>
        <v>82263.960000000006</v>
      </c>
      <c r="BE182" s="322">
        <f t="shared" si="401"/>
        <v>96162.29</v>
      </c>
      <c r="BF182" s="322">
        <f t="shared" si="402"/>
        <v>84344.05</v>
      </c>
      <c r="BG182" s="322">
        <f t="shared" si="403"/>
        <v>96252.64</v>
      </c>
      <c r="BH182" s="322">
        <f t="shared" si="404"/>
        <v>102090.5</v>
      </c>
      <c r="BI182" s="322">
        <f t="shared" si="405"/>
        <v>82939.789999999994</v>
      </c>
      <c r="BJ182" s="322">
        <f t="shared" si="406"/>
        <v>90299.15</v>
      </c>
      <c r="BK182" s="322">
        <f t="shared" si="407"/>
        <v>94151.18</v>
      </c>
      <c r="BL182" s="322">
        <f t="shared" ref="BL182:BL204" si="530">HX84+IV84+JT84+PH84</f>
        <v>94255.599999999991</v>
      </c>
      <c r="BM182" s="322">
        <f t="shared" ref="BM182:BM204" si="531">HY84+IW84+JU84+PI84</f>
        <v>92278.150000000009</v>
      </c>
      <c r="BN182" s="322">
        <f t="shared" ref="BN182:BN204" si="532">HZ84+IX84+JV84+PJ84</f>
        <v>0</v>
      </c>
      <c r="BO182" s="340">
        <f t="shared" si="528"/>
        <v>82001.609999999986</v>
      </c>
      <c r="BP182" s="340">
        <f t="shared" si="412"/>
        <v>90066.13</v>
      </c>
      <c r="BQ182" s="340">
        <f t="shared" si="413"/>
        <v>0</v>
      </c>
      <c r="BR182" s="340">
        <f t="shared" si="414"/>
        <v>0</v>
      </c>
      <c r="BS182" s="340">
        <f t="shared" si="415"/>
        <v>0</v>
      </c>
      <c r="BU182" s="340" t="s">
        <v>66</v>
      </c>
      <c r="BV182" s="340">
        <f t="shared" si="416"/>
        <v>21023.06</v>
      </c>
      <c r="BW182" s="340">
        <f t="shared" si="417"/>
        <v>23432.3</v>
      </c>
      <c r="BX182" s="340">
        <f t="shared" si="418"/>
        <v>23828.3</v>
      </c>
      <c r="BY182" s="340">
        <f t="shared" si="419"/>
        <v>22455.599999999999</v>
      </c>
      <c r="BZ182" s="340">
        <f t="shared" si="420"/>
        <v>24532.48</v>
      </c>
      <c r="CA182" s="340">
        <f t="shared" si="421"/>
        <v>37239.42</v>
      </c>
      <c r="CB182" s="340">
        <f t="shared" si="422"/>
        <v>41131.979999999996</v>
      </c>
      <c r="CC182" s="340">
        <f t="shared" si="423"/>
        <v>41212.409999999996</v>
      </c>
      <c r="CD182" s="340">
        <f t="shared" si="424"/>
        <v>41681.839999999997</v>
      </c>
      <c r="CE182" s="340">
        <f t="shared" si="425"/>
        <v>54922.89</v>
      </c>
      <c r="CF182" s="340">
        <f t="shared" si="426"/>
        <v>56642.229999999996</v>
      </c>
      <c r="CG182" s="340">
        <f t="shared" si="427"/>
        <v>55349.65</v>
      </c>
      <c r="CH182" s="340">
        <f t="shared" si="428"/>
        <v>58183.439999999995</v>
      </c>
      <c r="CI182" s="340">
        <f t="shared" si="429"/>
        <v>58135.85</v>
      </c>
      <c r="CJ182" s="340">
        <f t="shared" si="430"/>
        <v>59665.030000000006</v>
      </c>
      <c r="CK182" s="340">
        <f t="shared" si="431"/>
        <v>64523.610000000008</v>
      </c>
      <c r="CL182" s="340">
        <f t="shared" si="432"/>
        <v>0</v>
      </c>
      <c r="CM182" s="340">
        <f t="shared" si="433"/>
        <v>71354.27</v>
      </c>
      <c r="CN182" s="340">
        <f t="shared" si="434"/>
        <v>69372.2</v>
      </c>
      <c r="CO182" s="340">
        <f t="shared" si="435"/>
        <v>0</v>
      </c>
      <c r="CP182" s="340">
        <f t="shared" si="436"/>
        <v>0</v>
      </c>
      <c r="CQ182" s="340">
        <f t="shared" si="437"/>
        <v>0</v>
      </c>
      <c r="CR182" s="122"/>
      <c r="CS182" s="340" t="s">
        <v>66</v>
      </c>
      <c r="CT182" s="340">
        <f t="shared" si="438"/>
        <v>105115.3</v>
      </c>
      <c r="CU182" s="340">
        <f t="shared" si="439"/>
        <v>117161.5</v>
      </c>
      <c r="CV182" s="340">
        <f t="shared" si="440"/>
        <v>119141.5</v>
      </c>
      <c r="CW182" s="340">
        <f t="shared" si="441"/>
        <v>101050.2</v>
      </c>
      <c r="CX182" s="340">
        <f t="shared" si="442"/>
        <v>159461.12</v>
      </c>
      <c r="CY182" s="340">
        <f t="shared" si="443"/>
        <v>148957.68</v>
      </c>
      <c r="CZ182" s="340">
        <f t="shared" si="444"/>
        <v>123395.94</v>
      </c>
      <c r="DA182" s="340">
        <f t="shared" si="445"/>
        <v>109899.76</v>
      </c>
      <c r="DB182" s="340">
        <f t="shared" si="446"/>
        <v>162348.29999999999</v>
      </c>
      <c r="DC182" s="340">
        <f t="shared" si="447"/>
        <v>123963.06</v>
      </c>
      <c r="DD182" s="340">
        <f t="shared" si="448"/>
        <v>140642.18</v>
      </c>
      <c r="DE182" s="340">
        <f t="shared" si="449"/>
        <v>144544.09</v>
      </c>
      <c r="DF182" s="340">
        <f t="shared" si="450"/>
        <v>136546.09</v>
      </c>
      <c r="DG182" s="340">
        <f t="shared" si="451"/>
        <v>151581.35</v>
      </c>
      <c r="DH182" s="340">
        <f t="shared" si="452"/>
        <v>111995.14</v>
      </c>
      <c r="DI182" s="340">
        <f t="shared" si="453"/>
        <v>133321.97</v>
      </c>
      <c r="DJ182" s="340">
        <f t="shared" si="454"/>
        <v>0</v>
      </c>
      <c r="DK182" s="340">
        <f t="shared" si="455"/>
        <v>159090.81</v>
      </c>
      <c r="DL182" s="340">
        <f t="shared" si="456"/>
        <v>141708.24</v>
      </c>
      <c r="DM182" s="340">
        <f t="shared" si="457"/>
        <v>0</v>
      </c>
      <c r="DN182" s="340">
        <f t="shared" si="458"/>
        <v>0</v>
      </c>
      <c r="DO182" s="340">
        <f t="shared" si="459"/>
        <v>0</v>
      </c>
      <c r="DP182" s="330"/>
      <c r="DQ182" s="340" t="s">
        <v>66</v>
      </c>
      <c r="DR182" s="340">
        <f t="shared" ref="DR182:EM182" si="533">DR84</f>
        <v>136649.89000000001</v>
      </c>
      <c r="DS182" s="340">
        <f t="shared" si="533"/>
        <v>152309.95000000001</v>
      </c>
      <c r="DT182" s="340">
        <f t="shared" si="533"/>
        <v>154883.95000000001</v>
      </c>
      <c r="DU182" s="340">
        <f t="shared" si="533"/>
        <v>145961.4</v>
      </c>
      <c r="DV182" s="340">
        <f t="shared" si="533"/>
        <v>134928.64000000001</v>
      </c>
      <c r="DW182" s="340">
        <f t="shared" si="533"/>
        <v>148957.68</v>
      </c>
      <c r="DX182" s="340">
        <f t="shared" si="533"/>
        <v>164527.92000000001</v>
      </c>
      <c r="DY182" s="340">
        <f t="shared" si="533"/>
        <v>164849.64000000001</v>
      </c>
      <c r="DZ182" s="340">
        <f t="shared" si="533"/>
        <v>175989.92000000004</v>
      </c>
      <c r="EA182" s="340">
        <f t="shared" si="533"/>
        <v>188008.72999999998</v>
      </c>
      <c r="EB182" s="340">
        <f t="shared" si="533"/>
        <v>178376.11000000002</v>
      </c>
      <c r="EC182" s="340">
        <f t="shared" si="533"/>
        <v>214495.84</v>
      </c>
      <c r="ED182" s="340">
        <f t="shared" si="533"/>
        <v>170380.93</v>
      </c>
      <c r="EE182" s="340">
        <f t="shared" si="533"/>
        <v>152916.73000000001</v>
      </c>
      <c r="EF182" s="340">
        <f t="shared" si="533"/>
        <v>190069.66000000003</v>
      </c>
      <c r="EG182" s="340">
        <f t="shared" si="533"/>
        <v>194131.51999999996</v>
      </c>
      <c r="EH182" s="340">
        <f t="shared" si="533"/>
        <v>0</v>
      </c>
      <c r="EI182" s="340">
        <f t="shared" si="533"/>
        <v>229171.33000000002</v>
      </c>
      <c r="EJ182" s="340">
        <f t="shared" si="533"/>
        <v>264066.43</v>
      </c>
      <c r="EK182" s="340">
        <f t="shared" si="533"/>
        <v>0</v>
      </c>
      <c r="EL182" s="340">
        <f t="shared" si="533"/>
        <v>0</v>
      </c>
      <c r="EM182" s="340">
        <f t="shared" si="533"/>
        <v>0</v>
      </c>
      <c r="EO182" s="319" t="s">
        <v>66</v>
      </c>
      <c r="EP182" s="319">
        <f t="shared" si="461"/>
        <v>283811.31</v>
      </c>
      <c r="EQ182" s="319">
        <f t="shared" si="462"/>
        <v>410065.25</v>
      </c>
      <c r="ER182" s="319">
        <f t="shared" si="463"/>
        <v>381252.8</v>
      </c>
      <c r="ES182" s="319">
        <f t="shared" si="464"/>
        <v>314378.40000000002</v>
      </c>
      <c r="ET182" s="319">
        <f t="shared" si="465"/>
        <v>343454.71999999997</v>
      </c>
      <c r="EU182" s="319">
        <f t="shared" si="466"/>
        <v>384807.34</v>
      </c>
      <c r="EV182" s="319">
        <f t="shared" si="467"/>
        <v>425030.46</v>
      </c>
      <c r="EW182" s="319">
        <f t="shared" si="468"/>
        <v>453336.51</v>
      </c>
      <c r="EX182" s="319">
        <f t="shared" si="469"/>
        <v>550621.72000000009</v>
      </c>
      <c r="EY182" s="319">
        <f t="shared" si="470"/>
        <v>517693.64</v>
      </c>
      <c r="EZ182" s="319">
        <f t="shared" si="471"/>
        <v>619702.11</v>
      </c>
      <c r="FA182" s="319">
        <f t="shared" si="472"/>
        <v>560835.77</v>
      </c>
      <c r="FB182" s="319">
        <f t="shared" si="473"/>
        <v>592248.80000000005</v>
      </c>
      <c r="FC182" s="319">
        <f t="shared" si="474"/>
        <v>670937.12</v>
      </c>
      <c r="FD182" s="319">
        <f t="shared" si="475"/>
        <v>654767.1399999999</v>
      </c>
      <c r="FE182" s="319">
        <f t="shared" si="476"/>
        <v>612069.97</v>
      </c>
      <c r="FF182" s="322">
        <f t="shared" si="477"/>
        <v>0</v>
      </c>
      <c r="FG182" s="336">
        <f t="shared" si="478"/>
        <v>908441.1</v>
      </c>
      <c r="FH182" s="336">
        <f t="shared" si="479"/>
        <v>964203.7100000002</v>
      </c>
      <c r="FI182" s="336">
        <f t="shared" si="480"/>
        <v>0</v>
      </c>
      <c r="FJ182" s="336">
        <f t="shared" si="481"/>
        <v>0</v>
      </c>
      <c r="FK182" s="336">
        <f t="shared" si="482"/>
        <v>0</v>
      </c>
      <c r="FL182" s="122"/>
      <c r="FM182" s="340" t="s">
        <v>66</v>
      </c>
      <c r="FN182" s="340">
        <f t="shared" si="483"/>
        <v>63069.18</v>
      </c>
      <c r="FO182" s="340">
        <f t="shared" si="484"/>
        <v>58580.75</v>
      </c>
      <c r="FP182" s="340">
        <f t="shared" si="485"/>
        <v>59570.75</v>
      </c>
      <c r="FQ182" s="340">
        <f t="shared" si="486"/>
        <v>78594.600000000006</v>
      </c>
      <c r="FR182" s="340">
        <f t="shared" si="487"/>
        <v>73597.440000000002</v>
      </c>
      <c r="FS182" s="340">
        <f t="shared" si="488"/>
        <v>74478.84</v>
      </c>
      <c r="FT182" s="340">
        <f t="shared" si="489"/>
        <v>82263.960000000006</v>
      </c>
      <c r="FU182" s="340">
        <f t="shared" si="490"/>
        <v>96162.29</v>
      </c>
      <c r="FV182" s="340">
        <f t="shared" si="491"/>
        <v>80616.69</v>
      </c>
      <c r="FW182" s="340">
        <f t="shared" si="492"/>
        <v>81904.11</v>
      </c>
      <c r="FX182" s="340">
        <f t="shared" si="493"/>
        <v>81690.600000000006</v>
      </c>
      <c r="FY182" s="340">
        <f t="shared" si="494"/>
        <v>82511.679999999993</v>
      </c>
      <c r="FZ182" s="340">
        <f t="shared" si="495"/>
        <v>83813.48</v>
      </c>
      <c r="GA182" s="340">
        <f t="shared" si="496"/>
        <v>85999.91</v>
      </c>
      <c r="GB182" s="340">
        <f t="shared" si="497"/>
        <v>85761.56</v>
      </c>
      <c r="GC182" s="340">
        <f t="shared" si="498"/>
        <v>90064.56</v>
      </c>
      <c r="GD182" s="340">
        <f t="shared" si="499"/>
        <v>0</v>
      </c>
      <c r="GE182" s="340">
        <f t="shared" si="500"/>
        <v>90546.85</v>
      </c>
      <c r="GF182" s="340">
        <f t="shared" si="501"/>
        <v>91787.04</v>
      </c>
      <c r="GG182" s="340">
        <f t="shared" si="502"/>
        <v>0</v>
      </c>
      <c r="GH182" s="340">
        <f t="shared" si="503"/>
        <v>0</v>
      </c>
      <c r="GI182" s="340">
        <f t="shared" si="504"/>
        <v>0</v>
      </c>
      <c r="GJ182" s="122"/>
      <c r="GK182" s="340" t="s">
        <v>66</v>
      </c>
      <c r="GL182" s="340">
        <f t="shared" si="505"/>
        <v>52557.65</v>
      </c>
      <c r="GM182" s="340">
        <f t="shared" si="506"/>
        <v>35148.449999999997</v>
      </c>
      <c r="GN182" s="340">
        <f t="shared" si="507"/>
        <v>47656.6</v>
      </c>
      <c r="GO182" s="340">
        <f t="shared" si="508"/>
        <v>44911.199999999997</v>
      </c>
      <c r="GP182" s="340">
        <f t="shared" si="509"/>
        <v>85863.679999999993</v>
      </c>
      <c r="GQ182" s="340">
        <f t="shared" si="510"/>
        <v>62065.7</v>
      </c>
      <c r="GR182" s="340">
        <f t="shared" si="511"/>
        <v>68553.3</v>
      </c>
      <c r="GS182" s="340">
        <f t="shared" si="512"/>
        <v>68687.350000000006</v>
      </c>
      <c r="GT182" s="340">
        <f t="shared" si="513"/>
        <v>61943.46</v>
      </c>
      <c r="GU182" s="340">
        <f t="shared" si="514"/>
        <v>93872.48000000001</v>
      </c>
      <c r="GV182" s="340">
        <f t="shared" si="515"/>
        <v>62919.18</v>
      </c>
      <c r="GW182" s="340">
        <f t="shared" si="516"/>
        <v>62793.97</v>
      </c>
      <c r="GX182" s="340">
        <f t="shared" si="517"/>
        <v>63800.17</v>
      </c>
      <c r="GY182" s="340">
        <f t="shared" si="518"/>
        <v>62111.8</v>
      </c>
      <c r="GZ182" s="340">
        <f t="shared" si="519"/>
        <v>65436.34</v>
      </c>
      <c r="HA182" s="340">
        <f t="shared" si="520"/>
        <v>62000</v>
      </c>
      <c r="HB182" s="340">
        <f t="shared" si="521"/>
        <v>0</v>
      </c>
      <c r="HC182" s="340">
        <f t="shared" si="522"/>
        <v>62000</v>
      </c>
      <c r="HD182" s="340">
        <f t="shared" si="523"/>
        <v>63509.66</v>
      </c>
      <c r="HE182" s="340">
        <f t="shared" si="524"/>
        <v>0</v>
      </c>
      <c r="HF182" s="340">
        <f t="shared" si="525"/>
        <v>0</v>
      </c>
      <c r="HG182" s="340">
        <f t="shared" si="526"/>
        <v>0</v>
      </c>
      <c r="HH182" s="122"/>
      <c r="IF182" s="122"/>
      <c r="IG182" s="122"/>
      <c r="IH182" s="122"/>
      <c r="II182" s="122"/>
      <c r="IJ182" s="122"/>
      <c r="IK182" s="122"/>
      <c r="IL182" s="122"/>
      <c r="IN182" s="118"/>
      <c r="IP182" s="122"/>
      <c r="IQ182" s="122"/>
      <c r="IR182" s="122"/>
      <c r="IS182" s="122"/>
      <c r="IT182" s="122"/>
      <c r="IU182" s="122"/>
      <c r="IV182" s="122"/>
      <c r="IW182" s="122"/>
      <c r="IX182" s="122"/>
      <c r="IY182" s="122"/>
      <c r="IZ182" s="122"/>
      <c r="JA182" s="122"/>
      <c r="JB182" s="122"/>
      <c r="JC182" s="122"/>
      <c r="JD182" s="122"/>
      <c r="JE182" s="122"/>
      <c r="JF182" s="122"/>
      <c r="JG182" s="122"/>
      <c r="JH182" s="122"/>
      <c r="JI182" s="122"/>
      <c r="JK182" s="118"/>
      <c r="JL182" s="118"/>
      <c r="JY182" s="122"/>
      <c r="JZ182" s="122"/>
      <c r="KA182" s="122"/>
      <c r="KB182" s="122"/>
      <c r="LX182" s="122"/>
      <c r="LY182" s="122"/>
      <c r="LZ182" s="122"/>
      <c r="MB182" s="118"/>
      <c r="MC182" s="118"/>
      <c r="MP182" s="122"/>
      <c r="MQ182" s="122"/>
      <c r="MR182" s="122"/>
      <c r="MS182" s="122"/>
      <c r="MT182" s="122"/>
      <c r="MU182" s="122"/>
      <c r="MV182" s="122"/>
      <c r="OS182" s="118"/>
      <c r="OT182" s="118"/>
      <c r="PC182" s="122"/>
      <c r="PD182" s="122"/>
      <c r="PE182" s="122"/>
      <c r="PF182" s="122"/>
      <c r="PG182" s="122"/>
      <c r="PH182" s="122"/>
      <c r="PI182" s="122"/>
      <c r="PJ182" s="122"/>
      <c r="PP182" s="118"/>
      <c r="PQ182" s="118"/>
      <c r="PZ182" s="122"/>
      <c r="QA182" s="122"/>
      <c r="QB182" s="122"/>
      <c r="QC182" s="122"/>
      <c r="QD182" s="122"/>
      <c r="QE182" s="122"/>
      <c r="QF182" s="122"/>
      <c r="QG182" s="122"/>
      <c r="QM182" s="118"/>
      <c r="QN182" s="118"/>
      <c r="RE182" s="118"/>
      <c r="RF182" s="118"/>
      <c r="RG182" s="118"/>
      <c r="RH182" s="118"/>
      <c r="RI182" s="118"/>
      <c r="RJ182" s="118"/>
      <c r="RK182" s="118"/>
    </row>
    <row r="183" spans="25:479">
      <c r="Y183" s="277" t="s">
        <v>67</v>
      </c>
      <c r="Z183" s="319">
        <f t="shared" ref="Z183:Z204" si="534">Z85+AX85+BV85+CT85+EP85+FN85+GL85</f>
        <v>453300.64</v>
      </c>
      <c r="AA183" s="319">
        <f t="shared" si="373"/>
        <v>404810.08</v>
      </c>
      <c r="AB183" s="319">
        <f t="shared" si="374"/>
        <v>403199.4</v>
      </c>
      <c r="AC183" s="319">
        <f t="shared" si="375"/>
        <v>453568.33000000007</v>
      </c>
      <c r="AD183" s="319">
        <f t="shared" si="376"/>
        <v>568732.79999999993</v>
      </c>
      <c r="AE183" s="319">
        <f t="shared" si="377"/>
        <v>472172.62000000005</v>
      </c>
      <c r="AF183" s="319">
        <f t="shared" si="378"/>
        <v>510538.63999999996</v>
      </c>
      <c r="AG183" s="319">
        <f t="shared" si="379"/>
        <v>459148.64</v>
      </c>
      <c r="AH183" s="319">
        <f t="shared" si="380"/>
        <v>621906</v>
      </c>
      <c r="AI183" s="319">
        <f t="shared" si="381"/>
        <v>546448</v>
      </c>
      <c r="AJ183" s="319">
        <f t="shared" si="382"/>
        <v>674003</v>
      </c>
      <c r="AK183" s="319">
        <f t="shared" si="383"/>
        <v>620577</v>
      </c>
      <c r="AL183" s="319">
        <f t="shared" si="384"/>
        <v>627807</v>
      </c>
      <c r="AM183" s="319">
        <f t="shared" si="385"/>
        <v>595273</v>
      </c>
      <c r="AN183" s="319">
        <f t="shared" si="386"/>
        <v>0</v>
      </c>
      <c r="AO183" s="319">
        <f t="shared" si="387"/>
        <v>623446</v>
      </c>
      <c r="AP183" s="319">
        <f>AP85+BN85+CL86+DJ85+FF85+GD85+HB85</f>
        <v>0</v>
      </c>
      <c r="AQ183" s="319">
        <f t="shared" ref="AQ183:AQ204" si="535">AQ85+BO85+CM85+DK85+FG85+GE85+HC85</f>
        <v>616982</v>
      </c>
      <c r="AR183" s="319">
        <f t="shared" si="390"/>
        <v>0</v>
      </c>
      <c r="AS183" s="319">
        <f t="shared" si="391"/>
        <v>0</v>
      </c>
      <c r="AT183" s="319">
        <f t="shared" si="392"/>
        <v>0</v>
      </c>
      <c r="AU183" s="319">
        <f t="shared" si="393"/>
        <v>0</v>
      </c>
      <c r="AW183" s="322" t="s">
        <v>67</v>
      </c>
      <c r="AX183" s="322">
        <f t="shared" si="527"/>
        <v>453300.64</v>
      </c>
      <c r="AY183" s="322">
        <f t="shared" si="395"/>
        <v>404810.08</v>
      </c>
      <c r="AZ183" s="322">
        <f t="shared" si="396"/>
        <v>403199.39999999997</v>
      </c>
      <c r="BA183" s="322">
        <f t="shared" si="397"/>
        <v>373526.86</v>
      </c>
      <c r="BB183" s="322">
        <f t="shared" si="398"/>
        <v>341239.68000000005</v>
      </c>
      <c r="BC183" s="322">
        <f t="shared" si="399"/>
        <v>305523.45999999996</v>
      </c>
      <c r="BD183" s="322">
        <f t="shared" si="400"/>
        <v>305152.89999999997</v>
      </c>
      <c r="BE183" s="322">
        <f t="shared" si="401"/>
        <v>286967.89999999997</v>
      </c>
      <c r="BF183" s="322">
        <f t="shared" si="402"/>
        <v>265598</v>
      </c>
      <c r="BG183" s="322">
        <f t="shared" si="403"/>
        <v>267334</v>
      </c>
      <c r="BH183" s="322">
        <f t="shared" si="404"/>
        <v>324111</v>
      </c>
      <c r="BI183" s="322">
        <f t="shared" si="405"/>
        <v>256287</v>
      </c>
      <c r="BJ183" s="322">
        <f t="shared" si="406"/>
        <v>268559</v>
      </c>
      <c r="BK183" s="322">
        <f t="shared" si="407"/>
        <v>320318</v>
      </c>
      <c r="BL183" s="322">
        <f t="shared" si="530"/>
        <v>0</v>
      </c>
      <c r="BM183" s="322">
        <f t="shared" si="531"/>
        <v>311298</v>
      </c>
      <c r="BN183" s="322">
        <f t="shared" si="532"/>
        <v>0</v>
      </c>
      <c r="BO183" s="340">
        <f t="shared" si="528"/>
        <v>351102</v>
      </c>
      <c r="BP183" s="340">
        <f t="shared" si="412"/>
        <v>0</v>
      </c>
      <c r="BQ183" s="340">
        <f t="shared" si="413"/>
        <v>0</v>
      </c>
      <c r="BR183" s="340">
        <f t="shared" si="414"/>
        <v>0</v>
      </c>
      <c r="BS183" s="340">
        <f t="shared" si="415"/>
        <v>0</v>
      </c>
      <c r="BU183" s="340" t="s">
        <v>67</v>
      </c>
      <c r="BV183" s="340">
        <f t="shared" si="416"/>
        <v>84993.87</v>
      </c>
      <c r="BW183" s="340">
        <f t="shared" si="417"/>
        <v>25300.63</v>
      </c>
      <c r="BX183" s="340">
        <f t="shared" si="418"/>
        <v>53759.92</v>
      </c>
      <c r="BY183" s="340">
        <f t="shared" si="419"/>
        <v>80041.47</v>
      </c>
      <c r="BZ183" s="340">
        <f t="shared" si="420"/>
        <v>56873.279999999999</v>
      </c>
      <c r="CA183" s="340">
        <f t="shared" si="421"/>
        <v>83324.58</v>
      </c>
      <c r="CB183" s="340">
        <f t="shared" si="422"/>
        <v>91545.87</v>
      </c>
      <c r="CC183" s="340">
        <f t="shared" si="423"/>
        <v>86090.37</v>
      </c>
      <c r="CD183" s="340">
        <f t="shared" si="424"/>
        <v>95820</v>
      </c>
      <c r="CE183" s="340">
        <f t="shared" si="425"/>
        <v>96905</v>
      </c>
      <c r="CF183" s="340">
        <f t="shared" si="426"/>
        <v>104496</v>
      </c>
      <c r="CG183" s="340">
        <f t="shared" si="427"/>
        <v>103182</v>
      </c>
      <c r="CH183" s="340">
        <f t="shared" si="428"/>
        <v>107003</v>
      </c>
      <c r="CI183" s="340">
        <f t="shared" si="429"/>
        <v>114585</v>
      </c>
      <c r="CJ183" s="340">
        <f t="shared" si="430"/>
        <v>0</v>
      </c>
      <c r="CK183" s="340">
        <f t="shared" si="431"/>
        <v>110464</v>
      </c>
      <c r="CL183" s="340">
        <f t="shared" si="432"/>
        <v>0</v>
      </c>
      <c r="CM183" s="340">
        <f t="shared" si="433"/>
        <v>111887</v>
      </c>
      <c r="CN183" s="340">
        <f t="shared" si="434"/>
        <v>0</v>
      </c>
      <c r="CO183" s="340">
        <f t="shared" si="435"/>
        <v>0</v>
      </c>
      <c r="CP183" s="340">
        <f t="shared" si="436"/>
        <v>0</v>
      </c>
      <c r="CQ183" s="340">
        <f t="shared" si="437"/>
        <v>0</v>
      </c>
      <c r="CR183" s="122"/>
      <c r="CS183" s="340" t="s">
        <v>67</v>
      </c>
      <c r="CT183" s="340">
        <f t="shared" si="438"/>
        <v>566625.80000000005</v>
      </c>
      <c r="CU183" s="340">
        <f t="shared" si="439"/>
        <v>379509.45</v>
      </c>
      <c r="CV183" s="340">
        <f t="shared" si="440"/>
        <v>215039.68</v>
      </c>
      <c r="CW183" s="340">
        <f t="shared" si="441"/>
        <v>213443.92</v>
      </c>
      <c r="CX183" s="340">
        <f t="shared" si="442"/>
        <v>113746.56</v>
      </c>
      <c r="CY183" s="340">
        <f t="shared" si="443"/>
        <v>138874.29999999999</v>
      </c>
      <c r="CZ183" s="340">
        <f t="shared" si="444"/>
        <v>152576.45000000001</v>
      </c>
      <c r="DA183" s="340">
        <f t="shared" si="445"/>
        <v>200877.53</v>
      </c>
      <c r="DB183" s="340">
        <f t="shared" si="446"/>
        <v>95783</v>
      </c>
      <c r="DC183" s="340">
        <f t="shared" si="447"/>
        <v>152035</v>
      </c>
      <c r="DD183" s="340">
        <f t="shared" si="448"/>
        <v>126574</v>
      </c>
      <c r="DE183" s="340">
        <f t="shared" si="449"/>
        <v>100602</v>
      </c>
      <c r="DF183" s="340">
        <f t="shared" si="450"/>
        <v>155479</v>
      </c>
      <c r="DG183" s="340">
        <f t="shared" si="451"/>
        <v>175755</v>
      </c>
      <c r="DH183" s="340">
        <f t="shared" si="452"/>
        <v>0</v>
      </c>
      <c r="DI183" s="340">
        <f t="shared" si="453"/>
        <v>186214</v>
      </c>
      <c r="DJ183" s="340">
        <f t="shared" si="454"/>
        <v>0</v>
      </c>
      <c r="DK183" s="340">
        <f t="shared" si="455"/>
        <v>237152</v>
      </c>
      <c r="DL183" s="340">
        <f t="shared" si="456"/>
        <v>0</v>
      </c>
      <c r="DM183" s="340">
        <f t="shared" si="457"/>
        <v>0</v>
      </c>
      <c r="DN183" s="340">
        <f t="shared" si="458"/>
        <v>0</v>
      </c>
      <c r="DO183" s="340">
        <f t="shared" si="459"/>
        <v>0</v>
      </c>
      <c r="DP183" s="330"/>
      <c r="DQ183" s="340" t="s">
        <v>67</v>
      </c>
      <c r="DR183" s="340">
        <f t="shared" ref="DR183:EM183" si="536">DR85</f>
        <v>254981.61</v>
      </c>
      <c r="DS183" s="340">
        <f t="shared" si="536"/>
        <v>278306.93</v>
      </c>
      <c r="DT183" s="340">
        <f t="shared" si="536"/>
        <v>295679.56</v>
      </c>
      <c r="DU183" s="340">
        <f t="shared" si="536"/>
        <v>320165.88</v>
      </c>
      <c r="DV183" s="340">
        <f t="shared" si="536"/>
        <v>341239.68</v>
      </c>
      <c r="DW183" s="340">
        <f t="shared" si="536"/>
        <v>388848.04</v>
      </c>
      <c r="DX183" s="340">
        <f t="shared" si="536"/>
        <v>427214.06</v>
      </c>
      <c r="DY183" s="340">
        <f t="shared" si="536"/>
        <v>430451.85</v>
      </c>
      <c r="DZ183" s="340">
        <f t="shared" si="536"/>
        <v>437314</v>
      </c>
      <c r="EA183" s="340">
        <f t="shared" si="536"/>
        <v>366633</v>
      </c>
      <c r="EB183" s="340">
        <f t="shared" si="536"/>
        <v>306609</v>
      </c>
      <c r="EC183" s="340">
        <f t="shared" si="536"/>
        <v>331963</v>
      </c>
      <c r="ED183" s="340">
        <f t="shared" si="536"/>
        <v>346910</v>
      </c>
      <c r="EE183" s="340">
        <f t="shared" si="536"/>
        <v>364847</v>
      </c>
      <c r="EF183" s="340">
        <f t="shared" si="536"/>
        <v>0</v>
      </c>
      <c r="EG183" s="340">
        <f t="shared" si="536"/>
        <v>405886</v>
      </c>
      <c r="EH183" s="340">
        <f t="shared" si="536"/>
        <v>0</v>
      </c>
      <c r="EI183" s="340">
        <f t="shared" si="536"/>
        <v>505442</v>
      </c>
      <c r="EJ183" s="340">
        <f t="shared" si="536"/>
        <v>0</v>
      </c>
      <c r="EK183" s="340">
        <f t="shared" si="536"/>
        <v>0</v>
      </c>
      <c r="EL183" s="340">
        <f t="shared" si="536"/>
        <v>0</v>
      </c>
      <c r="EM183" s="340">
        <f t="shared" si="536"/>
        <v>0</v>
      </c>
      <c r="EO183" s="319" t="s">
        <v>67</v>
      </c>
      <c r="EP183" s="319">
        <f t="shared" si="461"/>
        <v>821607.40999999992</v>
      </c>
      <c r="EQ183" s="319">
        <f t="shared" si="462"/>
        <v>860221.41999999993</v>
      </c>
      <c r="ER183" s="319">
        <f t="shared" si="463"/>
        <v>1102078.3599999999</v>
      </c>
      <c r="ES183" s="319">
        <f t="shared" si="464"/>
        <v>987178.13</v>
      </c>
      <c r="ET183" s="319">
        <f t="shared" si="465"/>
        <v>1165902.24</v>
      </c>
      <c r="EU183" s="319">
        <f t="shared" si="466"/>
        <v>1110994.3999999999</v>
      </c>
      <c r="EV183" s="319">
        <f t="shared" si="467"/>
        <v>1251126.8900000001</v>
      </c>
      <c r="EW183" s="319">
        <f t="shared" si="468"/>
        <v>1090478.02</v>
      </c>
      <c r="EX183" s="319">
        <f t="shared" si="469"/>
        <v>1337275</v>
      </c>
      <c r="EY183" s="319">
        <f t="shared" si="470"/>
        <v>955681</v>
      </c>
      <c r="EZ183" s="319">
        <f t="shared" si="471"/>
        <v>560404</v>
      </c>
      <c r="FA183" s="319">
        <f t="shared" si="472"/>
        <v>650878</v>
      </c>
      <c r="FB183" s="319">
        <f t="shared" si="473"/>
        <v>582891</v>
      </c>
      <c r="FC183" s="319">
        <f t="shared" si="474"/>
        <v>628040</v>
      </c>
      <c r="FD183" s="319">
        <f t="shared" si="475"/>
        <v>0</v>
      </c>
      <c r="FE183" s="319">
        <f t="shared" si="476"/>
        <v>659948</v>
      </c>
      <c r="FF183" s="322">
        <f t="shared" si="477"/>
        <v>0</v>
      </c>
      <c r="FG183" s="336">
        <f t="shared" si="478"/>
        <v>703093</v>
      </c>
      <c r="FH183" s="336">
        <f t="shared" si="479"/>
        <v>0</v>
      </c>
      <c r="FI183" s="336">
        <f t="shared" si="480"/>
        <v>0</v>
      </c>
      <c r="FJ183" s="336">
        <f t="shared" si="481"/>
        <v>0</v>
      </c>
      <c r="FK183" s="336">
        <f t="shared" si="482"/>
        <v>0</v>
      </c>
      <c r="FL183" s="122"/>
      <c r="FM183" s="340" t="s">
        <v>67</v>
      </c>
      <c r="FN183" s="340">
        <f t="shared" si="483"/>
        <v>198319.03</v>
      </c>
      <c r="FO183" s="340">
        <f t="shared" si="484"/>
        <v>177104.41</v>
      </c>
      <c r="FP183" s="340">
        <f t="shared" si="485"/>
        <v>215039.68</v>
      </c>
      <c r="FQ183" s="340">
        <f t="shared" si="486"/>
        <v>240124.41</v>
      </c>
      <c r="FR183" s="340">
        <f t="shared" si="487"/>
        <v>255929.76</v>
      </c>
      <c r="FS183" s="340">
        <f t="shared" si="488"/>
        <v>277748.59999999998</v>
      </c>
      <c r="FT183" s="340">
        <f t="shared" si="489"/>
        <v>305152.90000000002</v>
      </c>
      <c r="FU183" s="340">
        <f t="shared" si="490"/>
        <v>315664.69</v>
      </c>
      <c r="FV183" s="340">
        <f t="shared" si="491"/>
        <v>184823</v>
      </c>
      <c r="FW183" s="340">
        <f t="shared" si="492"/>
        <v>247433</v>
      </c>
      <c r="FX183" s="340">
        <f t="shared" si="493"/>
        <v>230009</v>
      </c>
      <c r="FY183" s="340">
        <f t="shared" si="494"/>
        <v>229066</v>
      </c>
      <c r="FZ183" s="340">
        <f t="shared" si="495"/>
        <v>279371</v>
      </c>
      <c r="GA183" s="340">
        <f t="shared" si="496"/>
        <v>308474</v>
      </c>
      <c r="GB183" s="340">
        <f t="shared" si="497"/>
        <v>0</v>
      </c>
      <c r="GC183" s="340">
        <f t="shared" si="498"/>
        <v>314928</v>
      </c>
      <c r="GD183" s="340">
        <f t="shared" si="499"/>
        <v>0</v>
      </c>
      <c r="GE183" s="340">
        <f t="shared" si="500"/>
        <v>323262</v>
      </c>
      <c r="GF183" s="340">
        <f t="shared" si="501"/>
        <v>0</v>
      </c>
      <c r="GG183" s="340">
        <f t="shared" si="502"/>
        <v>0</v>
      </c>
      <c r="GH183" s="340">
        <f t="shared" si="503"/>
        <v>0</v>
      </c>
      <c r="GI183" s="340">
        <f t="shared" si="504"/>
        <v>0</v>
      </c>
      <c r="GJ183" s="122"/>
      <c r="GK183" s="340" t="s">
        <v>67</v>
      </c>
      <c r="GL183" s="340">
        <f t="shared" si="505"/>
        <v>0</v>
      </c>
      <c r="GM183" s="340">
        <f t="shared" si="506"/>
        <v>0</v>
      </c>
      <c r="GN183" s="340">
        <f t="shared" si="507"/>
        <v>0</v>
      </c>
      <c r="GO183" s="340">
        <f t="shared" si="508"/>
        <v>0</v>
      </c>
      <c r="GP183" s="340">
        <f t="shared" si="509"/>
        <v>0</v>
      </c>
      <c r="GQ183" s="340">
        <f t="shared" si="510"/>
        <v>0</v>
      </c>
      <c r="GR183" s="340">
        <f t="shared" si="511"/>
        <v>0</v>
      </c>
      <c r="GS183" s="340">
        <f t="shared" si="512"/>
        <v>0</v>
      </c>
      <c r="GT183" s="340">
        <f t="shared" si="513"/>
        <v>0</v>
      </c>
      <c r="GU183" s="340">
        <f t="shared" si="514"/>
        <v>245000</v>
      </c>
      <c r="GV183" s="340">
        <f t="shared" si="515"/>
        <v>145000</v>
      </c>
      <c r="GW183" s="340">
        <f t="shared" si="516"/>
        <v>29000</v>
      </c>
      <c r="GX183" s="340">
        <f t="shared" si="517"/>
        <v>184400</v>
      </c>
      <c r="GY183" s="340">
        <f t="shared" si="518"/>
        <v>250500</v>
      </c>
      <c r="GZ183" s="340">
        <f t="shared" si="519"/>
        <v>0</v>
      </c>
      <c r="HA183" s="340">
        <f t="shared" si="520"/>
        <v>468045</v>
      </c>
      <c r="HB183" s="340">
        <f t="shared" si="521"/>
        <v>0</v>
      </c>
      <c r="HC183" s="340">
        <f t="shared" si="522"/>
        <v>499995</v>
      </c>
      <c r="HD183" s="340">
        <f t="shared" si="523"/>
        <v>0</v>
      </c>
      <c r="HE183" s="340">
        <f t="shared" si="524"/>
        <v>0</v>
      </c>
      <c r="HF183" s="340">
        <f t="shared" si="525"/>
        <v>0</v>
      </c>
      <c r="HG183" s="340">
        <f t="shared" si="526"/>
        <v>0</v>
      </c>
      <c r="HH183" s="122"/>
      <c r="IF183" s="122"/>
      <c r="IG183" s="122"/>
      <c r="IH183" s="122"/>
      <c r="II183" s="122"/>
      <c r="IJ183" s="122"/>
      <c r="IK183" s="122"/>
      <c r="IL183" s="122"/>
      <c r="IN183" s="118"/>
      <c r="IP183" s="122"/>
      <c r="IQ183" s="122"/>
      <c r="IR183" s="122"/>
      <c r="IS183" s="122"/>
      <c r="IT183" s="122"/>
      <c r="IU183" s="122"/>
      <c r="IV183" s="122"/>
      <c r="IW183" s="122"/>
      <c r="IX183" s="122"/>
      <c r="IY183" s="122"/>
      <c r="IZ183" s="122"/>
      <c r="JA183" s="122"/>
      <c r="JB183" s="122"/>
      <c r="JC183" s="122"/>
      <c r="JD183" s="122"/>
      <c r="JE183" s="122"/>
      <c r="JF183" s="122"/>
      <c r="JG183" s="122"/>
      <c r="JH183" s="122"/>
      <c r="JI183" s="122"/>
      <c r="JK183" s="118"/>
      <c r="JL183" s="118"/>
      <c r="JY183" s="122"/>
      <c r="JZ183" s="122"/>
      <c r="KA183" s="122"/>
      <c r="KB183" s="122"/>
      <c r="LX183" s="122"/>
      <c r="LY183" s="122"/>
      <c r="LZ183" s="122"/>
      <c r="MB183" s="118"/>
      <c r="MC183" s="118"/>
      <c r="MP183" s="122"/>
      <c r="MQ183" s="122"/>
      <c r="MR183" s="122"/>
      <c r="MS183" s="122"/>
      <c r="MT183" s="122"/>
      <c r="MU183" s="122"/>
      <c r="MV183" s="122"/>
      <c r="OS183" s="118"/>
      <c r="OT183" s="118"/>
      <c r="PC183" s="122"/>
      <c r="PD183" s="122"/>
      <c r="PE183" s="122"/>
      <c r="PF183" s="122"/>
      <c r="PG183" s="122"/>
      <c r="PH183" s="122"/>
      <c r="PI183" s="122"/>
      <c r="PJ183" s="122"/>
      <c r="PP183" s="118"/>
      <c r="PQ183" s="118"/>
      <c r="PZ183" s="122"/>
      <c r="QA183" s="122"/>
      <c r="QB183" s="122"/>
      <c r="QC183" s="122"/>
      <c r="QD183" s="122"/>
      <c r="QE183" s="122"/>
      <c r="QF183" s="122"/>
      <c r="QG183" s="122"/>
      <c r="QM183" s="118"/>
      <c r="QN183" s="118"/>
      <c r="RE183" s="118"/>
      <c r="RF183" s="118"/>
      <c r="RG183" s="118"/>
      <c r="RH183" s="118"/>
      <c r="RI183" s="118"/>
      <c r="RJ183" s="118"/>
      <c r="RK183" s="118"/>
    </row>
    <row r="184" spans="25:479">
      <c r="Y184" s="277" t="s">
        <v>68</v>
      </c>
      <c r="Z184" s="319">
        <f t="shared" si="534"/>
        <v>572184.19999999995</v>
      </c>
      <c r="AA184" s="319">
        <f t="shared" si="373"/>
        <v>678214.25</v>
      </c>
      <c r="AB184" s="319">
        <f t="shared" si="374"/>
        <v>653854.08000000007</v>
      </c>
      <c r="AC184" s="319">
        <f t="shared" si="375"/>
        <v>668368</v>
      </c>
      <c r="AD184" s="319">
        <f t="shared" si="376"/>
        <v>679953.45</v>
      </c>
      <c r="AE184" s="319">
        <f t="shared" si="377"/>
        <v>696950.99</v>
      </c>
      <c r="AF184" s="319">
        <f t="shared" si="378"/>
        <v>1031179.85</v>
      </c>
      <c r="AG184" s="319">
        <f t="shared" si="379"/>
        <v>684647.32000000007</v>
      </c>
      <c r="AH184" s="319">
        <f t="shared" si="380"/>
        <v>696497.33999999985</v>
      </c>
      <c r="AI184" s="319">
        <f t="shared" si="381"/>
        <v>706569.69999999984</v>
      </c>
      <c r="AJ184" s="319">
        <f t="shared" si="382"/>
        <v>0</v>
      </c>
      <c r="AK184" s="319">
        <f t="shared" si="383"/>
        <v>0</v>
      </c>
      <c r="AL184" s="319">
        <f t="shared" si="384"/>
        <v>0</v>
      </c>
      <c r="AM184" s="319">
        <f t="shared" si="385"/>
        <v>0</v>
      </c>
      <c r="AN184" s="319">
        <f t="shared" si="386"/>
        <v>0</v>
      </c>
      <c r="AO184" s="319">
        <f t="shared" si="387"/>
        <v>728940.96</v>
      </c>
      <c r="AP184" s="319">
        <f t="shared" ref="AP184:AP204" si="537">AP86+BN86+CL86+DJ86+FF86+GD86+HB86</f>
        <v>0</v>
      </c>
      <c r="AQ184" s="319">
        <f t="shared" si="535"/>
        <v>0</v>
      </c>
      <c r="AR184" s="319">
        <f t="shared" si="390"/>
        <v>0</v>
      </c>
      <c r="AS184" s="319">
        <f t="shared" si="391"/>
        <v>0</v>
      </c>
      <c r="AT184" s="319">
        <f t="shared" si="392"/>
        <v>0</v>
      </c>
      <c r="AU184" s="319">
        <f t="shared" si="393"/>
        <v>0</v>
      </c>
      <c r="AW184" s="322" t="s">
        <v>68</v>
      </c>
      <c r="AX184" s="322">
        <f t="shared" si="527"/>
        <v>114436.84</v>
      </c>
      <c r="AY184" s="322">
        <f t="shared" si="395"/>
        <v>135642.84999999998</v>
      </c>
      <c r="AZ184" s="322">
        <f t="shared" si="396"/>
        <v>158510.07999999999</v>
      </c>
      <c r="BA184" s="322">
        <f t="shared" si="397"/>
        <v>125319</v>
      </c>
      <c r="BB184" s="322">
        <f t="shared" si="398"/>
        <v>82418.600000000006</v>
      </c>
      <c r="BC184" s="322">
        <f t="shared" si="399"/>
        <v>67446.87</v>
      </c>
      <c r="BD184" s="322">
        <f t="shared" si="400"/>
        <v>54045.2</v>
      </c>
      <c r="BE184" s="322">
        <f t="shared" si="401"/>
        <v>97806.76</v>
      </c>
      <c r="BF184" s="322">
        <f t="shared" si="402"/>
        <v>40709.75</v>
      </c>
      <c r="BG184" s="322">
        <f t="shared" si="403"/>
        <v>73489.39</v>
      </c>
      <c r="BH184" s="322">
        <f t="shared" si="404"/>
        <v>0</v>
      </c>
      <c r="BI184" s="322">
        <f t="shared" si="405"/>
        <v>0</v>
      </c>
      <c r="BJ184" s="322">
        <f t="shared" si="406"/>
        <v>0</v>
      </c>
      <c r="BK184" s="322">
        <f t="shared" si="407"/>
        <v>0</v>
      </c>
      <c r="BL184" s="322">
        <f t="shared" si="530"/>
        <v>0</v>
      </c>
      <c r="BM184" s="322">
        <f t="shared" si="531"/>
        <v>85624.17</v>
      </c>
      <c r="BN184" s="322">
        <f t="shared" si="532"/>
        <v>0</v>
      </c>
      <c r="BO184" s="340">
        <f t="shared" si="528"/>
        <v>0</v>
      </c>
      <c r="BP184" s="340">
        <f t="shared" si="412"/>
        <v>0</v>
      </c>
      <c r="BQ184" s="340">
        <f t="shared" si="413"/>
        <v>0</v>
      </c>
      <c r="BR184" s="340">
        <f t="shared" si="414"/>
        <v>0</v>
      </c>
      <c r="BS184" s="340">
        <f t="shared" si="415"/>
        <v>0</v>
      </c>
      <c r="BU184" s="340" t="s">
        <v>68</v>
      </c>
      <c r="BV184" s="340">
        <f t="shared" si="416"/>
        <v>32696.240000000002</v>
      </c>
      <c r="BW184" s="340">
        <f t="shared" si="417"/>
        <v>58132.649999999994</v>
      </c>
      <c r="BX184" s="340">
        <f t="shared" si="418"/>
        <v>59441.279999999999</v>
      </c>
      <c r="BY184" s="340">
        <f t="shared" si="419"/>
        <v>41773</v>
      </c>
      <c r="BZ184" s="340">
        <f t="shared" si="420"/>
        <v>82418.600000000006</v>
      </c>
      <c r="CA184" s="340">
        <f t="shared" si="421"/>
        <v>89929.16</v>
      </c>
      <c r="CB184" s="340">
        <f t="shared" si="422"/>
        <v>108090.4</v>
      </c>
      <c r="CC184" s="340">
        <f t="shared" si="423"/>
        <v>97806.760000000009</v>
      </c>
      <c r="CD184" s="340">
        <f t="shared" si="424"/>
        <v>96796.13</v>
      </c>
      <c r="CE184" s="340">
        <f t="shared" si="425"/>
        <v>106066.36</v>
      </c>
      <c r="CF184" s="340">
        <f t="shared" si="426"/>
        <v>0</v>
      </c>
      <c r="CG184" s="340">
        <f t="shared" si="427"/>
        <v>0</v>
      </c>
      <c r="CH184" s="340">
        <f t="shared" si="428"/>
        <v>0</v>
      </c>
      <c r="CI184" s="340">
        <f t="shared" si="429"/>
        <v>0</v>
      </c>
      <c r="CJ184" s="340">
        <f t="shared" si="430"/>
        <v>0</v>
      </c>
      <c r="CK184" s="340">
        <f t="shared" si="431"/>
        <v>96894.73</v>
      </c>
      <c r="CL184" s="340">
        <f t="shared" si="432"/>
        <v>0</v>
      </c>
      <c r="CM184" s="340">
        <f t="shared" si="433"/>
        <v>0</v>
      </c>
      <c r="CN184" s="340">
        <f t="shared" si="434"/>
        <v>0</v>
      </c>
      <c r="CO184" s="340">
        <f t="shared" si="435"/>
        <v>0</v>
      </c>
      <c r="CP184" s="340">
        <f t="shared" si="436"/>
        <v>0</v>
      </c>
      <c r="CQ184" s="340">
        <f t="shared" si="437"/>
        <v>0</v>
      </c>
      <c r="CR184" s="122"/>
      <c r="CS184" s="340" t="s">
        <v>68</v>
      </c>
      <c r="CT184" s="340">
        <f t="shared" si="438"/>
        <v>179829.32</v>
      </c>
      <c r="CU184" s="340">
        <f t="shared" si="439"/>
        <v>213153.05</v>
      </c>
      <c r="CV184" s="340">
        <f t="shared" si="440"/>
        <v>178323.84</v>
      </c>
      <c r="CW184" s="340">
        <f t="shared" si="441"/>
        <v>167092</v>
      </c>
      <c r="CX184" s="340">
        <f t="shared" si="442"/>
        <v>144232.54999999999</v>
      </c>
      <c r="CY184" s="340">
        <f t="shared" si="443"/>
        <v>179858.32</v>
      </c>
      <c r="CZ184" s="340">
        <f t="shared" si="444"/>
        <v>216180.8</v>
      </c>
      <c r="DA184" s="340">
        <f t="shared" si="445"/>
        <v>195613.52</v>
      </c>
      <c r="DB184" s="340">
        <f t="shared" si="446"/>
        <v>118651.67000000001</v>
      </c>
      <c r="DC184" s="340">
        <f t="shared" si="447"/>
        <v>231013.66000000003</v>
      </c>
      <c r="DD184" s="340">
        <f t="shared" si="448"/>
        <v>0</v>
      </c>
      <c r="DE184" s="340">
        <f t="shared" si="449"/>
        <v>0</v>
      </c>
      <c r="DF184" s="340">
        <f t="shared" si="450"/>
        <v>0</v>
      </c>
      <c r="DG184" s="340">
        <f t="shared" si="451"/>
        <v>0</v>
      </c>
      <c r="DH184" s="340">
        <f t="shared" si="452"/>
        <v>0</v>
      </c>
      <c r="DI184" s="340">
        <f t="shared" si="453"/>
        <v>563537.74</v>
      </c>
      <c r="DJ184" s="340">
        <f t="shared" si="454"/>
        <v>0</v>
      </c>
      <c r="DK184" s="340">
        <f t="shared" si="455"/>
        <v>0</v>
      </c>
      <c r="DL184" s="340">
        <f t="shared" si="456"/>
        <v>0</v>
      </c>
      <c r="DM184" s="340">
        <f t="shared" si="457"/>
        <v>0</v>
      </c>
      <c r="DN184" s="340">
        <f t="shared" si="458"/>
        <v>0</v>
      </c>
      <c r="DO184" s="340">
        <f t="shared" si="459"/>
        <v>0</v>
      </c>
      <c r="DP184" s="330"/>
      <c r="DQ184" s="340" t="s">
        <v>68</v>
      </c>
      <c r="DR184" s="340">
        <f t="shared" ref="DR184:EM184" si="538">DR86</f>
        <v>0</v>
      </c>
      <c r="DS184" s="340">
        <f t="shared" si="538"/>
        <v>0</v>
      </c>
      <c r="DT184" s="340">
        <f t="shared" si="538"/>
        <v>0</v>
      </c>
      <c r="DU184" s="340">
        <f t="shared" si="538"/>
        <v>0</v>
      </c>
      <c r="DV184" s="340">
        <f t="shared" si="538"/>
        <v>0</v>
      </c>
      <c r="DW184" s="340">
        <f t="shared" si="538"/>
        <v>0</v>
      </c>
      <c r="DX184" s="340">
        <f t="shared" si="538"/>
        <v>0</v>
      </c>
      <c r="DY184" s="340">
        <f t="shared" si="538"/>
        <v>48903.38</v>
      </c>
      <c r="DZ184" s="340">
        <f t="shared" si="538"/>
        <v>137343.32999999999</v>
      </c>
      <c r="EA184" s="340">
        <f t="shared" si="538"/>
        <v>49095.18</v>
      </c>
      <c r="EB184" s="340">
        <f t="shared" si="538"/>
        <v>0</v>
      </c>
      <c r="EC184" s="340">
        <f t="shared" si="538"/>
        <v>0</v>
      </c>
      <c r="ED184" s="340">
        <f t="shared" si="538"/>
        <v>0</v>
      </c>
      <c r="EE184" s="340">
        <f t="shared" si="538"/>
        <v>0</v>
      </c>
      <c r="EF184" s="340">
        <f t="shared" si="538"/>
        <v>0</v>
      </c>
      <c r="EG184" s="340">
        <f t="shared" si="538"/>
        <v>427908.16999999993</v>
      </c>
      <c r="EH184" s="340">
        <f t="shared" si="538"/>
        <v>0</v>
      </c>
      <c r="EI184" s="340">
        <f t="shared" si="538"/>
        <v>0</v>
      </c>
      <c r="EJ184" s="340">
        <f t="shared" si="538"/>
        <v>0</v>
      </c>
      <c r="EK184" s="340">
        <f t="shared" si="538"/>
        <v>0</v>
      </c>
      <c r="EL184" s="340">
        <f t="shared" si="538"/>
        <v>0</v>
      </c>
      <c r="EM184" s="340">
        <f t="shared" si="538"/>
        <v>0</v>
      </c>
      <c r="EO184" s="319" t="s">
        <v>68</v>
      </c>
      <c r="EP184" s="319">
        <f t="shared" si="461"/>
        <v>588532.32000000007</v>
      </c>
      <c r="EQ184" s="319">
        <f t="shared" si="462"/>
        <v>678214.25</v>
      </c>
      <c r="ER184" s="319">
        <f t="shared" si="463"/>
        <v>772736.6399999999</v>
      </c>
      <c r="ES184" s="319">
        <f t="shared" si="464"/>
        <v>877233</v>
      </c>
      <c r="ET184" s="319">
        <f t="shared" si="465"/>
        <v>844790.64999999991</v>
      </c>
      <c r="EU184" s="319">
        <f t="shared" si="466"/>
        <v>921773.8899999999</v>
      </c>
      <c r="EV184" s="319">
        <f t="shared" si="467"/>
        <v>1026858.8</v>
      </c>
      <c r="EW184" s="319">
        <f t="shared" si="468"/>
        <v>1026970.98</v>
      </c>
      <c r="EX184" s="319">
        <f t="shared" si="469"/>
        <v>1149999.23</v>
      </c>
      <c r="EY184" s="319">
        <f t="shared" si="470"/>
        <v>1600232.04</v>
      </c>
      <c r="EZ184" s="319">
        <f t="shared" si="471"/>
        <v>0</v>
      </c>
      <c r="FA184" s="319">
        <f t="shared" si="472"/>
        <v>0</v>
      </c>
      <c r="FB184" s="319">
        <f t="shared" si="473"/>
        <v>0</v>
      </c>
      <c r="FC184" s="319">
        <f t="shared" si="474"/>
        <v>0</v>
      </c>
      <c r="FD184" s="319">
        <f t="shared" si="475"/>
        <v>0</v>
      </c>
      <c r="FE184" s="319">
        <f t="shared" si="476"/>
        <v>1743798.5800000003</v>
      </c>
      <c r="FF184" s="322">
        <f t="shared" si="477"/>
        <v>0</v>
      </c>
      <c r="FG184" s="336">
        <f t="shared" si="478"/>
        <v>0</v>
      </c>
      <c r="FH184" s="336">
        <f t="shared" si="479"/>
        <v>0</v>
      </c>
      <c r="FI184" s="336">
        <f t="shared" si="480"/>
        <v>0</v>
      </c>
      <c r="FJ184" s="336">
        <f t="shared" si="481"/>
        <v>0</v>
      </c>
      <c r="FK184" s="336">
        <f t="shared" si="482"/>
        <v>0</v>
      </c>
      <c r="FL184" s="122"/>
      <c r="FM184" s="340" t="s">
        <v>68</v>
      </c>
      <c r="FN184" s="340">
        <f t="shared" si="483"/>
        <v>147133.07999999999</v>
      </c>
      <c r="FO184" s="340">
        <f t="shared" si="484"/>
        <v>174397.95</v>
      </c>
      <c r="FP184" s="340">
        <f t="shared" si="485"/>
        <v>158510.07999999999</v>
      </c>
      <c r="FQ184" s="340">
        <f t="shared" si="486"/>
        <v>208865</v>
      </c>
      <c r="FR184" s="340">
        <f t="shared" si="487"/>
        <v>226651.15</v>
      </c>
      <c r="FS184" s="340">
        <f t="shared" si="488"/>
        <v>247305.19</v>
      </c>
      <c r="FT184" s="340">
        <f t="shared" si="489"/>
        <v>243203.4</v>
      </c>
      <c r="FU184" s="340">
        <f t="shared" si="490"/>
        <v>293420.28000000003</v>
      </c>
      <c r="FV184" s="340">
        <f t="shared" si="491"/>
        <v>294816.59999999998</v>
      </c>
      <c r="FW184" s="340">
        <f t="shared" si="492"/>
        <v>322293.31</v>
      </c>
      <c r="FX184" s="340">
        <f t="shared" si="493"/>
        <v>0</v>
      </c>
      <c r="FY184" s="340">
        <f t="shared" si="494"/>
        <v>0</v>
      </c>
      <c r="FZ184" s="340">
        <f t="shared" si="495"/>
        <v>0</v>
      </c>
      <c r="GA184" s="340">
        <f t="shared" si="496"/>
        <v>0</v>
      </c>
      <c r="GB184" s="340">
        <f t="shared" si="497"/>
        <v>0</v>
      </c>
      <c r="GC184" s="340">
        <f t="shared" si="498"/>
        <v>278490.33</v>
      </c>
      <c r="GD184" s="340">
        <f t="shared" si="499"/>
        <v>0</v>
      </c>
      <c r="GE184" s="340">
        <f t="shared" si="500"/>
        <v>0</v>
      </c>
      <c r="GF184" s="340">
        <f t="shared" si="501"/>
        <v>0</v>
      </c>
      <c r="GG184" s="340">
        <f t="shared" si="502"/>
        <v>0</v>
      </c>
      <c r="GH184" s="340">
        <f t="shared" si="503"/>
        <v>0</v>
      </c>
      <c r="GI184" s="340">
        <f t="shared" si="504"/>
        <v>0</v>
      </c>
      <c r="GJ184" s="122"/>
      <c r="GK184" s="340" t="s">
        <v>68</v>
      </c>
      <c r="GL184" s="340">
        <f t="shared" si="505"/>
        <v>0</v>
      </c>
      <c r="GM184" s="340">
        <f t="shared" si="506"/>
        <v>0</v>
      </c>
      <c r="GN184" s="340">
        <f t="shared" si="507"/>
        <v>0</v>
      </c>
      <c r="GO184" s="340">
        <f t="shared" si="508"/>
        <v>0</v>
      </c>
      <c r="GP184" s="340">
        <f t="shared" si="509"/>
        <v>0</v>
      </c>
      <c r="GQ184" s="340">
        <f t="shared" si="510"/>
        <v>44964.58</v>
      </c>
      <c r="GR184" s="340">
        <f t="shared" si="511"/>
        <v>0</v>
      </c>
      <c r="GS184" s="340">
        <f t="shared" si="512"/>
        <v>0</v>
      </c>
      <c r="GT184" s="340">
        <f t="shared" si="513"/>
        <v>0</v>
      </c>
      <c r="GU184" s="340">
        <f t="shared" si="514"/>
        <v>0</v>
      </c>
      <c r="GV184" s="340">
        <f t="shared" si="515"/>
        <v>0</v>
      </c>
      <c r="GW184" s="340">
        <f t="shared" si="516"/>
        <v>0</v>
      </c>
      <c r="GX184" s="340">
        <f t="shared" si="517"/>
        <v>0</v>
      </c>
      <c r="GY184" s="340">
        <f t="shared" si="518"/>
        <v>0</v>
      </c>
      <c r="GZ184" s="340">
        <f t="shared" si="519"/>
        <v>0</v>
      </c>
      <c r="HA184" s="340">
        <f t="shared" si="520"/>
        <v>0</v>
      </c>
      <c r="HB184" s="340">
        <f t="shared" si="521"/>
        <v>0</v>
      </c>
      <c r="HC184" s="340">
        <f t="shared" si="522"/>
        <v>0</v>
      </c>
      <c r="HD184" s="340">
        <f t="shared" si="523"/>
        <v>0</v>
      </c>
      <c r="HE184" s="340">
        <f t="shared" si="524"/>
        <v>0</v>
      </c>
      <c r="HF184" s="340">
        <f t="shared" si="525"/>
        <v>0</v>
      </c>
      <c r="HG184" s="340">
        <f t="shared" si="526"/>
        <v>0</v>
      </c>
      <c r="HH184" s="122"/>
      <c r="IF184" s="122"/>
      <c r="IG184" s="122"/>
      <c r="IH184" s="122"/>
      <c r="II184" s="122"/>
      <c r="IJ184" s="122"/>
      <c r="IK184" s="122"/>
      <c r="IL184" s="122"/>
      <c r="IN184" s="118"/>
      <c r="IP184" s="122"/>
      <c r="IQ184" s="122"/>
      <c r="IR184" s="122"/>
      <c r="IS184" s="122"/>
      <c r="IT184" s="122"/>
      <c r="IU184" s="122"/>
      <c r="IV184" s="122"/>
      <c r="IW184" s="122"/>
      <c r="IX184" s="122"/>
      <c r="IY184" s="122"/>
      <c r="IZ184" s="122"/>
      <c r="JA184" s="122"/>
      <c r="JB184" s="122"/>
      <c r="JC184" s="122"/>
      <c r="JD184" s="122"/>
      <c r="JE184" s="122"/>
      <c r="JF184" s="122"/>
      <c r="JG184" s="122"/>
      <c r="JH184" s="122"/>
      <c r="JI184" s="122"/>
      <c r="JK184" s="118"/>
      <c r="JL184" s="118"/>
      <c r="JY184" s="122"/>
      <c r="JZ184" s="122"/>
      <c r="KA184" s="122"/>
      <c r="KB184" s="122"/>
      <c r="LX184" s="122"/>
      <c r="LY184" s="122"/>
      <c r="LZ184" s="122"/>
      <c r="MB184" s="118"/>
      <c r="MC184" s="118"/>
      <c r="MP184" s="122"/>
      <c r="MQ184" s="122"/>
      <c r="MR184" s="122"/>
      <c r="MS184" s="122"/>
      <c r="MT184" s="122"/>
      <c r="MU184" s="122"/>
      <c r="MV184" s="122"/>
      <c r="OS184" s="118"/>
      <c r="OT184" s="118"/>
      <c r="PC184" s="122"/>
      <c r="PD184" s="122"/>
      <c r="PE184" s="122"/>
      <c r="PF184" s="122"/>
      <c r="PG184" s="122"/>
      <c r="PH184" s="122"/>
      <c r="PI184" s="122"/>
      <c r="PJ184" s="122"/>
      <c r="PP184" s="118"/>
      <c r="PQ184" s="118"/>
      <c r="PZ184" s="122"/>
      <c r="QA184" s="122"/>
      <c r="QB184" s="122"/>
      <c r="QC184" s="122"/>
      <c r="QD184" s="122"/>
      <c r="QE184" s="122"/>
      <c r="QF184" s="122"/>
      <c r="QG184" s="122"/>
      <c r="QM184" s="118"/>
      <c r="QN184" s="118"/>
      <c r="RE184" s="118"/>
      <c r="RF184" s="118"/>
      <c r="RG184" s="118"/>
      <c r="RH184" s="118"/>
      <c r="RI184" s="118"/>
      <c r="RJ184" s="118"/>
      <c r="RK184" s="118"/>
    </row>
    <row r="185" spans="25:479">
      <c r="Y185" s="277" t="s">
        <v>69</v>
      </c>
      <c r="Z185" s="319">
        <f t="shared" si="534"/>
        <v>219787.92000000004</v>
      </c>
      <c r="AA185" s="319">
        <f t="shared" si="373"/>
        <v>190810.28999999998</v>
      </c>
      <c r="AB185" s="319">
        <f t="shared" si="374"/>
        <v>209952.72</v>
      </c>
      <c r="AC185" s="319">
        <f t="shared" si="375"/>
        <v>226278.5</v>
      </c>
      <c r="AD185" s="319">
        <f t="shared" si="376"/>
        <v>244630.8</v>
      </c>
      <c r="AE185" s="319">
        <f t="shared" si="377"/>
        <v>220080.9</v>
      </c>
      <c r="AF185" s="319">
        <f t="shared" si="378"/>
        <v>247277.2</v>
      </c>
      <c r="AG185" s="319">
        <f t="shared" si="379"/>
        <v>238340.44</v>
      </c>
      <c r="AH185" s="319">
        <f t="shared" si="380"/>
        <v>282214.46000000002</v>
      </c>
      <c r="AI185" s="319">
        <f t="shared" si="381"/>
        <v>276348.14</v>
      </c>
      <c r="AJ185" s="319">
        <f t="shared" si="382"/>
        <v>310532.27</v>
      </c>
      <c r="AK185" s="319">
        <f t="shared" si="383"/>
        <v>366899.02</v>
      </c>
      <c r="AL185" s="319">
        <f t="shared" si="384"/>
        <v>342105.18</v>
      </c>
      <c r="AM185" s="319">
        <f t="shared" si="385"/>
        <v>317790.19000000006</v>
      </c>
      <c r="AN185" s="319">
        <f t="shared" si="386"/>
        <v>0</v>
      </c>
      <c r="AO185" s="319">
        <f t="shared" si="387"/>
        <v>0</v>
      </c>
      <c r="AP185" s="319">
        <f t="shared" si="537"/>
        <v>0</v>
      </c>
      <c r="AQ185" s="319">
        <f t="shared" si="535"/>
        <v>0</v>
      </c>
      <c r="AR185" s="319">
        <f t="shared" si="390"/>
        <v>0</v>
      </c>
      <c r="AS185" s="319">
        <f t="shared" si="391"/>
        <v>0</v>
      </c>
      <c r="AT185" s="319">
        <f t="shared" si="392"/>
        <v>0</v>
      </c>
      <c r="AU185" s="319">
        <f t="shared" si="393"/>
        <v>0</v>
      </c>
      <c r="AW185" s="322" t="s">
        <v>69</v>
      </c>
      <c r="AX185" s="322">
        <f t="shared" si="527"/>
        <v>53281.919999999998</v>
      </c>
      <c r="AY185" s="322">
        <f t="shared" si="395"/>
        <v>46257.04</v>
      </c>
      <c r="AZ185" s="322">
        <f t="shared" si="396"/>
        <v>55575.72</v>
      </c>
      <c r="BA185" s="322">
        <f t="shared" si="397"/>
        <v>53242</v>
      </c>
      <c r="BB185" s="322">
        <f t="shared" si="398"/>
        <v>47567.1</v>
      </c>
      <c r="BC185" s="322">
        <f t="shared" si="399"/>
        <v>36680.15</v>
      </c>
      <c r="BD185" s="322">
        <f t="shared" si="400"/>
        <v>40997.600000000006</v>
      </c>
      <c r="BE185" s="322">
        <f t="shared" si="401"/>
        <v>36667.760000000002</v>
      </c>
      <c r="BF185" s="322">
        <f t="shared" si="402"/>
        <v>39760.400000000001</v>
      </c>
      <c r="BG185" s="322">
        <f t="shared" si="403"/>
        <v>47284.869999999995</v>
      </c>
      <c r="BH185" s="322">
        <f t="shared" si="404"/>
        <v>48687.01</v>
      </c>
      <c r="BI185" s="322">
        <f t="shared" si="405"/>
        <v>49507.92</v>
      </c>
      <c r="BJ185" s="322">
        <f t="shared" si="406"/>
        <v>50304.270000000004</v>
      </c>
      <c r="BK185" s="322">
        <f t="shared" si="407"/>
        <v>53263.73000000001</v>
      </c>
      <c r="BL185" s="322">
        <f t="shared" si="530"/>
        <v>0</v>
      </c>
      <c r="BM185" s="322">
        <f t="shared" si="531"/>
        <v>0</v>
      </c>
      <c r="BN185" s="322">
        <f t="shared" si="532"/>
        <v>0</v>
      </c>
      <c r="BO185" s="340">
        <f t="shared" si="528"/>
        <v>0</v>
      </c>
      <c r="BP185" s="340">
        <f t="shared" si="412"/>
        <v>0</v>
      </c>
      <c r="BQ185" s="340">
        <f t="shared" si="413"/>
        <v>0</v>
      </c>
      <c r="BR185" s="340">
        <f t="shared" si="414"/>
        <v>0</v>
      </c>
      <c r="BS185" s="340">
        <f t="shared" si="415"/>
        <v>0</v>
      </c>
      <c r="BU185" s="340" t="s">
        <v>69</v>
      </c>
      <c r="BV185" s="340">
        <f t="shared" si="416"/>
        <v>13320.48</v>
      </c>
      <c r="BW185" s="340">
        <f t="shared" si="417"/>
        <v>11564.26</v>
      </c>
      <c r="BX185" s="340">
        <f t="shared" si="418"/>
        <v>12350.16</v>
      </c>
      <c r="BY185" s="340">
        <f t="shared" si="419"/>
        <v>13310.5</v>
      </c>
      <c r="BZ185" s="340">
        <f t="shared" si="420"/>
        <v>13590.6</v>
      </c>
      <c r="CA185" s="340">
        <f t="shared" si="421"/>
        <v>29344.12</v>
      </c>
      <c r="CB185" s="340">
        <f t="shared" si="422"/>
        <v>24598.560000000001</v>
      </c>
      <c r="CC185" s="340">
        <f t="shared" si="423"/>
        <v>27500.82</v>
      </c>
      <c r="CD185" s="340">
        <f t="shared" si="424"/>
        <v>24514.639999999999</v>
      </c>
      <c r="CE185" s="340">
        <f t="shared" si="425"/>
        <v>29102.299999999996</v>
      </c>
      <c r="CF185" s="340">
        <f t="shared" si="426"/>
        <v>37883.03</v>
      </c>
      <c r="CG185" s="340">
        <f t="shared" si="427"/>
        <v>36979.990000000005</v>
      </c>
      <c r="CH185" s="340">
        <f t="shared" si="428"/>
        <v>36438.159999999996</v>
      </c>
      <c r="CI185" s="340">
        <f t="shared" si="429"/>
        <v>33083.129999999997</v>
      </c>
      <c r="CJ185" s="340">
        <f t="shared" si="430"/>
        <v>0</v>
      </c>
      <c r="CK185" s="340">
        <f t="shared" si="431"/>
        <v>0</v>
      </c>
      <c r="CL185" s="340">
        <f t="shared" si="432"/>
        <v>0</v>
      </c>
      <c r="CM185" s="340">
        <f t="shared" si="433"/>
        <v>0</v>
      </c>
      <c r="CN185" s="340">
        <f t="shared" si="434"/>
        <v>0</v>
      </c>
      <c r="CO185" s="340">
        <f t="shared" si="435"/>
        <v>0</v>
      </c>
      <c r="CP185" s="340">
        <f t="shared" si="436"/>
        <v>0</v>
      </c>
      <c r="CQ185" s="340">
        <f t="shared" si="437"/>
        <v>0</v>
      </c>
      <c r="CR185" s="122"/>
      <c r="CS185" s="340" t="s">
        <v>69</v>
      </c>
      <c r="CT185" s="340">
        <f t="shared" si="438"/>
        <v>73262.64</v>
      </c>
      <c r="CU185" s="340">
        <f t="shared" si="439"/>
        <v>57821.3</v>
      </c>
      <c r="CV185" s="340">
        <f t="shared" si="440"/>
        <v>74100.960000000006</v>
      </c>
      <c r="CW185" s="340">
        <f t="shared" si="441"/>
        <v>73207.75</v>
      </c>
      <c r="CX185" s="340">
        <f t="shared" si="442"/>
        <v>81543.600000000006</v>
      </c>
      <c r="CY185" s="340">
        <f t="shared" si="443"/>
        <v>44016.18</v>
      </c>
      <c r="CZ185" s="340">
        <f t="shared" si="444"/>
        <v>40997.599999999999</v>
      </c>
      <c r="DA185" s="340">
        <f t="shared" si="445"/>
        <v>119170.22</v>
      </c>
      <c r="DB185" s="340">
        <f t="shared" si="446"/>
        <v>251765.55000000002</v>
      </c>
      <c r="DC185" s="340">
        <f t="shared" si="447"/>
        <v>67018.540000000008</v>
      </c>
      <c r="DD185" s="340">
        <f t="shared" si="448"/>
        <v>73183.100000000006</v>
      </c>
      <c r="DE185" s="340">
        <f t="shared" si="449"/>
        <v>91260.110000000015</v>
      </c>
      <c r="DF185" s="340">
        <f t="shared" si="450"/>
        <v>77623.02</v>
      </c>
      <c r="DG185" s="340">
        <f t="shared" si="451"/>
        <v>108374.05</v>
      </c>
      <c r="DH185" s="340">
        <f t="shared" si="452"/>
        <v>0</v>
      </c>
      <c r="DI185" s="340">
        <f t="shared" si="453"/>
        <v>0</v>
      </c>
      <c r="DJ185" s="340">
        <f t="shared" si="454"/>
        <v>0</v>
      </c>
      <c r="DK185" s="340">
        <f t="shared" si="455"/>
        <v>0</v>
      </c>
      <c r="DL185" s="340">
        <f t="shared" si="456"/>
        <v>0</v>
      </c>
      <c r="DM185" s="340">
        <f t="shared" si="457"/>
        <v>0</v>
      </c>
      <c r="DN185" s="340">
        <f t="shared" si="458"/>
        <v>0</v>
      </c>
      <c r="DO185" s="340">
        <f t="shared" si="459"/>
        <v>0</v>
      </c>
      <c r="DP185" s="330"/>
      <c r="DQ185" s="340" t="s">
        <v>69</v>
      </c>
      <c r="DR185" s="340">
        <f t="shared" ref="DR185:EM185" si="539">DR87</f>
        <v>39961.440000000002</v>
      </c>
      <c r="DS185" s="340">
        <f t="shared" si="539"/>
        <v>34692.78</v>
      </c>
      <c r="DT185" s="340">
        <f t="shared" si="539"/>
        <v>30875.4</v>
      </c>
      <c r="DU185" s="340">
        <f t="shared" si="539"/>
        <v>39931.5</v>
      </c>
      <c r="DV185" s="340">
        <f t="shared" si="539"/>
        <v>33976.5</v>
      </c>
      <c r="DW185" s="340">
        <f t="shared" si="539"/>
        <v>36680.15</v>
      </c>
      <c r="DX185" s="340">
        <f t="shared" si="539"/>
        <v>40997.599999999999</v>
      </c>
      <c r="DY185" s="340">
        <f t="shared" si="539"/>
        <v>45834.7</v>
      </c>
      <c r="DZ185" s="340">
        <f t="shared" si="539"/>
        <v>46790.829999999994</v>
      </c>
      <c r="EA185" s="340">
        <f t="shared" si="539"/>
        <v>81637.19</v>
      </c>
      <c r="EB185" s="340">
        <f t="shared" si="539"/>
        <v>87396.76</v>
      </c>
      <c r="EC185" s="340">
        <f t="shared" si="539"/>
        <v>85258.069999999992</v>
      </c>
      <c r="ED185" s="340">
        <f t="shared" si="539"/>
        <v>86871.41</v>
      </c>
      <c r="EE185" s="340">
        <f t="shared" si="539"/>
        <v>80973.549999999988</v>
      </c>
      <c r="EF185" s="340">
        <f t="shared" si="539"/>
        <v>0</v>
      </c>
      <c r="EG185" s="340">
        <f t="shared" si="539"/>
        <v>0</v>
      </c>
      <c r="EH185" s="340">
        <f t="shared" si="539"/>
        <v>0</v>
      </c>
      <c r="EI185" s="340">
        <f t="shared" si="539"/>
        <v>0</v>
      </c>
      <c r="EJ185" s="340">
        <f t="shared" si="539"/>
        <v>0</v>
      </c>
      <c r="EK185" s="340">
        <f t="shared" si="539"/>
        <v>0</v>
      </c>
      <c r="EL185" s="340">
        <f t="shared" si="539"/>
        <v>0</v>
      </c>
      <c r="EM185" s="340">
        <f t="shared" si="539"/>
        <v>0</v>
      </c>
      <c r="EO185" s="319" t="s">
        <v>69</v>
      </c>
      <c r="EP185" s="319">
        <f t="shared" si="461"/>
        <v>179826.47999999998</v>
      </c>
      <c r="EQ185" s="319">
        <f t="shared" si="462"/>
        <v>179246.03</v>
      </c>
      <c r="ER185" s="319">
        <f t="shared" si="463"/>
        <v>185252.4</v>
      </c>
      <c r="ES185" s="319">
        <f t="shared" si="464"/>
        <v>199657.5</v>
      </c>
      <c r="ET185" s="319">
        <f t="shared" si="465"/>
        <v>203859</v>
      </c>
      <c r="EU185" s="319">
        <f t="shared" si="466"/>
        <v>286105.17000000004</v>
      </c>
      <c r="EV185" s="319">
        <f t="shared" si="467"/>
        <v>352579.36</v>
      </c>
      <c r="EW185" s="319">
        <f t="shared" si="468"/>
        <v>385011.48</v>
      </c>
      <c r="EX185" s="319">
        <f t="shared" si="469"/>
        <v>353528.91000000003</v>
      </c>
      <c r="EY185" s="319">
        <f t="shared" si="470"/>
        <v>386156.1</v>
      </c>
      <c r="EZ185" s="319">
        <f t="shared" si="471"/>
        <v>381389.81000000006</v>
      </c>
      <c r="FA185" s="319">
        <f t="shared" si="472"/>
        <v>448120.23</v>
      </c>
      <c r="FB185" s="319">
        <f t="shared" si="473"/>
        <v>406115.24</v>
      </c>
      <c r="FC185" s="319">
        <f t="shared" si="474"/>
        <v>411421.18000000005</v>
      </c>
      <c r="FD185" s="319">
        <f t="shared" si="475"/>
        <v>0</v>
      </c>
      <c r="FE185" s="319">
        <f t="shared" si="476"/>
        <v>0</v>
      </c>
      <c r="FF185" s="322">
        <f t="shared" si="477"/>
        <v>0</v>
      </c>
      <c r="FG185" s="336">
        <f t="shared" si="478"/>
        <v>0</v>
      </c>
      <c r="FH185" s="336">
        <f t="shared" si="479"/>
        <v>0</v>
      </c>
      <c r="FI185" s="336">
        <f t="shared" si="480"/>
        <v>0</v>
      </c>
      <c r="FJ185" s="336">
        <f t="shared" si="481"/>
        <v>0</v>
      </c>
      <c r="FK185" s="336">
        <f t="shared" si="482"/>
        <v>0</v>
      </c>
      <c r="FL185" s="122"/>
      <c r="FM185" s="340" t="s">
        <v>69</v>
      </c>
      <c r="FN185" s="340">
        <f t="shared" si="483"/>
        <v>46621.68</v>
      </c>
      <c r="FO185" s="340">
        <f t="shared" si="484"/>
        <v>52039.17</v>
      </c>
      <c r="FP185" s="340">
        <f t="shared" si="485"/>
        <v>49400.639999999999</v>
      </c>
      <c r="FQ185" s="340">
        <f t="shared" si="486"/>
        <v>59897.25</v>
      </c>
      <c r="FR185" s="340">
        <f t="shared" si="487"/>
        <v>54362.400000000001</v>
      </c>
      <c r="FS185" s="340">
        <f t="shared" si="488"/>
        <v>66024.27</v>
      </c>
      <c r="FT185" s="340">
        <f t="shared" si="489"/>
        <v>65596.160000000003</v>
      </c>
      <c r="FU185" s="340">
        <f t="shared" si="490"/>
        <v>64168.58</v>
      </c>
      <c r="FV185" s="340">
        <f t="shared" si="491"/>
        <v>67732.240000000005</v>
      </c>
      <c r="FW185" s="340">
        <f t="shared" si="492"/>
        <v>73659.12000000001</v>
      </c>
      <c r="FX185" s="340">
        <f t="shared" si="493"/>
        <v>73364.850000000006</v>
      </c>
      <c r="FY185" s="340">
        <f t="shared" si="494"/>
        <v>77449.789999999994</v>
      </c>
      <c r="FZ185" s="340">
        <f t="shared" si="495"/>
        <v>77299.47</v>
      </c>
      <c r="GA185" s="340">
        <f t="shared" si="496"/>
        <v>76977.990000000005</v>
      </c>
      <c r="GB185" s="340">
        <f t="shared" si="497"/>
        <v>0</v>
      </c>
      <c r="GC185" s="340">
        <f t="shared" si="498"/>
        <v>0</v>
      </c>
      <c r="GD185" s="340">
        <f t="shared" si="499"/>
        <v>0</v>
      </c>
      <c r="GE185" s="340">
        <f t="shared" si="500"/>
        <v>0</v>
      </c>
      <c r="GF185" s="340">
        <f t="shared" si="501"/>
        <v>0</v>
      </c>
      <c r="GG185" s="340">
        <f t="shared" si="502"/>
        <v>0</v>
      </c>
      <c r="GH185" s="340">
        <f t="shared" si="503"/>
        <v>0</v>
      </c>
      <c r="GI185" s="340">
        <f t="shared" si="504"/>
        <v>0</v>
      </c>
      <c r="GJ185" s="122"/>
      <c r="GK185" s="340" t="s">
        <v>69</v>
      </c>
      <c r="GL185" s="340">
        <f t="shared" si="505"/>
        <v>39961.440000000002</v>
      </c>
      <c r="GM185" s="340">
        <f t="shared" si="506"/>
        <v>5782.13</v>
      </c>
      <c r="GN185" s="340">
        <f t="shared" si="507"/>
        <v>0</v>
      </c>
      <c r="GO185" s="340">
        <f t="shared" si="508"/>
        <v>0</v>
      </c>
      <c r="GP185" s="340">
        <f t="shared" si="509"/>
        <v>0</v>
      </c>
      <c r="GQ185" s="340">
        <f t="shared" si="510"/>
        <v>14672.06</v>
      </c>
      <c r="GR185" s="340">
        <f t="shared" si="511"/>
        <v>0</v>
      </c>
      <c r="GS185" s="340">
        <f t="shared" si="512"/>
        <v>0</v>
      </c>
      <c r="GT185" s="340">
        <f t="shared" si="513"/>
        <v>0</v>
      </c>
      <c r="GU185" s="340">
        <f t="shared" si="514"/>
        <v>0</v>
      </c>
      <c r="GV185" s="340">
        <f t="shared" si="515"/>
        <v>0</v>
      </c>
      <c r="GW185" s="340">
        <f t="shared" si="516"/>
        <v>0</v>
      </c>
      <c r="GX185" s="340">
        <f t="shared" si="517"/>
        <v>0</v>
      </c>
      <c r="GY185" s="340">
        <f t="shared" si="518"/>
        <v>0</v>
      </c>
      <c r="GZ185" s="340">
        <f t="shared" si="519"/>
        <v>0</v>
      </c>
      <c r="HA185" s="340">
        <f t="shared" si="520"/>
        <v>0</v>
      </c>
      <c r="HB185" s="340">
        <f t="shared" si="521"/>
        <v>0</v>
      </c>
      <c r="HC185" s="340">
        <f t="shared" si="522"/>
        <v>0</v>
      </c>
      <c r="HD185" s="340">
        <f t="shared" si="523"/>
        <v>0</v>
      </c>
      <c r="HE185" s="340">
        <f t="shared" si="524"/>
        <v>0</v>
      </c>
      <c r="HF185" s="340">
        <f t="shared" si="525"/>
        <v>0</v>
      </c>
      <c r="HG185" s="340">
        <f t="shared" si="526"/>
        <v>0</v>
      </c>
      <c r="HH185" s="122"/>
      <c r="IF185" s="122"/>
      <c r="IG185" s="122"/>
      <c r="IH185" s="122"/>
      <c r="II185" s="122"/>
      <c r="IJ185" s="122"/>
      <c r="IK185" s="122"/>
      <c r="IL185" s="122"/>
      <c r="IN185" s="118"/>
      <c r="IP185" s="122"/>
      <c r="IQ185" s="122"/>
      <c r="IR185" s="122"/>
      <c r="IS185" s="122"/>
      <c r="IT185" s="122"/>
      <c r="IU185" s="122"/>
      <c r="IV185" s="122"/>
      <c r="IW185" s="122"/>
      <c r="IX185" s="122"/>
      <c r="IY185" s="122"/>
      <c r="IZ185" s="122"/>
      <c r="JA185" s="122"/>
      <c r="JB185" s="122"/>
      <c r="JC185" s="122"/>
      <c r="JD185" s="122"/>
      <c r="JE185" s="122"/>
      <c r="JF185" s="122"/>
      <c r="JG185" s="122"/>
      <c r="JH185" s="122"/>
      <c r="JI185" s="122"/>
      <c r="JK185" s="118"/>
      <c r="JL185" s="118"/>
      <c r="JY185" s="122"/>
      <c r="JZ185" s="122"/>
      <c r="KA185" s="122"/>
      <c r="KB185" s="122"/>
      <c r="LX185" s="122"/>
      <c r="LY185" s="122"/>
      <c r="LZ185" s="122"/>
      <c r="MB185" s="118"/>
      <c r="MC185" s="118"/>
      <c r="MP185" s="122"/>
      <c r="MQ185" s="122"/>
      <c r="MR185" s="122"/>
      <c r="MS185" s="122"/>
      <c r="MT185" s="122"/>
      <c r="MU185" s="122"/>
      <c r="MV185" s="122"/>
      <c r="OS185" s="118"/>
      <c r="OT185" s="118"/>
      <c r="PC185" s="122"/>
      <c r="PD185" s="122"/>
      <c r="PE185" s="122"/>
      <c r="PF185" s="122"/>
      <c r="PG185" s="122"/>
      <c r="PH185" s="122"/>
      <c r="PI185" s="122"/>
      <c r="PJ185" s="122"/>
      <c r="PP185" s="118"/>
      <c r="PQ185" s="118"/>
      <c r="PZ185" s="122"/>
      <c r="QA185" s="122"/>
      <c r="QB185" s="122"/>
      <c r="QC185" s="122"/>
      <c r="QD185" s="122"/>
      <c r="QE185" s="122"/>
      <c r="QF185" s="122"/>
      <c r="QG185" s="122"/>
      <c r="QM185" s="118"/>
      <c r="QN185" s="118"/>
      <c r="RE185" s="118"/>
      <c r="RF185" s="118"/>
      <c r="RG185" s="118"/>
      <c r="RH185" s="118"/>
      <c r="RI185" s="118"/>
      <c r="RJ185" s="118"/>
      <c r="RK185" s="118"/>
    </row>
    <row r="186" spans="25:479">
      <c r="Y186" s="277" t="s">
        <v>70</v>
      </c>
      <c r="Z186" s="319">
        <f t="shared" si="534"/>
        <v>206823.36000000002</v>
      </c>
      <c r="AA186" s="319">
        <f t="shared" si="373"/>
        <v>225403.02</v>
      </c>
      <c r="AB186" s="319">
        <f t="shared" si="374"/>
        <v>208830.72</v>
      </c>
      <c r="AC186" s="319">
        <f t="shared" si="375"/>
        <v>261636.48000000001</v>
      </c>
      <c r="AD186" s="319">
        <f t="shared" si="376"/>
        <v>273569.22000000003</v>
      </c>
      <c r="AE186" s="319">
        <f t="shared" si="377"/>
        <v>275046.84000000003</v>
      </c>
      <c r="AF186" s="319">
        <f t="shared" si="378"/>
        <v>300670.3</v>
      </c>
      <c r="AG186" s="319">
        <f t="shared" si="379"/>
        <v>319643.8</v>
      </c>
      <c r="AH186" s="319">
        <f t="shared" si="380"/>
        <v>371895</v>
      </c>
      <c r="AI186" s="319">
        <f t="shared" si="381"/>
        <v>347405</v>
      </c>
      <c r="AJ186" s="319">
        <f t="shared" si="382"/>
        <v>392487</v>
      </c>
      <c r="AK186" s="319">
        <f t="shared" si="383"/>
        <v>414212</v>
      </c>
      <c r="AL186" s="319">
        <f t="shared" si="384"/>
        <v>394166</v>
      </c>
      <c r="AM186" s="319">
        <f t="shared" si="385"/>
        <v>358338</v>
      </c>
      <c r="AN186" s="319">
        <f t="shared" si="386"/>
        <v>392612</v>
      </c>
      <c r="AO186" s="319">
        <f t="shared" si="387"/>
        <v>398793</v>
      </c>
      <c r="AP186" s="319">
        <f t="shared" si="537"/>
        <v>428968</v>
      </c>
      <c r="AQ186" s="319">
        <f t="shared" si="535"/>
        <v>403430</v>
      </c>
      <c r="AR186" s="319">
        <f t="shared" si="390"/>
        <v>452841</v>
      </c>
      <c r="AS186" s="319">
        <f t="shared" si="391"/>
        <v>407786</v>
      </c>
      <c r="AT186" s="319">
        <f t="shared" si="392"/>
        <v>461202</v>
      </c>
      <c r="AU186" s="319">
        <f t="shared" si="393"/>
        <v>450681</v>
      </c>
      <c r="AW186" s="323" t="s">
        <v>70</v>
      </c>
      <c r="AX186" s="323">
        <f t="shared" si="527"/>
        <v>12166.08</v>
      </c>
      <c r="AY186" s="323">
        <f t="shared" si="395"/>
        <v>16696.52</v>
      </c>
      <c r="AZ186" s="323">
        <f t="shared" si="396"/>
        <v>21753.200000000001</v>
      </c>
      <c r="BA186" s="323">
        <f t="shared" si="397"/>
        <v>14535.36</v>
      </c>
      <c r="BB186" s="323">
        <f t="shared" si="398"/>
        <v>13344.84</v>
      </c>
      <c r="BC186" s="323">
        <f t="shared" si="399"/>
        <v>15280.380000000001</v>
      </c>
      <c r="BD186" s="323">
        <f t="shared" si="400"/>
        <v>21314.12</v>
      </c>
      <c r="BE186" s="323">
        <f t="shared" si="401"/>
        <v>11022.2</v>
      </c>
      <c r="BF186" s="323">
        <f t="shared" si="402"/>
        <v>21505</v>
      </c>
      <c r="BG186" s="323">
        <f t="shared" si="403"/>
        <v>17692</v>
      </c>
      <c r="BH186" s="323">
        <f t="shared" si="404"/>
        <v>22043</v>
      </c>
      <c r="BI186" s="323">
        <f t="shared" si="405"/>
        <v>18785</v>
      </c>
      <c r="BJ186" s="323">
        <f t="shared" si="406"/>
        <v>21406</v>
      </c>
      <c r="BK186" s="323">
        <f t="shared" si="407"/>
        <v>16170</v>
      </c>
      <c r="BL186" s="323">
        <f t="shared" si="530"/>
        <v>11542</v>
      </c>
      <c r="BM186" s="323">
        <f t="shared" si="531"/>
        <v>22290</v>
      </c>
      <c r="BN186" s="323">
        <f t="shared" si="532"/>
        <v>17705</v>
      </c>
      <c r="BO186" s="341">
        <f t="shared" si="528"/>
        <v>20667</v>
      </c>
      <c r="BP186" s="341">
        <f t="shared" si="412"/>
        <v>13245</v>
      </c>
      <c r="BQ186" s="341">
        <f t="shared" si="413"/>
        <v>14234</v>
      </c>
      <c r="BR186" s="341">
        <f t="shared" si="414"/>
        <v>11049</v>
      </c>
      <c r="BS186" s="341">
        <f t="shared" si="415"/>
        <v>19200</v>
      </c>
      <c r="BU186" s="341" t="s">
        <v>70</v>
      </c>
      <c r="BV186" s="341">
        <f t="shared" si="416"/>
        <v>8110.72</v>
      </c>
      <c r="BW186" s="341">
        <f t="shared" si="417"/>
        <v>12522.39</v>
      </c>
      <c r="BX186" s="341">
        <f t="shared" si="418"/>
        <v>13051.92</v>
      </c>
      <c r="BY186" s="341">
        <f t="shared" si="419"/>
        <v>14535.36</v>
      </c>
      <c r="BZ186" s="341">
        <f t="shared" si="420"/>
        <v>13344.84</v>
      </c>
      <c r="CA186" s="341">
        <f t="shared" si="421"/>
        <v>20373.84</v>
      </c>
      <c r="CB186" s="341">
        <f t="shared" si="422"/>
        <v>21314.12</v>
      </c>
      <c r="CC186" s="341">
        <f t="shared" si="423"/>
        <v>22044.400000000001</v>
      </c>
      <c r="CD186" s="341">
        <f t="shared" si="424"/>
        <v>22217</v>
      </c>
      <c r="CE186" s="341">
        <f t="shared" si="425"/>
        <v>24146</v>
      </c>
      <c r="CF186" s="341">
        <f t="shared" si="426"/>
        <v>24015</v>
      </c>
      <c r="CG186" s="341">
        <f t="shared" si="427"/>
        <v>25871</v>
      </c>
      <c r="CH186" s="341">
        <f t="shared" si="428"/>
        <v>25930</v>
      </c>
      <c r="CI186" s="341">
        <f t="shared" si="429"/>
        <v>33137</v>
      </c>
      <c r="CJ186" s="341">
        <f t="shared" si="430"/>
        <v>29757</v>
      </c>
      <c r="CK186" s="341">
        <f t="shared" si="431"/>
        <v>25066</v>
      </c>
      <c r="CL186" s="341">
        <f t="shared" si="432"/>
        <v>35799</v>
      </c>
      <c r="CM186" s="341">
        <f t="shared" si="433"/>
        <v>48254</v>
      </c>
      <c r="CN186" s="341">
        <f t="shared" si="434"/>
        <v>48755</v>
      </c>
      <c r="CO186" s="341">
        <f t="shared" si="435"/>
        <v>48866</v>
      </c>
      <c r="CP186" s="341">
        <f t="shared" si="436"/>
        <v>49177</v>
      </c>
      <c r="CQ186" s="341">
        <f t="shared" si="437"/>
        <v>55550</v>
      </c>
      <c r="CR186" s="122"/>
      <c r="CS186" s="341" t="s">
        <v>70</v>
      </c>
      <c r="CT186" s="341">
        <f t="shared" si="438"/>
        <v>52719.68</v>
      </c>
      <c r="CU186" s="341">
        <f t="shared" si="439"/>
        <v>54263.69</v>
      </c>
      <c r="CV186" s="341">
        <f t="shared" si="440"/>
        <v>65259.6</v>
      </c>
      <c r="CW186" s="341">
        <f t="shared" si="441"/>
        <v>77521.919999999998</v>
      </c>
      <c r="CX186" s="341">
        <f t="shared" si="442"/>
        <v>73396.62</v>
      </c>
      <c r="CY186" s="341">
        <f t="shared" si="443"/>
        <v>106962.66</v>
      </c>
      <c r="CZ186" s="341">
        <f t="shared" si="444"/>
        <v>79927.95</v>
      </c>
      <c r="DA186" s="341">
        <f t="shared" si="445"/>
        <v>93688.7</v>
      </c>
      <c r="DB186" s="341">
        <f t="shared" si="446"/>
        <v>118889</v>
      </c>
      <c r="DC186" s="341">
        <f t="shared" si="447"/>
        <v>236189</v>
      </c>
      <c r="DD186" s="341">
        <f t="shared" si="448"/>
        <v>316966</v>
      </c>
      <c r="DE186" s="341">
        <f t="shared" si="449"/>
        <v>354112</v>
      </c>
      <c r="DF186" s="341">
        <f t="shared" si="450"/>
        <v>307117</v>
      </c>
      <c r="DG186" s="341">
        <f t="shared" si="451"/>
        <v>410866</v>
      </c>
      <c r="DH186" s="341">
        <f t="shared" si="452"/>
        <v>226344</v>
      </c>
      <c r="DI186" s="341">
        <f t="shared" si="453"/>
        <v>186116</v>
      </c>
      <c r="DJ186" s="341">
        <f t="shared" si="454"/>
        <v>253831</v>
      </c>
      <c r="DK186" s="341">
        <f t="shared" si="455"/>
        <v>251300</v>
      </c>
      <c r="DL186" s="341">
        <f t="shared" si="456"/>
        <v>170039</v>
      </c>
      <c r="DM186" s="341">
        <f t="shared" si="457"/>
        <v>230140</v>
      </c>
      <c r="DN186" s="341">
        <f t="shared" si="458"/>
        <v>167695</v>
      </c>
      <c r="DO186" s="341">
        <f t="shared" si="459"/>
        <v>189299</v>
      </c>
      <c r="DP186" s="330"/>
      <c r="DQ186" s="341" t="s">
        <v>70</v>
      </c>
      <c r="DR186" s="341">
        <f t="shared" ref="DR186:EM186" si="540">DR88</f>
        <v>16221.44</v>
      </c>
      <c r="DS186" s="341">
        <f t="shared" si="540"/>
        <v>16696.52</v>
      </c>
      <c r="DT186" s="341">
        <f t="shared" si="540"/>
        <v>17402.560000000001</v>
      </c>
      <c r="DU186" s="341">
        <f t="shared" si="540"/>
        <v>24225.599999999999</v>
      </c>
      <c r="DV186" s="341">
        <f t="shared" si="540"/>
        <v>20017.259999999998</v>
      </c>
      <c r="DW186" s="341">
        <f t="shared" si="540"/>
        <v>20373.84</v>
      </c>
      <c r="DX186" s="341">
        <f t="shared" si="540"/>
        <v>21314.12</v>
      </c>
      <c r="DY186" s="341">
        <f t="shared" si="540"/>
        <v>27555.5</v>
      </c>
      <c r="DZ186" s="341">
        <f t="shared" si="540"/>
        <v>30767</v>
      </c>
      <c r="EA186" s="341">
        <f t="shared" si="540"/>
        <v>32937</v>
      </c>
      <c r="EB186" s="341">
        <f t="shared" si="540"/>
        <v>41059</v>
      </c>
      <c r="EC186" s="341">
        <f t="shared" si="540"/>
        <v>44771</v>
      </c>
      <c r="ED186" s="341">
        <f t="shared" si="540"/>
        <v>49986</v>
      </c>
      <c r="EE186" s="341">
        <f t="shared" si="540"/>
        <v>43832</v>
      </c>
      <c r="EF186" s="341">
        <f t="shared" si="540"/>
        <v>34257</v>
      </c>
      <c r="EG186" s="341">
        <f t="shared" si="540"/>
        <v>36305</v>
      </c>
      <c r="EH186" s="341">
        <f t="shared" si="540"/>
        <v>37356</v>
      </c>
      <c r="EI186" s="341">
        <f t="shared" si="540"/>
        <v>39243</v>
      </c>
      <c r="EJ186" s="341">
        <f t="shared" si="540"/>
        <v>38907</v>
      </c>
      <c r="EK186" s="341">
        <f t="shared" si="540"/>
        <v>37479</v>
      </c>
      <c r="EL186" s="341">
        <f t="shared" si="540"/>
        <v>38386</v>
      </c>
      <c r="EM186" s="341">
        <f t="shared" si="540"/>
        <v>45000</v>
      </c>
      <c r="EO186" s="320" t="s">
        <v>70</v>
      </c>
      <c r="EP186" s="320">
        <f t="shared" si="461"/>
        <v>0</v>
      </c>
      <c r="EQ186" s="320">
        <f t="shared" si="462"/>
        <v>0</v>
      </c>
      <c r="ER186" s="320">
        <f t="shared" si="463"/>
        <v>0</v>
      </c>
      <c r="ES186" s="320">
        <f t="shared" si="464"/>
        <v>0</v>
      </c>
      <c r="ET186" s="320">
        <f t="shared" si="465"/>
        <v>0</v>
      </c>
      <c r="EU186" s="320">
        <f t="shared" si="466"/>
        <v>0</v>
      </c>
      <c r="EV186" s="320">
        <f t="shared" si="467"/>
        <v>0</v>
      </c>
      <c r="EW186" s="320">
        <f t="shared" si="468"/>
        <v>0</v>
      </c>
      <c r="EX186" s="320">
        <f t="shared" si="469"/>
        <v>0</v>
      </c>
      <c r="EY186" s="320">
        <f t="shared" si="470"/>
        <v>0</v>
      </c>
      <c r="EZ186" s="320">
        <f t="shared" si="471"/>
        <v>0</v>
      </c>
      <c r="FA186" s="320">
        <f t="shared" si="472"/>
        <v>0</v>
      </c>
      <c r="FB186" s="320">
        <f t="shared" si="473"/>
        <v>0</v>
      </c>
      <c r="FC186" s="320">
        <f t="shared" si="474"/>
        <v>0</v>
      </c>
      <c r="FD186" s="320">
        <f t="shared" si="475"/>
        <v>0</v>
      </c>
      <c r="FE186" s="320">
        <f t="shared" si="476"/>
        <v>0</v>
      </c>
      <c r="FF186" s="323">
        <f t="shared" si="477"/>
        <v>0</v>
      </c>
      <c r="FG186" s="337">
        <f t="shared" si="478"/>
        <v>0</v>
      </c>
      <c r="FH186" s="337">
        <f t="shared" si="479"/>
        <v>0</v>
      </c>
      <c r="FI186" s="337">
        <f t="shared" si="480"/>
        <v>0</v>
      </c>
      <c r="FJ186" s="337">
        <f t="shared" si="481"/>
        <v>0</v>
      </c>
      <c r="FK186" s="337">
        <f t="shared" si="482"/>
        <v>0</v>
      </c>
      <c r="FL186" s="122"/>
      <c r="FM186" s="341" t="s">
        <v>70</v>
      </c>
      <c r="FN186" s="341">
        <f t="shared" si="483"/>
        <v>12166.08</v>
      </c>
      <c r="FO186" s="341">
        <f t="shared" si="484"/>
        <v>0</v>
      </c>
      <c r="FP186" s="341">
        <f t="shared" si="485"/>
        <v>13051.92</v>
      </c>
      <c r="FQ186" s="341">
        <f t="shared" si="486"/>
        <v>0</v>
      </c>
      <c r="FR186" s="341">
        <f t="shared" si="487"/>
        <v>0</v>
      </c>
      <c r="FS186" s="341">
        <f t="shared" si="488"/>
        <v>0</v>
      </c>
      <c r="FT186" s="341">
        <f t="shared" si="489"/>
        <v>0</v>
      </c>
      <c r="FU186" s="341">
        <f t="shared" si="490"/>
        <v>0</v>
      </c>
      <c r="FV186" s="341">
        <f t="shared" si="491"/>
        <v>0</v>
      </c>
      <c r="FW186" s="341">
        <f t="shared" si="492"/>
        <v>0</v>
      </c>
      <c r="FX186" s="341">
        <f t="shared" si="493"/>
        <v>0</v>
      </c>
      <c r="FY186" s="341">
        <f t="shared" si="494"/>
        <v>0</v>
      </c>
      <c r="FZ186" s="341">
        <f t="shared" si="495"/>
        <v>0</v>
      </c>
      <c r="GA186" s="341">
        <f t="shared" si="496"/>
        <v>0</v>
      </c>
      <c r="GB186" s="341">
        <f t="shared" si="497"/>
        <v>0</v>
      </c>
      <c r="GC186" s="341">
        <f t="shared" si="498"/>
        <v>0</v>
      </c>
      <c r="GD186" s="341">
        <f t="shared" si="499"/>
        <v>0</v>
      </c>
      <c r="GE186" s="341">
        <f t="shared" si="500"/>
        <v>0</v>
      </c>
      <c r="GF186" s="341">
        <f t="shared" si="501"/>
        <v>0</v>
      </c>
      <c r="GG186" s="341">
        <f t="shared" si="502"/>
        <v>0</v>
      </c>
      <c r="GH186" s="341">
        <f t="shared" si="503"/>
        <v>0</v>
      </c>
      <c r="GI186" s="341">
        <f t="shared" si="504"/>
        <v>0</v>
      </c>
      <c r="GJ186" s="122"/>
      <c r="GK186" s="341" t="s">
        <v>70</v>
      </c>
      <c r="GL186" s="341">
        <f t="shared" si="505"/>
        <v>97328.639999999999</v>
      </c>
      <c r="GM186" s="341">
        <f t="shared" si="506"/>
        <v>91830.86</v>
      </c>
      <c r="GN186" s="341">
        <f t="shared" si="507"/>
        <v>95714.08</v>
      </c>
      <c r="GO186" s="341">
        <f t="shared" si="508"/>
        <v>92057.279999999999</v>
      </c>
      <c r="GP186" s="341">
        <f t="shared" si="509"/>
        <v>273569.21999999997</v>
      </c>
      <c r="GQ186" s="341">
        <f t="shared" si="510"/>
        <v>71308.44</v>
      </c>
      <c r="GR186" s="341">
        <f t="shared" si="511"/>
        <v>85256.48</v>
      </c>
      <c r="GS186" s="341">
        <f t="shared" si="512"/>
        <v>77155.399999999994</v>
      </c>
      <c r="GT186" s="341">
        <f t="shared" si="513"/>
        <v>126481</v>
      </c>
      <c r="GU186" s="341">
        <f t="shared" si="514"/>
        <v>64600</v>
      </c>
      <c r="GV186" s="341">
        <f t="shared" si="515"/>
        <v>137892</v>
      </c>
      <c r="GW186" s="341">
        <f t="shared" si="516"/>
        <v>172623</v>
      </c>
      <c r="GX186" s="341">
        <f t="shared" si="517"/>
        <v>84700</v>
      </c>
      <c r="GY186" s="341">
        <f t="shared" si="518"/>
        <v>162200</v>
      </c>
      <c r="GZ186" s="341">
        <f t="shared" si="519"/>
        <v>135700</v>
      </c>
      <c r="HA186" s="341">
        <f t="shared" si="520"/>
        <v>210074</v>
      </c>
      <c r="HB186" s="341">
        <f t="shared" si="521"/>
        <v>172200</v>
      </c>
      <c r="HC186" s="341">
        <f t="shared" si="522"/>
        <v>198225</v>
      </c>
      <c r="HD186" s="341">
        <f t="shared" si="523"/>
        <v>220225</v>
      </c>
      <c r="HE186" s="341">
        <f t="shared" si="524"/>
        <v>242225</v>
      </c>
      <c r="HF186" s="341">
        <f t="shared" si="525"/>
        <v>405075</v>
      </c>
      <c r="HG186" s="341">
        <f t="shared" si="526"/>
        <v>449360</v>
      </c>
      <c r="HH186" s="122"/>
      <c r="IF186" s="122"/>
      <c r="IG186" s="122"/>
      <c r="IH186" s="122"/>
      <c r="II186" s="122"/>
      <c r="IJ186" s="122"/>
      <c r="IK186" s="122"/>
      <c r="IL186" s="122"/>
      <c r="IN186" s="118"/>
      <c r="IP186" s="122"/>
      <c r="IQ186" s="122"/>
      <c r="IR186" s="122"/>
      <c r="IS186" s="122"/>
      <c r="IT186" s="122"/>
      <c r="IU186" s="122"/>
      <c r="IV186" s="122"/>
      <c r="IW186" s="122"/>
      <c r="IX186" s="122"/>
      <c r="IY186" s="122"/>
      <c r="IZ186" s="122"/>
      <c r="JA186" s="122"/>
      <c r="JB186" s="122"/>
      <c r="JC186" s="122"/>
      <c r="JD186" s="122"/>
      <c r="JE186" s="122"/>
      <c r="JF186" s="122"/>
      <c r="JG186" s="122"/>
      <c r="JH186" s="122"/>
      <c r="JI186" s="122"/>
      <c r="JK186" s="118"/>
      <c r="JL186" s="118"/>
      <c r="JY186" s="122"/>
      <c r="JZ186" s="122"/>
      <c r="KA186" s="122"/>
      <c r="KB186" s="122"/>
      <c r="LX186" s="122"/>
      <c r="LY186" s="122"/>
      <c r="LZ186" s="122"/>
      <c r="MB186" s="118"/>
      <c r="MC186" s="118"/>
      <c r="MP186" s="122"/>
      <c r="MQ186" s="122"/>
      <c r="MR186" s="122"/>
      <c r="MS186" s="122"/>
      <c r="MT186" s="122"/>
      <c r="MU186" s="122"/>
      <c r="MV186" s="122"/>
      <c r="OS186" s="118"/>
      <c r="OT186" s="118"/>
      <c r="PC186" s="122"/>
      <c r="PD186" s="122"/>
      <c r="PE186" s="122"/>
      <c r="PF186" s="122"/>
      <c r="PG186" s="122"/>
      <c r="PH186" s="122"/>
      <c r="PI186" s="122"/>
      <c r="PJ186" s="122"/>
      <c r="PP186" s="118"/>
      <c r="PQ186" s="118"/>
      <c r="PZ186" s="122"/>
      <c r="QA186" s="122"/>
      <c r="QB186" s="122"/>
      <c r="QC186" s="122"/>
      <c r="QD186" s="122"/>
      <c r="QE186" s="122"/>
      <c r="QF186" s="122"/>
      <c r="QG186" s="122"/>
      <c r="QM186" s="118"/>
      <c r="QN186" s="118"/>
      <c r="RE186" s="118"/>
      <c r="RF186" s="118"/>
      <c r="RG186" s="118"/>
      <c r="RH186" s="118"/>
      <c r="RI186" s="118"/>
      <c r="RJ186" s="118"/>
      <c r="RK186" s="118"/>
    </row>
    <row r="187" spans="25:479">
      <c r="Y187" s="314" t="s">
        <v>300</v>
      </c>
      <c r="Z187" s="320">
        <f t="shared" si="534"/>
        <v>287818.01999999996</v>
      </c>
      <c r="AA187" s="320">
        <f t="shared" si="373"/>
        <v>390154.31999999995</v>
      </c>
      <c r="AB187" s="320">
        <f t="shared" si="374"/>
        <v>576707.66999999993</v>
      </c>
      <c r="AC187" s="320">
        <f t="shared" si="375"/>
        <v>1567568.28</v>
      </c>
      <c r="AD187" s="320">
        <f t="shared" si="376"/>
        <v>1851125.17</v>
      </c>
      <c r="AE187" s="320">
        <f t="shared" si="377"/>
        <v>562398.9</v>
      </c>
      <c r="AF187" s="320">
        <f t="shared" si="378"/>
        <v>470704.83999999997</v>
      </c>
      <c r="AG187" s="320">
        <f t="shared" si="379"/>
        <v>422023.55000000005</v>
      </c>
      <c r="AH187" s="320">
        <f t="shared" si="380"/>
        <v>501289.81999999995</v>
      </c>
      <c r="AI187" s="320">
        <f t="shared" si="381"/>
        <v>487092.76</v>
      </c>
      <c r="AJ187" s="320">
        <f t="shared" si="382"/>
        <v>512320.11</v>
      </c>
      <c r="AK187" s="320">
        <f t="shared" si="383"/>
        <v>494824.99000000005</v>
      </c>
      <c r="AL187" s="320">
        <f t="shared" si="384"/>
        <v>580372.17000000004</v>
      </c>
      <c r="AM187" s="320">
        <f t="shared" si="385"/>
        <v>487749.24</v>
      </c>
      <c r="AN187" s="320">
        <f t="shared" si="386"/>
        <v>518127.13</v>
      </c>
      <c r="AO187" s="320">
        <f t="shared" si="387"/>
        <v>641911.49</v>
      </c>
      <c r="AP187" s="320">
        <f t="shared" si="537"/>
        <v>592346.61999999988</v>
      </c>
      <c r="AQ187" s="320">
        <f t="shared" si="535"/>
        <v>493807.04000000004</v>
      </c>
      <c r="AR187" s="320">
        <f t="shared" si="390"/>
        <v>551511.88</v>
      </c>
      <c r="AS187" s="320">
        <f t="shared" si="391"/>
        <v>556753.06999999995</v>
      </c>
      <c r="AT187" s="320">
        <f t="shared" si="392"/>
        <v>599606.32000000007</v>
      </c>
      <c r="AU187" s="320">
        <f t="shared" si="393"/>
        <v>1343644</v>
      </c>
      <c r="AW187" s="323" t="s">
        <v>300</v>
      </c>
      <c r="AX187" s="323">
        <f t="shared" si="527"/>
        <v>68528.100000000006</v>
      </c>
      <c r="AY187" s="323">
        <f t="shared" si="395"/>
        <v>72250.8</v>
      </c>
      <c r="AZ187" s="323">
        <f t="shared" si="396"/>
        <v>87379.950000000012</v>
      </c>
      <c r="BA187" s="323">
        <f t="shared" si="397"/>
        <v>59153.52</v>
      </c>
      <c r="BB187" s="323">
        <f t="shared" si="398"/>
        <v>69853.78</v>
      </c>
      <c r="BC187" s="323">
        <f t="shared" si="399"/>
        <v>80342.700000000012</v>
      </c>
      <c r="BD187" s="323">
        <f t="shared" si="400"/>
        <v>55766.02</v>
      </c>
      <c r="BE187" s="323">
        <f t="shared" si="401"/>
        <v>32463.35</v>
      </c>
      <c r="BF187" s="323">
        <f t="shared" si="402"/>
        <v>46580.170000000006</v>
      </c>
      <c r="BG187" s="323">
        <f t="shared" si="403"/>
        <v>55071.939999999995</v>
      </c>
      <c r="BH187" s="323">
        <f t="shared" si="404"/>
        <v>46892.42</v>
      </c>
      <c r="BI187" s="323">
        <f t="shared" si="405"/>
        <v>43352.800000000003</v>
      </c>
      <c r="BJ187" s="323">
        <f t="shared" si="406"/>
        <v>49645.81</v>
      </c>
      <c r="BK187" s="323">
        <f t="shared" si="407"/>
        <v>45149.73</v>
      </c>
      <c r="BL187" s="323">
        <f t="shared" si="530"/>
        <v>50280.69</v>
      </c>
      <c r="BM187" s="323">
        <f t="shared" si="531"/>
        <v>55298.32</v>
      </c>
      <c r="BN187" s="323">
        <f t="shared" si="532"/>
        <v>55482.030000000006</v>
      </c>
      <c r="BO187" s="341">
        <f t="shared" si="528"/>
        <v>53487.69</v>
      </c>
      <c r="BP187" s="341">
        <f t="shared" si="412"/>
        <v>55281.639999999992</v>
      </c>
      <c r="BQ187" s="341">
        <f t="shared" si="413"/>
        <v>68460.33</v>
      </c>
      <c r="BR187" s="341">
        <f t="shared" si="414"/>
        <v>67107.42</v>
      </c>
      <c r="BS187" s="341">
        <f t="shared" si="415"/>
        <v>87411</v>
      </c>
      <c r="BU187" s="341" t="s">
        <v>300</v>
      </c>
      <c r="BV187" s="341">
        <f t="shared" si="416"/>
        <v>27411.24</v>
      </c>
      <c r="BW187" s="341">
        <f t="shared" si="417"/>
        <v>43350.479999999996</v>
      </c>
      <c r="BX187" s="341">
        <f t="shared" si="418"/>
        <v>17475.990000000002</v>
      </c>
      <c r="BY187" s="341">
        <f t="shared" si="419"/>
        <v>29576.76</v>
      </c>
      <c r="BZ187" s="341">
        <f t="shared" si="420"/>
        <v>34926.89</v>
      </c>
      <c r="CA187" s="341">
        <f t="shared" si="421"/>
        <v>26780.9</v>
      </c>
      <c r="CB187" s="341">
        <f t="shared" si="422"/>
        <v>27883.01</v>
      </c>
      <c r="CC187" s="341">
        <f t="shared" si="423"/>
        <v>32463.35</v>
      </c>
      <c r="CD187" s="341">
        <f t="shared" si="424"/>
        <v>39712.370000000003</v>
      </c>
      <c r="CE187" s="341">
        <f t="shared" si="425"/>
        <v>47368.869999999995</v>
      </c>
      <c r="CF187" s="341">
        <f t="shared" si="426"/>
        <v>45848.869999999995</v>
      </c>
      <c r="CG187" s="341">
        <f t="shared" si="427"/>
        <v>43836.319999999992</v>
      </c>
      <c r="CH187" s="341">
        <f t="shared" si="428"/>
        <v>46279.540000000008</v>
      </c>
      <c r="CI187" s="341">
        <f t="shared" si="429"/>
        <v>47442.159999999996</v>
      </c>
      <c r="CJ187" s="341">
        <f t="shared" si="430"/>
        <v>43186.130000000005</v>
      </c>
      <c r="CK187" s="341">
        <f t="shared" si="431"/>
        <v>43536.14</v>
      </c>
      <c r="CL187" s="341">
        <f t="shared" si="432"/>
        <v>52830.710000000006</v>
      </c>
      <c r="CM187" s="341">
        <f t="shared" si="433"/>
        <v>51320.800000000003</v>
      </c>
      <c r="CN187" s="341">
        <f t="shared" si="434"/>
        <v>47524.380000000005</v>
      </c>
      <c r="CO187" s="341">
        <f t="shared" si="435"/>
        <v>47915.869999999995</v>
      </c>
      <c r="CP187" s="341">
        <f t="shared" si="436"/>
        <v>48653.899999999994</v>
      </c>
      <c r="CQ187" s="341">
        <f t="shared" si="437"/>
        <v>47435</v>
      </c>
      <c r="CR187" s="122"/>
      <c r="CS187" s="341" t="s">
        <v>300</v>
      </c>
      <c r="CT187" s="341">
        <f t="shared" si="438"/>
        <v>68528.100000000006</v>
      </c>
      <c r="CU187" s="341">
        <f t="shared" si="439"/>
        <v>14450.16</v>
      </c>
      <c r="CV187" s="341">
        <f t="shared" si="440"/>
        <v>69903.960000000006</v>
      </c>
      <c r="CW187" s="341">
        <f t="shared" si="441"/>
        <v>59153.52</v>
      </c>
      <c r="CX187" s="341">
        <f t="shared" si="442"/>
        <v>34926.89</v>
      </c>
      <c r="CY187" s="341">
        <f t="shared" si="443"/>
        <v>133904.5</v>
      </c>
      <c r="CZ187" s="341">
        <f t="shared" si="444"/>
        <v>167298.06</v>
      </c>
      <c r="DA187" s="341">
        <f t="shared" si="445"/>
        <v>422023.55</v>
      </c>
      <c r="DB187" s="341">
        <f t="shared" si="446"/>
        <v>198620.23</v>
      </c>
      <c r="DC187" s="341">
        <f t="shared" si="447"/>
        <v>198682.49000000002</v>
      </c>
      <c r="DD187" s="341">
        <f t="shared" si="448"/>
        <v>165303.42000000004</v>
      </c>
      <c r="DE187" s="341">
        <f t="shared" si="449"/>
        <v>254032.25999999998</v>
      </c>
      <c r="DF187" s="341">
        <f t="shared" si="450"/>
        <v>156172.33000000002</v>
      </c>
      <c r="DG187" s="341">
        <f t="shared" si="451"/>
        <v>156867.95000000001</v>
      </c>
      <c r="DH187" s="341">
        <f t="shared" si="452"/>
        <v>180571.89</v>
      </c>
      <c r="DI187" s="341">
        <f t="shared" si="453"/>
        <v>163511.58000000002</v>
      </c>
      <c r="DJ187" s="341">
        <f t="shared" si="454"/>
        <v>168744.07</v>
      </c>
      <c r="DK187" s="341">
        <f t="shared" si="455"/>
        <v>71458.650000000009</v>
      </c>
      <c r="DL187" s="341">
        <f t="shared" si="456"/>
        <v>102751.04000000001</v>
      </c>
      <c r="DM187" s="341">
        <f t="shared" si="457"/>
        <v>111340.14000000001</v>
      </c>
      <c r="DN187" s="341">
        <f t="shared" si="458"/>
        <v>125780.91</v>
      </c>
      <c r="DO187" s="341">
        <f t="shared" si="459"/>
        <v>158475</v>
      </c>
      <c r="DP187" s="330"/>
      <c r="DQ187" s="341" t="s">
        <v>300</v>
      </c>
      <c r="DR187" s="341">
        <f t="shared" ref="DR187:EM187" si="541">DR89</f>
        <v>95939.34</v>
      </c>
      <c r="DS187" s="341">
        <f t="shared" si="541"/>
        <v>130051.44</v>
      </c>
      <c r="DT187" s="341">
        <f t="shared" si="541"/>
        <v>0</v>
      </c>
      <c r="DU187" s="341">
        <f t="shared" si="541"/>
        <v>0</v>
      </c>
      <c r="DV187" s="341">
        <f t="shared" si="541"/>
        <v>0</v>
      </c>
      <c r="DW187" s="341">
        <f t="shared" si="541"/>
        <v>0</v>
      </c>
      <c r="DX187" s="341">
        <f t="shared" si="541"/>
        <v>0</v>
      </c>
      <c r="DY187" s="341">
        <f t="shared" si="541"/>
        <v>0</v>
      </c>
      <c r="DZ187" s="341">
        <f t="shared" si="541"/>
        <v>0</v>
      </c>
      <c r="EA187" s="341">
        <f t="shared" si="541"/>
        <v>0</v>
      </c>
      <c r="EB187" s="341">
        <f t="shared" si="541"/>
        <v>0</v>
      </c>
      <c r="EC187" s="341">
        <f t="shared" si="541"/>
        <v>0</v>
      </c>
      <c r="ED187" s="341">
        <f t="shared" si="541"/>
        <v>0</v>
      </c>
      <c r="EE187" s="341">
        <f t="shared" si="541"/>
        <v>0</v>
      </c>
      <c r="EF187" s="341">
        <f t="shared" si="541"/>
        <v>0</v>
      </c>
      <c r="EG187" s="341">
        <f t="shared" si="541"/>
        <v>0</v>
      </c>
      <c r="EH187" s="341">
        <f t="shared" si="541"/>
        <v>0</v>
      </c>
      <c r="EI187" s="341">
        <f t="shared" si="541"/>
        <v>0</v>
      </c>
      <c r="EJ187" s="341">
        <f t="shared" si="541"/>
        <v>0</v>
      </c>
      <c r="EK187" s="341">
        <f t="shared" si="541"/>
        <v>0</v>
      </c>
      <c r="EL187" s="341">
        <f t="shared" si="541"/>
        <v>0</v>
      </c>
      <c r="EM187" s="341">
        <f t="shared" si="541"/>
        <v>0</v>
      </c>
      <c r="EO187" s="320" t="s">
        <v>300</v>
      </c>
      <c r="EP187" s="320">
        <f t="shared" si="461"/>
        <v>753809.10000000009</v>
      </c>
      <c r="EQ187" s="320">
        <f t="shared" si="462"/>
        <v>722508</v>
      </c>
      <c r="ER187" s="320">
        <f t="shared" si="463"/>
        <v>908751.48</v>
      </c>
      <c r="ES187" s="320">
        <f t="shared" si="464"/>
        <v>1123916.8800000001</v>
      </c>
      <c r="ET187" s="320">
        <f t="shared" si="465"/>
        <v>1362148.71</v>
      </c>
      <c r="EU187" s="320">
        <f t="shared" si="466"/>
        <v>1740758.5</v>
      </c>
      <c r="EV187" s="320">
        <f t="shared" si="467"/>
        <v>1951810.7000000002</v>
      </c>
      <c r="EW187" s="320">
        <f t="shared" si="468"/>
        <v>2207507.7999999998</v>
      </c>
      <c r="EX187" s="320">
        <f t="shared" si="469"/>
        <v>2368169.3900000006</v>
      </c>
      <c r="EY187" s="320">
        <f t="shared" si="470"/>
        <v>2519782.83</v>
      </c>
      <c r="EZ187" s="320">
        <f t="shared" si="471"/>
        <v>2570778.6800000002</v>
      </c>
      <c r="FA187" s="320">
        <f t="shared" si="472"/>
        <v>2628790.6499999994</v>
      </c>
      <c r="FB187" s="320">
        <f t="shared" si="473"/>
        <v>2616303.6999999993</v>
      </c>
      <c r="FC187" s="320">
        <f t="shared" si="474"/>
        <v>2402578.14</v>
      </c>
      <c r="FD187" s="320">
        <f t="shared" si="475"/>
        <v>2325633.8800000004</v>
      </c>
      <c r="FE187" s="320">
        <f t="shared" si="476"/>
        <v>2424941.6</v>
      </c>
      <c r="FF187" s="323">
        <f t="shared" si="477"/>
        <v>2602139.52</v>
      </c>
      <c r="FG187" s="337">
        <f t="shared" si="478"/>
        <v>2921525.9500000007</v>
      </c>
      <c r="FH187" s="337">
        <f t="shared" si="479"/>
        <v>3163951.47</v>
      </c>
      <c r="FI187" s="337">
        <f t="shared" si="480"/>
        <v>3332394.0099999993</v>
      </c>
      <c r="FJ187" s="337">
        <f t="shared" si="481"/>
        <v>3352889.12</v>
      </c>
      <c r="FK187" s="337">
        <f t="shared" si="482"/>
        <v>3567258</v>
      </c>
      <c r="FL187" s="122"/>
      <c r="FM187" s="341" t="s">
        <v>300</v>
      </c>
      <c r="FN187" s="341">
        <f t="shared" si="483"/>
        <v>54822.48</v>
      </c>
      <c r="FO187" s="341">
        <f t="shared" si="484"/>
        <v>57800.639999999999</v>
      </c>
      <c r="FP187" s="341">
        <f t="shared" si="485"/>
        <v>69903.960000000006</v>
      </c>
      <c r="FQ187" s="341">
        <f t="shared" si="486"/>
        <v>88730.28</v>
      </c>
      <c r="FR187" s="341">
        <f t="shared" si="487"/>
        <v>104780.67</v>
      </c>
      <c r="FS187" s="341">
        <f t="shared" si="488"/>
        <v>107123.6</v>
      </c>
      <c r="FT187" s="341">
        <f t="shared" si="489"/>
        <v>83649.03</v>
      </c>
      <c r="FU187" s="341">
        <f t="shared" si="490"/>
        <v>97390.05</v>
      </c>
      <c r="FV187" s="341">
        <f t="shared" si="491"/>
        <v>92980.159999999974</v>
      </c>
      <c r="FW187" s="341">
        <f t="shared" si="492"/>
        <v>108454.52999999998</v>
      </c>
      <c r="FX187" s="341">
        <f t="shared" si="493"/>
        <v>100471.78000000003</v>
      </c>
      <c r="FY187" s="341">
        <f t="shared" si="494"/>
        <v>96126.280000000013</v>
      </c>
      <c r="FZ187" s="341">
        <f t="shared" si="495"/>
        <v>86889.040000000008</v>
      </c>
      <c r="GA187" s="341">
        <f t="shared" si="496"/>
        <v>88807.390000000014</v>
      </c>
      <c r="GB187" s="341">
        <f t="shared" si="497"/>
        <v>78383.700000000012</v>
      </c>
      <c r="GC187" s="341">
        <f t="shared" si="498"/>
        <v>87525.51</v>
      </c>
      <c r="GD187" s="341">
        <f t="shared" si="499"/>
        <v>84396.809999999983</v>
      </c>
      <c r="GE187" s="341">
        <f t="shared" si="500"/>
        <v>100736.13999999998</v>
      </c>
      <c r="GF187" s="341">
        <f t="shared" si="501"/>
        <v>100599.40000000001</v>
      </c>
      <c r="GG187" s="341">
        <f t="shared" si="502"/>
        <v>103026.07999999999</v>
      </c>
      <c r="GH187" s="341">
        <f t="shared" si="503"/>
        <v>129202.80000000002</v>
      </c>
      <c r="GI187" s="341">
        <f t="shared" si="504"/>
        <v>148123</v>
      </c>
      <c r="GJ187" s="122"/>
      <c r="GK187" s="341" t="s">
        <v>300</v>
      </c>
      <c r="GL187" s="341">
        <f t="shared" si="505"/>
        <v>13705.62</v>
      </c>
      <c r="GM187" s="341">
        <f t="shared" si="506"/>
        <v>14450.16</v>
      </c>
      <c r="GN187" s="341">
        <f t="shared" si="507"/>
        <v>17475.990000000002</v>
      </c>
      <c r="GO187" s="341">
        <f t="shared" si="508"/>
        <v>29576.76</v>
      </c>
      <c r="GP187" s="341">
        <f t="shared" si="509"/>
        <v>34926.89</v>
      </c>
      <c r="GQ187" s="341">
        <f t="shared" si="510"/>
        <v>26780.9</v>
      </c>
      <c r="GR187" s="341">
        <f t="shared" si="511"/>
        <v>27883.01</v>
      </c>
      <c r="GS187" s="341">
        <f t="shared" si="512"/>
        <v>32463.35</v>
      </c>
      <c r="GT187" s="341">
        <f t="shared" si="513"/>
        <v>17312.8</v>
      </c>
      <c r="GU187" s="341">
        <f t="shared" si="514"/>
        <v>6022.4</v>
      </c>
      <c r="GV187" s="341">
        <f t="shared" si="515"/>
        <v>16337.08</v>
      </c>
      <c r="GW187" s="341">
        <f t="shared" si="516"/>
        <v>54674.369999999995</v>
      </c>
      <c r="GX187" s="341">
        <f t="shared" si="517"/>
        <v>52009.2</v>
      </c>
      <c r="GY187" s="341">
        <f t="shared" si="518"/>
        <v>115772.9</v>
      </c>
      <c r="GZ187" s="341">
        <f t="shared" si="519"/>
        <v>138473.95000000001</v>
      </c>
      <c r="HA187" s="341">
        <f t="shared" si="520"/>
        <v>1818.21</v>
      </c>
      <c r="HB187" s="341">
        <f t="shared" si="521"/>
        <v>4428.0600000000004</v>
      </c>
      <c r="HC187" s="341">
        <f t="shared" si="522"/>
        <v>1109.8599999999999</v>
      </c>
      <c r="HD187" s="341">
        <f t="shared" si="523"/>
        <v>1126.1400000000001</v>
      </c>
      <c r="HE187" s="341">
        <f t="shared" si="524"/>
        <v>1139.76</v>
      </c>
      <c r="HF187" s="341">
        <f t="shared" si="525"/>
        <v>3168</v>
      </c>
      <c r="HG187" s="341">
        <f t="shared" si="526"/>
        <v>0</v>
      </c>
      <c r="HH187" s="122"/>
      <c r="IF187" s="122"/>
      <c r="IG187" s="122"/>
      <c r="IH187" s="122"/>
      <c r="II187" s="122"/>
      <c r="IJ187" s="122"/>
      <c r="IK187" s="122"/>
      <c r="IL187" s="122"/>
      <c r="IN187" s="118"/>
      <c r="IP187" s="122"/>
      <c r="IQ187" s="122"/>
      <c r="IR187" s="122"/>
      <c r="IS187" s="122"/>
      <c r="IT187" s="122"/>
      <c r="IU187" s="122"/>
      <c r="IV187" s="122"/>
      <c r="IW187" s="122"/>
      <c r="IX187" s="122"/>
      <c r="IY187" s="122"/>
      <c r="IZ187" s="122"/>
      <c r="JA187" s="122"/>
      <c r="JB187" s="122"/>
      <c r="JC187" s="122"/>
      <c r="JD187" s="122"/>
      <c r="JE187" s="122"/>
      <c r="JF187" s="122"/>
      <c r="JG187" s="122"/>
      <c r="JH187" s="122"/>
      <c r="JI187" s="122"/>
      <c r="JK187" s="118"/>
      <c r="JL187" s="118"/>
      <c r="JY187" s="122"/>
      <c r="JZ187" s="122"/>
      <c r="KA187" s="122"/>
      <c r="KB187" s="122"/>
      <c r="LX187" s="122"/>
      <c r="LY187" s="122"/>
      <c r="LZ187" s="122"/>
      <c r="MB187" s="118"/>
      <c r="MC187" s="118"/>
      <c r="MP187" s="122"/>
      <c r="MQ187" s="122"/>
      <c r="MR187" s="122"/>
      <c r="MS187" s="122"/>
      <c r="MT187" s="122"/>
      <c r="MU187" s="122"/>
      <c r="MV187" s="122"/>
      <c r="OS187" s="118"/>
      <c r="OT187" s="118"/>
      <c r="PC187" s="122"/>
      <c r="PD187" s="122"/>
      <c r="PE187" s="122"/>
      <c r="PF187" s="122"/>
      <c r="PG187" s="122"/>
      <c r="PH187" s="122"/>
      <c r="PI187" s="122"/>
      <c r="PJ187" s="122"/>
      <c r="PP187" s="118"/>
      <c r="PQ187" s="118"/>
      <c r="PZ187" s="122"/>
      <c r="QA187" s="122"/>
      <c r="QB187" s="122"/>
      <c r="QC187" s="122"/>
      <c r="QD187" s="122"/>
      <c r="QE187" s="122"/>
      <c r="QF187" s="122"/>
      <c r="QG187" s="122"/>
      <c r="QM187" s="118"/>
      <c r="QN187" s="118"/>
      <c r="RE187" s="118"/>
      <c r="RF187" s="118"/>
      <c r="RG187" s="118"/>
      <c r="RH187" s="118"/>
      <c r="RI187" s="118"/>
      <c r="RJ187" s="118"/>
      <c r="RK187" s="118"/>
    </row>
    <row r="188" spans="25:479">
      <c r="Y188" s="314" t="s">
        <v>301</v>
      </c>
      <c r="Z188" s="320">
        <f t="shared" si="534"/>
        <v>453614.55999999994</v>
      </c>
      <c r="AA188" s="320">
        <f t="shared" si="373"/>
        <v>436382.87999999995</v>
      </c>
      <c r="AB188" s="320">
        <f t="shared" si="374"/>
        <v>489082.55999999994</v>
      </c>
      <c r="AC188" s="320">
        <f t="shared" si="375"/>
        <v>495270.87999999995</v>
      </c>
      <c r="AD188" s="320">
        <f t="shared" si="376"/>
        <v>549534.55999999994</v>
      </c>
      <c r="AE188" s="320">
        <f t="shared" si="377"/>
        <v>558086.25</v>
      </c>
      <c r="AF188" s="320">
        <f t="shared" si="378"/>
        <v>616590.80999999994</v>
      </c>
      <c r="AG188" s="320">
        <f t="shared" si="379"/>
        <v>614809.76</v>
      </c>
      <c r="AH188" s="320">
        <f t="shared" si="380"/>
        <v>658184.52</v>
      </c>
      <c r="AI188" s="320">
        <f t="shared" si="381"/>
        <v>690986.20600000001</v>
      </c>
      <c r="AJ188" s="320">
        <f t="shared" si="382"/>
        <v>753452.79</v>
      </c>
      <c r="AK188" s="320">
        <f t="shared" si="383"/>
        <v>699585.2</v>
      </c>
      <c r="AL188" s="320">
        <f t="shared" si="384"/>
        <v>767897.02999999991</v>
      </c>
      <c r="AM188" s="320">
        <f t="shared" si="385"/>
        <v>719369.85999999987</v>
      </c>
      <c r="AN188" s="320">
        <f t="shared" si="386"/>
        <v>803150.03</v>
      </c>
      <c r="AO188" s="320">
        <f t="shared" si="387"/>
        <v>803278.17999999993</v>
      </c>
      <c r="AP188" s="320">
        <f t="shared" si="537"/>
        <v>985868.46</v>
      </c>
      <c r="AQ188" s="320">
        <f t="shared" si="535"/>
        <v>0</v>
      </c>
      <c r="AR188" s="320">
        <f t="shared" si="390"/>
        <v>0</v>
      </c>
      <c r="AS188" s="320">
        <f t="shared" si="391"/>
        <v>0</v>
      </c>
      <c r="AT188" s="320">
        <f t="shared" si="392"/>
        <v>0</v>
      </c>
      <c r="AU188" s="320">
        <f t="shared" si="393"/>
        <v>0</v>
      </c>
      <c r="AW188" s="322" t="s">
        <v>301</v>
      </c>
      <c r="AX188" s="322">
        <f t="shared" si="527"/>
        <v>85052.73</v>
      </c>
      <c r="AY188" s="322">
        <f t="shared" si="395"/>
        <v>81821.789999999994</v>
      </c>
      <c r="AZ188" s="322">
        <f t="shared" si="396"/>
        <v>91702.98</v>
      </c>
      <c r="BA188" s="322">
        <f t="shared" si="397"/>
        <v>123817.72</v>
      </c>
      <c r="BB188" s="322">
        <f t="shared" si="398"/>
        <v>68691.820000000007</v>
      </c>
      <c r="BC188" s="322">
        <f t="shared" si="399"/>
        <v>0</v>
      </c>
      <c r="BD188" s="322">
        <f t="shared" si="400"/>
        <v>116532.36</v>
      </c>
      <c r="BE188" s="322">
        <f t="shared" si="401"/>
        <v>76851.22</v>
      </c>
      <c r="BF188" s="322">
        <f t="shared" si="402"/>
        <v>92543.89</v>
      </c>
      <c r="BG188" s="322">
        <f t="shared" si="403"/>
        <v>86780.52</v>
      </c>
      <c r="BH188" s="322">
        <f t="shared" si="404"/>
        <v>88118.260000000009</v>
      </c>
      <c r="BI188" s="322">
        <f t="shared" si="405"/>
        <v>92532.14</v>
      </c>
      <c r="BJ188" s="322">
        <f t="shared" si="406"/>
        <v>95602.64</v>
      </c>
      <c r="BK188" s="322">
        <f t="shared" si="407"/>
        <v>95736.99</v>
      </c>
      <c r="BL188" s="322">
        <f t="shared" si="530"/>
        <v>96305.390000000014</v>
      </c>
      <c r="BM188" s="322">
        <f t="shared" si="531"/>
        <v>105452.5</v>
      </c>
      <c r="BN188" s="322">
        <f t="shared" si="532"/>
        <v>114550.79000000001</v>
      </c>
      <c r="BO188" s="340">
        <f t="shared" si="528"/>
        <v>0</v>
      </c>
      <c r="BP188" s="340">
        <f t="shared" si="412"/>
        <v>0</v>
      </c>
      <c r="BQ188" s="340">
        <f t="shared" si="413"/>
        <v>0</v>
      </c>
      <c r="BR188" s="340">
        <f t="shared" si="414"/>
        <v>0</v>
      </c>
      <c r="BS188" s="340">
        <f t="shared" si="415"/>
        <v>0</v>
      </c>
      <c r="BU188" s="340" t="s">
        <v>301</v>
      </c>
      <c r="BV188" s="340">
        <f t="shared" si="416"/>
        <v>28350.91</v>
      </c>
      <c r="BW188" s="340">
        <f t="shared" si="417"/>
        <v>27273.93</v>
      </c>
      <c r="BX188" s="340">
        <f t="shared" si="418"/>
        <v>61135.32</v>
      </c>
      <c r="BY188" s="340">
        <f t="shared" si="419"/>
        <v>61908.86</v>
      </c>
      <c r="BZ188" s="340">
        <f t="shared" si="420"/>
        <v>68691.820000000007</v>
      </c>
      <c r="CA188" s="340">
        <f t="shared" si="421"/>
        <v>74411.5</v>
      </c>
      <c r="CB188" s="340">
        <f t="shared" si="422"/>
        <v>77688.240000000005</v>
      </c>
      <c r="CC188" s="340">
        <f t="shared" si="423"/>
        <v>76851.22</v>
      </c>
      <c r="CD188" s="340">
        <f t="shared" si="424"/>
        <v>50436.700000000012</v>
      </c>
      <c r="CE188" s="340">
        <f t="shared" si="425"/>
        <v>56644.45</v>
      </c>
      <c r="CF188" s="340">
        <f t="shared" si="426"/>
        <v>62159.749999999993</v>
      </c>
      <c r="CG188" s="340">
        <f t="shared" si="427"/>
        <v>52790.350000000006</v>
      </c>
      <c r="CH188" s="340">
        <f t="shared" si="428"/>
        <v>58073.549999999988</v>
      </c>
      <c r="CI188" s="340">
        <f t="shared" si="429"/>
        <v>74318.929999999993</v>
      </c>
      <c r="CJ188" s="340">
        <f t="shared" si="430"/>
        <v>64601.239999999991</v>
      </c>
      <c r="CK188" s="340">
        <f t="shared" si="431"/>
        <v>93410.5</v>
      </c>
      <c r="CL188" s="340">
        <f t="shared" si="432"/>
        <v>98567.700000000012</v>
      </c>
      <c r="CM188" s="340">
        <f t="shared" si="433"/>
        <v>0</v>
      </c>
      <c r="CN188" s="340">
        <f t="shared" si="434"/>
        <v>0</v>
      </c>
      <c r="CO188" s="340">
        <f t="shared" si="435"/>
        <v>0</v>
      </c>
      <c r="CP188" s="340">
        <f t="shared" si="436"/>
        <v>0</v>
      </c>
      <c r="CQ188" s="340">
        <f t="shared" si="437"/>
        <v>0</v>
      </c>
      <c r="CR188" s="122"/>
      <c r="CS188" s="340" t="s">
        <v>301</v>
      </c>
      <c r="CT188" s="340">
        <f t="shared" si="438"/>
        <v>255158.19</v>
      </c>
      <c r="CU188" s="340">
        <f t="shared" si="439"/>
        <v>327287.15999999997</v>
      </c>
      <c r="CV188" s="340">
        <f t="shared" si="440"/>
        <v>427947.24</v>
      </c>
      <c r="CW188" s="340">
        <f t="shared" si="441"/>
        <v>371453.16</v>
      </c>
      <c r="CX188" s="340">
        <f t="shared" si="442"/>
        <v>480842.74</v>
      </c>
      <c r="CY188" s="340">
        <f t="shared" si="443"/>
        <v>595292</v>
      </c>
      <c r="CZ188" s="340">
        <f t="shared" si="444"/>
        <v>427285.32</v>
      </c>
      <c r="DA188" s="340">
        <f t="shared" si="445"/>
        <v>576384.15</v>
      </c>
      <c r="DB188" s="340">
        <f t="shared" si="446"/>
        <v>578443.01</v>
      </c>
      <c r="DC188" s="340">
        <f t="shared" si="447"/>
        <v>565858.10000000009</v>
      </c>
      <c r="DD188" s="340">
        <f t="shared" si="448"/>
        <v>585879.1399999999</v>
      </c>
      <c r="DE188" s="340">
        <f t="shared" si="449"/>
        <v>643528.59</v>
      </c>
      <c r="DF188" s="340">
        <f t="shared" si="450"/>
        <v>734949.69</v>
      </c>
      <c r="DG188" s="340">
        <f t="shared" si="451"/>
        <v>577984.54999999993</v>
      </c>
      <c r="DH188" s="340">
        <f t="shared" si="452"/>
        <v>747563.01</v>
      </c>
      <c r="DI188" s="340">
        <f t="shared" si="453"/>
        <v>776135.98</v>
      </c>
      <c r="DJ188" s="340">
        <f t="shared" si="454"/>
        <v>784304.02</v>
      </c>
      <c r="DK188" s="340">
        <f t="shared" si="455"/>
        <v>0</v>
      </c>
      <c r="DL188" s="340">
        <f t="shared" si="456"/>
        <v>0</v>
      </c>
      <c r="DM188" s="340">
        <f t="shared" si="457"/>
        <v>0</v>
      </c>
      <c r="DN188" s="340">
        <f t="shared" si="458"/>
        <v>0</v>
      </c>
      <c r="DO188" s="340">
        <f t="shared" si="459"/>
        <v>0</v>
      </c>
      <c r="DP188" s="330"/>
      <c r="DQ188" s="340" t="s">
        <v>301</v>
      </c>
      <c r="DR188" s="340">
        <f t="shared" ref="DR188:EM188" si="542">DR90</f>
        <v>0</v>
      </c>
      <c r="DS188" s="340">
        <f t="shared" si="542"/>
        <v>0</v>
      </c>
      <c r="DT188" s="340">
        <f t="shared" si="542"/>
        <v>0</v>
      </c>
      <c r="DU188" s="340">
        <f t="shared" si="542"/>
        <v>0</v>
      </c>
      <c r="DV188" s="340">
        <f t="shared" si="542"/>
        <v>0</v>
      </c>
      <c r="DW188" s="340">
        <f t="shared" si="542"/>
        <v>0</v>
      </c>
      <c r="DX188" s="340">
        <f t="shared" si="542"/>
        <v>0</v>
      </c>
      <c r="DY188" s="340">
        <f t="shared" si="542"/>
        <v>0</v>
      </c>
      <c r="DZ188" s="340">
        <f t="shared" si="542"/>
        <v>0</v>
      </c>
      <c r="EA188" s="340">
        <f t="shared" si="542"/>
        <v>0</v>
      </c>
      <c r="EB188" s="340">
        <f t="shared" si="542"/>
        <v>0</v>
      </c>
      <c r="EC188" s="340">
        <f t="shared" si="542"/>
        <v>0</v>
      </c>
      <c r="ED188" s="340">
        <f t="shared" si="542"/>
        <v>0</v>
      </c>
      <c r="EE188" s="340">
        <f t="shared" si="542"/>
        <v>0</v>
      </c>
      <c r="EF188" s="340">
        <f t="shared" si="542"/>
        <v>0</v>
      </c>
      <c r="EG188" s="340">
        <f t="shared" si="542"/>
        <v>0</v>
      </c>
      <c r="EH188" s="340">
        <f t="shared" si="542"/>
        <v>0</v>
      </c>
      <c r="EI188" s="340">
        <f t="shared" si="542"/>
        <v>0</v>
      </c>
      <c r="EJ188" s="340">
        <f t="shared" si="542"/>
        <v>0</v>
      </c>
      <c r="EK188" s="340">
        <f t="shared" si="542"/>
        <v>0</v>
      </c>
      <c r="EL188" s="340">
        <f t="shared" si="542"/>
        <v>0</v>
      </c>
      <c r="EM188" s="340">
        <f t="shared" si="542"/>
        <v>0</v>
      </c>
      <c r="EO188" s="319" t="s">
        <v>301</v>
      </c>
      <c r="EP188" s="319">
        <f t="shared" si="461"/>
        <v>1701054.6</v>
      </c>
      <c r="EQ188" s="319">
        <f t="shared" si="462"/>
        <v>1745531.52</v>
      </c>
      <c r="ER188" s="319">
        <f t="shared" si="463"/>
        <v>1895194.92</v>
      </c>
      <c r="ES188" s="319">
        <f t="shared" si="464"/>
        <v>1919174.6600000001</v>
      </c>
      <c r="ET188" s="319">
        <f t="shared" si="465"/>
        <v>2129446.42</v>
      </c>
      <c r="EU188" s="319">
        <f t="shared" si="466"/>
        <v>2381168</v>
      </c>
      <c r="EV188" s="319">
        <f t="shared" si="467"/>
        <v>2524867.7999999998</v>
      </c>
      <c r="EW188" s="319">
        <f t="shared" si="468"/>
        <v>2382387.8199999998</v>
      </c>
      <c r="EX188" s="319">
        <f t="shared" si="469"/>
        <v>2452443.5600000005</v>
      </c>
      <c r="EY188" s="319">
        <f t="shared" si="470"/>
        <v>2606595.38</v>
      </c>
      <c r="EZ188" s="319">
        <f t="shared" si="471"/>
        <v>2558768.0500000003</v>
      </c>
      <c r="FA188" s="319">
        <f t="shared" si="472"/>
        <v>1800067.28</v>
      </c>
      <c r="FB188" s="319">
        <f t="shared" si="473"/>
        <v>2035090.1099999999</v>
      </c>
      <c r="FC188" s="319">
        <f t="shared" si="474"/>
        <v>2077198.8199999998</v>
      </c>
      <c r="FD188" s="319">
        <f t="shared" si="475"/>
        <v>2288059.3300000005</v>
      </c>
      <c r="FE188" s="319">
        <f t="shared" si="476"/>
        <v>2573692.1500000004</v>
      </c>
      <c r="FF188" s="322">
        <f t="shared" si="477"/>
        <v>2916379.3700000006</v>
      </c>
      <c r="FG188" s="336">
        <f t="shared" si="478"/>
        <v>0</v>
      </c>
      <c r="FH188" s="336">
        <f t="shared" si="479"/>
        <v>0</v>
      </c>
      <c r="FI188" s="336">
        <f t="shared" si="480"/>
        <v>0</v>
      </c>
      <c r="FJ188" s="336">
        <f t="shared" si="481"/>
        <v>0</v>
      </c>
      <c r="FK188" s="336">
        <f t="shared" si="482"/>
        <v>0</v>
      </c>
      <c r="FL188" s="122"/>
      <c r="FM188" s="340" t="s">
        <v>301</v>
      </c>
      <c r="FN188" s="340">
        <f t="shared" si="483"/>
        <v>85052.73</v>
      </c>
      <c r="FO188" s="340">
        <f t="shared" si="484"/>
        <v>81821.789999999994</v>
      </c>
      <c r="FP188" s="340">
        <f t="shared" si="485"/>
        <v>91702.98</v>
      </c>
      <c r="FQ188" s="340">
        <f t="shared" si="486"/>
        <v>92863.29</v>
      </c>
      <c r="FR188" s="340">
        <f t="shared" si="487"/>
        <v>103037.73</v>
      </c>
      <c r="FS188" s="340">
        <f t="shared" si="488"/>
        <v>111617.25</v>
      </c>
      <c r="FT188" s="340">
        <f t="shared" si="489"/>
        <v>116532.36</v>
      </c>
      <c r="FU188" s="340">
        <f t="shared" si="490"/>
        <v>115276.83</v>
      </c>
      <c r="FV188" s="340">
        <f t="shared" si="491"/>
        <v>142423.94</v>
      </c>
      <c r="FW188" s="340">
        <f t="shared" si="492"/>
        <v>147008.07999999999</v>
      </c>
      <c r="FX188" s="340">
        <f t="shared" si="493"/>
        <v>148090.66999999998</v>
      </c>
      <c r="FY188" s="340">
        <f t="shared" si="494"/>
        <v>169912.32000000007</v>
      </c>
      <c r="FZ188" s="340">
        <f t="shared" si="495"/>
        <v>199322.36000000002</v>
      </c>
      <c r="GA188" s="340">
        <f t="shared" si="496"/>
        <v>203742.34</v>
      </c>
      <c r="GB188" s="340">
        <f t="shared" si="497"/>
        <v>235216.52000000002</v>
      </c>
      <c r="GC188" s="340">
        <f t="shared" si="498"/>
        <v>312175</v>
      </c>
      <c r="GD188" s="340">
        <f t="shared" si="499"/>
        <v>330086.87999999989</v>
      </c>
      <c r="GE188" s="340">
        <f t="shared" si="500"/>
        <v>0</v>
      </c>
      <c r="GF188" s="340">
        <f t="shared" si="501"/>
        <v>0</v>
      </c>
      <c r="GG188" s="340">
        <f t="shared" si="502"/>
        <v>0</v>
      </c>
      <c r="GH188" s="340">
        <f t="shared" si="503"/>
        <v>0</v>
      </c>
      <c r="GI188" s="340">
        <f t="shared" si="504"/>
        <v>0</v>
      </c>
      <c r="GJ188" s="122"/>
      <c r="GK188" s="340" t="s">
        <v>301</v>
      </c>
      <c r="GL188" s="340">
        <f t="shared" si="505"/>
        <v>226807.28</v>
      </c>
      <c r="GM188" s="340">
        <f t="shared" si="506"/>
        <v>27273.93</v>
      </c>
      <c r="GN188" s="340">
        <f t="shared" si="507"/>
        <v>0</v>
      </c>
      <c r="GO188" s="340">
        <f t="shared" si="508"/>
        <v>30954.43</v>
      </c>
      <c r="GP188" s="340">
        <f t="shared" si="509"/>
        <v>34345.910000000003</v>
      </c>
      <c r="GQ188" s="340">
        <f t="shared" si="510"/>
        <v>0</v>
      </c>
      <c r="GR188" s="340">
        <f t="shared" si="511"/>
        <v>0</v>
      </c>
      <c r="GS188" s="340">
        <f t="shared" si="512"/>
        <v>0</v>
      </c>
      <c r="GT188" s="340">
        <f t="shared" si="513"/>
        <v>19686.89</v>
      </c>
      <c r="GU188" s="340">
        <f t="shared" si="514"/>
        <v>21629.24</v>
      </c>
      <c r="GV188" s="340">
        <f t="shared" si="515"/>
        <v>69887.09</v>
      </c>
      <c r="GW188" s="340">
        <f t="shared" si="516"/>
        <v>709528.89</v>
      </c>
      <c r="GX188" s="340">
        <f t="shared" si="517"/>
        <v>554980.30999999994</v>
      </c>
      <c r="GY188" s="340">
        <f t="shared" si="518"/>
        <v>420090.35000000003</v>
      </c>
      <c r="GZ188" s="340">
        <f t="shared" si="519"/>
        <v>611690.62</v>
      </c>
      <c r="HA188" s="340">
        <f t="shared" si="520"/>
        <v>530993.39</v>
      </c>
      <c r="HB188" s="340">
        <f t="shared" si="521"/>
        <v>2482403.44</v>
      </c>
      <c r="HC188" s="340">
        <f t="shared" si="522"/>
        <v>0</v>
      </c>
      <c r="HD188" s="340">
        <f t="shared" si="523"/>
        <v>0</v>
      </c>
      <c r="HE188" s="340">
        <f t="shared" si="524"/>
        <v>0</v>
      </c>
      <c r="HF188" s="340">
        <f t="shared" si="525"/>
        <v>0</v>
      </c>
      <c r="HG188" s="340">
        <f t="shared" si="526"/>
        <v>0</v>
      </c>
      <c r="HH188" s="122"/>
      <c r="IF188" s="122"/>
      <c r="IG188" s="122"/>
      <c r="IH188" s="122"/>
      <c r="II188" s="122"/>
      <c r="IJ188" s="122"/>
      <c r="IK188" s="122"/>
      <c r="IL188" s="122"/>
      <c r="IN188" s="118"/>
      <c r="IP188" s="122"/>
      <c r="IQ188" s="122"/>
      <c r="IR188" s="122"/>
      <c r="IS188" s="122"/>
      <c r="IT188" s="122"/>
      <c r="IU188" s="122"/>
      <c r="IV188" s="122"/>
      <c r="IW188" s="122"/>
      <c r="IX188" s="122"/>
      <c r="IY188" s="122"/>
      <c r="IZ188" s="122"/>
      <c r="JA188" s="122"/>
      <c r="JB188" s="122"/>
      <c r="JC188" s="122"/>
      <c r="JD188" s="122"/>
      <c r="JE188" s="122"/>
      <c r="JF188" s="122"/>
      <c r="JG188" s="122"/>
      <c r="JH188" s="122"/>
      <c r="JI188" s="122"/>
      <c r="JK188" s="118"/>
      <c r="JL188" s="118"/>
      <c r="JY188" s="122"/>
      <c r="JZ188" s="122"/>
      <c r="KA188" s="122"/>
      <c r="KB188" s="122"/>
      <c r="LX188" s="122"/>
      <c r="LY188" s="122"/>
      <c r="LZ188" s="122"/>
      <c r="MB188" s="118"/>
      <c r="MC188" s="118"/>
      <c r="MP188" s="122"/>
      <c r="MQ188" s="122"/>
      <c r="MR188" s="122"/>
      <c r="MS188" s="122"/>
      <c r="MT188" s="122"/>
      <c r="MU188" s="122"/>
      <c r="MV188" s="122"/>
      <c r="OS188" s="118"/>
      <c r="OT188" s="118"/>
      <c r="PC188" s="122"/>
      <c r="PD188" s="122"/>
      <c r="PE188" s="122"/>
      <c r="PF188" s="122"/>
      <c r="PG188" s="122"/>
      <c r="PH188" s="122"/>
      <c r="PI188" s="122"/>
      <c r="PJ188" s="122"/>
      <c r="PP188" s="118"/>
      <c r="PQ188" s="118"/>
      <c r="PZ188" s="122"/>
      <c r="QA188" s="122"/>
      <c r="QB188" s="122"/>
      <c r="QC188" s="122"/>
      <c r="QD188" s="122"/>
      <c r="QE188" s="122"/>
      <c r="QF188" s="122"/>
      <c r="QG188" s="122"/>
      <c r="QM188" s="118"/>
      <c r="QN188" s="118"/>
      <c r="RE188" s="118"/>
      <c r="RF188" s="118"/>
      <c r="RG188" s="118"/>
      <c r="RH188" s="118"/>
      <c r="RI188" s="118"/>
      <c r="RJ188" s="118"/>
      <c r="RK188" s="118"/>
    </row>
    <row r="189" spans="25:479">
      <c r="Y189" s="277" t="s">
        <v>73</v>
      </c>
      <c r="Z189" s="319">
        <f t="shared" si="534"/>
        <v>160719.32</v>
      </c>
      <c r="AA189" s="319">
        <f t="shared" si="373"/>
        <v>164435.44</v>
      </c>
      <c r="AB189" s="319">
        <f t="shared" si="374"/>
        <v>162641.25</v>
      </c>
      <c r="AC189" s="319">
        <f t="shared" si="375"/>
        <v>328815.33</v>
      </c>
      <c r="AD189" s="319">
        <f t="shared" si="376"/>
        <v>214650.46</v>
      </c>
      <c r="AE189" s="319">
        <f t="shared" si="377"/>
        <v>198939.78000000003</v>
      </c>
      <c r="AF189" s="319">
        <f t="shared" si="378"/>
        <v>187295.68000000002</v>
      </c>
      <c r="AG189" s="319">
        <f t="shared" si="379"/>
        <v>178724.4</v>
      </c>
      <c r="AH189" s="319">
        <f t="shared" si="380"/>
        <v>198170.52</v>
      </c>
      <c r="AI189" s="319">
        <f t="shared" si="381"/>
        <v>186179.5</v>
      </c>
      <c r="AJ189" s="319">
        <f t="shared" si="382"/>
        <v>195174.94</v>
      </c>
      <c r="AK189" s="319">
        <f t="shared" si="383"/>
        <v>183141.31</v>
      </c>
      <c r="AL189" s="319">
        <f t="shared" si="384"/>
        <v>203710.78000000003</v>
      </c>
      <c r="AM189" s="319">
        <f t="shared" si="385"/>
        <v>191611.27000000002</v>
      </c>
      <c r="AN189" s="319">
        <f t="shared" si="386"/>
        <v>219429.16999999998</v>
      </c>
      <c r="AO189" s="319">
        <f t="shared" si="387"/>
        <v>285691.52000000002</v>
      </c>
      <c r="AP189" s="319">
        <f t="shared" si="537"/>
        <v>316291.52</v>
      </c>
      <c r="AQ189" s="319">
        <f t="shared" si="535"/>
        <v>283410</v>
      </c>
      <c r="AR189" s="319">
        <f t="shared" si="390"/>
        <v>301606.63</v>
      </c>
      <c r="AS189" s="319">
        <f t="shared" si="391"/>
        <v>297902.78999999998</v>
      </c>
      <c r="AT189" s="319">
        <f t="shared" si="392"/>
        <v>363403.26</v>
      </c>
      <c r="AU189" s="319">
        <f t="shared" si="393"/>
        <v>374217.74</v>
      </c>
      <c r="AW189" s="322" t="s">
        <v>73</v>
      </c>
      <c r="AX189" s="322">
        <f t="shared" si="527"/>
        <v>10258.68</v>
      </c>
      <c r="AY189" s="322">
        <f t="shared" si="395"/>
        <v>19120.400000000001</v>
      </c>
      <c r="AZ189" s="322">
        <f t="shared" si="396"/>
        <v>10842.75</v>
      </c>
      <c r="BA189" s="322">
        <f t="shared" si="397"/>
        <v>11537.38</v>
      </c>
      <c r="BB189" s="322">
        <f t="shared" si="398"/>
        <v>14075.44</v>
      </c>
      <c r="BC189" s="322">
        <f t="shared" si="399"/>
        <v>11052.210000000001</v>
      </c>
      <c r="BD189" s="322">
        <f t="shared" si="400"/>
        <v>10723.289999999999</v>
      </c>
      <c r="BE189" s="322">
        <f t="shared" si="401"/>
        <v>10513.2</v>
      </c>
      <c r="BF189" s="322">
        <f t="shared" si="402"/>
        <v>8115.93</v>
      </c>
      <c r="BG189" s="322">
        <f t="shared" si="403"/>
        <v>10213.474</v>
      </c>
      <c r="BH189" s="322">
        <f t="shared" si="404"/>
        <v>8489.5099999999984</v>
      </c>
      <c r="BI189" s="322">
        <f t="shared" si="405"/>
        <v>10421.18</v>
      </c>
      <c r="BJ189" s="322">
        <f t="shared" si="406"/>
        <v>11372.95</v>
      </c>
      <c r="BK189" s="322">
        <f t="shared" si="407"/>
        <v>10222.630000000001</v>
      </c>
      <c r="BL189" s="322">
        <f t="shared" si="530"/>
        <v>11716.18</v>
      </c>
      <c r="BM189" s="322">
        <f t="shared" si="531"/>
        <v>14209.189999999999</v>
      </c>
      <c r="BN189" s="322">
        <f t="shared" si="532"/>
        <v>12853.07</v>
      </c>
      <c r="BO189" s="340">
        <f t="shared" si="528"/>
        <v>13420.41</v>
      </c>
      <c r="BP189" s="340">
        <f t="shared" si="412"/>
        <v>27216.519999999997</v>
      </c>
      <c r="BQ189" s="340">
        <f t="shared" si="413"/>
        <v>21647.530000000002</v>
      </c>
      <c r="BR189" s="340">
        <f t="shared" si="414"/>
        <v>25063.5</v>
      </c>
      <c r="BS189" s="340">
        <f t="shared" si="415"/>
        <v>31090.92</v>
      </c>
      <c r="BU189" s="340" t="s">
        <v>73</v>
      </c>
      <c r="BV189" s="340">
        <f t="shared" si="416"/>
        <v>3419.56</v>
      </c>
      <c r="BW189" s="340">
        <f t="shared" si="417"/>
        <v>7648.16</v>
      </c>
      <c r="BX189" s="340">
        <f t="shared" si="418"/>
        <v>7228.5</v>
      </c>
      <c r="BY189" s="340">
        <f t="shared" si="419"/>
        <v>5768.69</v>
      </c>
      <c r="BZ189" s="340">
        <f t="shared" si="420"/>
        <v>7037.72</v>
      </c>
      <c r="CA189" s="340">
        <f t="shared" si="421"/>
        <v>11052.21</v>
      </c>
      <c r="CB189" s="340">
        <f t="shared" si="422"/>
        <v>14297.72</v>
      </c>
      <c r="CC189" s="340">
        <f t="shared" si="423"/>
        <v>14017.6</v>
      </c>
      <c r="CD189" s="340">
        <f t="shared" si="424"/>
        <v>12687.29</v>
      </c>
      <c r="CE189" s="340">
        <f t="shared" si="425"/>
        <v>14294</v>
      </c>
      <c r="CF189" s="340">
        <f t="shared" si="426"/>
        <v>13432.49</v>
      </c>
      <c r="CG189" s="340">
        <f t="shared" si="427"/>
        <v>13290.599999999999</v>
      </c>
      <c r="CH189" s="340">
        <f t="shared" si="428"/>
        <v>13349.69</v>
      </c>
      <c r="CI189" s="340">
        <f t="shared" si="429"/>
        <v>13867.44</v>
      </c>
      <c r="CJ189" s="340">
        <f t="shared" si="430"/>
        <v>12981.93</v>
      </c>
      <c r="CK189" s="340">
        <f t="shared" si="431"/>
        <v>16553.849999999999</v>
      </c>
      <c r="CL189" s="340">
        <f t="shared" si="432"/>
        <v>16495.11</v>
      </c>
      <c r="CM189" s="340">
        <f t="shared" si="433"/>
        <v>16949.689999999999</v>
      </c>
      <c r="CN189" s="340">
        <f t="shared" si="434"/>
        <v>17260.07</v>
      </c>
      <c r="CO189" s="340">
        <f t="shared" si="435"/>
        <v>17256.650000000001</v>
      </c>
      <c r="CP189" s="340">
        <f t="shared" si="436"/>
        <v>17827.07</v>
      </c>
      <c r="CQ189" s="340">
        <f t="shared" si="437"/>
        <v>19700</v>
      </c>
      <c r="CR189" s="122"/>
      <c r="CS189" s="340" t="s">
        <v>73</v>
      </c>
      <c r="CT189" s="340">
        <f t="shared" si="438"/>
        <v>41034.720000000001</v>
      </c>
      <c r="CU189" s="340">
        <f t="shared" si="439"/>
        <v>45888.959999999999</v>
      </c>
      <c r="CV189" s="340">
        <f t="shared" si="440"/>
        <v>46985.25</v>
      </c>
      <c r="CW189" s="340">
        <f t="shared" si="441"/>
        <v>109605.11</v>
      </c>
      <c r="CX189" s="340">
        <f t="shared" si="442"/>
        <v>105565.8</v>
      </c>
      <c r="CY189" s="340">
        <f t="shared" si="443"/>
        <v>44208.84</v>
      </c>
      <c r="CZ189" s="340">
        <f t="shared" si="444"/>
        <v>50042.020000000004</v>
      </c>
      <c r="DA189" s="340">
        <f t="shared" si="445"/>
        <v>49061.600000000006</v>
      </c>
      <c r="DB189" s="340">
        <f t="shared" si="446"/>
        <v>70573.22</v>
      </c>
      <c r="DC189" s="340">
        <f t="shared" si="447"/>
        <v>65250.060000000005</v>
      </c>
      <c r="DD189" s="340">
        <f t="shared" si="448"/>
        <v>61774.029999999992</v>
      </c>
      <c r="DE189" s="340">
        <f t="shared" si="449"/>
        <v>60929.619999999995</v>
      </c>
      <c r="DF189" s="340">
        <f t="shared" si="450"/>
        <v>59509.94</v>
      </c>
      <c r="DG189" s="340">
        <f t="shared" si="451"/>
        <v>61138.75</v>
      </c>
      <c r="DH189" s="340">
        <f t="shared" si="452"/>
        <v>66623</v>
      </c>
      <c r="DI189" s="340">
        <f t="shared" si="453"/>
        <v>54794.95</v>
      </c>
      <c r="DJ189" s="340">
        <f t="shared" si="454"/>
        <v>60413.21</v>
      </c>
      <c r="DK189" s="340">
        <f t="shared" si="455"/>
        <v>108541.81999999999</v>
      </c>
      <c r="DL189" s="340">
        <f t="shared" si="456"/>
        <v>152693.26</v>
      </c>
      <c r="DM189" s="340">
        <f t="shared" si="457"/>
        <v>125580.27</v>
      </c>
      <c r="DN189" s="340">
        <f t="shared" si="458"/>
        <v>88721.7</v>
      </c>
      <c r="DO189" s="340">
        <f t="shared" si="459"/>
        <v>101027.52</v>
      </c>
      <c r="DP189" s="330"/>
      <c r="DQ189" s="340" t="s">
        <v>73</v>
      </c>
      <c r="DR189" s="340">
        <f t="shared" ref="DR189:EM189" si="543">DR91</f>
        <v>27356.48</v>
      </c>
      <c r="DS189" s="340">
        <f t="shared" si="543"/>
        <v>26768.560000000001</v>
      </c>
      <c r="DT189" s="340">
        <f t="shared" si="543"/>
        <v>25299.75</v>
      </c>
      <c r="DU189" s="340">
        <f t="shared" si="543"/>
        <v>23074.76</v>
      </c>
      <c r="DV189" s="340">
        <f t="shared" si="543"/>
        <v>10556.58</v>
      </c>
      <c r="DW189" s="340">
        <f t="shared" si="543"/>
        <v>14736.28</v>
      </c>
      <c r="DX189" s="340">
        <f t="shared" si="543"/>
        <v>14297.72</v>
      </c>
      <c r="DY189" s="340">
        <f t="shared" si="543"/>
        <v>14017.6</v>
      </c>
      <c r="DZ189" s="340">
        <f t="shared" si="543"/>
        <v>13439.69</v>
      </c>
      <c r="EA189" s="340">
        <f t="shared" si="543"/>
        <v>12656.519999999999</v>
      </c>
      <c r="EB189" s="340">
        <f t="shared" si="543"/>
        <v>12458.49</v>
      </c>
      <c r="EC189" s="340">
        <f t="shared" si="543"/>
        <v>13196.76</v>
      </c>
      <c r="ED189" s="340">
        <f t="shared" si="543"/>
        <v>13507.64</v>
      </c>
      <c r="EE189" s="340">
        <f t="shared" si="543"/>
        <v>13536.27</v>
      </c>
      <c r="EF189" s="340">
        <f t="shared" si="543"/>
        <v>13375.95</v>
      </c>
      <c r="EG189" s="340">
        <f t="shared" si="543"/>
        <v>17942.96</v>
      </c>
      <c r="EH189" s="340">
        <f t="shared" si="543"/>
        <v>18641.350000000002</v>
      </c>
      <c r="EI189" s="340">
        <f t="shared" si="543"/>
        <v>19793.37</v>
      </c>
      <c r="EJ189" s="340">
        <f t="shared" si="543"/>
        <v>20210.350000000002</v>
      </c>
      <c r="EK189" s="340">
        <f t="shared" si="543"/>
        <v>19727.390000000003</v>
      </c>
      <c r="EL189" s="340">
        <f t="shared" si="543"/>
        <v>20263.5</v>
      </c>
      <c r="EM189" s="340">
        <f t="shared" si="543"/>
        <v>21700</v>
      </c>
      <c r="EO189" s="319" t="s">
        <v>73</v>
      </c>
      <c r="EP189" s="319">
        <f t="shared" si="461"/>
        <v>0</v>
      </c>
      <c r="EQ189" s="319">
        <f t="shared" si="462"/>
        <v>0</v>
      </c>
      <c r="ER189" s="319">
        <f t="shared" si="463"/>
        <v>0</v>
      </c>
      <c r="ES189" s="319">
        <f t="shared" si="464"/>
        <v>0</v>
      </c>
      <c r="ET189" s="319">
        <f t="shared" si="465"/>
        <v>0</v>
      </c>
      <c r="EU189" s="319">
        <f t="shared" si="466"/>
        <v>0</v>
      </c>
      <c r="EV189" s="319">
        <f t="shared" si="467"/>
        <v>0</v>
      </c>
      <c r="EW189" s="319">
        <f t="shared" si="468"/>
        <v>0</v>
      </c>
      <c r="EX189" s="319">
        <f t="shared" si="469"/>
        <v>0</v>
      </c>
      <c r="EY189" s="319">
        <f t="shared" si="470"/>
        <v>0</v>
      </c>
      <c r="EZ189" s="319">
        <f t="shared" si="471"/>
        <v>0</v>
      </c>
      <c r="FA189" s="319">
        <f t="shared" si="472"/>
        <v>0</v>
      </c>
      <c r="FB189" s="319">
        <f t="shared" si="473"/>
        <v>0</v>
      </c>
      <c r="FC189" s="319">
        <f t="shared" si="474"/>
        <v>0</v>
      </c>
      <c r="FD189" s="319">
        <f t="shared" si="475"/>
        <v>0</v>
      </c>
      <c r="FE189" s="319">
        <f t="shared" si="476"/>
        <v>0</v>
      </c>
      <c r="FF189" s="322">
        <f t="shared" si="477"/>
        <v>0</v>
      </c>
      <c r="FG189" s="336">
        <f t="shared" si="478"/>
        <v>0</v>
      </c>
      <c r="FH189" s="336">
        <f t="shared" si="479"/>
        <v>0</v>
      </c>
      <c r="FI189" s="336">
        <f t="shared" si="480"/>
        <v>0</v>
      </c>
      <c r="FJ189" s="336">
        <f t="shared" si="481"/>
        <v>0</v>
      </c>
      <c r="FK189" s="336">
        <f t="shared" si="482"/>
        <v>0</v>
      </c>
      <c r="FL189" s="122"/>
      <c r="FM189" s="340" t="s">
        <v>73</v>
      </c>
      <c r="FN189" s="340">
        <f t="shared" si="483"/>
        <v>0</v>
      </c>
      <c r="FO189" s="340">
        <f t="shared" si="484"/>
        <v>0</v>
      </c>
      <c r="FP189" s="340">
        <f t="shared" si="485"/>
        <v>0</v>
      </c>
      <c r="FQ189" s="340">
        <f t="shared" si="486"/>
        <v>0</v>
      </c>
      <c r="FR189" s="340">
        <f t="shared" si="487"/>
        <v>0</v>
      </c>
      <c r="FS189" s="340">
        <f t="shared" si="488"/>
        <v>0</v>
      </c>
      <c r="FT189" s="340">
        <f t="shared" si="489"/>
        <v>0</v>
      </c>
      <c r="FU189" s="340">
        <f t="shared" si="490"/>
        <v>0</v>
      </c>
      <c r="FV189" s="340">
        <f t="shared" si="491"/>
        <v>0</v>
      </c>
      <c r="FW189" s="340">
        <f t="shared" si="492"/>
        <v>0</v>
      </c>
      <c r="FX189" s="340">
        <f t="shared" si="493"/>
        <v>0</v>
      </c>
      <c r="FY189" s="340">
        <f t="shared" si="494"/>
        <v>0</v>
      </c>
      <c r="FZ189" s="340">
        <f t="shared" si="495"/>
        <v>0</v>
      </c>
      <c r="GA189" s="340">
        <f t="shared" si="496"/>
        <v>0</v>
      </c>
      <c r="GB189" s="340">
        <f t="shared" si="497"/>
        <v>0</v>
      </c>
      <c r="GC189" s="340">
        <f t="shared" si="498"/>
        <v>0</v>
      </c>
      <c r="GD189" s="340">
        <f t="shared" si="499"/>
        <v>0</v>
      </c>
      <c r="GE189" s="340">
        <f t="shared" si="500"/>
        <v>0</v>
      </c>
      <c r="GF189" s="340">
        <f t="shared" si="501"/>
        <v>0</v>
      </c>
      <c r="GG189" s="340">
        <f t="shared" si="502"/>
        <v>0</v>
      </c>
      <c r="GH189" s="340">
        <f t="shared" si="503"/>
        <v>0</v>
      </c>
      <c r="GI189" s="340">
        <f t="shared" si="504"/>
        <v>0</v>
      </c>
      <c r="GJ189" s="122"/>
      <c r="GK189" s="340" t="s">
        <v>73</v>
      </c>
      <c r="GL189" s="340">
        <f t="shared" si="505"/>
        <v>99167.24</v>
      </c>
      <c r="GM189" s="340">
        <f t="shared" si="506"/>
        <v>118546.48</v>
      </c>
      <c r="GN189" s="340">
        <f t="shared" si="507"/>
        <v>108427.5</v>
      </c>
      <c r="GO189" s="340">
        <f t="shared" si="508"/>
        <v>98067.73</v>
      </c>
      <c r="GP189" s="340">
        <f t="shared" si="509"/>
        <v>0</v>
      </c>
      <c r="GQ189" s="340">
        <f t="shared" si="510"/>
        <v>88417.68</v>
      </c>
      <c r="GR189" s="340">
        <f t="shared" si="511"/>
        <v>82211.89</v>
      </c>
      <c r="GS189" s="340">
        <f t="shared" si="512"/>
        <v>84105.600000000006</v>
      </c>
      <c r="GT189" s="340">
        <f t="shared" si="513"/>
        <v>98983.44</v>
      </c>
      <c r="GU189" s="340">
        <f t="shared" si="514"/>
        <v>108933.37</v>
      </c>
      <c r="GV189" s="340">
        <f t="shared" si="515"/>
        <v>102594.24000000001</v>
      </c>
      <c r="GW189" s="340">
        <f t="shared" si="516"/>
        <v>158187.16</v>
      </c>
      <c r="GX189" s="340">
        <f t="shared" si="517"/>
        <v>143192.43</v>
      </c>
      <c r="GY189" s="340">
        <f t="shared" si="518"/>
        <v>144650.9</v>
      </c>
      <c r="GZ189" s="340">
        <f t="shared" si="519"/>
        <v>118035.25</v>
      </c>
      <c r="HA189" s="340">
        <f t="shared" si="520"/>
        <v>136262.07</v>
      </c>
      <c r="HB189" s="340">
        <f t="shared" si="521"/>
        <v>155375.79999999999</v>
      </c>
      <c r="HC189" s="340">
        <f t="shared" si="522"/>
        <v>194604.31000000003</v>
      </c>
      <c r="HD189" s="340">
        <f t="shared" si="523"/>
        <v>223287.1</v>
      </c>
      <c r="HE189" s="340">
        <f t="shared" si="524"/>
        <v>167158.87</v>
      </c>
      <c r="HF189" s="340">
        <f t="shared" si="525"/>
        <v>147380.16999999998</v>
      </c>
      <c r="HG189" s="340">
        <f t="shared" si="526"/>
        <v>201077.25</v>
      </c>
      <c r="HH189" s="122"/>
      <c r="IF189" s="122"/>
      <c r="IG189" s="122"/>
      <c r="IH189" s="122"/>
      <c r="II189" s="122"/>
      <c r="IJ189" s="122"/>
      <c r="IK189" s="122"/>
      <c r="IL189" s="122"/>
      <c r="IN189" s="118"/>
      <c r="IP189" s="122"/>
      <c r="IQ189" s="122"/>
      <c r="IR189" s="122"/>
      <c r="IS189" s="122"/>
      <c r="IT189" s="122"/>
      <c r="IU189" s="122"/>
      <c r="IV189" s="122"/>
      <c r="IW189" s="122"/>
      <c r="IX189" s="122"/>
      <c r="IY189" s="122"/>
      <c r="IZ189" s="122"/>
      <c r="JA189" s="122"/>
      <c r="JB189" s="122"/>
      <c r="JC189" s="122"/>
      <c r="JD189" s="122"/>
      <c r="JE189" s="122"/>
      <c r="JF189" s="122"/>
      <c r="JG189" s="122"/>
      <c r="JH189" s="122"/>
      <c r="JI189" s="122"/>
      <c r="JK189" s="118"/>
      <c r="JL189" s="118"/>
      <c r="JY189" s="122"/>
      <c r="JZ189" s="122"/>
      <c r="KA189" s="122"/>
      <c r="KB189" s="122"/>
      <c r="LX189" s="122"/>
      <c r="LY189" s="122"/>
      <c r="LZ189" s="122"/>
      <c r="MB189" s="118"/>
      <c r="MC189" s="118"/>
      <c r="MP189" s="122"/>
      <c r="MQ189" s="122"/>
      <c r="MR189" s="122"/>
      <c r="MS189" s="122"/>
      <c r="MT189" s="122"/>
      <c r="MU189" s="122"/>
      <c r="MV189" s="122"/>
      <c r="OS189" s="118"/>
      <c r="OT189" s="118"/>
      <c r="PC189" s="122"/>
      <c r="PD189" s="122"/>
      <c r="PE189" s="122"/>
      <c r="PF189" s="122"/>
      <c r="PG189" s="122"/>
      <c r="PH189" s="122"/>
      <c r="PI189" s="122"/>
      <c r="PJ189" s="122"/>
      <c r="PP189" s="118"/>
      <c r="PQ189" s="118"/>
      <c r="PZ189" s="122"/>
      <c r="QA189" s="122"/>
      <c r="QB189" s="122"/>
      <c r="QC189" s="122"/>
      <c r="QD189" s="122"/>
      <c r="QE189" s="122"/>
      <c r="QF189" s="122"/>
      <c r="QG189" s="122"/>
      <c r="QM189" s="118"/>
      <c r="QN189" s="118"/>
      <c r="RE189" s="118"/>
      <c r="RF189" s="118"/>
      <c r="RG189" s="118"/>
      <c r="RH189" s="118"/>
      <c r="RI189" s="118"/>
      <c r="RJ189" s="118"/>
      <c r="RK189" s="118"/>
    </row>
    <row r="190" spans="25:479">
      <c r="Y190" s="277" t="s">
        <v>74</v>
      </c>
      <c r="Z190" s="319">
        <f t="shared" si="534"/>
        <v>439066.88000000006</v>
      </c>
      <c r="AA190" s="319">
        <f t="shared" si="373"/>
        <v>195855.80000000002</v>
      </c>
      <c r="AB190" s="319">
        <f t="shared" si="374"/>
        <v>219417.84000000003</v>
      </c>
      <c r="AC190" s="319">
        <f t="shared" si="375"/>
        <v>238174.87999999998</v>
      </c>
      <c r="AD190" s="319">
        <f t="shared" si="376"/>
        <v>268846.58</v>
      </c>
      <c r="AE190" s="319">
        <f t="shared" si="377"/>
        <v>235391.17999999996</v>
      </c>
      <c r="AF190" s="319">
        <f t="shared" si="378"/>
        <v>265983.42</v>
      </c>
      <c r="AG190" s="319">
        <f t="shared" si="379"/>
        <v>252327.6</v>
      </c>
      <c r="AH190" s="319">
        <f t="shared" si="380"/>
        <v>273698.24</v>
      </c>
      <c r="AI190" s="319">
        <f t="shared" si="381"/>
        <v>262111.20999999996</v>
      </c>
      <c r="AJ190" s="319">
        <f t="shared" si="382"/>
        <v>309903.07000000007</v>
      </c>
      <c r="AK190" s="319">
        <f t="shared" si="383"/>
        <v>345208.59</v>
      </c>
      <c r="AL190" s="319">
        <f t="shared" si="384"/>
        <v>335085.52999999997</v>
      </c>
      <c r="AM190" s="319">
        <f t="shared" si="385"/>
        <v>311481.67</v>
      </c>
      <c r="AN190" s="319">
        <f t="shared" si="386"/>
        <v>334190.83999999997</v>
      </c>
      <c r="AO190" s="319">
        <f t="shared" si="387"/>
        <v>317194.97000000003</v>
      </c>
      <c r="AP190" s="319">
        <f t="shared" si="537"/>
        <v>437665.19</v>
      </c>
      <c r="AQ190" s="319">
        <f t="shared" si="535"/>
        <v>401815.79</v>
      </c>
      <c r="AR190" s="319">
        <f t="shared" si="390"/>
        <v>592896.05000000005</v>
      </c>
      <c r="AS190" s="319">
        <f t="shared" si="391"/>
        <v>442235.99</v>
      </c>
      <c r="AT190" s="319">
        <f t="shared" si="392"/>
        <v>510308.37</v>
      </c>
      <c r="AU190" s="319">
        <f t="shared" si="393"/>
        <v>524705.61</v>
      </c>
      <c r="AW190" s="322" t="s">
        <v>74</v>
      </c>
      <c r="AX190" s="322">
        <f t="shared" si="527"/>
        <v>39202.399999999994</v>
      </c>
      <c r="AY190" s="322">
        <f t="shared" si="395"/>
        <v>50362.920000000006</v>
      </c>
      <c r="AZ190" s="322">
        <f t="shared" si="396"/>
        <v>60949.399999999994</v>
      </c>
      <c r="BA190" s="322">
        <f t="shared" si="397"/>
        <v>62677.599999999999</v>
      </c>
      <c r="BB190" s="322">
        <f t="shared" si="398"/>
        <v>42449.460000000006</v>
      </c>
      <c r="BC190" s="322">
        <f t="shared" si="399"/>
        <v>34616.350000000006</v>
      </c>
      <c r="BD190" s="322">
        <f t="shared" si="400"/>
        <v>54347.68</v>
      </c>
      <c r="BE190" s="322">
        <f t="shared" si="401"/>
        <v>43256.160000000003</v>
      </c>
      <c r="BF190" s="322">
        <f t="shared" si="402"/>
        <v>42950.229999999996</v>
      </c>
      <c r="BG190" s="322">
        <f t="shared" si="403"/>
        <v>59409.15</v>
      </c>
      <c r="BH190" s="322">
        <f t="shared" si="404"/>
        <v>35875.61</v>
      </c>
      <c r="BI190" s="322">
        <f t="shared" si="405"/>
        <v>25296.95</v>
      </c>
      <c r="BJ190" s="322">
        <f t="shared" si="406"/>
        <v>7608.42</v>
      </c>
      <c r="BK190" s="322">
        <f t="shared" si="407"/>
        <v>8024.82</v>
      </c>
      <c r="BL190" s="322">
        <f t="shared" si="530"/>
        <v>9345.74</v>
      </c>
      <c r="BM190" s="322">
        <f t="shared" si="531"/>
        <v>9731.64</v>
      </c>
      <c r="BN190" s="322">
        <f t="shared" si="532"/>
        <v>11758.779999999999</v>
      </c>
      <c r="BO190" s="340">
        <f t="shared" si="528"/>
        <v>10785</v>
      </c>
      <c r="BP190" s="340">
        <f t="shared" si="412"/>
        <v>20688.87</v>
      </c>
      <c r="BQ190" s="340">
        <f t="shared" si="413"/>
        <v>20966.71</v>
      </c>
      <c r="BR190" s="340">
        <f t="shared" si="414"/>
        <v>21684.35</v>
      </c>
      <c r="BS190" s="340">
        <f t="shared" si="415"/>
        <v>25083.89</v>
      </c>
      <c r="BU190" s="340" t="s">
        <v>74</v>
      </c>
      <c r="BV190" s="340">
        <f t="shared" si="416"/>
        <v>15680.96</v>
      </c>
      <c r="BW190" s="340">
        <f t="shared" si="417"/>
        <v>5595.88</v>
      </c>
      <c r="BX190" s="340">
        <f t="shared" si="418"/>
        <v>12189.88</v>
      </c>
      <c r="BY190" s="340">
        <f t="shared" si="419"/>
        <v>6267.76</v>
      </c>
      <c r="BZ190" s="340">
        <f t="shared" si="420"/>
        <v>7074.91</v>
      </c>
      <c r="CA190" s="340">
        <f t="shared" si="421"/>
        <v>20769.810000000001</v>
      </c>
      <c r="CB190" s="340">
        <f t="shared" si="422"/>
        <v>20380.38</v>
      </c>
      <c r="CC190" s="340">
        <f t="shared" si="423"/>
        <v>21628.079999999998</v>
      </c>
      <c r="CD190" s="340">
        <f t="shared" si="424"/>
        <v>21380.47</v>
      </c>
      <c r="CE190" s="340">
        <f t="shared" si="425"/>
        <v>22502.18</v>
      </c>
      <c r="CF190" s="340">
        <f t="shared" si="426"/>
        <v>20321.61</v>
      </c>
      <c r="CG190" s="340">
        <f t="shared" si="427"/>
        <v>21069.83</v>
      </c>
      <c r="CH190" s="340">
        <f t="shared" si="428"/>
        <v>20437.03</v>
      </c>
      <c r="CI190" s="340">
        <f t="shared" si="429"/>
        <v>22491.97</v>
      </c>
      <c r="CJ190" s="340">
        <f t="shared" si="430"/>
        <v>22970.11</v>
      </c>
      <c r="CK190" s="340">
        <f t="shared" si="431"/>
        <v>23713.42</v>
      </c>
      <c r="CL190" s="340">
        <f t="shared" si="432"/>
        <v>28264.2</v>
      </c>
      <c r="CM190" s="340">
        <f t="shared" si="433"/>
        <v>32579.22</v>
      </c>
      <c r="CN190" s="340">
        <f t="shared" si="434"/>
        <v>27509.9</v>
      </c>
      <c r="CO190" s="340">
        <f t="shared" si="435"/>
        <v>29750</v>
      </c>
      <c r="CP190" s="340">
        <f t="shared" si="436"/>
        <v>26620.720000000001</v>
      </c>
      <c r="CQ190" s="340">
        <f t="shared" si="437"/>
        <v>28022.480000000003</v>
      </c>
      <c r="CR190" s="122"/>
      <c r="CS190" s="340" t="s">
        <v>74</v>
      </c>
      <c r="CT190" s="340">
        <f t="shared" si="438"/>
        <v>15680.96</v>
      </c>
      <c r="CU190" s="340">
        <f t="shared" si="439"/>
        <v>44767.040000000001</v>
      </c>
      <c r="CV190" s="340">
        <f t="shared" si="440"/>
        <v>30474.7</v>
      </c>
      <c r="CW190" s="340">
        <f t="shared" si="441"/>
        <v>31338.799999999999</v>
      </c>
      <c r="CX190" s="340">
        <f t="shared" si="442"/>
        <v>77824.010000000009</v>
      </c>
      <c r="CY190" s="340">
        <f t="shared" si="443"/>
        <v>76155.97</v>
      </c>
      <c r="CZ190" s="340">
        <f t="shared" si="444"/>
        <v>61141.14</v>
      </c>
      <c r="DA190" s="340">
        <f t="shared" si="445"/>
        <v>93721.680000000008</v>
      </c>
      <c r="DB190" s="340">
        <f t="shared" si="446"/>
        <v>98023.22</v>
      </c>
      <c r="DC190" s="340">
        <f t="shared" si="447"/>
        <v>49353.55</v>
      </c>
      <c r="DD190" s="340">
        <f t="shared" si="448"/>
        <v>62124.890000000007</v>
      </c>
      <c r="DE190" s="340">
        <f t="shared" si="449"/>
        <v>47720.05</v>
      </c>
      <c r="DF190" s="340">
        <f t="shared" si="450"/>
        <v>35633.78</v>
      </c>
      <c r="DG190" s="340">
        <f t="shared" si="451"/>
        <v>43045.240000000005</v>
      </c>
      <c r="DH190" s="340">
        <f t="shared" si="452"/>
        <v>48676.65</v>
      </c>
      <c r="DI190" s="340">
        <f t="shared" si="453"/>
        <v>47634.939999999995</v>
      </c>
      <c r="DJ190" s="340">
        <f t="shared" si="454"/>
        <v>51208.3</v>
      </c>
      <c r="DK190" s="340">
        <f t="shared" si="455"/>
        <v>47711.7</v>
      </c>
      <c r="DL190" s="340">
        <f t="shared" si="456"/>
        <v>51632.310000000005</v>
      </c>
      <c r="DM190" s="340">
        <f t="shared" si="457"/>
        <v>51625.59</v>
      </c>
      <c r="DN190" s="340">
        <f t="shared" si="458"/>
        <v>79605.11</v>
      </c>
      <c r="DO190" s="340">
        <f t="shared" si="459"/>
        <v>110124.69</v>
      </c>
      <c r="DP190" s="330"/>
      <c r="DQ190" s="340" t="s">
        <v>74</v>
      </c>
      <c r="DR190" s="340">
        <f t="shared" ref="DR190:EM190" si="544">DR92</f>
        <v>31361.919999999998</v>
      </c>
      <c r="DS190" s="340">
        <f t="shared" si="544"/>
        <v>33575.279999999999</v>
      </c>
      <c r="DT190" s="340">
        <f t="shared" si="544"/>
        <v>30474.7</v>
      </c>
      <c r="DU190" s="340">
        <f t="shared" si="544"/>
        <v>31338.799999999999</v>
      </c>
      <c r="DV190" s="340">
        <f t="shared" si="544"/>
        <v>35374.550000000003</v>
      </c>
      <c r="DW190" s="340">
        <f t="shared" si="544"/>
        <v>41539.620000000003</v>
      </c>
      <c r="DX190" s="340">
        <f t="shared" si="544"/>
        <v>33967.300000000003</v>
      </c>
      <c r="DY190" s="340">
        <f t="shared" si="544"/>
        <v>36046.800000000003</v>
      </c>
      <c r="DZ190" s="340">
        <f t="shared" si="544"/>
        <v>54319.020000000004</v>
      </c>
      <c r="EA190" s="340">
        <f t="shared" si="544"/>
        <v>65492.79</v>
      </c>
      <c r="EB190" s="340">
        <f t="shared" si="544"/>
        <v>60836.59</v>
      </c>
      <c r="EC190" s="340">
        <f t="shared" si="544"/>
        <v>60042.96</v>
      </c>
      <c r="ED190" s="340">
        <f t="shared" si="544"/>
        <v>50706.27</v>
      </c>
      <c r="EE190" s="340">
        <f t="shared" si="544"/>
        <v>51032.91</v>
      </c>
      <c r="EF190" s="340">
        <f t="shared" si="544"/>
        <v>47672.490000000005</v>
      </c>
      <c r="EG190" s="340">
        <f t="shared" si="544"/>
        <v>44798.42</v>
      </c>
      <c r="EH190" s="340">
        <f t="shared" si="544"/>
        <v>50462.979999999996</v>
      </c>
      <c r="EI190" s="340">
        <f t="shared" si="544"/>
        <v>50024.369999999995</v>
      </c>
      <c r="EJ190" s="340">
        <f t="shared" si="544"/>
        <v>48526.94</v>
      </c>
      <c r="EK190" s="340">
        <f t="shared" si="544"/>
        <v>48524.52</v>
      </c>
      <c r="EL190" s="340">
        <f t="shared" si="544"/>
        <v>48492.09</v>
      </c>
      <c r="EM190" s="340">
        <f t="shared" si="544"/>
        <v>74500</v>
      </c>
      <c r="EO190" s="319" t="s">
        <v>74</v>
      </c>
      <c r="EP190" s="319">
        <f t="shared" si="461"/>
        <v>196012</v>
      </c>
      <c r="EQ190" s="319">
        <f t="shared" si="462"/>
        <v>179068.16</v>
      </c>
      <c r="ER190" s="319">
        <f t="shared" si="463"/>
        <v>207227.96</v>
      </c>
      <c r="ES190" s="319">
        <f t="shared" si="464"/>
        <v>200568.32000000001</v>
      </c>
      <c r="ET190" s="319">
        <f t="shared" si="465"/>
        <v>219322.21</v>
      </c>
      <c r="EU190" s="319">
        <f t="shared" si="466"/>
        <v>221544.64</v>
      </c>
      <c r="EV190" s="319">
        <f t="shared" si="467"/>
        <v>183423.42</v>
      </c>
      <c r="EW190" s="319">
        <f t="shared" si="468"/>
        <v>173024.64000000001</v>
      </c>
      <c r="EX190" s="319">
        <f t="shared" si="469"/>
        <v>236948.04000000004</v>
      </c>
      <c r="EY190" s="319">
        <f t="shared" si="470"/>
        <v>162399.26999999999</v>
      </c>
      <c r="EZ190" s="319">
        <f t="shared" si="471"/>
        <v>165119.53</v>
      </c>
      <c r="FA190" s="319">
        <f t="shared" si="472"/>
        <v>168739.95</v>
      </c>
      <c r="FB190" s="319">
        <f t="shared" si="473"/>
        <v>157431.78999999998</v>
      </c>
      <c r="FC190" s="319">
        <f t="shared" si="474"/>
        <v>175919.13999999998</v>
      </c>
      <c r="FD190" s="319">
        <f t="shared" si="475"/>
        <v>166579.44</v>
      </c>
      <c r="FE190" s="319">
        <f t="shared" si="476"/>
        <v>166445.09000000003</v>
      </c>
      <c r="FF190" s="322">
        <f t="shared" si="477"/>
        <v>174808.67</v>
      </c>
      <c r="FG190" s="336">
        <f t="shared" si="478"/>
        <v>179607.41</v>
      </c>
      <c r="FH190" s="336">
        <f t="shared" si="479"/>
        <v>184885.69999999998</v>
      </c>
      <c r="FI190" s="336">
        <f t="shared" si="480"/>
        <v>182725.90999999997</v>
      </c>
      <c r="FJ190" s="336">
        <f t="shared" si="481"/>
        <v>191861.68</v>
      </c>
      <c r="FK190" s="336">
        <f t="shared" si="482"/>
        <v>199804.73</v>
      </c>
      <c r="FL190" s="122"/>
      <c r="FM190" s="340" t="s">
        <v>74</v>
      </c>
      <c r="FN190" s="340">
        <f t="shared" si="483"/>
        <v>39202.400000000001</v>
      </c>
      <c r="FO190" s="340">
        <f t="shared" si="484"/>
        <v>44767.040000000001</v>
      </c>
      <c r="FP190" s="340">
        <f t="shared" si="485"/>
        <v>48759.519999999997</v>
      </c>
      <c r="FQ190" s="340">
        <f t="shared" si="486"/>
        <v>50142.080000000002</v>
      </c>
      <c r="FR190" s="340">
        <f t="shared" si="487"/>
        <v>49524.37</v>
      </c>
      <c r="FS190" s="340">
        <f t="shared" si="488"/>
        <v>48462.89</v>
      </c>
      <c r="FT190" s="340">
        <f t="shared" si="489"/>
        <v>47554.22</v>
      </c>
      <c r="FU190" s="340">
        <f t="shared" si="490"/>
        <v>57674.879999999997</v>
      </c>
      <c r="FV190" s="340">
        <f t="shared" si="491"/>
        <v>54878.400000000001</v>
      </c>
      <c r="FW190" s="340">
        <f t="shared" si="492"/>
        <v>50050.780000000006</v>
      </c>
      <c r="FX190" s="340">
        <f t="shared" si="493"/>
        <v>47749.89</v>
      </c>
      <c r="FY190" s="340">
        <f t="shared" si="494"/>
        <v>59528.6</v>
      </c>
      <c r="FZ190" s="340">
        <f t="shared" si="495"/>
        <v>53093.53</v>
      </c>
      <c r="GA190" s="340">
        <f t="shared" si="496"/>
        <v>55236.35</v>
      </c>
      <c r="GB190" s="340">
        <f t="shared" si="497"/>
        <v>56223.06</v>
      </c>
      <c r="GC190" s="340">
        <f t="shared" si="498"/>
        <v>53386.45</v>
      </c>
      <c r="GD190" s="340">
        <f t="shared" si="499"/>
        <v>58347.78</v>
      </c>
      <c r="GE190" s="340">
        <f t="shared" si="500"/>
        <v>58347.78</v>
      </c>
      <c r="GF190" s="340">
        <f t="shared" si="501"/>
        <v>72868.3</v>
      </c>
      <c r="GG190" s="340">
        <f t="shared" si="502"/>
        <v>75155.62999999999</v>
      </c>
      <c r="GH190" s="340">
        <f t="shared" si="503"/>
        <v>64144.05</v>
      </c>
      <c r="GI190" s="340">
        <f t="shared" si="504"/>
        <v>65507.83</v>
      </c>
      <c r="GJ190" s="122"/>
      <c r="GK190" s="340" t="s">
        <v>74</v>
      </c>
      <c r="GL190" s="340">
        <f t="shared" si="505"/>
        <v>7840.48</v>
      </c>
      <c r="GM190" s="340">
        <f t="shared" si="506"/>
        <v>5595.88</v>
      </c>
      <c r="GN190" s="340">
        <f t="shared" si="507"/>
        <v>0</v>
      </c>
      <c r="GO190" s="340">
        <f t="shared" si="508"/>
        <v>6267.76</v>
      </c>
      <c r="GP190" s="340">
        <f t="shared" si="509"/>
        <v>7074.91</v>
      </c>
      <c r="GQ190" s="340">
        <f t="shared" si="510"/>
        <v>13846.54</v>
      </c>
      <c r="GR190" s="340">
        <f t="shared" si="511"/>
        <v>13586.92</v>
      </c>
      <c r="GS190" s="340">
        <f t="shared" si="512"/>
        <v>43256.160000000003</v>
      </c>
      <c r="GT190" s="340">
        <f t="shared" si="513"/>
        <v>32173.69</v>
      </c>
      <c r="GU190" s="340">
        <f t="shared" si="514"/>
        <v>12290.29</v>
      </c>
      <c r="GV190" s="340">
        <f t="shared" si="515"/>
        <v>2807.07</v>
      </c>
      <c r="GW190" s="340">
        <f t="shared" si="516"/>
        <v>0</v>
      </c>
      <c r="GX190" s="340">
        <f t="shared" si="517"/>
        <v>12458.03</v>
      </c>
      <c r="GY190" s="340">
        <f t="shared" si="518"/>
        <v>48765.48</v>
      </c>
      <c r="GZ190" s="340">
        <f t="shared" si="519"/>
        <v>16000</v>
      </c>
      <c r="HA190" s="340">
        <f t="shared" si="520"/>
        <v>11505.82</v>
      </c>
      <c r="HB190" s="340">
        <f t="shared" si="521"/>
        <v>14303</v>
      </c>
      <c r="HC190" s="340">
        <f t="shared" si="522"/>
        <v>33760</v>
      </c>
      <c r="HD190" s="340">
        <f t="shared" si="523"/>
        <v>11040</v>
      </c>
      <c r="HE190" s="340">
        <f t="shared" si="524"/>
        <v>10650</v>
      </c>
      <c r="HF190" s="340">
        <f t="shared" si="525"/>
        <v>11690</v>
      </c>
      <c r="HG190" s="340">
        <f t="shared" si="526"/>
        <v>10000</v>
      </c>
      <c r="HH190" s="122"/>
      <c r="IF190" s="122"/>
      <c r="IG190" s="122"/>
      <c r="IH190" s="122"/>
      <c r="II190" s="122"/>
      <c r="IJ190" s="122"/>
      <c r="IK190" s="122"/>
      <c r="IL190" s="122"/>
      <c r="IN190" s="118"/>
      <c r="IP190" s="122"/>
      <c r="IQ190" s="122"/>
      <c r="IR190" s="122"/>
      <c r="IS190" s="122"/>
      <c r="IT190" s="122"/>
      <c r="IU190" s="122"/>
      <c r="IV190" s="122"/>
      <c r="IW190" s="122"/>
      <c r="IX190" s="122"/>
      <c r="IY190" s="122"/>
      <c r="IZ190" s="122"/>
      <c r="JA190" s="122"/>
      <c r="JB190" s="122"/>
      <c r="JC190" s="122"/>
      <c r="JD190" s="122"/>
      <c r="JE190" s="122"/>
      <c r="JF190" s="122"/>
      <c r="JG190" s="122"/>
      <c r="JH190" s="122"/>
      <c r="JI190" s="122"/>
      <c r="JK190" s="118"/>
      <c r="JL190" s="118"/>
      <c r="JY190" s="122"/>
      <c r="JZ190" s="122"/>
      <c r="KA190" s="122"/>
      <c r="KB190" s="122"/>
      <c r="LX190" s="122"/>
      <c r="LY190" s="122"/>
      <c r="LZ190" s="122"/>
      <c r="MB190" s="118"/>
      <c r="MC190" s="118"/>
      <c r="MP190" s="122"/>
      <c r="MQ190" s="122"/>
      <c r="MR190" s="122"/>
      <c r="MS190" s="122"/>
      <c r="MT190" s="122"/>
      <c r="MU190" s="122"/>
      <c r="MV190" s="122"/>
      <c r="OS190" s="118"/>
      <c r="OT190" s="118"/>
      <c r="PC190" s="122"/>
      <c r="PD190" s="122"/>
      <c r="PE190" s="122"/>
      <c r="PF190" s="122"/>
      <c r="PG190" s="122"/>
      <c r="PH190" s="122"/>
      <c r="PI190" s="122"/>
      <c r="PJ190" s="122"/>
      <c r="PP190" s="118"/>
      <c r="PQ190" s="118"/>
      <c r="PZ190" s="122"/>
      <c r="QA190" s="122"/>
      <c r="QB190" s="122"/>
      <c r="QC190" s="122"/>
      <c r="QD190" s="122"/>
      <c r="QE190" s="122"/>
      <c r="QF190" s="122"/>
      <c r="QG190" s="122"/>
      <c r="QM190" s="118"/>
      <c r="QN190" s="118"/>
      <c r="RE190" s="118"/>
      <c r="RF190" s="118"/>
      <c r="RG190" s="118"/>
      <c r="RH190" s="118"/>
      <c r="RI190" s="118"/>
      <c r="RJ190" s="118"/>
      <c r="RK190" s="118"/>
    </row>
    <row r="191" spans="25:479">
      <c r="Y191" s="277" t="s">
        <v>75</v>
      </c>
      <c r="Z191" s="319">
        <f t="shared" si="534"/>
        <v>716254</v>
      </c>
      <c r="AA191" s="319">
        <f t="shared" si="373"/>
        <v>531429.60000000009</v>
      </c>
      <c r="AB191" s="319">
        <f t="shared" si="374"/>
        <v>692355.84000000008</v>
      </c>
      <c r="AC191" s="319">
        <f t="shared" si="375"/>
        <v>627746.46</v>
      </c>
      <c r="AD191" s="319">
        <f t="shared" si="376"/>
        <v>840093.25</v>
      </c>
      <c r="AE191" s="319">
        <f t="shared" si="377"/>
        <v>616737.87</v>
      </c>
      <c r="AF191" s="319">
        <f t="shared" si="378"/>
        <v>668835.68999999994</v>
      </c>
      <c r="AG191" s="319">
        <f t="shared" si="379"/>
        <v>649300.1100000001</v>
      </c>
      <c r="AH191" s="319">
        <f t="shared" si="380"/>
        <v>1170311.3600000001</v>
      </c>
      <c r="AI191" s="319">
        <f t="shared" si="381"/>
        <v>959256.12000000023</v>
      </c>
      <c r="AJ191" s="319">
        <f t="shared" si="382"/>
        <v>803549.65999999992</v>
      </c>
      <c r="AK191" s="319">
        <f t="shared" si="383"/>
        <v>683785.12000000011</v>
      </c>
      <c r="AL191" s="319">
        <f t="shared" si="384"/>
        <v>741251.82000000007</v>
      </c>
      <c r="AM191" s="319">
        <f t="shared" si="385"/>
        <v>705528.08</v>
      </c>
      <c r="AN191" s="319">
        <f t="shared" si="386"/>
        <v>745517.40999999992</v>
      </c>
      <c r="AO191" s="319">
        <f t="shared" si="387"/>
        <v>737056.04</v>
      </c>
      <c r="AP191" s="319">
        <f t="shared" si="537"/>
        <v>1007735.9400000001</v>
      </c>
      <c r="AQ191" s="319">
        <f t="shared" si="535"/>
        <v>1403369.8000000003</v>
      </c>
      <c r="AR191" s="319">
        <f t="shared" si="390"/>
        <v>1080124.6099999999</v>
      </c>
      <c r="AS191" s="319">
        <f t="shared" si="391"/>
        <v>1076783.1299999999</v>
      </c>
      <c r="AT191" s="319">
        <f t="shared" si="392"/>
        <v>2053394.74</v>
      </c>
      <c r="AU191" s="319">
        <f t="shared" si="393"/>
        <v>1299006.75</v>
      </c>
      <c r="AW191" s="322" t="s">
        <v>75</v>
      </c>
      <c r="AX191" s="322">
        <f t="shared" si="527"/>
        <v>343801.92</v>
      </c>
      <c r="AY191" s="322">
        <f t="shared" si="395"/>
        <v>318857.76</v>
      </c>
      <c r="AZ191" s="322">
        <f t="shared" si="396"/>
        <v>346177.92000000004</v>
      </c>
      <c r="BA191" s="322">
        <f t="shared" si="397"/>
        <v>228271.44</v>
      </c>
      <c r="BB191" s="322">
        <f t="shared" si="398"/>
        <v>134414.92000000001</v>
      </c>
      <c r="BC191" s="322">
        <f t="shared" si="399"/>
        <v>160888.13999999998</v>
      </c>
      <c r="BD191" s="322">
        <f t="shared" si="400"/>
        <v>154839.9</v>
      </c>
      <c r="BE191" s="322">
        <f t="shared" si="401"/>
        <v>205042.14</v>
      </c>
      <c r="BF191" s="322">
        <f t="shared" si="402"/>
        <v>147013.56999999998</v>
      </c>
      <c r="BG191" s="322">
        <f t="shared" si="403"/>
        <v>164243.15</v>
      </c>
      <c r="BH191" s="322">
        <f t="shared" si="404"/>
        <v>154529.85000000003</v>
      </c>
      <c r="BI191" s="322">
        <f t="shared" si="405"/>
        <v>169916.03600000002</v>
      </c>
      <c r="BJ191" s="322">
        <f t="shared" si="406"/>
        <v>160378.76999999999</v>
      </c>
      <c r="BK191" s="322">
        <f t="shared" si="407"/>
        <v>153102.44</v>
      </c>
      <c r="BL191" s="322">
        <f t="shared" si="530"/>
        <v>174761.98000000004</v>
      </c>
      <c r="BM191" s="322">
        <f t="shared" si="531"/>
        <v>139136.34999999998</v>
      </c>
      <c r="BN191" s="322">
        <f t="shared" si="532"/>
        <v>127199.64</v>
      </c>
      <c r="BO191" s="340">
        <f t="shared" si="528"/>
        <v>135011.16999999998</v>
      </c>
      <c r="BP191" s="340">
        <f t="shared" si="412"/>
        <v>134938.87000000002</v>
      </c>
      <c r="BQ191" s="340">
        <f t="shared" si="413"/>
        <v>123778.18000000001</v>
      </c>
      <c r="BR191" s="340">
        <f t="shared" si="414"/>
        <v>129746.87</v>
      </c>
      <c r="BS191" s="340">
        <f t="shared" si="415"/>
        <v>163200</v>
      </c>
      <c r="BU191" s="340" t="s">
        <v>75</v>
      </c>
      <c r="BV191" s="340">
        <f t="shared" si="416"/>
        <v>57300.32</v>
      </c>
      <c r="BW191" s="340">
        <f t="shared" si="417"/>
        <v>53142.96</v>
      </c>
      <c r="BX191" s="340">
        <f t="shared" si="418"/>
        <v>62941.440000000002</v>
      </c>
      <c r="BY191" s="340">
        <f t="shared" si="419"/>
        <v>57067.86</v>
      </c>
      <c r="BZ191" s="340">
        <f t="shared" si="420"/>
        <v>67207.460000000006</v>
      </c>
      <c r="CA191" s="340">
        <f t="shared" si="421"/>
        <v>80444.069999999992</v>
      </c>
      <c r="CB191" s="340">
        <f t="shared" si="422"/>
        <v>92903.94</v>
      </c>
      <c r="CC191" s="340">
        <f t="shared" si="423"/>
        <v>68347.38</v>
      </c>
      <c r="CD191" s="340">
        <f t="shared" si="424"/>
        <v>82848.97</v>
      </c>
      <c r="CE191" s="340">
        <f t="shared" si="425"/>
        <v>78558.86</v>
      </c>
      <c r="CF191" s="340">
        <f t="shared" si="426"/>
        <v>100737.81999999999</v>
      </c>
      <c r="CG191" s="340">
        <f t="shared" si="427"/>
        <v>117618.31000000001</v>
      </c>
      <c r="CH191" s="340">
        <f t="shared" si="428"/>
        <v>113307.86</v>
      </c>
      <c r="CI191" s="340">
        <f t="shared" si="429"/>
        <v>134136.93</v>
      </c>
      <c r="CJ191" s="340">
        <f t="shared" si="430"/>
        <v>134343.21999999997</v>
      </c>
      <c r="CK191" s="340">
        <f t="shared" si="431"/>
        <v>146618.28999999998</v>
      </c>
      <c r="CL191" s="340">
        <f t="shared" si="432"/>
        <v>154212.9</v>
      </c>
      <c r="CM191" s="340">
        <f t="shared" si="433"/>
        <v>160916.44</v>
      </c>
      <c r="CN191" s="340">
        <f t="shared" si="434"/>
        <v>159846.20000000001</v>
      </c>
      <c r="CO191" s="340">
        <f t="shared" si="435"/>
        <v>157281.34</v>
      </c>
      <c r="CP191" s="340">
        <f t="shared" si="436"/>
        <v>153442.58000000002</v>
      </c>
      <c r="CQ191" s="340">
        <f t="shared" si="437"/>
        <v>169260.5</v>
      </c>
      <c r="CR191" s="122"/>
      <c r="CS191" s="340" t="s">
        <v>75</v>
      </c>
      <c r="CT191" s="340">
        <f t="shared" si="438"/>
        <v>200551.12</v>
      </c>
      <c r="CU191" s="340">
        <f t="shared" si="439"/>
        <v>239143.32</v>
      </c>
      <c r="CV191" s="340">
        <f t="shared" si="440"/>
        <v>472060.8</v>
      </c>
      <c r="CW191" s="340">
        <f t="shared" si="441"/>
        <v>342407.16</v>
      </c>
      <c r="CX191" s="340">
        <f t="shared" si="442"/>
        <v>403244.76</v>
      </c>
      <c r="CY191" s="340">
        <f t="shared" si="443"/>
        <v>268146.90000000002</v>
      </c>
      <c r="CZ191" s="340">
        <f t="shared" si="444"/>
        <v>340647.78</v>
      </c>
      <c r="DA191" s="340">
        <f t="shared" si="445"/>
        <v>341736.9</v>
      </c>
      <c r="DB191" s="340">
        <f t="shared" si="446"/>
        <v>329503.15000000002</v>
      </c>
      <c r="DC191" s="340">
        <f t="shared" si="447"/>
        <v>441584.59</v>
      </c>
      <c r="DD191" s="340">
        <f t="shared" si="448"/>
        <v>505356.61000000004</v>
      </c>
      <c r="DE191" s="340">
        <f t="shared" si="449"/>
        <v>526095.75</v>
      </c>
      <c r="DF191" s="340">
        <f t="shared" si="450"/>
        <v>552255.25</v>
      </c>
      <c r="DG191" s="340">
        <f t="shared" si="451"/>
        <v>546549.08999999985</v>
      </c>
      <c r="DH191" s="340">
        <f t="shared" si="452"/>
        <v>628359.40999999992</v>
      </c>
      <c r="DI191" s="340">
        <f t="shared" si="453"/>
        <v>705764.59</v>
      </c>
      <c r="DJ191" s="340">
        <f t="shared" si="454"/>
        <v>589240.79999999981</v>
      </c>
      <c r="DK191" s="340">
        <f t="shared" si="455"/>
        <v>513484.08999999997</v>
      </c>
      <c r="DL191" s="340">
        <f t="shared" si="456"/>
        <v>580166.43000000005</v>
      </c>
      <c r="DM191" s="340">
        <f t="shared" si="457"/>
        <v>577856.27</v>
      </c>
      <c r="DN191" s="340">
        <f t="shared" si="458"/>
        <v>673970.18</v>
      </c>
      <c r="DO191" s="340">
        <f t="shared" si="459"/>
        <v>828574.32000000007</v>
      </c>
      <c r="DP191" s="330"/>
      <c r="DQ191" s="340" t="s">
        <v>75</v>
      </c>
      <c r="DR191" s="340">
        <f t="shared" ref="DR191:EM191" si="545">DR93</f>
        <v>343801.92</v>
      </c>
      <c r="DS191" s="340">
        <f t="shared" si="545"/>
        <v>372000.72</v>
      </c>
      <c r="DT191" s="340">
        <f t="shared" si="545"/>
        <v>409119.36</v>
      </c>
      <c r="DU191" s="340">
        <f t="shared" si="545"/>
        <v>428008.95</v>
      </c>
      <c r="DV191" s="340">
        <f t="shared" si="545"/>
        <v>436848.49</v>
      </c>
      <c r="DW191" s="340">
        <f t="shared" si="545"/>
        <v>214517.52</v>
      </c>
      <c r="DX191" s="340">
        <f t="shared" si="545"/>
        <v>216775.86</v>
      </c>
      <c r="DY191" s="340">
        <f t="shared" si="545"/>
        <v>239215.83</v>
      </c>
      <c r="DZ191" s="340">
        <f t="shared" si="545"/>
        <v>220734.75999999998</v>
      </c>
      <c r="EA191" s="340">
        <f t="shared" si="545"/>
        <v>266800.71000000002</v>
      </c>
      <c r="EB191" s="340">
        <f t="shared" si="545"/>
        <v>300323.27999999997</v>
      </c>
      <c r="EC191" s="340">
        <f t="shared" si="545"/>
        <v>257611.32</v>
      </c>
      <c r="ED191" s="340">
        <f t="shared" si="545"/>
        <v>277533.69</v>
      </c>
      <c r="EE191" s="340">
        <f t="shared" si="545"/>
        <v>304933.58999999997</v>
      </c>
      <c r="EF191" s="340">
        <f t="shared" si="545"/>
        <v>294906.28999999998</v>
      </c>
      <c r="EG191" s="340">
        <f t="shared" si="545"/>
        <v>314679.78999999998</v>
      </c>
      <c r="EH191" s="340">
        <f t="shared" si="545"/>
        <v>329023</v>
      </c>
      <c r="EI191" s="340">
        <f t="shared" si="545"/>
        <v>316000.56</v>
      </c>
      <c r="EJ191" s="340">
        <f t="shared" si="545"/>
        <v>329908.09000000003</v>
      </c>
      <c r="EK191" s="340">
        <f t="shared" si="545"/>
        <v>408025.77</v>
      </c>
      <c r="EL191" s="340">
        <f t="shared" si="545"/>
        <v>345919.4</v>
      </c>
      <c r="EM191" s="340">
        <f t="shared" si="545"/>
        <v>450000</v>
      </c>
      <c r="EO191" s="319" t="s">
        <v>75</v>
      </c>
      <c r="EP191" s="319">
        <f t="shared" si="461"/>
        <v>830854.6399999999</v>
      </c>
      <c r="EQ191" s="319">
        <f t="shared" si="462"/>
        <v>930001.8</v>
      </c>
      <c r="ER191" s="319">
        <f t="shared" si="463"/>
        <v>1007063.04</v>
      </c>
      <c r="ES191" s="319">
        <f t="shared" si="464"/>
        <v>998687.55</v>
      </c>
      <c r="ET191" s="319">
        <f t="shared" si="465"/>
        <v>1310545.4700000002</v>
      </c>
      <c r="EU191" s="319">
        <f t="shared" si="466"/>
        <v>0</v>
      </c>
      <c r="EV191" s="319">
        <f t="shared" si="467"/>
        <v>0</v>
      </c>
      <c r="EW191" s="319">
        <f t="shared" si="468"/>
        <v>0</v>
      </c>
      <c r="EX191" s="319">
        <f t="shared" si="469"/>
        <v>0</v>
      </c>
      <c r="EY191" s="319">
        <f t="shared" si="470"/>
        <v>1555.5</v>
      </c>
      <c r="EZ191" s="319">
        <f t="shared" si="471"/>
        <v>68805</v>
      </c>
      <c r="FA191" s="319">
        <f t="shared" si="472"/>
        <v>0</v>
      </c>
      <c r="FB191" s="319">
        <f t="shared" si="473"/>
        <v>0</v>
      </c>
      <c r="FC191" s="319">
        <f t="shared" si="474"/>
        <v>0</v>
      </c>
      <c r="FD191" s="319">
        <f t="shared" si="475"/>
        <v>0</v>
      </c>
      <c r="FE191" s="319">
        <f t="shared" si="476"/>
        <v>0</v>
      </c>
      <c r="FF191" s="322">
        <f t="shared" si="477"/>
        <v>0</v>
      </c>
      <c r="FG191" s="336">
        <f t="shared" si="478"/>
        <v>0</v>
      </c>
      <c r="FH191" s="336">
        <f t="shared" si="479"/>
        <v>0</v>
      </c>
      <c r="FI191" s="336">
        <f t="shared" si="480"/>
        <v>0</v>
      </c>
      <c r="FJ191" s="336">
        <f t="shared" si="481"/>
        <v>0</v>
      </c>
      <c r="FK191" s="336">
        <f t="shared" si="482"/>
        <v>0</v>
      </c>
      <c r="FL191" s="122"/>
      <c r="FM191" s="340" t="s">
        <v>75</v>
      </c>
      <c r="FN191" s="340">
        <f t="shared" si="483"/>
        <v>229201.28</v>
      </c>
      <c r="FO191" s="340">
        <f t="shared" si="484"/>
        <v>212571.84</v>
      </c>
      <c r="FP191" s="340">
        <f t="shared" si="485"/>
        <v>157353.60000000001</v>
      </c>
      <c r="FQ191" s="340">
        <f t="shared" si="486"/>
        <v>171203.58</v>
      </c>
      <c r="FR191" s="340">
        <f t="shared" si="487"/>
        <v>168018.65</v>
      </c>
      <c r="FS191" s="340">
        <f t="shared" si="488"/>
        <v>214517.52</v>
      </c>
      <c r="FT191" s="340">
        <f t="shared" si="489"/>
        <v>185807.88</v>
      </c>
      <c r="FU191" s="340">
        <f t="shared" si="490"/>
        <v>239215.83</v>
      </c>
      <c r="FV191" s="340">
        <f t="shared" si="491"/>
        <v>231548.58999999997</v>
      </c>
      <c r="FW191" s="340">
        <f t="shared" si="492"/>
        <v>284075.48</v>
      </c>
      <c r="FX191" s="340">
        <f t="shared" si="493"/>
        <v>298496.73</v>
      </c>
      <c r="FY191" s="340">
        <f t="shared" si="494"/>
        <v>288589.43000000005</v>
      </c>
      <c r="FZ191" s="340">
        <f t="shared" si="495"/>
        <v>308183.89999999997</v>
      </c>
      <c r="GA191" s="340">
        <f t="shared" si="496"/>
        <v>301601.89299999998</v>
      </c>
      <c r="GB191" s="340">
        <f t="shared" si="497"/>
        <v>307030.51</v>
      </c>
      <c r="GC191" s="340">
        <f t="shared" si="498"/>
        <v>328809.2</v>
      </c>
      <c r="GD191" s="340">
        <f t="shared" si="499"/>
        <v>325985.83999999997</v>
      </c>
      <c r="GE191" s="340">
        <f t="shared" si="500"/>
        <v>332563.59999999998</v>
      </c>
      <c r="GF191" s="340">
        <f t="shared" si="501"/>
        <v>328895.74</v>
      </c>
      <c r="GG191" s="340">
        <f t="shared" si="502"/>
        <v>345211.47000000003</v>
      </c>
      <c r="GH191" s="340">
        <f t="shared" si="503"/>
        <v>365710.28</v>
      </c>
      <c r="GI191" s="340">
        <f t="shared" si="504"/>
        <v>371307</v>
      </c>
      <c r="GJ191" s="122"/>
      <c r="GK191" s="340" t="s">
        <v>75</v>
      </c>
      <c r="GL191" s="340">
        <f t="shared" si="505"/>
        <v>143250.79999999999</v>
      </c>
      <c r="GM191" s="340">
        <f t="shared" si="506"/>
        <v>0</v>
      </c>
      <c r="GN191" s="340">
        <f t="shared" si="507"/>
        <v>0</v>
      </c>
      <c r="GO191" s="340">
        <f t="shared" si="508"/>
        <v>0</v>
      </c>
      <c r="GP191" s="340">
        <f t="shared" si="509"/>
        <v>0</v>
      </c>
      <c r="GQ191" s="340">
        <f t="shared" si="510"/>
        <v>1126216.98</v>
      </c>
      <c r="GR191" s="340">
        <f t="shared" si="511"/>
        <v>1424527.08</v>
      </c>
      <c r="GS191" s="340">
        <f t="shared" si="512"/>
        <v>1674510.81</v>
      </c>
      <c r="GT191" s="340">
        <f t="shared" si="513"/>
        <v>1296353.31</v>
      </c>
      <c r="GU191" s="340">
        <f t="shared" si="514"/>
        <v>1332460.43</v>
      </c>
      <c r="GV191" s="340">
        <f t="shared" si="515"/>
        <v>1582671.3599999999</v>
      </c>
      <c r="GW191" s="340">
        <f t="shared" si="516"/>
        <v>1138235.1599999999</v>
      </c>
      <c r="GX191" s="340">
        <f t="shared" si="517"/>
        <v>1351213.35</v>
      </c>
      <c r="GY191" s="340">
        <f t="shared" si="518"/>
        <v>1834656.48</v>
      </c>
      <c r="GZ191" s="340">
        <f t="shared" si="519"/>
        <v>1865340.0299999998</v>
      </c>
      <c r="HA191" s="340">
        <f t="shared" si="520"/>
        <v>2014756.5</v>
      </c>
      <c r="HB191" s="340">
        <f t="shared" si="521"/>
        <v>2163033.9700000002</v>
      </c>
      <c r="HC191" s="340">
        <f t="shared" si="522"/>
        <v>2435893.1100000003</v>
      </c>
      <c r="HD191" s="340">
        <f t="shared" si="523"/>
        <v>2635752.67</v>
      </c>
      <c r="HE191" s="340">
        <f t="shared" si="524"/>
        <v>2515774.17</v>
      </c>
      <c r="HF191" s="340">
        <f t="shared" si="525"/>
        <v>2389599.9700000002</v>
      </c>
      <c r="HG191" s="340">
        <f t="shared" si="526"/>
        <v>2387328</v>
      </c>
      <c r="HH191" s="122"/>
      <c r="IF191" s="122"/>
      <c r="IG191" s="122"/>
      <c r="IH191" s="122"/>
      <c r="II191" s="122"/>
      <c r="IJ191" s="122"/>
      <c r="IK191" s="122"/>
      <c r="IL191" s="122"/>
      <c r="IN191" s="118"/>
      <c r="IP191" s="122"/>
      <c r="IQ191" s="122"/>
      <c r="IR191" s="122"/>
      <c r="IS191" s="122"/>
      <c r="IT191" s="122"/>
      <c r="IU191" s="122"/>
      <c r="IV191" s="122"/>
      <c r="IW191" s="122"/>
      <c r="IX191" s="122"/>
      <c r="IY191" s="122"/>
      <c r="IZ191" s="122"/>
      <c r="JA191" s="122"/>
      <c r="JB191" s="122"/>
      <c r="JC191" s="122"/>
      <c r="JD191" s="122"/>
      <c r="JE191" s="122"/>
      <c r="JF191" s="122"/>
      <c r="JG191" s="122"/>
      <c r="JH191" s="122"/>
      <c r="JI191" s="122"/>
      <c r="JK191" s="118"/>
      <c r="JL191" s="118"/>
      <c r="JY191" s="122"/>
      <c r="JZ191" s="122"/>
      <c r="KA191" s="122"/>
      <c r="KB191" s="122"/>
      <c r="LX191" s="122"/>
      <c r="LY191" s="122"/>
      <c r="LZ191" s="122"/>
      <c r="MB191" s="118"/>
      <c r="MC191" s="118"/>
      <c r="MP191" s="122"/>
      <c r="MQ191" s="122"/>
      <c r="MR191" s="122"/>
      <c r="MS191" s="122"/>
      <c r="MT191" s="122"/>
      <c r="MU191" s="122"/>
      <c r="MV191" s="122"/>
      <c r="OS191" s="118"/>
      <c r="OT191" s="118"/>
      <c r="PC191" s="122"/>
      <c r="PD191" s="122"/>
      <c r="PE191" s="122"/>
      <c r="PF191" s="122"/>
      <c r="PG191" s="122"/>
      <c r="PH191" s="122"/>
      <c r="PI191" s="122"/>
      <c r="PJ191" s="122"/>
      <c r="PP191" s="118"/>
      <c r="PQ191" s="118"/>
      <c r="PZ191" s="122"/>
      <c r="QA191" s="122"/>
      <c r="QB191" s="122"/>
      <c r="QC191" s="122"/>
      <c r="QD191" s="122"/>
      <c r="QE191" s="122"/>
      <c r="QF191" s="122"/>
      <c r="QG191" s="122"/>
      <c r="QM191" s="118"/>
      <c r="QN191" s="118"/>
      <c r="RE191" s="118"/>
      <c r="RF191" s="118"/>
      <c r="RG191" s="118"/>
      <c r="RH191" s="118"/>
      <c r="RI191" s="118"/>
      <c r="RJ191" s="118"/>
      <c r="RK191" s="118"/>
    </row>
    <row r="192" spans="25:479">
      <c r="Y192" s="277" t="s">
        <v>76</v>
      </c>
      <c r="Z192" s="319">
        <f t="shared" si="534"/>
        <v>181316.8</v>
      </c>
      <c r="AA192" s="319">
        <f t="shared" si="373"/>
        <v>185483.76</v>
      </c>
      <c r="AB192" s="319">
        <f t="shared" si="374"/>
        <v>228943.06</v>
      </c>
      <c r="AC192" s="319">
        <f t="shared" si="375"/>
        <v>242437.66999999998</v>
      </c>
      <c r="AD192" s="319">
        <f t="shared" si="376"/>
        <v>275217.76</v>
      </c>
      <c r="AE192" s="319">
        <f t="shared" si="377"/>
        <v>247111.8</v>
      </c>
      <c r="AF192" s="319">
        <f t="shared" si="378"/>
        <v>262085.79</v>
      </c>
      <c r="AG192" s="319">
        <f t="shared" si="379"/>
        <v>271475.72000000003</v>
      </c>
      <c r="AH192" s="319">
        <f t="shared" si="380"/>
        <v>351798.06</v>
      </c>
      <c r="AI192" s="319">
        <f t="shared" si="381"/>
        <v>406781.42000000004</v>
      </c>
      <c r="AJ192" s="319">
        <f t="shared" si="382"/>
        <v>391165.74</v>
      </c>
      <c r="AK192" s="319">
        <f t="shared" si="383"/>
        <v>395610.93</v>
      </c>
      <c r="AL192" s="319">
        <f t="shared" si="384"/>
        <v>467551.99</v>
      </c>
      <c r="AM192" s="319">
        <f t="shared" si="385"/>
        <v>465154.78</v>
      </c>
      <c r="AN192" s="319">
        <f t="shared" si="386"/>
        <v>426799.49</v>
      </c>
      <c r="AO192" s="319">
        <f t="shared" si="387"/>
        <v>411282.77999999997</v>
      </c>
      <c r="AP192" s="319">
        <f t="shared" si="537"/>
        <v>447665.74</v>
      </c>
      <c r="AQ192" s="319">
        <f t="shared" si="535"/>
        <v>414996.36</v>
      </c>
      <c r="AR192" s="319">
        <f t="shared" si="390"/>
        <v>464943.17999999993</v>
      </c>
      <c r="AS192" s="319">
        <f t="shared" si="391"/>
        <v>443282.2300000001</v>
      </c>
      <c r="AT192" s="319">
        <f t="shared" si="392"/>
        <v>505902.96</v>
      </c>
      <c r="AU192" s="319">
        <f t="shared" si="393"/>
        <v>443356</v>
      </c>
      <c r="AW192" s="322" t="s">
        <v>76</v>
      </c>
      <c r="AX192" s="322">
        <f t="shared" si="527"/>
        <v>67993.8</v>
      </c>
      <c r="AY192" s="322">
        <f t="shared" si="395"/>
        <v>56207.199999999997</v>
      </c>
      <c r="AZ192" s="322">
        <f t="shared" si="396"/>
        <v>59082.080000000002</v>
      </c>
      <c r="BA192" s="322">
        <f t="shared" si="397"/>
        <v>54743.99</v>
      </c>
      <c r="BB192" s="322">
        <f t="shared" si="398"/>
        <v>48567.840000000004</v>
      </c>
      <c r="BC192" s="322">
        <f t="shared" si="399"/>
        <v>49422.36</v>
      </c>
      <c r="BD192" s="322">
        <f t="shared" si="400"/>
        <v>51179.819999999992</v>
      </c>
      <c r="BE192" s="322">
        <f t="shared" si="401"/>
        <v>55892.06</v>
      </c>
      <c r="BF192" s="322">
        <f t="shared" si="402"/>
        <v>52679.820000000007</v>
      </c>
      <c r="BG192" s="322">
        <f t="shared" si="403"/>
        <v>50027.67</v>
      </c>
      <c r="BH192" s="322">
        <f t="shared" si="404"/>
        <v>55890.11</v>
      </c>
      <c r="BI192" s="322">
        <f t="shared" si="405"/>
        <v>77559.16</v>
      </c>
      <c r="BJ192" s="322">
        <f t="shared" si="406"/>
        <v>70870.77</v>
      </c>
      <c r="BK192" s="322">
        <f t="shared" si="407"/>
        <v>68115.959999999992</v>
      </c>
      <c r="BL192" s="322">
        <f t="shared" si="530"/>
        <v>73894.650000000009</v>
      </c>
      <c r="BM192" s="322">
        <f t="shared" si="531"/>
        <v>74950.490000000005</v>
      </c>
      <c r="BN192" s="322">
        <f t="shared" si="532"/>
        <v>63620.869999999995</v>
      </c>
      <c r="BO192" s="340">
        <f t="shared" si="528"/>
        <v>80404.59</v>
      </c>
      <c r="BP192" s="340">
        <f t="shared" si="412"/>
        <v>68298.67</v>
      </c>
      <c r="BQ192" s="340">
        <f t="shared" si="413"/>
        <v>75939.73</v>
      </c>
      <c r="BR192" s="340">
        <f t="shared" si="414"/>
        <v>86595.569999999992</v>
      </c>
      <c r="BS192" s="340">
        <f t="shared" si="415"/>
        <v>98285.300000000017</v>
      </c>
      <c r="BU192" s="340" t="s">
        <v>76</v>
      </c>
      <c r="BV192" s="340">
        <f t="shared" si="416"/>
        <v>5666.15</v>
      </c>
      <c r="BW192" s="340">
        <f t="shared" si="417"/>
        <v>16862.16</v>
      </c>
      <c r="BX192" s="340">
        <f t="shared" si="418"/>
        <v>22155.78</v>
      </c>
      <c r="BY192" s="340">
        <f t="shared" si="419"/>
        <v>23461.71</v>
      </c>
      <c r="BZ192" s="340">
        <f t="shared" si="420"/>
        <v>24283.920000000002</v>
      </c>
      <c r="CA192" s="340">
        <f t="shared" si="421"/>
        <v>24711.18</v>
      </c>
      <c r="CB192" s="340">
        <f t="shared" si="422"/>
        <v>25589.909999999996</v>
      </c>
      <c r="CC192" s="340">
        <f t="shared" si="423"/>
        <v>31938.32</v>
      </c>
      <c r="CD192" s="340">
        <f t="shared" si="424"/>
        <v>30326.760000000002</v>
      </c>
      <c r="CE192" s="340">
        <f t="shared" si="425"/>
        <v>27448.420000000002</v>
      </c>
      <c r="CF192" s="340">
        <f t="shared" si="426"/>
        <v>36324.61</v>
      </c>
      <c r="CG192" s="340">
        <f t="shared" si="427"/>
        <v>38022.990000000005</v>
      </c>
      <c r="CH192" s="340">
        <f t="shared" si="428"/>
        <v>45775.96</v>
      </c>
      <c r="CI192" s="340">
        <f t="shared" si="429"/>
        <v>39169.62999999999</v>
      </c>
      <c r="CJ192" s="340">
        <f t="shared" si="430"/>
        <v>38583.069999999992</v>
      </c>
      <c r="CK192" s="340">
        <f t="shared" si="431"/>
        <v>37815.03</v>
      </c>
      <c r="CL192" s="340">
        <f t="shared" si="432"/>
        <v>42882.33</v>
      </c>
      <c r="CM192" s="340">
        <f t="shared" si="433"/>
        <v>37578.589999999997</v>
      </c>
      <c r="CN192" s="340">
        <f t="shared" si="434"/>
        <v>46608.57</v>
      </c>
      <c r="CO192" s="340">
        <f t="shared" si="435"/>
        <v>37338.949999999997</v>
      </c>
      <c r="CP192" s="340">
        <f t="shared" si="436"/>
        <v>41464.479999999996</v>
      </c>
      <c r="CQ192" s="340">
        <f t="shared" si="437"/>
        <v>48285</v>
      </c>
      <c r="CR192" s="122"/>
      <c r="CS192" s="340" t="s">
        <v>76</v>
      </c>
      <c r="CT192" s="340">
        <f t="shared" si="438"/>
        <v>45329.2</v>
      </c>
      <c r="CU192" s="340">
        <f t="shared" si="439"/>
        <v>56207.199999999997</v>
      </c>
      <c r="CV192" s="340">
        <f t="shared" si="440"/>
        <v>73852.600000000006</v>
      </c>
      <c r="CW192" s="340">
        <f t="shared" si="441"/>
        <v>54743.99</v>
      </c>
      <c r="CX192" s="340">
        <f t="shared" si="442"/>
        <v>32378.560000000001</v>
      </c>
      <c r="CY192" s="340">
        <f t="shared" si="443"/>
        <v>57659.42</v>
      </c>
      <c r="CZ192" s="340">
        <f t="shared" si="444"/>
        <v>25589.91</v>
      </c>
      <c r="DA192" s="340">
        <f t="shared" si="445"/>
        <v>55892.06</v>
      </c>
      <c r="DB192" s="340">
        <f t="shared" si="446"/>
        <v>91818.73000000001</v>
      </c>
      <c r="DC192" s="340">
        <f t="shared" si="447"/>
        <v>42824.34</v>
      </c>
      <c r="DD192" s="340">
        <f t="shared" si="448"/>
        <v>61382.260000000009</v>
      </c>
      <c r="DE192" s="340">
        <f t="shared" si="449"/>
        <v>122879.45000000001</v>
      </c>
      <c r="DF192" s="340">
        <f t="shared" si="450"/>
        <v>86240.92</v>
      </c>
      <c r="DG192" s="340">
        <f t="shared" si="451"/>
        <v>88524.650000000009</v>
      </c>
      <c r="DH192" s="340">
        <f t="shared" si="452"/>
        <v>93758.91</v>
      </c>
      <c r="DI192" s="340">
        <f t="shared" si="453"/>
        <v>54539.249999999993</v>
      </c>
      <c r="DJ192" s="340">
        <f t="shared" si="454"/>
        <v>70179.340000000011</v>
      </c>
      <c r="DK192" s="340">
        <f t="shared" si="455"/>
        <v>105779.56999999999</v>
      </c>
      <c r="DL192" s="340">
        <f t="shared" si="456"/>
        <v>124458.22000000003</v>
      </c>
      <c r="DM192" s="340">
        <f t="shared" si="457"/>
        <v>135852.19</v>
      </c>
      <c r="DN192" s="340">
        <f t="shared" si="458"/>
        <v>160187.71000000002</v>
      </c>
      <c r="DO192" s="340">
        <f t="shared" si="459"/>
        <v>122972.8</v>
      </c>
      <c r="DP192" s="330"/>
      <c r="DQ192" s="340" t="s">
        <v>76</v>
      </c>
      <c r="DR192" s="340">
        <f t="shared" ref="DR192:EM192" si="546">DR94</f>
        <v>56661.5</v>
      </c>
      <c r="DS192" s="340">
        <f t="shared" si="546"/>
        <v>67448.639999999999</v>
      </c>
      <c r="DT192" s="340">
        <f t="shared" si="546"/>
        <v>73852.600000000006</v>
      </c>
      <c r="DU192" s="340">
        <f t="shared" si="546"/>
        <v>93846.84</v>
      </c>
      <c r="DV192" s="340">
        <f t="shared" si="546"/>
        <v>105230.32</v>
      </c>
      <c r="DW192" s="340">
        <f t="shared" si="546"/>
        <v>131792.95999999999</v>
      </c>
      <c r="DX192" s="340">
        <f t="shared" si="546"/>
        <v>127949.55</v>
      </c>
      <c r="DY192" s="340">
        <f t="shared" si="546"/>
        <v>111784.12</v>
      </c>
      <c r="DZ192" s="340">
        <f t="shared" si="546"/>
        <v>108303.09</v>
      </c>
      <c r="EA192" s="340">
        <f t="shared" si="546"/>
        <v>110135.57</v>
      </c>
      <c r="EB192" s="340">
        <f t="shared" si="546"/>
        <v>101162.17999999998</v>
      </c>
      <c r="EC192" s="340">
        <f t="shared" si="546"/>
        <v>7802.6799999999994</v>
      </c>
      <c r="ED192" s="340">
        <f t="shared" si="546"/>
        <v>11050.39</v>
      </c>
      <c r="EE192" s="340">
        <f t="shared" si="546"/>
        <v>18683.86</v>
      </c>
      <c r="EF192" s="340">
        <f t="shared" si="546"/>
        <v>15227.68</v>
      </c>
      <c r="EG192" s="340">
        <f t="shared" si="546"/>
        <v>20149.18</v>
      </c>
      <c r="EH192" s="340">
        <f t="shared" si="546"/>
        <v>19422.059999999998</v>
      </c>
      <c r="EI192" s="340">
        <f t="shared" si="546"/>
        <v>13581.86</v>
      </c>
      <c r="EJ192" s="340">
        <f t="shared" si="546"/>
        <v>-1954.4500000000016</v>
      </c>
      <c r="EK192" s="340">
        <f t="shared" si="546"/>
        <v>10692.230000000001</v>
      </c>
      <c r="EL192" s="340">
        <f t="shared" si="546"/>
        <v>35362.479999999989</v>
      </c>
      <c r="EM192" s="340">
        <f t="shared" si="546"/>
        <v>35887.119999999995</v>
      </c>
      <c r="EO192" s="319" t="s">
        <v>76</v>
      </c>
      <c r="EP192" s="319">
        <f t="shared" si="461"/>
        <v>135987.6</v>
      </c>
      <c r="EQ192" s="319">
        <f t="shared" si="462"/>
        <v>134897.28</v>
      </c>
      <c r="ER192" s="319">
        <f t="shared" si="463"/>
        <v>221557.8</v>
      </c>
      <c r="ES192" s="319">
        <f t="shared" si="464"/>
        <v>226796.53</v>
      </c>
      <c r="ET192" s="319">
        <f t="shared" si="465"/>
        <v>250933.84</v>
      </c>
      <c r="EU192" s="319">
        <f t="shared" si="466"/>
        <v>247111.8</v>
      </c>
      <c r="EV192" s="319">
        <f t="shared" si="467"/>
        <v>281489.01</v>
      </c>
      <c r="EW192" s="319">
        <f t="shared" si="468"/>
        <v>207599.08000000002</v>
      </c>
      <c r="EX192" s="319">
        <f t="shared" si="469"/>
        <v>201619.58999999997</v>
      </c>
      <c r="EY192" s="319">
        <f t="shared" si="470"/>
        <v>238369.03</v>
      </c>
      <c r="EZ192" s="319">
        <f t="shared" si="471"/>
        <v>223949.35</v>
      </c>
      <c r="FA192" s="319">
        <f t="shared" si="472"/>
        <v>262649.53000000003</v>
      </c>
      <c r="FB192" s="319">
        <f t="shared" si="473"/>
        <v>275410.51</v>
      </c>
      <c r="FC192" s="319">
        <f t="shared" si="474"/>
        <v>288410.80000000005</v>
      </c>
      <c r="FD192" s="319">
        <f t="shared" si="475"/>
        <v>296515.38</v>
      </c>
      <c r="FE192" s="319">
        <f t="shared" si="476"/>
        <v>261815.75999999998</v>
      </c>
      <c r="FF192" s="322">
        <f t="shared" si="477"/>
        <v>272471.88</v>
      </c>
      <c r="FG192" s="336">
        <f t="shared" si="478"/>
        <v>291401.20999999996</v>
      </c>
      <c r="FH192" s="336">
        <f t="shared" si="479"/>
        <v>337907.94999999995</v>
      </c>
      <c r="FI192" s="336">
        <f t="shared" si="480"/>
        <v>340165.39</v>
      </c>
      <c r="FJ192" s="336">
        <f t="shared" si="481"/>
        <v>351301.06000000006</v>
      </c>
      <c r="FK192" s="336">
        <f t="shared" si="482"/>
        <v>364719</v>
      </c>
      <c r="FL192" s="122"/>
      <c r="FM192" s="340" t="s">
        <v>76</v>
      </c>
      <c r="FN192" s="340">
        <f t="shared" si="483"/>
        <v>45329.2</v>
      </c>
      <c r="FO192" s="340">
        <f t="shared" si="484"/>
        <v>44965.760000000002</v>
      </c>
      <c r="FP192" s="340">
        <f t="shared" si="485"/>
        <v>44311.56</v>
      </c>
      <c r="FQ192" s="340">
        <f t="shared" si="486"/>
        <v>54743.99</v>
      </c>
      <c r="FR192" s="340">
        <f t="shared" si="487"/>
        <v>56662.48</v>
      </c>
      <c r="FS192" s="340">
        <f t="shared" si="488"/>
        <v>57659.42</v>
      </c>
      <c r="FT192" s="340">
        <f t="shared" si="489"/>
        <v>59709.79</v>
      </c>
      <c r="FU192" s="340">
        <f t="shared" si="490"/>
        <v>55892.06</v>
      </c>
      <c r="FV192" s="340">
        <f t="shared" si="491"/>
        <v>58609.810000000012</v>
      </c>
      <c r="FW192" s="340">
        <f t="shared" si="492"/>
        <v>59401.599999999999</v>
      </c>
      <c r="FX192" s="340">
        <f t="shared" si="493"/>
        <v>59835.78</v>
      </c>
      <c r="FY192" s="340">
        <f t="shared" si="494"/>
        <v>68898.819999999992</v>
      </c>
      <c r="FZ192" s="340">
        <f t="shared" si="495"/>
        <v>70026.909999999974</v>
      </c>
      <c r="GA192" s="340">
        <f t="shared" si="496"/>
        <v>70442.390000000014</v>
      </c>
      <c r="GB192" s="340">
        <f t="shared" si="497"/>
        <v>72153.100000000006</v>
      </c>
      <c r="GC192" s="340">
        <f t="shared" si="498"/>
        <v>70554.63999999997</v>
      </c>
      <c r="GD192" s="340">
        <f t="shared" si="499"/>
        <v>67742.509999999995</v>
      </c>
      <c r="GE192" s="340">
        <f t="shared" si="500"/>
        <v>63774.14</v>
      </c>
      <c r="GF192" s="340">
        <f t="shared" si="501"/>
        <v>67355.75</v>
      </c>
      <c r="GG192" s="340">
        <f t="shared" si="502"/>
        <v>80347.56</v>
      </c>
      <c r="GH192" s="340">
        <f t="shared" si="503"/>
        <v>81882.179999999993</v>
      </c>
      <c r="GI192" s="340">
        <f t="shared" si="504"/>
        <v>86627</v>
      </c>
      <c r="GJ192" s="122"/>
      <c r="GK192" s="340" t="s">
        <v>76</v>
      </c>
      <c r="GL192" s="340">
        <f t="shared" si="505"/>
        <v>28330.75</v>
      </c>
      <c r="GM192" s="340">
        <f t="shared" si="506"/>
        <v>0</v>
      </c>
      <c r="GN192" s="340">
        <f t="shared" si="507"/>
        <v>14770.52</v>
      </c>
      <c r="GO192" s="340">
        <f t="shared" si="508"/>
        <v>31282.28</v>
      </c>
      <c r="GP192" s="340">
        <f t="shared" si="509"/>
        <v>16189.28</v>
      </c>
      <c r="GQ192" s="340">
        <f t="shared" si="510"/>
        <v>8237.06</v>
      </c>
      <c r="GR192" s="340">
        <f t="shared" si="511"/>
        <v>17059.939999999999</v>
      </c>
      <c r="GS192" s="340">
        <f t="shared" si="512"/>
        <v>7984.58</v>
      </c>
      <c r="GT192" s="340">
        <f t="shared" si="513"/>
        <v>14167.97</v>
      </c>
      <c r="GU192" s="340">
        <f t="shared" si="514"/>
        <v>15694</v>
      </c>
      <c r="GV192" s="340">
        <f t="shared" si="515"/>
        <v>128704.79000000001</v>
      </c>
      <c r="GW192" s="340">
        <f t="shared" si="516"/>
        <v>31100</v>
      </c>
      <c r="GX192" s="340">
        <f t="shared" si="517"/>
        <v>30250</v>
      </c>
      <c r="GY192" s="340">
        <f t="shared" si="518"/>
        <v>468.59</v>
      </c>
      <c r="GZ192" s="340">
        <f t="shared" si="519"/>
        <v>23820.32</v>
      </c>
      <c r="HA192" s="340">
        <f t="shared" si="520"/>
        <v>17955</v>
      </c>
      <c r="HB192" s="340">
        <f t="shared" si="521"/>
        <v>17613.780000000002</v>
      </c>
      <c r="HC192" s="340">
        <f t="shared" si="522"/>
        <v>0</v>
      </c>
      <c r="HD192" s="340">
        <f t="shared" si="523"/>
        <v>0</v>
      </c>
      <c r="HE192" s="340">
        <f t="shared" si="524"/>
        <v>184445.54</v>
      </c>
      <c r="HF192" s="340">
        <f t="shared" si="525"/>
        <v>0</v>
      </c>
      <c r="HG192" s="340">
        <f t="shared" si="526"/>
        <v>0</v>
      </c>
      <c r="HH192" s="122"/>
      <c r="IF192" s="122"/>
      <c r="IG192" s="122"/>
      <c r="IH192" s="122"/>
      <c r="II192" s="122"/>
      <c r="IJ192" s="122"/>
      <c r="IK192" s="122"/>
      <c r="IL192" s="122"/>
      <c r="IN192" s="118"/>
      <c r="IP192" s="122"/>
      <c r="IQ192" s="122"/>
      <c r="IR192" s="122"/>
      <c r="IS192" s="122"/>
      <c r="IT192" s="122"/>
      <c r="IU192" s="122"/>
      <c r="IV192" s="122"/>
      <c r="IW192" s="122"/>
      <c r="IX192" s="122"/>
      <c r="IY192" s="122"/>
      <c r="IZ192" s="122"/>
      <c r="JA192" s="122"/>
      <c r="JB192" s="122"/>
      <c r="JC192" s="122"/>
      <c r="JD192" s="122"/>
      <c r="JE192" s="122"/>
      <c r="JF192" s="122"/>
      <c r="JG192" s="122"/>
      <c r="JH192" s="122"/>
      <c r="JI192" s="122"/>
      <c r="JK192" s="118"/>
      <c r="JL192" s="118"/>
      <c r="JY192" s="122"/>
      <c r="JZ192" s="122"/>
      <c r="KA192" s="122"/>
      <c r="KB192" s="122"/>
      <c r="LX192" s="122"/>
      <c r="LY192" s="122"/>
      <c r="LZ192" s="122"/>
      <c r="MB192" s="118"/>
      <c r="MC192" s="118"/>
      <c r="MP192" s="122"/>
      <c r="MQ192" s="122"/>
      <c r="MR192" s="122"/>
      <c r="MS192" s="122"/>
      <c r="MT192" s="122"/>
      <c r="MU192" s="122"/>
      <c r="MV192" s="122"/>
      <c r="OS192" s="118"/>
      <c r="OT192" s="118"/>
      <c r="PC192" s="122"/>
      <c r="PD192" s="122"/>
      <c r="PE192" s="122"/>
      <c r="PF192" s="122"/>
      <c r="PG192" s="122"/>
      <c r="PH192" s="122"/>
      <c r="PI192" s="122"/>
      <c r="PJ192" s="122"/>
      <c r="PP192" s="118"/>
      <c r="PQ192" s="118"/>
      <c r="PZ192" s="122"/>
      <c r="QA192" s="122"/>
      <c r="QB192" s="122"/>
      <c r="QC192" s="122"/>
      <c r="QD192" s="122"/>
      <c r="QE192" s="122"/>
      <c r="QF192" s="122"/>
      <c r="QG192" s="122"/>
      <c r="QM192" s="118"/>
      <c r="QN192" s="118"/>
      <c r="RE192" s="118"/>
      <c r="RF192" s="118"/>
      <c r="RG192" s="118"/>
      <c r="RH192" s="118"/>
      <c r="RI192" s="118"/>
      <c r="RJ192" s="118"/>
      <c r="RK192" s="118"/>
    </row>
    <row r="193" spans="25:479">
      <c r="Y193" s="277" t="s">
        <v>77</v>
      </c>
      <c r="Z193" s="319">
        <f t="shared" si="534"/>
        <v>255976.36000000002</v>
      </c>
      <c r="AA193" s="319">
        <f t="shared" si="373"/>
        <v>223218.22000000003</v>
      </c>
      <c r="AB193" s="319">
        <f t="shared" si="374"/>
        <v>205349.31</v>
      </c>
      <c r="AC193" s="319">
        <f t="shared" si="375"/>
        <v>247422.78</v>
      </c>
      <c r="AD193" s="319">
        <f t="shared" si="376"/>
        <v>302365.11</v>
      </c>
      <c r="AE193" s="319">
        <f t="shared" si="377"/>
        <v>310867.92</v>
      </c>
      <c r="AF193" s="319">
        <f t="shared" si="378"/>
        <v>311296.05999999994</v>
      </c>
      <c r="AG193" s="319">
        <f t="shared" si="379"/>
        <v>324534.86999999994</v>
      </c>
      <c r="AH193" s="319">
        <f t="shared" si="380"/>
        <v>343039.29</v>
      </c>
      <c r="AI193" s="319">
        <f t="shared" si="381"/>
        <v>363765.24999999994</v>
      </c>
      <c r="AJ193" s="319">
        <f t="shared" si="382"/>
        <v>358214.3</v>
      </c>
      <c r="AK193" s="319">
        <f t="shared" si="383"/>
        <v>0</v>
      </c>
      <c r="AL193" s="319">
        <f t="shared" si="384"/>
        <v>421438.84999999992</v>
      </c>
      <c r="AM193" s="319">
        <f t="shared" si="385"/>
        <v>411140.69</v>
      </c>
      <c r="AN193" s="319">
        <f t="shared" si="386"/>
        <v>415022.77</v>
      </c>
      <c r="AO193" s="319">
        <f t="shared" si="387"/>
        <v>486772.24</v>
      </c>
      <c r="AP193" s="319">
        <f t="shared" si="537"/>
        <v>512127.93999999994</v>
      </c>
      <c r="AQ193" s="319">
        <f t="shared" si="535"/>
        <v>464645.12000000005</v>
      </c>
      <c r="AR193" s="319">
        <f t="shared" si="390"/>
        <v>498079.45199999999</v>
      </c>
      <c r="AS193" s="319">
        <f t="shared" si="391"/>
        <v>459901.38</v>
      </c>
      <c r="AT193" s="319">
        <f t="shared" si="392"/>
        <v>529711.56999999995</v>
      </c>
      <c r="AU193" s="319">
        <f t="shared" si="393"/>
        <v>496402.06000000006</v>
      </c>
      <c r="AW193" s="322" t="s">
        <v>77</v>
      </c>
      <c r="AX193" s="322">
        <f t="shared" si="527"/>
        <v>41509.68</v>
      </c>
      <c r="AY193" s="322">
        <f t="shared" si="395"/>
        <v>53880.26</v>
      </c>
      <c r="AZ193" s="322">
        <f t="shared" si="396"/>
        <v>53238.71</v>
      </c>
      <c r="BA193" s="322">
        <f t="shared" si="397"/>
        <v>44985.960000000006</v>
      </c>
      <c r="BB193" s="322">
        <f t="shared" si="398"/>
        <v>49032.18</v>
      </c>
      <c r="BC193" s="322">
        <f t="shared" si="399"/>
        <v>51811.32</v>
      </c>
      <c r="BD193" s="322">
        <f t="shared" si="400"/>
        <v>53825.4</v>
      </c>
      <c r="BE193" s="322">
        <f t="shared" si="401"/>
        <v>88509.51</v>
      </c>
      <c r="BF193" s="322">
        <f t="shared" si="402"/>
        <v>86509.300000000017</v>
      </c>
      <c r="BG193" s="322">
        <f t="shared" si="403"/>
        <v>58031.540000000008</v>
      </c>
      <c r="BH193" s="322">
        <f t="shared" si="404"/>
        <v>134855.26999999999</v>
      </c>
      <c r="BI193" s="322">
        <f t="shared" si="405"/>
        <v>0</v>
      </c>
      <c r="BJ193" s="322">
        <f t="shared" si="406"/>
        <v>59686.719999999994</v>
      </c>
      <c r="BK193" s="322">
        <f t="shared" si="407"/>
        <v>63294.070000000007</v>
      </c>
      <c r="BL193" s="322">
        <f t="shared" si="530"/>
        <v>58497.88</v>
      </c>
      <c r="BM193" s="322">
        <f t="shared" si="531"/>
        <v>55494.469999999994</v>
      </c>
      <c r="BN193" s="322">
        <f t="shared" si="532"/>
        <v>39665.33</v>
      </c>
      <c r="BO193" s="340">
        <f t="shared" si="528"/>
        <v>47300.56</v>
      </c>
      <c r="BP193" s="340">
        <f t="shared" si="412"/>
        <v>57868.770000000004</v>
      </c>
      <c r="BQ193" s="340">
        <f t="shared" si="413"/>
        <v>64749.14</v>
      </c>
      <c r="BR193" s="340">
        <f t="shared" si="414"/>
        <v>84595.41</v>
      </c>
      <c r="BS193" s="340">
        <f t="shared" si="415"/>
        <v>106590</v>
      </c>
      <c r="BU193" s="340" t="s">
        <v>77</v>
      </c>
      <c r="BV193" s="340">
        <f t="shared" si="416"/>
        <v>13836.56</v>
      </c>
      <c r="BW193" s="340">
        <f t="shared" si="417"/>
        <v>23091.54</v>
      </c>
      <c r="BX193" s="340">
        <f t="shared" si="418"/>
        <v>15211.06</v>
      </c>
      <c r="BY193" s="340">
        <f t="shared" si="419"/>
        <v>14995.32</v>
      </c>
      <c r="BZ193" s="340">
        <f t="shared" si="420"/>
        <v>16344.06</v>
      </c>
      <c r="CA193" s="340">
        <f t="shared" si="421"/>
        <v>25905.659999999996</v>
      </c>
      <c r="CB193" s="340">
        <f t="shared" si="422"/>
        <v>26912.699999999997</v>
      </c>
      <c r="CC193" s="340">
        <f t="shared" si="423"/>
        <v>29503.17</v>
      </c>
      <c r="CD193" s="340">
        <f t="shared" si="424"/>
        <v>32058.920000000002</v>
      </c>
      <c r="CE193" s="340">
        <f t="shared" si="425"/>
        <v>33114.509999999995</v>
      </c>
      <c r="CF193" s="340">
        <f t="shared" si="426"/>
        <v>27508.769999999997</v>
      </c>
      <c r="CG193" s="340">
        <f t="shared" si="427"/>
        <v>0</v>
      </c>
      <c r="CH193" s="340">
        <f t="shared" si="428"/>
        <v>34537.699999999997</v>
      </c>
      <c r="CI193" s="340">
        <f t="shared" si="429"/>
        <v>36728.22</v>
      </c>
      <c r="CJ193" s="340">
        <f t="shared" si="430"/>
        <v>37938.33</v>
      </c>
      <c r="CK193" s="340">
        <f t="shared" si="431"/>
        <v>36067.53</v>
      </c>
      <c r="CL193" s="340">
        <f t="shared" si="432"/>
        <v>36617.08</v>
      </c>
      <c r="CM193" s="340">
        <f t="shared" si="433"/>
        <v>39831.229999999996</v>
      </c>
      <c r="CN193" s="340">
        <f t="shared" si="434"/>
        <v>40582.43</v>
      </c>
      <c r="CO193" s="340">
        <f t="shared" si="435"/>
        <v>39417.800000000003</v>
      </c>
      <c r="CP193" s="340">
        <f t="shared" si="436"/>
        <v>40798.340000000004</v>
      </c>
      <c r="CQ193" s="340">
        <f t="shared" si="437"/>
        <v>44878.2</v>
      </c>
      <c r="CR193" s="122"/>
      <c r="CS193" s="340" t="s">
        <v>77</v>
      </c>
      <c r="CT193" s="340">
        <f t="shared" si="438"/>
        <v>69182.8</v>
      </c>
      <c r="CU193" s="340">
        <f t="shared" si="439"/>
        <v>61577.440000000002</v>
      </c>
      <c r="CV193" s="340">
        <f t="shared" si="440"/>
        <v>76055.3</v>
      </c>
      <c r="CW193" s="340">
        <f t="shared" si="441"/>
        <v>29990.639999999999</v>
      </c>
      <c r="CX193" s="340">
        <f t="shared" si="442"/>
        <v>49032.18</v>
      </c>
      <c r="CY193" s="340">
        <f t="shared" si="443"/>
        <v>77716.98</v>
      </c>
      <c r="CZ193" s="340">
        <f t="shared" si="444"/>
        <v>62796.3</v>
      </c>
      <c r="DA193" s="340">
        <f t="shared" si="445"/>
        <v>59006.34</v>
      </c>
      <c r="DB193" s="340">
        <f t="shared" si="446"/>
        <v>60594.17</v>
      </c>
      <c r="DC193" s="340">
        <f t="shared" si="447"/>
        <v>96595.75</v>
      </c>
      <c r="DD193" s="340">
        <f t="shared" si="448"/>
        <v>105816.52</v>
      </c>
      <c r="DE193" s="340">
        <f t="shared" si="449"/>
        <v>0</v>
      </c>
      <c r="DF193" s="340">
        <f t="shared" si="450"/>
        <v>122780.67000000001</v>
      </c>
      <c r="DG193" s="340">
        <f t="shared" si="451"/>
        <v>107933.68</v>
      </c>
      <c r="DH193" s="340">
        <f t="shared" si="452"/>
        <v>140793.03999999998</v>
      </c>
      <c r="DI193" s="340">
        <f t="shared" si="453"/>
        <v>88831.45</v>
      </c>
      <c r="DJ193" s="340">
        <f t="shared" si="454"/>
        <v>98111.44</v>
      </c>
      <c r="DK193" s="340">
        <f t="shared" si="455"/>
        <v>92816.4</v>
      </c>
      <c r="DL193" s="340">
        <f t="shared" si="456"/>
        <v>95531.109999999986</v>
      </c>
      <c r="DM193" s="340">
        <f t="shared" si="457"/>
        <v>98705.680000000008</v>
      </c>
      <c r="DN193" s="340">
        <f t="shared" si="458"/>
        <v>110260.08</v>
      </c>
      <c r="DO193" s="340">
        <f t="shared" si="459"/>
        <v>114750</v>
      </c>
      <c r="DP193" s="330"/>
      <c r="DQ193" s="340" t="s">
        <v>77</v>
      </c>
      <c r="DR193" s="340">
        <f t="shared" ref="DR193:EM193" si="547">DR95</f>
        <v>55346.239999999998</v>
      </c>
      <c r="DS193" s="340">
        <f t="shared" si="547"/>
        <v>76971.8</v>
      </c>
      <c r="DT193" s="340">
        <f t="shared" si="547"/>
        <v>83660.83</v>
      </c>
      <c r="DU193" s="340">
        <f t="shared" si="547"/>
        <v>82474.259999999995</v>
      </c>
      <c r="DV193" s="340">
        <f t="shared" si="547"/>
        <v>73548.27</v>
      </c>
      <c r="DW193" s="340">
        <f t="shared" si="547"/>
        <v>69081.759999999995</v>
      </c>
      <c r="DX193" s="340">
        <f t="shared" si="547"/>
        <v>80738.100000000006</v>
      </c>
      <c r="DY193" s="340">
        <f t="shared" si="547"/>
        <v>88509.51</v>
      </c>
      <c r="DZ193" s="340">
        <f t="shared" si="547"/>
        <v>98839.48</v>
      </c>
      <c r="EA193" s="340">
        <f t="shared" si="547"/>
        <v>97467.849999999977</v>
      </c>
      <c r="EB193" s="340">
        <f t="shared" si="547"/>
        <v>96396.98</v>
      </c>
      <c r="EC193" s="340">
        <f t="shared" si="547"/>
        <v>0</v>
      </c>
      <c r="ED193" s="340">
        <f t="shared" si="547"/>
        <v>109943.16</v>
      </c>
      <c r="EE193" s="340">
        <f t="shared" si="547"/>
        <v>103020.95999999999</v>
      </c>
      <c r="EF193" s="340">
        <f t="shared" si="547"/>
        <v>109607.44</v>
      </c>
      <c r="EG193" s="340">
        <f t="shared" si="547"/>
        <v>99413.58</v>
      </c>
      <c r="EH193" s="340">
        <f t="shared" si="547"/>
        <v>98390.23</v>
      </c>
      <c r="EI193" s="340">
        <f t="shared" si="547"/>
        <v>98939.999999999985</v>
      </c>
      <c r="EJ193" s="340">
        <f t="shared" si="547"/>
        <v>101802.64999999998</v>
      </c>
      <c r="EK193" s="340">
        <f t="shared" si="547"/>
        <v>104921.81</v>
      </c>
      <c r="EL193" s="340">
        <f t="shared" si="547"/>
        <v>102745.79</v>
      </c>
      <c r="EM193" s="340">
        <f t="shared" si="547"/>
        <v>111000</v>
      </c>
      <c r="EO193" s="319" t="s">
        <v>77</v>
      </c>
      <c r="EP193" s="319">
        <f t="shared" si="461"/>
        <v>193711.84</v>
      </c>
      <c r="EQ193" s="319">
        <f t="shared" si="462"/>
        <v>261704.12</v>
      </c>
      <c r="ER193" s="319">
        <f t="shared" si="463"/>
        <v>250982.49</v>
      </c>
      <c r="ES193" s="319">
        <f t="shared" si="464"/>
        <v>254920.44</v>
      </c>
      <c r="ET193" s="319">
        <f t="shared" si="465"/>
        <v>228816.84</v>
      </c>
      <c r="EU193" s="319">
        <f t="shared" si="466"/>
        <v>233150.94</v>
      </c>
      <c r="EV193" s="319">
        <f t="shared" si="467"/>
        <v>260156.09999999998</v>
      </c>
      <c r="EW193" s="319">
        <f t="shared" si="468"/>
        <v>285197.31</v>
      </c>
      <c r="EX193" s="319">
        <f t="shared" si="469"/>
        <v>293959.74</v>
      </c>
      <c r="EY193" s="319">
        <f t="shared" si="470"/>
        <v>309564.08999999997</v>
      </c>
      <c r="EZ193" s="319">
        <f t="shared" si="471"/>
        <v>292153.35000000003</v>
      </c>
      <c r="FA193" s="319">
        <f t="shared" si="472"/>
        <v>0</v>
      </c>
      <c r="FB193" s="319">
        <f t="shared" si="473"/>
        <v>272303.43000000005</v>
      </c>
      <c r="FC193" s="319">
        <f t="shared" si="474"/>
        <v>260680.74000000002</v>
      </c>
      <c r="FD193" s="319">
        <f t="shared" si="475"/>
        <v>297306.81</v>
      </c>
      <c r="FE193" s="319">
        <f t="shared" si="476"/>
        <v>291442.52999999997</v>
      </c>
      <c r="FF193" s="322">
        <f t="shared" si="477"/>
        <v>267648.98</v>
      </c>
      <c r="FG193" s="336">
        <f t="shared" si="478"/>
        <v>271622.86</v>
      </c>
      <c r="FH193" s="336">
        <f t="shared" si="479"/>
        <v>317302.41000000003</v>
      </c>
      <c r="FI193" s="336">
        <f t="shared" si="480"/>
        <v>277980.96000000002</v>
      </c>
      <c r="FJ193" s="336">
        <f t="shared" si="481"/>
        <v>331059.73000000004</v>
      </c>
      <c r="FK193" s="336">
        <f t="shared" si="482"/>
        <v>349858.8</v>
      </c>
      <c r="FL193" s="122"/>
      <c r="FM193" s="340" t="s">
        <v>77</v>
      </c>
      <c r="FN193" s="340">
        <f t="shared" si="483"/>
        <v>48427.96</v>
      </c>
      <c r="FO193" s="340">
        <f t="shared" si="484"/>
        <v>53880.26</v>
      </c>
      <c r="FP193" s="340">
        <f t="shared" si="485"/>
        <v>45633.18</v>
      </c>
      <c r="FQ193" s="340">
        <f t="shared" si="486"/>
        <v>59981.279999999999</v>
      </c>
      <c r="FR193" s="340">
        <f t="shared" si="487"/>
        <v>65376.24</v>
      </c>
      <c r="FS193" s="340">
        <f t="shared" si="488"/>
        <v>69081.759999999995</v>
      </c>
      <c r="FT193" s="340">
        <f t="shared" si="489"/>
        <v>71767.199999999997</v>
      </c>
      <c r="FU193" s="340">
        <f t="shared" si="490"/>
        <v>78675.12</v>
      </c>
      <c r="FV193" s="340">
        <f t="shared" si="491"/>
        <v>76183.14</v>
      </c>
      <c r="FW193" s="340">
        <f t="shared" si="492"/>
        <v>71012.08</v>
      </c>
      <c r="FX193" s="340">
        <f t="shared" si="493"/>
        <v>68074.080000000002</v>
      </c>
      <c r="FY193" s="340">
        <f t="shared" si="494"/>
        <v>0</v>
      </c>
      <c r="FZ193" s="340">
        <f t="shared" si="495"/>
        <v>72015.600000000006</v>
      </c>
      <c r="GA193" s="340">
        <f t="shared" si="496"/>
        <v>75984.929999999993</v>
      </c>
      <c r="GB193" s="340">
        <f t="shared" si="497"/>
        <v>77501.969999999987</v>
      </c>
      <c r="GC193" s="340">
        <f t="shared" si="498"/>
        <v>78088.409999999989</v>
      </c>
      <c r="GD193" s="340">
        <f t="shared" si="499"/>
        <v>81517.99000000002</v>
      </c>
      <c r="GE193" s="340">
        <f t="shared" si="500"/>
        <v>83898.89</v>
      </c>
      <c r="GF193" s="340">
        <f t="shared" si="501"/>
        <v>87758.8</v>
      </c>
      <c r="GG193" s="340">
        <f t="shared" si="502"/>
        <v>89994.040000000008</v>
      </c>
      <c r="GH193" s="340">
        <f t="shared" si="503"/>
        <v>106889.73999999999</v>
      </c>
      <c r="GI193" s="340">
        <f t="shared" si="504"/>
        <v>131194.4</v>
      </c>
      <c r="GJ193" s="122"/>
      <c r="GK193" s="340" t="s">
        <v>77</v>
      </c>
      <c r="GL193" s="340">
        <f t="shared" si="505"/>
        <v>13836.56</v>
      </c>
      <c r="GM193" s="340">
        <f t="shared" si="506"/>
        <v>15394.36</v>
      </c>
      <c r="GN193" s="340">
        <f t="shared" si="507"/>
        <v>30422.12</v>
      </c>
      <c r="GO193" s="340">
        <f t="shared" si="508"/>
        <v>14995.32</v>
      </c>
      <c r="GP193" s="340">
        <f t="shared" si="509"/>
        <v>32688.12</v>
      </c>
      <c r="GQ193" s="340">
        <f t="shared" si="510"/>
        <v>25905.66</v>
      </c>
      <c r="GR193" s="340">
        <f t="shared" si="511"/>
        <v>26912.7</v>
      </c>
      <c r="GS193" s="340">
        <f t="shared" si="512"/>
        <v>29503.17</v>
      </c>
      <c r="GT193" s="340">
        <f t="shared" si="513"/>
        <v>47438.66</v>
      </c>
      <c r="GU193" s="340">
        <f t="shared" si="514"/>
        <v>32135.1</v>
      </c>
      <c r="GV193" s="340">
        <f t="shared" si="515"/>
        <v>24566</v>
      </c>
      <c r="GW193" s="340">
        <f t="shared" si="516"/>
        <v>0</v>
      </c>
      <c r="GX193" s="340">
        <f t="shared" si="517"/>
        <v>40086</v>
      </c>
      <c r="GY193" s="340">
        <f t="shared" si="518"/>
        <v>15086</v>
      </c>
      <c r="GZ193" s="340">
        <f t="shared" si="519"/>
        <v>16043</v>
      </c>
      <c r="HA193" s="340">
        <f t="shared" si="520"/>
        <v>17601</v>
      </c>
      <c r="HB193" s="340">
        <f t="shared" si="521"/>
        <v>36167.78</v>
      </c>
      <c r="HC193" s="340">
        <f t="shared" si="522"/>
        <v>204374.33000000002</v>
      </c>
      <c r="HD193" s="340">
        <f t="shared" si="523"/>
        <v>65133.789999999994</v>
      </c>
      <c r="HE193" s="340">
        <f t="shared" si="524"/>
        <v>60373.64</v>
      </c>
      <c r="HF193" s="340">
        <f t="shared" si="525"/>
        <v>61927.770000000004</v>
      </c>
      <c r="HG193" s="340">
        <f t="shared" si="526"/>
        <v>91634.77</v>
      </c>
      <c r="HH193" s="122"/>
      <c r="IF193" s="122"/>
      <c r="IG193" s="122"/>
      <c r="IH193" s="122"/>
      <c r="II193" s="122"/>
      <c r="IJ193" s="122"/>
      <c r="IK193" s="122"/>
      <c r="IL193" s="122"/>
      <c r="IN193" s="118"/>
      <c r="IP193" s="122"/>
      <c r="IQ193" s="122"/>
      <c r="IR193" s="122"/>
      <c r="IS193" s="122"/>
      <c r="IT193" s="122"/>
      <c r="IU193" s="122"/>
      <c r="IV193" s="122"/>
      <c r="IW193" s="122"/>
      <c r="IX193" s="122"/>
      <c r="IY193" s="122"/>
      <c r="IZ193" s="122"/>
      <c r="JA193" s="122"/>
      <c r="JB193" s="122"/>
      <c r="JC193" s="122"/>
      <c r="JD193" s="122"/>
      <c r="JE193" s="122"/>
      <c r="JF193" s="122"/>
      <c r="JG193" s="122"/>
      <c r="JH193" s="122"/>
      <c r="JI193" s="122"/>
      <c r="JK193" s="118"/>
      <c r="JL193" s="118"/>
      <c r="JY193" s="122"/>
      <c r="JZ193" s="122"/>
      <c r="KA193" s="122"/>
      <c r="KB193" s="122"/>
      <c r="LX193" s="122"/>
      <c r="LY193" s="122"/>
      <c r="LZ193" s="122"/>
      <c r="MB193" s="118"/>
      <c r="MC193" s="118"/>
      <c r="MP193" s="122"/>
      <c r="MQ193" s="122"/>
      <c r="MR193" s="122"/>
      <c r="MS193" s="122"/>
      <c r="MT193" s="122"/>
      <c r="MU193" s="122"/>
      <c r="MV193" s="122"/>
      <c r="OS193" s="118"/>
      <c r="OT193" s="118"/>
      <c r="PC193" s="122"/>
      <c r="PD193" s="122"/>
      <c r="PE193" s="122"/>
      <c r="PF193" s="122"/>
      <c r="PG193" s="122"/>
      <c r="PH193" s="122"/>
      <c r="PI193" s="122"/>
      <c r="PJ193" s="122"/>
      <c r="PP193" s="118"/>
      <c r="PQ193" s="118"/>
      <c r="PZ193" s="122"/>
      <c r="QA193" s="122"/>
      <c r="QB193" s="122"/>
      <c r="QC193" s="122"/>
      <c r="QD193" s="122"/>
      <c r="QE193" s="122"/>
      <c r="QF193" s="122"/>
      <c r="QG193" s="122"/>
      <c r="QM193" s="118"/>
      <c r="QN193" s="118"/>
      <c r="RE193" s="118"/>
      <c r="RF193" s="118"/>
      <c r="RG193" s="118"/>
      <c r="RH193" s="118"/>
      <c r="RI193" s="118"/>
      <c r="RJ193" s="118"/>
      <c r="RK193" s="118"/>
    </row>
    <row r="194" spans="25:479">
      <c r="Y194" s="277" t="s">
        <v>78</v>
      </c>
      <c r="Z194" s="319">
        <f t="shared" si="534"/>
        <v>509958.02000000008</v>
      </c>
      <c r="AA194" s="319">
        <f t="shared" si="373"/>
        <v>496728.72</v>
      </c>
      <c r="AB194" s="319">
        <f t="shared" si="374"/>
        <v>515490.52</v>
      </c>
      <c r="AC194" s="319">
        <f t="shared" si="375"/>
        <v>589305.86</v>
      </c>
      <c r="AD194" s="319">
        <f t="shared" si="376"/>
        <v>644278.5</v>
      </c>
      <c r="AE194" s="319">
        <f t="shared" si="377"/>
        <v>567020.74</v>
      </c>
      <c r="AF194" s="319">
        <f t="shared" si="378"/>
        <v>697356.68</v>
      </c>
      <c r="AG194" s="319">
        <f t="shared" si="379"/>
        <v>673281.25</v>
      </c>
      <c r="AH194" s="319">
        <f t="shared" si="380"/>
        <v>734910.73</v>
      </c>
      <c r="AI194" s="319">
        <f t="shared" si="381"/>
        <v>737664.97999999986</v>
      </c>
      <c r="AJ194" s="319">
        <f t="shared" si="382"/>
        <v>765759.35999999987</v>
      </c>
      <c r="AK194" s="319">
        <f t="shared" si="383"/>
        <v>796825.65</v>
      </c>
      <c r="AL194" s="319">
        <f t="shared" si="384"/>
        <v>812440.25000000012</v>
      </c>
      <c r="AM194" s="319">
        <f t="shared" si="385"/>
        <v>832131.12</v>
      </c>
      <c r="AN194" s="319">
        <f t="shared" si="386"/>
        <v>900872.20000000007</v>
      </c>
      <c r="AO194" s="319">
        <f t="shared" si="387"/>
        <v>849261.1100000001</v>
      </c>
      <c r="AP194" s="319">
        <f t="shared" si="537"/>
        <v>933541.4800000001</v>
      </c>
      <c r="AQ194" s="319">
        <f t="shared" si="535"/>
        <v>910525.84999999986</v>
      </c>
      <c r="AR194" s="319">
        <f t="shared" si="390"/>
        <v>939706.03</v>
      </c>
      <c r="AS194" s="319">
        <f t="shared" si="391"/>
        <v>0</v>
      </c>
      <c r="AT194" s="319">
        <f t="shared" si="392"/>
        <v>0</v>
      </c>
      <c r="AU194" s="319">
        <f t="shared" si="393"/>
        <v>0</v>
      </c>
      <c r="AW194" s="322" t="s">
        <v>78</v>
      </c>
      <c r="AX194" s="322">
        <f t="shared" si="527"/>
        <v>353047.86</v>
      </c>
      <c r="AY194" s="322">
        <f t="shared" si="395"/>
        <v>331152.48</v>
      </c>
      <c r="AZ194" s="322">
        <f t="shared" si="396"/>
        <v>352704.04000000004</v>
      </c>
      <c r="BA194" s="322">
        <f t="shared" si="397"/>
        <v>430646.59</v>
      </c>
      <c r="BB194" s="322">
        <f t="shared" si="398"/>
        <v>773134.20000000007</v>
      </c>
      <c r="BC194" s="322">
        <f t="shared" si="399"/>
        <v>309284.03999999998</v>
      </c>
      <c r="BD194" s="322">
        <f t="shared" si="400"/>
        <v>309016.24</v>
      </c>
      <c r="BE194" s="322">
        <f t="shared" si="401"/>
        <v>430900</v>
      </c>
      <c r="BF194" s="322">
        <f t="shared" si="402"/>
        <v>435680.78000000009</v>
      </c>
      <c r="BG194" s="322">
        <f t="shared" si="403"/>
        <v>479758.66000000003</v>
      </c>
      <c r="BH194" s="322">
        <f t="shared" si="404"/>
        <v>451054.54</v>
      </c>
      <c r="BI194" s="322">
        <f t="shared" si="405"/>
        <v>232763.58999999997</v>
      </c>
      <c r="BJ194" s="322">
        <f t="shared" si="406"/>
        <v>233826.25999999998</v>
      </c>
      <c r="BK194" s="322">
        <f t="shared" si="407"/>
        <v>227457.97</v>
      </c>
      <c r="BL194" s="322">
        <f t="shared" si="530"/>
        <v>238804.79000000004</v>
      </c>
      <c r="BM194" s="322">
        <f t="shared" si="531"/>
        <v>232770.87</v>
      </c>
      <c r="BN194" s="322">
        <f t="shared" si="532"/>
        <v>245646.21999999997</v>
      </c>
      <c r="BO194" s="340">
        <f t="shared" si="528"/>
        <v>268689.93</v>
      </c>
      <c r="BP194" s="340">
        <f t="shared" si="412"/>
        <v>272544.84000000003</v>
      </c>
      <c r="BQ194" s="340">
        <f t="shared" si="413"/>
        <v>0</v>
      </c>
      <c r="BR194" s="340">
        <f t="shared" si="414"/>
        <v>0</v>
      </c>
      <c r="BS194" s="340">
        <f t="shared" si="415"/>
        <v>0</v>
      </c>
      <c r="BU194" s="340" t="s">
        <v>78</v>
      </c>
      <c r="BV194" s="340">
        <f t="shared" si="416"/>
        <v>19613.77</v>
      </c>
      <c r="BW194" s="340">
        <f t="shared" si="417"/>
        <v>41394.06</v>
      </c>
      <c r="BX194" s="340">
        <f t="shared" si="418"/>
        <v>27131.08</v>
      </c>
      <c r="BY194" s="340">
        <f t="shared" si="419"/>
        <v>45331.22</v>
      </c>
      <c r="BZ194" s="340">
        <f t="shared" si="420"/>
        <v>25771.14</v>
      </c>
      <c r="CA194" s="340">
        <f t="shared" si="421"/>
        <v>51547.34</v>
      </c>
      <c r="CB194" s="340">
        <f t="shared" si="422"/>
        <v>47540.959999999999</v>
      </c>
      <c r="CC194" s="340">
        <f t="shared" si="423"/>
        <v>53862.5</v>
      </c>
      <c r="CD194" s="340">
        <f t="shared" si="424"/>
        <v>62938.020000000004</v>
      </c>
      <c r="CE194" s="340">
        <f t="shared" si="425"/>
        <v>83520.929999999993</v>
      </c>
      <c r="CF194" s="340">
        <f t="shared" si="426"/>
        <v>102020.70000000001</v>
      </c>
      <c r="CG194" s="340">
        <f t="shared" si="427"/>
        <v>103925.69</v>
      </c>
      <c r="CH194" s="340">
        <f t="shared" si="428"/>
        <v>94892.930000000008</v>
      </c>
      <c r="CI194" s="340">
        <f t="shared" si="429"/>
        <v>102534.04000000001</v>
      </c>
      <c r="CJ194" s="340">
        <f t="shared" si="430"/>
        <v>119689.70999999999</v>
      </c>
      <c r="CK194" s="340">
        <f t="shared" si="431"/>
        <v>121054.76000000001</v>
      </c>
      <c r="CL194" s="340">
        <f t="shared" si="432"/>
        <v>142858.15999999997</v>
      </c>
      <c r="CM194" s="340">
        <f t="shared" si="433"/>
        <v>139793.27000000002</v>
      </c>
      <c r="CN194" s="340">
        <f t="shared" si="434"/>
        <v>151133.82</v>
      </c>
      <c r="CO194" s="340">
        <f t="shared" si="435"/>
        <v>0</v>
      </c>
      <c r="CP194" s="340">
        <f t="shared" si="436"/>
        <v>0</v>
      </c>
      <c r="CQ194" s="340">
        <f t="shared" si="437"/>
        <v>0</v>
      </c>
      <c r="CR194" s="122"/>
      <c r="CS194" s="340" t="s">
        <v>78</v>
      </c>
      <c r="CT194" s="340">
        <f t="shared" si="438"/>
        <v>176523.93</v>
      </c>
      <c r="CU194" s="340">
        <f t="shared" si="439"/>
        <v>227667.33</v>
      </c>
      <c r="CV194" s="340">
        <f t="shared" si="440"/>
        <v>162786.48000000001</v>
      </c>
      <c r="CW194" s="340">
        <f t="shared" si="441"/>
        <v>203990.49</v>
      </c>
      <c r="CX194" s="340">
        <f t="shared" si="442"/>
        <v>128855.7</v>
      </c>
      <c r="CY194" s="340">
        <f t="shared" si="443"/>
        <v>128868.35</v>
      </c>
      <c r="CZ194" s="340">
        <f t="shared" si="444"/>
        <v>118852.4</v>
      </c>
      <c r="DA194" s="340">
        <f t="shared" si="445"/>
        <v>188518.75</v>
      </c>
      <c r="DB194" s="340">
        <f t="shared" si="446"/>
        <v>171645.81</v>
      </c>
      <c r="DC194" s="340">
        <f t="shared" si="447"/>
        <v>237386.6</v>
      </c>
      <c r="DD194" s="340">
        <f t="shared" si="448"/>
        <v>255149.27999999997</v>
      </c>
      <c r="DE194" s="340">
        <f t="shared" si="449"/>
        <v>426409.27</v>
      </c>
      <c r="DF194" s="340">
        <f t="shared" si="450"/>
        <v>438452.67</v>
      </c>
      <c r="DG194" s="340">
        <f t="shared" si="451"/>
        <v>465695.19999999995</v>
      </c>
      <c r="DH194" s="340">
        <f t="shared" si="452"/>
        <v>434609.54</v>
      </c>
      <c r="DI194" s="340">
        <f t="shared" si="453"/>
        <v>772238.89</v>
      </c>
      <c r="DJ194" s="340">
        <f t="shared" si="454"/>
        <v>492828.22000000003</v>
      </c>
      <c r="DK194" s="340">
        <f t="shared" si="455"/>
        <v>489947.74</v>
      </c>
      <c r="DL194" s="340">
        <f t="shared" si="456"/>
        <v>1122519.8900000001</v>
      </c>
      <c r="DM194" s="340">
        <f t="shared" si="457"/>
        <v>0</v>
      </c>
      <c r="DN194" s="340">
        <f t="shared" si="458"/>
        <v>0</v>
      </c>
      <c r="DO194" s="340">
        <f t="shared" si="459"/>
        <v>0</v>
      </c>
      <c r="DP194" s="330"/>
      <c r="DQ194" s="340" t="s">
        <v>78</v>
      </c>
      <c r="DR194" s="340">
        <f t="shared" ref="DR194:EM194" si="548">DR96</f>
        <v>274592.78000000003</v>
      </c>
      <c r="DS194" s="340">
        <f t="shared" si="548"/>
        <v>289758.42</v>
      </c>
      <c r="DT194" s="340">
        <f t="shared" si="548"/>
        <v>325572.96000000002</v>
      </c>
      <c r="DU194" s="340">
        <f t="shared" si="548"/>
        <v>249321.71</v>
      </c>
      <c r="DV194" s="340">
        <f t="shared" si="548"/>
        <v>231940.26</v>
      </c>
      <c r="DW194" s="340">
        <f t="shared" si="548"/>
        <v>257736.7</v>
      </c>
      <c r="DX194" s="340">
        <f t="shared" si="548"/>
        <v>237704.8</v>
      </c>
      <c r="DY194" s="340">
        <f t="shared" si="548"/>
        <v>242381.25</v>
      </c>
      <c r="DZ194" s="340">
        <f t="shared" si="548"/>
        <v>271073.93</v>
      </c>
      <c r="EA194" s="340">
        <f t="shared" si="548"/>
        <v>336601.46000000008</v>
      </c>
      <c r="EB194" s="340">
        <f t="shared" si="548"/>
        <v>360423.82</v>
      </c>
      <c r="EC194" s="340">
        <f t="shared" si="548"/>
        <v>388850.23000000004</v>
      </c>
      <c r="ED194" s="340">
        <f t="shared" si="548"/>
        <v>460430.26999999996</v>
      </c>
      <c r="EE194" s="340">
        <f t="shared" si="548"/>
        <v>491071.83999999991</v>
      </c>
      <c r="EF194" s="340">
        <f t="shared" si="548"/>
        <v>520893.18999999994</v>
      </c>
      <c r="EG194" s="340">
        <f t="shared" si="548"/>
        <v>583523.41999999981</v>
      </c>
      <c r="EH194" s="340">
        <f t="shared" si="548"/>
        <v>629721.29</v>
      </c>
      <c r="EI194" s="340">
        <f t="shared" si="548"/>
        <v>656884.44999999995</v>
      </c>
      <c r="EJ194" s="340">
        <f t="shared" si="548"/>
        <v>666536.53999999992</v>
      </c>
      <c r="EK194" s="340">
        <f t="shared" si="548"/>
        <v>0</v>
      </c>
      <c r="EL194" s="340">
        <f t="shared" si="548"/>
        <v>0</v>
      </c>
      <c r="EM194" s="340">
        <f t="shared" si="548"/>
        <v>0</v>
      </c>
      <c r="EO194" s="319" t="s">
        <v>78</v>
      </c>
      <c r="EP194" s="319">
        <f t="shared" si="461"/>
        <v>509958.02</v>
      </c>
      <c r="EQ194" s="319">
        <f t="shared" si="462"/>
        <v>558819.81000000006</v>
      </c>
      <c r="ER194" s="319">
        <f t="shared" si="463"/>
        <v>624014.84</v>
      </c>
      <c r="ES194" s="319">
        <f t="shared" si="464"/>
        <v>611971.47</v>
      </c>
      <c r="ET194" s="319">
        <f t="shared" si="465"/>
        <v>644278.5</v>
      </c>
      <c r="EU194" s="319">
        <f t="shared" si="466"/>
        <v>644341.75</v>
      </c>
      <c r="EV194" s="319">
        <f t="shared" si="467"/>
        <v>641802.96</v>
      </c>
      <c r="EW194" s="319">
        <f t="shared" si="468"/>
        <v>700212.5</v>
      </c>
      <c r="EX194" s="319">
        <f t="shared" si="469"/>
        <v>788693.5</v>
      </c>
      <c r="EY194" s="319">
        <f t="shared" si="470"/>
        <v>756373.46</v>
      </c>
      <c r="EZ194" s="319">
        <f t="shared" si="471"/>
        <v>763906.42999999993</v>
      </c>
      <c r="FA194" s="319">
        <f t="shared" si="472"/>
        <v>797205.61999999988</v>
      </c>
      <c r="FB194" s="319">
        <f t="shared" si="473"/>
        <v>927538.83000000007</v>
      </c>
      <c r="FC194" s="319">
        <f t="shared" si="474"/>
        <v>925647.4</v>
      </c>
      <c r="FD194" s="319">
        <f t="shared" si="475"/>
        <v>878850.16000000015</v>
      </c>
      <c r="FE194" s="319">
        <f t="shared" si="476"/>
        <v>971316.01</v>
      </c>
      <c r="FF194" s="322">
        <f t="shared" si="477"/>
        <v>999150.77</v>
      </c>
      <c r="FG194" s="336">
        <f t="shared" si="478"/>
        <v>1035338.6900000001</v>
      </c>
      <c r="FH194" s="336">
        <f t="shared" si="479"/>
        <v>1144450.1000000001</v>
      </c>
      <c r="FI194" s="336">
        <f t="shared" si="480"/>
        <v>0</v>
      </c>
      <c r="FJ194" s="336">
        <f t="shared" si="481"/>
        <v>0</v>
      </c>
      <c r="FK194" s="336">
        <f t="shared" si="482"/>
        <v>0</v>
      </c>
      <c r="FL194" s="122"/>
      <c r="FM194" s="340" t="s">
        <v>78</v>
      </c>
      <c r="FN194" s="340">
        <f t="shared" si="483"/>
        <v>117682.62</v>
      </c>
      <c r="FO194" s="340">
        <f t="shared" si="484"/>
        <v>124182.18</v>
      </c>
      <c r="FP194" s="340">
        <f t="shared" si="485"/>
        <v>108524.32</v>
      </c>
      <c r="FQ194" s="340">
        <f t="shared" si="486"/>
        <v>135993.66</v>
      </c>
      <c r="FR194" s="340">
        <f t="shared" si="487"/>
        <v>128855.7</v>
      </c>
      <c r="FS194" s="340">
        <f t="shared" si="488"/>
        <v>128868.35</v>
      </c>
      <c r="FT194" s="340">
        <f t="shared" si="489"/>
        <v>142622.88</v>
      </c>
      <c r="FU194" s="340">
        <f t="shared" si="490"/>
        <v>134656.25</v>
      </c>
      <c r="FV194" s="340">
        <f t="shared" si="491"/>
        <v>136049.08999999997</v>
      </c>
      <c r="FW194" s="340">
        <f t="shared" si="492"/>
        <v>154981.72999999998</v>
      </c>
      <c r="FX194" s="340">
        <f t="shared" si="493"/>
        <v>148840.30000000002</v>
      </c>
      <c r="FY194" s="340">
        <f t="shared" si="494"/>
        <v>165410.78</v>
      </c>
      <c r="FZ194" s="340">
        <f t="shared" si="495"/>
        <v>168262.59</v>
      </c>
      <c r="GA194" s="340">
        <f t="shared" si="496"/>
        <v>225933.05000000005</v>
      </c>
      <c r="GB194" s="340">
        <f t="shared" si="497"/>
        <v>186341.9</v>
      </c>
      <c r="GC194" s="340">
        <f t="shared" si="498"/>
        <v>175951.84000000005</v>
      </c>
      <c r="GD194" s="340">
        <f t="shared" si="499"/>
        <v>176015.82</v>
      </c>
      <c r="GE194" s="340">
        <f t="shared" si="500"/>
        <v>182828.37</v>
      </c>
      <c r="GF194" s="340">
        <f t="shared" si="501"/>
        <v>206894.69999999998</v>
      </c>
      <c r="GG194" s="340">
        <f t="shared" si="502"/>
        <v>0</v>
      </c>
      <c r="GH194" s="340">
        <f t="shared" si="503"/>
        <v>0</v>
      </c>
      <c r="GI194" s="340">
        <f t="shared" si="504"/>
        <v>0</v>
      </c>
      <c r="GJ194" s="122"/>
      <c r="GK194" s="340" t="s">
        <v>78</v>
      </c>
      <c r="GL194" s="340">
        <f t="shared" si="505"/>
        <v>0</v>
      </c>
      <c r="GM194" s="340">
        <f t="shared" si="506"/>
        <v>0</v>
      </c>
      <c r="GN194" s="340">
        <f t="shared" si="507"/>
        <v>596883.76</v>
      </c>
      <c r="GO194" s="340">
        <f t="shared" si="508"/>
        <v>0</v>
      </c>
      <c r="GP194" s="340">
        <f t="shared" si="509"/>
        <v>0</v>
      </c>
      <c r="GQ194" s="340">
        <f t="shared" si="510"/>
        <v>489699.73</v>
      </c>
      <c r="GR194" s="340">
        <f t="shared" si="511"/>
        <v>190163.84</v>
      </c>
      <c r="GS194" s="340">
        <f t="shared" si="512"/>
        <v>269312.5</v>
      </c>
      <c r="GT194" s="340">
        <f t="shared" si="513"/>
        <v>265498</v>
      </c>
      <c r="GU194" s="340">
        <f t="shared" si="514"/>
        <v>264745</v>
      </c>
      <c r="GV194" s="340">
        <f t="shared" si="515"/>
        <v>308303</v>
      </c>
      <c r="GW194" s="340">
        <f t="shared" si="516"/>
        <v>371934.18</v>
      </c>
      <c r="GX194" s="340">
        <f t="shared" si="517"/>
        <v>344972.68</v>
      </c>
      <c r="GY194" s="340">
        <f t="shared" si="518"/>
        <v>2835891.92</v>
      </c>
      <c r="GZ194" s="340">
        <f t="shared" si="519"/>
        <v>30219.95</v>
      </c>
      <c r="HA194" s="340">
        <f t="shared" si="520"/>
        <v>1528617.17</v>
      </c>
      <c r="HB194" s="340">
        <f t="shared" si="521"/>
        <v>60935.59</v>
      </c>
      <c r="HC194" s="340">
        <f t="shared" si="522"/>
        <v>40392.36</v>
      </c>
      <c r="HD194" s="340">
        <f t="shared" si="523"/>
        <v>41454.949999999997</v>
      </c>
      <c r="HE194" s="340">
        <f t="shared" si="524"/>
        <v>0</v>
      </c>
      <c r="HF194" s="340">
        <f t="shared" si="525"/>
        <v>0</v>
      </c>
      <c r="HG194" s="340">
        <f t="shared" si="526"/>
        <v>0</v>
      </c>
      <c r="HH194" s="122"/>
      <c r="IF194" s="122"/>
      <c r="IG194" s="122"/>
      <c r="IH194" s="122"/>
      <c r="II194" s="122"/>
      <c r="IJ194" s="122"/>
      <c r="IK194" s="122"/>
      <c r="IL194" s="122"/>
      <c r="IN194" s="118"/>
      <c r="IP194" s="122"/>
      <c r="IQ194" s="122"/>
      <c r="IR194" s="122"/>
      <c r="IS194" s="122"/>
      <c r="IT194" s="122"/>
      <c r="IU194" s="122"/>
      <c r="IV194" s="122"/>
      <c r="IW194" s="122"/>
      <c r="IX194" s="122"/>
      <c r="IY194" s="122"/>
      <c r="IZ194" s="122"/>
      <c r="JA194" s="122"/>
      <c r="JB194" s="122"/>
      <c r="JC194" s="122"/>
      <c r="JD194" s="122"/>
      <c r="JE194" s="122"/>
      <c r="JF194" s="122"/>
      <c r="JG194" s="122"/>
      <c r="JH194" s="122"/>
      <c r="JI194" s="122"/>
      <c r="JK194" s="118"/>
      <c r="JL194" s="118"/>
      <c r="JY194" s="122"/>
      <c r="JZ194" s="122"/>
      <c r="KA194" s="122"/>
      <c r="KB194" s="122"/>
      <c r="LX194" s="122"/>
      <c r="LY194" s="122"/>
      <c r="LZ194" s="122"/>
      <c r="MB194" s="118"/>
      <c r="MC194" s="118"/>
      <c r="MP194" s="122"/>
      <c r="MQ194" s="122"/>
      <c r="MR194" s="122"/>
      <c r="MS194" s="122"/>
      <c r="MT194" s="122"/>
      <c r="MU194" s="122"/>
      <c r="MV194" s="122"/>
      <c r="OS194" s="118"/>
      <c r="OT194" s="118"/>
      <c r="PC194" s="122"/>
      <c r="PD194" s="122"/>
      <c r="PE194" s="122"/>
      <c r="PF194" s="122"/>
      <c r="PG194" s="122"/>
      <c r="PH194" s="122"/>
      <c r="PI194" s="122"/>
      <c r="PJ194" s="122"/>
      <c r="PP194" s="118"/>
      <c r="PQ194" s="118"/>
      <c r="PZ194" s="122"/>
      <c r="QA194" s="122"/>
      <c r="QB194" s="122"/>
      <c r="QC194" s="122"/>
      <c r="QD194" s="122"/>
      <c r="QE194" s="122"/>
      <c r="QF194" s="122"/>
      <c r="QG194" s="122"/>
      <c r="QM194" s="118"/>
      <c r="QN194" s="118"/>
      <c r="RE194" s="118"/>
      <c r="RF194" s="118"/>
      <c r="RG194" s="118"/>
      <c r="RH194" s="118"/>
      <c r="RI194" s="118"/>
      <c r="RJ194" s="118"/>
      <c r="RK194" s="118"/>
    </row>
    <row r="195" spans="25:479">
      <c r="Y195" s="277" t="s">
        <v>79</v>
      </c>
      <c r="Z195" s="319">
        <f t="shared" si="534"/>
        <v>586529.13000000012</v>
      </c>
      <c r="AA195" s="319">
        <f t="shared" si="373"/>
        <v>573268.76</v>
      </c>
      <c r="AB195" s="319">
        <f t="shared" si="374"/>
        <v>591987.73</v>
      </c>
      <c r="AC195" s="319">
        <f t="shared" si="375"/>
        <v>754759.74000000011</v>
      </c>
      <c r="AD195" s="319">
        <f t="shared" si="376"/>
        <v>876711.44000000006</v>
      </c>
      <c r="AE195" s="319">
        <f t="shared" si="377"/>
        <v>881188</v>
      </c>
      <c r="AF195" s="319">
        <f t="shared" si="378"/>
        <v>844750.05999999994</v>
      </c>
      <c r="AG195" s="319">
        <f t="shared" si="379"/>
        <v>872583.46000000008</v>
      </c>
      <c r="AH195" s="319">
        <f t="shared" si="380"/>
        <v>1090828.82</v>
      </c>
      <c r="AI195" s="319">
        <f t="shared" si="381"/>
        <v>961157.75999999989</v>
      </c>
      <c r="AJ195" s="319">
        <f t="shared" si="382"/>
        <v>1031910.2999999999</v>
      </c>
      <c r="AK195" s="319">
        <f t="shared" si="383"/>
        <v>1056461.8799999999</v>
      </c>
      <c r="AL195" s="319">
        <f t="shared" si="384"/>
        <v>1241120.1499999999</v>
      </c>
      <c r="AM195" s="319">
        <f t="shared" si="385"/>
        <v>1123192.07</v>
      </c>
      <c r="AN195" s="319">
        <f t="shared" si="386"/>
        <v>1189573.96</v>
      </c>
      <c r="AO195" s="319">
        <f t="shared" si="387"/>
        <v>1201738.8900000001</v>
      </c>
      <c r="AP195" s="319">
        <f t="shared" si="537"/>
        <v>1316005.69</v>
      </c>
      <c r="AQ195" s="319">
        <f t="shared" si="535"/>
        <v>1299956.3500000001</v>
      </c>
      <c r="AR195" s="319">
        <f t="shared" si="390"/>
        <v>1414675.54</v>
      </c>
      <c r="AS195" s="319">
        <f t="shared" si="391"/>
        <v>1421291.55</v>
      </c>
      <c r="AT195" s="319">
        <f t="shared" si="392"/>
        <v>1555684.77</v>
      </c>
      <c r="AU195" s="319">
        <f t="shared" si="393"/>
        <v>1491003</v>
      </c>
      <c r="AW195" s="322" t="s">
        <v>79</v>
      </c>
      <c r="AX195" s="322">
        <f t="shared" si="527"/>
        <v>35547.22</v>
      </c>
      <c r="AY195" s="322">
        <f t="shared" si="395"/>
        <v>75430.100000000006</v>
      </c>
      <c r="AZ195" s="322">
        <f t="shared" si="396"/>
        <v>163306.96</v>
      </c>
      <c r="BA195" s="322">
        <f t="shared" si="397"/>
        <v>287527.52</v>
      </c>
      <c r="BB195" s="322">
        <f t="shared" si="398"/>
        <v>159402.07999999999</v>
      </c>
      <c r="BC195" s="322">
        <f t="shared" si="399"/>
        <v>176237.6</v>
      </c>
      <c r="BD195" s="322">
        <f t="shared" si="400"/>
        <v>162135.26999999999</v>
      </c>
      <c r="BE195" s="322">
        <f t="shared" si="401"/>
        <v>186982.16999999998</v>
      </c>
      <c r="BF195" s="322">
        <f t="shared" si="402"/>
        <v>237815.58</v>
      </c>
      <c r="BG195" s="322">
        <f t="shared" si="403"/>
        <v>233439.23</v>
      </c>
      <c r="BH195" s="322">
        <f t="shared" si="404"/>
        <v>231557.15</v>
      </c>
      <c r="BI195" s="322">
        <f t="shared" si="405"/>
        <v>241438.37999999998</v>
      </c>
      <c r="BJ195" s="322">
        <f t="shared" si="406"/>
        <v>251229.52999999997</v>
      </c>
      <c r="BK195" s="322">
        <f t="shared" si="407"/>
        <v>234308.55</v>
      </c>
      <c r="BL195" s="322">
        <f t="shared" si="530"/>
        <v>231094.39999999999</v>
      </c>
      <c r="BM195" s="322">
        <f t="shared" si="531"/>
        <v>240557.90999999997</v>
      </c>
      <c r="BN195" s="322">
        <f t="shared" si="532"/>
        <v>214823.02000000002</v>
      </c>
      <c r="BO195" s="340">
        <f t="shared" si="528"/>
        <v>256236.99000000002</v>
      </c>
      <c r="BP195" s="340">
        <f t="shared" si="412"/>
        <v>260091.71000000002</v>
      </c>
      <c r="BQ195" s="340">
        <f t="shared" si="413"/>
        <v>276239.82999999996</v>
      </c>
      <c r="BR195" s="340">
        <f t="shared" si="414"/>
        <v>261934.92</v>
      </c>
      <c r="BS195" s="340">
        <f t="shared" si="415"/>
        <v>327596</v>
      </c>
      <c r="BU195" s="340" t="s">
        <v>79</v>
      </c>
      <c r="BV195" s="340">
        <f t="shared" si="416"/>
        <v>35547.22</v>
      </c>
      <c r="BW195" s="340">
        <f t="shared" si="417"/>
        <v>30172.04</v>
      </c>
      <c r="BX195" s="340">
        <f t="shared" si="418"/>
        <v>61240.11</v>
      </c>
      <c r="BY195" s="340">
        <f t="shared" si="419"/>
        <v>71881.88</v>
      </c>
      <c r="BZ195" s="340">
        <f t="shared" si="420"/>
        <v>39850.519999999997</v>
      </c>
      <c r="CA195" s="340">
        <f t="shared" si="421"/>
        <v>88118.8</v>
      </c>
      <c r="CB195" s="340">
        <f t="shared" si="422"/>
        <v>108090.18</v>
      </c>
      <c r="CC195" s="340">
        <f t="shared" si="423"/>
        <v>62327.39</v>
      </c>
      <c r="CD195" s="340">
        <f t="shared" si="424"/>
        <v>88738.03</v>
      </c>
      <c r="CE195" s="340">
        <f t="shared" si="425"/>
        <v>95670.6</v>
      </c>
      <c r="CF195" s="340">
        <f t="shared" si="426"/>
        <v>92323.4</v>
      </c>
      <c r="CG195" s="340">
        <f t="shared" si="427"/>
        <v>87483.89</v>
      </c>
      <c r="CH195" s="340">
        <f t="shared" si="428"/>
        <v>85502.19</v>
      </c>
      <c r="CI195" s="340">
        <f t="shared" si="429"/>
        <v>101724.87</v>
      </c>
      <c r="CJ195" s="340">
        <f t="shared" si="430"/>
        <v>98488.569999999992</v>
      </c>
      <c r="CK195" s="340">
        <f t="shared" si="431"/>
        <v>103937.73999999999</v>
      </c>
      <c r="CL195" s="340">
        <f t="shared" si="432"/>
        <v>97208.92</v>
      </c>
      <c r="CM195" s="340">
        <f t="shared" si="433"/>
        <v>101879.07999999999</v>
      </c>
      <c r="CN195" s="340">
        <f t="shared" si="434"/>
        <v>103963.97</v>
      </c>
      <c r="CO195" s="340">
        <f t="shared" si="435"/>
        <v>105861.22</v>
      </c>
      <c r="CP195" s="340">
        <f t="shared" si="436"/>
        <v>117078.39999999999</v>
      </c>
      <c r="CQ195" s="340">
        <f t="shared" si="437"/>
        <v>140890</v>
      </c>
      <c r="CR195" s="122"/>
      <c r="CS195" s="340" t="s">
        <v>79</v>
      </c>
      <c r="CT195" s="340">
        <f t="shared" si="438"/>
        <v>266604.15000000002</v>
      </c>
      <c r="CU195" s="340">
        <f t="shared" si="439"/>
        <v>271548.36</v>
      </c>
      <c r="CV195" s="340">
        <f t="shared" si="440"/>
        <v>653227.84</v>
      </c>
      <c r="CW195" s="340">
        <f t="shared" si="441"/>
        <v>646936.92000000004</v>
      </c>
      <c r="CX195" s="340">
        <f t="shared" si="442"/>
        <v>717309.36</v>
      </c>
      <c r="CY195" s="340">
        <f t="shared" si="443"/>
        <v>616831.6</v>
      </c>
      <c r="CZ195" s="340">
        <f t="shared" si="444"/>
        <v>702586.17</v>
      </c>
      <c r="DA195" s="340">
        <f t="shared" si="445"/>
        <v>997238.24</v>
      </c>
      <c r="DB195" s="340">
        <f t="shared" si="446"/>
        <v>881501.46</v>
      </c>
      <c r="DC195" s="340">
        <f t="shared" si="447"/>
        <v>907154.97999999986</v>
      </c>
      <c r="DD195" s="340">
        <f t="shared" si="448"/>
        <v>847915.20000000007</v>
      </c>
      <c r="DE195" s="340">
        <f t="shared" si="449"/>
        <v>894139.49000000011</v>
      </c>
      <c r="DF195" s="340">
        <f t="shared" si="450"/>
        <v>893507.97</v>
      </c>
      <c r="DG195" s="340">
        <f t="shared" si="451"/>
        <v>764305.49999999988</v>
      </c>
      <c r="DH195" s="340">
        <f t="shared" si="452"/>
        <v>725956.24</v>
      </c>
      <c r="DI195" s="340">
        <f t="shared" si="453"/>
        <v>713632.6</v>
      </c>
      <c r="DJ195" s="340">
        <f t="shared" si="454"/>
        <v>597529.65</v>
      </c>
      <c r="DK195" s="340">
        <f t="shared" si="455"/>
        <v>708819.15000000014</v>
      </c>
      <c r="DL195" s="340">
        <f t="shared" si="456"/>
        <v>780256.42</v>
      </c>
      <c r="DM195" s="340">
        <f t="shared" si="457"/>
        <v>842373.97999999986</v>
      </c>
      <c r="DN195" s="340">
        <f t="shared" si="458"/>
        <v>808104.59999999986</v>
      </c>
      <c r="DO195" s="340">
        <f t="shared" si="459"/>
        <v>902450</v>
      </c>
      <c r="DP195" s="330"/>
      <c r="DQ195" s="340" t="s">
        <v>79</v>
      </c>
      <c r="DR195" s="340">
        <f t="shared" ref="DR195:EM195" si="549">DR97</f>
        <v>71094.44</v>
      </c>
      <c r="DS195" s="340">
        <f t="shared" si="549"/>
        <v>90516.12</v>
      </c>
      <c r="DT195" s="340">
        <f t="shared" si="549"/>
        <v>102066.85</v>
      </c>
      <c r="DU195" s="340">
        <f t="shared" si="549"/>
        <v>287527.52</v>
      </c>
      <c r="DV195" s="340">
        <f t="shared" si="549"/>
        <v>318804.15999999997</v>
      </c>
      <c r="DW195" s="340">
        <f t="shared" si="549"/>
        <v>396534.6</v>
      </c>
      <c r="DX195" s="340">
        <f t="shared" si="549"/>
        <v>432360.72</v>
      </c>
      <c r="DY195" s="340">
        <f t="shared" si="549"/>
        <v>498619.12</v>
      </c>
      <c r="DZ195" s="340">
        <f t="shared" si="549"/>
        <v>572284.44999999995</v>
      </c>
      <c r="EA195" s="340">
        <f t="shared" si="549"/>
        <v>619117.78</v>
      </c>
      <c r="EB195" s="340">
        <f t="shared" si="549"/>
        <v>639195.23</v>
      </c>
      <c r="EC195" s="340">
        <f t="shared" si="549"/>
        <v>741101.33</v>
      </c>
      <c r="ED195" s="340">
        <f t="shared" si="549"/>
        <v>772889.40999999992</v>
      </c>
      <c r="EE195" s="340">
        <f t="shared" si="549"/>
        <v>785935.2300000001</v>
      </c>
      <c r="EF195" s="340">
        <f t="shared" si="549"/>
        <v>786911.73</v>
      </c>
      <c r="EG195" s="340">
        <f t="shared" si="549"/>
        <v>807118.31000000017</v>
      </c>
      <c r="EH195" s="340">
        <f t="shared" si="549"/>
        <v>776109.96</v>
      </c>
      <c r="EI195" s="340">
        <f t="shared" si="549"/>
        <v>846965.3899999999</v>
      </c>
      <c r="EJ195" s="340">
        <f t="shared" si="549"/>
        <v>841346.98</v>
      </c>
      <c r="EK195" s="340">
        <f t="shared" si="549"/>
        <v>979171.9</v>
      </c>
      <c r="EL195" s="340">
        <f t="shared" si="549"/>
        <v>906872.98</v>
      </c>
      <c r="EM195" s="340">
        <f t="shared" si="549"/>
        <v>1043374</v>
      </c>
      <c r="EO195" s="319" t="s">
        <v>79</v>
      </c>
      <c r="EP195" s="319">
        <f t="shared" si="461"/>
        <v>0</v>
      </c>
      <c r="EQ195" s="319">
        <f t="shared" si="462"/>
        <v>0</v>
      </c>
      <c r="ER195" s="319">
        <f t="shared" si="463"/>
        <v>0</v>
      </c>
      <c r="ES195" s="319">
        <f t="shared" si="464"/>
        <v>1078228.2</v>
      </c>
      <c r="ET195" s="319">
        <f t="shared" si="465"/>
        <v>1275216.6399999999</v>
      </c>
      <c r="EU195" s="319">
        <f t="shared" si="466"/>
        <v>1542079</v>
      </c>
      <c r="EV195" s="319">
        <f t="shared" si="467"/>
        <v>1621352.7</v>
      </c>
      <c r="EW195" s="319">
        <f t="shared" si="468"/>
        <v>1807494.31</v>
      </c>
      <c r="EX195" s="319">
        <f t="shared" si="469"/>
        <v>1827961.63</v>
      </c>
      <c r="EY195" s="319">
        <f t="shared" si="470"/>
        <v>1849357.67</v>
      </c>
      <c r="EZ195" s="319">
        <f t="shared" si="471"/>
        <v>1905113.13</v>
      </c>
      <c r="FA195" s="319">
        <f t="shared" si="472"/>
        <v>2043720.0900000003</v>
      </c>
      <c r="FB195" s="319">
        <f t="shared" si="473"/>
        <v>2300122.0199999996</v>
      </c>
      <c r="FC195" s="319">
        <f t="shared" si="474"/>
        <v>2115918.7400000002</v>
      </c>
      <c r="FD195" s="319">
        <f t="shared" si="475"/>
        <v>2053951.78</v>
      </c>
      <c r="FE195" s="319">
        <f t="shared" si="476"/>
        <v>2190486.36</v>
      </c>
      <c r="FF195" s="322">
        <f t="shared" si="477"/>
        <v>2318147.2999999998</v>
      </c>
      <c r="FG195" s="336">
        <f t="shared" si="478"/>
        <v>2346583.4500000002</v>
      </c>
      <c r="FH195" s="336">
        <f t="shared" si="479"/>
        <v>2360830.34</v>
      </c>
      <c r="FI195" s="336">
        <f t="shared" si="480"/>
        <v>2297631.6599999997</v>
      </c>
      <c r="FJ195" s="336">
        <f t="shared" si="481"/>
        <v>2321391.0499999998</v>
      </c>
      <c r="FK195" s="336">
        <f t="shared" si="482"/>
        <v>2456587</v>
      </c>
      <c r="FL195" s="122"/>
      <c r="FM195" s="340" t="s">
        <v>79</v>
      </c>
      <c r="FN195" s="340">
        <f t="shared" si="483"/>
        <v>0</v>
      </c>
      <c r="FO195" s="340">
        <f t="shared" si="484"/>
        <v>0</v>
      </c>
      <c r="FP195" s="340">
        <f t="shared" si="485"/>
        <v>0</v>
      </c>
      <c r="FQ195" s="340">
        <f t="shared" si="486"/>
        <v>251586.58</v>
      </c>
      <c r="FR195" s="340">
        <f t="shared" si="487"/>
        <v>278953.64</v>
      </c>
      <c r="FS195" s="340">
        <f t="shared" si="488"/>
        <v>308415.8</v>
      </c>
      <c r="FT195" s="340">
        <f t="shared" si="489"/>
        <v>324270.53999999998</v>
      </c>
      <c r="FU195" s="340">
        <f t="shared" si="490"/>
        <v>373964.34</v>
      </c>
      <c r="FV195" s="340">
        <f t="shared" si="491"/>
        <v>382280.39999999997</v>
      </c>
      <c r="FW195" s="340">
        <f t="shared" si="492"/>
        <v>387036.52000000008</v>
      </c>
      <c r="FX195" s="340">
        <f t="shared" si="493"/>
        <v>402364.61</v>
      </c>
      <c r="FY195" s="340">
        <f t="shared" si="494"/>
        <v>418732.09</v>
      </c>
      <c r="FZ195" s="340">
        <f t="shared" si="495"/>
        <v>442600.39000000013</v>
      </c>
      <c r="GA195" s="340">
        <f t="shared" si="496"/>
        <v>414538.22000000003</v>
      </c>
      <c r="GB195" s="340">
        <f t="shared" si="497"/>
        <v>431573.94000000012</v>
      </c>
      <c r="GC195" s="340">
        <f t="shared" si="498"/>
        <v>444700.92000000004</v>
      </c>
      <c r="GD195" s="340">
        <f t="shared" si="499"/>
        <v>453079.99000000005</v>
      </c>
      <c r="GE195" s="340">
        <f t="shared" si="500"/>
        <v>455832.25</v>
      </c>
      <c r="GF195" s="340">
        <f t="shared" si="501"/>
        <v>474041.20999999996</v>
      </c>
      <c r="GG195" s="340">
        <f t="shared" si="502"/>
        <v>480796.22000000003</v>
      </c>
      <c r="GH195" s="340">
        <f t="shared" si="503"/>
        <v>509371.54000000004</v>
      </c>
      <c r="GI195" s="340">
        <f t="shared" si="504"/>
        <v>551681</v>
      </c>
      <c r="GJ195" s="122"/>
      <c r="GK195" s="340" t="s">
        <v>79</v>
      </c>
      <c r="GL195" s="340">
        <f t="shared" si="505"/>
        <v>782038.84</v>
      </c>
      <c r="GM195" s="340">
        <f t="shared" si="506"/>
        <v>467666.62</v>
      </c>
      <c r="GN195" s="340">
        <f t="shared" si="507"/>
        <v>469507.51</v>
      </c>
      <c r="GO195" s="340">
        <f t="shared" si="508"/>
        <v>215645.64</v>
      </c>
      <c r="GP195" s="340">
        <f t="shared" si="509"/>
        <v>318804.15999999997</v>
      </c>
      <c r="GQ195" s="340">
        <f t="shared" si="510"/>
        <v>396534.6</v>
      </c>
      <c r="GR195" s="340">
        <f t="shared" si="511"/>
        <v>1188991.98</v>
      </c>
      <c r="GS195" s="340">
        <f t="shared" si="512"/>
        <v>1433529.97</v>
      </c>
      <c r="GT195" s="340">
        <f t="shared" si="513"/>
        <v>577405.92999999993</v>
      </c>
      <c r="GU195" s="340">
        <f t="shared" si="514"/>
        <v>1302090.21</v>
      </c>
      <c r="GV195" s="340">
        <f t="shared" si="515"/>
        <v>1475329.26</v>
      </c>
      <c r="GW195" s="340">
        <f t="shared" si="516"/>
        <v>1038419.38</v>
      </c>
      <c r="GX195" s="340">
        <f t="shared" si="517"/>
        <v>1290057.2999999998</v>
      </c>
      <c r="GY195" s="340">
        <f t="shared" si="518"/>
        <v>408993.51</v>
      </c>
      <c r="GZ195" s="340">
        <f t="shared" si="519"/>
        <v>252313.58000000002</v>
      </c>
      <c r="HA195" s="340">
        <f t="shared" si="520"/>
        <v>668536.32999999996</v>
      </c>
      <c r="HB195" s="340">
        <f t="shared" si="521"/>
        <v>157032.51999999999</v>
      </c>
      <c r="HC195" s="340">
        <f t="shared" si="522"/>
        <v>491834.45</v>
      </c>
      <c r="HD195" s="340">
        <f t="shared" si="523"/>
        <v>517698.48000000004</v>
      </c>
      <c r="HE195" s="340">
        <f t="shared" si="524"/>
        <v>408048.94999999995</v>
      </c>
      <c r="HF195" s="340">
        <f t="shared" si="525"/>
        <v>547904.82000000007</v>
      </c>
      <c r="HG195" s="340">
        <f t="shared" si="526"/>
        <v>804220</v>
      </c>
      <c r="HH195" s="122"/>
      <c r="IF195" s="122"/>
      <c r="IG195" s="122"/>
      <c r="IH195" s="122"/>
      <c r="II195" s="122"/>
      <c r="IJ195" s="122"/>
      <c r="IK195" s="122"/>
      <c r="IL195" s="122"/>
      <c r="IN195" s="118"/>
      <c r="IP195" s="122"/>
      <c r="IQ195" s="122"/>
      <c r="IR195" s="122"/>
      <c r="IS195" s="122"/>
      <c r="IT195" s="122"/>
      <c r="IU195" s="122"/>
      <c r="IV195" s="122"/>
      <c r="IW195" s="122"/>
      <c r="IX195" s="122"/>
      <c r="IY195" s="122"/>
      <c r="IZ195" s="122"/>
      <c r="JA195" s="122"/>
      <c r="JB195" s="122"/>
      <c r="JC195" s="122"/>
      <c r="JD195" s="122"/>
      <c r="JE195" s="122"/>
      <c r="JF195" s="122"/>
      <c r="JG195" s="122"/>
      <c r="JH195" s="122"/>
      <c r="JI195" s="122"/>
      <c r="JK195" s="118"/>
      <c r="JL195" s="118"/>
      <c r="JY195" s="122"/>
      <c r="JZ195" s="122"/>
      <c r="KA195" s="122"/>
      <c r="KB195" s="122"/>
      <c r="LX195" s="122"/>
      <c r="LY195" s="122"/>
      <c r="LZ195" s="122"/>
      <c r="MB195" s="118"/>
      <c r="MC195" s="118"/>
      <c r="MP195" s="122"/>
      <c r="MQ195" s="122"/>
      <c r="MR195" s="122"/>
      <c r="MS195" s="122"/>
      <c r="MT195" s="122"/>
      <c r="MU195" s="122"/>
      <c r="MV195" s="122"/>
      <c r="OS195" s="118"/>
      <c r="OT195" s="118"/>
      <c r="PC195" s="122"/>
      <c r="PD195" s="122"/>
      <c r="PE195" s="122"/>
      <c r="PF195" s="122"/>
      <c r="PG195" s="122"/>
      <c r="PH195" s="122"/>
      <c r="PI195" s="122"/>
      <c r="PJ195" s="122"/>
      <c r="PP195" s="118"/>
      <c r="PQ195" s="118"/>
      <c r="PZ195" s="122"/>
      <c r="QA195" s="122"/>
      <c r="QB195" s="122"/>
      <c r="QC195" s="122"/>
      <c r="QD195" s="122"/>
      <c r="QE195" s="122"/>
      <c r="QF195" s="122"/>
      <c r="QG195" s="122"/>
      <c r="QM195" s="118"/>
      <c r="QN195" s="118"/>
      <c r="RE195" s="118"/>
      <c r="RF195" s="118"/>
      <c r="RG195" s="118"/>
      <c r="RH195" s="118"/>
      <c r="RI195" s="118"/>
      <c r="RJ195" s="118"/>
      <c r="RK195" s="118"/>
    </row>
    <row r="196" spans="25:479">
      <c r="Y196" s="277" t="s">
        <v>80</v>
      </c>
      <c r="Z196" s="319">
        <f t="shared" si="534"/>
        <v>249888.38</v>
      </c>
      <c r="AA196" s="319">
        <f t="shared" si="373"/>
        <v>243705.24</v>
      </c>
      <c r="AB196" s="319">
        <f t="shared" si="374"/>
        <v>403035.33999999997</v>
      </c>
      <c r="AC196" s="319">
        <f t="shared" si="375"/>
        <v>367876.07999999996</v>
      </c>
      <c r="AD196" s="319">
        <f t="shared" si="376"/>
        <v>367154.10000000003</v>
      </c>
      <c r="AE196" s="319">
        <f t="shared" si="377"/>
        <v>365019.11999999994</v>
      </c>
      <c r="AF196" s="319">
        <f t="shared" si="378"/>
        <v>318508.14</v>
      </c>
      <c r="AG196" s="319">
        <f t="shared" si="379"/>
        <v>326817.05000000005</v>
      </c>
      <c r="AH196" s="319">
        <f t="shared" si="380"/>
        <v>369640.97</v>
      </c>
      <c r="AI196" s="319">
        <f t="shared" si="381"/>
        <v>331749.38999999996</v>
      </c>
      <c r="AJ196" s="319">
        <f t="shared" si="382"/>
        <v>378805.68999999994</v>
      </c>
      <c r="AK196" s="319">
        <f t="shared" si="383"/>
        <v>353217.99</v>
      </c>
      <c r="AL196" s="319">
        <f t="shared" si="384"/>
        <v>423710.08</v>
      </c>
      <c r="AM196" s="319">
        <f t="shared" si="385"/>
        <v>406035.95999999996</v>
      </c>
      <c r="AN196" s="319">
        <f t="shared" si="386"/>
        <v>446387.08999999997</v>
      </c>
      <c r="AO196" s="319">
        <f t="shared" si="387"/>
        <v>0</v>
      </c>
      <c r="AP196" s="319">
        <f t="shared" si="537"/>
        <v>471391.56</v>
      </c>
      <c r="AQ196" s="319">
        <f t="shared" si="535"/>
        <v>420245.91000000003</v>
      </c>
      <c r="AR196" s="319">
        <f t="shared" si="390"/>
        <v>465681.58999999997</v>
      </c>
      <c r="AS196" s="319">
        <f t="shared" si="391"/>
        <v>411523.83</v>
      </c>
      <c r="AT196" s="319">
        <f t="shared" si="392"/>
        <v>479682.60999999993</v>
      </c>
      <c r="AU196" s="319">
        <f t="shared" si="393"/>
        <v>526404.80000000005</v>
      </c>
      <c r="AW196" s="322" t="s">
        <v>80</v>
      </c>
      <c r="AX196" s="322">
        <f t="shared" si="527"/>
        <v>54029.919999999998</v>
      </c>
      <c r="AY196" s="322">
        <f t="shared" si="395"/>
        <v>47387.130000000005</v>
      </c>
      <c r="AZ196" s="322">
        <f t="shared" si="396"/>
        <v>68601.759999999995</v>
      </c>
      <c r="BA196" s="322">
        <f t="shared" si="397"/>
        <v>56596.319999999992</v>
      </c>
      <c r="BB196" s="322">
        <f t="shared" si="398"/>
        <v>48309.75</v>
      </c>
      <c r="BC196" s="322">
        <f t="shared" si="399"/>
        <v>50697.1</v>
      </c>
      <c r="BD196" s="322">
        <f t="shared" si="400"/>
        <v>47344.45</v>
      </c>
      <c r="BE196" s="322">
        <f t="shared" si="401"/>
        <v>37350.519999999997</v>
      </c>
      <c r="BF196" s="322">
        <f t="shared" si="402"/>
        <v>35814.1</v>
      </c>
      <c r="BG196" s="322">
        <f t="shared" si="403"/>
        <v>35871.699999999997</v>
      </c>
      <c r="BH196" s="322">
        <f t="shared" si="404"/>
        <v>38823.9</v>
      </c>
      <c r="BI196" s="322">
        <f t="shared" si="405"/>
        <v>44543.579999999994</v>
      </c>
      <c r="BJ196" s="322">
        <f t="shared" si="406"/>
        <v>36133.17</v>
      </c>
      <c r="BK196" s="322">
        <f t="shared" si="407"/>
        <v>32590.299999999996</v>
      </c>
      <c r="BL196" s="322">
        <f t="shared" si="530"/>
        <v>52796.67</v>
      </c>
      <c r="BM196" s="322">
        <f t="shared" si="531"/>
        <v>0</v>
      </c>
      <c r="BN196" s="322">
        <f t="shared" si="532"/>
        <v>37120.269999999997</v>
      </c>
      <c r="BO196" s="340">
        <f t="shared" si="528"/>
        <v>44040.62</v>
      </c>
      <c r="BP196" s="340">
        <f t="shared" si="412"/>
        <v>54423.89</v>
      </c>
      <c r="BQ196" s="340">
        <f t="shared" si="413"/>
        <v>47029.509999999995</v>
      </c>
      <c r="BR196" s="340">
        <f t="shared" si="414"/>
        <v>52617.930000000008</v>
      </c>
      <c r="BS196" s="340">
        <f t="shared" si="415"/>
        <v>90606.399999999994</v>
      </c>
      <c r="BU196" s="340" t="s">
        <v>80</v>
      </c>
      <c r="BV196" s="340">
        <f t="shared" si="416"/>
        <v>6753.74</v>
      </c>
      <c r="BW196" s="340">
        <f t="shared" si="417"/>
        <v>27078.36</v>
      </c>
      <c r="BX196" s="340">
        <f t="shared" si="418"/>
        <v>25725.659999999996</v>
      </c>
      <c r="BY196" s="340">
        <f t="shared" si="419"/>
        <v>28298.159999999996</v>
      </c>
      <c r="BZ196" s="340">
        <f t="shared" si="420"/>
        <v>28985.850000000002</v>
      </c>
      <c r="CA196" s="340">
        <f t="shared" si="421"/>
        <v>40557.68</v>
      </c>
      <c r="CB196" s="340">
        <f t="shared" si="422"/>
        <v>37875.56</v>
      </c>
      <c r="CC196" s="340">
        <f t="shared" si="423"/>
        <v>37350.519999999997</v>
      </c>
      <c r="CD196" s="340">
        <f t="shared" si="424"/>
        <v>41675.329999999994</v>
      </c>
      <c r="CE196" s="340">
        <f t="shared" si="425"/>
        <v>48123.270000000004</v>
      </c>
      <c r="CF196" s="340">
        <f t="shared" si="426"/>
        <v>48813.819999999992</v>
      </c>
      <c r="CG196" s="340">
        <f t="shared" si="427"/>
        <v>51317.83</v>
      </c>
      <c r="CH196" s="340">
        <f t="shared" si="428"/>
        <v>59803.31</v>
      </c>
      <c r="CI196" s="340">
        <f t="shared" si="429"/>
        <v>45946.210000000006</v>
      </c>
      <c r="CJ196" s="340">
        <f t="shared" si="430"/>
        <v>62365.869999999995</v>
      </c>
      <c r="CK196" s="340">
        <f t="shared" si="431"/>
        <v>0</v>
      </c>
      <c r="CL196" s="340">
        <f t="shared" si="432"/>
        <v>62918.239999999998</v>
      </c>
      <c r="CM196" s="340">
        <f t="shared" si="433"/>
        <v>65652.78</v>
      </c>
      <c r="CN196" s="340">
        <f t="shared" si="434"/>
        <v>54333.979999999996</v>
      </c>
      <c r="CO196" s="340">
        <f t="shared" si="435"/>
        <v>49726.38</v>
      </c>
      <c r="CP196" s="340">
        <f t="shared" si="436"/>
        <v>52194.219999999987</v>
      </c>
      <c r="CQ196" s="340">
        <f t="shared" si="437"/>
        <v>71400</v>
      </c>
      <c r="CR196" s="122"/>
      <c r="CS196" s="340" t="s">
        <v>80</v>
      </c>
      <c r="CT196" s="340">
        <f t="shared" si="438"/>
        <v>47276.18</v>
      </c>
      <c r="CU196" s="340">
        <f t="shared" si="439"/>
        <v>47387.13</v>
      </c>
      <c r="CV196" s="340">
        <f t="shared" si="440"/>
        <v>34300.879999999997</v>
      </c>
      <c r="CW196" s="340">
        <f t="shared" si="441"/>
        <v>47163.6</v>
      </c>
      <c r="CX196" s="340">
        <f t="shared" si="442"/>
        <v>57971.7</v>
      </c>
      <c r="CY196" s="340">
        <f t="shared" si="443"/>
        <v>81115.360000000001</v>
      </c>
      <c r="CZ196" s="340">
        <f t="shared" si="444"/>
        <v>66282.23</v>
      </c>
      <c r="DA196" s="340">
        <f t="shared" si="445"/>
        <v>65363.41</v>
      </c>
      <c r="DB196" s="340">
        <f t="shared" si="446"/>
        <v>57222.799999999988</v>
      </c>
      <c r="DC196" s="340">
        <f t="shared" si="447"/>
        <v>57419.960000000006</v>
      </c>
      <c r="DD196" s="340">
        <f t="shared" si="448"/>
        <v>59427.419999999991</v>
      </c>
      <c r="DE196" s="340">
        <f t="shared" si="449"/>
        <v>60887.670000000006</v>
      </c>
      <c r="DF196" s="340">
        <f t="shared" si="450"/>
        <v>63411.89</v>
      </c>
      <c r="DG196" s="340">
        <f t="shared" si="451"/>
        <v>65863.540000000008</v>
      </c>
      <c r="DH196" s="340">
        <f t="shared" si="452"/>
        <v>68876.639999999999</v>
      </c>
      <c r="DI196" s="340">
        <f t="shared" si="453"/>
        <v>0</v>
      </c>
      <c r="DJ196" s="340">
        <f t="shared" si="454"/>
        <v>71254.850000000006</v>
      </c>
      <c r="DK196" s="340">
        <f t="shared" si="455"/>
        <v>72807.239999999991</v>
      </c>
      <c r="DL196" s="340">
        <f t="shared" si="456"/>
        <v>73682.419999999984</v>
      </c>
      <c r="DM196" s="340">
        <f t="shared" si="457"/>
        <v>75695.78</v>
      </c>
      <c r="DN196" s="340">
        <f t="shared" si="458"/>
        <v>156291.78999999998</v>
      </c>
      <c r="DO196" s="340">
        <f t="shared" si="459"/>
        <v>238002.02</v>
      </c>
      <c r="DP196" s="330"/>
      <c r="DQ196" s="340" t="s">
        <v>80</v>
      </c>
      <c r="DR196" s="340">
        <f t="shared" ref="DR196:EM196" si="550">DR98</f>
        <v>33768.699999999997</v>
      </c>
      <c r="DS196" s="340">
        <f t="shared" si="550"/>
        <v>33847.949999999997</v>
      </c>
      <c r="DT196" s="340">
        <f t="shared" si="550"/>
        <v>34300.879999999997</v>
      </c>
      <c r="DU196" s="340">
        <f t="shared" si="550"/>
        <v>37730.879999999997</v>
      </c>
      <c r="DV196" s="340">
        <f t="shared" si="550"/>
        <v>38647.800000000003</v>
      </c>
      <c r="DW196" s="340">
        <f t="shared" si="550"/>
        <v>40557.68</v>
      </c>
      <c r="DX196" s="340">
        <f t="shared" si="550"/>
        <v>47344.45</v>
      </c>
      <c r="DY196" s="340">
        <f t="shared" si="550"/>
        <v>46688.15</v>
      </c>
      <c r="DZ196" s="340">
        <f t="shared" si="550"/>
        <v>46235.869999999995</v>
      </c>
      <c r="EA196" s="340">
        <f t="shared" si="550"/>
        <v>49573.36</v>
      </c>
      <c r="EB196" s="340">
        <f t="shared" si="550"/>
        <v>54009.73</v>
      </c>
      <c r="EC196" s="340">
        <f t="shared" si="550"/>
        <v>55471.57</v>
      </c>
      <c r="ED196" s="340">
        <f t="shared" si="550"/>
        <v>57426.86</v>
      </c>
      <c r="EE196" s="340">
        <f t="shared" si="550"/>
        <v>57701.13</v>
      </c>
      <c r="EF196" s="340">
        <f t="shared" si="550"/>
        <v>58800.93</v>
      </c>
      <c r="EG196" s="340">
        <f t="shared" si="550"/>
        <v>0</v>
      </c>
      <c r="EH196" s="340">
        <f t="shared" si="550"/>
        <v>60977.9</v>
      </c>
      <c r="EI196" s="340">
        <f t="shared" si="550"/>
        <v>65078.220000000008</v>
      </c>
      <c r="EJ196" s="340">
        <f t="shared" si="550"/>
        <v>64309.35</v>
      </c>
      <c r="EK196" s="340">
        <f t="shared" si="550"/>
        <v>67974.990000000005</v>
      </c>
      <c r="EL196" s="340">
        <f t="shared" si="550"/>
        <v>63598.270000000004</v>
      </c>
      <c r="EM196" s="340">
        <f t="shared" si="550"/>
        <v>69000</v>
      </c>
      <c r="EO196" s="319" t="s">
        <v>80</v>
      </c>
      <c r="EP196" s="319">
        <f t="shared" si="461"/>
        <v>243134.63999999998</v>
      </c>
      <c r="EQ196" s="319">
        <f t="shared" si="462"/>
        <v>230166.06</v>
      </c>
      <c r="ER196" s="319">
        <f t="shared" si="463"/>
        <v>248681.38</v>
      </c>
      <c r="ES196" s="319">
        <f t="shared" si="464"/>
        <v>320712.48</v>
      </c>
      <c r="ET196" s="319">
        <f t="shared" si="465"/>
        <v>347830.2</v>
      </c>
      <c r="EU196" s="319">
        <f t="shared" si="466"/>
        <v>365019.12</v>
      </c>
      <c r="EV196" s="319">
        <f t="shared" si="467"/>
        <v>359817.82</v>
      </c>
      <c r="EW196" s="319">
        <f t="shared" si="468"/>
        <v>345492.31</v>
      </c>
      <c r="EX196" s="319">
        <f t="shared" si="469"/>
        <v>388555.97</v>
      </c>
      <c r="EY196" s="319">
        <f t="shared" si="470"/>
        <v>409571.96</v>
      </c>
      <c r="EZ196" s="319">
        <f t="shared" si="471"/>
        <v>410578.29999999993</v>
      </c>
      <c r="FA196" s="319">
        <f t="shared" si="472"/>
        <v>420292.94999999995</v>
      </c>
      <c r="FB196" s="319">
        <f t="shared" si="473"/>
        <v>487604.94000000006</v>
      </c>
      <c r="FC196" s="319">
        <f t="shared" si="474"/>
        <v>522735.41</v>
      </c>
      <c r="FD196" s="319">
        <f t="shared" si="475"/>
        <v>540339.17000000004</v>
      </c>
      <c r="FE196" s="319">
        <f t="shared" si="476"/>
        <v>0</v>
      </c>
      <c r="FF196" s="322">
        <f t="shared" si="477"/>
        <v>569052.18999999994</v>
      </c>
      <c r="FG196" s="336">
        <f t="shared" si="478"/>
        <v>641043.03</v>
      </c>
      <c r="FH196" s="336">
        <f t="shared" si="479"/>
        <v>652115.2300000001</v>
      </c>
      <c r="FI196" s="336">
        <f t="shared" si="480"/>
        <v>651538.14</v>
      </c>
      <c r="FJ196" s="336">
        <f t="shared" si="481"/>
        <v>628952.74</v>
      </c>
      <c r="FK196" s="336">
        <f t="shared" si="482"/>
        <v>790295.44</v>
      </c>
      <c r="FL196" s="122"/>
      <c r="FM196" s="340" t="s">
        <v>80</v>
      </c>
      <c r="FN196" s="340">
        <f t="shared" si="483"/>
        <v>40522.44</v>
      </c>
      <c r="FO196" s="340">
        <f t="shared" si="484"/>
        <v>40617.54</v>
      </c>
      <c r="FP196" s="340">
        <f t="shared" si="485"/>
        <v>42876.1</v>
      </c>
      <c r="FQ196" s="340">
        <f t="shared" si="486"/>
        <v>56596.32</v>
      </c>
      <c r="FR196" s="340">
        <f t="shared" si="487"/>
        <v>57971.7</v>
      </c>
      <c r="FS196" s="340">
        <f t="shared" si="488"/>
        <v>60836.52</v>
      </c>
      <c r="FT196" s="340">
        <f t="shared" si="489"/>
        <v>56813.34</v>
      </c>
      <c r="FU196" s="340">
        <f t="shared" si="490"/>
        <v>56025.78</v>
      </c>
      <c r="FV196" s="340">
        <f t="shared" si="491"/>
        <v>67607.219999999987</v>
      </c>
      <c r="FW196" s="340">
        <f t="shared" si="492"/>
        <v>57956.69</v>
      </c>
      <c r="FX196" s="340">
        <f t="shared" si="493"/>
        <v>59136.86</v>
      </c>
      <c r="FY196" s="340">
        <f t="shared" si="494"/>
        <v>60277.24</v>
      </c>
      <c r="FZ196" s="340">
        <f t="shared" si="495"/>
        <v>61862.28</v>
      </c>
      <c r="GA196" s="340">
        <f t="shared" si="496"/>
        <v>64916.5</v>
      </c>
      <c r="GB196" s="340">
        <f t="shared" si="497"/>
        <v>66269.649999999994</v>
      </c>
      <c r="GC196" s="340">
        <f t="shared" si="498"/>
        <v>0</v>
      </c>
      <c r="GD196" s="340">
        <f t="shared" si="499"/>
        <v>84966.99</v>
      </c>
      <c r="GE196" s="340">
        <f t="shared" si="500"/>
        <v>95039.01</v>
      </c>
      <c r="GF196" s="340">
        <f t="shared" si="501"/>
        <v>94690.39999999998</v>
      </c>
      <c r="GG196" s="340">
        <f t="shared" si="502"/>
        <v>104744.88</v>
      </c>
      <c r="GH196" s="340">
        <f t="shared" si="503"/>
        <v>86439.19</v>
      </c>
      <c r="GI196" s="340">
        <f t="shared" si="504"/>
        <v>193809.4</v>
      </c>
      <c r="GJ196" s="122"/>
      <c r="GK196" s="340" t="s">
        <v>80</v>
      </c>
      <c r="GL196" s="340">
        <f t="shared" si="505"/>
        <v>0</v>
      </c>
      <c r="GM196" s="340">
        <f t="shared" si="506"/>
        <v>6769.59</v>
      </c>
      <c r="GN196" s="340">
        <f t="shared" si="507"/>
        <v>0</v>
      </c>
      <c r="GO196" s="340">
        <f t="shared" si="508"/>
        <v>28298.16</v>
      </c>
      <c r="GP196" s="340">
        <f t="shared" si="509"/>
        <v>19323.900000000001</v>
      </c>
      <c r="GQ196" s="340">
        <f t="shared" si="510"/>
        <v>10139.42</v>
      </c>
      <c r="GR196" s="340">
        <f t="shared" si="511"/>
        <v>18937.78</v>
      </c>
      <c r="GS196" s="340">
        <f t="shared" si="512"/>
        <v>18675.259999999998</v>
      </c>
      <c r="GT196" s="340">
        <f t="shared" si="513"/>
        <v>19036.66</v>
      </c>
      <c r="GU196" s="340">
        <f t="shared" si="514"/>
        <v>12200</v>
      </c>
      <c r="GV196" s="340">
        <f t="shared" si="515"/>
        <v>2782.68</v>
      </c>
      <c r="GW196" s="340">
        <f t="shared" si="516"/>
        <v>366.71</v>
      </c>
      <c r="GX196" s="340">
        <f t="shared" si="517"/>
        <v>529.49</v>
      </c>
      <c r="GY196" s="340">
        <f t="shared" si="518"/>
        <v>68.67</v>
      </c>
      <c r="GZ196" s="340">
        <f t="shared" si="519"/>
        <v>2269.61</v>
      </c>
      <c r="HA196" s="340">
        <f t="shared" si="520"/>
        <v>0</v>
      </c>
      <c r="HB196" s="340">
        <f t="shared" si="521"/>
        <v>17786.419999999998</v>
      </c>
      <c r="HC196" s="340">
        <f t="shared" si="522"/>
        <v>0</v>
      </c>
      <c r="HD196" s="340">
        <f t="shared" si="523"/>
        <v>3000</v>
      </c>
      <c r="HE196" s="340">
        <f t="shared" si="524"/>
        <v>0</v>
      </c>
      <c r="HF196" s="340">
        <f t="shared" si="525"/>
        <v>51780.88</v>
      </c>
      <c r="HG196" s="340">
        <f t="shared" si="526"/>
        <v>45005.88</v>
      </c>
      <c r="HH196" s="122"/>
      <c r="IF196" s="122"/>
      <c r="IG196" s="122"/>
      <c r="IH196" s="122"/>
      <c r="II196" s="122"/>
      <c r="IJ196" s="122"/>
      <c r="IK196" s="122"/>
      <c r="IL196" s="122"/>
      <c r="IN196" s="118"/>
      <c r="IP196" s="122"/>
      <c r="IQ196" s="122"/>
      <c r="IR196" s="122"/>
      <c r="IS196" s="122"/>
      <c r="IT196" s="122"/>
      <c r="IU196" s="122"/>
      <c r="IV196" s="122"/>
      <c r="IW196" s="122"/>
      <c r="IX196" s="122"/>
      <c r="IY196" s="122"/>
      <c r="IZ196" s="122"/>
      <c r="JA196" s="122"/>
      <c r="JB196" s="122"/>
      <c r="JC196" s="122"/>
      <c r="JD196" s="122"/>
      <c r="JE196" s="122"/>
      <c r="JF196" s="122"/>
      <c r="JG196" s="122"/>
      <c r="JH196" s="122"/>
      <c r="JI196" s="122"/>
      <c r="JK196" s="118"/>
      <c r="JL196" s="118"/>
      <c r="JY196" s="122"/>
      <c r="JZ196" s="122"/>
      <c r="KA196" s="122"/>
      <c r="KB196" s="122"/>
      <c r="LX196" s="122"/>
      <c r="LY196" s="122"/>
      <c r="LZ196" s="122"/>
      <c r="MB196" s="118"/>
      <c r="MC196" s="118"/>
      <c r="MP196" s="122"/>
      <c r="MQ196" s="122"/>
      <c r="MR196" s="122"/>
      <c r="MS196" s="122"/>
      <c r="MT196" s="122"/>
      <c r="MU196" s="122"/>
      <c r="MV196" s="122"/>
      <c r="OS196" s="118"/>
      <c r="OT196" s="118"/>
      <c r="PC196" s="122"/>
      <c r="PD196" s="122"/>
      <c r="PE196" s="122"/>
      <c r="PF196" s="122"/>
      <c r="PG196" s="122"/>
      <c r="PH196" s="122"/>
      <c r="PI196" s="122"/>
      <c r="PJ196" s="122"/>
      <c r="PP196" s="118"/>
      <c r="PQ196" s="118"/>
      <c r="PZ196" s="122"/>
      <c r="QA196" s="122"/>
      <c r="QB196" s="122"/>
      <c r="QC196" s="122"/>
      <c r="QD196" s="122"/>
      <c r="QE196" s="122"/>
      <c r="QF196" s="122"/>
      <c r="QG196" s="122"/>
      <c r="QM196" s="118"/>
      <c r="QN196" s="118"/>
      <c r="RE196" s="118"/>
      <c r="RF196" s="118"/>
      <c r="RG196" s="118"/>
      <c r="RH196" s="118"/>
      <c r="RI196" s="118"/>
      <c r="RJ196" s="118"/>
      <c r="RK196" s="118"/>
    </row>
    <row r="197" spans="25:479">
      <c r="Y197" s="277" t="s">
        <v>81</v>
      </c>
      <c r="Z197" s="319">
        <f t="shared" si="534"/>
        <v>329550.72000000003</v>
      </c>
      <c r="AA197" s="319">
        <f t="shared" si="373"/>
        <v>286288.33999999997</v>
      </c>
      <c r="AB197" s="319">
        <f t="shared" si="374"/>
        <v>368348.43</v>
      </c>
      <c r="AC197" s="319">
        <f t="shared" si="375"/>
        <v>341405.12</v>
      </c>
      <c r="AD197" s="319">
        <f t="shared" si="376"/>
        <v>410128</v>
      </c>
      <c r="AE197" s="319">
        <f t="shared" si="377"/>
        <v>375219.32</v>
      </c>
      <c r="AF197" s="319">
        <f t="shared" si="378"/>
        <v>412642.31</v>
      </c>
      <c r="AG197" s="319">
        <f t="shared" si="379"/>
        <v>403006.62</v>
      </c>
      <c r="AH197" s="319">
        <f t="shared" si="380"/>
        <v>450264.95</v>
      </c>
      <c r="AI197" s="319">
        <f t="shared" si="381"/>
        <v>418790.96000000008</v>
      </c>
      <c r="AJ197" s="319">
        <f t="shared" si="382"/>
        <v>504108.99000000005</v>
      </c>
      <c r="AK197" s="319">
        <f t="shared" si="383"/>
        <v>490587.9</v>
      </c>
      <c r="AL197" s="319">
        <f t="shared" si="384"/>
        <v>577072.75</v>
      </c>
      <c r="AM197" s="319">
        <f t="shared" si="385"/>
        <v>475072.93</v>
      </c>
      <c r="AN197" s="319">
        <f t="shared" si="386"/>
        <v>529642.63</v>
      </c>
      <c r="AO197" s="319">
        <f t="shared" si="387"/>
        <v>475098.16</v>
      </c>
      <c r="AP197" s="319">
        <f t="shared" si="537"/>
        <v>553807.46</v>
      </c>
      <c r="AQ197" s="319">
        <f t="shared" si="535"/>
        <v>505116.35</v>
      </c>
      <c r="AR197" s="319">
        <f t="shared" si="390"/>
        <v>517106.42099999997</v>
      </c>
      <c r="AS197" s="319">
        <f t="shared" si="391"/>
        <v>0</v>
      </c>
      <c r="AT197" s="319">
        <f t="shared" si="392"/>
        <v>0</v>
      </c>
      <c r="AU197" s="319">
        <f t="shared" si="393"/>
        <v>0</v>
      </c>
      <c r="AW197" s="322" t="s">
        <v>81</v>
      </c>
      <c r="AX197" s="322">
        <f t="shared" si="527"/>
        <v>102984.6</v>
      </c>
      <c r="AY197" s="322">
        <f t="shared" si="395"/>
        <v>99099.81</v>
      </c>
      <c r="AZ197" s="322">
        <f t="shared" si="396"/>
        <v>127016.70000000001</v>
      </c>
      <c r="BA197" s="322">
        <f t="shared" si="397"/>
        <v>121930.40000000001</v>
      </c>
      <c r="BB197" s="322">
        <f t="shared" si="398"/>
        <v>128165</v>
      </c>
      <c r="BC197" s="322">
        <f t="shared" si="399"/>
        <v>120606.20999999999</v>
      </c>
      <c r="BD197" s="322">
        <f t="shared" si="400"/>
        <v>110366.82</v>
      </c>
      <c r="BE197" s="322">
        <f t="shared" si="401"/>
        <v>152864.57999999999</v>
      </c>
      <c r="BF197" s="322">
        <f t="shared" si="402"/>
        <v>107692.37</v>
      </c>
      <c r="BG197" s="322">
        <f t="shared" si="403"/>
        <v>93425.19</v>
      </c>
      <c r="BH197" s="322">
        <f t="shared" si="404"/>
        <v>130101.77</v>
      </c>
      <c r="BI197" s="322">
        <f t="shared" si="405"/>
        <v>110347.11</v>
      </c>
      <c r="BJ197" s="322">
        <f t="shared" si="406"/>
        <v>342287.89</v>
      </c>
      <c r="BK197" s="322">
        <f t="shared" si="407"/>
        <v>391552.57</v>
      </c>
      <c r="BL197" s="322">
        <f t="shared" si="530"/>
        <v>424307.84</v>
      </c>
      <c r="BM197" s="322">
        <f t="shared" si="531"/>
        <v>442738.49000000005</v>
      </c>
      <c r="BN197" s="322">
        <f t="shared" si="532"/>
        <v>395066.37999999995</v>
      </c>
      <c r="BO197" s="340">
        <f t="shared" si="528"/>
        <v>453552.46</v>
      </c>
      <c r="BP197" s="340">
        <f t="shared" si="412"/>
        <v>454551.42999999993</v>
      </c>
      <c r="BQ197" s="340">
        <f t="shared" si="413"/>
        <v>0</v>
      </c>
      <c r="BR197" s="340">
        <f t="shared" si="414"/>
        <v>0</v>
      </c>
      <c r="BS197" s="340">
        <f t="shared" si="415"/>
        <v>0</v>
      </c>
      <c r="BU197" s="340" t="s">
        <v>81</v>
      </c>
      <c r="BV197" s="340">
        <f t="shared" si="416"/>
        <v>20596.919999999998</v>
      </c>
      <c r="BW197" s="340">
        <f t="shared" si="417"/>
        <v>22022.18</v>
      </c>
      <c r="BX197" s="340">
        <f t="shared" si="418"/>
        <v>25403.34</v>
      </c>
      <c r="BY197" s="340">
        <f t="shared" si="419"/>
        <v>24386.080000000002</v>
      </c>
      <c r="BZ197" s="340">
        <f t="shared" si="420"/>
        <v>25633</v>
      </c>
      <c r="CA197" s="340">
        <f t="shared" si="421"/>
        <v>53602.76</v>
      </c>
      <c r="CB197" s="340">
        <f t="shared" si="422"/>
        <v>49051.92</v>
      </c>
      <c r="CC197" s="340">
        <f t="shared" si="423"/>
        <v>55587.119999999995</v>
      </c>
      <c r="CD197" s="340">
        <f t="shared" si="424"/>
        <v>57879.79</v>
      </c>
      <c r="CE197" s="340">
        <f t="shared" si="425"/>
        <v>59017.93</v>
      </c>
      <c r="CF197" s="340">
        <f t="shared" si="426"/>
        <v>67032.5</v>
      </c>
      <c r="CG197" s="340">
        <f t="shared" si="427"/>
        <v>72279.75</v>
      </c>
      <c r="CH197" s="340">
        <f t="shared" si="428"/>
        <v>63476.24</v>
      </c>
      <c r="CI197" s="340">
        <f t="shared" si="429"/>
        <v>65258.960000000006</v>
      </c>
      <c r="CJ197" s="340">
        <f t="shared" si="430"/>
        <v>68136.320000000007</v>
      </c>
      <c r="CK197" s="340">
        <f t="shared" si="431"/>
        <v>64762.67</v>
      </c>
      <c r="CL197" s="340">
        <f t="shared" si="432"/>
        <v>62795.14</v>
      </c>
      <c r="CM197" s="340">
        <f t="shared" si="433"/>
        <v>69985.989999999991</v>
      </c>
      <c r="CN197" s="340">
        <f t="shared" si="434"/>
        <v>62837.11</v>
      </c>
      <c r="CO197" s="340">
        <f t="shared" si="435"/>
        <v>0</v>
      </c>
      <c r="CP197" s="340">
        <f t="shared" si="436"/>
        <v>0</v>
      </c>
      <c r="CQ197" s="340">
        <f t="shared" si="437"/>
        <v>0</v>
      </c>
      <c r="CR197" s="122"/>
      <c r="CS197" s="340" t="s">
        <v>81</v>
      </c>
      <c r="CT197" s="340">
        <f t="shared" si="438"/>
        <v>92686.14</v>
      </c>
      <c r="CU197" s="340">
        <f t="shared" si="439"/>
        <v>121121.99</v>
      </c>
      <c r="CV197" s="340">
        <f t="shared" si="440"/>
        <v>177823.38</v>
      </c>
      <c r="CW197" s="340">
        <f t="shared" si="441"/>
        <v>109737.36</v>
      </c>
      <c r="CX197" s="340">
        <f t="shared" si="442"/>
        <v>76899</v>
      </c>
      <c r="CY197" s="340">
        <f t="shared" si="443"/>
        <v>134006.9</v>
      </c>
      <c r="CZ197" s="340">
        <f t="shared" si="444"/>
        <v>49051.92</v>
      </c>
      <c r="DA197" s="340">
        <f t="shared" si="445"/>
        <v>83380.679999999993</v>
      </c>
      <c r="DB197" s="340">
        <f t="shared" si="446"/>
        <v>79348.39</v>
      </c>
      <c r="DC197" s="340">
        <f t="shared" si="447"/>
        <v>87578.74</v>
      </c>
      <c r="DD197" s="340">
        <f t="shared" si="448"/>
        <v>103063.31</v>
      </c>
      <c r="DE197" s="340">
        <f t="shared" si="449"/>
        <v>150830.17000000001</v>
      </c>
      <c r="DF197" s="340">
        <f t="shared" si="450"/>
        <v>144709.85999999999</v>
      </c>
      <c r="DG197" s="340">
        <f t="shared" si="451"/>
        <v>141080.71</v>
      </c>
      <c r="DH197" s="340">
        <f t="shared" si="452"/>
        <v>284750.09999999998</v>
      </c>
      <c r="DI197" s="340">
        <f t="shared" si="453"/>
        <v>174477.31</v>
      </c>
      <c r="DJ197" s="340">
        <f t="shared" si="454"/>
        <v>170726.5</v>
      </c>
      <c r="DK197" s="340">
        <f t="shared" si="455"/>
        <v>164660.54</v>
      </c>
      <c r="DL197" s="340">
        <f t="shared" si="456"/>
        <v>156922.88</v>
      </c>
      <c r="DM197" s="340">
        <f t="shared" si="457"/>
        <v>0</v>
      </c>
      <c r="DN197" s="340">
        <f t="shared" si="458"/>
        <v>0</v>
      </c>
      <c r="DO197" s="340">
        <f t="shared" si="459"/>
        <v>0</v>
      </c>
      <c r="DP197" s="330"/>
      <c r="DQ197" s="340" t="s">
        <v>81</v>
      </c>
      <c r="DR197" s="340">
        <f t="shared" ref="DR197:EM197" si="551">DR99</f>
        <v>123581.52</v>
      </c>
      <c r="DS197" s="340">
        <f t="shared" si="551"/>
        <v>121121.99</v>
      </c>
      <c r="DT197" s="340">
        <f t="shared" si="551"/>
        <v>127016.7</v>
      </c>
      <c r="DU197" s="340">
        <f t="shared" si="551"/>
        <v>146316.48000000001</v>
      </c>
      <c r="DV197" s="340">
        <f t="shared" si="551"/>
        <v>179431</v>
      </c>
      <c r="DW197" s="340">
        <f t="shared" si="551"/>
        <v>187609.66</v>
      </c>
      <c r="DX197" s="340">
        <f t="shared" si="551"/>
        <v>171681.72</v>
      </c>
      <c r="DY197" s="340">
        <f t="shared" si="551"/>
        <v>180658.14</v>
      </c>
      <c r="DZ197" s="340">
        <f t="shared" si="551"/>
        <v>213213.13</v>
      </c>
      <c r="EA197" s="340">
        <f t="shared" si="551"/>
        <v>210823.04000000001</v>
      </c>
      <c r="EB197" s="340">
        <f t="shared" si="551"/>
        <v>245952.56</v>
      </c>
      <c r="EC197" s="340">
        <f t="shared" si="551"/>
        <v>302405.71000000002</v>
      </c>
      <c r="ED197" s="340">
        <f t="shared" si="551"/>
        <v>314376.86999999994</v>
      </c>
      <c r="EE197" s="340">
        <f t="shared" si="551"/>
        <v>452710.42000000004</v>
      </c>
      <c r="EF197" s="340">
        <f t="shared" si="551"/>
        <v>529873.11</v>
      </c>
      <c r="EG197" s="340">
        <f t="shared" si="551"/>
        <v>546815.56000000006</v>
      </c>
      <c r="EH197" s="340">
        <f t="shared" si="551"/>
        <v>623817.59</v>
      </c>
      <c r="EI197" s="340">
        <f t="shared" si="551"/>
        <v>585528.43000000005</v>
      </c>
      <c r="EJ197" s="340">
        <f t="shared" si="551"/>
        <v>586093.20000000007</v>
      </c>
      <c r="EK197" s="340">
        <f t="shared" si="551"/>
        <v>0</v>
      </c>
      <c r="EL197" s="340">
        <f t="shared" si="551"/>
        <v>0</v>
      </c>
      <c r="EM197" s="340">
        <f t="shared" si="551"/>
        <v>0</v>
      </c>
      <c r="EO197" s="319" t="s">
        <v>81</v>
      </c>
      <c r="EP197" s="319">
        <f t="shared" si="461"/>
        <v>278058.42</v>
      </c>
      <c r="EQ197" s="319">
        <f t="shared" si="462"/>
        <v>352354.88</v>
      </c>
      <c r="ER197" s="319">
        <f t="shared" si="463"/>
        <v>330243.42</v>
      </c>
      <c r="ES197" s="319">
        <f t="shared" si="464"/>
        <v>329212.07999999996</v>
      </c>
      <c r="ET197" s="319">
        <f t="shared" si="465"/>
        <v>346045.5</v>
      </c>
      <c r="EU197" s="319">
        <f t="shared" si="466"/>
        <v>335017.25</v>
      </c>
      <c r="EV197" s="319">
        <f t="shared" si="467"/>
        <v>318837.48</v>
      </c>
      <c r="EW197" s="319">
        <f t="shared" si="468"/>
        <v>375213.06</v>
      </c>
      <c r="EX197" s="319">
        <f t="shared" si="469"/>
        <v>373519.67000000004</v>
      </c>
      <c r="EY197" s="319">
        <f t="shared" si="470"/>
        <v>413311.99</v>
      </c>
      <c r="EZ197" s="319">
        <f t="shared" si="471"/>
        <v>450277.69000000006</v>
      </c>
      <c r="FA197" s="319">
        <f t="shared" si="472"/>
        <v>557615.44999999995</v>
      </c>
      <c r="FB197" s="319">
        <f t="shared" si="473"/>
        <v>664420.81000000006</v>
      </c>
      <c r="FC197" s="319">
        <f t="shared" si="474"/>
        <v>921212.42999999993</v>
      </c>
      <c r="FD197" s="319">
        <f t="shared" si="475"/>
        <v>964949.39999999991</v>
      </c>
      <c r="FE197" s="319">
        <f t="shared" si="476"/>
        <v>1068700.3199999998</v>
      </c>
      <c r="FF197" s="322">
        <f t="shared" si="477"/>
        <v>1078490.02</v>
      </c>
      <c r="FG197" s="336">
        <f t="shared" si="478"/>
        <v>983795.32999999984</v>
      </c>
      <c r="FH197" s="336">
        <f t="shared" si="479"/>
        <v>1164447.26</v>
      </c>
      <c r="FI197" s="336">
        <f t="shared" si="480"/>
        <v>0</v>
      </c>
      <c r="FJ197" s="336">
        <f t="shared" si="481"/>
        <v>0</v>
      </c>
      <c r="FK197" s="336">
        <f t="shared" si="482"/>
        <v>0</v>
      </c>
      <c r="FL197" s="122"/>
      <c r="FM197" s="340" t="s">
        <v>81</v>
      </c>
      <c r="FN197" s="340">
        <f t="shared" si="483"/>
        <v>72089.22</v>
      </c>
      <c r="FO197" s="340">
        <f t="shared" si="484"/>
        <v>66066.539999999994</v>
      </c>
      <c r="FP197" s="340">
        <f t="shared" si="485"/>
        <v>76210.02</v>
      </c>
      <c r="FQ197" s="340">
        <f t="shared" si="486"/>
        <v>85351.28</v>
      </c>
      <c r="FR197" s="340">
        <f t="shared" si="487"/>
        <v>76899</v>
      </c>
      <c r="FS197" s="340">
        <f t="shared" si="488"/>
        <v>93804.83</v>
      </c>
      <c r="FT197" s="340">
        <f t="shared" si="489"/>
        <v>85840.86</v>
      </c>
      <c r="FU197" s="340">
        <f t="shared" si="490"/>
        <v>97277.46</v>
      </c>
      <c r="FV197" s="340">
        <f t="shared" si="491"/>
        <v>114989.95999999999</v>
      </c>
      <c r="FW197" s="340">
        <f t="shared" si="492"/>
        <v>131607.80000000002</v>
      </c>
      <c r="FX197" s="340">
        <f t="shared" si="493"/>
        <v>142101.82000000004</v>
      </c>
      <c r="FY197" s="340">
        <f t="shared" si="494"/>
        <v>181231.71</v>
      </c>
      <c r="FZ197" s="340">
        <f t="shared" si="495"/>
        <v>187265.16000000003</v>
      </c>
      <c r="GA197" s="340">
        <f t="shared" si="496"/>
        <v>196535.66999999995</v>
      </c>
      <c r="GB197" s="340">
        <f t="shared" si="497"/>
        <v>203054.75000000003</v>
      </c>
      <c r="GC197" s="340">
        <f t="shared" si="498"/>
        <v>216297.33999999997</v>
      </c>
      <c r="GD197" s="340">
        <f t="shared" si="499"/>
        <v>220997.43999999997</v>
      </c>
      <c r="GE197" s="340">
        <f t="shared" si="500"/>
        <v>226659.26</v>
      </c>
      <c r="GF197" s="340">
        <f t="shared" si="501"/>
        <v>235515.58</v>
      </c>
      <c r="GG197" s="340">
        <f t="shared" si="502"/>
        <v>0</v>
      </c>
      <c r="GH197" s="340">
        <f t="shared" si="503"/>
        <v>0</v>
      </c>
      <c r="GI197" s="340">
        <f t="shared" si="504"/>
        <v>0</v>
      </c>
      <c r="GJ197" s="122"/>
      <c r="GK197" s="340" t="s">
        <v>81</v>
      </c>
      <c r="GL197" s="340">
        <f t="shared" si="505"/>
        <v>10298.459999999999</v>
      </c>
      <c r="GM197" s="340">
        <f t="shared" si="506"/>
        <v>33033.269999999997</v>
      </c>
      <c r="GN197" s="340">
        <f t="shared" si="507"/>
        <v>38105.01</v>
      </c>
      <c r="GO197" s="340">
        <f t="shared" si="508"/>
        <v>60965.2</v>
      </c>
      <c r="GP197" s="340">
        <f t="shared" si="509"/>
        <v>38449.5</v>
      </c>
      <c r="GQ197" s="340">
        <f t="shared" si="510"/>
        <v>40202.07</v>
      </c>
      <c r="GR197" s="340">
        <f t="shared" si="511"/>
        <v>36788.94</v>
      </c>
      <c r="GS197" s="340">
        <f t="shared" si="512"/>
        <v>41690.339999999997</v>
      </c>
      <c r="GT197" s="340">
        <f t="shared" si="513"/>
        <v>109661.86</v>
      </c>
      <c r="GU197" s="340">
        <f t="shared" si="514"/>
        <v>65095.459999999992</v>
      </c>
      <c r="GV197" s="340">
        <f t="shared" si="515"/>
        <v>8119.8</v>
      </c>
      <c r="GW197" s="340">
        <f t="shared" si="516"/>
        <v>21271.27</v>
      </c>
      <c r="GX197" s="340">
        <f t="shared" si="517"/>
        <v>81455.09</v>
      </c>
      <c r="GY197" s="340">
        <f t="shared" si="518"/>
        <v>132583.81</v>
      </c>
      <c r="GZ197" s="340">
        <f t="shared" si="519"/>
        <v>38458.509999999995</v>
      </c>
      <c r="HA197" s="340">
        <f t="shared" si="520"/>
        <v>95584.03</v>
      </c>
      <c r="HB197" s="340">
        <f t="shared" si="521"/>
        <v>122026.08</v>
      </c>
      <c r="HC197" s="340">
        <f t="shared" si="522"/>
        <v>44919.929999999993</v>
      </c>
      <c r="HD197" s="340">
        <f t="shared" si="523"/>
        <v>124371.27</v>
      </c>
      <c r="HE197" s="340">
        <f t="shared" si="524"/>
        <v>0</v>
      </c>
      <c r="HF197" s="340">
        <f t="shared" si="525"/>
        <v>0</v>
      </c>
      <c r="HG197" s="340">
        <f t="shared" si="526"/>
        <v>0</v>
      </c>
      <c r="HH197" s="122"/>
      <c r="IF197" s="122"/>
      <c r="IG197" s="122"/>
      <c r="IH197" s="122"/>
      <c r="II197" s="122"/>
      <c r="IJ197" s="122"/>
      <c r="IK197" s="122"/>
      <c r="IL197" s="122"/>
      <c r="IN197" s="118"/>
      <c r="IP197" s="122"/>
      <c r="IQ197" s="122"/>
      <c r="IR197" s="122"/>
      <c r="IS197" s="122"/>
      <c r="IT197" s="122"/>
      <c r="IU197" s="122"/>
      <c r="IV197" s="122"/>
      <c r="IW197" s="122"/>
      <c r="IX197" s="122"/>
      <c r="IY197" s="122"/>
      <c r="IZ197" s="122"/>
      <c r="JA197" s="122"/>
      <c r="JB197" s="122"/>
      <c r="JC197" s="122"/>
      <c r="JD197" s="122"/>
      <c r="JE197" s="122"/>
      <c r="JF197" s="122"/>
      <c r="JG197" s="122"/>
      <c r="JH197" s="122"/>
      <c r="JI197" s="122"/>
      <c r="JK197" s="118"/>
      <c r="JL197" s="118"/>
      <c r="JY197" s="122"/>
      <c r="JZ197" s="122"/>
      <c r="KA197" s="122"/>
      <c r="KB197" s="122"/>
      <c r="LX197" s="122"/>
      <c r="LY197" s="122"/>
      <c r="LZ197" s="122"/>
      <c r="MB197" s="118"/>
      <c r="MC197" s="118"/>
      <c r="MP197" s="122"/>
      <c r="MQ197" s="122"/>
      <c r="MR197" s="122"/>
      <c r="MS197" s="122"/>
      <c r="MT197" s="122"/>
      <c r="MU197" s="122"/>
      <c r="MV197" s="122"/>
      <c r="OS197" s="118"/>
      <c r="OT197" s="118"/>
      <c r="PC197" s="122"/>
      <c r="PD197" s="122"/>
      <c r="PE197" s="122"/>
      <c r="PF197" s="122"/>
      <c r="PG197" s="122"/>
      <c r="PH197" s="122"/>
      <c r="PI197" s="122"/>
      <c r="PJ197" s="122"/>
      <c r="PP197" s="118"/>
      <c r="PQ197" s="118"/>
      <c r="PZ197" s="122"/>
      <c r="QA197" s="122"/>
      <c r="QB197" s="122"/>
      <c r="QC197" s="122"/>
      <c r="QD197" s="122"/>
      <c r="QE197" s="122"/>
      <c r="QF197" s="122"/>
      <c r="QG197" s="122"/>
      <c r="QM197" s="118"/>
      <c r="QN197" s="118"/>
      <c r="RE197" s="118"/>
      <c r="RF197" s="118"/>
      <c r="RG197" s="118"/>
      <c r="RH197" s="118"/>
      <c r="RI197" s="118"/>
      <c r="RJ197" s="118"/>
      <c r="RK197" s="118"/>
    </row>
    <row r="198" spans="25:479">
      <c r="Y198" s="277" t="s">
        <v>82</v>
      </c>
      <c r="Z198" s="319">
        <f t="shared" si="534"/>
        <v>428928.27</v>
      </c>
      <c r="AA198" s="319">
        <f t="shared" si="373"/>
        <v>408562.92000000004</v>
      </c>
      <c r="AB198" s="319">
        <f t="shared" si="374"/>
        <v>467201.83999999997</v>
      </c>
      <c r="AC198" s="319">
        <f t="shared" si="375"/>
        <v>475213.72</v>
      </c>
      <c r="AD198" s="319">
        <f t="shared" si="376"/>
        <v>571312.5</v>
      </c>
      <c r="AE198" s="319">
        <f t="shared" si="377"/>
        <v>539868.30000000005</v>
      </c>
      <c r="AF198" s="319">
        <f t="shared" si="378"/>
        <v>571731.97</v>
      </c>
      <c r="AG198" s="319">
        <f t="shared" si="379"/>
        <v>514085.50000000006</v>
      </c>
      <c r="AH198" s="319">
        <f t="shared" si="380"/>
        <v>589558.28</v>
      </c>
      <c r="AI198" s="319">
        <f t="shared" si="381"/>
        <v>571522.58000000007</v>
      </c>
      <c r="AJ198" s="319">
        <f t="shared" si="382"/>
        <v>591032.52</v>
      </c>
      <c r="AK198" s="319">
        <f t="shared" si="383"/>
        <v>602008.37</v>
      </c>
      <c r="AL198" s="319">
        <f t="shared" si="384"/>
        <v>685039.11999999988</v>
      </c>
      <c r="AM198" s="319">
        <f t="shared" si="385"/>
        <v>689124.2</v>
      </c>
      <c r="AN198" s="319">
        <f t="shared" si="386"/>
        <v>640337.62999999989</v>
      </c>
      <c r="AO198" s="319">
        <f t="shared" si="387"/>
        <v>582173.35</v>
      </c>
      <c r="AP198" s="319">
        <f t="shared" si="537"/>
        <v>685207.61</v>
      </c>
      <c r="AQ198" s="319">
        <f t="shared" si="535"/>
        <v>625576.05000000005</v>
      </c>
      <c r="AR198" s="319">
        <f t="shared" si="390"/>
        <v>0</v>
      </c>
      <c r="AS198" s="319">
        <f t="shared" si="391"/>
        <v>695790.73</v>
      </c>
      <c r="AT198" s="319">
        <f t="shared" si="392"/>
        <v>744766.38</v>
      </c>
      <c r="AU198" s="319">
        <f t="shared" si="393"/>
        <v>881908.97999999986</v>
      </c>
      <c r="AW198" s="322" t="s">
        <v>82</v>
      </c>
      <c r="AX198" s="322">
        <f t="shared" si="527"/>
        <v>281021.96999999997</v>
      </c>
      <c r="AY198" s="322">
        <f t="shared" si="395"/>
        <v>257243.32</v>
      </c>
      <c r="AZ198" s="322">
        <f t="shared" si="396"/>
        <v>300344.04000000004</v>
      </c>
      <c r="BA198" s="322">
        <f t="shared" si="397"/>
        <v>262186.88</v>
      </c>
      <c r="BB198" s="322">
        <f t="shared" si="398"/>
        <v>207750</v>
      </c>
      <c r="BC198" s="322">
        <f t="shared" si="399"/>
        <v>215947.32</v>
      </c>
      <c r="BD198" s="322">
        <f t="shared" si="400"/>
        <v>281023.12</v>
      </c>
      <c r="BE198" s="322">
        <f t="shared" si="401"/>
        <v>246761.03999999998</v>
      </c>
      <c r="BF198" s="322">
        <f t="shared" si="402"/>
        <v>181416.13</v>
      </c>
      <c r="BG198" s="322">
        <f t="shared" si="403"/>
        <v>149928.9</v>
      </c>
      <c r="BH198" s="322">
        <f t="shared" si="404"/>
        <v>165864.78999999998</v>
      </c>
      <c r="BI198" s="322">
        <f t="shared" si="405"/>
        <v>153479.67999999999</v>
      </c>
      <c r="BJ198" s="322">
        <f t="shared" si="406"/>
        <v>167760.72</v>
      </c>
      <c r="BK198" s="322">
        <f t="shared" si="407"/>
        <v>188770.15</v>
      </c>
      <c r="BL198" s="322">
        <f t="shared" si="530"/>
        <v>164562.4</v>
      </c>
      <c r="BM198" s="322">
        <f t="shared" si="531"/>
        <v>170692.95</v>
      </c>
      <c r="BN198" s="322">
        <f t="shared" si="532"/>
        <v>178428.31</v>
      </c>
      <c r="BO198" s="340">
        <f t="shared" si="528"/>
        <v>200693.36</v>
      </c>
      <c r="BP198" s="340">
        <f t="shared" si="412"/>
        <v>0</v>
      </c>
      <c r="BQ198" s="340">
        <f t="shared" si="413"/>
        <v>191585.59000000003</v>
      </c>
      <c r="BR198" s="340">
        <f t="shared" si="414"/>
        <v>204388.34999999998</v>
      </c>
      <c r="BS198" s="340">
        <f t="shared" si="415"/>
        <v>238170</v>
      </c>
      <c r="BU198" s="340" t="s">
        <v>82</v>
      </c>
      <c r="BV198" s="340">
        <f t="shared" si="416"/>
        <v>29581.26</v>
      </c>
      <c r="BW198" s="340">
        <f t="shared" si="417"/>
        <v>60527.839999999997</v>
      </c>
      <c r="BX198" s="340">
        <f t="shared" si="418"/>
        <v>50057.34</v>
      </c>
      <c r="BY198" s="340">
        <f t="shared" si="419"/>
        <v>65546.720000000001</v>
      </c>
      <c r="BZ198" s="340">
        <f t="shared" si="420"/>
        <v>69250</v>
      </c>
      <c r="CA198" s="340">
        <f t="shared" si="421"/>
        <v>71982.44</v>
      </c>
      <c r="CB198" s="340">
        <f t="shared" si="422"/>
        <v>60219.240000000005</v>
      </c>
      <c r="CC198" s="340">
        <f t="shared" si="423"/>
        <v>61690.259999999995</v>
      </c>
      <c r="CD198" s="340">
        <f t="shared" si="424"/>
        <v>75640.320000000007</v>
      </c>
      <c r="CE198" s="340">
        <f t="shared" si="425"/>
        <v>76638.94</v>
      </c>
      <c r="CF198" s="340">
        <f t="shared" si="426"/>
        <v>79909.8</v>
      </c>
      <c r="CG198" s="340">
        <f t="shared" si="427"/>
        <v>77233.660000000018</v>
      </c>
      <c r="CH198" s="340">
        <f t="shared" si="428"/>
        <v>83783.53</v>
      </c>
      <c r="CI198" s="340">
        <f t="shared" si="429"/>
        <v>87648.76999999999</v>
      </c>
      <c r="CJ198" s="340">
        <f t="shared" si="430"/>
        <v>95473.47</v>
      </c>
      <c r="CK198" s="340">
        <f t="shared" si="431"/>
        <v>91432.42</v>
      </c>
      <c r="CL198" s="340">
        <f t="shared" si="432"/>
        <v>95909.48</v>
      </c>
      <c r="CM198" s="340">
        <f t="shared" si="433"/>
        <v>101515.65</v>
      </c>
      <c r="CN198" s="340">
        <f t="shared" si="434"/>
        <v>0</v>
      </c>
      <c r="CO198" s="340">
        <f t="shared" si="435"/>
        <v>114968.64</v>
      </c>
      <c r="CP198" s="340">
        <f t="shared" si="436"/>
        <v>129735.73999999999</v>
      </c>
      <c r="CQ198" s="340">
        <f t="shared" si="437"/>
        <v>134172.63</v>
      </c>
      <c r="CR198" s="122"/>
      <c r="CS198" s="340" t="s">
        <v>82</v>
      </c>
      <c r="CT198" s="340">
        <f t="shared" si="438"/>
        <v>118325.04</v>
      </c>
      <c r="CU198" s="340">
        <f t="shared" si="439"/>
        <v>90791.76</v>
      </c>
      <c r="CV198" s="340">
        <f t="shared" si="440"/>
        <v>133486.24</v>
      </c>
      <c r="CW198" s="340">
        <f t="shared" si="441"/>
        <v>114706.76</v>
      </c>
      <c r="CX198" s="340">
        <f t="shared" si="442"/>
        <v>121187.5</v>
      </c>
      <c r="CY198" s="340">
        <f t="shared" si="443"/>
        <v>89978.05</v>
      </c>
      <c r="CZ198" s="340">
        <f t="shared" si="444"/>
        <v>160584.64000000001</v>
      </c>
      <c r="DA198" s="340">
        <f t="shared" si="445"/>
        <v>185070.78</v>
      </c>
      <c r="DB198" s="340">
        <f t="shared" si="446"/>
        <v>134086.76999999999</v>
      </c>
      <c r="DC198" s="340">
        <f t="shared" si="447"/>
        <v>236113.29000000004</v>
      </c>
      <c r="DD198" s="340">
        <f t="shared" si="448"/>
        <v>288492.75</v>
      </c>
      <c r="DE198" s="340">
        <f t="shared" si="449"/>
        <v>188913.41</v>
      </c>
      <c r="DF198" s="340">
        <f t="shared" si="450"/>
        <v>265411.68</v>
      </c>
      <c r="DG198" s="340">
        <f t="shared" si="451"/>
        <v>241916.77000000002</v>
      </c>
      <c r="DH198" s="340">
        <f t="shared" si="452"/>
        <v>222507.46999999997</v>
      </c>
      <c r="DI198" s="340">
        <f t="shared" si="453"/>
        <v>209598.38</v>
      </c>
      <c r="DJ198" s="340">
        <f t="shared" si="454"/>
        <v>219250.47999999998</v>
      </c>
      <c r="DK198" s="340">
        <f t="shared" si="455"/>
        <v>245725.2</v>
      </c>
      <c r="DL198" s="340">
        <f t="shared" si="456"/>
        <v>0</v>
      </c>
      <c r="DM198" s="340">
        <f t="shared" si="457"/>
        <v>273845.13</v>
      </c>
      <c r="DN198" s="340">
        <f t="shared" si="458"/>
        <v>253883.38</v>
      </c>
      <c r="DO198" s="340">
        <f t="shared" si="459"/>
        <v>287201.17</v>
      </c>
      <c r="DP198" s="330"/>
      <c r="DQ198" s="340" t="s">
        <v>82</v>
      </c>
      <c r="DR198" s="340">
        <f t="shared" ref="DR198:EM198" si="552">DR100</f>
        <v>73953.149999999994</v>
      </c>
      <c r="DS198" s="340">
        <f t="shared" si="552"/>
        <v>90791.76</v>
      </c>
      <c r="DT198" s="340">
        <f t="shared" si="552"/>
        <v>83428.899999999994</v>
      </c>
      <c r="DU198" s="340">
        <f t="shared" si="552"/>
        <v>98320.08</v>
      </c>
      <c r="DV198" s="340">
        <f t="shared" si="552"/>
        <v>138500</v>
      </c>
      <c r="DW198" s="340">
        <f t="shared" si="552"/>
        <v>161960.49</v>
      </c>
      <c r="DX198" s="340">
        <f t="shared" si="552"/>
        <v>180657.72</v>
      </c>
      <c r="DY198" s="340">
        <f t="shared" si="552"/>
        <v>205634.2</v>
      </c>
      <c r="DZ198" s="340">
        <f t="shared" si="552"/>
        <v>203825.07</v>
      </c>
      <c r="EA198" s="340">
        <f t="shared" si="552"/>
        <v>239225.85</v>
      </c>
      <c r="EB198" s="340">
        <f t="shared" si="552"/>
        <v>280620.32</v>
      </c>
      <c r="EC198" s="340">
        <f t="shared" si="552"/>
        <v>287152.73000000004</v>
      </c>
      <c r="ED198" s="340">
        <f t="shared" si="552"/>
        <v>351077.92</v>
      </c>
      <c r="EE198" s="340">
        <f t="shared" si="552"/>
        <v>370302.62999999995</v>
      </c>
      <c r="EF198" s="340">
        <f t="shared" si="552"/>
        <v>357464.76</v>
      </c>
      <c r="EG198" s="340">
        <f t="shared" si="552"/>
        <v>371488.54000000004</v>
      </c>
      <c r="EH198" s="340">
        <f t="shared" si="552"/>
        <v>377340.89</v>
      </c>
      <c r="EI198" s="340">
        <f t="shared" si="552"/>
        <v>390443.45</v>
      </c>
      <c r="EJ198" s="340">
        <f t="shared" si="552"/>
        <v>0</v>
      </c>
      <c r="EK198" s="340">
        <f t="shared" si="552"/>
        <v>494521.25</v>
      </c>
      <c r="EL198" s="340">
        <f t="shared" si="552"/>
        <v>592677.50999999989</v>
      </c>
      <c r="EM198" s="340">
        <f t="shared" si="552"/>
        <v>683329.75</v>
      </c>
      <c r="EO198" s="319" t="s">
        <v>82</v>
      </c>
      <c r="EP198" s="319">
        <f t="shared" si="461"/>
        <v>443718.89999999997</v>
      </c>
      <c r="EQ198" s="319">
        <f t="shared" si="462"/>
        <v>499354.68</v>
      </c>
      <c r="ER198" s="319">
        <f t="shared" si="463"/>
        <v>500573.4</v>
      </c>
      <c r="ES198" s="319">
        <f t="shared" si="464"/>
        <v>507987.07999999996</v>
      </c>
      <c r="ET198" s="319">
        <f t="shared" si="465"/>
        <v>519375</v>
      </c>
      <c r="EU198" s="319">
        <f t="shared" si="466"/>
        <v>521872.69</v>
      </c>
      <c r="EV198" s="319">
        <f t="shared" si="467"/>
        <v>602192.4</v>
      </c>
      <c r="EW198" s="319">
        <f t="shared" si="468"/>
        <v>678592.86</v>
      </c>
      <c r="EX198" s="319">
        <f t="shared" si="469"/>
        <v>728494.55</v>
      </c>
      <c r="EY198" s="319">
        <f t="shared" si="470"/>
        <v>832716.15999999992</v>
      </c>
      <c r="EZ198" s="319">
        <f t="shared" si="471"/>
        <v>709794.2699999999</v>
      </c>
      <c r="FA198" s="319">
        <f t="shared" si="472"/>
        <v>792429.73000000021</v>
      </c>
      <c r="FB198" s="319">
        <f t="shared" si="473"/>
        <v>1127174.1300000004</v>
      </c>
      <c r="FC198" s="319">
        <f t="shared" si="474"/>
        <v>1439325.44</v>
      </c>
      <c r="FD198" s="319">
        <f t="shared" si="475"/>
        <v>1487405.4800000002</v>
      </c>
      <c r="FE198" s="319">
        <f t="shared" si="476"/>
        <v>1430799.21</v>
      </c>
      <c r="FF198" s="322">
        <f t="shared" si="477"/>
        <v>1631433.83</v>
      </c>
      <c r="FG198" s="336">
        <f t="shared" si="478"/>
        <v>1485050.46</v>
      </c>
      <c r="FH198" s="336">
        <f t="shared" si="479"/>
        <v>0</v>
      </c>
      <c r="FI198" s="336">
        <f t="shared" si="480"/>
        <v>1884937.65</v>
      </c>
      <c r="FJ198" s="336">
        <f t="shared" si="481"/>
        <v>2022521.1999999997</v>
      </c>
      <c r="FK198" s="336">
        <f t="shared" si="482"/>
        <v>2030026.0899999999</v>
      </c>
      <c r="FL198" s="122"/>
      <c r="FM198" s="340" t="s">
        <v>82</v>
      </c>
      <c r="FN198" s="340">
        <f t="shared" si="483"/>
        <v>88743.78</v>
      </c>
      <c r="FO198" s="340">
        <f t="shared" si="484"/>
        <v>105923.72</v>
      </c>
      <c r="FP198" s="340">
        <f t="shared" si="485"/>
        <v>100114.68</v>
      </c>
      <c r="FQ198" s="340">
        <f t="shared" si="486"/>
        <v>114706.76</v>
      </c>
      <c r="FR198" s="340">
        <f t="shared" si="487"/>
        <v>103875</v>
      </c>
      <c r="FS198" s="340">
        <f t="shared" si="488"/>
        <v>125969.27</v>
      </c>
      <c r="FT198" s="340">
        <f t="shared" si="489"/>
        <v>120438.48</v>
      </c>
      <c r="FU198" s="340">
        <f t="shared" si="490"/>
        <v>143943.94</v>
      </c>
      <c r="FV198" s="340">
        <f t="shared" si="491"/>
        <v>157502.73999999996</v>
      </c>
      <c r="FW198" s="340">
        <f t="shared" si="492"/>
        <v>169500.29000000004</v>
      </c>
      <c r="FX198" s="340">
        <f t="shared" si="493"/>
        <v>175142.87999999998</v>
      </c>
      <c r="FY198" s="340">
        <f t="shared" si="494"/>
        <v>179931.79</v>
      </c>
      <c r="FZ198" s="340">
        <f t="shared" si="495"/>
        <v>182432.87000000002</v>
      </c>
      <c r="GA198" s="340">
        <f t="shared" si="496"/>
        <v>182013.32</v>
      </c>
      <c r="GB198" s="340">
        <f t="shared" si="497"/>
        <v>183782.33999999997</v>
      </c>
      <c r="GC198" s="340">
        <f t="shared" si="498"/>
        <v>184609.39</v>
      </c>
      <c r="GD198" s="340">
        <f t="shared" si="499"/>
        <v>193314.75</v>
      </c>
      <c r="GE198" s="340">
        <f t="shared" si="500"/>
        <v>198299.62999999998</v>
      </c>
      <c r="GF198" s="340">
        <f t="shared" si="501"/>
        <v>0</v>
      </c>
      <c r="GG198" s="340">
        <f t="shared" si="502"/>
        <v>218173.48</v>
      </c>
      <c r="GH198" s="340">
        <f t="shared" si="503"/>
        <v>222610.05000000002</v>
      </c>
      <c r="GI198" s="340">
        <f t="shared" si="504"/>
        <v>225080.78999999998</v>
      </c>
      <c r="GJ198" s="122"/>
      <c r="GK198" s="340" t="s">
        <v>82</v>
      </c>
      <c r="GL198" s="340">
        <f t="shared" si="505"/>
        <v>14790.63</v>
      </c>
      <c r="GM198" s="340">
        <f t="shared" si="506"/>
        <v>0</v>
      </c>
      <c r="GN198" s="340">
        <f t="shared" si="507"/>
        <v>33371.56</v>
      </c>
      <c r="GO198" s="340">
        <f t="shared" si="508"/>
        <v>0</v>
      </c>
      <c r="GP198" s="340">
        <f t="shared" si="509"/>
        <v>0</v>
      </c>
      <c r="GQ198" s="340">
        <f t="shared" si="510"/>
        <v>71982.44</v>
      </c>
      <c r="GR198" s="340">
        <f t="shared" si="511"/>
        <v>20073.080000000002</v>
      </c>
      <c r="GS198" s="340">
        <f t="shared" si="512"/>
        <v>20563.419999999998</v>
      </c>
      <c r="GT198" s="340">
        <f t="shared" si="513"/>
        <v>34319.5</v>
      </c>
      <c r="GU198" s="340">
        <f t="shared" si="514"/>
        <v>40174.81</v>
      </c>
      <c r="GV198" s="340">
        <f t="shared" si="515"/>
        <v>119736.88</v>
      </c>
      <c r="GW198" s="340">
        <f t="shared" si="516"/>
        <v>23067.5</v>
      </c>
      <c r="GX198" s="340">
        <f t="shared" si="517"/>
        <v>41630.449999999997</v>
      </c>
      <c r="GY198" s="340">
        <f t="shared" si="518"/>
        <v>50675.82</v>
      </c>
      <c r="GZ198" s="340">
        <f t="shared" si="519"/>
        <v>18450</v>
      </c>
      <c r="HA198" s="340">
        <f t="shared" si="520"/>
        <v>8345</v>
      </c>
      <c r="HB198" s="340">
        <f t="shared" si="521"/>
        <v>11571.15</v>
      </c>
      <c r="HC198" s="340">
        <f t="shared" si="522"/>
        <v>9528.75</v>
      </c>
      <c r="HD198" s="340">
        <f t="shared" si="523"/>
        <v>0</v>
      </c>
      <c r="HE198" s="340">
        <f t="shared" si="524"/>
        <v>328264.62</v>
      </c>
      <c r="HF198" s="340">
        <f t="shared" si="525"/>
        <v>195516.5</v>
      </c>
      <c r="HG198" s="340">
        <f t="shared" si="526"/>
        <v>158150.63</v>
      </c>
      <c r="HH198" s="122"/>
      <c r="IF198" s="122"/>
      <c r="IG198" s="122"/>
      <c r="IH198" s="122"/>
      <c r="II198" s="122"/>
      <c r="IJ198" s="122"/>
      <c r="IK198" s="122"/>
      <c r="IL198" s="122"/>
      <c r="IN198" s="118"/>
      <c r="IP198" s="122"/>
      <c r="IQ198" s="122"/>
      <c r="IR198" s="122"/>
      <c r="IS198" s="122"/>
      <c r="IT198" s="122"/>
      <c r="IU198" s="122"/>
      <c r="IV198" s="122"/>
      <c r="IW198" s="122"/>
      <c r="IX198" s="122"/>
      <c r="IY198" s="122"/>
      <c r="IZ198" s="122"/>
      <c r="JA198" s="122"/>
      <c r="JB198" s="122"/>
      <c r="JC198" s="122"/>
      <c r="JD198" s="122"/>
      <c r="JE198" s="122"/>
      <c r="JF198" s="122"/>
      <c r="JG198" s="122"/>
      <c r="JH198" s="122"/>
      <c r="JI198" s="122"/>
      <c r="JK198" s="118"/>
      <c r="JL198" s="118"/>
      <c r="JY198" s="122"/>
      <c r="JZ198" s="122"/>
      <c r="KA198" s="122"/>
      <c r="KB198" s="122"/>
      <c r="LX198" s="122"/>
      <c r="LY198" s="122"/>
      <c r="LZ198" s="122"/>
      <c r="MB198" s="118"/>
      <c r="MC198" s="118"/>
      <c r="MP198" s="122"/>
      <c r="MQ198" s="122"/>
      <c r="MR198" s="122"/>
      <c r="MS198" s="122"/>
      <c r="MT198" s="122"/>
      <c r="MU198" s="122"/>
      <c r="MV198" s="122"/>
      <c r="OS198" s="118"/>
      <c r="OT198" s="118"/>
      <c r="PC198" s="122"/>
      <c r="PD198" s="122"/>
      <c r="PE198" s="122"/>
      <c r="PF198" s="122"/>
      <c r="PG198" s="122"/>
      <c r="PH198" s="122"/>
      <c r="PI198" s="122"/>
      <c r="PJ198" s="122"/>
      <c r="PP198" s="118"/>
      <c r="PQ198" s="118"/>
      <c r="PZ198" s="122"/>
      <c r="QA198" s="122"/>
      <c r="QB198" s="122"/>
      <c r="QC198" s="122"/>
      <c r="QD198" s="122"/>
      <c r="QE198" s="122"/>
      <c r="QF198" s="122"/>
      <c r="QG198" s="122"/>
      <c r="QM198" s="118"/>
      <c r="QN198" s="118"/>
      <c r="RE198" s="118"/>
      <c r="RF198" s="118"/>
      <c r="RG198" s="118"/>
      <c r="RH198" s="118"/>
      <c r="RI198" s="118"/>
      <c r="RJ198" s="118"/>
      <c r="RK198" s="118"/>
    </row>
    <row r="199" spans="25:479">
      <c r="Y199" s="277" t="s">
        <v>83</v>
      </c>
      <c r="Z199" s="319">
        <f t="shared" si="534"/>
        <v>394827.68</v>
      </c>
      <c r="AA199" s="319">
        <f t="shared" si="373"/>
        <v>404333.56000000006</v>
      </c>
      <c r="AB199" s="319">
        <f t="shared" si="374"/>
        <v>575058.99</v>
      </c>
      <c r="AC199" s="319">
        <f t="shared" si="375"/>
        <v>666418.74</v>
      </c>
      <c r="AD199" s="319">
        <f t="shared" si="376"/>
        <v>682250.39999999991</v>
      </c>
      <c r="AE199" s="319">
        <f t="shared" si="377"/>
        <v>669416.64000000013</v>
      </c>
      <c r="AF199" s="319">
        <f t="shared" si="378"/>
        <v>746883.03</v>
      </c>
      <c r="AG199" s="319">
        <f t="shared" si="379"/>
        <v>754650.06</v>
      </c>
      <c r="AH199" s="319">
        <f t="shared" si="380"/>
        <v>1044259.5900000001</v>
      </c>
      <c r="AI199" s="319">
        <f t="shared" si="381"/>
        <v>0</v>
      </c>
      <c r="AJ199" s="319">
        <f t="shared" si="382"/>
        <v>0</v>
      </c>
      <c r="AK199" s="319">
        <f t="shared" si="383"/>
        <v>0</v>
      </c>
      <c r="AL199" s="319">
        <f t="shared" si="384"/>
        <v>0</v>
      </c>
      <c r="AM199" s="319">
        <f t="shared" si="385"/>
        <v>0</v>
      </c>
      <c r="AN199" s="319">
        <f t="shared" si="386"/>
        <v>0</v>
      </c>
      <c r="AO199" s="319">
        <f t="shared" si="387"/>
        <v>0</v>
      </c>
      <c r="AP199" s="319">
        <f t="shared" si="537"/>
        <v>0</v>
      </c>
      <c r="AQ199" s="319">
        <f t="shared" si="535"/>
        <v>0</v>
      </c>
      <c r="AR199" s="319">
        <f t="shared" si="390"/>
        <v>0</v>
      </c>
      <c r="AS199" s="319">
        <f t="shared" si="391"/>
        <v>0</v>
      </c>
      <c r="AT199" s="319">
        <f t="shared" si="392"/>
        <v>0</v>
      </c>
      <c r="AU199" s="319">
        <f t="shared" si="393"/>
        <v>0</v>
      </c>
      <c r="AW199" s="322" t="s">
        <v>83</v>
      </c>
      <c r="AX199" s="322">
        <f t="shared" si="527"/>
        <v>167042.47999999998</v>
      </c>
      <c r="AY199" s="322">
        <f t="shared" si="395"/>
        <v>193376.92</v>
      </c>
      <c r="AZ199" s="322">
        <f t="shared" si="396"/>
        <v>204053.19</v>
      </c>
      <c r="BA199" s="322">
        <f t="shared" si="397"/>
        <v>153788.94</v>
      </c>
      <c r="BB199" s="322">
        <f t="shared" si="398"/>
        <v>94757</v>
      </c>
      <c r="BC199" s="322">
        <f t="shared" si="399"/>
        <v>125515.62</v>
      </c>
      <c r="BD199" s="322">
        <f t="shared" si="400"/>
        <v>160571.67000000001</v>
      </c>
      <c r="BE199" s="322">
        <f t="shared" si="401"/>
        <v>133173.54</v>
      </c>
      <c r="BF199" s="322">
        <f t="shared" si="402"/>
        <v>134035.57</v>
      </c>
      <c r="BG199" s="322">
        <f t="shared" si="403"/>
        <v>0</v>
      </c>
      <c r="BH199" s="322">
        <f t="shared" si="404"/>
        <v>0</v>
      </c>
      <c r="BI199" s="322">
        <f t="shared" si="405"/>
        <v>0</v>
      </c>
      <c r="BJ199" s="322">
        <f t="shared" si="406"/>
        <v>0</v>
      </c>
      <c r="BK199" s="322">
        <f t="shared" si="407"/>
        <v>0</v>
      </c>
      <c r="BL199" s="322">
        <f t="shared" si="530"/>
        <v>0</v>
      </c>
      <c r="BM199" s="322">
        <f t="shared" si="531"/>
        <v>0</v>
      </c>
      <c r="BN199" s="322">
        <f t="shared" si="532"/>
        <v>0</v>
      </c>
      <c r="BO199" s="340">
        <f t="shared" si="528"/>
        <v>0</v>
      </c>
      <c r="BP199" s="340">
        <f t="shared" si="412"/>
        <v>0</v>
      </c>
      <c r="BQ199" s="340">
        <f t="shared" si="413"/>
        <v>0</v>
      </c>
      <c r="BR199" s="340">
        <f t="shared" si="414"/>
        <v>0</v>
      </c>
      <c r="BS199" s="340">
        <f t="shared" si="415"/>
        <v>0</v>
      </c>
      <c r="BU199" s="340" t="s">
        <v>83</v>
      </c>
      <c r="BV199" s="340">
        <f t="shared" si="416"/>
        <v>30371.360000000001</v>
      </c>
      <c r="BW199" s="340">
        <f t="shared" si="417"/>
        <v>35159.440000000002</v>
      </c>
      <c r="BX199" s="340">
        <f t="shared" si="418"/>
        <v>37100.58</v>
      </c>
      <c r="BY199" s="340">
        <f t="shared" si="419"/>
        <v>34175.32</v>
      </c>
      <c r="BZ199" s="340">
        <f t="shared" si="420"/>
        <v>37902.800000000003</v>
      </c>
      <c r="CA199" s="340">
        <f t="shared" si="421"/>
        <v>41838.54</v>
      </c>
      <c r="CB199" s="340">
        <f t="shared" si="422"/>
        <v>68816.430000000008</v>
      </c>
      <c r="CC199" s="340">
        <f t="shared" si="423"/>
        <v>44391.18</v>
      </c>
      <c r="CD199" s="340">
        <f t="shared" si="424"/>
        <v>43231.020000000004</v>
      </c>
      <c r="CE199" s="340">
        <f t="shared" si="425"/>
        <v>0</v>
      </c>
      <c r="CF199" s="340">
        <f t="shared" si="426"/>
        <v>0</v>
      </c>
      <c r="CG199" s="340">
        <f t="shared" si="427"/>
        <v>0</v>
      </c>
      <c r="CH199" s="340">
        <f t="shared" si="428"/>
        <v>0</v>
      </c>
      <c r="CI199" s="340">
        <f t="shared" si="429"/>
        <v>0</v>
      </c>
      <c r="CJ199" s="340">
        <f t="shared" si="430"/>
        <v>0</v>
      </c>
      <c r="CK199" s="340">
        <f t="shared" si="431"/>
        <v>0</v>
      </c>
      <c r="CL199" s="340">
        <f t="shared" si="432"/>
        <v>0</v>
      </c>
      <c r="CM199" s="340">
        <f t="shared" si="433"/>
        <v>0</v>
      </c>
      <c r="CN199" s="340">
        <f t="shared" si="434"/>
        <v>0</v>
      </c>
      <c r="CO199" s="340">
        <f t="shared" si="435"/>
        <v>0</v>
      </c>
      <c r="CP199" s="340">
        <f t="shared" si="436"/>
        <v>0</v>
      </c>
      <c r="CQ199" s="340">
        <f t="shared" si="437"/>
        <v>0</v>
      </c>
      <c r="CR199" s="122"/>
      <c r="CS199" s="340" t="s">
        <v>83</v>
      </c>
      <c r="CT199" s="340">
        <f t="shared" si="438"/>
        <v>364456.32</v>
      </c>
      <c r="CU199" s="340">
        <f t="shared" si="439"/>
        <v>263695.8</v>
      </c>
      <c r="CV199" s="340">
        <f t="shared" si="440"/>
        <v>463757.25</v>
      </c>
      <c r="CW199" s="340">
        <f t="shared" si="441"/>
        <v>512629.8</v>
      </c>
      <c r="CX199" s="340">
        <f t="shared" si="442"/>
        <v>549590.6</v>
      </c>
      <c r="CY199" s="340">
        <f t="shared" si="443"/>
        <v>585739.56000000006</v>
      </c>
      <c r="CZ199" s="340">
        <f t="shared" si="444"/>
        <v>550531.43999999994</v>
      </c>
      <c r="DA199" s="340">
        <f t="shared" si="445"/>
        <v>643672.11</v>
      </c>
      <c r="DB199" s="340">
        <f t="shared" si="446"/>
        <v>835541.60000000009</v>
      </c>
      <c r="DC199" s="340">
        <f t="shared" si="447"/>
        <v>0</v>
      </c>
      <c r="DD199" s="340">
        <f t="shared" si="448"/>
        <v>0</v>
      </c>
      <c r="DE199" s="340">
        <f t="shared" si="449"/>
        <v>0</v>
      </c>
      <c r="DF199" s="340">
        <f t="shared" si="450"/>
        <v>0</v>
      </c>
      <c r="DG199" s="340">
        <f t="shared" si="451"/>
        <v>0</v>
      </c>
      <c r="DH199" s="340">
        <f t="shared" si="452"/>
        <v>0</v>
      </c>
      <c r="DI199" s="340">
        <f t="shared" si="453"/>
        <v>0</v>
      </c>
      <c r="DJ199" s="340">
        <f t="shared" si="454"/>
        <v>0</v>
      </c>
      <c r="DK199" s="340">
        <f t="shared" si="455"/>
        <v>0</v>
      </c>
      <c r="DL199" s="340">
        <f t="shared" si="456"/>
        <v>0</v>
      </c>
      <c r="DM199" s="340">
        <f t="shared" si="457"/>
        <v>0</v>
      </c>
      <c r="DN199" s="340">
        <f t="shared" si="458"/>
        <v>0</v>
      </c>
      <c r="DO199" s="340">
        <f t="shared" si="459"/>
        <v>0</v>
      </c>
      <c r="DP199" s="330"/>
      <c r="DQ199" s="340" t="s">
        <v>83</v>
      </c>
      <c r="DR199" s="340">
        <f t="shared" ref="DR199:EM199" si="553">DR101</f>
        <v>0</v>
      </c>
      <c r="DS199" s="340">
        <f t="shared" si="553"/>
        <v>158217.48000000001</v>
      </c>
      <c r="DT199" s="340">
        <f t="shared" si="553"/>
        <v>0</v>
      </c>
      <c r="DU199" s="340">
        <f t="shared" si="553"/>
        <v>0</v>
      </c>
      <c r="DV199" s="340">
        <f t="shared" si="553"/>
        <v>0</v>
      </c>
      <c r="DW199" s="340">
        <f t="shared" si="553"/>
        <v>0</v>
      </c>
      <c r="DX199" s="340">
        <f t="shared" si="553"/>
        <v>0</v>
      </c>
      <c r="DY199" s="340">
        <f t="shared" si="553"/>
        <v>0</v>
      </c>
      <c r="DZ199" s="340">
        <f t="shared" si="553"/>
        <v>0</v>
      </c>
      <c r="EA199" s="340">
        <f t="shared" si="553"/>
        <v>0</v>
      </c>
      <c r="EB199" s="340">
        <f t="shared" si="553"/>
        <v>0</v>
      </c>
      <c r="EC199" s="340">
        <f t="shared" si="553"/>
        <v>0</v>
      </c>
      <c r="ED199" s="340">
        <f t="shared" si="553"/>
        <v>0</v>
      </c>
      <c r="EE199" s="340">
        <f t="shared" si="553"/>
        <v>0</v>
      </c>
      <c r="EF199" s="340">
        <f t="shared" si="553"/>
        <v>0</v>
      </c>
      <c r="EG199" s="340">
        <f t="shared" si="553"/>
        <v>0</v>
      </c>
      <c r="EH199" s="340">
        <f t="shared" si="553"/>
        <v>0</v>
      </c>
      <c r="EI199" s="340">
        <f t="shared" si="553"/>
        <v>0</v>
      </c>
      <c r="EJ199" s="340">
        <f t="shared" si="553"/>
        <v>0</v>
      </c>
      <c r="EK199" s="340">
        <f t="shared" si="553"/>
        <v>0</v>
      </c>
      <c r="EL199" s="340">
        <f t="shared" si="553"/>
        <v>0</v>
      </c>
      <c r="EM199" s="340">
        <f t="shared" si="553"/>
        <v>0</v>
      </c>
      <c r="EO199" s="319" t="s">
        <v>83</v>
      </c>
      <c r="EP199" s="319">
        <f t="shared" si="461"/>
        <v>0</v>
      </c>
      <c r="EQ199" s="319">
        <f t="shared" si="462"/>
        <v>0</v>
      </c>
      <c r="ER199" s="319">
        <f t="shared" si="463"/>
        <v>0</v>
      </c>
      <c r="ES199" s="319">
        <f t="shared" si="464"/>
        <v>0</v>
      </c>
      <c r="ET199" s="319">
        <f t="shared" si="465"/>
        <v>0</v>
      </c>
      <c r="EU199" s="319">
        <f t="shared" si="466"/>
        <v>0</v>
      </c>
      <c r="EV199" s="319">
        <f t="shared" si="467"/>
        <v>0</v>
      </c>
      <c r="EW199" s="319">
        <f t="shared" si="468"/>
        <v>0</v>
      </c>
      <c r="EX199" s="319">
        <f t="shared" si="469"/>
        <v>0</v>
      </c>
      <c r="EY199" s="319">
        <f t="shared" si="470"/>
        <v>0</v>
      </c>
      <c r="EZ199" s="319">
        <f t="shared" si="471"/>
        <v>0</v>
      </c>
      <c r="FA199" s="319">
        <f t="shared" si="472"/>
        <v>0</v>
      </c>
      <c r="FB199" s="319">
        <f t="shared" si="473"/>
        <v>0</v>
      </c>
      <c r="FC199" s="319">
        <f t="shared" si="474"/>
        <v>0</v>
      </c>
      <c r="FD199" s="319">
        <f t="shared" si="475"/>
        <v>0</v>
      </c>
      <c r="FE199" s="319">
        <f t="shared" si="476"/>
        <v>0</v>
      </c>
      <c r="FF199" s="322">
        <f t="shared" si="477"/>
        <v>0</v>
      </c>
      <c r="FG199" s="336">
        <f t="shared" si="478"/>
        <v>0</v>
      </c>
      <c r="FH199" s="336">
        <f t="shared" si="479"/>
        <v>0</v>
      </c>
      <c r="FI199" s="336">
        <f t="shared" si="480"/>
        <v>0</v>
      </c>
      <c r="FJ199" s="336">
        <f t="shared" si="481"/>
        <v>0</v>
      </c>
      <c r="FK199" s="336">
        <f t="shared" si="482"/>
        <v>0</v>
      </c>
      <c r="FL199" s="122"/>
      <c r="FM199" s="340" t="s">
        <v>83</v>
      </c>
      <c r="FN199" s="340">
        <f t="shared" si="483"/>
        <v>167042.48000000001</v>
      </c>
      <c r="FO199" s="340">
        <f t="shared" si="484"/>
        <v>193376.92</v>
      </c>
      <c r="FP199" s="340">
        <f t="shared" si="485"/>
        <v>185502.9</v>
      </c>
      <c r="FQ199" s="340">
        <f t="shared" si="486"/>
        <v>187964.26</v>
      </c>
      <c r="FR199" s="340">
        <f t="shared" si="487"/>
        <v>208465.4</v>
      </c>
      <c r="FS199" s="340">
        <f t="shared" si="488"/>
        <v>209192.7</v>
      </c>
      <c r="FT199" s="340">
        <f t="shared" si="489"/>
        <v>229388.1</v>
      </c>
      <c r="FU199" s="340">
        <f t="shared" si="490"/>
        <v>288542.67</v>
      </c>
      <c r="FV199" s="340">
        <f t="shared" si="491"/>
        <v>324501.93000000005</v>
      </c>
      <c r="FW199" s="340">
        <f t="shared" si="492"/>
        <v>0</v>
      </c>
      <c r="FX199" s="340">
        <f t="shared" si="493"/>
        <v>0</v>
      </c>
      <c r="FY199" s="340">
        <f t="shared" si="494"/>
        <v>0</v>
      </c>
      <c r="FZ199" s="340">
        <f t="shared" si="495"/>
        <v>0</v>
      </c>
      <c r="GA199" s="340">
        <f t="shared" si="496"/>
        <v>0</v>
      </c>
      <c r="GB199" s="340">
        <f t="shared" si="497"/>
        <v>0</v>
      </c>
      <c r="GC199" s="340">
        <f t="shared" si="498"/>
        <v>0</v>
      </c>
      <c r="GD199" s="340">
        <f t="shared" si="499"/>
        <v>0</v>
      </c>
      <c r="GE199" s="340">
        <f t="shared" si="500"/>
        <v>0</v>
      </c>
      <c r="GF199" s="340">
        <f t="shared" si="501"/>
        <v>0</v>
      </c>
      <c r="GG199" s="340">
        <f t="shared" si="502"/>
        <v>0</v>
      </c>
      <c r="GH199" s="340">
        <f t="shared" si="503"/>
        <v>0</v>
      </c>
      <c r="GI199" s="340">
        <f t="shared" si="504"/>
        <v>0</v>
      </c>
      <c r="GJ199" s="122"/>
      <c r="GK199" s="340" t="s">
        <v>83</v>
      </c>
      <c r="GL199" s="340">
        <f t="shared" si="505"/>
        <v>394827.68</v>
      </c>
      <c r="GM199" s="340">
        <f t="shared" si="506"/>
        <v>509811.88</v>
      </c>
      <c r="GN199" s="340">
        <f t="shared" si="507"/>
        <v>389556.09</v>
      </c>
      <c r="GO199" s="340">
        <f t="shared" si="508"/>
        <v>153788.94</v>
      </c>
      <c r="GP199" s="340">
        <f t="shared" si="509"/>
        <v>322173.8</v>
      </c>
      <c r="GQ199" s="340">
        <f t="shared" si="510"/>
        <v>460223.94</v>
      </c>
      <c r="GR199" s="340">
        <f t="shared" si="511"/>
        <v>527592.63</v>
      </c>
      <c r="GS199" s="340">
        <f t="shared" si="512"/>
        <v>355129.44</v>
      </c>
      <c r="GT199" s="340">
        <f t="shared" si="513"/>
        <v>471842</v>
      </c>
      <c r="GU199" s="340">
        <f t="shared" si="514"/>
        <v>0</v>
      </c>
      <c r="GV199" s="340">
        <f t="shared" si="515"/>
        <v>0</v>
      </c>
      <c r="GW199" s="340">
        <f t="shared" si="516"/>
        <v>0</v>
      </c>
      <c r="GX199" s="340">
        <f t="shared" si="517"/>
        <v>0</v>
      </c>
      <c r="GY199" s="340">
        <f t="shared" si="518"/>
        <v>0</v>
      </c>
      <c r="GZ199" s="340">
        <f t="shared" si="519"/>
        <v>0</v>
      </c>
      <c r="HA199" s="340">
        <f t="shared" si="520"/>
        <v>0</v>
      </c>
      <c r="HB199" s="340">
        <f t="shared" si="521"/>
        <v>0</v>
      </c>
      <c r="HC199" s="340">
        <f t="shared" si="522"/>
        <v>0</v>
      </c>
      <c r="HD199" s="340">
        <f t="shared" si="523"/>
        <v>0</v>
      </c>
      <c r="HE199" s="340">
        <f t="shared" si="524"/>
        <v>0</v>
      </c>
      <c r="HF199" s="340">
        <f t="shared" si="525"/>
        <v>0</v>
      </c>
      <c r="HG199" s="340">
        <f t="shared" si="526"/>
        <v>0</v>
      </c>
      <c r="HH199" s="122"/>
      <c r="IF199" s="122"/>
      <c r="IG199" s="122"/>
      <c r="IH199" s="122"/>
      <c r="II199" s="122"/>
      <c r="IJ199" s="122"/>
      <c r="IK199" s="122"/>
      <c r="IL199" s="122"/>
      <c r="IN199" s="118"/>
      <c r="IP199" s="122"/>
      <c r="IQ199" s="122"/>
      <c r="IR199" s="122"/>
      <c r="IS199" s="122"/>
      <c r="IT199" s="122"/>
      <c r="IU199" s="122"/>
      <c r="IV199" s="122"/>
      <c r="IW199" s="122"/>
      <c r="IX199" s="122"/>
      <c r="IY199" s="122"/>
      <c r="IZ199" s="122"/>
      <c r="JA199" s="122"/>
      <c r="JB199" s="122"/>
      <c r="JC199" s="122"/>
      <c r="JD199" s="122"/>
      <c r="JE199" s="122"/>
      <c r="JF199" s="122"/>
      <c r="JG199" s="122"/>
      <c r="JH199" s="122"/>
      <c r="JI199" s="122"/>
      <c r="JK199" s="118"/>
      <c r="JL199" s="118"/>
      <c r="JY199" s="122"/>
      <c r="JZ199" s="122"/>
      <c r="KA199" s="122"/>
      <c r="KB199" s="122"/>
      <c r="LX199" s="122"/>
      <c r="LY199" s="122"/>
      <c r="LZ199" s="122"/>
      <c r="MB199" s="118"/>
      <c r="MC199" s="118"/>
      <c r="MP199" s="122"/>
      <c r="MQ199" s="122"/>
      <c r="MR199" s="122"/>
      <c r="MS199" s="122"/>
      <c r="MT199" s="122"/>
      <c r="MU199" s="122"/>
      <c r="MV199" s="122"/>
      <c r="OS199" s="118"/>
      <c r="OT199" s="118"/>
      <c r="PC199" s="122"/>
      <c r="PD199" s="122"/>
      <c r="PE199" s="122"/>
      <c r="PF199" s="122"/>
      <c r="PG199" s="122"/>
      <c r="PH199" s="122"/>
      <c r="PI199" s="122"/>
      <c r="PJ199" s="122"/>
      <c r="PP199" s="118"/>
      <c r="PQ199" s="118"/>
      <c r="PZ199" s="122"/>
      <c r="QA199" s="122"/>
      <c r="QB199" s="122"/>
      <c r="QC199" s="122"/>
      <c r="QD199" s="122"/>
      <c r="QE199" s="122"/>
      <c r="QF199" s="122"/>
      <c r="QG199" s="122"/>
      <c r="QM199" s="118"/>
      <c r="QN199" s="118"/>
      <c r="RE199" s="118"/>
      <c r="RF199" s="118"/>
      <c r="RG199" s="118"/>
      <c r="RH199" s="118"/>
      <c r="RI199" s="118"/>
      <c r="RJ199" s="118"/>
      <c r="RK199" s="118"/>
    </row>
    <row r="200" spans="25:479">
      <c r="Y200" s="277" t="s">
        <v>84</v>
      </c>
      <c r="Z200" s="319">
        <f t="shared" si="534"/>
        <v>490525.86</v>
      </c>
      <c r="AA200" s="319">
        <f t="shared" si="373"/>
        <v>529762.84</v>
      </c>
      <c r="AB200" s="319">
        <f t="shared" si="374"/>
        <v>597544.30000000005</v>
      </c>
      <c r="AC200" s="319">
        <f t="shared" si="375"/>
        <v>574799.07000000007</v>
      </c>
      <c r="AD200" s="319">
        <f t="shared" si="376"/>
        <v>657671.76</v>
      </c>
      <c r="AE200" s="319">
        <f t="shared" si="377"/>
        <v>530724.48</v>
      </c>
      <c r="AF200" s="319">
        <f t="shared" si="378"/>
        <v>698010.38</v>
      </c>
      <c r="AG200" s="319">
        <f t="shared" si="379"/>
        <v>825638.70000000007</v>
      </c>
      <c r="AH200" s="319">
        <f t="shared" si="380"/>
        <v>852804.58000000007</v>
      </c>
      <c r="AI200" s="319">
        <f t="shared" si="381"/>
        <v>744614.16</v>
      </c>
      <c r="AJ200" s="319">
        <f t="shared" si="382"/>
        <v>863126.53000000014</v>
      </c>
      <c r="AK200" s="319">
        <f t="shared" si="383"/>
        <v>793422.58000000007</v>
      </c>
      <c r="AL200" s="319">
        <f t="shared" si="384"/>
        <v>900150.94</v>
      </c>
      <c r="AM200" s="319">
        <f t="shared" si="385"/>
        <v>751646.48</v>
      </c>
      <c r="AN200" s="319">
        <f t="shared" si="386"/>
        <v>778818.9800000001</v>
      </c>
      <c r="AO200" s="319">
        <f t="shared" si="387"/>
        <v>738315.37999999989</v>
      </c>
      <c r="AP200" s="319">
        <f t="shared" si="537"/>
        <v>957710.23</v>
      </c>
      <c r="AQ200" s="319">
        <f t="shared" si="535"/>
        <v>1265932.4100000001</v>
      </c>
      <c r="AR200" s="319">
        <f t="shared" si="390"/>
        <v>1058704.1099999999</v>
      </c>
      <c r="AS200" s="319">
        <f t="shared" si="391"/>
        <v>1047299.0000000001</v>
      </c>
      <c r="AT200" s="319">
        <f t="shared" si="392"/>
        <v>1735470.5100000002</v>
      </c>
      <c r="AU200" s="319">
        <f t="shared" si="393"/>
        <v>980276</v>
      </c>
      <c r="AW200" s="322" t="s">
        <v>84</v>
      </c>
      <c r="AX200" s="322">
        <f t="shared" si="527"/>
        <v>163508.62</v>
      </c>
      <c r="AY200" s="322">
        <f t="shared" si="395"/>
        <v>171393.86</v>
      </c>
      <c r="AZ200" s="322">
        <f t="shared" si="396"/>
        <v>157248.5</v>
      </c>
      <c r="BA200" s="322">
        <f t="shared" si="397"/>
        <v>155351.1</v>
      </c>
      <c r="BB200" s="322">
        <f t="shared" si="398"/>
        <v>127880.62</v>
      </c>
      <c r="BC200" s="322">
        <f t="shared" si="399"/>
        <v>243248.72000000003</v>
      </c>
      <c r="BD200" s="322">
        <f t="shared" si="400"/>
        <v>195814.26</v>
      </c>
      <c r="BE200" s="322">
        <f t="shared" si="401"/>
        <v>165127.74</v>
      </c>
      <c r="BF200" s="322">
        <f t="shared" si="402"/>
        <v>184722.4</v>
      </c>
      <c r="BG200" s="322">
        <f t="shared" si="403"/>
        <v>215373.74</v>
      </c>
      <c r="BH200" s="322">
        <f t="shared" si="404"/>
        <v>193125.24</v>
      </c>
      <c r="BI200" s="322">
        <f t="shared" si="405"/>
        <v>187526</v>
      </c>
      <c r="BJ200" s="322">
        <f t="shared" si="406"/>
        <v>185358.36</v>
      </c>
      <c r="BK200" s="322">
        <f t="shared" si="407"/>
        <v>176171.88</v>
      </c>
      <c r="BL200" s="322">
        <f t="shared" si="530"/>
        <v>174422.61</v>
      </c>
      <c r="BM200" s="322">
        <f t="shared" si="531"/>
        <v>167539.95000000001</v>
      </c>
      <c r="BN200" s="322">
        <f t="shared" si="532"/>
        <v>194991.75</v>
      </c>
      <c r="BO200" s="340">
        <f t="shared" si="528"/>
        <v>197425.68</v>
      </c>
      <c r="BP200" s="340">
        <f t="shared" si="412"/>
        <v>199685.57</v>
      </c>
      <c r="BQ200" s="340">
        <f t="shared" si="413"/>
        <v>198568.18</v>
      </c>
      <c r="BR200" s="340">
        <f t="shared" si="414"/>
        <v>194436.92</v>
      </c>
      <c r="BS200" s="340">
        <f t="shared" si="415"/>
        <v>236358</v>
      </c>
      <c r="BU200" s="340" t="s">
        <v>84</v>
      </c>
      <c r="BV200" s="340">
        <f t="shared" si="416"/>
        <v>29728.84</v>
      </c>
      <c r="BW200" s="340">
        <f t="shared" si="417"/>
        <v>62325.04</v>
      </c>
      <c r="BX200" s="340">
        <f t="shared" si="418"/>
        <v>47174.55</v>
      </c>
      <c r="BY200" s="340">
        <f t="shared" si="419"/>
        <v>62140.44</v>
      </c>
      <c r="BZ200" s="340">
        <f t="shared" si="420"/>
        <v>73074.64</v>
      </c>
      <c r="CA200" s="340">
        <f t="shared" si="421"/>
        <v>66340.56</v>
      </c>
      <c r="CB200" s="340">
        <f t="shared" si="422"/>
        <v>65271.42</v>
      </c>
      <c r="CC200" s="340">
        <f t="shared" si="423"/>
        <v>82563.87</v>
      </c>
      <c r="CD200" s="340">
        <f t="shared" si="424"/>
        <v>106403</v>
      </c>
      <c r="CE200" s="340">
        <f t="shared" si="425"/>
        <v>114248</v>
      </c>
      <c r="CF200" s="340">
        <f t="shared" si="426"/>
        <v>108793.77</v>
      </c>
      <c r="CG200" s="340">
        <f t="shared" si="427"/>
        <v>143112</v>
      </c>
      <c r="CH200" s="340">
        <f t="shared" si="428"/>
        <v>165224.95000000001</v>
      </c>
      <c r="CI200" s="340">
        <f t="shared" si="429"/>
        <v>125882.47</v>
      </c>
      <c r="CJ200" s="340">
        <f t="shared" si="430"/>
        <v>112408.21</v>
      </c>
      <c r="CK200" s="340">
        <f t="shared" si="431"/>
        <v>95418.65</v>
      </c>
      <c r="CL200" s="340">
        <f t="shared" si="432"/>
        <v>97275.300000000017</v>
      </c>
      <c r="CM200" s="340">
        <f t="shared" si="433"/>
        <v>160389.28</v>
      </c>
      <c r="CN200" s="340">
        <f t="shared" si="434"/>
        <v>114523.25</v>
      </c>
      <c r="CO200" s="340">
        <f t="shared" si="435"/>
        <v>124509.28</v>
      </c>
      <c r="CP200" s="340">
        <f t="shared" si="436"/>
        <v>87600.93</v>
      </c>
      <c r="CQ200" s="340">
        <f t="shared" si="437"/>
        <v>80855</v>
      </c>
      <c r="CR200" s="122"/>
      <c r="CS200" s="340" t="s">
        <v>84</v>
      </c>
      <c r="CT200" s="340">
        <f t="shared" si="438"/>
        <v>535119.12</v>
      </c>
      <c r="CU200" s="340">
        <f t="shared" si="439"/>
        <v>451856.54</v>
      </c>
      <c r="CV200" s="340">
        <f t="shared" si="440"/>
        <v>408846.1</v>
      </c>
      <c r="CW200" s="340">
        <f t="shared" si="441"/>
        <v>403912.86</v>
      </c>
      <c r="CX200" s="340">
        <f t="shared" si="442"/>
        <v>566328.46</v>
      </c>
      <c r="CY200" s="340">
        <f t="shared" si="443"/>
        <v>972994.88</v>
      </c>
      <c r="CZ200" s="340">
        <f t="shared" si="444"/>
        <v>652714.19999999995</v>
      </c>
      <c r="DA200" s="340">
        <f t="shared" si="445"/>
        <v>1128372.8899999999</v>
      </c>
      <c r="DB200" s="340">
        <f t="shared" si="446"/>
        <v>355522.30000000005</v>
      </c>
      <c r="DC200" s="340">
        <f t="shared" si="447"/>
        <v>298862.78000000003</v>
      </c>
      <c r="DD200" s="340">
        <f t="shared" si="448"/>
        <v>495404.67</v>
      </c>
      <c r="DE200" s="340">
        <f t="shared" si="449"/>
        <v>386308.07999999996</v>
      </c>
      <c r="DF200" s="340">
        <f t="shared" si="450"/>
        <v>393972.51</v>
      </c>
      <c r="DG200" s="340">
        <f t="shared" si="451"/>
        <v>507940.87999999989</v>
      </c>
      <c r="DH200" s="340">
        <f t="shared" si="452"/>
        <v>333718.56</v>
      </c>
      <c r="DI200" s="340">
        <f t="shared" si="453"/>
        <v>386445.14</v>
      </c>
      <c r="DJ200" s="340">
        <f t="shared" si="454"/>
        <v>377947.04</v>
      </c>
      <c r="DK200" s="340">
        <f t="shared" si="455"/>
        <v>437245.68</v>
      </c>
      <c r="DL200" s="340">
        <f t="shared" si="456"/>
        <v>652997.02</v>
      </c>
      <c r="DM200" s="340">
        <f t="shared" si="457"/>
        <v>806115.67999999993</v>
      </c>
      <c r="DN200" s="340">
        <f t="shared" si="458"/>
        <v>746736.3899999999</v>
      </c>
      <c r="DO200" s="340">
        <f t="shared" si="459"/>
        <v>1129076</v>
      </c>
      <c r="DP200" s="330"/>
      <c r="DQ200" s="340" t="s">
        <v>84</v>
      </c>
      <c r="DR200" s="340">
        <f t="shared" ref="DR200:EM200" si="554">DR102</f>
        <v>0</v>
      </c>
      <c r="DS200" s="340">
        <f t="shared" si="554"/>
        <v>0</v>
      </c>
      <c r="DT200" s="340">
        <f t="shared" si="554"/>
        <v>0</v>
      </c>
      <c r="DU200" s="340">
        <f t="shared" si="554"/>
        <v>0</v>
      </c>
      <c r="DV200" s="340">
        <f t="shared" si="554"/>
        <v>0</v>
      </c>
      <c r="DW200" s="340">
        <f t="shared" si="554"/>
        <v>0</v>
      </c>
      <c r="DX200" s="340">
        <f t="shared" si="554"/>
        <v>0</v>
      </c>
      <c r="DY200" s="340">
        <f t="shared" si="554"/>
        <v>0</v>
      </c>
      <c r="DZ200" s="340">
        <f t="shared" si="554"/>
        <v>0</v>
      </c>
      <c r="EA200" s="340">
        <f t="shared" si="554"/>
        <v>0</v>
      </c>
      <c r="EB200" s="340">
        <f t="shared" si="554"/>
        <v>0</v>
      </c>
      <c r="EC200" s="340">
        <f t="shared" si="554"/>
        <v>0</v>
      </c>
      <c r="ED200" s="340">
        <f t="shared" si="554"/>
        <v>0</v>
      </c>
      <c r="EE200" s="340">
        <f t="shared" si="554"/>
        <v>0</v>
      </c>
      <c r="EF200" s="340">
        <f t="shared" si="554"/>
        <v>0</v>
      </c>
      <c r="EG200" s="340">
        <f t="shared" si="554"/>
        <v>0</v>
      </c>
      <c r="EH200" s="340">
        <f t="shared" si="554"/>
        <v>0</v>
      </c>
      <c r="EI200" s="340">
        <f t="shared" si="554"/>
        <v>0</v>
      </c>
      <c r="EJ200" s="340">
        <f t="shared" si="554"/>
        <v>0</v>
      </c>
      <c r="EK200" s="340">
        <f t="shared" si="554"/>
        <v>0</v>
      </c>
      <c r="EL200" s="340">
        <f t="shared" si="554"/>
        <v>0</v>
      </c>
      <c r="EM200" s="340">
        <f t="shared" si="554"/>
        <v>778655</v>
      </c>
      <c r="EO200" s="319" t="s">
        <v>84</v>
      </c>
      <c r="EP200" s="319">
        <f t="shared" si="461"/>
        <v>0</v>
      </c>
      <c r="EQ200" s="319">
        <f t="shared" si="462"/>
        <v>0</v>
      </c>
      <c r="ER200" s="319">
        <f t="shared" si="463"/>
        <v>0</v>
      </c>
      <c r="ES200" s="319">
        <f t="shared" si="464"/>
        <v>0</v>
      </c>
      <c r="ET200" s="319">
        <f t="shared" si="465"/>
        <v>0</v>
      </c>
      <c r="EU200" s="319">
        <f t="shared" si="466"/>
        <v>0</v>
      </c>
      <c r="EV200" s="319">
        <f t="shared" si="467"/>
        <v>0</v>
      </c>
      <c r="EW200" s="319">
        <f t="shared" si="468"/>
        <v>0</v>
      </c>
      <c r="EX200" s="319">
        <f t="shared" si="469"/>
        <v>0</v>
      </c>
      <c r="EY200" s="319">
        <f t="shared" si="470"/>
        <v>0</v>
      </c>
      <c r="EZ200" s="319">
        <f t="shared" si="471"/>
        <v>0</v>
      </c>
      <c r="FA200" s="319">
        <f t="shared" si="472"/>
        <v>0</v>
      </c>
      <c r="FB200" s="319">
        <f t="shared" si="473"/>
        <v>0</v>
      </c>
      <c r="FC200" s="319">
        <f t="shared" si="474"/>
        <v>0</v>
      </c>
      <c r="FD200" s="319">
        <f t="shared" si="475"/>
        <v>0</v>
      </c>
      <c r="FE200" s="319">
        <f t="shared" si="476"/>
        <v>0</v>
      </c>
      <c r="FF200" s="322">
        <f t="shared" si="477"/>
        <v>83888.56</v>
      </c>
      <c r="FG200" s="336">
        <f t="shared" si="478"/>
        <v>215972.31</v>
      </c>
      <c r="FH200" s="336">
        <f t="shared" si="479"/>
        <v>267589.83</v>
      </c>
      <c r="FI200" s="336">
        <f t="shared" si="480"/>
        <v>265335.12999999995</v>
      </c>
      <c r="FJ200" s="336">
        <f t="shared" si="481"/>
        <v>261737.37</v>
      </c>
      <c r="FK200" s="336">
        <f t="shared" si="482"/>
        <v>260965</v>
      </c>
      <c r="FL200" s="122"/>
      <c r="FM200" s="340" t="s">
        <v>84</v>
      </c>
      <c r="FN200" s="340">
        <f t="shared" si="483"/>
        <v>133779.78</v>
      </c>
      <c r="FO200" s="340">
        <f t="shared" si="484"/>
        <v>171393.86</v>
      </c>
      <c r="FP200" s="340">
        <f t="shared" si="485"/>
        <v>172973.35</v>
      </c>
      <c r="FQ200" s="340">
        <f t="shared" si="486"/>
        <v>201956.43</v>
      </c>
      <c r="FR200" s="340">
        <f t="shared" si="487"/>
        <v>219223.92</v>
      </c>
      <c r="FS200" s="340">
        <f t="shared" si="488"/>
        <v>199021.68</v>
      </c>
      <c r="FT200" s="340">
        <f t="shared" si="489"/>
        <v>239328.54</v>
      </c>
      <c r="FU200" s="340">
        <f t="shared" si="490"/>
        <v>302734.19</v>
      </c>
      <c r="FV200" s="340">
        <f t="shared" si="491"/>
        <v>363505</v>
      </c>
      <c r="FW200" s="340">
        <f t="shared" si="492"/>
        <v>385235.28</v>
      </c>
      <c r="FX200" s="340">
        <f t="shared" si="493"/>
        <v>406902.12</v>
      </c>
      <c r="FY200" s="340">
        <f t="shared" si="494"/>
        <v>464660</v>
      </c>
      <c r="FZ200" s="340">
        <f t="shared" si="495"/>
        <v>386954.50999999989</v>
      </c>
      <c r="GA200" s="340">
        <f t="shared" si="496"/>
        <v>379751.09</v>
      </c>
      <c r="GB200" s="340">
        <f t="shared" si="497"/>
        <v>349024.21</v>
      </c>
      <c r="GC200" s="340">
        <f t="shared" si="498"/>
        <v>296386.95</v>
      </c>
      <c r="GD200" s="340">
        <f t="shared" si="499"/>
        <v>285114.31</v>
      </c>
      <c r="GE200" s="340">
        <f t="shared" si="500"/>
        <v>310546.20999999996</v>
      </c>
      <c r="GF200" s="340">
        <f t="shared" si="501"/>
        <v>326383.14</v>
      </c>
      <c r="GG200" s="340">
        <f t="shared" si="502"/>
        <v>333518.73</v>
      </c>
      <c r="GH200" s="340">
        <f t="shared" si="503"/>
        <v>339984.34</v>
      </c>
      <c r="GI200" s="340">
        <f t="shared" si="504"/>
        <v>307732</v>
      </c>
      <c r="GJ200" s="122"/>
      <c r="GK200" s="340" t="s">
        <v>84</v>
      </c>
      <c r="GL200" s="340">
        <f t="shared" si="505"/>
        <v>133779.78</v>
      </c>
      <c r="GM200" s="340">
        <f t="shared" si="506"/>
        <v>171393.86</v>
      </c>
      <c r="GN200" s="340">
        <f t="shared" si="507"/>
        <v>188698.2</v>
      </c>
      <c r="GO200" s="340">
        <f t="shared" si="508"/>
        <v>155351.1</v>
      </c>
      <c r="GP200" s="340">
        <f t="shared" si="509"/>
        <v>182686.6</v>
      </c>
      <c r="GQ200" s="340">
        <f t="shared" si="510"/>
        <v>199021.68</v>
      </c>
      <c r="GR200" s="340">
        <f t="shared" si="511"/>
        <v>326357.09999999998</v>
      </c>
      <c r="GS200" s="340">
        <f t="shared" si="512"/>
        <v>247691.61</v>
      </c>
      <c r="GT200" s="340">
        <f t="shared" si="513"/>
        <v>282177.70999999996</v>
      </c>
      <c r="GU200" s="340">
        <f t="shared" si="514"/>
        <v>329506.53999999998</v>
      </c>
      <c r="GV200" s="340">
        <f t="shared" si="515"/>
        <v>676084.72</v>
      </c>
      <c r="GW200" s="340">
        <f t="shared" si="516"/>
        <v>780500</v>
      </c>
      <c r="GX200" s="340">
        <f t="shared" si="517"/>
        <v>620576</v>
      </c>
      <c r="GY200" s="340">
        <f t="shared" si="518"/>
        <v>592497.02</v>
      </c>
      <c r="GZ200" s="340">
        <f t="shared" si="519"/>
        <v>441868.12</v>
      </c>
      <c r="HA200" s="340">
        <f t="shared" si="520"/>
        <v>623057.93000000005</v>
      </c>
      <c r="HB200" s="340">
        <f t="shared" si="521"/>
        <v>301594</v>
      </c>
      <c r="HC200" s="340">
        <f t="shared" si="522"/>
        <v>539797.24</v>
      </c>
      <c r="HD200" s="340">
        <f t="shared" si="523"/>
        <v>322335</v>
      </c>
      <c r="HE200" s="340">
        <f t="shared" si="524"/>
        <v>407499</v>
      </c>
      <c r="HF200" s="340">
        <f t="shared" si="525"/>
        <v>317619.46000000002</v>
      </c>
      <c r="HG200" s="340">
        <f t="shared" si="526"/>
        <v>234668</v>
      </c>
      <c r="HH200" s="122"/>
      <c r="IF200" s="122"/>
      <c r="IG200" s="122"/>
      <c r="IH200" s="122"/>
      <c r="II200" s="122"/>
      <c r="IJ200" s="122"/>
      <c r="IK200" s="122"/>
      <c r="IL200" s="122"/>
      <c r="IN200" s="118"/>
      <c r="IP200" s="122"/>
      <c r="IQ200" s="122"/>
      <c r="IR200" s="122"/>
      <c r="IS200" s="122"/>
      <c r="IT200" s="122"/>
      <c r="IU200" s="122"/>
      <c r="IV200" s="122"/>
      <c r="IW200" s="122"/>
      <c r="IX200" s="122"/>
      <c r="IY200" s="122"/>
      <c r="IZ200" s="122"/>
      <c r="JA200" s="122"/>
      <c r="JB200" s="122"/>
      <c r="JC200" s="122"/>
      <c r="JD200" s="122"/>
      <c r="JE200" s="122"/>
      <c r="JF200" s="122"/>
      <c r="JG200" s="122"/>
      <c r="JH200" s="122"/>
      <c r="JI200" s="122"/>
      <c r="JK200" s="118"/>
      <c r="JL200" s="118"/>
      <c r="JY200" s="122"/>
      <c r="JZ200" s="122"/>
      <c r="KA200" s="122"/>
      <c r="KB200" s="122"/>
      <c r="LX200" s="122"/>
      <c r="LY200" s="122"/>
      <c r="LZ200" s="122"/>
      <c r="MB200" s="118"/>
      <c r="MC200" s="118"/>
      <c r="MP200" s="122"/>
      <c r="MQ200" s="122"/>
      <c r="MR200" s="122"/>
      <c r="MS200" s="122"/>
      <c r="MT200" s="122"/>
      <c r="MU200" s="122"/>
      <c r="MV200" s="122"/>
      <c r="OS200" s="118"/>
      <c r="OT200" s="118"/>
      <c r="PC200" s="122"/>
      <c r="PD200" s="122"/>
      <c r="PE200" s="122"/>
      <c r="PF200" s="122"/>
      <c r="PG200" s="122"/>
      <c r="PH200" s="122"/>
      <c r="PI200" s="122"/>
      <c r="PJ200" s="122"/>
      <c r="PP200" s="118"/>
      <c r="PQ200" s="118"/>
      <c r="PZ200" s="122"/>
      <c r="QA200" s="122"/>
      <c r="QB200" s="122"/>
      <c r="QC200" s="122"/>
      <c r="QD200" s="122"/>
      <c r="QE200" s="122"/>
      <c r="QF200" s="122"/>
      <c r="QG200" s="122"/>
      <c r="QM200" s="118"/>
      <c r="QN200" s="118"/>
      <c r="RE200" s="118"/>
      <c r="RF200" s="118"/>
      <c r="RG200" s="118"/>
      <c r="RH200" s="118"/>
      <c r="RI200" s="118"/>
      <c r="RJ200" s="118"/>
      <c r="RK200" s="118"/>
    </row>
    <row r="201" spans="25:479">
      <c r="Y201" s="277" t="s">
        <v>85</v>
      </c>
      <c r="Z201" s="319">
        <f t="shared" si="534"/>
        <v>296110.15000000002</v>
      </c>
      <c r="AA201" s="319">
        <f t="shared" si="373"/>
        <v>288489.59999999998</v>
      </c>
      <c r="AB201" s="319">
        <f t="shared" si="374"/>
        <v>341749.32</v>
      </c>
      <c r="AC201" s="319">
        <f t="shared" si="375"/>
        <v>298289.65000000002</v>
      </c>
      <c r="AD201" s="319">
        <f t="shared" si="376"/>
        <v>326823.84000000003</v>
      </c>
      <c r="AE201" s="319">
        <f t="shared" si="377"/>
        <v>294483.26</v>
      </c>
      <c r="AF201" s="319">
        <f t="shared" si="378"/>
        <v>336635.04</v>
      </c>
      <c r="AG201" s="319">
        <f t="shared" si="379"/>
        <v>314090.40000000002</v>
      </c>
      <c r="AH201" s="319">
        <f t="shared" si="380"/>
        <v>390417.13999999996</v>
      </c>
      <c r="AI201" s="319">
        <f t="shared" si="381"/>
        <v>365292.61</v>
      </c>
      <c r="AJ201" s="319">
        <f t="shared" si="382"/>
        <v>608908.30999999994</v>
      </c>
      <c r="AK201" s="319">
        <f t="shared" si="383"/>
        <v>382606.68999999994</v>
      </c>
      <c r="AL201" s="319">
        <f t="shared" si="384"/>
        <v>489367.24</v>
      </c>
      <c r="AM201" s="319">
        <f t="shared" si="385"/>
        <v>411704.50000000006</v>
      </c>
      <c r="AN201" s="319">
        <f t="shared" si="386"/>
        <v>480501.37</v>
      </c>
      <c r="AO201" s="319">
        <f t="shared" si="387"/>
        <v>403876.82999999996</v>
      </c>
      <c r="AP201" s="319">
        <f t="shared" si="537"/>
        <v>490769.33999999997</v>
      </c>
      <c r="AQ201" s="319">
        <f t="shared" si="535"/>
        <v>419646.18</v>
      </c>
      <c r="AR201" s="319">
        <f t="shared" si="390"/>
        <v>530385.89999999991</v>
      </c>
      <c r="AS201" s="319">
        <f t="shared" si="391"/>
        <v>452894.20999999996</v>
      </c>
      <c r="AT201" s="319">
        <f t="shared" si="392"/>
        <v>505245.11000000004</v>
      </c>
      <c r="AU201" s="319">
        <f t="shared" si="393"/>
        <v>473140.64</v>
      </c>
      <c r="AW201" s="322" t="s">
        <v>85</v>
      </c>
      <c r="AX201" s="322">
        <f t="shared" si="527"/>
        <v>59222.030000000006</v>
      </c>
      <c r="AY201" s="322">
        <f t="shared" si="395"/>
        <v>67314.239999999991</v>
      </c>
      <c r="AZ201" s="322">
        <f t="shared" si="396"/>
        <v>62136.240000000005</v>
      </c>
      <c r="BA201" s="322">
        <f t="shared" si="397"/>
        <v>51429.25</v>
      </c>
      <c r="BB201" s="322">
        <f t="shared" si="398"/>
        <v>46689.120000000003</v>
      </c>
      <c r="BC201" s="322">
        <f t="shared" si="399"/>
        <v>38410.86</v>
      </c>
      <c r="BD201" s="322">
        <f t="shared" si="400"/>
        <v>57393.04</v>
      </c>
      <c r="BE201" s="322">
        <f t="shared" si="401"/>
        <v>47113.56</v>
      </c>
      <c r="BF201" s="322">
        <f t="shared" si="402"/>
        <v>42327.55</v>
      </c>
      <c r="BG201" s="322">
        <f t="shared" si="403"/>
        <v>57335.240000000005</v>
      </c>
      <c r="BH201" s="322">
        <f t="shared" si="404"/>
        <v>63444.44</v>
      </c>
      <c r="BI201" s="322">
        <f t="shared" si="405"/>
        <v>64066.559999999998</v>
      </c>
      <c r="BJ201" s="322">
        <f t="shared" si="406"/>
        <v>64083.17</v>
      </c>
      <c r="BK201" s="322">
        <f t="shared" si="407"/>
        <v>68638.679999999993</v>
      </c>
      <c r="BL201" s="322">
        <f t="shared" si="530"/>
        <v>70391.48</v>
      </c>
      <c r="BM201" s="322">
        <f t="shared" si="531"/>
        <v>56976.11</v>
      </c>
      <c r="BN201" s="322">
        <f t="shared" si="532"/>
        <v>54051.490000000005</v>
      </c>
      <c r="BO201" s="340">
        <f t="shared" si="528"/>
        <v>58546.880000000005</v>
      </c>
      <c r="BP201" s="340">
        <f t="shared" si="412"/>
        <v>67037.76999999999</v>
      </c>
      <c r="BQ201" s="340">
        <f t="shared" si="413"/>
        <v>63788.92</v>
      </c>
      <c r="BR201" s="340">
        <f t="shared" si="414"/>
        <v>64323.679999999993</v>
      </c>
      <c r="BS201" s="340">
        <f t="shared" si="415"/>
        <v>74600.38</v>
      </c>
      <c r="BU201" s="340" t="s">
        <v>85</v>
      </c>
      <c r="BV201" s="340">
        <f t="shared" si="416"/>
        <v>16920.580000000002</v>
      </c>
      <c r="BW201" s="340">
        <f t="shared" si="417"/>
        <v>19232.64</v>
      </c>
      <c r="BX201" s="340">
        <f t="shared" si="418"/>
        <v>20712.080000000002</v>
      </c>
      <c r="BY201" s="340">
        <f t="shared" si="419"/>
        <v>30857.550000000003</v>
      </c>
      <c r="BZ201" s="340">
        <f t="shared" si="420"/>
        <v>23344.560000000001</v>
      </c>
      <c r="CA201" s="340">
        <f t="shared" si="421"/>
        <v>38410.86</v>
      </c>
      <c r="CB201" s="340">
        <f t="shared" si="422"/>
        <v>28696.52</v>
      </c>
      <c r="CC201" s="340">
        <f t="shared" si="423"/>
        <v>47113.56</v>
      </c>
      <c r="CD201" s="340">
        <f t="shared" si="424"/>
        <v>43041.16</v>
      </c>
      <c r="CE201" s="340">
        <f t="shared" si="425"/>
        <v>42731.149999999994</v>
      </c>
      <c r="CF201" s="340">
        <f t="shared" si="426"/>
        <v>45242.52</v>
      </c>
      <c r="CG201" s="340">
        <f t="shared" si="427"/>
        <v>41790.92</v>
      </c>
      <c r="CH201" s="340">
        <f t="shared" si="428"/>
        <v>45301.88</v>
      </c>
      <c r="CI201" s="340">
        <f t="shared" si="429"/>
        <v>43439.86</v>
      </c>
      <c r="CJ201" s="340">
        <f t="shared" si="430"/>
        <v>43618.45</v>
      </c>
      <c r="CK201" s="340">
        <f t="shared" si="431"/>
        <v>46308.78</v>
      </c>
      <c r="CL201" s="340">
        <f t="shared" si="432"/>
        <v>45585.29</v>
      </c>
      <c r="CM201" s="340">
        <f t="shared" si="433"/>
        <v>56103.01</v>
      </c>
      <c r="CN201" s="340">
        <f t="shared" si="434"/>
        <v>56968.210000000006</v>
      </c>
      <c r="CO201" s="340">
        <f t="shared" si="435"/>
        <v>66974.22</v>
      </c>
      <c r="CP201" s="340">
        <f t="shared" si="436"/>
        <v>61883.56</v>
      </c>
      <c r="CQ201" s="340">
        <f t="shared" si="437"/>
        <v>62150</v>
      </c>
      <c r="CR201" s="122"/>
      <c r="CS201" s="340" t="s">
        <v>85</v>
      </c>
      <c r="CT201" s="340">
        <f t="shared" si="438"/>
        <v>59222.03</v>
      </c>
      <c r="CU201" s="340">
        <f t="shared" si="439"/>
        <v>105779.52</v>
      </c>
      <c r="CV201" s="340">
        <f t="shared" si="440"/>
        <v>124272.48</v>
      </c>
      <c r="CW201" s="340">
        <f t="shared" si="441"/>
        <v>144001.9</v>
      </c>
      <c r="CX201" s="340">
        <f t="shared" si="442"/>
        <v>198428.76</v>
      </c>
      <c r="CY201" s="340">
        <f t="shared" si="443"/>
        <v>115232.58</v>
      </c>
      <c r="CZ201" s="340">
        <f t="shared" si="444"/>
        <v>143482.6</v>
      </c>
      <c r="DA201" s="340">
        <f t="shared" si="445"/>
        <v>188454.24</v>
      </c>
      <c r="DB201" s="340">
        <f t="shared" si="446"/>
        <v>106765.47999999998</v>
      </c>
      <c r="DC201" s="340">
        <f t="shared" si="447"/>
        <v>159842.65000000002</v>
      </c>
      <c r="DD201" s="340">
        <f t="shared" si="448"/>
        <v>129733.36</v>
      </c>
      <c r="DE201" s="340">
        <f t="shared" si="449"/>
        <v>159211.48999999996</v>
      </c>
      <c r="DF201" s="340">
        <f t="shared" si="450"/>
        <v>180958.22</v>
      </c>
      <c r="DG201" s="340">
        <f t="shared" si="451"/>
        <v>220012.15000000002</v>
      </c>
      <c r="DH201" s="340">
        <f t="shared" si="452"/>
        <v>283304.87</v>
      </c>
      <c r="DI201" s="340">
        <f t="shared" si="453"/>
        <v>399403.8</v>
      </c>
      <c r="DJ201" s="340">
        <f t="shared" si="454"/>
        <v>455302.0400000001</v>
      </c>
      <c r="DK201" s="340">
        <f t="shared" si="455"/>
        <v>607393.41999999993</v>
      </c>
      <c r="DL201" s="340">
        <f t="shared" si="456"/>
        <v>580247.81999999995</v>
      </c>
      <c r="DM201" s="340">
        <f t="shared" si="457"/>
        <v>456529.04</v>
      </c>
      <c r="DN201" s="340">
        <f t="shared" si="458"/>
        <v>323765.33999999997</v>
      </c>
      <c r="DO201" s="340">
        <f t="shared" si="459"/>
        <v>395109.3</v>
      </c>
      <c r="DP201" s="330"/>
      <c r="DQ201" s="340" t="s">
        <v>85</v>
      </c>
      <c r="DR201" s="340">
        <f t="shared" ref="DR201:EM201" si="555">DR103</f>
        <v>76142.61</v>
      </c>
      <c r="DS201" s="340">
        <f t="shared" si="555"/>
        <v>96163.199999999997</v>
      </c>
      <c r="DT201" s="340">
        <f t="shared" si="555"/>
        <v>113916.44</v>
      </c>
      <c r="DU201" s="340">
        <f t="shared" si="555"/>
        <v>113144.35</v>
      </c>
      <c r="DV201" s="340">
        <f t="shared" si="555"/>
        <v>198428.76</v>
      </c>
      <c r="DW201" s="340">
        <f t="shared" si="555"/>
        <v>204857.92</v>
      </c>
      <c r="DX201" s="340">
        <f t="shared" si="555"/>
        <v>215223.9</v>
      </c>
      <c r="DY201" s="340">
        <f t="shared" si="555"/>
        <v>219863.28</v>
      </c>
      <c r="DZ201" s="340">
        <f t="shared" si="555"/>
        <v>252731.85000000003</v>
      </c>
      <c r="EA201" s="340">
        <f t="shared" si="555"/>
        <v>241557.66</v>
      </c>
      <c r="EB201" s="340">
        <f t="shared" si="555"/>
        <v>246495.07</v>
      </c>
      <c r="EC201" s="340">
        <f t="shared" si="555"/>
        <v>250997.56000000003</v>
      </c>
      <c r="ED201" s="340">
        <f t="shared" si="555"/>
        <v>279695.27</v>
      </c>
      <c r="EE201" s="340">
        <f t="shared" si="555"/>
        <v>290174.16000000003</v>
      </c>
      <c r="EF201" s="340">
        <f t="shared" si="555"/>
        <v>279410.81</v>
      </c>
      <c r="EG201" s="340">
        <f t="shared" si="555"/>
        <v>278834.67000000004</v>
      </c>
      <c r="EH201" s="340">
        <f t="shared" si="555"/>
        <v>264623.76000000007</v>
      </c>
      <c r="EI201" s="340">
        <f t="shared" si="555"/>
        <v>295965</v>
      </c>
      <c r="EJ201" s="340">
        <f t="shared" si="555"/>
        <v>311416.37</v>
      </c>
      <c r="EK201" s="340">
        <f t="shared" si="555"/>
        <v>360008.23</v>
      </c>
      <c r="EL201" s="340">
        <f t="shared" si="555"/>
        <v>243147.72999999998</v>
      </c>
      <c r="EM201" s="340">
        <f t="shared" si="555"/>
        <v>229493</v>
      </c>
      <c r="EO201" s="319" t="s">
        <v>85</v>
      </c>
      <c r="EP201" s="319">
        <f t="shared" si="461"/>
        <v>245348.41</v>
      </c>
      <c r="EQ201" s="319">
        <f t="shared" si="462"/>
        <v>259640.64</v>
      </c>
      <c r="ER201" s="319">
        <f t="shared" si="463"/>
        <v>258901</v>
      </c>
      <c r="ES201" s="319">
        <f t="shared" si="464"/>
        <v>267432.09999999998</v>
      </c>
      <c r="ET201" s="319">
        <f t="shared" si="465"/>
        <v>280134.71999999997</v>
      </c>
      <c r="EU201" s="319">
        <f t="shared" si="466"/>
        <v>473733.94</v>
      </c>
      <c r="EV201" s="319">
        <f t="shared" si="467"/>
        <v>516537.36000000004</v>
      </c>
      <c r="EW201" s="319">
        <f t="shared" si="468"/>
        <v>643885.31999999995</v>
      </c>
      <c r="EX201" s="319">
        <f t="shared" si="469"/>
        <v>537559.66999999993</v>
      </c>
      <c r="EY201" s="319">
        <f t="shared" si="470"/>
        <v>421914.73</v>
      </c>
      <c r="EZ201" s="319">
        <f t="shared" si="471"/>
        <v>395994.8</v>
      </c>
      <c r="FA201" s="319">
        <f t="shared" si="472"/>
        <v>452415.43</v>
      </c>
      <c r="FB201" s="319">
        <f t="shared" si="473"/>
        <v>473196.52999999997</v>
      </c>
      <c r="FC201" s="319">
        <f t="shared" si="474"/>
        <v>514606.25</v>
      </c>
      <c r="FD201" s="319">
        <f t="shared" si="475"/>
        <v>572042.44999999995</v>
      </c>
      <c r="FE201" s="319">
        <f t="shared" si="476"/>
        <v>594972.60000000009</v>
      </c>
      <c r="FF201" s="322">
        <f t="shared" si="477"/>
        <v>612495.88000000012</v>
      </c>
      <c r="FG201" s="336">
        <f t="shared" si="478"/>
        <v>753501.42999999993</v>
      </c>
      <c r="FH201" s="336">
        <f t="shared" si="479"/>
        <v>787106.12000000011</v>
      </c>
      <c r="FI201" s="336">
        <f t="shared" si="480"/>
        <v>852002.58000000007</v>
      </c>
      <c r="FJ201" s="336">
        <f t="shared" si="481"/>
        <v>872463.92999999993</v>
      </c>
      <c r="FK201" s="336">
        <f t="shared" si="482"/>
        <v>925937</v>
      </c>
      <c r="FL201" s="122"/>
      <c r="FM201" s="340" t="s">
        <v>85</v>
      </c>
      <c r="FN201" s="340">
        <f t="shared" si="483"/>
        <v>67682.320000000007</v>
      </c>
      <c r="FO201" s="340">
        <f t="shared" si="484"/>
        <v>76930.559999999998</v>
      </c>
      <c r="FP201" s="340">
        <f t="shared" si="485"/>
        <v>82848.320000000007</v>
      </c>
      <c r="FQ201" s="340">
        <f t="shared" si="486"/>
        <v>92572.65</v>
      </c>
      <c r="FR201" s="340">
        <f t="shared" si="487"/>
        <v>70033.679999999993</v>
      </c>
      <c r="FS201" s="340">
        <f t="shared" si="488"/>
        <v>89625.34</v>
      </c>
      <c r="FT201" s="340">
        <f t="shared" si="489"/>
        <v>100437.82</v>
      </c>
      <c r="FU201" s="340">
        <f t="shared" si="490"/>
        <v>94227.12</v>
      </c>
      <c r="FV201" s="340">
        <f t="shared" si="491"/>
        <v>98917.39</v>
      </c>
      <c r="FW201" s="340">
        <f t="shared" si="492"/>
        <v>99629.359999999986</v>
      </c>
      <c r="FX201" s="340">
        <f t="shared" si="493"/>
        <v>96530.85</v>
      </c>
      <c r="FY201" s="340">
        <f t="shared" si="494"/>
        <v>97666.48000000001</v>
      </c>
      <c r="FZ201" s="340">
        <f t="shared" si="495"/>
        <v>90636.979999999981</v>
      </c>
      <c r="GA201" s="340">
        <f t="shared" si="496"/>
        <v>93778</v>
      </c>
      <c r="GB201" s="340">
        <f t="shared" si="497"/>
        <v>98113.35</v>
      </c>
      <c r="GC201" s="340">
        <f t="shared" si="498"/>
        <v>59211.770000000004</v>
      </c>
      <c r="GD201" s="340">
        <f t="shared" si="499"/>
        <v>61112.380000000005</v>
      </c>
      <c r="GE201" s="340">
        <f t="shared" si="500"/>
        <v>58412.08</v>
      </c>
      <c r="GF201" s="340">
        <f t="shared" si="501"/>
        <v>58319.9</v>
      </c>
      <c r="GG201" s="340">
        <f t="shared" si="502"/>
        <v>134071.58000000002</v>
      </c>
      <c r="GH201" s="340">
        <f t="shared" si="503"/>
        <v>158994.44</v>
      </c>
      <c r="GI201" s="340">
        <f t="shared" si="504"/>
        <v>160750</v>
      </c>
      <c r="GJ201" s="122"/>
      <c r="GK201" s="340" t="s">
        <v>85</v>
      </c>
      <c r="GL201" s="340">
        <f t="shared" si="505"/>
        <v>25380.87</v>
      </c>
      <c r="GM201" s="340">
        <f t="shared" si="506"/>
        <v>48081.599999999999</v>
      </c>
      <c r="GN201" s="340">
        <f t="shared" si="507"/>
        <v>31068.12</v>
      </c>
      <c r="GO201" s="340">
        <f t="shared" si="508"/>
        <v>30857.55</v>
      </c>
      <c r="GP201" s="340">
        <f t="shared" si="509"/>
        <v>23344.560000000001</v>
      </c>
      <c r="GQ201" s="340">
        <f t="shared" si="510"/>
        <v>25607.24</v>
      </c>
      <c r="GR201" s="340">
        <f t="shared" si="511"/>
        <v>28696.52</v>
      </c>
      <c r="GS201" s="340">
        <f t="shared" si="512"/>
        <v>15704.52</v>
      </c>
      <c r="GT201" s="340">
        <f t="shared" si="513"/>
        <v>76978</v>
      </c>
      <c r="GU201" s="340">
        <f t="shared" si="514"/>
        <v>16935.830000000002</v>
      </c>
      <c r="GV201" s="340">
        <f t="shared" si="515"/>
        <v>9210.0300000000007</v>
      </c>
      <c r="GW201" s="340">
        <f t="shared" si="516"/>
        <v>27864.09</v>
      </c>
      <c r="GX201" s="340">
        <f t="shared" si="517"/>
        <v>26000</v>
      </c>
      <c r="GY201" s="340">
        <f t="shared" si="518"/>
        <v>20099.93</v>
      </c>
      <c r="GZ201" s="340">
        <f t="shared" si="519"/>
        <v>121028.61</v>
      </c>
      <c r="HA201" s="340">
        <f t="shared" si="520"/>
        <v>39000</v>
      </c>
      <c r="HB201" s="340">
        <f t="shared" si="521"/>
        <v>76365.22</v>
      </c>
      <c r="HC201" s="340">
        <f t="shared" si="522"/>
        <v>89945.35</v>
      </c>
      <c r="HD201" s="340">
        <f t="shared" si="523"/>
        <v>18362.27</v>
      </c>
      <c r="HE201" s="340">
        <f t="shared" si="524"/>
        <v>153409.35999999999</v>
      </c>
      <c r="HF201" s="340">
        <f t="shared" si="525"/>
        <v>25748.81</v>
      </c>
      <c r="HG201" s="340">
        <f t="shared" si="526"/>
        <v>46408.78</v>
      </c>
      <c r="HH201" s="122"/>
      <c r="IF201" s="122"/>
      <c r="IG201" s="122"/>
      <c r="IH201" s="122"/>
      <c r="II201" s="122"/>
      <c r="IJ201" s="122"/>
      <c r="IK201" s="122"/>
      <c r="IL201" s="122"/>
      <c r="IN201" s="118"/>
      <c r="IP201" s="122"/>
      <c r="IQ201" s="122"/>
      <c r="IR201" s="122"/>
      <c r="IS201" s="122"/>
      <c r="IT201" s="122"/>
      <c r="IU201" s="122"/>
      <c r="IV201" s="122"/>
      <c r="IW201" s="122"/>
      <c r="IX201" s="122"/>
      <c r="IY201" s="122"/>
      <c r="IZ201" s="122"/>
      <c r="JA201" s="122"/>
      <c r="JB201" s="122"/>
      <c r="JC201" s="122"/>
      <c r="JD201" s="122"/>
      <c r="JE201" s="122"/>
      <c r="JF201" s="122"/>
      <c r="JG201" s="122"/>
      <c r="JH201" s="122"/>
      <c r="JI201" s="122"/>
      <c r="JK201" s="118"/>
      <c r="JL201" s="118"/>
      <c r="JY201" s="122"/>
      <c r="JZ201" s="122"/>
      <c r="KA201" s="122"/>
      <c r="KB201" s="122"/>
      <c r="LX201" s="122"/>
      <c r="LY201" s="122"/>
      <c r="LZ201" s="122"/>
      <c r="MB201" s="118"/>
      <c r="MC201" s="118"/>
      <c r="MP201" s="122"/>
      <c r="MQ201" s="122"/>
      <c r="MR201" s="122"/>
      <c r="MS201" s="122"/>
      <c r="MT201" s="122"/>
      <c r="MU201" s="122"/>
      <c r="MV201" s="122"/>
      <c r="OS201" s="118"/>
      <c r="OT201" s="118"/>
      <c r="PC201" s="122"/>
      <c r="PD201" s="122"/>
      <c r="PE201" s="122"/>
      <c r="PF201" s="122"/>
      <c r="PG201" s="122"/>
      <c r="PH201" s="122"/>
      <c r="PI201" s="122"/>
      <c r="PJ201" s="122"/>
      <c r="PP201" s="118"/>
      <c r="PQ201" s="118"/>
      <c r="PZ201" s="122"/>
      <c r="QA201" s="122"/>
      <c r="QB201" s="122"/>
      <c r="QC201" s="122"/>
      <c r="QD201" s="122"/>
      <c r="QE201" s="122"/>
      <c r="QF201" s="122"/>
      <c r="QG201" s="122"/>
      <c r="QM201" s="118"/>
      <c r="QN201" s="118"/>
      <c r="RE201" s="118"/>
      <c r="RF201" s="118"/>
      <c r="RG201" s="118"/>
      <c r="RH201" s="118"/>
      <c r="RI201" s="118"/>
      <c r="RJ201" s="118"/>
      <c r="RK201" s="118"/>
    </row>
    <row r="202" spans="25:479">
      <c r="Y202" s="277" t="s">
        <v>86</v>
      </c>
      <c r="Z202" s="319">
        <f t="shared" si="534"/>
        <v>1037138.9800000001</v>
      </c>
      <c r="AA202" s="319">
        <f t="shared" si="373"/>
        <v>345939.6</v>
      </c>
      <c r="AB202" s="319">
        <f t="shared" si="374"/>
        <v>352312.56</v>
      </c>
      <c r="AC202" s="319">
        <f t="shared" si="375"/>
        <v>398581.74999999994</v>
      </c>
      <c r="AD202" s="319">
        <f t="shared" si="376"/>
        <v>460872.44</v>
      </c>
      <c r="AE202" s="319">
        <f t="shared" si="377"/>
        <v>475366.71</v>
      </c>
      <c r="AF202" s="319">
        <f t="shared" si="378"/>
        <v>525238.84</v>
      </c>
      <c r="AG202" s="319">
        <f t="shared" si="379"/>
        <v>480300.43000000005</v>
      </c>
      <c r="AH202" s="319">
        <f t="shared" si="380"/>
        <v>678937.28</v>
      </c>
      <c r="AI202" s="319">
        <f t="shared" si="381"/>
        <v>0</v>
      </c>
      <c r="AJ202" s="319">
        <f t="shared" si="382"/>
        <v>0</v>
      </c>
      <c r="AK202" s="319">
        <f t="shared" si="383"/>
        <v>0</v>
      </c>
      <c r="AL202" s="319">
        <f t="shared" si="384"/>
        <v>0</v>
      </c>
      <c r="AM202" s="319">
        <f t="shared" si="385"/>
        <v>879765.41999999993</v>
      </c>
      <c r="AN202" s="319">
        <f t="shared" si="386"/>
        <v>0</v>
      </c>
      <c r="AO202" s="319">
        <f t="shared" si="387"/>
        <v>0</v>
      </c>
      <c r="AP202" s="319">
        <f t="shared" si="537"/>
        <v>0</v>
      </c>
      <c r="AQ202" s="319">
        <f t="shared" si="535"/>
        <v>0</v>
      </c>
      <c r="AR202" s="319">
        <f t="shared" si="390"/>
        <v>0</v>
      </c>
      <c r="AS202" s="319">
        <f t="shared" si="391"/>
        <v>0</v>
      </c>
      <c r="AT202" s="319">
        <f t="shared" si="392"/>
        <v>0</v>
      </c>
      <c r="AU202" s="319">
        <f t="shared" si="393"/>
        <v>0</v>
      </c>
      <c r="AW202" s="322" t="s">
        <v>86</v>
      </c>
      <c r="AX202" s="322">
        <f t="shared" si="527"/>
        <v>136980.62</v>
      </c>
      <c r="AY202" s="322">
        <f t="shared" si="395"/>
        <v>100899.05</v>
      </c>
      <c r="AZ202" s="322">
        <f t="shared" si="396"/>
        <v>73398.45</v>
      </c>
      <c r="BA202" s="322">
        <f t="shared" si="397"/>
        <v>127546.16</v>
      </c>
      <c r="BB202" s="322">
        <f t="shared" si="398"/>
        <v>82298.649999999994</v>
      </c>
      <c r="BC202" s="322">
        <f t="shared" si="399"/>
        <v>113182.54999999999</v>
      </c>
      <c r="BD202" s="322">
        <f t="shared" si="400"/>
        <v>43469.279999999999</v>
      </c>
      <c r="BE202" s="322">
        <f t="shared" si="401"/>
        <v>151673.82</v>
      </c>
      <c r="BF202" s="322">
        <f t="shared" si="402"/>
        <v>151730.47</v>
      </c>
      <c r="BG202" s="322">
        <f t="shared" si="403"/>
        <v>0</v>
      </c>
      <c r="BH202" s="322">
        <f t="shared" si="404"/>
        <v>0</v>
      </c>
      <c r="BI202" s="322">
        <f t="shared" si="405"/>
        <v>0</v>
      </c>
      <c r="BJ202" s="322">
        <f t="shared" si="406"/>
        <v>0</v>
      </c>
      <c r="BK202" s="322">
        <f t="shared" si="407"/>
        <v>187784.05</v>
      </c>
      <c r="BL202" s="322">
        <f t="shared" si="530"/>
        <v>0</v>
      </c>
      <c r="BM202" s="322">
        <f t="shared" si="531"/>
        <v>0</v>
      </c>
      <c r="BN202" s="322">
        <f t="shared" si="532"/>
        <v>0</v>
      </c>
      <c r="BO202" s="340">
        <f t="shared" si="528"/>
        <v>0</v>
      </c>
      <c r="BP202" s="340">
        <f t="shared" si="412"/>
        <v>0</v>
      </c>
      <c r="BQ202" s="340">
        <f t="shared" si="413"/>
        <v>0</v>
      </c>
      <c r="BR202" s="340">
        <f t="shared" si="414"/>
        <v>0</v>
      </c>
      <c r="BS202" s="340">
        <f t="shared" si="415"/>
        <v>0</v>
      </c>
      <c r="BU202" s="340" t="s">
        <v>86</v>
      </c>
      <c r="BV202" s="340">
        <f t="shared" ref="BV202:CE204" si="556">KD104+PR104</f>
        <v>19568.66</v>
      </c>
      <c r="BW202" s="340">
        <f t="shared" si="556"/>
        <v>28828.3</v>
      </c>
      <c r="BX202" s="340">
        <f t="shared" si="556"/>
        <v>44039.07</v>
      </c>
      <c r="BY202" s="340">
        <f t="shared" si="556"/>
        <v>63773.08</v>
      </c>
      <c r="BZ202" s="340">
        <f t="shared" si="556"/>
        <v>49379.19</v>
      </c>
      <c r="CA202" s="340">
        <f t="shared" si="556"/>
        <v>90546.04</v>
      </c>
      <c r="CB202" s="340">
        <f t="shared" si="556"/>
        <v>86938.559999999998</v>
      </c>
      <c r="CC202" s="340">
        <f t="shared" si="556"/>
        <v>75836.91</v>
      </c>
      <c r="CD202" s="340">
        <f t="shared" si="556"/>
        <v>81661.850000000006</v>
      </c>
      <c r="CE202" s="340">
        <f t="shared" si="556"/>
        <v>0</v>
      </c>
      <c r="CF202" s="340">
        <f>KP104+QB104</f>
        <v>0</v>
      </c>
      <c r="CG202" s="340">
        <f t="shared" ref="CG202:CQ204" si="557">KO104+QC104</f>
        <v>0</v>
      </c>
      <c r="CH202" s="340">
        <f t="shared" si="557"/>
        <v>0</v>
      </c>
      <c r="CI202" s="340">
        <f t="shared" si="557"/>
        <v>117532.09</v>
      </c>
      <c r="CJ202" s="340">
        <f t="shared" si="557"/>
        <v>0</v>
      </c>
      <c r="CK202" s="340">
        <f t="shared" si="557"/>
        <v>0</v>
      </c>
      <c r="CL202" s="340">
        <f t="shared" si="557"/>
        <v>0</v>
      </c>
      <c r="CM202" s="340">
        <f t="shared" si="557"/>
        <v>0</v>
      </c>
      <c r="CN202" s="340">
        <f t="shared" si="557"/>
        <v>0</v>
      </c>
      <c r="CO202" s="340">
        <f t="shared" si="557"/>
        <v>0</v>
      </c>
      <c r="CP202" s="340">
        <f t="shared" si="557"/>
        <v>0</v>
      </c>
      <c r="CQ202" s="340">
        <f t="shared" si="557"/>
        <v>0</v>
      </c>
      <c r="CR202" s="122"/>
      <c r="CS202" s="340" t="s">
        <v>86</v>
      </c>
      <c r="CT202" s="340">
        <f t="shared" si="438"/>
        <v>195686.6</v>
      </c>
      <c r="CU202" s="340">
        <f t="shared" si="439"/>
        <v>302697.15000000002</v>
      </c>
      <c r="CV202" s="340">
        <f t="shared" si="440"/>
        <v>322953.18</v>
      </c>
      <c r="CW202" s="340">
        <f t="shared" si="441"/>
        <v>207262.51</v>
      </c>
      <c r="CX202" s="340">
        <f t="shared" si="442"/>
        <v>197516.76</v>
      </c>
      <c r="CY202" s="340">
        <f t="shared" si="443"/>
        <v>543276.24</v>
      </c>
      <c r="CZ202" s="340">
        <f t="shared" si="444"/>
        <v>326019.60000000003</v>
      </c>
      <c r="DA202" s="340">
        <f t="shared" si="445"/>
        <v>556137.34</v>
      </c>
      <c r="DB202" s="340">
        <f t="shared" si="446"/>
        <v>559538.21</v>
      </c>
      <c r="DC202" s="340">
        <f t="shared" si="447"/>
        <v>0</v>
      </c>
      <c r="DD202" s="340">
        <f t="shared" si="448"/>
        <v>0</v>
      </c>
      <c r="DE202" s="340">
        <f t="shared" si="449"/>
        <v>0</v>
      </c>
      <c r="DF202" s="340">
        <f t="shared" si="450"/>
        <v>0</v>
      </c>
      <c r="DG202" s="340">
        <f t="shared" si="451"/>
        <v>254211.92</v>
      </c>
      <c r="DH202" s="340">
        <f t="shared" si="452"/>
        <v>0</v>
      </c>
      <c r="DI202" s="340">
        <f t="shared" si="453"/>
        <v>0</v>
      </c>
      <c r="DJ202" s="340">
        <f t="shared" si="454"/>
        <v>0</v>
      </c>
      <c r="DK202" s="340">
        <f t="shared" si="455"/>
        <v>0</v>
      </c>
      <c r="DL202" s="340">
        <f t="shared" si="456"/>
        <v>0</v>
      </c>
      <c r="DM202" s="340">
        <f t="shared" si="457"/>
        <v>0</v>
      </c>
      <c r="DN202" s="340">
        <f t="shared" si="458"/>
        <v>0</v>
      </c>
      <c r="DO202" s="340">
        <f t="shared" si="459"/>
        <v>0</v>
      </c>
      <c r="DP202" s="330"/>
      <c r="DQ202" s="340" t="s">
        <v>86</v>
      </c>
      <c r="DR202" s="340">
        <f t="shared" ref="DR202:EM202" si="558">DR104</f>
        <v>58705.98</v>
      </c>
      <c r="DS202" s="340">
        <f t="shared" si="558"/>
        <v>72070.75</v>
      </c>
      <c r="DT202" s="340">
        <f t="shared" si="558"/>
        <v>88078.14</v>
      </c>
      <c r="DU202" s="340">
        <f t="shared" si="558"/>
        <v>111602.89</v>
      </c>
      <c r="DV202" s="340">
        <f t="shared" si="558"/>
        <v>131677.84</v>
      </c>
      <c r="DW202" s="340">
        <f t="shared" si="558"/>
        <v>158455.57</v>
      </c>
      <c r="DX202" s="340">
        <f t="shared" si="558"/>
        <v>173877.12</v>
      </c>
      <c r="DY202" s="340">
        <f t="shared" si="558"/>
        <v>202231.76</v>
      </c>
      <c r="DZ202" s="340">
        <f t="shared" si="558"/>
        <v>207319.12</v>
      </c>
      <c r="EA202" s="340">
        <f t="shared" si="558"/>
        <v>0</v>
      </c>
      <c r="EB202" s="340">
        <f t="shared" si="558"/>
        <v>0</v>
      </c>
      <c r="EC202" s="340">
        <f t="shared" si="558"/>
        <v>0</v>
      </c>
      <c r="ED202" s="340">
        <f t="shared" si="558"/>
        <v>0</v>
      </c>
      <c r="EE202" s="340">
        <f t="shared" si="558"/>
        <v>5138.33</v>
      </c>
      <c r="EF202" s="340">
        <f t="shared" si="558"/>
        <v>0</v>
      </c>
      <c r="EG202" s="340">
        <f t="shared" si="558"/>
        <v>0</v>
      </c>
      <c r="EH202" s="340">
        <f t="shared" si="558"/>
        <v>0</v>
      </c>
      <c r="EI202" s="340">
        <f t="shared" si="558"/>
        <v>0</v>
      </c>
      <c r="EJ202" s="340">
        <f t="shared" si="558"/>
        <v>0</v>
      </c>
      <c r="EK202" s="340">
        <f t="shared" si="558"/>
        <v>0</v>
      </c>
      <c r="EL202" s="340">
        <f t="shared" si="558"/>
        <v>0</v>
      </c>
      <c r="EM202" s="340">
        <f t="shared" si="558"/>
        <v>0</v>
      </c>
      <c r="EO202" s="319" t="s">
        <v>86</v>
      </c>
      <c r="EP202" s="319">
        <f t="shared" si="461"/>
        <v>391373.2</v>
      </c>
      <c r="EQ202" s="319">
        <f t="shared" si="462"/>
        <v>461252.8</v>
      </c>
      <c r="ER202" s="319">
        <f t="shared" si="463"/>
        <v>440390.7</v>
      </c>
      <c r="ES202" s="319">
        <f t="shared" si="464"/>
        <v>558014.44999999995</v>
      </c>
      <c r="ET202" s="319">
        <f t="shared" si="465"/>
        <v>592550.28</v>
      </c>
      <c r="EU202" s="319">
        <f t="shared" si="466"/>
        <v>724368.32</v>
      </c>
      <c r="EV202" s="319">
        <f t="shared" si="467"/>
        <v>847650.96</v>
      </c>
      <c r="EW202" s="319">
        <f t="shared" si="468"/>
        <v>808927.04</v>
      </c>
      <c r="EX202" s="319">
        <f t="shared" si="469"/>
        <v>791618.29999999993</v>
      </c>
      <c r="EY202" s="319">
        <f t="shared" si="470"/>
        <v>0</v>
      </c>
      <c r="EZ202" s="319">
        <f t="shared" si="471"/>
        <v>0</v>
      </c>
      <c r="FA202" s="319">
        <f t="shared" si="472"/>
        <v>0</v>
      </c>
      <c r="FB202" s="319">
        <f t="shared" si="473"/>
        <v>0</v>
      </c>
      <c r="FC202" s="319">
        <f t="shared" si="474"/>
        <v>1242460.52</v>
      </c>
      <c r="FD202" s="319">
        <f t="shared" si="475"/>
        <v>0</v>
      </c>
      <c r="FE202" s="319">
        <f t="shared" si="476"/>
        <v>0</v>
      </c>
      <c r="FF202" s="322">
        <f t="shared" si="477"/>
        <v>0</v>
      </c>
      <c r="FG202" s="336">
        <f t="shared" si="478"/>
        <v>0</v>
      </c>
      <c r="FH202" s="336">
        <f t="shared" si="479"/>
        <v>0</v>
      </c>
      <c r="FI202" s="336">
        <f t="shared" si="480"/>
        <v>0</v>
      </c>
      <c r="FJ202" s="336">
        <f t="shared" si="481"/>
        <v>0</v>
      </c>
      <c r="FK202" s="336">
        <f t="shared" si="482"/>
        <v>0</v>
      </c>
      <c r="FL202" s="122"/>
      <c r="FM202" s="340" t="s">
        <v>86</v>
      </c>
      <c r="FN202" s="340">
        <f t="shared" si="483"/>
        <v>78274.64</v>
      </c>
      <c r="FO202" s="340">
        <f t="shared" si="484"/>
        <v>86484.9</v>
      </c>
      <c r="FP202" s="340">
        <f t="shared" si="485"/>
        <v>88078.14</v>
      </c>
      <c r="FQ202" s="340">
        <f t="shared" si="486"/>
        <v>95659.62</v>
      </c>
      <c r="FR202" s="340">
        <f t="shared" si="487"/>
        <v>115218.11</v>
      </c>
      <c r="FS202" s="340">
        <f t="shared" si="488"/>
        <v>135819.06</v>
      </c>
      <c r="FT202" s="340">
        <f t="shared" si="489"/>
        <v>152142.48000000001</v>
      </c>
      <c r="FU202" s="340">
        <f t="shared" si="490"/>
        <v>227510.73</v>
      </c>
      <c r="FV202" s="340">
        <f t="shared" si="491"/>
        <v>212768.21999999997</v>
      </c>
      <c r="FW202" s="340">
        <f t="shared" si="492"/>
        <v>0</v>
      </c>
      <c r="FX202" s="340">
        <f t="shared" si="493"/>
        <v>0</v>
      </c>
      <c r="FY202" s="340">
        <f t="shared" si="494"/>
        <v>0</v>
      </c>
      <c r="FZ202" s="340">
        <f t="shared" si="495"/>
        <v>0</v>
      </c>
      <c r="GA202" s="340">
        <f t="shared" si="496"/>
        <v>305163.63</v>
      </c>
      <c r="GB202" s="340">
        <f t="shared" si="497"/>
        <v>0</v>
      </c>
      <c r="GC202" s="340">
        <f t="shared" si="498"/>
        <v>0</v>
      </c>
      <c r="GD202" s="340">
        <f t="shared" si="499"/>
        <v>0</v>
      </c>
      <c r="GE202" s="340">
        <f t="shared" si="500"/>
        <v>0</v>
      </c>
      <c r="GF202" s="340">
        <f t="shared" si="501"/>
        <v>0</v>
      </c>
      <c r="GG202" s="340">
        <f t="shared" si="502"/>
        <v>0</v>
      </c>
      <c r="GH202" s="340">
        <f t="shared" si="503"/>
        <v>0</v>
      </c>
      <c r="GI202" s="340">
        <f t="shared" si="504"/>
        <v>0</v>
      </c>
      <c r="GJ202" s="122"/>
      <c r="GK202" s="340" t="s">
        <v>86</v>
      </c>
      <c r="GL202" s="340">
        <f t="shared" si="505"/>
        <v>39137.32</v>
      </c>
      <c r="GM202" s="340">
        <f t="shared" si="506"/>
        <v>43242.45</v>
      </c>
      <c r="GN202" s="340">
        <f t="shared" si="507"/>
        <v>58718.76</v>
      </c>
      <c r="GO202" s="340">
        <f t="shared" si="508"/>
        <v>31886.54</v>
      </c>
      <c r="GP202" s="340">
        <f t="shared" si="509"/>
        <v>16459.73</v>
      </c>
      <c r="GQ202" s="340">
        <f t="shared" si="510"/>
        <v>22636.51</v>
      </c>
      <c r="GR202" s="340">
        <f t="shared" si="511"/>
        <v>21734.639999999999</v>
      </c>
      <c r="GS202" s="340">
        <f t="shared" si="512"/>
        <v>25278.97</v>
      </c>
      <c r="GT202" s="340">
        <f t="shared" si="513"/>
        <v>4014.56</v>
      </c>
      <c r="GU202" s="340">
        <f t="shared" si="514"/>
        <v>0</v>
      </c>
      <c r="GV202" s="340">
        <f t="shared" si="515"/>
        <v>0</v>
      </c>
      <c r="GW202" s="340">
        <f t="shared" si="516"/>
        <v>0</v>
      </c>
      <c r="GX202" s="340">
        <f t="shared" si="517"/>
        <v>0</v>
      </c>
      <c r="GY202" s="340">
        <f t="shared" si="518"/>
        <v>48530</v>
      </c>
      <c r="GZ202" s="340">
        <f t="shared" si="519"/>
        <v>0</v>
      </c>
      <c r="HA202" s="340">
        <f t="shared" si="520"/>
        <v>0</v>
      </c>
      <c r="HB202" s="340">
        <f t="shared" si="521"/>
        <v>0</v>
      </c>
      <c r="HC202" s="340">
        <f t="shared" si="522"/>
        <v>0</v>
      </c>
      <c r="HD202" s="340">
        <f t="shared" si="523"/>
        <v>0</v>
      </c>
      <c r="HE202" s="340">
        <f t="shared" si="524"/>
        <v>0</v>
      </c>
      <c r="HF202" s="340">
        <f t="shared" si="525"/>
        <v>0</v>
      </c>
      <c r="HG202" s="340">
        <f t="shared" si="526"/>
        <v>0</v>
      </c>
      <c r="HH202" s="122"/>
      <c r="IF202" s="122"/>
      <c r="IG202" s="122"/>
      <c r="IH202" s="122"/>
      <c r="II202" s="122"/>
      <c r="IJ202" s="122"/>
      <c r="IK202" s="122"/>
      <c r="IL202" s="122"/>
      <c r="IN202" s="118"/>
      <c r="IP202" s="122"/>
      <c r="IQ202" s="122"/>
      <c r="IR202" s="122"/>
      <c r="IS202" s="122"/>
      <c r="IT202" s="122"/>
      <c r="IU202" s="122"/>
      <c r="IV202" s="122"/>
      <c r="IW202" s="122"/>
      <c r="IX202" s="122"/>
      <c r="IY202" s="122"/>
      <c r="IZ202" s="122"/>
      <c r="JA202" s="122"/>
      <c r="JB202" s="122"/>
      <c r="JC202" s="122"/>
      <c r="JD202" s="122"/>
      <c r="JE202" s="122"/>
      <c r="JF202" s="122"/>
      <c r="JG202" s="122"/>
      <c r="JH202" s="122"/>
      <c r="JI202" s="122"/>
      <c r="JK202" s="118"/>
      <c r="JL202" s="118"/>
      <c r="JY202" s="122"/>
      <c r="JZ202" s="122"/>
      <c r="KA202" s="122"/>
      <c r="KB202" s="122"/>
      <c r="LX202" s="122"/>
      <c r="LY202" s="122"/>
      <c r="LZ202" s="122"/>
      <c r="MB202" s="118"/>
      <c r="MC202" s="118"/>
      <c r="MP202" s="122"/>
      <c r="MQ202" s="122"/>
      <c r="MR202" s="122"/>
      <c r="MS202" s="122"/>
      <c r="MT202" s="122"/>
      <c r="MU202" s="122"/>
      <c r="MV202" s="122"/>
      <c r="OS202" s="118"/>
      <c r="OT202" s="118"/>
      <c r="PC202" s="122"/>
      <c r="PD202" s="122"/>
      <c r="PE202" s="122"/>
      <c r="PF202" s="122"/>
      <c r="PG202" s="122"/>
      <c r="PH202" s="122"/>
      <c r="PI202" s="122"/>
      <c r="PJ202" s="122"/>
      <c r="PP202" s="118"/>
      <c r="PQ202" s="118"/>
      <c r="PZ202" s="122"/>
      <c r="QA202" s="122"/>
      <c r="QB202" s="122"/>
      <c r="QC202" s="122"/>
      <c r="QD202" s="122"/>
      <c r="QE202" s="122"/>
      <c r="QF202" s="122"/>
      <c r="QG202" s="122"/>
      <c r="QM202" s="118"/>
      <c r="QN202" s="118"/>
      <c r="RE202" s="118"/>
      <c r="RF202" s="118"/>
      <c r="RG202" s="118"/>
      <c r="RH202" s="118"/>
      <c r="RI202" s="118"/>
      <c r="RJ202" s="118"/>
      <c r="RK202" s="118"/>
    </row>
    <row r="203" spans="25:479">
      <c r="Y203" s="277" t="s">
        <v>87</v>
      </c>
      <c r="Z203" s="319">
        <f t="shared" si="534"/>
        <v>138933.15000000002</v>
      </c>
      <c r="AA203" s="319">
        <f t="shared" si="373"/>
        <v>114955.09999999999</v>
      </c>
      <c r="AB203" s="319">
        <f t="shared" si="374"/>
        <v>128346.2</v>
      </c>
      <c r="AC203" s="319">
        <f t="shared" si="375"/>
        <v>118864.48</v>
      </c>
      <c r="AD203" s="319">
        <f t="shared" si="376"/>
        <v>123587.59999999999</v>
      </c>
      <c r="AE203" s="319">
        <f t="shared" si="377"/>
        <v>114195.38</v>
      </c>
      <c r="AF203" s="319">
        <f t="shared" si="378"/>
        <v>118771.91999999998</v>
      </c>
      <c r="AG203" s="319">
        <f t="shared" si="379"/>
        <v>133753.5</v>
      </c>
      <c r="AH203" s="319">
        <f t="shared" si="380"/>
        <v>142140.71999999997</v>
      </c>
      <c r="AI203" s="319">
        <f t="shared" si="381"/>
        <v>136664.29999999999</v>
      </c>
      <c r="AJ203" s="319">
        <f t="shared" si="382"/>
        <v>172239.93</v>
      </c>
      <c r="AK203" s="319">
        <f t="shared" si="383"/>
        <v>165209.51999999999</v>
      </c>
      <c r="AL203" s="319">
        <f t="shared" si="384"/>
        <v>190491.66999999998</v>
      </c>
      <c r="AM203" s="319">
        <f t="shared" si="385"/>
        <v>190385.63999999998</v>
      </c>
      <c r="AN203" s="319">
        <f t="shared" si="386"/>
        <v>216407.65</v>
      </c>
      <c r="AO203" s="319">
        <f t="shared" si="387"/>
        <v>203656.83</v>
      </c>
      <c r="AP203" s="319">
        <f t="shared" si="537"/>
        <v>221305.97</v>
      </c>
      <c r="AQ203" s="319">
        <f t="shared" si="535"/>
        <v>214128.02</v>
      </c>
      <c r="AR203" s="319">
        <f t="shared" si="390"/>
        <v>215070.45</v>
      </c>
      <c r="AS203" s="319">
        <f t="shared" si="391"/>
        <v>204171.53999999998</v>
      </c>
      <c r="AT203" s="319">
        <f t="shared" si="392"/>
        <v>267864.06999999995</v>
      </c>
      <c r="AU203" s="319">
        <f t="shared" si="393"/>
        <v>278454.34999999998</v>
      </c>
      <c r="AW203" s="324" t="s">
        <v>87</v>
      </c>
      <c r="AX203" s="324">
        <f t="shared" si="527"/>
        <v>18774.75</v>
      </c>
      <c r="AY203" s="324">
        <f t="shared" si="395"/>
        <v>13264.050000000001</v>
      </c>
      <c r="AZ203" s="324">
        <f t="shared" si="396"/>
        <v>16560.8</v>
      </c>
      <c r="BA203" s="324">
        <f t="shared" si="397"/>
        <v>12735.48</v>
      </c>
      <c r="BB203" s="324">
        <f t="shared" si="398"/>
        <v>6179.38</v>
      </c>
      <c r="BC203" s="324">
        <f t="shared" si="399"/>
        <v>4392.13</v>
      </c>
      <c r="BD203" s="324">
        <f t="shared" si="400"/>
        <v>0</v>
      </c>
      <c r="BE203" s="324">
        <f t="shared" si="401"/>
        <v>0</v>
      </c>
      <c r="BF203" s="324">
        <f t="shared" si="402"/>
        <v>2957.6500000000005</v>
      </c>
      <c r="BG203" s="324">
        <f t="shared" si="403"/>
        <v>6364.1</v>
      </c>
      <c r="BH203" s="324">
        <f t="shared" si="404"/>
        <v>7022.9400000000005</v>
      </c>
      <c r="BI203" s="324">
        <f t="shared" si="405"/>
        <v>11662.999999999998</v>
      </c>
      <c r="BJ203" s="324">
        <f t="shared" si="406"/>
        <v>7043.3200000000006</v>
      </c>
      <c r="BK203" s="324">
        <f t="shared" si="407"/>
        <v>6982.28</v>
      </c>
      <c r="BL203" s="324">
        <f t="shared" si="530"/>
        <v>6528.19</v>
      </c>
      <c r="BM203" s="324">
        <f t="shared" si="531"/>
        <v>5504.68</v>
      </c>
      <c r="BN203" s="324">
        <f t="shared" si="532"/>
        <v>6344.55</v>
      </c>
      <c r="BO203" s="342">
        <f t="shared" si="528"/>
        <v>6408.5</v>
      </c>
      <c r="BP203" s="342">
        <f t="shared" si="412"/>
        <v>7437.4599999999991</v>
      </c>
      <c r="BQ203" s="342">
        <f t="shared" si="413"/>
        <v>5716.57</v>
      </c>
      <c r="BR203" s="342">
        <f t="shared" si="414"/>
        <v>4656.53</v>
      </c>
      <c r="BS203" s="342">
        <f t="shared" si="415"/>
        <v>7358</v>
      </c>
      <c r="BU203" s="342" t="s">
        <v>87</v>
      </c>
      <c r="BV203" s="342">
        <f t="shared" si="556"/>
        <v>3754.95</v>
      </c>
      <c r="BW203" s="342">
        <f t="shared" si="556"/>
        <v>8842.7000000000007</v>
      </c>
      <c r="BX203" s="342">
        <f t="shared" si="556"/>
        <v>8280.4</v>
      </c>
      <c r="BY203" s="342">
        <f t="shared" si="556"/>
        <v>8490.32</v>
      </c>
      <c r="BZ203" s="342">
        <f t="shared" si="556"/>
        <v>9269.07</v>
      </c>
      <c r="CA203" s="342">
        <f t="shared" si="556"/>
        <v>13176.39</v>
      </c>
      <c r="CB203" s="342">
        <f t="shared" si="556"/>
        <v>12602.61</v>
      </c>
      <c r="CC203" s="342">
        <f t="shared" si="556"/>
        <v>13375.349999999999</v>
      </c>
      <c r="CD203" s="342">
        <f t="shared" si="556"/>
        <v>13996.529999999999</v>
      </c>
      <c r="CE203" s="342">
        <f t="shared" si="556"/>
        <v>12653.060000000001</v>
      </c>
      <c r="CF203" s="342">
        <f>KN105+QB105</f>
        <v>12959.390000000003</v>
      </c>
      <c r="CG203" s="342">
        <f t="shared" si="557"/>
        <v>12619.039999999999</v>
      </c>
      <c r="CH203" s="342">
        <f t="shared" si="557"/>
        <v>13581.57</v>
      </c>
      <c r="CI203" s="342">
        <f t="shared" si="557"/>
        <v>14886.39</v>
      </c>
      <c r="CJ203" s="342">
        <f t="shared" si="557"/>
        <v>14513.75</v>
      </c>
      <c r="CK203" s="342">
        <f t="shared" si="557"/>
        <v>14718.34</v>
      </c>
      <c r="CL203" s="342">
        <f t="shared" si="557"/>
        <v>15373.92</v>
      </c>
      <c r="CM203" s="342">
        <f t="shared" si="557"/>
        <v>15079.92</v>
      </c>
      <c r="CN203" s="342">
        <f t="shared" si="557"/>
        <v>15651.239999999998</v>
      </c>
      <c r="CO203" s="342">
        <f t="shared" si="557"/>
        <v>16013.36</v>
      </c>
      <c r="CP203" s="342">
        <f t="shared" si="557"/>
        <v>20065.129999999997</v>
      </c>
      <c r="CQ203" s="342">
        <f t="shared" si="557"/>
        <v>21640.52</v>
      </c>
      <c r="CR203" s="122"/>
      <c r="CS203" s="342" t="s">
        <v>87</v>
      </c>
      <c r="CT203" s="342">
        <f t="shared" si="438"/>
        <v>97628.7</v>
      </c>
      <c r="CU203" s="342">
        <f t="shared" si="439"/>
        <v>190118.05</v>
      </c>
      <c r="CV203" s="342">
        <f t="shared" si="440"/>
        <v>132486.39999999999</v>
      </c>
      <c r="CW203" s="342">
        <f t="shared" si="441"/>
        <v>169806.4</v>
      </c>
      <c r="CX203" s="342">
        <f t="shared" si="442"/>
        <v>30896.899999999998</v>
      </c>
      <c r="CY203" s="342">
        <f t="shared" si="443"/>
        <v>180077.33000000002</v>
      </c>
      <c r="CZ203" s="342">
        <f t="shared" si="444"/>
        <v>163833.93</v>
      </c>
      <c r="DA203" s="342">
        <f t="shared" si="445"/>
        <v>178338</v>
      </c>
      <c r="DB203" s="342">
        <f t="shared" si="446"/>
        <v>141656.30000000002</v>
      </c>
      <c r="DC203" s="342">
        <f t="shared" si="447"/>
        <v>71908.89</v>
      </c>
      <c r="DD203" s="342">
        <f t="shared" si="448"/>
        <v>51612.959999999999</v>
      </c>
      <c r="DE203" s="342">
        <f t="shared" si="449"/>
        <v>63033.79</v>
      </c>
      <c r="DF203" s="342">
        <f t="shared" si="450"/>
        <v>56149.47</v>
      </c>
      <c r="DG203" s="342">
        <f t="shared" si="451"/>
        <v>51797.740000000005</v>
      </c>
      <c r="DH203" s="342">
        <f t="shared" si="452"/>
        <v>46972.99</v>
      </c>
      <c r="DI203" s="342">
        <f t="shared" si="453"/>
        <v>48770.13</v>
      </c>
      <c r="DJ203" s="342">
        <f t="shared" si="454"/>
        <v>41248.579999999994</v>
      </c>
      <c r="DK203" s="342">
        <f t="shared" si="455"/>
        <v>52682.69</v>
      </c>
      <c r="DL203" s="342">
        <f t="shared" si="456"/>
        <v>34019.99</v>
      </c>
      <c r="DM203" s="342">
        <f t="shared" si="457"/>
        <v>55722.270000000004</v>
      </c>
      <c r="DN203" s="342">
        <f t="shared" si="458"/>
        <v>47513.95</v>
      </c>
      <c r="DO203" s="342">
        <f t="shared" si="459"/>
        <v>161814</v>
      </c>
      <c r="DP203" s="330"/>
      <c r="DQ203" s="342" t="s">
        <v>87</v>
      </c>
      <c r="DR203" s="342">
        <f t="shared" ref="DR203:EM203" si="559">DR105</f>
        <v>15019.8</v>
      </c>
      <c r="DS203" s="342">
        <f t="shared" si="559"/>
        <v>17685.400000000001</v>
      </c>
      <c r="DT203" s="342">
        <f t="shared" si="559"/>
        <v>16560.8</v>
      </c>
      <c r="DU203" s="342">
        <f t="shared" si="559"/>
        <v>12735.48</v>
      </c>
      <c r="DV203" s="342">
        <f t="shared" si="559"/>
        <v>15448.45</v>
      </c>
      <c r="DW203" s="342">
        <f t="shared" si="559"/>
        <v>13176.39</v>
      </c>
      <c r="DX203" s="342">
        <f t="shared" si="559"/>
        <v>21004.35</v>
      </c>
      <c r="DY203" s="342">
        <f t="shared" si="559"/>
        <v>17833.8</v>
      </c>
      <c r="DZ203" s="342">
        <f t="shared" si="559"/>
        <v>19108.41</v>
      </c>
      <c r="EA203" s="342">
        <f t="shared" si="559"/>
        <v>17899.79</v>
      </c>
      <c r="EB203" s="342">
        <f t="shared" si="559"/>
        <v>16545.8</v>
      </c>
      <c r="EC203" s="342">
        <f t="shared" si="559"/>
        <v>19282.86</v>
      </c>
      <c r="ED203" s="342">
        <f t="shared" si="559"/>
        <v>19784.62</v>
      </c>
      <c r="EE203" s="342">
        <f t="shared" si="559"/>
        <v>26287.360000000001</v>
      </c>
      <c r="EF203" s="342">
        <f t="shared" si="559"/>
        <v>28309.03</v>
      </c>
      <c r="EG203" s="342">
        <f t="shared" si="559"/>
        <v>26635.57</v>
      </c>
      <c r="EH203" s="342">
        <f t="shared" si="559"/>
        <v>26723.350000000002</v>
      </c>
      <c r="EI203" s="342">
        <f t="shared" si="559"/>
        <v>23132.6</v>
      </c>
      <c r="EJ203" s="342">
        <f t="shared" si="559"/>
        <v>21390.260000000002</v>
      </c>
      <c r="EK203" s="342">
        <f t="shared" si="559"/>
        <v>20616.599999999999</v>
      </c>
      <c r="EL203" s="342">
        <f t="shared" si="559"/>
        <v>26248.560000000001</v>
      </c>
      <c r="EM203" s="342">
        <f t="shared" si="559"/>
        <v>27988.639999999999</v>
      </c>
      <c r="EO203" s="321" t="s">
        <v>87</v>
      </c>
      <c r="EP203" s="321">
        <f t="shared" si="461"/>
        <v>45059.4</v>
      </c>
      <c r="EQ203" s="321">
        <f t="shared" si="462"/>
        <v>44213.5</v>
      </c>
      <c r="ER203" s="321">
        <f t="shared" si="463"/>
        <v>45542.2</v>
      </c>
      <c r="ES203" s="321">
        <f t="shared" si="464"/>
        <v>42451.6</v>
      </c>
      <c r="ET203" s="321">
        <f t="shared" si="465"/>
        <v>52524.73</v>
      </c>
      <c r="EU203" s="321">
        <f t="shared" si="466"/>
        <v>57097.69</v>
      </c>
      <c r="EV203" s="321">
        <f t="shared" si="467"/>
        <v>63013.05</v>
      </c>
      <c r="EW203" s="321">
        <f t="shared" si="468"/>
        <v>49042.95</v>
      </c>
      <c r="EX203" s="321">
        <f t="shared" si="469"/>
        <v>46168.74</v>
      </c>
      <c r="EY203" s="321">
        <f t="shared" si="470"/>
        <v>45406.229999999996</v>
      </c>
      <c r="EZ203" s="321">
        <f t="shared" si="471"/>
        <v>40996.17</v>
      </c>
      <c r="FA203" s="321">
        <f t="shared" si="472"/>
        <v>50293.87999999999</v>
      </c>
      <c r="FB203" s="321">
        <f t="shared" si="473"/>
        <v>43608.020000000004</v>
      </c>
      <c r="FC203" s="321">
        <f t="shared" si="474"/>
        <v>48198.28</v>
      </c>
      <c r="FD203" s="321">
        <f t="shared" si="475"/>
        <v>48158.36</v>
      </c>
      <c r="FE203" s="321">
        <f t="shared" si="476"/>
        <v>45241.69</v>
      </c>
      <c r="FF203" s="324">
        <f t="shared" si="477"/>
        <v>52462.73</v>
      </c>
      <c r="FG203" s="338">
        <f t="shared" si="478"/>
        <v>64038.04</v>
      </c>
      <c r="FH203" s="338">
        <f t="shared" si="479"/>
        <v>59985.58</v>
      </c>
      <c r="FI203" s="338">
        <f t="shared" si="480"/>
        <v>49811.959999999992</v>
      </c>
      <c r="FJ203" s="338">
        <f t="shared" si="481"/>
        <v>61258.1</v>
      </c>
      <c r="FK203" s="338">
        <f t="shared" si="482"/>
        <v>89460.9</v>
      </c>
      <c r="FL203" s="122"/>
      <c r="FM203" s="342" t="s">
        <v>87</v>
      </c>
      <c r="FN203" s="342">
        <f t="shared" si="483"/>
        <v>37549.5</v>
      </c>
      <c r="FO203" s="342">
        <f t="shared" si="484"/>
        <v>35370.800000000003</v>
      </c>
      <c r="FP203" s="342">
        <f t="shared" si="485"/>
        <v>37261.800000000003</v>
      </c>
      <c r="FQ203" s="342">
        <f t="shared" si="486"/>
        <v>38206.44</v>
      </c>
      <c r="FR203" s="342">
        <f t="shared" si="487"/>
        <v>37076.28</v>
      </c>
      <c r="FS203" s="342">
        <f t="shared" si="488"/>
        <v>43921.3</v>
      </c>
      <c r="FT203" s="342">
        <f t="shared" si="489"/>
        <v>37807.83</v>
      </c>
      <c r="FU203" s="342">
        <f t="shared" si="490"/>
        <v>35667.599999999999</v>
      </c>
      <c r="FV203" s="342">
        <f t="shared" si="491"/>
        <v>36846.22</v>
      </c>
      <c r="FW203" s="342">
        <f t="shared" si="492"/>
        <v>38820.870000000003</v>
      </c>
      <c r="FX203" s="342">
        <f t="shared" si="493"/>
        <v>38277.530000000006</v>
      </c>
      <c r="FY203" s="342">
        <f t="shared" si="494"/>
        <v>36335.759999999995</v>
      </c>
      <c r="FZ203" s="342">
        <f t="shared" si="495"/>
        <v>49846.73</v>
      </c>
      <c r="GA203" s="342">
        <f t="shared" si="496"/>
        <v>39203.040000000008</v>
      </c>
      <c r="GB203" s="342">
        <f t="shared" si="497"/>
        <v>38894.1</v>
      </c>
      <c r="GC203" s="342">
        <f t="shared" si="498"/>
        <v>40123.980000000003</v>
      </c>
      <c r="GD203" s="342">
        <f t="shared" si="499"/>
        <v>41068.92</v>
      </c>
      <c r="GE203" s="342">
        <f t="shared" si="500"/>
        <v>40125.4</v>
      </c>
      <c r="GF203" s="342">
        <f t="shared" si="501"/>
        <v>42260.01</v>
      </c>
      <c r="GG203" s="342">
        <f t="shared" si="502"/>
        <v>42993.450000000004</v>
      </c>
      <c r="GH203" s="342">
        <f t="shared" si="503"/>
        <v>60753.8</v>
      </c>
      <c r="GI203" s="342">
        <f t="shared" si="504"/>
        <v>64225.5</v>
      </c>
      <c r="GJ203" s="122"/>
      <c r="GK203" s="342" t="s">
        <v>87</v>
      </c>
      <c r="GL203" s="342">
        <f t="shared" si="505"/>
        <v>18774.75</v>
      </c>
      <c r="GM203" s="342">
        <f t="shared" si="506"/>
        <v>17685.400000000001</v>
      </c>
      <c r="GN203" s="342">
        <f t="shared" si="507"/>
        <v>28981.4</v>
      </c>
      <c r="GO203" s="342">
        <f t="shared" si="508"/>
        <v>21225.8</v>
      </c>
      <c r="GP203" s="342">
        <f t="shared" si="509"/>
        <v>33986.589999999997</v>
      </c>
      <c r="GQ203" s="342">
        <f t="shared" si="510"/>
        <v>13176.39</v>
      </c>
      <c r="GR203" s="342">
        <f t="shared" si="511"/>
        <v>4200.87</v>
      </c>
      <c r="GS203" s="342">
        <f t="shared" si="512"/>
        <v>17833.8</v>
      </c>
      <c r="GT203" s="342">
        <f t="shared" si="513"/>
        <v>16501.07</v>
      </c>
      <c r="GU203" s="342">
        <f t="shared" si="514"/>
        <v>12278.919999999998</v>
      </c>
      <c r="GV203" s="342">
        <f t="shared" si="515"/>
        <v>74406.900000000009</v>
      </c>
      <c r="GW203" s="342">
        <f t="shared" si="516"/>
        <v>155517.44</v>
      </c>
      <c r="GX203" s="342">
        <f t="shared" si="517"/>
        <v>37209.78</v>
      </c>
      <c r="GY203" s="342">
        <f t="shared" si="518"/>
        <v>145191.32</v>
      </c>
      <c r="GZ203" s="342">
        <f t="shared" si="519"/>
        <v>130146.40000000001</v>
      </c>
      <c r="HA203" s="342">
        <f t="shared" si="520"/>
        <v>21806.26</v>
      </c>
      <c r="HB203" s="342">
        <f t="shared" si="521"/>
        <v>28148.93</v>
      </c>
      <c r="HC203" s="342">
        <f t="shared" si="522"/>
        <v>22226.800000000003</v>
      </c>
      <c r="HD203" s="342">
        <f t="shared" si="523"/>
        <v>18557.25</v>
      </c>
      <c r="HE203" s="342">
        <f t="shared" si="524"/>
        <v>26883.16</v>
      </c>
      <c r="HF203" s="342">
        <f t="shared" si="525"/>
        <v>27584.83</v>
      </c>
      <c r="HG203" s="342">
        <f t="shared" si="526"/>
        <v>39392.06</v>
      </c>
      <c r="HH203" s="122"/>
      <c r="IF203" s="122"/>
      <c r="IG203" s="122"/>
      <c r="IH203" s="122"/>
      <c r="II203" s="122"/>
      <c r="IJ203" s="122"/>
      <c r="IK203" s="122"/>
      <c r="IL203" s="122"/>
      <c r="IN203" s="118"/>
      <c r="IP203" s="122"/>
      <c r="IQ203" s="122"/>
      <c r="IR203" s="122"/>
      <c r="IS203" s="122"/>
      <c r="IT203" s="122"/>
      <c r="IU203" s="122"/>
      <c r="IV203" s="122"/>
      <c r="IW203" s="122"/>
      <c r="IX203" s="122"/>
      <c r="IY203" s="122"/>
      <c r="IZ203" s="122"/>
      <c r="JA203" s="122"/>
      <c r="JB203" s="122"/>
      <c r="JC203" s="122"/>
      <c r="JD203" s="122"/>
      <c r="JE203" s="122"/>
      <c r="JF203" s="122"/>
      <c r="JG203" s="122"/>
      <c r="JH203" s="122"/>
      <c r="JI203" s="122"/>
      <c r="JK203" s="118"/>
      <c r="JL203" s="118"/>
      <c r="JY203" s="122"/>
      <c r="JZ203" s="122"/>
      <c r="KA203" s="122"/>
      <c r="KB203" s="122"/>
      <c r="LX203" s="122"/>
      <c r="LY203" s="122"/>
      <c r="LZ203" s="122"/>
      <c r="MB203" s="118"/>
      <c r="MC203" s="118"/>
      <c r="MP203" s="122"/>
      <c r="MQ203" s="122"/>
      <c r="MR203" s="122"/>
      <c r="MS203" s="122"/>
      <c r="MT203" s="122"/>
      <c r="MU203" s="122"/>
      <c r="MV203" s="122"/>
      <c r="OS203" s="118"/>
      <c r="OT203" s="118"/>
      <c r="PC203" s="122"/>
      <c r="PD203" s="122"/>
      <c r="PE203" s="122"/>
      <c r="PF203" s="122"/>
      <c r="PG203" s="122"/>
      <c r="PH203" s="122"/>
      <c r="PI203" s="122"/>
      <c r="PJ203" s="122"/>
      <c r="PP203" s="118"/>
      <c r="PQ203" s="118"/>
      <c r="PZ203" s="122"/>
      <c r="QA203" s="122"/>
      <c r="QB203" s="122"/>
      <c r="QC203" s="122"/>
      <c r="QD203" s="122"/>
      <c r="QE203" s="122"/>
      <c r="QF203" s="122"/>
      <c r="QG203" s="122"/>
      <c r="QM203" s="118"/>
      <c r="QN203" s="118"/>
      <c r="RE203" s="118"/>
      <c r="RF203" s="118"/>
      <c r="RG203" s="118"/>
      <c r="RH203" s="118"/>
      <c r="RI203" s="118"/>
      <c r="RJ203" s="118"/>
      <c r="RK203" s="118"/>
    </row>
    <row r="204" spans="25:479">
      <c r="Y204" s="317" t="s">
        <v>88</v>
      </c>
      <c r="Z204" s="321">
        <f t="shared" si="534"/>
        <v>282384.2</v>
      </c>
      <c r="AA204" s="321">
        <f t="shared" si="373"/>
        <v>262629.27</v>
      </c>
      <c r="AB204" s="321">
        <f t="shared" si="374"/>
        <v>280394.19</v>
      </c>
      <c r="AC204" s="321">
        <f t="shared" si="375"/>
        <v>251824.32</v>
      </c>
      <c r="AD204" s="321">
        <f t="shared" si="376"/>
        <v>326935.27</v>
      </c>
      <c r="AE204" s="321">
        <f t="shared" si="377"/>
        <v>331460.21999999997</v>
      </c>
      <c r="AF204" s="321">
        <f t="shared" si="378"/>
        <v>370481.61999999994</v>
      </c>
      <c r="AG204" s="321">
        <f t="shared" si="379"/>
        <v>339517.92</v>
      </c>
      <c r="AH204" s="321">
        <f t="shared" si="380"/>
        <v>381460.15</v>
      </c>
      <c r="AI204" s="321">
        <f t="shared" si="381"/>
        <v>361242.36999999994</v>
      </c>
      <c r="AJ204" s="321">
        <f t="shared" si="382"/>
        <v>408737.69000000006</v>
      </c>
      <c r="AK204" s="321">
        <f t="shared" si="383"/>
        <v>414232.64999999997</v>
      </c>
      <c r="AL204" s="321">
        <f t="shared" si="384"/>
        <v>485520.74000000005</v>
      </c>
      <c r="AM204" s="321">
        <f t="shared" si="385"/>
        <v>377874.00000000006</v>
      </c>
      <c r="AN204" s="321">
        <f t="shared" si="386"/>
        <v>434015.92999999993</v>
      </c>
      <c r="AO204" s="321">
        <f t="shared" si="387"/>
        <v>497998.04000000004</v>
      </c>
      <c r="AP204" s="321">
        <f t="shared" si="537"/>
        <v>488523.69</v>
      </c>
      <c r="AQ204" s="321">
        <f t="shared" si="535"/>
        <v>557832.67999999993</v>
      </c>
      <c r="AR204" s="321">
        <f t="shared" si="390"/>
        <v>904833.8600000001</v>
      </c>
      <c r="AS204" s="321">
        <f t="shared" si="391"/>
        <v>642148.89</v>
      </c>
      <c r="AT204" s="321">
        <f t="shared" si="392"/>
        <v>714365.48999999987</v>
      </c>
      <c r="AU204" s="321">
        <f t="shared" si="393"/>
        <v>648906.11999999988</v>
      </c>
      <c r="AW204" s="324" t="s">
        <v>88</v>
      </c>
      <c r="AX204" s="324">
        <f t="shared" si="527"/>
        <v>110936.65000000001</v>
      </c>
      <c r="AY204" s="324">
        <f t="shared" si="395"/>
        <v>126451.13</v>
      </c>
      <c r="AZ204" s="324">
        <f t="shared" si="396"/>
        <v>197314.43</v>
      </c>
      <c r="BA204" s="324">
        <f t="shared" si="397"/>
        <v>194591.52</v>
      </c>
      <c r="BB204" s="324">
        <f t="shared" si="398"/>
        <v>169104.45</v>
      </c>
      <c r="BC204" s="324">
        <f t="shared" si="399"/>
        <v>191227.05000000002</v>
      </c>
      <c r="BD204" s="324">
        <f t="shared" si="400"/>
        <v>173374.37</v>
      </c>
      <c r="BE204" s="324">
        <f t="shared" si="401"/>
        <v>127319.22</v>
      </c>
      <c r="BF204" s="324">
        <f t="shared" si="402"/>
        <v>130227.29</v>
      </c>
      <c r="BG204" s="324">
        <f t="shared" si="403"/>
        <v>126422.065</v>
      </c>
      <c r="BH204" s="324">
        <f t="shared" si="404"/>
        <v>117514.70999999999</v>
      </c>
      <c r="BI204" s="324">
        <f t="shared" si="405"/>
        <v>106454.14</v>
      </c>
      <c r="BJ204" s="324">
        <f t="shared" si="406"/>
        <v>115264.31</v>
      </c>
      <c r="BK204" s="324">
        <f t="shared" si="407"/>
        <v>108544.57</v>
      </c>
      <c r="BL204" s="324">
        <f t="shared" si="530"/>
        <v>107679.18000000001</v>
      </c>
      <c r="BM204" s="324">
        <f t="shared" si="531"/>
        <v>110252.87</v>
      </c>
      <c r="BN204" s="324">
        <f t="shared" si="532"/>
        <v>112283.12</v>
      </c>
      <c r="BO204" s="342">
        <f t="shared" si="528"/>
        <v>114272.62000000001</v>
      </c>
      <c r="BP204" s="342">
        <f t="shared" si="412"/>
        <v>111610.91</v>
      </c>
      <c r="BQ204" s="342">
        <f t="shared" si="413"/>
        <v>120068.4</v>
      </c>
      <c r="BR204" s="342">
        <f t="shared" si="414"/>
        <v>107397.37</v>
      </c>
      <c r="BS204" s="342">
        <f t="shared" si="415"/>
        <v>114115.25</v>
      </c>
      <c r="BU204" s="342" t="s">
        <v>88</v>
      </c>
      <c r="BV204" s="342">
        <f t="shared" si="556"/>
        <v>20170.3</v>
      </c>
      <c r="BW204" s="342">
        <f t="shared" si="556"/>
        <v>29181.03</v>
      </c>
      <c r="BX204" s="342">
        <f t="shared" si="556"/>
        <v>20769.939999999999</v>
      </c>
      <c r="BY204" s="342">
        <f t="shared" si="556"/>
        <v>22893.119999999999</v>
      </c>
      <c r="BZ204" s="342">
        <f t="shared" si="556"/>
        <v>22547.26</v>
      </c>
      <c r="CA204" s="342">
        <f t="shared" si="556"/>
        <v>38245.409999999996</v>
      </c>
      <c r="CB204" s="342">
        <f t="shared" si="556"/>
        <v>26672.98</v>
      </c>
      <c r="CC204" s="342">
        <f t="shared" si="556"/>
        <v>28293.16</v>
      </c>
      <c r="CD204" s="342">
        <f t="shared" si="556"/>
        <v>23278.18</v>
      </c>
      <c r="CE204" s="342">
        <f t="shared" si="556"/>
        <v>50411.990000000005</v>
      </c>
      <c r="CF204" s="342">
        <f>KN106+QB106</f>
        <v>46365.54</v>
      </c>
      <c r="CG204" s="342">
        <f t="shared" si="557"/>
        <v>48154.23</v>
      </c>
      <c r="CH204" s="342">
        <f t="shared" si="557"/>
        <v>53297</v>
      </c>
      <c r="CI204" s="342">
        <f t="shared" si="557"/>
        <v>58039.519999999997</v>
      </c>
      <c r="CJ204" s="342">
        <f t="shared" si="557"/>
        <v>58257.369999999995</v>
      </c>
      <c r="CK204" s="342">
        <f t="shared" si="557"/>
        <v>57300.219999999994</v>
      </c>
      <c r="CL204" s="342">
        <f t="shared" si="557"/>
        <v>56998.05</v>
      </c>
      <c r="CM204" s="342">
        <f t="shared" si="557"/>
        <v>58389.75</v>
      </c>
      <c r="CN204" s="342">
        <f t="shared" si="557"/>
        <v>59000.25</v>
      </c>
      <c r="CO204" s="342">
        <f t="shared" si="557"/>
        <v>57439.4</v>
      </c>
      <c r="CP204" s="342">
        <f t="shared" si="557"/>
        <v>57664.66</v>
      </c>
      <c r="CQ204" s="342">
        <f t="shared" si="557"/>
        <v>61253</v>
      </c>
      <c r="CR204" s="122"/>
      <c r="CS204" s="342" t="s">
        <v>88</v>
      </c>
      <c r="CT204" s="342">
        <f t="shared" si="438"/>
        <v>141192.1</v>
      </c>
      <c r="CU204" s="342">
        <f t="shared" si="439"/>
        <v>68089.070000000007</v>
      </c>
      <c r="CV204" s="342">
        <f t="shared" si="440"/>
        <v>83079.759999999995</v>
      </c>
      <c r="CW204" s="342">
        <f t="shared" si="441"/>
        <v>160251.84</v>
      </c>
      <c r="CX204" s="342">
        <f t="shared" si="442"/>
        <v>101462.67</v>
      </c>
      <c r="CY204" s="342">
        <f t="shared" si="443"/>
        <v>140233.16999999998</v>
      </c>
      <c r="CZ204" s="342">
        <f t="shared" si="444"/>
        <v>93355.430000000008</v>
      </c>
      <c r="DA204" s="342">
        <f t="shared" si="445"/>
        <v>141465.79999999999</v>
      </c>
      <c r="DB204" s="342">
        <f t="shared" si="446"/>
        <v>136967.65</v>
      </c>
      <c r="DC204" s="342">
        <f t="shared" si="447"/>
        <v>229064.53999999998</v>
      </c>
      <c r="DD204" s="342">
        <f t="shared" si="448"/>
        <v>161179.97</v>
      </c>
      <c r="DE204" s="342">
        <f t="shared" si="449"/>
        <v>177014.36</v>
      </c>
      <c r="DF204" s="342">
        <f t="shared" si="450"/>
        <v>187351.56</v>
      </c>
      <c r="DG204" s="342">
        <f t="shared" si="451"/>
        <v>199405.20999999996</v>
      </c>
      <c r="DH204" s="342">
        <f t="shared" si="452"/>
        <v>166609.63</v>
      </c>
      <c r="DI204" s="342">
        <f t="shared" si="453"/>
        <v>148139.47999999998</v>
      </c>
      <c r="DJ204" s="342">
        <f t="shared" si="454"/>
        <v>163492.77000000002</v>
      </c>
      <c r="DK204" s="342">
        <f t="shared" si="455"/>
        <v>180859.67999999996</v>
      </c>
      <c r="DL204" s="342">
        <f t="shared" si="456"/>
        <v>169589.7</v>
      </c>
      <c r="DM204" s="342">
        <f t="shared" si="457"/>
        <v>136702.5</v>
      </c>
      <c r="DN204" s="342">
        <f t="shared" si="458"/>
        <v>166844</v>
      </c>
      <c r="DO204" s="342">
        <f t="shared" si="459"/>
        <v>169890.2</v>
      </c>
      <c r="DP204" s="330"/>
      <c r="DQ204" s="342" t="s">
        <v>88</v>
      </c>
      <c r="DR204" s="342">
        <f t="shared" ref="DR204:EM204" si="560">DR106</f>
        <v>90766.35</v>
      </c>
      <c r="DS204" s="342">
        <f t="shared" si="560"/>
        <v>97270.1</v>
      </c>
      <c r="DT204" s="342">
        <f t="shared" si="560"/>
        <v>83079.759999999995</v>
      </c>
      <c r="DU204" s="342">
        <f t="shared" si="560"/>
        <v>103019.04</v>
      </c>
      <c r="DV204" s="342">
        <f t="shared" si="560"/>
        <v>112736.3</v>
      </c>
      <c r="DW204" s="342">
        <f t="shared" si="560"/>
        <v>152981.64000000001</v>
      </c>
      <c r="DX204" s="342">
        <f t="shared" si="560"/>
        <v>186710.86</v>
      </c>
      <c r="DY204" s="342">
        <f t="shared" si="560"/>
        <v>183905.54</v>
      </c>
      <c r="DZ204" s="342">
        <f t="shared" si="560"/>
        <v>202001.84999999995</v>
      </c>
      <c r="EA204" s="342">
        <f t="shared" si="560"/>
        <v>209626.94</v>
      </c>
      <c r="EB204" s="342">
        <f t="shared" si="560"/>
        <v>217770.47999999998</v>
      </c>
      <c r="EC204" s="342">
        <f t="shared" si="560"/>
        <v>251064.49000000002</v>
      </c>
      <c r="ED204" s="342">
        <f t="shared" si="560"/>
        <v>235435.53999999998</v>
      </c>
      <c r="EE204" s="342">
        <f t="shared" si="560"/>
        <v>212168.08000000002</v>
      </c>
      <c r="EF204" s="342">
        <f t="shared" si="560"/>
        <v>242270.15000000002</v>
      </c>
      <c r="EG204" s="342">
        <f t="shared" si="560"/>
        <v>261219.58000000005</v>
      </c>
      <c r="EH204" s="342">
        <f t="shared" si="560"/>
        <v>281407.74</v>
      </c>
      <c r="EI204" s="342">
        <f t="shared" si="560"/>
        <v>270371.42000000004</v>
      </c>
      <c r="EJ204" s="342">
        <f t="shared" si="560"/>
        <v>280886.32</v>
      </c>
      <c r="EK204" s="342">
        <f t="shared" si="560"/>
        <v>275734.55</v>
      </c>
      <c r="EL204" s="342">
        <f t="shared" si="560"/>
        <v>257815.27000000002</v>
      </c>
      <c r="EM204" s="342">
        <f t="shared" si="560"/>
        <v>266100</v>
      </c>
      <c r="EO204" s="321" t="s">
        <v>88</v>
      </c>
      <c r="EP204" s="321">
        <f t="shared" si="461"/>
        <v>262213.89999999997</v>
      </c>
      <c r="EQ204" s="321">
        <f t="shared" si="462"/>
        <v>252902.26</v>
      </c>
      <c r="ER204" s="321">
        <f t="shared" si="463"/>
        <v>259624.25</v>
      </c>
      <c r="ES204" s="321">
        <f t="shared" si="464"/>
        <v>263270.88</v>
      </c>
      <c r="ET204" s="321">
        <f t="shared" si="465"/>
        <v>281840.75</v>
      </c>
      <c r="EU204" s="321">
        <f t="shared" si="466"/>
        <v>305963.28000000003</v>
      </c>
      <c r="EV204" s="321">
        <f t="shared" si="467"/>
        <v>346748.74</v>
      </c>
      <c r="EW204" s="321">
        <f t="shared" si="468"/>
        <v>452690.56</v>
      </c>
      <c r="EX204" s="321">
        <f t="shared" si="469"/>
        <v>473277.01999999996</v>
      </c>
      <c r="EY204" s="321">
        <f t="shared" si="470"/>
        <v>329774.49000000005</v>
      </c>
      <c r="EZ204" s="321">
        <f t="shared" si="471"/>
        <v>369727.54000000004</v>
      </c>
      <c r="FA204" s="321">
        <f t="shared" si="472"/>
        <v>373125.95999999996</v>
      </c>
      <c r="FB204" s="321">
        <f t="shared" si="473"/>
        <v>362310.77999999997</v>
      </c>
      <c r="FC204" s="321">
        <f t="shared" si="474"/>
        <v>405077.29000000004</v>
      </c>
      <c r="FD204" s="321">
        <f t="shared" si="475"/>
        <v>365335.35</v>
      </c>
      <c r="FE204" s="321">
        <f t="shared" si="476"/>
        <v>410872.71</v>
      </c>
      <c r="FF204" s="324">
        <f t="shared" si="477"/>
        <v>479782.8600000001</v>
      </c>
      <c r="FG204" s="338">
        <f t="shared" si="478"/>
        <v>397272.44000000006</v>
      </c>
      <c r="FH204" s="338">
        <f t="shared" si="479"/>
        <v>404815.02999999997</v>
      </c>
      <c r="FI204" s="338">
        <f t="shared" si="480"/>
        <v>376988.42999999993</v>
      </c>
      <c r="FJ204" s="338">
        <f t="shared" si="481"/>
        <v>366950.63</v>
      </c>
      <c r="FK204" s="338">
        <f t="shared" si="482"/>
        <v>363980</v>
      </c>
      <c r="FL204" s="122"/>
      <c r="FM204" s="342" t="s">
        <v>88</v>
      </c>
      <c r="FN204" s="342">
        <f t="shared" si="483"/>
        <v>90766.35</v>
      </c>
      <c r="FO204" s="342">
        <f t="shared" si="484"/>
        <v>87543.09</v>
      </c>
      <c r="FP204" s="342">
        <f t="shared" si="485"/>
        <v>72694.789999999994</v>
      </c>
      <c r="FQ204" s="342">
        <f t="shared" si="486"/>
        <v>91572.479999999996</v>
      </c>
      <c r="FR204" s="342">
        <f t="shared" si="487"/>
        <v>90189.04</v>
      </c>
      <c r="FS204" s="342">
        <f t="shared" si="488"/>
        <v>89239.29</v>
      </c>
      <c r="FT204" s="342">
        <f t="shared" si="489"/>
        <v>93355.43</v>
      </c>
      <c r="FU204" s="342">
        <f t="shared" si="490"/>
        <v>99026.06</v>
      </c>
      <c r="FV204" s="342">
        <f t="shared" si="491"/>
        <v>95345.4</v>
      </c>
      <c r="FW204" s="342">
        <f t="shared" si="492"/>
        <v>90818.669999999984</v>
      </c>
      <c r="FX204" s="342">
        <f t="shared" si="493"/>
        <v>92079.61</v>
      </c>
      <c r="FY204" s="342">
        <f t="shared" si="494"/>
        <v>85940.069999999992</v>
      </c>
      <c r="FZ204" s="342">
        <f t="shared" si="495"/>
        <v>85594.97</v>
      </c>
      <c r="GA204" s="342">
        <f t="shared" si="496"/>
        <v>87778.040000000008</v>
      </c>
      <c r="GB204" s="342">
        <f t="shared" si="497"/>
        <v>84793.420000000013</v>
      </c>
      <c r="GC204" s="342">
        <f t="shared" si="498"/>
        <v>158069.56000000003</v>
      </c>
      <c r="GD204" s="342">
        <f t="shared" si="499"/>
        <v>164667.59</v>
      </c>
      <c r="GE204" s="342">
        <f t="shared" si="500"/>
        <v>160721.16</v>
      </c>
      <c r="GF204" s="342">
        <f t="shared" si="501"/>
        <v>173273.79</v>
      </c>
      <c r="GG204" s="342">
        <f t="shared" si="502"/>
        <v>186740.96999999997</v>
      </c>
      <c r="GH204" s="342">
        <f t="shared" si="503"/>
        <v>195104.44</v>
      </c>
      <c r="GI204" s="342">
        <f t="shared" si="504"/>
        <v>197323</v>
      </c>
      <c r="GJ204" s="122"/>
      <c r="GK204" s="342" t="s">
        <v>88</v>
      </c>
      <c r="GL204" s="342">
        <f t="shared" si="505"/>
        <v>10085.15</v>
      </c>
      <c r="GM204" s="342">
        <f t="shared" si="506"/>
        <v>48635.05</v>
      </c>
      <c r="GN204" s="342">
        <f t="shared" si="507"/>
        <v>41539.879999999997</v>
      </c>
      <c r="GO204" s="342">
        <f t="shared" si="508"/>
        <v>57232.800000000003</v>
      </c>
      <c r="GP204" s="342">
        <f t="shared" si="509"/>
        <v>22547.26</v>
      </c>
      <c r="GQ204" s="342">
        <f t="shared" si="510"/>
        <v>25496.94</v>
      </c>
      <c r="GR204" s="342">
        <f t="shared" si="511"/>
        <v>40009.47</v>
      </c>
      <c r="GS204" s="342">
        <f t="shared" si="512"/>
        <v>42439.74</v>
      </c>
      <c r="GT204" s="342">
        <f t="shared" si="513"/>
        <v>22200</v>
      </c>
      <c r="GU204" s="342">
        <f t="shared" si="514"/>
        <v>51000</v>
      </c>
      <c r="GV204" s="342">
        <f t="shared" si="515"/>
        <v>56703.68</v>
      </c>
      <c r="GW204" s="342">
        <f t="shared" si="516"/>
        <v>44822.469999999994</v>
      </c>
      <c r="GX204" s="342">
        <f t="shared" si="517"/>
        <v>47315.92</v>
      </c>
      <c r="GY204" s="342">
        <f t="shared" si="518"/>
        <v>48712.76</v>
      </c>
      <c r="GZ204" s="342">
        <f t="shared" si="519"/>
        <v>47100</v>
      </c>
      <c r="HA204" s="342">
        <f t="shared" si="520"/>
        <v>42000</v>
      </c>
      <c r="HB204" s="342">
        <f t="shared" si="521"/>
        <v>58696.009999999995</v>
      </c>
      <c r="HC204" s="342">
        <f t="shared" si="522"/>
        <v>61612.06</v>
      </c>
      <c r="HD204" s="342">
        <f t="shared" si="523"/>
        <v>395577.57000000007</v>
      </c>
      <c r="HE204" s="342">
        <f t="shared" si="524"/>
        <v>69747.37999999999</v>
      </c>
      <c r="HF204" s="342">
        <f t="shared" si="525"/>
        <v>62388.37</v>
      </c>
      <c r="HG204" s="342">
        <f t="shared" si="526"/>
        <v>48000</v>
      </c>
      <c r="HH204" s="122"/>
      <c r="IF204" s="122"/>
      <c r="IG204" s="122"/>
      <c r="IH204" s="122"/>
      <c r="II204" s="122"/>
      <c r="IJ204" s="122"/>
      <c r="IK204" s="122"/>
      <c r="IL204" s="122"/>
      <c r="IN204" s="118"/>
      <c r="IP204" s="122"/>
      <c r="IQ204" s="122"/>
      <c r="IR204" s="122"/>
      <c r="IS204" s="122"/>
      <c r="IT204" s="122"/>
      <c r="IU204" s="122"/>
      <c r="IV204" s="122"/>
      <c r="IW204" s="122"/>
      <c r="IX204" s="122"/>
      <c r="IY204" s="122"/>
      <c r="IZ204" s="122"/>
      <c r="JA204" s="122"/>
      <c r="JB204" s="122"/>
      <c r="JC204" s="122"/>
      <c r="JD204" s="122"/>
      <c r="JE204" s="122"/>
      <c r="JF204" s="122"/>
      <c r="JG204" s="122"/>
      <c r="JH204" s="122"/>
      <c r="JI204" s="122"/>
      <c r="JK204" s="118"/>
      <c r="JL204" s="118"/>
      <c r="JY204" s="122"/>
      <c r="JZ204" s="122"/>
      <c r="KA204" s="122"/>
      <c r="KB204" s="122"/>
      <c r="LX204" s="122"/>
      <c r="LY204" s="122"/>
      <c r="LZ204" s="122"/>
      <c r="MB204" s="118"/>
      <c r="MC204" s="118"/>
      <c r="MP204" s="122"/>
      <c r="MQ204" s="122"/>
      <c r="MR204" s="122"/>
      <c r="MS204" s="122"/>
      <c r="MT204" s="122"/>
      <c r="MU204" s="122"/>
      <c r="MV204" s="122"/>
      <c r="OS204" s="118"/>
      <c r="OT204" s="118"/>
      <c r="PC204" s="122"/>
      <c r="PD204" s="122"/>
      <c r="PE204" s="122"/>
      <c r="PF204" s="122"/>
      <c r="PG204" s="122"/>
      <c r="PH204" s="122"/>
      <c r="PI204" s="122"/>
      <c r="PJ204" s="122"/>
      <c r="PP204" s="118"/>
      <c r="PQ204" s="118"/>
      <c r="PZ204" s="122"/>
      <c r="QA204" s="122"/>
      <c r="QB204" s="122"/>
      <c r="QC204" s="122"/>
      <c r="QD204" s="122"/>
      <c r="QE204" s="122"/>
      <c r="QF204" s="122"/>
      <c r="QG204" s="122"/>
      <c r="QM204" s="118"/>
      <c r="QN204" s="118"/>
      <c r="RE204" s="118"/>
      <c r="RF204" s="118"/>
      <c r="RG204" s="118"/>
      <c r="RH204" s="118"/>
      <c r="RI204" s="118"/>
      <c r="RJ204" s="118"/>
      <c r="RK204" s="118"/>
    </row>
    <row r="205" spans="25:479">
      <c r="Y205" s="181" t="s">
        <v>92</v>
      </c>
      <c r="Z205" s="804">
        <f>SUM(Z116:Z204)</f>
        <v>32504093.199999988</v>
      </c>
      <c r="AA205" s="804">
        <f t="shared" ref="AA205:AQ205" si="561">SUM(AA116:AA204)</f>
        <v>30220257.050000004</v>
      </c>
      <c r="AB205" s="804">
        <f t="shared" si="561"/>
        <v>33017060.399999999</v>
      </c>
      <c r="AC205" s="804">
        <f t="shared" si="561"/>
        <v>35021201.769999988</v>
      </c>
      <c r="AD205" s="804">
        <f t="shared" si="561"/>
        <v>39852292.790000007</v>
      </c>
      <c r="AE205" s="804">
        <f t="shared" si="561"/>
        <v>37476557.450000003</v>
      </c>
      <c r="AF205" s="804">
        <f t="shared" si="561"/>
        <v>40390024.280000016</v>
      </c>
      <c r="AG205" s="804">
        <f t="shared" si="561"/>
        <v>40369425.849999994</v>
      </c>
      <c r="AH205" s="804">
        <f t="shared" si="561"/>
        <v>45164118.903888904</v>
      </c>
      <c r="AI205" s="804">
        <f t="shared" si="561"/>
        <v>42601575.83699999</v>
      </c>
      <c r="AJ205" s="804">
        <f t="shared" si="561"/>
        <v>44965326.331054002</v>
      </c>
      <c r="AK205" s="804">
        <f t="shared" si="561"/>
        <v>44547752.880000018</v>
      </c>
      <c r="AL205" s="804">
        <f t="shared" si="561"/>
        <v>47687010.020000011</v>
      </c>
      <c r="AM205" s="804">
        <f t="shared" si="561"/>
        <v>43812349.260000013</v>
      </c>
      <c r="AN205" s="804">
        <f t="shared" si="561"/>
        <v>42383300.273000009</v>
      </c>
      <c r="AO205" s="804">
        <f t="shared" si="561"/>
        <v>45401208.180000015</v>
      </c>
      <c r="AP205" s="804">
        <f t="shared" si="561"/>
        <v>40562068.141000003</v>
      </c>
      <c r="AQ205" s="804">
        <f t="shared" si="561"/>
        <v>44019124.909999989</v>
      </c>
      <c r="AR205" s="804">
        <f t="shared" ref="AR205:AU205" si="562">SUM(AR116:AR204)</f>
        <v>44609135.954034999</v>
      </c>
      <c r="AS205" s="804">
        <f t="shared" si="562"/>
        <v>40041154.458999984</v>
      </c>
      <c r="AT205" s="804">
        <f t="shared" si="562"/>
        <v>46018287.740000002</v>
      </c>
      <c r="AU205" s="804">
        <f t="shared" si="562"/>
        <v>47650572.249999993</v>
      </c>
      <c r="AW205" s="181" t="s">
        <v>92</v>
      </c>
      <c r="AX205" s="804">
        <f>SUM(AX116:AX204)</f>
        <v>10537344.369999997</v>
      </c>
      <c r="AY205" s="804">
        <f t="shared" ref="AY205" si="563">SUM(AY116:AY204)</f>
        <v>10880167.119999999</v>
      </c>
      <c r="AZ205" s="804">
        <f t="shared" ref="AZ205" si="564">SUM(AZ116:AZ204)</f>
        <v>11842381.390000004</v>
      </c>
      <c r="BA205" s="804">
        <f t="shared" ref="BA205" si="565">SUM(BA116:BA204)</f>
        <v>10498915.600000001</v>
      </c>
      <c r="BB205" s="804">
        <f t="shared" ref="BB205" si="566">SUM(BB116:BB204)</f>
        <v>9138394.0300000012</v>
      </c>
      <c r="BC205" s="804">
        <f t="shared" ref="BC205" si="567">SUM(BC116:BC204)</f>
        <v>9030848.2000000011</v>
      </c>
      <c r="BD205" s="804">
        <f t="shared" ref="BD205" si="568">SUM(BD116:BD204)</f>
        <v>8863876.8999999985</v>
      </c>
      <c r="BE205" s="804">
        <f t="shared" ref="BE205" si="569">SUM(BE116:BE204)</f>
        <v>8396584.2000000011</v>
      </c>
      <c r="BF205" s="804">
        <f t="shared" ref="BF205" si="570">SUM(BF116:BF204)</f>
        <v>8011457.9000000013</v>
      </c>
      <c r="BG205" s="804">
        <f t="shared" ref="BG205" si="571">SUM(BG116:BG204)</f>
        <v>8347744.5490000043</v>
      </c>
      <c r="BH205" s="804">
        <f t="shared" ref="BH205" si="572">SUM(BH116:BH204)</f>
        <v>8580507.0199999996</v>
      </c>
      <c r="BI205" s="804">
        <f t="shared" ref="BI205" si="573">SUM(BI116:BI204)</f>
        <v>8260806.4959999975</v>
      </c>
      <c r="BJ205" s="804">
        <f t="shared" ref="BJ205" si="574">SUM(BJ116:BJ204)</f>
        <v>8494797.7799999993</v>
      </c>
      <c r="BK205" s="804">
        <f t="shared" ref="BK205" si="575">SUM(BK116:BK204)</f>
        <v>8840210.2800000012</v>
      </c>
      <c r="BL205" s="804">
        <f t="shared" ref="BL205" si="576">SUM(BL116:BL204)</f>
        <v>7731195.8400000026</v>
      </c>
      <c r="BM205" s="804">
        <f t="shared" ref="BM205" si="577">SUM(BM116:BM204)</f>
        <v>8358850.2800000012</v>
      </c>
      <c r="BN205" s="804">
        <f t="shared" ref="BN205" si="578">SUM(BN116:BN204)</f>
        <v>7020724.8399999999</v>
      </c>
      <c r="BO205" s="804">
        <f t="shared" ref="BO205:BS205" si="579">SUM(BO116:BO204)</f>
        <v>8310623.9809999987</v>
      </c>
      <c r="BP205" s="804">
        <f t="shared" si="579"/>
        <v>7395659.5999999968</v>
      </c>
      <c r="BQ205" s="804">
        <f t="shared" si="579"/>
        <v>7071869.4800000004</v>
      </c>
      <c r="BR205" s="804">
        <f t="shared" si="579"/>
        <v>6923125.3199999984</v>
      </c>
      <c r="BS205" s="804">
        <f t="shared" si="579"/>
        <v>8949334.0405499991</v>
      </c>
      <c r="BU205" s="181" t="s">
        <v>92</v>
      </c>
      <c r="BV205" s="804">
        <f>SUM(BV116:BV204)</f>
        <v>1928640.5200000003</v>
      </c>
      <c r="BW205" s="804">
        <f t="shared" ref="BW205" si="580">SUM(BW116:BW204)</f>
        <v>2397844.6599999983</v>
      </c>
      <c r="BX205" s="804">
        <f t="shared" ref="BX205" si="581">SUM(BX116:BX204)</f>
        <v>2693148.9599999995</v>
      </c>
      <c r="BY205" s="804">
        <f t="shared" ref="BY205" si="582">SUM(BY116:BY204)</f>
        <v>2886971.9499999997</v>
      </c>
      <c r="BZ205" s="804">
        <f t="shared" ref="BZ205" si="583">SUM(BZ116:BZ204)</f>
        <v>3494832.6399999992</v>
      </c>
      <c r="CA205" s="804">
        <f t="shared" ref="CA205" si="584">SUM(CA116:CA204)</f>
        <v>4348461.7800000012</v>
      </c>
      <c r="CB205" s="804">
        <f t="shared" ref="CB205" si="585">SUM(CB116:CB204)</f>
        <v>4394104.870000002</v>
      </c>
      <c r="CC205" s="804">
        <f t="shared" ref="CC205" si="586">SUM(CC116:CC204)</f>
        <v>4507570.2699999996</v>
      </c>
      <c r="CD205" s="804">
        <f t="shared" ref="CD205" si="587">SUM(CD116:CD204)</f>
        <v>4641049.459999999</v>
      </c>
      <c r="CE205" s="804">
        <f t="shared" ref="CE205" si="588">SUM(CE116:CE204)</f>
        <v>4744221.1399999997</v>
      </c>
      <c r="CF205" s="804">
        <f t="shared" ref="CF205" si="589">SUM(CF116:CF204)</f>
        <v>4734661.3999999994</v>
      </c>
      <c r="CG205" s="804">
        <f t="shared" ref="CG205" si="590">SUM(CG116:CG204)</f>
        <v>4919964.6800000006</v>
      </c>
      <c r="CH205" s="804">
        <f t="shared" ref="CH205" si="591">SUM(CH116:CH204)</f>
        <v>5084799.0400000019</v>
      </c>
      <c r="CI205" s="804">
        <f t="shared" ref="CI205" si="592">SUM(CI116:CI204)</f>
        <v>5197519.0799999982</v>
      </c>
      <c r="CJ205" s="804">
        <f t="shared" ref="CJ205" si="593">SUM(CJ116:CJ204)</f>
        <v>4575308.9799999995</v>
      </c>
      <c r="CK205" s="804">
        <f t="shared" ref="CK205" si="594">SUM(CK116:CK204)</f>
        <v>5331980.4099999992</v>
      </c>
      <c r="CL205" s="804">
        <f t="shared" ref="CL205" si="595">SUM(CL116:CL204)</f>
        <v>4373865.29</v>
      </c>
      <c r="CM205" s="804">
        <f t="shared" ref="CM205:CQ205" si="596">SUM(CM116:CM204)</f>
        <v>5250371.08</v>
      </c>
      <c r="CN205" s="804">
        <f t="shared" si="596"/>
        <v>4855403.8500000015</v>
      </c>
      <c r="CO205" s="804">
        <f t="shared" si="596"/>
        <v>4767932.2500000009</v>
      </c>
      <c r="CP205" s="804">
        <f t="shared" si="596"/>
        <v>4862056.540000001</v>
      </c>
      <c r="CQ205" s="804">
        <f t="shared" si="596"/>
        <v>5467064.5699999994</v>
      </c>
      <c r="CS205" s="181" t="s">
        <v>92</v>
      </c>
      <c r="CT205" s="804">
        <f>SUM(CT116:CT204)</f>
        <v>15758391.740000002</v>
      </c>
      <c r="CU205" s="804">
        <f t="shared" ref="CU205" si="597">SUM(CU116:CU204)</f>
        <v>16534959.229999999</v>
      </c>
      <c r="CV205" s="804">
        <f t="shared" ref="CV205" si="598">SUM(CV116:CV204)</f>
        <v>18582072.470000003</v>
      </c>
      <c r="CW205" s="804">
        <f t="shared" ref="CW205" si="599">SUM(CW116:CW204)</f>
        <v>19107111.91</v>
      </c>
      <c r="CX205" s="804">
        <f t="shared" ref="CX205" si="600">SUM(CX116:CX204)</f>
        <v>19367744.139999997</v>
      </c>
      <c r="CY205" s="804">
        <f t="shared" ref="CY205" si="601">SUM(CY116:CY204)</f>
        <v>21009401.199999996</v>
      </c>
      <c r="CZ205" s="804">
        <f t="shared" ref="CZ205" si="602">SUM(CZ116:CZ204)</f>
        <v>21323664.410000008</v>
      </c>
      <c r="DA205" s="804">
        <f t="shared" ref="DA205" si="603">SUM(DA116:DA204)</f>
        <v>24255608.84</v>
      </c>
      <c r="DB205" s="804">
        <f t="shared" ref="DB205" si="604">SUM(DB116:DB204)</f>
        <v>22924383.570000008</v>
      </c>
      <c r="DC205" s="804">
        <f t="shared" ref="DC205" si="605">SUM(DC116:DC204)</f>
        <v>23009788.18</v>
      </c>
      <c r="DD205" s="804">
        <f t="shared" ref="DD205" si="606">SUM(DD116:DD204)</f>
        <v>21880810.158000007</v>
      </c>
      <c r="DE205" s="804">
        <f t="shared" ref="DE205" si="607">SUM(DE116:DE204)</f>
        <v>23950493.780000005</v>
      </c>
      <c r="DF205" s="804">
        <f t="shared" ref="DF205" si="608">SUM(DF116:DF204)</f>
        <v>25301755.310000006</v>
      </c>
      <c r="DG205" s="804">
        <f t="shared" ref="DG205" si="609">SUM(DG116:DG204)</f>
        <v>23818050.139999993</v>
      </c>
      <c r="DH205" s="804">
        <f t="shared" ref="DH205" si="610">SUM(DH116:DH204)</f>
        <v>22493545.499999996</v>
      </c>
      <c r="DI205" s="804">
        <f t="shared" ref="DI205" si="611">SUM(DI116:DI204)</f>
        <v>23437131.239999995</v>
      </c>
      <c r="DJ205" s="804">
        <f t="shared" ref="DJ205" si="612">SUM(DJ116:DJ204)</f>
        <v>19884881.299999997</v>
      </c>
      <c r="DK205" s="804">
        <f t="shared" ref="DK205:DO205" si="613">SUM(DK116:DK204)</f>
        <v>21651511.889999989</v>
      </c>
      <c r="DL205" s="804">
        <f t="shared" si="613"/>
        <v>21200264.442999996</v>
      </c>
      <c r="DM205" s="804">
        <f t="shared" si="613"/>
        <v>20739838.560000002</v>
      </c>
      <c r="DN205" s="804">
        <f t="shared" si="613"/>
        <v>19755939.34</v>
      </c>
      <c r="DO205" s="804">
        <f t="shared" si="613"/>
        <v>25729615.630000003</v>
      </c>
      <c r="DP205" s="330"/>
      <c r="DQ205" s="181" t="s">
        <v>92</v>
      </c>
      <c r="DR205" s="804">
        <f>SUM(DR116:DR204)</f>
        <v>8123073.0499999998</v>
      </c>
      <c r="DS205" s="804">
        <f t="shared" ref="DS205" si="614">SUM(DS116:DS204)</f>
        <v>9112174.1999999974</v>
      </c>
      <c r="DT205" s="804">
        <f t="shared" ref="DT205" si="615">SUM(DT116:DT204)</f>
        <v>8959529.2599999998</v>
      </c>
      <c r="DU205" s="804">
        <f t="shared" ref="DU205" si="616">SUM(DU116:DU204)</f>
        <v>9680764.8700000029</v>
      </c>
      <c r="DV205" s="804">
        <f t="shared" ref="DV205" si="617">SUM(DV116:DV204)</f>
        <v>10528321.790000003</v>
      </c>
      <c r="DW205" s="804">
        <f t="shared" ref="DW205" si="618">SUM(DW116:DW204)</f>
        <v>11194511.390000001</v>
      </c>
      <c r="DX205" s="804">
        <f t="shared" ref="DX205" si="619">SUM(DX116:DX204)</f>
        <v>11945674.460000001</v>
      </c>
      <c r="DY205" s="804">
        <f t="shared" ref="DY205" si="620">SUM(DY116:DY204)</f>
        <v>12793083.52</v>
      </c>
      <c r="DZ205" s="804">
        <f t="shared" ref="DZ205" si="621">SUM(DZ116:DZ204)</f>
        <v>13309355.239999993</v>
      </c>
      <c r="EA205" s="804">
        <f t="shared" ref="EA205" si="622">SUM(EA116:EA204)</f>
        <v>13417330.269999998</v>
      </c>
      <c r="EB205" s="804">
        <f t="shared" ref="EB205" si="623">SUM(EB116:EB204)</f>
        <v>13779233.710000003</v>
      </c>
      <c r="EC205" s="804">
        <f t="shared" ref="EC205" si="624">SUM(EC116:EC204)</f>
        <v>15305396.99</v>
      </c>
      <c r="ED205" s="804">
        <f t="shared" ref="ED205" si="625">SUM(ED116:ED204)</f>
        <v>15475870.84999999</v>
      </c>
      <c r="EE205" s="804">
        <f t="shared" ref="EE205" si="626">SUM(EE116:EE204)</f>
        <v>16734681.380000003</v>
      </c>
      <c r="EF205" s="804">
        <f t="shared" ref="EF205" si="627">SUM(EF116:EF204)</f>
        <v>14849712.889999999</v>
      </c>
      <c r="EG205" s="804">
        <f t="shared" ref="EG205" si="628">SUM(EG116:EG204)</f>
        <v>18005189.099999994</v>
      </c>
      <c r="EH205" s="804">
        <f t="shared" ref="EH205" si="629">SUM(EH116:EH204)</f>
        <v>13262149.100000005</v>
      </c>
      <c r="EI205" s="804">
        <f t="shared" ref="EI205:EM205" si="630">SUM(EI116:EI204)</f>
        <v>16924573.140000001</v>
      </c>
      <c r="EJ205" s="804">
        <f t="shared" si="630"/>
        <v>15224925.359999994</v>
      </c>
      <c r="EK205" s="804">
        <f t="shared" si="630"/>
        <v>13430096.410000006</v>
      </c>
      <c r="EL205" s="804">
        <f t="shared" si="630"/>
        <v>13773237.879999999</v>
      </c>
      <c r="EM205" s="804">
        <f t="shared" si="630"/>
        <v>16393943.140000001</v>
      </c>
      <c r="EN205" s="122"/>
      <c r="EP205" s="181" t="s">
        <v>92</v>
      </c>
      <c r="EQ205" s="804">
        <f t="shared" ref="EQ205:FG205" si="631">SUM(EP116:EP204)</f>
        <v>30002771.770000003</v>
      </c>
      <c r="ER205" s="804">
        <f t="shared" si="631"/>
        <v>33032399.960000012</v>
      </c>
      <c r="ES205" s="804">
        <f t="shared" si="631"/>
        <v>32717348.539999999</v>
      </c>
      <c r="ET205" s="804">
        <f t="shared" si="631"/>
        <v>34261178.620000005</v>
      </c>
      <c r="EU205" s="804">
        <f t="shared" si="631"/>
        <v>36935279.020000003</v>
      </c>
      <c r="EV205" s="804">
        <f t="shared" si="631"/>
        <v>38506860.240000002</v>
      </c>
      <c r="EW205" s="804">
        <f t="shared" si="631"/>
        <v>41020687.799999997</v>
      </c>
      <c r="EX205" s="804">
        <f t="shared" si="631"/>
        <v>41595284.730000027</v>
      </c>
      <c r="EY205" s="804">
        <f t="shared" si="631"/>
        <v>39488460.739999995</v>
      </c>
      <c r="EZ205" s="804">
        <f t="shared" si="631"/>
        <v>38902036.880000003</v>
      </c>
      <c r="FA205" s="804">
        <f t="shared" si="631"/>
        <v>38006949.950000003</v>
      </c>
      <c r="FB205" s="804">
        <f t="shared" si="631"/>
        <v>39029461.150000006</v>
      </c>
      <c r="FC205" s="804">
        <f t="shared" si="631"/>
        <v>40839690.800000012</v>
      </c>
      <c r="FD205" s="804">
        <f t="shared" si="631"/>
        <v>39812010.589999996</v>
      </c>
      <c r="FE205" s="804">
        <f t="shared" si="631"/>
        <v>31714951.680000003</v>
      </c>
      <c r="FF205" s="804">
        <f t="shared" si="631"/>
        <v>39422605.200000003</v>
      </c>
      <c r="FG205" s="804">
        <f t="shared" si="631"/>
        <v>30852624.499999996</v>
      </c>
      <c r="FH205" s="804">
        <f t="shared" ref="FH205:FK205" si="632">SUM(FG116:FG204)</f>
        <v>36872580.20000001</v>
      </c>
      <c r="FI205" s="804">
        <f t="shared" si="632"/>
        <v>33638150.270000003</v>
      </c>
      <c r="FJ205" s="804">
        <f t="shared" si="632"/>
        <v>29700534.32</v>
      </c>
      <c r="FK205" s="804">
        <f t="shared" si="632"/>
        <v>30903980.550000001</v>
      </c>
      <c r="FM205" s="181" t="s">
        <v>92</v>
      </c>
      <c r="FN205" s="804">
        <f>SUM(FN116:FN204)</f>
        <v>7568762.1100000041</v>
      </c>
      <c r="FO205" s="804">
        <f t="shared" ref="FO205" si="633">SUM(FO116:FO204)</f>
        <v>7554211.1799999997</v>
      </c>
      <c r="FP205" s="804">
        <f t="shared" ref="FP205" si="634">SUM(FP116:FP204)</f>
        <v>7674173.9699999979</v>
      </c>
      <c r="FQ205" s="804">
        <f t="shared" ref="FQ205" si="635">SUM(FQ116:FQ204)</f>
        <v>9114611.8400000017</v>
      </c>
      <c r="FR205" s="804">
        <f t="shared" ref="FR205" si="636">SUM(FR116:FR204)</f>
        <v>9469099.9199999981</v>
      </c>
      <c r="FS205" s="804">
        <f t="shared" ref="FS205" si="637">SUM(FS116:FS204)</f>
        <v>10103498.319999998</v>
      </c>
      <c r="FT205" s="804">
        <f t="shared" ref="FT205" si="638">SUM(FT116:FT204)</f>
        <v>10309811.609999999</v>
      </c>
      <c r="FU205" s="804">
        <f t="shared" ref="FU205" si="639">SUM(FU116:FU204)</f>
        <v>11037309.329999998</v>
      </c>
      <c r="FV205" s="804">
        <f t="shared" ref="FV205" si="640">SUM(FV116:FV204)</f>
        <v>11313475.080000004</v>
      </c>
      <c r="FW205" s="804">
        <f t="shared" ref="FW205" si="641">SUM(FW116:FW204)</f>
        <v>10959280.829999996</v>
      </c>
      <c r="FX205" s="804">
        <f t="shared" ref="FX205" si="642">SUM(FX116:FX204)</f>
        <v>10900147.35</v>
      </c>
      <c r="FY205" s="804">
        <f t="shared" ref="FY205" si="643">SUM(FY116:FY204)</f>
        <v>11763495.339999996</v>
      </c>
      <c r="FZ205" s="804">
        <f t="shared" ref="FZ205" si="644">SUM(FZ116:FZ204)</f>
        <v>12063436.869999999</v>
      </c>
      <c r="GA205" s="804">
        <f t="shared" ref="GA205" si="645">SUM(GA116:GA204)</f>
        <v>12224031.642999999</v>
      </c>
      <c r="GB205" s="804">
        <f t="shared" ref="GB205" si="646">SUM(GB116:GB204)</f>
        <v>10428717.240000002</v>
      </c>
      <c r="GC205" s="804">
        <f t="shared" ref="GC205" si="647">SUM(GC116:GC204)</f>
        <v>12786687.15</v>
      </c>
      <c r="GD205" s="804">
        <f t="shared" ref="GD205" si="648">SUM(GD116:GD204)</f>
        <v>10225525.520000001</v>
      </c>
      <c r="GE205" s="804">
        <f t="shared" ref="GE205:GI205" si="649">SUM(GE116:GE204)</f>
        <v>12311658.899999999</v>
      </c>
      <c r="GF205" s="804">
        <f t="shared" si="649"/>
        <v>11666655.100000001</v>
      </c>
      <c r="GG205" s="804">
        <f t="shared" si="649"/>
        <v>11212586.010000002</v>
      </c>
      <c r="GH205" s="804">
        <f t="shared" si="649"/>
        <v>11613955.310000001</v>
      </c>
      <c r="GI205" s="804">
        <f t="shared" si="649"/>
        <v>12531783.65</v>
      </c>
      <c r="GJ205" s="122"/>
      <c r="GK205" s="181" t="s">
        <v>92</v>
      </c>
      <c r="GL205" s="804">
        <f>SUM(GL116:GL204)</f>
        <v>5302415.24</v>
      </c>
      <c r="GM205" s="804">
        <f t="shared" ref="GM205" si="650">SUM(GM116:GM204)</f>
        <v>6566558.9000000004</v>
      </c>
      <c r="GN205" s="804">
        <f t="shared" ref="GN205" si="651">SUM(GN116:GN204)</f>
        <v>7578863.0099999979</v>
      </c>
      <c r="GO205" s="804">
        <f t="shared" ref="GO205" si="652">SUM(GO116:GO204)</f>
        <v>6323212.4400000004</v>
      </c>
      <c r="GP205" s="804">
        <f t="shared" ref="GP205" si="653">SUM(GP116:GP204)</f>
        <v>6191949.6700000009</v>
      </c>
      <c r="GQ205" s="804">
        <f t="shared" ref="GQ205" si="654">SUM(GQ116:GQ204)</f>
        <v>9551106.4199999981</v>
      </c>
      <c r="GR205" s="804">
        <f t="shared" ref="GR205" si="655">SUM(GR116:GR204)</f>
        <v>11997038.879999999</v>
      </c>
      <c r="GS205" s="804">
        <f t="shared" ref="GS205" si="656">SUM(GS116:GS204)</f>
        <v>12323551.890000001</v>
      </c>
      <c r="GT205" s="804">
        <f t="shared" ref="GT205" si="657">SUM(GT116:GT204)</f>
        <v>14451959.590000002</v>
      </c>
      <c r="GU205" s="804">
        <f t="shared" ref="GU205" si="658">SUM(GU116:GU204)</f>
        <v>15017198.989999996</v>
      </c>
      <c r="GV205" s="804">
        <f t="shared" ref="GV205" si="659">SUM(GV116:GV204)</f>
        <v>17376642.429999996</v>
      </c>
      <c r="GW205" s="804">
        <f t="shared" ref="GW205" si="660">SUM(GW116:GW204)</f>
        <v>17614895.18</v>
      </c>
      <c r="GX205" s="804">
        <f t="shared" ref="GX205" si="661">SUM(GX116:GX204)</f>
        <v>17706528.799999997</v>
      </c>
      <c r="GY205" s="804">
        <f t="shared" ref="GY205" si="662">SUM(GY116:GY204)</f>
        <v>19400803.030000001</v>
      </c>
      <c r="GZ205" s="804">
        <f t="shared" ref="GZ205" si="663">SUM(GZ116:GZ204)</f>
        <v>17824069.529999997</v>
      </c>
      <c r="HA205" s="804">
        <f t="shared" ref="HA205" si="664">SUM(HA116:HA204)</f>
        <v>17288692.720000003</v>
      </c>
      <c r="HB205" s="804">
        <f t="shared" ref="HB205" si="665">SUM(HB116:HB204)</f>
        <v>18752700.59</v>
      </c>
      <c r="HC205" s="804">
        <f t="shared" ref="HC205" si="666">SUM(HC116:HC204)</f>
        <v>15784246.810000002</v>
      </c>
      <c r="HH205" s="122"/>
      <c r="IF205" s="122"/>
      <c r="IG205" s="122"/>
      <c r="IH205" s="122"/>
      <c r="II205" s="122"/>
      <c r="IJ205" s="122"/>
      <c r="IK205" s="122"/>
      <c r="IL205" s="122"/>
      <c r="IN205" s="118"/>
      <c r="IP205" s="122"/>
      <c r="IQ205" s="122"/>
      <c r="IR205" s="122"/>
      <c r="IS205" s="122"/>
      <c r="IT205" s="122"/>
      <c r="IU205" s="122"/>
      <c r="IV205" s="122"/>
      <c r="IW205" s="122"/>
      <c r="IX205" s="122"/>
      <c r="IY205" s="122"/>
      <c r="IZ205" s="122"/>
      <c r="JA205" s="122"/>
      <c r="JB205" s="122"/>
      <c r="JC205" s="122"/>
      <c r="JD205" s="122"/>
      <c r="JE205" s="122"/>
      <c r="JF205" s="122"/>
      <c r="JG205" s="122"/>
      <c r="JH205" s="122"/>
      <c r="JI205" s="122"/>
      <c r="JK205" s="118"/>
      <c r="JL205" s="118"/>
      <c r="JY205" s="122"/>
      <c r="JZ205" s="122"/>
      <c r="KA205" s="122"/>
      <c r="KB205" s="122"/>
      <c r="LX205" s="122"/>
      <c r="LY205" s="122"/>
      <c r="LZ205" s="122"/>
      <c r="MB205" s="118"/>
      <c r="MC205" s="118"/>
      <c r="MP205" s="122"/>
      <c r="MQ205" s="122"/>
      <c r="MR205" s="122"/>
      <c r="MS205" s="122"/>
      <c r="MT205" s="122"/>
      <c r="MU205" s="122"/>
      <c r="MV205" s="122"/>
      <c r="OS205" s="118"/>
      <c r="OT205" s="118"/>
      <c r="PC205" s="122"/>
      <c r="PD205" s="122"/>
      <c r="PE205" s="122"/>
      <c r="PF205" s="122"/>
      <c r="PG205" s="122"/>
      <c r="PH205" s="122"/>
      <c r="PI205" s="122"/>
      <c r="PJ205" s="122"/>
      <c r="PP205" s="118"/>
      <c r="PQ205" s="118"/>
      <c r="PZ205" s="122"/>
      <c r="QA205" s="122"/>
      <c r="QB205" s="122"/>
      <c r="QC205" s="122"/>
      <c r="QD205" s="122"/>
      <c r="QE205" s="122"/>
      <c r="QF205" s="122"/>
      <c r="QG205" s="122"/>
      <c r="QM205" s="118"/>
      <c r="QN205" s="118"/>
      <c r="RE205" s="118"/>
      <c r="RF205" s="118"/>
      <c r="RG205" s="118"/>
      <c r="RH205" s="118"/>
      <c r="RI205" s="118"/>
      <c r="RJ205" s="118"/>
      <c r="RK205" s="118"/>
    </row>
    <row r="206" spans="25:479">
      <c r="Y206" s="181" t="s">
        <v>91</v>
      </c>
      <c r="Z206" s="804">
        <f>AVERAGE(Z116:Z204)</f>
        <v>365214.5303370785</v>
      </c>
      <c r="AA206" s="804">
        <f>AVERAGE(AA116:AA204)</f>
        <v>339553.45000000007</v>
      </c>
      <c r="AB206" s="804">
        <f t="shared" ref="AB206:AQ206" si="667">AVERAGE(AB116:AB204)</f>
        <v>370978.206741573</v>
      </c>
      <c r="AC206" s="804">
        <f t="shared" si="667"/>
        <v>393496.64910112345</v>
      </c>
      <c r="AD206" s="804">
        <f t="shared" si="667"/>
        <v>447778.57067415735</v>
      </c>
      <c r="AE206" s="804">
        <f t="shared" si="667"/>
        <v>421084.91516853939</v>
      </c>
      <c r="AF206" s="804">
        <f t="shared" si="667"/>
        <v>453820.49752809008</v>
      </c>
      <c r="AG206" s="804">
        <f t="shared" si="667"/>
        <v>453589.05449438194</v>
      </c>
      <c r="AH206" s="804">
        <f t="shared" si="667"/>
        <v>507462.0101560551</v>
      </c>
      <c r="AI206" s="804">
        <f t="shared" si="667"/>
        <v>478669.39142696618</v>
      </c>
      <c r="AJ206" s="804">
        <f t="shared" si="667"/>
        <v>505228.38574217982</v>
      </c>
      <c r="AK206" s="804">
        <f t="shared" si="667"/>
        <v>500536.54921348335</v>
      </c>
      <c r="AL206" s="804">
        <f t="shared" si="667"/>
        <v>535809.10134831478</v>
      </c>
      <c r="AM206" s="804">
        <f t="shared" si="667"/>
        <v>492273.58719101141</v>
      </c>
      <c r="AN206" s="804">
        <f t="shared" si="667"/>
        <v>476216.85700000008</v>
      </c>
      <c r="AO206" s="804">
        <f t="shared" si="667"/>
        <v>510125.93460674176</v>
      </c>
      <c r="AP206" s="804">
        <f t="shared" si="667"/>
        <v>455753.57461797755</v>
      </c>
      <c r="AQ206" s="804">
        <f t="shared" si="667"/>
        <v>494596.90910112346</v>
      </c>
      <c r="AR206" s="804">
        <f t="shared" ref="AR206:AU206" si="668">AVERAGE(AR116:AR204)</f>
        <v>501226.24667455052</v>
      </c>
      <c r="AS206" s="804">
        <f t="shared" si="668"/>
        <v>449900.6118988762</v>
      </c>
      <c r="AT206" s="804">
        <f t="shared" si="668"/>
        <v>517059.41280898877</v>
      </c>
      <c r="AU206" s="804">
        <f t="shared" si="668"/>
        <v>535399.68820224714</v>
      </c>
      <c r="AW206" s="181" t="s">
        <v>91</v>
      </c>
      <c r="AX206" s="804">
        <f>AVERAGE(AX116:AX204)</f>
        <v>118397.12775280896</v>
      </c>
      <c r="AY206" s="804">
        <f>AVERAGE(AY116:AY204)</f>
        <v>122249.06876404493</v>
      </c>
      <c r="AZ206" s="804">
        <f t="shared" ref="AZ206:BO206" si="669">AVERAGE(AZ116:AZ204)</f>
        <v>133060.46505617982</v>
      </c>
      <c r="BA206" s="804">
        <f t="shared" si="669"/>
        <v>117965.34382022473</v>
      </c>
      <c r="BB206" s="804">
        <f t="shared" si="669"/>
        <v>102678.58460674158</v>
      </c>
      <c r="BC206" s="804">
        <f t="shared" si="669"/>
        <v>101470.20449438204</v>
      </c>
      <c r="BD206" s="804">
        <f t="shared" si="669"/>
        <v>99594.122471910101</v>
      </c>
      <c r="BE206" s="804">
        <f t="shared" si="669"/>
        <v>94343.64269662922</v>
      </c>
      <c r="BF206" s="804">
        <f t="shared" si="669"/>
        <v>90016.380898876421</v>
      </c>
      <c r="BG206" s="804">
        <f t="shared" si="669"/>
        <v>93794.882573033756</v>
      </c>
      <c r="BH206" s="804">
        <f t="shared" si="669"/>
        <v>96410.191235955048</v>
      </c>
      <c r="BI206" s="804">
        <f t="shared" si="669"/>
        <v>92818.050516853909</v>
      </c>
      <c r="BJ206" s="804">
        <f t="shared" si="669"/>
        <v>95447.166067415717</v>
      </c>
      <c r="BK206" s="804">
        <f t="shared" si="669"/>
        <v>99328.205393258439</v>
      </c>
      <c r="BL206" s="804">
        <f t="shared" si="669"/>
        <v>87854.498181818213</v>
      </c>
      <c r="BM206" s="804">
        <f t="shared" si="669"/>
        <v>94986.935000000012</v>
      </c>
      <c r="BN206" s="804">
        <f t="shared" si="669"/>
        <v>79780.964090909096</v>
      </c>
      <c r="BO206" s="804">
        <f t="shared" si="669"/>
        <v>93377.797539325824</v>
      </c>
      <c r="BP206" s="804">
        <f t="shared" ref="BP206:BS206" si="670">AVERAGE(BP116:BP204)</f>
        <v>83097.298876404457</v>
      </c>
      <c r="BQ206" s="804">
        <f t="shared" si="670"/>
        <v>79459.207640449444</v>
      </c>
      <c r="BR206" s="804">
        <f t="shared" si="670"/>
        <v>77787.92494382021</v>
      </c>
      <c r="BS206" s="804">
        <f t="shared" si="670"/>
        <v>100554.31506235954</v>
      </c>
      <c r="BU206" s="181" t="s">
        <v>91</v>
      </c>
      <c r="BV206" s="804">
        <f>AVERAGE(BV116:BV204)</f>
        <v>21670.118202247195</v>
      </c>
      <c r="BW206" s="804">
        <f>AVERAGE(BW116:BW204)</f>
        <v>26942.074831460654</v>
      </c>
      <c r="BX206" s="804">
        <f t="shared" ref="BX206:CM206" si="671">AVERAGE(BX116:BX204)</f>
        <v>30260.100674157296</v>
      </c>
      <c r="BY206" s="804">
        <f t="shared" si="671"/>
        <v>32437.887078651682</v>
      </c>
      <c r="BZ206" s="804">
        <f t="shared" si="671"/>
        <v>39267.782471910105</v>
      </c>
      <c r="CA206" s="804">
        <f t="shared" si="671"/>
        <v>48859.12112359552</v>
      </c>
      <c r="CB206" s="804">
        <f t="shared" si="671"/>
        <v>49371.964831460697</v>
      </c>
      <c r="CC206" s="804">
        <f t="shared" si="671"/>
        <v>50646.856966292129</v>
      </c>
      <c r="CD206" s="804">
        <f t="shared" si="671"/>
        <v>52146.623146067403</v>
      </c>
      <c r="CE206" s="804">
        <f t="shared" si="671"/>
        <v>53305.855505617976</v>
      </c>
      <c r="CF206" s="804">
        <f t="shared" si="671"/>
        <v>53198.442696629209</v>
      </c>
      <c r="CG206" s="804">
        <f t="shared" si="671"/>
        <v>55280.502022471919</v>
      </c>
      <c r="CH206" s="804">
        <f t="shared" si="671"/>
        <v>57132.573483146087</v>
      </c>
      <c r="CI206" s="804">
        <f t="shared" si="671"/>
        <v>58399.090786516834</v>
      </c>
      <c r="CJ206" s="804">
        <f t="shared" si="671"/>
        <v>51407.966067415728</v>
      </c>
      <c r="CK206" s="804">
        <f t="shared" si="671"/>
        <v>59909.892247191005</v>
      </c>
      <c r="CL206" s="804">
        <f t="shared" si="671"/>
        <v>49144.553820224719</v>
      </c>
      <c r="CM206" s="804">
        <f t="shared" si="671"/>
        <v>58992.933483146066</v>
      </c>
      <c r="CN206" s="804">
        <f t="shared" ref="CN206:CQ206" si="672">AVERAGE(CN116:CN204)</f>
        <v>54555.099438202262</v>
      </c>
      <c r="CO206" s="804">
        <f t="shared" si="672"/>
        <v>53572.272471910124</v>
      </c>
      <c r="CP206" s="804">
        <f t="shared" si="672"/>
        <v>54629.848764044953</v>
      </c>
      <c r="CQ206" s="804">
        <f t="shared" si="672"/>
        <v>61427.691797752799</v>
      </c>
      <c r="CS206" s="181" t="s">
        <v>91</v>
      </c>
      <c r="CT206" s="804">
        <f>AVERAGE(CT116:CT204)</f>
        <v>177060.58134831462</v>
      </c>
      <c r="CU206" s="804">
        <f>AVERAGE(CU116:CU204)</f>
        <v>185786.05876404492</v>
      </c>
      <c r="CV206" s="804">
        <f t="shared" ref="CV206:DK206" si="673">AVERAGE(CV116:CV204)</f>
        <v>208787.33112359553</v>
      </c>
      <c r="CW206" s="804">
        <f t="shared" si="673"/>
        <v>214686.65067415731</v>
      </c>
      <c r="CX206" s="804">
        <f t="shared" si="673"/>
        <v>217615.10269662918</v>
      </c>
      <c r="CY206" s="804">
        <f t="shared" si="673"/>
        <v>236060.68764044938</v>
      </c>
      <c r="CZ206" s="804">
        <f t="shared" si="673"/>
        <v>239591.73494382031</v>
      </c>
      <c r="DA206" s="804">
        <f t="shared" si="673"/>
        <v>272534.93078651687</v>
      </c>
      <c r="DB206" s="804">
        <f t="shared" si="673"/>
        <v>257577.34348314616</v>
      </c>
      <c r="DC206" s="804">
        <f t="shared" si="673"/>
        <v>258536.94584269662</v>
      </c>
      <c r="DD206" s="804">
        <f t="shared" si="673"/>
        <v>245851.79952808996</v>
      </c>
      <c r="DE206" s="804">
        <f t="shared" si="673"/>
        <v>269106.67168539332</v>
      </c>
      <c r="DF206" s="804">
        <f t="shared" si="673"/>
        <v>284289.38550561806</v>
      </c>
      <c r="DG206" s="804">
        <f t="shared" si="673"/>
        <v>267618.54089887632</v>
      </c>
      <c r="DH206" s="804">
        <f t="shared" si="673"/>
        <v>252736.46629213478</v>
      </c>
      <c r="DI206" s="804">
        <f t="shared" si="673"/>
        <v>263338.55325842689</v>
      </c>
      <c r="DJ206" s="804">
        <f t="shared" si="673"/>
        <v>223425.63258426962</v>
      </c>
      <c r="DK206" s="804">
        <f t="shared" si="673"/>
        <v>243275.4144943819</v>
      </c>
      <c r="DL206" s="804">
        <f t="shared" ref="DL206:DO206" si="674">AVERAGE(DL116:DL204)</f>
        <v>238205.21846067411</v>
      </c>
      <c r="DM206" s="804">
        <f t="shared" si="674"/>
        <v>233031.89393258429</v>
      </c>
      <c r="DN206" s="804">
        <f t="shared" si="674"/>
        <v>221976.84651685393</v>
      </c>
      <c r="DO206" s="804">
        <f t="shared" si="674"/>
        <v>289096.8048314607</v>
      </c>
      <c r="DP206" s="330"/>
      <c r="DQ206" s="181" t="s">
        <v>91</v>
      </c>
      <c r="DR206" s="804">
        <f>AVERAGE(DR116:DR204)</f>
        <v>91270.483707865162</v>
      </c>
      <c r="DS206" s="804">
        <f>AVERAGE(DS116:DS204)</f>
        <v>102383.97977528087</v>
      </c>
      <c r="DT206" s="804">
        <f t="shared" ref="DT206:EI206" si="675">AVERAGE(DT116:DT204)</f>
        <v>100668.86808988763</v>
      </c>
      <c r="DU206" s="804">
        <f t="shared" si="675"/>
        <v>108772.63898876408</v>
      </c>
      <c r="DV206" s="804">
        <f t="shared" si="675"/>
        <v>118295.75044943823</v>
      </c>
      <c r="DW206" s="804">
        <f t="shared" si="675"/>
        <v>125781.02685393259</v>
      </c>
      <c r="DX206" s="804">
        <f t="shared" si="675"/>
        <v>134221.06134831463</v>
      </c>
      <c r="DY206" s="804">
        <f t="shared" si="675"/>
        <v>143742.51146067414</v>
      </c>
      <c r="DZ206" s="804">
        <f t="shared" si="675"/>
        <v>149543.31730337071</v>
      </c>
      <c r="EA206" s="804">
        <f t="shared" si="675"/>
        <v>150756.51988764043</v>
      </c>
      <c r="EB206" s="804">
        <f t="shared" si="675"/>
        <v>154822.85067415732</v>
      </c>
      <c r="EC206" s="804">
        <f t="shared" si="675"/>
        <v>171970.75269662921</v>
      </c>
      <c r="ED206" s="804">
        <f t="shared" si="675"/>
        <v>173886.1893258426</v>
      </c>
      <c r="EE206" s="804">
        <f t="shared" si="675"/>
        <v>188030.12786516856</v>
      </c>
      <c r="EF206" s="804">
        <f t="shared" si="675"/>
        <v>166850.70662921347</v>
      </c>
      <c r="EG206" s="804">
        <f t="shared" si="675"/>
        <v>202305.4955056179</v>
      </c>
      <c r="EH206" s="804">
        <f t="shared" si="675"/>
        <v>149012.91123595511</v>
      </c>
      <c r="EI206" s="804">
        <f t="shared" si="675"/>
        <v>190163.74314606743</v>
      </c>
      <c r="EJ206" s="804">
        <f t="shared" ref="EJ206:EM206" si="676">AVERAGE(EJ116:EJ204)</f>
        <v>171066.57707865161</v>
      </c>
      <c r="EK206" s="804">
        <f t="shared" si="676"/>
        <v>150899.95966292141</v>
      </c>
      <c r="EL206" s="804">
        <f t="shared" si="676"/>
        <v>154755.48179775279</v>
      </c>
      <c r="EM206" s="804">
        <f t="shared" si="676"/>
        <v>184201.60831460674</v>
      </c>
      <c r="EP206" s="181" t="s">
        <v>91</v>
      </c>
      <c r="EQ206" s="804">
        <f t="shared" ref="EQ206:FG206" si="677">AVERAGE(EP116:EP204)</f>
        <v>337109.79516853933</v>
      </c>
      <c r="ER206" s="804">
        <f t="shared" si="677"/>
        <v>371150.56134831475</v>
      </c>
      <c r="ES206" s="804">
        <f t="shared" si="677"/>
        <v>367610.657752809</v>
      </c>
      <c r="ET206" s="804">
        <f t="shared" si="677"/>
        <v>384957.06314606749</v>
      </c>
      <c r="EU206" s="804">
        <f t="shared" si="677"/>
        <v>415003.13505617983</v>
      </c>
      <c r="EV206" s="804">
        <f t="shared" si="677"/>
        <v>432661.35101123597</v>
      </c>
      <c r="EW206" s="804">
        <f t="shared" si="677"/>
        <v>460906.60449438199</v>
      </c>
      <c r="EX206" s="804">
        <f t="shared" si="677"/>
        <v>467362.74977528118</v>
      </c>
      <c r="EY206" s="804">
        <f t="shared" si="677"/>
        <v>443690.57011235948</v>
      </c>
      <c r="EZ206" s="804">
        <f t="shared" si="677"/>
        <v>437101.53797752812</v>
      </c>
      <c r="FA206" s="804">
        <f t="shared" si="677"/>
        <v>427044.38146067417</v>
      </c>
      <c r="FB206" s="804">
        <f t="shared" si="677"/>
        <v>438533.27134831465</v>
      </c>
      <c r="FC206" s="804">
        <f t="shared" si="677"/>
        <v>458872.93033707881</v>
      </c>
      <c r="FD206" s="804">
        <f t="shared" si="677"/>
        <v>447325.96168539324</v>
      </c>
      <c r="FE206" s="804">
        <f t="shared" si="677"/>
        <v>356347.77168539329</v>
      </c>
      <c r="FF206" s="804">
        <f t="shared" si="677"/>
        <v>442950.62022471911</v>
      </c>
      <c r="FG206" s="804">
        <f t="shared" si="677"/>
        <v>346658.70224719099</v>
      </c>
      <c r="FH206" s="804">
        <f t="shared" ref="FH206:FK206" si="678">AVERAGE(FG116:FG204)</f>
        <v>414298.65393258439</v>
      </c>
      <c r="FI206" s="804">
        <f t="shared" si="678"/>
        <v>377956.74460674159</v>
      </c>
      <c r="FJ206" s="804">
        <f t="shared" si="678"/>
        <v>333713.86876404495</v>
      </c>
      <c r="FK206" s="804">
        <f t="shared" si="678"/>
        <v>347235.73651685397</v>
      </c>
      <c r="FM206" s="181" t="s">
        <v>91</v>
      </c>
      <c r="FN206" s="804">
        <f>AVERAGE(FN116:FN204)</f>
        <v>85042.27089887645</v>
      </c>
      <c r="FO206" s="804">
        <f>AVERAGE(FO116:FO204)</f>
        <v>84878.777303370778</v>
      </c>
      <c r="FP206" s="804">
        <f t="shared" ref="FP206:GE206" si="679">AVERAGE(FP116:FP204)</f>
        <v>86226.673820224692</v>
      </c>
      <c r="FQ206" s="804">
        <f t="shared" si="679"/>
        <v>102411.36898876406</v>
      </c>
      <c r="FR206" s="804">
        <f t="shared" si="679"/>
        <v>106394.38112359548</v>
      </c>
      <c r="FS206" s="804">
        <f t="shared" si="679"/>
        <v>113522.45303370785</v>
      </c>
      <c r="FT206" s="804">
        <f t="shared" si="679"/>
        <v>115840.57988764044</v>
      </c>
      <c r="FU206" s="804">
        <f t="shared" si="679"/>
        <v>124014.71157303368</v>
      </c>
      <c r="FV206" s="804">
        <f t="shared" si="679"/>
        <v>127117.69752808994</v>
      </c>
      <c r="FW206" s="804">
        <f t="shared" si="679"/>
        <v>123137.98685393254</v>
      </c>
      <c r="FX206" s="804">
        <f t="shared" si="679"/>
        <v>122473.56573033707</v>
      </c>
      <c r="FY206" s="804">
        <f t="shared" si="679"/>
        <v>132174.10494382019</v>
      </c>
      <c r="FZ206" s="804">
        <f t="shared" si="679"/>
        <v>135544.23449438202</v>
      </c>
      <c r="GA206" s="804">
        <f t="shared" si="679"/>
        <v>137348.67014606739</v>
      </c>
      <c r="GB206" s="804">
        <f t="shared" si="679"/>
        <v>117176.59820224722</v>
      </c>
      <c r="GC206" s="804">
        <f t="shared" si="679"/>
        <v>143670.64213483146</v>
      </c>
      <c r="GD206" s="804">
        <f t="shared" si="679"/>
        <v>114893.54516853933</v>
      </c>
      <c r="GE206" s="804">
        <f t="shared" si="679"/>
        <v>138333.24606741572</v>
      </c>
      <c r="GF206" s="804">
        <f t="shared" ref="GF206:GI206" si="680">AVERAGE(GF116:GF204)</f>
        <v>131086.01235955057</v>
      </c>
      <c r="GG206" s="804">
        <f t="shared" si="680"/>
        <v>125984.11247191014</v>
      </c>
      <c r="GH206" s="804">
        <f t="shared" si="680"/>
        <v>130493.87988764046</v>
      </c>
      <c r="GI206" s="804">
        <f t="shared" si="680"/>
        <v>140806.55786516855</v>
      </c>
      <c r="GJ206" s="122"/>
      <c r="GK206" s="181" t="s">
        <v>91</v>
      </c>
      <c r="GL206" s="804">
        <f>AVERAGE(GL116:GL204)</f>
        <v>59577.699325842696</v>
      </c>
      <c r="GM206" s="804">
        <f>AVERAGE(GM116:GM204)</f>
        <v>73781.560674157314</v>
      </c>
      <c r="GN206" s="804">
        <f t="shared" ref="GN206:HC206" si="681">AVERAGE(GN116:GN204)</f>
        <v>85155.764157303347</v>
      </c>
      <c r="GO206" s="804">
        <f t="shared" si="681"/>
        <v>71047.330786516861</v>
      </c>
      <c r="GP206" s="804">
        <f t="shared" si="681"/>
        <v>69572.468202247197</v>
      </c>
      <c r="GQ206" s="804">
        <f t="shared" si="681"/>
        <v>107315.80247191009</v>
      </c>
      <c r="GR206" s="804">
        <f t="shared" si="681"/>
        <v>134798.18966292133</v>
      </c>
      <c r="GS206" s="804">
        <f t="shared" si="681"/>
        <v>138466.87516853932</v>
      </c>
      <c r="GT206" s="804">
        <f t="shared" si="681"/>
        <v>162381.56842696632</v>
      </c>
      <c r="GU206" s="804">
        <f t="shared" si="681"/>
        <v>168732.57292134827</v>
      </c>
      <c r="GV206" s="804">
        <f t="shared" si="681"/>
        <v>195243.17337078648</v>
      </c>
      <c r="GW206" s="804">
        <f t="shared" si="681"/>
        <v>197920.17056179774</v>
      </c>
      <c r="GX206" s="804">
        <f t="shared" si="681"/>
        <v>198949.76179775278</v>
      </c>
      <c r="GY206" s="804">
        <f t="shared" si="681"/>
        <v>217986.55089887642</v>
      </c>
      <c r="GZ206" s="804">
        <f t="shared" si="681"/>
        <v>200270.44415730334</v>
      </c>
      <c r="HA206" s="804">
        <f t="shared" si="681"/>
        <v>194254.97438202251</v>
      </c>
      <c r="HB206" s="804">
        <f t="shared" si="681"/>
        <v>210704.50101123596</v>
      </c>
      <c r="HC206" s="804">
        <f t="shared" si="681"/>
        <v>177351.08775280902</v>
      </c>
      <c r="HH206" s="122"/>
      <c r="IF206" s="122"/>
      <c r="IG206" s="122"/>
      <c r="IH206" s="122"/>
      <c r="II206" s="122"/>
      <c r="IJ206" s="122"/>
      <c r="IK206" s="122"/>
      <c r="IL206" s="122"/>
      <c r="IN206" s="118"/>
      <c r="IP206" s="122"/>
      <c r="IQ206" s="122"/>
      <c r="IR206" s="122"/>
      <c r="IS206" s="122"/>
      <c r="IT206" s="122"/>
      <c r="IU206" s="122"/>
      <c r="IV206" s="122"/>
      <c r="IW206" s="122"/>
      <c r="IX206" s="122"/>
      <c r="IY206" s="122"/>
      <c r="IZ206" s="122"/>
      <c r="JA206" s="122"/>
      <c r="JB206" s="122"/>
      <c r="JC206" s="122"/>
      <c r="JD206" s="122"/>
      <c r="JE206" s="122"/>
      <c r="JF206" s="122"/>
      <c r="JG206" s="122"/>
      <c r="JH206" s="122"/>
      <c r="JI206" s="122"/>
      <c r="JK206" s="118"/>
      <c r="JL206" s="118"/>
      <c r="JY206" s="122"/>
      <c r="JZ206" s="122"/>
      <c r="KA206" s="122"/>
      <c r="KB206" s="122"/>
      <c r="LX206" s="122"/>
      <c r="LY206" s="122"/>
      <c r="LZ206" s="122"/>
      <c r="MB206" s="118"/>
      <c r="MC206" s="118"/>
      <c r="MP206" s="122"/>
      <c r="MQ206" s="122"/>
      <c r="MR206" s="122"/>
      <c r="MS206" s="122"/>
      <c r="MT206" s="122"/>
      <c r="MU206" s="122"/>
      <c r="MV206" s="122"/>
      <c r="OS206" s="118"/>
      <c r="OT206" s="118"/>
      <c r="PC206" s="122"/>
      <c r="PD206" s="122"/>
      <c r="PE206" s="122"/>
      <c r="PF206" s="122"/>
      <c r="PG206" s="122"/>
      <c r="PH206" s="122"/>
      <c r="PI206" s="122"/>
      <c r="PJ206" s="122"/>
      <c r="PP206" s="118"/>
      <c r="PQ206" s="118"/>
      <c r="PZ206" s="122"/>
      <c r="QA206" s="122"/>
      <c r="QB206" s="122"/>
      <c r="QC206" s="122"/>
      <c r="QD206" s="122"/>
      <c r="QE206" s="122"/>
      <c r="QF206" s="122"/>
      <c r="QG206" s="122"/>
      <c r="QM206" s="118"/>
      <c r="QN206" s="118"/>
      <c r="RE206" s="118"/>
      <c r="RF206" s="118"/>
      <c r="RG206" s="118"/>
      <c r="RH206" s="118"/>
      <c r="RI206" s="118"/>
      <c r="RJ206" s="118"/>
      <c r="RK206" s="118"/>
    </row>
    <row r="207" spans="25:479">
      <c r="BH207" s="330"/>
      <c r="CB207" s="330"/>
      <c r="CV207" s="330"/>
      <c r="DP207" s="330"/>
      <c r="FD207" s="276"/>
      <c r="FS207" s="122"/>
      <c r="FT207" s="122"/>
      <c r="FU207" s="122"/>
      <c r="FW207" s="118"/>
      <c r="FX207" s="118"/>
      <c r="GB207" s="122"/>
      <c r="GC207" s="122"/>
      <c r="GD207" s="122"/>
      <c r="GE207" s="122"/>
      <c r="GF207" s="122"/>
      <c r="GG207" s="122"/>
      <c r="GH207" s="122"/>
      <c r="GI207" s="122"/>
      <c r="GJ207" s="122"/>
      <c r="GK207" s="122"/>
      <c r="GL207" s="122"/>
      <c r="GM207" s="122"/>
      <c r="GN207" s="122"/>
      <c r="GO207" s="122"/>
      <c r="GP207" s="122"/>
      <c r="GQ207" s="122"/>
      <c r="GR207" s="122"/>
      <c r="GT207" s="118"/>
      <c r="GV207" s="122"/>
      <c r="GW207" s="122"/>
      <c r="GX207" s="122"/>
      <c r="GY207" s="122"/>
      <c r="GZ207" s="122"/>
      <c r="HA207" s="122"/>
      <c r="HB207" s="122"/>
      <c r="HC207" s="122"/>
      <c r="HD207" s="122"/>
      <c r="HE207" s="122"/>
      <c r="HF207" s="122"/>
      <c r="HG207" s="122"/>
      <c r="HH207" s="122"/>
      <c r="IF207" s="122"/>
      <c r="IG207" s="122"/>
      <c r="IH207" s="122"/>
      <c r="II207" s="122"/>
      <c r="IJ207" s="122"/>
      <c r="IK207" s="122"/>
      <c r="IL207" s="122"/>
      <c r="IN207" s="118"/>
      <c r="IP207" s="122"/>
      <c r="IQ207" s="122"/>
      <c r="IR207" s="122"/>
      <c r="IS207" s="122"/>
      <c r="IT207" s="122"/>
      <c r="IU207" s="122"/>
      <c r="IV207" s="122"/>
      <c r="IW207" s="122"/>
      <c r="IX207" s="122"/>
      <c r="IY207" s="122"/>
      <c r="IZ207" s="122"/>
      <c r="JA207" s="122"/>
      <c r="JB207" s="122"/>
      <c r="JC207" s="122"/>
      <c r="JD207" s="122"/>
      <c r="JE207" s="122"/>
      <c r="JF207" s="122"/>
      <c r="JG207" s="122"/>
      <c r="JH207" s="122"/>
      <c r="JI207" s="122"/>
      <c r="JK207" s="118"/>
      <c r="JL207" s="118"/>
      <c r="JY207" s="122"/>
      <c r="JZ207" s="122"/>
      <c r="KA207" s="122"/>
      <c r="KB207" s="122"/>
      <c r="LX207" s="122"/>
      <c r="LY207" s="122"/>
      <c r="LZ207" s="122"/>
      <c r="MB207" s="118"/>
      <c r="MC207" s="118"/>
      <c r="MP207" s="122"/>
      <c r="MQ207" s="122"/>
      <c r="MR207" s="122"/>
      <c r="MS207" s="122"/>
      <c r="MT207" s="122"/>
      <c r="MU207" s="122"/>
      <c r="MV207" s="122"/>
      <c r="OS207" s="118"/>
      <c r="OT207" s="118"/>
      <c r="PC207" s="122"/>
      <c r="PD207" s="122"/>
      <c r="PE207" s="122"/>
      <c r="PF207" s="122"/>
      <c r="PG207" s="122"/>
      <c r="PH207" s="122"/>
      <c r="PI207" s="122"/>
      <c r="PJ207" s="122"/>
      <c r="PP207" s="118"/>
      <c r="PQ207" s="118"/>
      <c r="PZ207" s="122"/>
      <c r="QA207" s="122"/>
      <c r="QB207" s="122"/>
      <c r="QC207" s="122"/>
      <c r="QD207" s="122"/>
      <c r="QE207" s="122"/>
      <c r="QF207" s="122"/>
      <c r="QG207" s="122"/>
      <c r="QM207" s="118"/>
      <c r="QN207" s="118"/>
      <c r="RE207" s="118"/>
      <c r="RF207" s="118"/>
      <c r="RG207" s="118"/>
      <c r="RH207" s="118"/>
      <c r="RI207" s="118"/>
      <c r="RJ207" s="118"/>
      <c r="RK207" s="118"/>
    </row>
    <row r="208" spans="25:479">
      <c r="BH208" s="330"/>
      <c r="CB208" s="330"/>
      <c r="CV208" s="330"/>
      <c r="DP208" s="330"/>
      <c r="FD208" s="276"/>
      <c r="FS208" s="122"/>
      <c r="FT208" s="122"/>
      <c r="FU208" s="122"/>
      <c r="FW208" s="118"/>
      <c r="FX208" s="118"/>
      <c r="GB208" s="122"/>
      <c r="GC208" s="122"/>
      <c r="GD208" s="122"/>
      <c r="GE208" s="122"/>
      <c r="GF208" s="122"/>
      <c r="GG208" s="122"/>
      <c r="GH208" s="122"/>
      <c r="GI208" s="122"/>
      <c r="GJ208" s="122"/>
      <c r="GK208" s="122"/>
      <c r="GL208" s="122"/>
      <c r="GM208" s="122"/>
      <c r="GN208" s="122"/>
      <c r="GO208" s="122"/>
      <c r="GP208" s="122"/>
      <c r="GQ208" s="122"/>
      <c r="GR208" s="122"/>
      <c r="GT208" s="118"/>
      <c r="GV208" s="122"/>
      <c r="GW208" s="122"/>
      <c r="GX208" s="122"/>
      <c r="GY208" s="122"/>
      <c r="GZ208" s="122"/>
      <c r="HA208" s="122"/>
      <c r="HB208" s="122"/>
      <c r="HC208" s="122"/>
      <c r="HD208" s="122"/>
      <c r="HE208" s="122"/>
      <c r="HF208" s="122"/>
      <c r="HG208" s="122"/>
      <c r="HH208" s="122"/>
      <c r="IF208" s="122"/>
      <c r="IG208" s="122"/>
      <c r="IH208" s="122"/>
      <c r="II208" s="122"/>
      <c r="IJ208" s="122"/>
      <c r="IK208" s="122"/>
      <c r="IL208" s="122"/>
      <c r="IN208" s="118"/>
      <c r="IP208" s="122"/>
      <c r="IQ208" s="122"/>
      <c r="IR208" s="122"/>
      <c r="IS208" s="122"/>
      <c r="IT208" s="122"/>
      <c r="IU208" s="122"/>
      <c r="IV208" s="122"/>
      <c r="IW208" s="122"/>
      <c r="IX208" s="122"/>
      <c r="IY208" s="122"/>
      <c r="IZ208" s="122"/>
      <c r="JA208" s="122"/>
      <c r="JB208" s="122"/>
      <c r="JC208" s="122"/>
      <c r="JD208" s="122"/>
      <c r="JE208" s="122"/>
      <c r="JF208" s="122"/>
      <c r="JG208" s="122"/>
      <c r="JH208" s="122"/>
      <c r="JI208" s="122"/>
      <c r="JK208" s="118"/>
      <c r="JL208" s="118"/>
      <c r="JY208" s="122"/>
      <c r="JZ208" s="122"/>
      <c r="KA208" s="122"/>
      <c r="KB208" s="122"/>
      <c r="LX208" s="122"/>
      <c r="LY208" s="122"/>
      <c r="LZ208" s="122"/>
      <c r="MB208" s="118"/>
      <c r="MC208" s="118"/>
      <c r="MP208" s="122"/>
      <c r="MQ208" s="122"/>
      <c r="MR208" s="122"/>
      <c r="MS208" s="122"/>
      <c r="MT208" s="122"/>
      <c r="MU208" s="122"/>
      <c r="MV208" s="122"/>
      <c r="OS208" s="118"/>
      <c r="OT208" s="118"/>
      <c r="PC208" s="122"/>
      <c r="PD208" s="122"/>
      <c r="PE208" s="122"/>
      <c r="PF208" s="122"/>
      <c r="PG208" s="122"/>
      <c r="PH208" s="122"/>
      <c r="PI208" s="122"/>
      <c r="PJ208" s="122"/>
      <c r="PP208" s="118"/>
      <c r="PQ208" s="118"/>
      <c r="PZ208" s="122"/>
      <c r="QA208" s="122"/>
      <c r="QB208" s="122"/>
      <c r="QC208" s="122"/>
      <c r="QD208" s="122"/>
      <c r="QE208" s="122"/>
      <c r="QF208" s="122"/>
      <c r="QG208" s="122"/>
      <c r="QM208" s="118"/>
      <c r="QN208" s="118"/>
      <c r="RE208" s="118"/>
      <c r="RF208" s="118"/>
      <c r="RG208" s="118"/>
      <c r="RH208" s="118"/>
      <c r="RI208" s="118"/>
      <c r="RJ208" s="118"/>
      <c r="RK208" s="118"/>
    </row>
    <row r="209" spans="10:479">
      <c r="BH209" s="330"/>
      <c r="CB209" s="330"/>
      <c r="CV209" s="330"/>
      <c r="DP209" s="330"/>
      <c r="FD209" s="276"/>
      <c r="FS209" s="122"/>
      <c r="FT209" s="122"/>
      <c r="FU209" s="122"/>
      <c r="FW209" s="118"/>
      <c r="FX209" s="118"/>
      <c r="GB209" s="122"/>
      <c r="GC209" s="122"/>
      <c r="GD209" s="122"/>
      <c r="GE209" s="122"/>
      <c r="GF209" s="122"/>
      <c r="GG209" s="122"/>
      <c r="GH209" s="122"/>
      <c r="GI209" s="122"/>
      <c r="GJ209" s="122"/>
      <c r="GK209" s="122"/>
      <c r="GL209" s="122"/>
      <c r="GM209" s="122"/>
      <c r="GN209" s="122"/>
      <c r="GO209" s="122"/>
      <c r="GP209" s="122"/>
      <c r="GQ209" s="122"/>
      <c r="GR209" s="122"/>
      <c r="GT209" s="118"/>
      <c r="GV209" s="122"/>
      <c r="GW209" s="122"/>
      <c r="GX209" s="122"/>
      <c r="GY209" s="122"/>
      <c r="GZ209" s="122"/>
      <c r="HA209" s="122"/>
      <c r="HB209" s="122"/>
      <c r="HC209" s="122"/>
      <c r="HD209" s="122"/>
      <c r="HE209" s="122"/>
      <c r="HF209" s="122"/>
      <c r="HG209" s="122"/>
      <c r="HH209" s="122"/>
      <c r="IF209" s="122"/>
      <c r="IG209" s="122"/>
      <c r="IH209" s="122"/>
      <c r="II209" s="122"/>
      <c r="IJ209" s="122"/>
      <c r="IK209" s="122"/>
      <c r="IL209" s="122"/>
      <c r="IN209" s="118"/>
      <c r="IP209" s="122"/>
      <c r="IQ209" s="122"/>
      <c r="IR209" s="122"/>
      <c r="IS209" s="122"/>
      <c r="IT209" s="122"/>
      <c r="IU209" s="122"/>
      <c r="IV209" s="122"/>
      <c r="IW209" s="122"/>
      <c r="IX209" s="122"/>
      <c r="IY209" s="122"/>
      <c r="IZ209" s="122"/>
      <c r="JA209" s="122"/>
      <c r="JB209" s="122"/>
      <c r="JC209" s="122"/>
      <c r="JD209" s="122"/>
      <c r="JE209" s="122"/>
      <c r="JF209" s="122"/>
      <c r="JG209" s="122"/>
      <c r="JH209" s="122"/>
      <c r="JI209" s="122"/>
      <c r="JK209" s="118"/>
      <c r="JL209" s="118"/>
      <c r="JY209" s="122"/>
      <c r="JZ209" s="122"/>
      <c r="KA209" s="122"/>
      <c r="KB209" s="122"/>
      <c r="LX209" s="122"/>
      <c r="LY209" s="122"/>
      <c r="LZ209" s="122"/>
      <c r="MB209" s="118"/>
      <c r="MC209" s="118"/>
      <c r="MP209" s="122"/>
      <c r="MQ209" s="122"/>
      <c r="MR209" s="122"/>
      <c r="MS209" s="122"/>
      <c r="MT209" s="122"/>
      <c r="MU209" s="122"/>
      <c r="MV209" s="122"/>
      <c r="OS209" s="118"/>
      <c r="OT209" s="118"/>
      <c r="PC209" s="122"/>
      <c r="PD209" s="122"/>
      <c r="PE209" s="122"/>
      <c r="PF209" s="122"/>
      <c r="PG209" s="122"/>
      <c r="PH209" s="122"/>
      <c r="PI209" s="122"/>
      <c r="PJ209" s="122"/>
      <c r="PP209" s="118"/>
      <c r="PQ209" s="118"/>
      <c r="PZ209" s="122"/>
      <c r="QA209" s="122"/>
      <c r="QB209" s="122"/>
      <c r="QC209" s="122"/>
      <c r="QD209" s="122"/>
      <c r="QE209" s="122"/>
      <c r="QF209" s="122"/>
      <c r="QG209" s="122"/>
      <c r="QM209" s="118"/>
      <c r="QN209" s="118"/>
      <c r="RE209" s="118"/>
      <c r="RF209" s="118"/>
      <c r="RG209" s="118"/>
      <c r="RH209" s="118"/>
      <c r="RI209" s="118"/>
      <c r="RJ209" s="118"/>
      <c r="RK209" s="118"/>
    </row>
    <row r="210" spans="10:479">
      <c r="BH210" s="330"/>
      <c r="CB210" s="330"/>
      <c r="CV210" s="330"/>
      <c r="DP210" s="330"/>
      <c r="FD210" s="276"/>
      <c r="FS210" s="122"/>
      <c r="FT210" s="122"/>
      <c r="FU210" s="122"/>
      <c r="FW210" s="118"/>
      <c r="FX210" s="118"/>
      <c r="GB210" s="122"/>
      <c r="GC210" s="122"/>
      <c r="GD210" s="122"/>
      <c r="GE210" s="122"/>
      <c r="GF210" s="122"/>
      <c r="GG210" s="122"/>
      <c r="GH210" s="122"/>
      <c r="GI210" s="122"/>
      <c r="GJ210" s="122"/>
      <c r="GK210" s="122"/>
      <c r="GL210" s="122"/>
      <c r="GM210" s="122"/>
      <c r="GN210" s="122"/>
      <c r="GO210" s="122"/>
      <c r="GP210" s="122"/>
      <c r="GQ210" s="122"/>
      <c r="GR210" s="122"/>
      <c r="GT210" s="118"/>
      <c r="GV210" s="122"/>
      <c r="GW210" s="122"/>
      <c r="GX210" s="122"/>
      <c r="GY210" s="122"/>
      <c r="GZ210" s="122"/>
      <c r="HA210" s="122"/>
      <c r="HB210" s="122"/>
      <c r="HC210" s="122"/>
      <c r="HD210" s="122"/>
      <c r="HE210" s="122"/>
      <c r="HF210" s="122"/>
      <c r="HG210" s="122"/>
      <c r="HH210" s="122"/>
      <c r="IF210" s="122"/>
      <c r="IG210" s="122"/>
      <c r="IH210" s="122"/>
      <c r="II210" s="122"/>
      <c r="IJ210" s="122"/>
      <c r="IK210" s="122"/>
      <c r="IL210" s="122"/>
      <c r="IN210" s="118"/>
      <c r="IP210" s="122"/>
      <c r="IQ210" s="122"/>
      <c r="IR210" s="122"/>
      <c r="IS210" s="122"/>
      <c r="IT210" s="122"/>
      <c r="IU210" s="122"/>
      <c r="IV210" s="122"/>
      <c r="IW210" s="122"/>
      <c r="IX210" s="122"/>
      <c r="IY210" s="122"/>
      <c r="IZ210" s="122"/>
      <c r="JA210" s="122"/>
      <c r="JB210" s="122"/>
      <c r="JC210" s="122"/>
      <c r="JD210" s="122"/>
      <c r="JE210" s="122"/>
      <c r="JF210" s="122"/>
      <c r="JG210" s="122"/>
      <c r="JH210" s="122"/>
      <c r="JI210" s="122"/>
      <c r="JK210" s="118"/>
      <c r="JL210" s="118"/>
      <c r="JY210" s="122"/>
      <c r="JZ210" s="122"/>
      <c r="KA210" s="122"/>
      <c r="KB210" s="122"/>
      <c r="LX210" s="122"/>
      <c r="LY210" s="122"/>
      <c r="LZ210" s="122"/>
      <c r="MB210" s="118"/>
      <c r="MC210" s="118"/>
      <c r="MP210" s="122"/>
      <c r="MQ210" s="122"/>
      <c r="MR210" s="122"/>
      <c r="MS210" s="122"/>
      <c r="MT210" s="122"/>
      <c r="MU210" s="122"/>
      <c r="MV210" s="122"/>
      <c r="OS210" s="118"/>
      <c r="OT210" s="118"/>
      <c r="PC210" s="122"/>
      <c r="PD210" s="122"/>
      <c r="PE210" s="122"/>
      <c r="PF210" s="122"/>
      <c r="PG210" s="122"/>
      <c r="PH210" s="122"/>
      <c r="PI210" s="122"/>
      <c r="PJ210" s="122"/>
      <c r="PP210" s="118"/>
      <c r="PQ210" s="118"/>
      <c r="PZ210" s="122"/>
      <c r="QA210" s="122"/>
      <c r="QB210" s="122"/>
      <c r="QC210" s="122"/>
      <c r="QD210" s="122"/>
      <c r="QE210" s="122"/>
      <c r="QF210" s="122"/>
      <c r="QG210" s="122"/>
      <c r="QM210" s="118"/>
      <c r="QN210" s="118"/>
      <c r="RE210" s="118"/>
      <c r="RF210" s="118"/>
      <c r="RG210" s="118"/>
      <c r="RH210" s="118"/>
      <c r="RI210" s="118"/>
      <c r="RJ210" s="118"/>
      <c r="RK210" s="118"/>
    </row>
    <row r="211" spans="10:479">
      <c r="BH211" s="330"/>
      <c r="CB211" s="330"/>
      <c r="CV211" s="330"/>
      <c r="DP211" s="330"/>
      <c r="FD211" s="276"/>
      <c r="FS211" s="122"/>
      <c r="FT211" s="122"/>
      <c r="FU211" s="122"/>
      <c r="FW211" s="118"/>
      <c r="FX211" s="118"/>
      <c r="GB211" s="122"/>
      <c r="GC211" s="122"/>
      <c r="GD211" s="122"/>
      <c r="GE211" s="122"/>
      <c r="GF211" s="122"/>
      <c r="GG211" s="122"/>
      <c r="GH211" s="122"/>
      <c r="GI211" s="122"/>
      <c r="GJ211" s="122"/>
      <c r="GK211" s="122"/>
      <c r="GL211" s="122"/>
      <c r="GM211" s="122"/>
      <c r="GN211" s="122"/>
      <c r="GO211" s="122"/>
      <c r="GP211" s="122"/>
      <c r="GQ211" s="122"/>
      <c r="GR211" s="122"/>
      <c r="GT211" s="118"/>
      <c r="GV211" s="122"/>
      <c r="GW211" s="122"/>
      <c r="GX211" s="122"/>
      <c r="GY211" s="122"/>
      <c r="GZ211" s="122"/>
      <c r="HA211" s="122"/>
      <c r="HB211" s="122"/>
      <c r="HC211" s="122"/>
      <c r="HD211" s="122"/>
      <c r="HE211" s="122"/>
      <c r="HF211" s="122"/>
      <c r="HG211" s="122"/>
      <c r="HH211" s="122"/>
      <c r="IF211" s="122"/>
      <c r="IG211" s="122"/>
      <c r="IH211" s="122"/>
      <c r="II211" s="122"/>
      <c r="IJ211" s="122"/>
      <c r="IK211" s="122"/>
      <c r="IL211" s="122"/>
      <c r="IN211" s="118"/>
      <c r="IP211" s="122"/>
      <c r="IQ211" s="122"/>
      <c r="IR211" s="122"/>
      <c r="IS211" s="122"/>
      <c r="IT211" s="122"/>
      <c r="IU211" s="122"/>
      <c r="IV211" s="122"/>
      <c r="IW211" s="122"/>
      <c r="IX211" s="122"/>
      <c r="IY211" s="122"/>
      <c r="IZ211" s="122"/>
      <c r="JA211" s="122"/>
      <c r="JB211" s="122"/>
      <c r="JC211" s="122"/>
      <c r="JD211" s="122"/>
      <c r="JE211" s="122"/>
      <c r="JF211" s="122"/>
      <c r="JG211" s="122"/>
      <c r="JH211" s="122"/>
      <c r="JI211" s="122"/>
      <c r="JK211" s="118"/>
      <c r="JL211" s="118"/>
      <c r="JY211" s="122"/>
      <c r="JZ211" s="122"/>
      <c r="KA211" s="122"/>
      <c r="KB211" s="122"/>
      <c r="LX211" s="122"/>
      <c r="LY211" s="122"/>
      <c r="LZ211" s="122"/>
      <c r="MB211" s="118"/>
      <c r="MC211" s="118"/>
      <c r="MP211" s="122"/>
      <c r="MQ211" s="122"/>
      <c r="MR211" s="122"/>
      <c r="MS211" s="122"/>
      <c r="MT211" s="122"/>
      <c r="MU211" s="122"/>
      <c r="MV211" s="122"/>
      <c r="OS211" s="118"/>
      <c r="OT211" s="118"/>
      <c r="PC211" s="122"/>
      <c r="PD211" s="122"/>
      <c r="PE211" s="122"/>
      <c r="PF211" s="122"/>
      <c r="PG211" s="122"/>
      <c r="PH211" s="122"/>
      <c r="PI211" s="122"/>
      <c r="PJ211" s="122"/>
      <c r="PP211" s="118"/>
      <c r="PQ211" s="118"/>
      <c r="PZ211" s="122"/>
      <c r="QA211" s="122"/>
      <c r="QB211" s="122"/>
      <c r="QC211" s="122"/>
      <c r="QD211" s="122"/>
      <c r="QE211" s="122"/>
      <c r="QF211" s="122"/>
      <c r="QG211" s="122"/>
      <c r="QM211" s="118"/>
      <c r="QN211" s="118"/>
      <c r="RE211" s="118"/>
      <c r="RF211" s="118"/>
      <c r="RG211" s="118"/>
      <c r="RH211" s="118"/>
      <c r="RI211" s="118"/>
      <c r="RJ211" s="118"/>
      <c r="RK211" s="118"/>
    </row>
    <row r="212" spans="10:479"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BK212" s="118"/>
      <c r="BL212" s="118"/>
      <c r="BM212" s="118"/>
      <c r="CH212" s="118"/>
      <c r="CI212" s="118"/>
      <c r="CJ212" s="118"/>
      <c r="DE212" s="118"/>
      <c r="DF212" s="118"/>
      <c r="DG212" s="118"/>
      <c r="EY212" s="118"/>
      <c r="EZ212" s="118"/>
      <c r="FA212" s="118"/>
      <c r="FV212" s="118"/>
      <c r="FW212" s="118"/>
      <c r="FX212" s="118"/>
      <c r="GS212" s="118"/>
      <c r="GT212" s="118"/>
      <c r="GU212" s="118"/>
      <c r="IM212" s="118"/>
      <c r="IN212" s="118"/>
      <c r="IO212" s="118"/>
      <c r="JJ212" s="118"/>
      <c r="JK212" s="118"/>
      <c r="JL212" s="118"/>
      <c r="MA212" s="118"/>
      <c r="MB212" s="118"/>
      <c r="MC212" s="118"/>
      <c r="OR212" s="118"/>
      <c r="OS212" s="118"/>
      <c r="OT212" s="118"/>
      <c r="PK212" s="118"/>
      <c r="PL212" s="118"/>
      <c r="PM212" s="118"/>
      <c r="PN212" s="118"/>
      <c r="PO212" s="118"/>
      <c r="PP212" s="118"/>
      <c r="PQ212" s="118"/>
      <c r="QH212" s="118"/>
      <c r="QI212" s="118"/>
      <c r="QJ212" s="118"/>
      <c r="QK212" s="118"/>
      <c r="QL212" s="118"/>
      <c r="QM212" s="118"/>
      <c r="QN212" s="118"/>
      <c r="RE212" s="118"/>
      <c r="RF212" s="118"/>
      <c r="RG212" s="118"/>
      <c r="RH212" s="118"/>
      <c r="RI212" s="118"/>
      <c r="RJ212" s="118"/>
      <c r="RK212" s="118"/>
    </row>
    <row r="213" spans="10:479"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BK213" s="118"/>
      <c r="BL213" s="118"/>
      <c r="BM213" s="118"/>
      <c r="CH213" s="118"/>
      <c r="CI213" s="118"/>
      <c r="CJ213" s="118"/>
      <c r="DE213" s="118"/>
      <c r="DF213" s="118"/>
      <c r="DG213" s="118"/>
      <c r="EY213" s="118"/>
      <c r="EZ213" s="118"/>
      <c r="FA213" s="118"/>
      <c r="FV213" s="118"/>
      <c r="FW213" s="118"/>
      <c r="FX213" s="118"/>
      <c r="GS213" s="118"/>
      <c r="GT213" s="118"/>
      <c r="GU213" s="118"/>
      <c r="IM213" s="118"/>
      <c r="IN213" s="118"/>
      <c r="IO213" s="118"/>
      <c r="JJ213" s="118"/>
      <c r="JK213" s="118"/>
      <c r="JL213" s="118"/>
      <c r="MA213" s="118"/>
      <c r="MB213" s="118"/>
      <c r="MC213" s="118"/>
      <c r="OR213" s="118"/>
      <c r="OS213" s="118"/>
      <c r="OT213" s="118"/>
      <c r="PK213" s="118"/>
      <c r="PL213" s="118"/>
      <c r="PM213" s="118"/>
      <c r="PN213" s="118"/>
      <c r="PO213" s="118"/>
      <c r="PP213" s="118"/>
      <c r="PQ213" s="118"/>
      <c r="QH213" s="118"/>
      <c r="QI213" s="118"/>
      <c r="QJ213" s="118"/>
      <c r="QK213" s="118"/>
      <c r="QL213" s="118"/>
      <c r="QM213" s="118"/>
      <c r="QN213" s="118"/>
      <c r="RE213" s="118"/>
      <c r="RF213" s="118"/>
      <c r="RG213" s="118"/>
      <c r="RH213" s="118"/>
      <c r="RI213" s="118"/>
      <c r="RJ213" s="118"/>
      <c r="RK213" s="118"/>
    </row>
    <row r="2934" spans="73:73">
      <c r="BU2934" s="118">
        <v>2</v>
      </c>
    </row>
  </sheetData>
  <dataConsolidate/>
  <mergeCells count="52">
    <mergeCell ref="A134:B134"/>
    <mergeCell ref="C134:E134"/>
    <mergeCell ref="A124:B124"/>
    <mergeCell ref="C124:D124"/>
    <mergeCell ref="RM6:RN6"/>
    <mergeCell ref="A130:B130"/>
    <mergeCell ref="GK112:GL112"/>
    <mergeCell ref="IG14:IH14"/>
    <mergeCell ref="A15:B15"/>
    <mergeCell ref="RM14:RN14"/>
    <mergeCell ref="QO14:QP14"/>
    <mergeCell ref="OS14:OT14"/>
    <mergeCell ref="NU14:NV14"/>
    <mergeCell ref="JE14:JF14"/>
    <mergeCell ref="KC14:KD14"/>
    <mergeCell ref="NU5:NV5"/>
    <mergeCell ref="OS5:OT5"/>
    <mergeCell ref="QO5:QP5"/>
    <mergeCell ref="A132:B132"/>
    <mergeCell ref="C132:F132"/>
    <mergeCell ref="CS112:CT112"/>
    <mergeCell ref="U119:V119"/>
    <mergeCell ref="CS14:CT14"/>
    <mergeCell ref="JE5:JF5"/>
    <mergeCell ref="KC5:KD5"/>
    <mergeCell ref="GM112:GO112"/>
    <mergeCell ref="BC112:BF112"/>
    <mergeCell ref="AX112:BB112"/>
    <mergeCell ref="FO112:FR112"/>
    <mergeCell ref="FM112:FN112"/>
    <mergeCell ref="CU112:CV112"/>
    <mergeCell ref="FM3:FP3"/>
    <mergeCell ref="BX112:BY112"/>
    <mergeCell ref="BU112:BW112"/>
    <mergeCell ref="EO3:ER3"/>
    <mergeCell ref="IG5:IH5"/>
    <mergeCell ref="ET6:EW6"/>
    <mergeCell ref="A1:C1"/>
    <mergeCell ref="A3:C3"/>
    <mergeCell ref="DQ3:DT3"/>
    <mergeCell ref="DQ14:DR14"/>
    <mergeCell ref="CS3:CV3"/>
    <mergeCell ref="CS5:CT5"/>
    <mergeCell ref="A5:B5"/>
    <mergeCell ref="Y5:Z5"/>
    <mergeCell ref="AW5:AX5"/>
    <mergeCell ref="DQ5:DR5"/>
    <mergeCell ref="AW3:AZ3"/>
    <mergeCell ref="BU3:BX3"/>
    <mergeCell ref="AW14:AX14"/>
    <mergeCell ref="Y14:Z14"/>
    <mergeCell ref="Y3:AB3"/>
  </mergeCells>
  <phoneticPr fontId="3" type="noConversion"/>
  <pageMargins left="0.75" right="0.75" top="1" bottom="1" header="0.5" footer="0.5"/>
  <pageSetup orientation="portrait" horizontalDpi="4294967293" verticalDpi="300" r:id="rId1"/>
  <headerFooter alignWithMargins="0"/>
  <legacyDrawing r:id="rId2"/>
  <tableParts count="29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tabColor indexed="10"/>
    <pageSetUpPr fitToPage="1"/>
  </sheetPr>
  <dimension ref="A1:X497"/>
  <sheetViews>
    <sheetView workbookViewId="0">
      <selection activeCell="E3" sqref="E3"/>
    </sheetView>
  </sheetViews>
  <sheetFormatPr baseColWidth="10" defaultColWidth="9.1640625" defaultRowHeight="13"/>
  <cols>
    <col min="1" max="1" width="15.33203125" style="54" bestFit="1" customWidth="1"/>
    <col min="2" max="2" width="12.6640625" style="3" bestFit="1" customWidth="1"/>
    <col min="3" max="3" width="16" style="3" bestFit="1" customWidth="1"/>
    <col min="4" max="4" width="14.1640625" style="3" customWidth="1"/>
    <col min="5" max="5" width="20.1640625" style="3" customWidth="1"/>
    <col min="6" max="8" width="12.6640625" style="3" bestFit="1" customWidth="1"/>
    <col min="9" max="9" width="13.5" style="3" customWidth="1"/>
    <col min="10" max="10" width="15.5" style="3" customWidth="1"/>
    <col min="11" max="18" width="12.6640625" style="3" bestFit="1" customWidth="1"/>
    <col min="19" max="19" width="13.6640625" style="3" bestFit="1" customWidth="1"/>
    <col min="20" max="23" width="13.6640625" style="486" customWidth="1"/>
    <col min="24" max="24" width="15.33203125" style="54" bestFit="1" customWidth="1"/>
    <col min="25" max="16384" width="9.1640625" style="3"/>
  </cols>
  <sheetData>
    <row r="1" spans="1:24">
      <c r="A1" s="979" t="s">
        <v>267</v>
      </c>
      <c r="B1" s="979"/>
      <c r="C1" s="979"/>
      <c r="D1" s="826"/>
      <c r="E1" s="446"/>
      <c r="F1" s="446"/>
      <c r="G1" s="779"/>
      <c r="H1" s="779"/>
      <c r="I1" s="779"/>
      <c r="J1" s="779"/>
      <c r="K1" s="779"/>
      <c r="L1" s="779"/>
      <c r="M1" s="42"/>
      <c r="N1" s="42"/>
      <c r="O1" s="42"/>
      <c r="P1" s="42"/>
      <c r="S1" s="359"/>
      <c r="X1" s="486"/>
    </row>
    <row r="2" spans="1:24">
      <c r="A2" s="498"/>
      <c r="B2" s="498"/>
      <c r="D2" s="826"/>
      <c r="E2" s="446"/>
      <c r="F2" s="446"/>
      <c r="G2" s="589"/>
      <c r="H2" s="589"/>
      <c r="I2" s="589"/>
      <c r="J2" s="589"/>
      <c r="K2" s="589"/>
      <c r="L2" s="589"/>
      <c r="M2" s="42"/>
      <c r="N2" s="42"/>
      <c r="O2" s="42"/>
      <c r="P2" s="42"/>
      <c r="S2" s="359"/>
      <c r="X2" s="486"/>
    </row>
    <row r="3" spans="1:24" ht="18">
      <c r="A3" s="1017" t="s">
        <v>295</v>
      </c>
      <c r="B3" s="1017"/>
      <c r="D3" s="826"/>
      <c r="E3" s="446"/>
      <c r="F3" s="446"/>
      <c r="G3" s="589"/>
      <c r="H3" s="589"/>
      <c r="I3" s="895"/>
      <c r="J3" s="895"/>
      <c r="K3" s="893"/>
      <c r="L3" s="446"/>
      <c r="M3" s="896"/>
      <c r="N3" s="896"/>
      <c r="O3" s="896"/>
      <c r="P3" s="896"/>
      <c r="S3" s="359"/>
      <c r="X3" s="486"/>
    </row>
    <row r="4" spans="1:24" ht="15.75" customHeight="1">
      <c r="A4" s="499" t="s">
        <v>398</v>
      </c>
      <c r="B4" s="499"/>
      <c r="D4" s="826"/>
      <c r="E4" s="446"/>
      <c r="F4" s="826"/>
      <c r="G4" s="779"/>
      <c r="H4" s="779"/>
      <c r="I4" s="779"/>
      <c r="J4" s="446"/>
      <c r="K4" s="779"/>
      <c r="L4" s="42"/>
      <c r="M4" s="446"/>
      <c r="N4" s="42"/>
      <c r="O4" s="42"/>
      <c r="P4" s="42"/>
      <c r="S4" s="359"/>
      <c r="X4" s="486"/>
    </row>
    <row r="5" spans="1:24">
      <c r="A5" s="1017" t="s">
        <v>294</v>
      </c>
      <c r="B5" s="1017"/>
      <c r="F5" s="448"/>
      <c r="G5" s="448"/>
      <c r="H5" s="448"/>
      <c r="I5" s="446" t="s">
        <v>602</v>
      </c>
      <c r="J5" s="455"/>
      <c r="L5" s="446"/>
      <c r="M5" s="491"/>
      <c r="N5" s="207"/>
      <c r="O5" s="207"/>
      <c r="P5" s="207"/>
      <c r="S5" s="359"/>
      <c r="X5" s="486"/>
    </row>
    <row r="6" spans="1:24">
      <c r="A6" s="52"/>
      <c r="D6" s="96" t="s">
        <v>461</v>
      </c>
      <c r="E6" s="448" t="s">
        <v>270</v>
      </c>
      <c r="F6" s="449"/>
      <c r="G6" s="449"/>
      <c r="H6" s="449"/>
      <c r="I6" s="446" t="s">
        <v>606</v>
      </c>
      <c r="J6" s="449"/>
      <c r="K6" s="449"/>
      <c r="L6" s="446"/>
      <c r="M6" s="491"/>
      <c r="N6" s="207"/>
      <c r="O6" s="207"/>
      <c r="P6" s="207"/>
      <c r="S6" s="359"/>
      <c r="X6" s="486"/>
    </row>
    <row r="7" spans="1:24">
      <c r="D7" s="449"/>
      <c r="E7" s="449" t="s">
        <v>272</v>
      </c>
      <c r="F7" s="490"/>
      <c r="G7" s="18"/>
      <c r="H7" s="18"/>
      <c r="I7" s="446" t="s">
        <v>603</v>
      </c>
      <c r="M7" s="491"/>
      <c r="S7" s="359"/>
      <c r="X7" s="486"/>
    </row>
    <row r="8" spans="1:24">
      <c r="D8" s="826" t="s">
        <v>580</v>
      </c>
      <c r="E8" s="446" t="s">
        <v>604</v>
      </c>
      <c r="G8" s="43"/>
      <c r="J8" s="43"/>
      <c r="K8" s="821"/>
      <c r="L8" s="43"/>
      <c r="M8" s="491"/>
      <c r="N8" s="43"/>
      <c r="O8" s="43"/>
      <c r="S8" s="359"/>
      <c r="X8" s="486"/>
    </row>
    <row r="9" spans="1:24">
      <c r="D9" s="826" t="s">
        <v>581</v>
      </c>
      <c r="E9" s="446" t="s">
        <v>605</v>
      </c>
      <c r="G9" s="43"/>
      <c r="I9" s="834" t="s">
        <v>623</v>
      </c>
      <c r="J9" s="852"/>
      <c r="K9" s="927"/>
      <c r="L9" s="852"/>
      <c r="M9" s="928"/>
      <c r="N9" s="852"/>
      <c r="O9" s="43"/>
      <c r="S9" s="359"/>
      <c r="X9" s="486"/>
    </row>
    <row r="10" spans="1:24">
      <c r="D10" s="826">
        <v>2017</v>
      </c>
      <c r="E10" s="446" t="s">
        <v>604</v>
      </c>
      <c r="G10" s="43"/>
      <c r="I10" s="856" t="s">
        <v>526</v>
      </c>
      <c r="J10" s="852"/>
      <c r="K10" s="927"/>
      <c r="L10" s="852"/>
      <c r="M10" s="928"/>
      <c r="N10" s="852"/>
      <c r="O10" s="43"/>
      <c r="S10" s="359"/>
      <c r="X10" s="486"/>
    </row>
    <row r="11" spans="1:24" s="253" customFormat="1">
      <c r="A11" s="1017" t="s">
        <v>294</v>
      </c>
      <c r="B11" s="1017"/>
      <c r="C11" s="254"/>
      <c r="D11" s="894"/>
      <c r="F11" s="894"/>
      <c r="G11" s="894"/>
      <c r="H11" s="894"/>
      <c r="I11" s="894"/>
      <c r="J11" s="894"/>
      <c r="K11" s="254"/>
      <c r="M11" s="492"/>
    </row>
    <row r="12" spans="1:24">
      <c r="A12" s="50"/>
      <c r="M12" s="491"/>
      <c r="S12" s="359"/>
      <c r="X12" s="486"/>
    </row>
    <row r="13" spans="1:24" s="287" customFormat="1">
      <c r="A13" s="325" t="s">
        <v>0</v>
      </c>
      <c r="B13" s="326" t="s">
        <v>409</v>
      </c>
      <c r="C13" s="326" t="s">
        <v>410</v>
      </c>
      <c r="D13" s="326" t="s">
        <v>411</v>
      </c>
      <c r="E13" s="326" t="s">
        <v>412</v>
      </c>
      <c r="F13" s="326" t="s">
        <v>413</v>
      </c>
      <c r="G13" s="326" t="s">
        <v>414</v>
      </c>
      <c r="H13" s="326" t="s">
        <v>415</v>
      </c>
      <c r="I13" s="326" t="s">
        <v>416</v>
      </c>
      <c r="J13" s="326" t="s">
        <v>417</v>
      </c>
      <c r="K13" s="326" t="s">
        <v>418</v>
      </c>
      <c r="L13" s="326" t="s">
        <v>419</v>
      </c>
      <c r="M13" s="326" t="s">
        <v>420</v>
      </c>
      <c r="N13" s="326" t="s">
        <v>421</v>
      </c>
      <c r="O13" s="326" t="s">
        <v>422</v>
      </c>
      <c r="P13" s="326" t="s">
        <v>423</v>
      </c>
      <c r="Q13" s="326" t="s">
        <v>355</v>
      </c>
      <c r="R13" s="327" t="s">
        <v>399</v>
      </c>
      <c r="S13" s="379" t="s">
        <v>424</v>
      </c>
      <c r="T13" s="762" t="s">
        <v>446</v>
      </c>
      <c r="U13" s="762" t="s">
        <v>523</v>
      </c>
      <c r="V13" s="762" t="s">
        <v>524</v>
      </c>
      <c r="W13" s="762" t="s">
        <v>525</v>
      </c>
    </row>
    <row r="14" spans="1:24">
      <c r="A14" s="319" t="s">
        <v>1</v>
      </c>
      <c r="B14" s="319">
        <v>0</v>
      </c>
      <c r="C14" s="319">
        <v>316349</v>
      </c>
      <c r="D14" s="319">
        <v>1206557</v>
      </c>
      <c r="E14" s="319">
        <v>1267075</v>
      </c>
      <c r="F14" s="319">
        <v>1366836</v>
      </c>
      <c r="G14" s="319">
        <v>1569851</v>
      </c>
      <c r="H14" s="319">
        <v>1720090</v>
      </c>
      <c r="I14" s="319">
        <v>1754722</v>
      </c>
      <c r="J14" s="584">
        <v>1837990</v>
      </c>
      <c r="K14" s="319">
        <v>1275000</v>
      </c>
      <c r="L14" s="319">
        <v>1355000</v>
      </c>
      <c r="M14" s="319">
        <v>1380000</v>
      </c>
      <c r="N14" s="319">
        <v>875000</v>
      </c>
      <c r="O14" s="319">
        <v>1416005.9999999998</v>
      </c>
      <c r="P14" s="319">
        <v>1421966.52</v>
      </c>
      <c r="Q14" s="319">
        <v>1480390.16</v>
      </c>
      <c r="R14" s="322">
        <v>1451627.66</v>
      </c>
      <c r="S14" s="377">
        <v>1224469.75</v>
      </c>
      <c r="T14" s="637">
        <v>1568839.2799999998</v>
      </c>
      <c r="U14" s="637"/>
      <c r="V14" s="637">
        <v>1586917.7499999998</v>
      </c>
      <c r="W14" s="637">
        <v>1600000</v>
      </c>
      <c r="X14" s="3"/>
    </row>
    <row r="15" spans="1:24">
      <c r="A15" s="319" t="s">
        <v>2</v>
      </c>
      <c r="B15" s="319">
        <v>322504</v>
      </c>
      <c r="C15" s="319">
        <v>518363</v>
      </c>
      <c r="D15" s="319">
        <v>523497</v>
      </c>
      <c r="E15" s="319">
        <v>551829</v>
      </c>
      <c r="F15" s="319">
        <v>616592</v>
      </c>
      <c r="G15" s="319">
        <v>608320</v>
      </c>
      <c r="H15" s="319">
        <v>646401</v>
      </c>
      <c r="I15" s="319">
        <v>642442</v>
      </c>
      <c r="J15" s="584">
        <v>680468</v>
      </c>
      <c r="K15" s="319">
        <v>576000</v>
      </c>
      <c r="L15" s="319">
        <v>625000</v>
      </c>
      <c r="M15" s="319">
        <v>620000</v>
      </c>
      <c r="N15" s="319">
        <v>640000</v>
      </c>
      <c r="O15" s="319">
        <v>567085</v>
      </c>
      <c r="P15" s="319">
        <v>574813</v>
      </c>
      <c r="Q15" s="319">
        <v>548247</v>
      </c>
      <c r="R15" s="322">
        <v>621671</v>
      </c>
      <c r="S15" s="377">
        <v>1224469.75</v>
      </c>
      <c r="T15" s="637">
        <v>623220</v>
      </c>
      <c r="U15" s="637">
        <v>648109</v>
      </c>
      <c r="V15" s="637">
        <v>538196</v>
      </c>
      <c r="W15" s="637">
        <v>550000</v>
      </c>
      <c r="X15" s="3"/>
    </row>
    <row r="16" spans="1:24">
      <c r="A16" s="319" t="s">
        <v>3</v>
      </c>
      <c r="B16" s="319">
        <v>806450</v>
      </c>
      <c r="C16" s="319">
        <v>419459</v>
      </c>
      <c r="D16" s="319">
        <v>356886</v>
      </c>
      <c r="E16" s="319">
        <v>217890</v>
      </c>
      <c r="F16" s="319">
        <v>236696</v>
      </c>
      <c r="G16" s="319">
        <v>231752</v>
      </c>
      <c r="H16" s="319">
        <v>217195</v>
      </c>
      <c r="I16" s="319">
        <v>212630</v>
      </c>
      <c r="J16" s="584">
        <v>231986</v>
      </c>
      <c r="K16" s="319">
        <v>555000</v>
      </c>
      <c r="L16" s="319">
        <v>449747</v>
      </c>
      <c r="M16" s="319">
        <v>772000</v>
      </c>
      <c r="N16" s="319">
        <v>810000</v>
      </c>
      <c r="O16" s="319">
        <v>856149.6100000001</v>
      </c>
      <c r="P16" s="319">
        <v>972710</v>
      </c>
      <c r="Q16" s="319">
        <v>907682.09</v>
      </c>
      <c r="R16" s="322">
        <v>1005603</v>
      </c>
      <c r="S16" s="377">
        <v>1224469.75</v>
      </c>
      <c r="T16" s="637">
        <v>849583.92</v>
      </c>
      <c r="U16" s="637">
        <v>810154</v>
      </c>
      <c r="V16" s="637">
        <v>917912.19</v>
      </c>
      <c r="W16" s="637">
        <v>1020000</v>
      </c>
      <c r="X16" s="3"/>
    </row>
    <row r="17" spans="1:24">
      <c r="A17" s="319" t="s">
        <v>4</v>
      </c>
      <c r="B17" s="319">
        <v>1534400</v>
      </c>
      <c r="C17" s="319">
        <v>1337948</v>
      </c>
      <c r="D17" s="319">
        <v>1941486</v>
      </c>
      <c r="E17" s="319">
        <v>2031972</v>
      </c>
      <c r="F17" s="319">
        <v>2394122</v>
      </c>
      <c r="G17" s="319">
        <v>2765311</v>
      </c>
      <c r="H17" s="319">
        <v>3206012</v>
      </c>
      <c r="I17" s="319">
        <v>4248324</v>
      </c>
      <c r="J17" s="584">
        <v>3383798</v>
      </c>
      <c r="K17" s="319">
        <v>2040000</v>
      </c>
      <c r="L17" s="319">
        <v>2220000</v>
      </c>
      <c r="M17" s="319">
        <v>2320000</v>
      </c>
      <c r="N17" s="319">
        <v>2400000</v>
      </c>
      <c r="O17" s="319">
        <v>2142984.5300000003</v>
      </c>
      <c r="P17" s="319">
        <v>1136495.3900000001</v>
      </c>
      <c r="Q17" s="319">
        <v>1204371.3599999999</v>
      </c>
      <c r="R17" s="322">
        <v>1178517.44</v>
      </c>
      <c r="S17" s="377">
        <v>1224469.75</v>
      </c>
      <c r="T17" s="637">
        <v>1284167.4300000002</v>
      </c>
      <c r="U17" s="637">
        <v>1322247.6500000004</v>
      </c>
      <c r="V17" s="637">
        <v>1358524.06</v>
      </c>
      <c r="W17" s="637">
        <v>1970000</v>
      </c>
      <c r="X17" s="3"/>
    </row>
    <row r="18" spans="1:24">
      <c r="A18" s="319" t="s">
        <v>5</v>
      </c>
      <c r="B18" s="319">
        <v>1173409</v>
      </c>
      <c r="C18" s="319">
        <v>0</v>
      </c>
      <c r="D18" s="319">
        <v>0</v>
      </c>
      <c r="E18" s="319">
        <v>0</v>
      </c>
      <c r="F18" s="319">
        <v>0</v>
      </c>
      <c r="G18" s="319">
        <v>0</v>
      </c>
      <c r="H18" s="319">
        <v>0</v>
      </c>
      <c r="I18" s="319">
        <v>0</v>
      </c>
      <c r="J18" s="584">
        <v>0</v>
      </c>
      <c r="K18" s="319">
        <v>1636000</v>
      </c>
      <c r="L18" s="319">
        <v>1735963</v>
      </c>
      <c r="M18" s="319">
        <v>1995071</v>
      </c>
      <c r="N18" s="319">
        <v>1894000</v>
      </c>
      <c r="O18" s="319">
        <v>1731980</v>
      </c>
      <c r="P18" s="319">
        <v>1743547.08</v>
      </c>
      <c r="Q18" s="319">
        <v>1821054.5099999998</v>
      </c>
      <c r="R18" s="322">
        <v>1757192.5299999998</v>
      </c>
      <c r="S18" s="377"/>
      <c r="T18" s="637">
        <v>1942562.1600000001</v>
      </c>
      <c r="U18" s="637">
        <v>2031478.7400000002</v>
      </c>
      <c r="V18" s="637">
        <v>2055445.9699999997</v>
      </c>
      <c r="W18" s="637">
        <v>2055460</v>
      </c>
      <c r="X18" s="3"/>
    </row>
    <row r="19" spans="1:24">
      <c r="A19" s="319" t="s">
        <v>6</v>
      </c>
      <c r="B19" s="319">
        <v>545087</v>
      </c>
      <c r="C19" s="319">
        <v>463132</v>
      </c>
      <c r="D19" s="319">
        <v>475638</v>
      </c>
      <c r="E19" s="319">
        <v>530267</v>
      </c>
      <c r="F19" s="319">
        <v>519942</v>
      </c>
      <c r="G19" s="319">
        <v>535011</v>
      </c>
      <c r="H19" s="319">
        <v>679500</v>
      </c>
      <c r="I19" s="319">
        <v>608958</v>
      </c>
      <c r="J19" s="584">
        <v>658022</v>
      </c>
      <c r="K19" s="319">
        <v>490000</v>
      </c>
      <c r="L19" s="319">
        <v>535000</v>
      </c>
      <c r="M19" s="319">
        <v>517864</v>
      </c>
      <c r="N19" s="319">
        <v>530052</v>
      </c>
      <c r="O19" s="319">
        <v>492750.63999999996</v>
      </c>
      <c r="P19" s="319">
        <v>504881.06000000006</v>
      </c>
      <c r="Q19" s="319">
        <v>507087.27</v>
      </c>
      <c r="R19" s="322">
        <v>511173.96</v>
      </c>
      <c r="S19" s="377">
        <v>522091.06</v>
      </c>
      <c r="T19" s="637">
        <v>554881.6</v>
      </c>
      <c r="U19" s="637">
        <v>530156.1</v>
      </c>
      <c r="V19" s="637">
        <v>548297.35000000009</v>
      </c>
      <c r="W19" s="637">
        <v>553000</v>
      </c>
      <c r="X19" s="3"/>
    </row>
    <row r="20" spans="1:24">
      <c r="A20" s="319" t="s">
        <v>7</v>
      </c>
      <c r="B20" s="319">
        <v>568558</v>
      </c>
      <c r="C20" s="319">
        <v>594471</v>
      </c>
      <c r="D20" s="319">
        <v>622308</v>
      </c>
      <c r="E20" s="319">
        <v>645574</v>
      </c>
      <c r="F20" s="319">
        <v>632559</v>
      </c>
      <c r="G20" s="319">
        <v>688565</v>
      </c>
      <c r="H20" s="319">
        <v>1024413</v>
      </c>
      <c r="I20" s="319">
        <v>1320840</v>
      </c>
      <c r="J20" s="584">
        <v>2168824</v>
      </c>
      <c r="K20" s="319"/>
      <c r="L20" s="319"/>
      <c r="M20" s="319"/>
      <c r="N20" s="319"/>
      <c r="O20" s="319"/>
      <c r="P20" s="319"/>
      <c r="Q20" s="319"/>
      <c r="R20" s="322"/>
      <c r="S20" s="377"/>
      <c r="T20" s="637"/>
      <c r="U20" s="637"/>
      <c r="V20" s="637"/>
      <c r="W20" s="637"/>
      <c r="X20" s="3"/>
    </row>
    <row r="21" spans="1:24">
      <c r="A21" s="319" t="s">
        <v>8</v>
      </c>
      <c r="B21" s="319">
        <v>547758</v>
      </c>
      <c r="C21" s="319">
        <v>572105</v>
      </c>
      <c r="D21" s="319">
        <v>595946</v>
      </c>
      <c r="E21" s="319">
        <v>621690</v>
      </c>
      <c r="F21" s="319">
        <v>654242</v>
      </c>
      <c r="G21" s="319">
        <v>695059</v>
      </c>
      <c r="H21" s="319">
        <v>722702</v>
      </c>
      <c r="I21" s="319">
        <v>774260</v>
      </c>
      <c r="J21" s="584">
        <v>851879</v>
      </c>
      <c r="K21" s="319">
        <v>1440000</v>
      </c>
      <c r="L21" s="319">
        <v>1438500</v>
      </c>
      <c r="M21" s="319">
        <v>1523030</v>
      </c>
      <c r="N21" s="319">
        <v>1552500</v>
      </c>
      <c r="O21" s="319">
        <v>1404139.0100000002</v>
      </c>
      <c r="P21" s="319">
        <v>1435779.3</v>
      </c>
      <c r="Q21" s="319">
        <v>1424857.4899999998</v>
      </c>
      <c r="R21" s="322">
        <v>1416325.82</v>
      </c>
      <c r="S21" s="377">
        <v>1463390.4000000004</v>
      </c>
      <c r="T21" s="637">
        <v>1604856.4600000002</v>
      </c>
      <c r="U21" s="637">
        <v>1637265.51</v>
      </c>
      <c r="V21" s="637">
        <v>1642585.89</v>
      </c>
      <c r="W21" s="637">
        <v>1877500</v>
      </c>
      <c r="X21" s="3"/>
    </row>
    <row r="22" spans="1:24">
      <c r="A22" s="319" t="s">
        <v>9</v>
      </c>
      <c r="B22" s="319">
        <v>0</v>
      </c>
      <c r="C22" s="319">
        <v>0</v>
      </c>
      <c r="D22" s="319">
        <v>0</v>
      </c>
      <c r="E22" s="319">
        <v>0</v>
      </c>
      <c r="F22" s="319">
        <v>0</v>
      </c>
      <c r="G22" s="319">
        <v>0</v>
      </c>
      <c r="H22" s="319">
        <v>0</v>
      </c>
      <c r="I22" s="319">
        <v>0</v>
      </c>
      <c r="J22" s="584">
        <v>0</v>
      </c>
      <c r="K22" s="319" t="e">
        <v>#REF!</v>
      </c>
      <c r="L22" s="319">
        <v>0</v>
      </c>
      <c r="M22" s="319">
        <v>70000</v>
      </c>
      <c r="N22" s="319">
        <v>75000</v>
      </c>
      <c r="O22" s="319">
        <v>68638.010000000009</v>
      </c>
      <c r="P22" s="319">
        <v>76186.739999999991</v>
      </c>
      <c r="Q22" s="319">
        <v>76065.099999999977</v>
      </c>
      <c r="R22" s="322">
        <v>77978.489999999991</v>
      </c>
      <c r="S22" s="377"/>
      <c r="T22" s="637">
        <v>86498.599999999977</v>
      </c>
      <c r="U22" s="637">
        <v>90324.85999999987</v>
      </c>
      <c r="V22" s="637">
        <v>0</v>
      </c>
      <c r="W22" s="637">
        <v>0</v>
      </c>
      <c r="X22" s="3"/>
    </row>
    <row r="23" spans="1:24">
      <c r="A23" s="319" t="s">
        <v>10</v>
      </c>
      <c r="B23" s="319">
        <v>2166608</v>
      </c>
      <c r="C23" s="319">
        <v>2327244</v>
      </c>
      <c r="D23" s="319">
        <v>2400492</v>
      </c>
      <c r="E23" s="319">
        <v>2357779</v>
      </c>
      <c r="F23" s="319">
        <v>1207972</v>
      </c>
      <c r="G23" s="319">
        <v>2616113</v>
      </c>
      <c r="H23" s="319">
        <v>2778519</v>
      </c>
      <c r="I23" s="319">
        <v>2671650</v>
      </c>
      <c r="J23" s="584">
        <v>4230165</v>
      </c>
      <c r="K23" s="319">
        <v>2600000</v>
      </c>
      <c r="L23" s="319">
        <v>2600000</v>
      </c>
      <c r="M23" s="319">
        <v>2650000</v>
      </c>
      <c r="N23" s="319">
        <v>2860000</v>
      </c>
      <c r="O23" s="319">
        <v>2960871.34</v>
      </c>
      <c r="P23" s="319">
        <v>2988517.7700000005</v>
      </c>
      <c r="Q23" s="319">
        <v>3051695.2100000004</v>
      </c>
      <c r="R23" s="322">
        <v>3175209.6699999995</v>
      </c>
      <c r="S23" s="377">
        <v>3113111.1599999997</v>
      </c>
      <c r="T23" s="637">
        <v>3314474.24</v>
      </c>
      <c r="U23" s="637"/>
      <c r="V23" s="637">
        <v>3429284.3000000003</v>
      </c>
      <c r="W23" s="637">
        <v>3390000</v>
      </c>
      <c r="X23" s="3"/>
    </row>
    <row r="24" spans="1:24">
      <c r="A24" s="319" t="s">
        <v>11</v>
      </c>
      <c r="B24" s="319">
        <v>337727</v>
      </c>
      <c r="C24" s="319">
        <v>366739</v>
      </c>
      <c r="D24" s="319">
        <v>347418</v>
      </c>
      <c r="E24" s="319">
        <v>403776</v>
      </c>
      <c r="F24" s="319">
        <v>443929</v>
      </c>
      <c r="G24" s="319">
        <v>492056</v>
      </c>
      <c r="H24" s="319">
        <v>475812</v>
      </c>
      <c r="I24" s="319">
        <v>1735410</v>
      </c>
      <c r="J24" s="584">
        <v>473597</v>
      </c>
      <c r="K24" s="319">
        <v>454075</v>
      </c>
      <c r="L24" s="319">
        <v>238175</v>
      </c>
      <c r="M24" s="319">
        <v>726000</v>
      </c>
      <c r="N24" s="319">
        <v>700000</v>
      </c>
      <c r="O24" s="319">
        <v>640602.90000000014</v>
      </c>
      <c r="P24" s="319">
        <v>601219.53999999992</v>
      </c>
      <c r="Q24" s="319">
        <v>579960.45000000007</v>
      </c>
      <c r="R24" s="322">
        <v>582529.15000000014</v>
      </c>
      <c r="S24" s="377">
        <v>567501.91999999993</v>
      </c>
      <c r="T24" s="637">
        <v>676390.28999999992</v>
      </c>
      <c r="U24" s="637">
        <v>746652.2899999998</v>
      </c>
      <c r="V24" s="637">
        <v>826092.09000000008</v>
      </c>
      <c r="W24" s="637">
        <v>830000</v>
      </c>
      <c r="X24" s="3"/>
    </row>
    <row r="25" spans="1:24">
      <c r="A25" s="319" t="s">
        <v>12</v>
      </c>
      <c r="B25" s="319">
        <v>0</v>
      </c>
      <c r="C25" s="319">
        <v>0</v>
      </c>
      <c r="D25" s="319">
        <v>0</v>
      </c>
      <c r="E25" s="319">
        <v>0</v>
      </c>
      <c r="F25" s="319">
        <v>417475</v>
      </c>
      <c r="G25" s="319">
        <v>297349</v>
      </c>
      <c r="H25" s="319">
        <v>448195</v>
      </c>
      <c r="I25" s="319">
        <v>310310</v>
      </c>
      <c r="J25" s="584">
        <v>142106</v>
      </c>
      <c r="K25" s="319">
        <v>0</v>
      </c>
      <c r="L25" s="319">
        <v>0</v>
      </c>
      <c r="M25" s="319">
        <v>0</v>
      </c>
      <c r="N25" s="319">
        <v>0</v>
      </c>
      <c r="O25" s="319">
        <v>0</v>
      </c>
      <c r="P25" s="319">
        <v>0</v>
      </c>
      <c r="Q25" s="319">
        <v>19.570000000065193</v>
      </c>
      <c r="R25" s="322">
        <v>0.72999999998137355</v>
      </c>
      <c r="S25" s="377">
        <v>0.22000000008847564</v>
      </c>
      <c r="T25" s="637">
        <v>1.0399999999208376</v>
      </c>
      <c r="U25" s="637">
        <v>15.230000000039581</v>
      </c>
      <c r="V25" s="637">
        <v>21.049999999988358</v>
      </c>
      <c r="W25" s="637">
        <v>20</v>
      </c>
      <c r="X25" s="3"/>
    </row>
    <row r="26" spans="1:24">
      <c r="A26" s="319" t="s">
        <v>13</v>
      </c>
      <c r="B26" s="319">
        <v>0</v>
      </c>
      <c r="C26" s="319">
        <v>0</v>
      </c>
      <c r="D26" s="319">
        <v>0</v>
      </c>
      <c r="E26" s="319">
        <v>0</v>
      </c>
      <c r="F26" s="319">
        <v>0</v>
      </c>
      <c r="G26" s="319">
        <v>0</v>
      </c>
      <c r="H26" s="319">
        <v>0</v>
      </c>
      <c r="I26" s="319">
        <v>0</v>
      </c>
      <c r="J26" s="584">
        <v>0</v>
      </c>
      <c r="K26" s="319">
        <v>0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22">
        <v>0</v>
      </c>
      <c r="S26" s="377">
        <v>0</v>
      </c>
      <c r="T26" s="637">
        <v>19579.379999999946</v>
      </c>
      <c r="U26" s="637">
        <v>259895.45999999996</v>
      </c>
      <c r="V26" s="637">
        <v>274390.68999999994</v>
      </c>
      <c r="W26" s="637">
        <v>275000</v>
      </c>
      <c r="X26" s="3"/>
    </row>
    <row r="27" spans="1:24">
      <c r="A27" s="319" t="s">
        <v>14</v>
      </c>
      <c r="B27" s="319">
        <v>0</v>
      </c>
      <c r="C27" s="319">
        <v>0</v>
      </c>
      <c r="D27" s="319">
        <v>0</v>
      </c>
      <c r="E27" s="319">
        <v>0</v>
      </c>
      <c r="F27" s="319">
        <v>0</v>
      </c>
      <c r="G27" s="319">
        <v>34929</v>
      </c>
      <c r="H27" s="319">
        <v>1015477</v>
      </c>
      <c r="I27" s="319">
        <v>1148907</v>
      </c>
      <c r="J27" s="584">
        <v>1084447</v>
      </c>
      <c r="K27" s="319">
        <v>480000</v>
      </c>
      <c r="L27" s="319">
        <v>510000</v>
      </c>
      <c r="M27" s="319">
        <v>525000</v>
      </c>
      <c r="N27" s="319">
        <v>490000</v>
      </c>
      <c r="O27" s="319"/>
      <c r="P27" s="319">
        <v>487972.48000000004</v>
      </c>
      <c r="Q27" s="319">
        <v>505939.58</v>
      </c>
      <c r="R27" s="322">
        <v>497554.39999999997</v>
      </c>
      <c r="S27" s="377">
        <v>495082.33</v>
      </c>
      <c r="T27" s="637"/>
      <c r="U27" s="637">
        <v>561501.65999999992</v>
      </c>
      <c r="V27" s="637"/>
      <c r="W27" s="637"/>
      <c r="X27" s="3"/>
    </row>
    <row r="28" spans="1:24">
      <c r="A28" s="319" t="s">
        <v>15</v>
      </c>
      <c r="B28" s="319">
        <v>207359</v>
      </c>
      <c r="C28" s="319">
        <v>375897</v>
      </c>
      <c r="D28" s="319">
        <v>393097</v>
      </c>
      <c r="E28" s="319">
        <v>408110</v>
      </c>
      <c r="F28" s="319">
        <v>271739</v>
      </c>
      <c r="G28" s="319">
        <v>267761</v>
      </c>
      <c r="H28" s="319">
        <v>268534</v>
      </c>
      <c r="I28" s="319">
        <v>276840</v>
      </c>
      <c r="J28" s="584">
        <v>289921</v>
      </c>
      <c r="K28" s="319">
        <v>255000</v>
      </c>
      <c r="L28" s="319">
        <v>270000</v>
      </c>
      <c r="M28" s="319">
        <v>265000</v>
      </c>
      <c r="N28" s="319">
        <v>270000</v>
      </c>
      <c r="O28" s="319">
        <v>252253.76</v>
      </c>
      <c r="P28" s="319">
        <v>262810.21999999997</v>
      </c>
      <c r="Q28" s="319">
        <v>280526.31000000006</v>
      </c>
      <c r="R28" s="322">
        <v>275762.28000000003</v>
      </c>
      <c r="S28" s="377">
        <v>292101.38000000012</v>
      </c>
      <c r="T28" s="637">
        <v>320046.53000000003</v>
      </c>
      <c r="U28" s="637">
        <v>331947.58</v>
      </c>
      <c r="V28" s="637">
        <v>319593.92</v>
      </c>
      <c r="W28" s="637">
        <v>320000</v>
      </c>
      <c r="X28" s="3"/>
    </row>
    <row r="29" spans="1:24">
      <c r="A29" s="319" t="s">
        <v>16</v>
      </c>
      <c r="B29" s="319">
        <v>284462</v>
      </c>
      <c r="C29" s="319">
        <v>345797</v>
      </c>
      <c r="D29" s="319">
        <v>343010</v>
      </c>
      <c r="E29" s="319">
        <v>368860</v>
      </c>
      <c r="F29" s="319">
        <v>598524</v>
      </c>
      <c r="G29" s="319">
        <v>617534</v>
      </c>
      <c r="H29" s="319">
        <v>771223</v>
      </c>
      <c r="I29" s="319">
        <v>573488</v>
      </c>
      <c r="J29" s="584">
        <v>490122</v>
      </c>
      <c r="K29" s="319">
        <v>465800</v>
      </c>
      <c r="L29" s="319">
        <v>452200</v>
      </c>
      <c r="M29" s="319">
        <v>450080</v>
      </c>
      <c r="N29" s="319">
        <v>540500</v>
      </c>
      <c r="O29" s="319">
        <v>523841.87</v>
      </c>
      <c r="P29" s="319">
        <v>635331.12999999989</v>
      </c>
      <c r="Q29" s="319">
        <v>881367.65999999992</v>
      </c>
      <c r="R29" s="322">
        <v>852587.49</v>
      </c>
      <c r="S29" s="377">
        <v>862816.48</v>
      </c>
      <c r="T29" s="637">
        <v>989943.69</v>
      </c>
      <c r="U29" s="637">
        <v>1022470.86</v>
      </c>
      <c r="V29" s="637">
        <v>986865.65999999992</v>
      </c>
      <c r="W29" s="637">
        <v>990000</v>
      </c>
      <c r="X29" s="3"/>
    </row>
    <row r="30" spans="1:24">
      <c r="A30" s="319" t="s">
        <v>17</v>
      </c>
      <c r="B30" s="319">
        <v>395303</v>
      </c>
      <c r="C30" s="319">
        <v>457452</v>
      </c>
      <c r="D30" s="319">
        <v>791007</v>
      </c>
      <c r="E30" s="319">
        <v>447415</v>
      </c>
      <c r="F30" s="319">
        <v>525739</v>
      </c>
      <c r="G30" s="319">
        <v>718113</v>
      </c>
      <c r="H30" s="319">
        <v>538447</v>
      </c>
      <c r="I30" s="319">
        <v>544584</v>
      </c>
      <c r="J30" s="584">
        <v>663849</v>
      </c>
      <c r="K30" s="319">
        <v>525000</v>
      </c>
      <c r="L30" s="319">
        <v>550000</v>
      </c>
      <c r="M30" s="319">
        <v>500000</v>
      </c>
      <c r="N30" s="319">
        <v>500000</v>
      </c>
      <c r="O30" s="319">
        <v>480747.04000000004</v>
      </c>
      <c r="P30" s="319">
        <v>507389.67000000004</v>
      </c>
      <c r="Q30" s="319">
        <v>546335.65000000014</v>
      </c>
      <c r="R30" s="322">
        <v>529076.87999999989</v>
      </c>
      <c r="S30" s="377">
        <v>520431.64999999991</v>
      </c>
      <c r="T30" s="637">
        <v>583017.7899999998</v>
      </c>
      <c r="U30" s="637">
        <v>615654.01000000013</v>
      </c>
      <c r="V30" s="637">
        <v>615784.11</v>
      </c>
      <c r="W30" s="637">
        <v>307800</v>
      </c>
      <c r="X30" s="3"/>
    </row>
    <row r="31" spans="1:24">
      <c r="A31" s="319" t="s">
        <v>18</v>
      </c>
      <c r="B31" s="319">
        <v>1847434</v>
      </c>
      <c r="C31" s="319">
        <v>666492</v>
      </c>
      <c r="D31" s="319">
        <v>551908</v>
      </c>
      <c r="E31" s="319">
        <v>1135460</v>
      </c>
      <c r="F31" s="319">
        <v>1564883</v>
      </c>
      <c r="G31" s="319">
        <v>1467067</v>
      </c>
      <c r="H31" s="319">
        <v>1448488</v>
      </c>
      <c r="I31" s="319">
        <v>1526551</v>
      </c>
      <c r="J31" s="584">
        <v>2283013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22">
        <v>0</v>
      </c>
      <c r="S31" s="377">
        <v>1.1641532182693481E-10</v>
      </c>
      <c r="T31" s="637">
        <v>2275251.38</v>
      </c>
      <c r="U31" s="637">
        <v>2357029.1500000004</v>
      </c>
      <c r="V31" s="637">
        <v>2322387.1599999997</v>
      </c>
      <c r="W31" s="637">
        <v>2250000</v>
      </c>
      <c r="X31" s="3"/>
    </row>
    <row r="32" spans="1:24">
      <c r="A32" s="319" t="s">
        <v>19</v>
      </c>
      <c r="B32" s="319">
        <v>264471</v>
      </c>
      <c r="C32" s="319">
        <v>99722</v>
      </c>
      <c r="D32" s="319">
        <v>100593</v>
      </c>
      <c r="E32" s="319">
        <v>113220</v>
      </c>
      <c r="F32" s="319">
        <v>120959</v>
      </c>
      <c r="G32" s="319">
        <v>137284</v>
      </c>
      <c r="H32" s="319">
        <v>132861</v>
      </c>
      <c r="I32" s="319">
        <v>141744</v>
      </c>
      <c r="J32" s="584">
        <v>181535</v>
      </c>
      <c r="K32" s="319">
        <v>972556</v>
      </c>
      <c r="L32" s="319">
        <v>1040000</v>
      </c>
      <c r="M32" s="319">
        <v>1035000</v>
      </c>
      <c r="N32" s="319">
        <v>980000</v>
      </c>
      <c r="O32" s="319">
        <v>952828.68999999971</v>
      </c>
      <c r="P32" s="319"/>
      <c r="Q32" s="319"/>
      <c r="R32" s="322"/>
      <c r="S32" s="377"/>
      <c r="T32" s="637"/>
      <c r="U32" s="637"/>
      <c r="V32" s="637"/>
      <c r="W32" s="637"/>
      <c r="X32" s="3"/>
    </row>
    <row r="33" spans="1:24">
      <c r="A33" s="319" t="s">
        <v>20</v>
      </c>
      <c r="B33" s="319">
        <v>303090</v>
      </c>
      <c r="C33" s="319">
        <v>389604</v>
      </c>
      <c r="D33" s="319">
        <v>396169</v>
      </c>
      <c r="E33" s="319">
        <v>391748</v>
      </c>
      <c r="F33" s="319">
        <v>426945</v>
      </c>
      <c r="G33" s="319">
        <v>546121</v>
      </c>
      <c r="H33" s="319">
        <v>559724</v>
      </c>
      <c r="I33" s="319">
        <v>517681</v>
      </c>
      <c r="J33" s="584">
        <v>451734</v>
      </c>
      <c r="K33" s="319">
        <v>265000</v>
      </c>
      <c r="L33" s="319">
        <v>250000</v>
      </c>
      <c r="M33" s="319">
        <v>225000</v>
      </c>
      <c r="N33" s="319">
        <v>240500</v>
      </c>
      <c r="O33" s="319">
        <v>213807.38</v>
      </c>
      <c r="P33" s="319">
        <v>215311.27</v>
      </c>
      <c r="Q33" s="319">
        <v>228482.74</v>
      </c>
      <c r="R33" s="322">
        <v>230226.52000000008</v>
      </c>
      <c r="S33" s="377">
        <v>225521.84000000003</v>
      </c>
      <c r="T33" s="637">
        <v>256671.77000000002</v>
      </c>
      <c r="U33" s="637">
        <v>261446.46999999997</v>
      </c>
      <c r="V33" s="637">
        <v>253262.84000000003</v>
      </c>
      <c r="W33" s="637">
        <v>255000</v>
      </c>
      <c r="X33" s="3"/>
    </row>
    <row r="34" spans="1:24">
      <c r="A34" s="319" t="s">
        <v>21</v>
      </c>
      <c r="B34" s="319">
        <v>985055</v>
      </c>
      <c r="C34" s="319">
        <v>1108441</v>
      </c>
      <c r="D34" s="319">
        <v>1157531</v>
      </c>
      <c r="E34" s="319">
        <v>1157318</v>
      </c>
      <c r="F34" s="319">
        <v>1152877</v>
      </c>
      <c r="G34" s="319">
        <v>1349040</v>
      </c>
      <c r="H34" s="319">
        <v>1256428</v>
      </c>
      <c r="I34" s="319">
        <v>1287126</v>
      </c>
      <c r="J34" s="584">
        <v>1376720</v>
      </c>
      <c r="K34" s="319">
        <v>1170000</v>
      </c>
      <c r="L34" s="319">
        <v>1250000</v>
      </c>
      <c r="M34" s="319">
        <v>1250000</v>
      </c>
      <c r="N34" s="319">
        <v>1269500</v>
      </c>
      <c r="O34" s="319">
        <v>1132725.77</v>
      </c>
      <c r="P34" s="319">
        <v>1132255.5</v>
      </c>
      <c r="Q34" s="319">
        <v>1152702.96</v>
      </c>
      <c r="R34" s="322">
        <v>1157011.3599999999</v>
      </c>
      <c r="S34" s="377"/>
      <c r="T34" s="637">
        <v>1270087.8500000001</v>
      </c>
      <c r="U34" s="637">
        <v>1291279.77</v>
      </c>
      <c r="V34" s="637">
        <v>1336460.8600000001</v>
      </c>
      <c r="W34" s="637">
        <v>1350000</v>
      </c>
      <c r="X34" s="3"/>
    </row>
    <row r="35" spans="1:24">
      <c r="A35" s="319" t="s">
        <v>22</v>
      </c>
      <c r="B35" s="319">
        <v>433111</v>
      </c>
      <c r="C35" s="319">
        <v>302872</v>
      </c>
      <c r="D35" s="319">
        <v>288127</v>
      </c>
      <c r="E35" s="319">
        <v>302938</v>
      </c>
      <c r="F35" s="319">
        <v>281857</v>
      </c>
      <c r="G35" s="319">
        <v>313058</v>
      </c>
      <c r="H35" s="319">
        <v>383369</v>
      </c>
      <c r="I35" s="319">
        <v>349735</v>
      </c>
      <c r="J35" s="584">
        <v>400503</v>
      </c>
      <c r="K35" s="319">
        <v>267000</v>
      </c>
      <c r="L35" s="319">
        <v>261500</v>
      </c>
      <c r="M35" s="319"/>
      <c r="N35" s="319">
        <v>280000</v>
      </c>
      <c r="O35" s="319">
        <v>248582.41999999998</v>
      </c>
      <c r="P35" s="319">
        <v>252067.37</v>
      </c>
      <c r="Q35" s="319">
        <v>283978.78999999998</v>
      </c>
      <c r="R35" s="322">
        <v>306731.18</v>
      </c>
      <c r="S35" s="377"/>
      <c r="T35" s="637">
        <v>331639.31</v>
      </c>
      <c r="U35" s="637"/>
      <c r="V35" s="637">
        <v>361989.25</v>
      </c>
      <c r="W35" s="637">
        <v>335000</v>
      </c>
      <c r="X35" s="3"/>
    </row>
    <row r="36" spans="1:24">
      <c r="A36" s="319" t="s">
        <v>90</v>
      </c>
      <c r="B36" s="319">
        <v>790154</v>
      </c>
      <c r="C36" s="319">
        <v>459482</v>
      </c>
      <c r="D36" s="319">
        <v>571548</v>
      </c>
      <c r="E36" s="319">
        <v>542089</v>
      </c>
      <c r="F36" s="319">
        <v>554217</v>
      </c>
      <c r="G36" s="319">
        <v>549762</v>
      </c>
      <c r="H36" s="319">
        <v>582347</v>
      </c>
      <c r="I36" s="319">
        <v>597192</v>
      </c>
      <c r="J36" s="584">
        <v>633148</v>
      </c>
      <c r="K36" s="319">
        <v>620000</v>
      </c>
      <c r="L36" s="319">
        <v>615000</v>
      </c>
      <c r="M36" s="319">
        <v>650000</v>
      </c>
      <c r="N36" s="319">
        <v>664000</v>
      </c>
      <c r="O36" s="319">
        <v>631971</v>
      </c>
      <c r="P36" s="319">
        <v>775713</v>
      </c>
      <c r="Q36" s="319">
        <v>758910.91</v>
      </c>
      <c r="R36" s="322">
        <v>768340.72</v>
      </c>
      <c r="S36" s="377">
        <v>827045.70000000007</v>
      </c>
      <c r="T36" s="637">
        <v>731212.15</v>
      </c>
      <c r="U36" s="637">
        <v>784555.11</v>
      </c>
      <c r="V36" s="637"/>
      <c r="W36" s="637"/>
      <c r="X36" s="3"/>
    </row>
    <row r="37" spans="1:24">
      <c r="A37" s="319" t="s">
        <v>24</v>
      </c>
      <c r="B37" s="319">
        <v>0</v>
      </c>
      <c r="C37" s="319">
        <v>0</v>
      </c>
      <c r="D37" s="319">
        <v>0</v>
      </c>
      <c r="E37" s="319">
        <v>0</v>
      </c>
      <c r="F37" s="319">
        <v>0</v>
      </c>
      <c r="G37" s="319">
        <v>0</v>
      </c>
      <c r="H37" s="319">
        <v>0</v>
      </c>
      <c r="I37" s="319">
        <v>0</v>
      </c>
      <c r="J37" s="584">
        <v>702174</v>
      </c>
      <c r="K37" s="319">
        <v>685000</v>
      </c>
      <c r="L37" s="319">
        <v>715000</v>
      </c>
      <c r="M37" s="319">
        <v>809000</v>
      </c>
      <c r="N37" s="319">
        <v>803247.65999999992</v>
      </c>
      <c r="O37" s="319">
        <v>773597.02000000014</v>
      </c>
      <c r="P37" s="319">
        <v>783961.45</v>
      </c>
      <c r="Q37" s="319">
        <v>742932.94000000006</v>
      </c>
      <c r="R37" s="322">
        <v>775317.00000000012</v>
      </c>
      <c r="S37" s="377">
        <v>763628.33000000007</v>
      </c>
      <c r="T37" s="637">
        <v>828522.68</v>
      </c>
      <c r="U37" s="637">
        <v>811906.93</v>
      </c>
      <c r="V37" s="637">
        <v>826872.1</v>
      </c>
      <c r="W37" s="637">
        <v>826872.10000000009</v>
      </c>
      <c r="X37" s="3"/>
    </row>
    <row r="38" spans="1:24">
      <c r="A38" s="319" t="s">
        <v>25</v>
      </c>
      <c r="B38" s="319">
        <v>0</v>
      </c>
      <c r="C38" s="319">
        <v>0</v>
      </c>
      <c r="D38" s="319">
        <v>0</v>
      </c>
      <c r="E38" s="319">
        <v>0</v>
      </c>
      <c r="F38" s="319">
        <v>0</v>
      </c>
      <c r="G38" s="319">
        <v>0</v>
      </c>
      <c r="H38" s="319">
        <v>0</v>
      </c>
      <c r="I38" s="319">
        <v>0</v>
      </c>
      <c r="J38" s="584">
        <v>0</v>
      </c>
      <c r="K38" s="319">
        <v>985</v>
      </c>
      <c r="L38" s="319">
        <v>1000</v>
      </c>
      <c r="M38" s="319">
        <v>334.0899999999674</v>
      </c>
      <c r="N38" s="319">
        <v>341.18999999994412</v>
      </c>
      <c r="O38" s="319">
        <v>428.40000000002328</v>
      </c>
      <c r="P38" s="319">
        <v>541.52999999991152</v>
      </c>
      <c r="Q38" s="319">
        <v>530.29000000003725</v>
      </c>
      <c r="R38" s="322">
        <v>1046.9599999999627</v>
      </c>
      <c r="S38" s="377">
        <v>895</v>
      </c>
      <c r="T38" s="637">
        <v>315</v>
      </c>
      <c r="U38" s="637">
        <v>408.13000000000466</v>
      </c>
      <c r="V38" s="637">
        <v>180</v>
      </c>
      <c r="W38" s="637">
        <v>300180</v>
      </c>
      <c r="X38" s="3"/>
    </row>
    <row r="39" spans="1:24">
      <c r="A39" s="319" t="s">
        <v>26</v>
      </c>
      <c r="B39" s="319">
        <v>0</v>
      </c>
      <c r="C39" s="319">
        <v>0</v>
      </c>
      <c r="D39" s="319">
        <v>0</v>
      </c>
      <c r="E39" s="319">
        <v>0</v>
      </c>
      <c r="F39" s="319">
        <v>0</v>
      </c>
      <c r="G39" s="319">
        <v>0</v>
      </c>
      <c r="H39" s="319">
        <v>0</v>
      </c>
      <c r="I39" s="319">
        <v>0</v>
      </c>
      <c r="J39" s="584">
        <v>1090190</v>
      </c>
      <c r="K39" s="319">
        <v>1300000</v>
      </c>
      <c r="L39" s="319">
        <v>1350000</v>
      </c>
      <c r="M39" s="319">
        <v>1330000</v>
      </c>
      <c r="N39" s="319">
        <v>1400000</v>
      </c>
      <c r="O39" s="319">
        <v>1354291.1499999997</v>
      </c>
      <c r="P39" s="319">
        <v>1395540.13</v>
      </c>
      <c r="Q39" s="319">
        <v>1509576.7100000002</v>
      </c>
      <c r="R39" s="322">
        <v>1533228.0999999996</v>
      </c>
      <c r="S39" s="377"/>
      <c r="T39" s="637">
        <v>1493233.07</v>
      </c>
      <c r="U39" s="637">
        <v>1500026.5900000003</v>
      </c>
      <c r="V39" s="637">
        <v>1452626.8</v>
      </c>
      <c r="W39" s="637">
        <v>1350000</v>
      </c>
      <c r="X39" s="3"/>
    </row>
    <row r="40" spans="1:24">
      <c r="A40" s="319" t="s">
        <v>27</v>
      </c>
      <c r="B40" s="319">
        <v>266457</v>
      </c>
      <c r="C40" s="319">
        <v>0</v>
      </c>
      <c r="D40" s="319">
        <v>0</v>
      </c>
      <c r="E40" s="319">
        <v>0</v>
      </c>
      <c r="F40" s="319">
        <v>0</v>
      </c>
      <c r="G40" s="319">
        <v>0</v>
      </c>
      <c r="H40" s="319">
        <v>0</v>
      </c>
      <c r="I40" s="319">
        <v>0</v>
      </c>
      <c r="J40" s="584">
        <v>0</v>
      </c>
      <c r="K40" s="319"/>
      <c r="L40" s="319"/>
      <c r="M40" s="319"/>
      <c r="N40" s="319"/>
      <c r="O40" s="319"/>
      <c r="P40" s="319"/>
      <c r="Q40" s="319"/>
      <c r="R40" s="322"/>
      <c r="S40" s="377"/>
      <c r="T40" s="637"/>
      <c r="U40" s="637"/>
      <c r="V40" s="637"/>
      <c r="W40" s="637"/>
      <c r="X40" s="3"/>
    </row>
    <row r="41" spans="1:24">
      <c r="A41" s="319" t="s">
        <v>28</v>
      </c>
      <c r="B41" s="319">
        <v>0</v>
      </c>
      <c r="C41" s="319">
        <v>0</v>
      </c>
      <c r="D41" s="319">
        <v>0</v>
      </c>
      <c r="E41" s="319">
        <v>0</v>
      </c>
      <c r="F41" s="319">
        <v>0</v>
      </c>
      <c r="G41" s="319">
        <v>0</v>
      </c>
      <c r="H41" s="319">
        <v>0</v>
      </c>
      <c r="I41" s="319">
        <v>0</v>
      </c>
      <c r="J41" s="584">
        <v>0</v>
      </c>
      <c r="K41" s="319">
        <v>198000</v>
      </c>
      <c r="L41" s="319">
        <v>210000</v>
      </c>
      <c r="M41" s="319">
        <v>190500</v>
      </c>
      <c r="N41" s="319">
        <v>226875</v>
      </c>
      <c r="O41" s="319">
        <v>217157</v>
      </c>
      <c r="P41" s="319">
        <v>243093.38</v>
      </c>
      <c r="Q41" s="319">
        <v>228339</v>
      </c>
      <c r="R41" s="322">
        <v>229705</v>
      </c>
      <c r="S41" s="377">
        <v>230376.33000000002</v>
      </c>
      <c r="T41" s="637">
        <v>241410.00000000006</v>
      </c>
      <c r="U41" s="637">
        <v>252621</v>
      </c>
      <c r="V41" s="637">
        <v>250018.00000000006</v>
      </c>
      <c r="W41" s="637">
        <v>250018</v>
      </c>
      <c r="X41" s="3"/>
    </row>
    <row r="42" spans="1:24">
      <c r="A42" s="319" t="s">
        <v>29</v>
      </c>
      <c r="B42" s="319">
        <v>670085</v>
      </c>
      <c r="C42" s="319">
        <v>0</v>
      </c>
      <c r="D42" s="319">
        <v>0</v>
      </c>
      <c r="E42" s="319">
        <v>0</v>
      </c>
      <c r="F42" s="319">
        <v>0</v>
      </c>
      <c r="G42" s="319">
        <v>0</v>
      </c>
      <c r="H42" s="319">
        <v>0</v>
      </c>
      <c r="I42" s="319">
        <v>0</v>
      </c>
      <c r="J42" s="584">
        <v>0</v>
      </c>
      <c r="K42" s="319">
        <v>445000</v>
      </c>
      <c r="L42" s="319">
        <v>860000</v>
      </c>
      <c r="M42" s="319">
        <v>880000</v>
      </c>
      <c r="N42" s="319">
        <v>900000</v>
      </c>
      <c r="O42" s="319">
        <v>876284.71</v>
      </c>
      <c r="P42" s="319">
        <v>896003.49</v>
      </c>
      <c r="Q42" s="319"/>
      <c r="R42" s="322">
        <v>884614.37999999989</v>
      </c>
      <c r="S42" s="377">
        <v>904177.34</v>
      </c>
      <c r="T42" s="637">
        <v>992944.17999999993</v>
      </c>
      <c r="U42" s="637"/>
      <c r="V42" s="637"/>
      <c r="W42" s="637"/>
      <c r="X42" s="3"/>
    </row>
    <row r="43" spans="1:24">
      <c r="A43" s="319" t="s">
        <v>30</v>
      </c>
      <c r="B43" s="319">
        <v>1504786</v>
      </c>
      <c r="C43" s="319">
        <v>0</v>
      </c>
      <c r="D43" s="319">
        <v>0</v>
      </c>
      <c r="E43" s="319">
        <v>239751</v>
      </c>
      <c r="F43" s="319">
        <v>241005</v>
      </c>
      <c r="G43" s="319">
        <v>32260</v>
      </c>
      <c r="H43" s="319">
        <v>46108</v>
      </c>
      <c r="I43" s="319">
        <v>563875</v>
      </c>
      <c r="J43" s="584">
        <v>705792</v>
      </c>
      <c r="K43" s="319">
        <v>480200</v>
      </c>
      <c r="L43" s="319">
        <v>520000</v>
      </c>
      <c r="M43" s="319">
        <v>520000</v>
      </c>
      <c r="N43" s="319">
        <v>572000</v>
      </c>
      <c r="O43" s="319">
        <v>535391.00999999989</v>
      </c>
      <c r="P43" s="319">
        <v>519844.48000000004</v>
      </c>
      <c r="Q43" s="319">
        <v>535926.93999999983</v>
      </c>
      <c r="R43" s="322">
        <v>526723.31999999995</v>
      </c>
      <c r="S43" s="377">
        <v>526617.50999999989</v>
      </c>
      <c r="T43" s="637">
        <v>586108.76</v>
      </c>
      <c r="U43" s="637">
        <v>625053.9</v>
      </c>
      <c r="V43" s="637">
        <v>599523.44999999995</v>
      </c>
      <c r="W43" s="637">
        <v>625000</v>
      </c>
      <c r="X43" s="3"/>
    </row>
    <row r="44" spans="1:24">
      <c r="A44" s="319" t="s">
        <v>31</v>
      </c>
      <c r="B44" s="319">
        <v>351545</v>
      </c>
      <c r="C44" s="319">
        <v>0</v>
      </c>
      <c r="D44" s="319">
        <v>0</v>
      </c>
      <c r="E44" s="319">
        <v>0</v>
      </c>
      <c r="F44" s="319">
        <v>0</v>
      </c>
      <c r="G44" s="319">
        <v>0</v>
      </c>
      <c r="H44" s="319">
        <v>0</v>
      </c>
      <c r="I44" s="319">
        <v>0</v>
      </c>
      <c r="J44" s="584">
        <v>0</v>
      </c>
      <c r="K44" s="319">
        <v>65000</v>
      </c>
      <c r="L44" s="319">
        <v>75000</v>
      </c>
      <c r="M44" s="319">
        <v>86000</v>
      </c>
      <c r="N44" s="319">
        <v>89000</v>
      </c>
      <c r="O44" s="319">
        <v>1308751.3599999999</v>
      </c>
      <c r="P44" s="319">
        <v>1335154.2300000002</v>
      </c>
      <c r="Q44" s="319">
        <v>1430369.21</v>
      </c>
      <c r="R44" s="322">
        <v>1724911.98</v>
      </c>
      <c r="S44" s="377">
        <v>1710690.2999999998</v>
      </c>
      <c r="T44" s="637">
        <v>1718060.63</v>
      </c>
      <c r="U44" s="637">
        <v>1719916.4999999998</v>
      </c>
      <c r="V44" s="637">
        <v>1627166.8199999998</v>
      </c>
      <c r="W44" s="637">
        <v>1600000</v>
      </c>
      <c r="X44" s="3"/>
    </row>
    <row r="45" spans="1:24">
      <c r="A45" s="319" t="s">
        <v>32</v>
      </c>
      <c r="B45" s="319">
        <v>188277</v>
      </c>
      <c r="C45" s="319">
        <v>190655</v>
      </c>
      <c r="D45" s="319">
        <v>0</v>
      </c>
      <c r="E45" s="319">
        <v>0</v>
      </c>
      <c r="F45" s="319">
        <v>0</v>
      </c>
      <c r="G45" s="319">
        <v>0</v>
      </c>
      <c r="H45" s="319">
        <v>0</v>
      </c>
      <c r="I45" s="319">
        <v>0</v>
      </c>
      <c r="J45" s="584">
        <v>0</v>
      </c>
      <c r="K45" s="319">
        <v>0</v>
      </c>
      <c r="L45" s="319">
        <v>0</v>
      </c>
      <c r="M45" s="319">
        <v>0</v>
      </c>
      <c r="N45" s="319">
        <v>0</v>
      </c>
      <c r="O45" s="319">
        <v>0</v>
      </c>
      <c r="P45" s="319">
        <v>0</v>
      </c>
      <c r="Q45" s="319">
        <v>0</v>
      </c>
      <c r="R45" s="322">
        <v>0</v>
      </c>
      <c r="S45" s="377">
        <v>0</v>
      </c>
      <c r="T45" s="637">
        <v>0</v>
      </c>
      <c r="U45" s="637">
        <v>353461</v>
      </c>
      <c r="V45" s="637">
        <v>339710</v>
      </c>
      <c r="W45" s="637">
        <v>336300</v>
      </c>
      <c r="X45" s="3"/>
    </row>
    <row r="46" spans="1:24">
      <c r="A46" s="319" t="s">
        <v>33</v>
      </c>
      <c r="B46" s="319">
        <v>0</v>
      </c>
      <c r="C46" s="319">
        <v>0</v>
      </c>
      <c r="D46" s="319">
        <v>0</v>
      </c>
      <c r="E46" s="319">
        <v>0</v>
      </c>
      <c r="F46" s="319">
        <v>0</v>
      </c>
      <c r="G46" s="319">
        <v>0</v>
      </c>
      <c r="H46" s="319">
        <v>0</v>
      </c>
      <c r="I46" s="319">
        <v>0</v>
      </c>
      <c r="J46" s="584">
        <v>0</v>
      </c>
      <c r="K46" s="319">
        <v>245700</v>
      </c>
      <c r="L46" s="319">
        <v>248300</v>
      </c>
      <c r="M46" s="319">
        <v>248000</v>
      </c>
      <c r="N46" s="319">
        <v>271000</v>
      </c>
      <c r="O46" s="319">
        <v>261808.73</v>
      </c>
      <c r="P46" s="319">
        <v>347836.47</v>
      </c>
      <c r="Q46" s="319">
        <v>363532.82999999996</v>
      </c>
      <c r="R46" s="322">
        <v>447653.12</v>
      </c>
      <c r="S46" s="377">
        <v>349918.29000000004</v>
      </c>
      <c r="T46" s="637">
        <v>379210.09000000008</v>
      </c>
      <c r="U46" s="637">
        <v>370798.85</v>
      </c>
      <c r="V46" s="637">
        <v>361898.51</v>
      </c>
      <c r="W46" s="637">
        <v>350000</v>
      </c>
      <c r="X46" s="3"/>
    </row>
    <row r="47" spans="1:24">
      <c r="A47" s="319" t="s">
        <v>34</v>
      </c>
      <c r="B47" s="319">
        <v>754457</v>
      </c>
      <c r="C47" s="319">
        <v>309872</v>
      </c>
      <c r="D47" s="319">
        <v>341470</v>
      </c>
      <c r="E47" s="319">
        <v>408639</v>
      </c>
      <c r="F47" s="319">
        <v>430061</v>
      </c>
      <c r="G47" s="319">
        <v>401600</v>
      </c>
      <c r="H47" s="319">
        <v>388327</v>
      </c>
      <c r="I47" s="319">
        <v>370501</v>
      </c>
      <c r="J47" s="584">
        <v>392961</v>
      </c>
      <c r="K47" s="319">
        <v>500000</v>
      </c>
      <c r="L47" s="319">
        <v>551000.00000000012</v>
      </c>
      <c r="M47" s="319">
        <v>545000</v>
      </c>
      <c r="N47" s="319">
        <v>535000</v>
      </c>
      <c r="O47" s="319">
        <v>501981.86999999988</v>
      </c>
      <c r="P47" s="319">
        <v>507009.04000000004</v>
      </c>
      <c r="Q47" s="319"/>
      <c r="R47" s="322">
        <v>327929.05999999994</v>
      </c>
      <c r="S47" s="377">
        <v>302965.31999999989</v>
      </c>
      <c r="T47" s="637">
        <v>328852.0199999999</v>
      </c>
      <c r="U47" s="637">
        <v>323257.39999999991</v>
      </c>
      <c r="V47" s="637">
        <v>567336.75999999989</v>
      </c>
      <c r="W47" s="637">
        <v>603855.34</v>
      </c>
      <c r="X47" s="3"/>
    </row>
    <row r="48" spans="1:24">
      <c r="A48" s="319" t="s">
        <v>35</v>
      </c>
      <c r="B48" s="319">
        <v>286803</v>
      </c>
      <c r="C48" s="319">
        <v>0</v>
      </c>
      <c r="D48" s="319">
        <v>0</v>
      </c>
      <c r="E48" s="319">
        <v>0</v>
      </c>
      <c r="F48" s="319">
        <v>66478</v>
      </c>
      <c r="G48" s="319">
        <v>1855851</v>
      </c>
      <c r="H48" s="319">
        <v>2024301</v>
      </c>
      <c r="I48" s="319">
        <v>2242960</v>
      </c>
      <c r="J48" s="584">
        <v>2262567</v>
      </c>
      <c r="K48" s="319">
        <v>980000</v>
      </c>
      <c r="L48" s="319">
        <v>1010000</v>
      </c>
      <c r="M48" s="319">
        <v>1118000</v>
      </c>
      <c r="N48" s="319">
        <v>1120000</v>
      </c>
      <c r="O48" s="319">
        <v>1032780.8700000001</v>
      </c>
      <c r="P48" s="319">
        <v>1053627.43</v>
      </c>
      <c r="Q48" s="319">
        <v>1081608.08</v>
      </c>
      <c r="R48" s="322">
        <v>1081892.54</v>
      </c>
      <c r="S48" s="377">
        <v>1070361.96</v>
      </c>
      <c r="T48" s="637">
        <v>1160312.83</v>
      </c>
      <c r="U48" s="637">
        <v>1343682.15</v>
      </c>
      <c r="V48" s="637">
        <v>1305590.5299999998</v>
      </c>
      <c r="W48" s="637">
        <v>1250000</v>
      </c>
      <c r="X48" s="3"/>
    </row>
    <row r="49" spans="1:24">
      <c r="A49" s="319" t="s">
        <v>36</v>
      </c>
      <c r="B49" s="319">
        <v>0</v>
      </c>
      <c r="C49" s="319">
        <v>0</v>
      </c>
      <c r="D49" s="319">
        <v>0</v>
      </c>
      <c r="E49" s="319">
        <v>0</v>
      </c>
      <c r="F49" s="319">
        <v>0</v>
      </c>
      <c r="G49" s="319">
        <v>0</v>
      </c>
      <c r="H49" s="319">
        <v>0</v>
      </c>
      <c r="I49" s="319">
        <v>0</v>
      </c>
      <c r="J49" s="584">
        <v>0</v>
      </c>
      <c r="K49" s="319">
        <v>0</v>
      </c>
      <c r="L49" s="319">
        <v>0</v>
      </c>
      <c r="M49" s="319">
        <v>0</v>
      </c>
      <c r="N49" s="319">
        <v>342000</v>
      </c>
      <c r="O49" s="319">
        <v>630024.37999999989</v>
      </c>
      <c r="P49" s="319">
        <v>0</v>
      </c>
      <c r="Q49" s="319">
        <v>0</v>
      </c>
      <c r="R49" s="322">
        <v>0</v>
      </c>
      <c r="S49" s="377">
        <v>0</v>
      </c>
      <c r="T49" s="637">
        <v>0</v>
      </c>
      <c r="U49" s="637">
        <v>0</v>
      </c>
      <c r="V49" s="637">
        <v>0</v>
      </c>
      <c r="W49" s="637">
        <v>0</v>
      </c>
      <c r="X49" s="3"/>
    </row>
    <row r="50" spans="1:24">
      <c r="A50" s="319" t="s">
        <v>37</v>
      </c>
      <c r="B50" s="319">
        <v>0</v>
      </c>
      <c r="C50" s="319">
        <v>0</v>
      </c>
      <c r="D50" s="319">
        <v>0</v>
      </c>
      <c r="E50" s="319">
        <v>143547</v>
      </c>
      <c r="F50" s="319">
        <v>163025</v>
      </c>
      <c r="G50" s="319">
        <v>148980</v>
      </c>
      <c r="H50" s="319">
        <v>200169</v>
      </c>
      <c r="I50" s="319">
        <v>179994</v>
      </c>
      <c r="J50" s="584">
        <v>259474</v>
      </c>
      <c r="K50" s="319">
        <v>135000</v>
      </c>
      <c r="L50" s="319">
        <v>135000</v>
      </c>
      <c r="M50" s="319">
        <v>133000</v>
      </c>
      <c r="N50" s="319">
        <v>131886.41000000003</v>
      </c>
      <c r="O50" s="319">
        <v>133178.27000000005</v>
      </c>
      <c r="P50" s="319">
        <v>139431.99999999997</v>
      </c>
      <c r="Q50" s="319">
        <v>145490.08000000002</v>
      </c>
      <c r="R50" s="322">
        <v>139178.21999999997</v>
      </c>
      <c r="S50" s="377">
        <v>274862.94000000006</v>
      </c>
      <c r="T50" s="637">
        <v>311799.32000000007</v>
      </c>
      <c r="U50" s="637">
        <v>323129.71999999997</v>
      </c>
      <c r="V50" s="637">
        <v>315540.38</v>
      </c>
      <c r="W50" s="637">
        <v>347889.93999999994</v>
      </c>
      <c r="X50" s="3"/>
    </row>
    <row r="51" spans="1:24">
      <c r="A51" s="319" t="s">
        <v>38</v>
      </c>
      <c r="B51" s="319">
        <v>2411667</v>
      </c>
      <c r="C51" s="319">
        <v>1429454</v>
      </c>
      <c r="D51" s="319">
        <v>1690472</v>
      </c>
      <c r="E51" s="319">
        <v>1918125</v>
      </c>
      <c r="F51" s="319">
        <v>1682737</v>
      </c>
      <c r="G51" s="319">
        <v>1663628</v>
      </c>
      <c r="H51" s="319">
        <v>1659909</v>
      </c>
      <c r="I51" s="319">
        <v>1715322</v>
      </c>
      <c r="J51" s="584">
        <v>1839920</v>
      </c>
      <c r="K51" s="319">
        <v>0</v>
      </c>
      <c r="L51" s="319">
        <v>209</v>
      </c>
      <c r="M51" s="319">
        <v>2000000</v>
      </c>
      <c r="N51" s="319">
        <v>2000000</v>
      </c>
      <c r="O51" s="319">
        <v>1775279.09</v>
      </c>
      <c r="P51" s="319">
        <v>1837137.0799999998</v>
      </c>
      <c r="Q51" s="319">
        <v>1926614.8</v>
      </c>
      <c r="R51" s="322">
        <v>1912315.2499999998</v>
      </c>
      <c r="S51" s="377">
        <v>1901720.63</v>
      </c>
      <c r="T51" s="637">
        <v>1992614.0100000002</v>
      </c>
      <c r="U51" s="637">
        <v>2238896.12</v>
      </c>
      <c r="V51" s="637"/>
      <c r="W51" s="637"/>
      <c r="X51" s="3"/>
    </row>
    <row r="52" spans="1:24">
      <c r="A52" s="319" t="s">
        <v>39</v>
      </c>
      <c r="B52" s="319">
        <v>0</v>
      </c>
      <c r="C52" s="319">
        <v>0</v>
      </c>
      <c r="D52" s="319">
        <v>0</v>
      </c>
      <c r="E52" s="319">
        <v>0</v>
      </c>
      <c r="F52" s="319">
        <v>0</v>
      </c>
      <c r="G52" s="319">
        <v>0</v>
      </c>
      <c r="H52" s="319">
        <v>0</v>
      </c>
      <c r="I52" s="319">
        <v>0</v>
      </c>
      <c r="J52" s="584">
        <v>0</v>
      </c>
      <c r="K52" s="319">
        <v>0</v>
      </c>
      <c r="L52" s="319">
        <v>0</v>
      </c>
      <c r="M52" s="319">
        <v>0</v>
      </c>
      <c r="N52" s="319">
        <v>0</v>
      </c>
      <c r="O52" s="319">
        <v>1701784.9199999997</v>
      </c>
      <c r="P52" s="319">
        <v>1188404.5199999998</v>
      </c>
      <c r="Q52" s="319">
        <v>1246828.5199999998</v>
      </c>
      <c r="R52" s="322">
        <v>1235404.03</v>
      </c>
      <c r="S52" s="377">
        <v>1257770.78</v>
      </c>
      <c r="T52" s="637">
        <v>1365751.91</v>
      </c>
      <c r="U52" s="637">
        <v>1166046.5900000003</v>
      </c>
      <c r="V52" s="637">
        <v>385164.01</v>
      </c>
      <c r="W52" s="637">
        <v>483000</v>
      </c>
      <c r="X52" s="3"/>
    </row>
    <row r="53" spans="1:24">
      <c r="A53" s="319" t="s">
        <v>40</v>
      </c>
      <c r="B53" s="319">
        <v>377851</v>
      </c>
      <c r="C53" s="319">
        <v>711513</v>
      </c>
      <c r="D53" s="319">
        <v>392792</v>
      </c>
      <c r="E53" s="319">
        <v>1139856</v>
      </c>
      <c r="F53" s="319">
        <v>707062</v>
      </c>
      <c r="G53" s="319">
        <v>874593</v>
      </c>
      <c r="H53" s="319">
        <v>1243818</v>
      </c>
      <c r="I53" s="319">
        <v>904705</v>
      </c>
      <c r="J53" s="584">
        <v>866646</v>
      </c>
      <c r="K53" s="319">
        <v>585000</v>
      </c>
      <c r="L53" s="319">
        <v>631000</v>
      </c>
      <c r="M53" s="319">
        <v>339059.78</v>
      </c>
      <c r="N53" s="319">
        <v>350000</v>
      </c>
      <c r="O53" s="319">
        <v>345231.43000000011</v>
      </c>
      <c r="P53" s="319">
        <v>344124.57999999996</v>
      </c>
      <c r="Q53" s="319">
        <v>366606.13000000006</v>
      </c>
      <c r="R53" s="322">
        <v>347739.51000000007</v>
      </c>
      <c r="S53" s="377">
        <v>351476.5199999999</v>
      </c>
      <c r="T53" s="637">
        <v>502028.92000000004</v>
      </c>
      <c r="U53" s="637">
        <v>615260.2300000001</v>
      </c>
      <c r="V53" s="637">
        <v>581890.99</v>
      </c>
      <c r="W53" s="637">
        <v>594000.00000000012</v>
      </c>
      <c r="X53" s="3"/>
    </row>
    <row r="54" spans="1:24">
      <c r="A54" s="319" t="s">
        <v>41</v>
      </c>
      <c r="B54" s="319">
        <v>110191</v>
      </c>
      <c r="C54" s="319">
        <v>0</v>
      </c>
      <c r="D54" s="319">
        <v>0</v>
      </c>
      <c r="E54" s="319">
        <v>0</v>
      </c>
      <c r="F54" s="319">
        <v>0</v>
      </c>
      <c r="G54" s="319">
        <v>0</v>
      </c>
      <c r="H54" s="319">
        <v>0</v>
      </c>
      <c r="I54" s="319">
        <v>0</v>
      </c>
      <c r="J54" s="584">
        <v>0</v>
      </c>
      <c r="K54" s="319">
        <v>0</v>
      </c>
      <c r="L54" s="319">
        <v>0</v>
      </c>
      <c r="M54" s="319">
        <v>0</v>
      </c>
      <c r="N54" s="319">
        <v>0</v>
      </c>
      <c r="O54" s="319">
        <v>0</v>
      </c>
      <c r="P54" s="319">
        <v>0</v>
      </c>
      <c r="Q54" s="319">
        <v>0</v>
      </c>
      <c r="R54" s="322">
        <v>46304.780000000028</v>
      </c>
      <c r="S54" s="377">
        <v>511738.66999999993</v>
      </c>
      <c r="T54" s="637">
        <v>0</v>
      </c>
      <c r="U54" s="637">
        <v>0</v>
      </c>
      <c r="V54" s="637">
        <v>0</v>
      </c>
      <c r="W54" s="637">
        <v>0</v>
      </c>
      <c r="X54" s="3"/>
    </row>
    <row r="55" spans="1:24">
      <c r="A55" s="319" t="s">
        <v>42</v>
      </c>
      <c r="B55" s="319">
        <v>0</v>
      </c>
      <c r="C55" s="319">
        <v>0</v>
      </c>
      <c r="D55" s="319">
        <v>0</v>
      </c>
      <c r="E55" s="319">
        <v>0</v>
      </c>
      <c r="F55" s="319">
        <v>0</v>
      </c>
      <c r="G55" s="319">
        <v>0</v>
      </c>
      <c r="H55" s="319">
        <v>0</v>
      </c>
      <c r="I55" s="319">
        <v>31753</v>
      </c>
      <c r="J55" s="584">
        <v>435051</v>
      </c>
      <c r="K55" s="319">
        <v>397000</v>
      </c>
      <c r="L55" s="319">
        <v>456250</v>
      </c>
      <c r="M55" s="319">
        <v>552800</v>
      </c>
      <c r="N55" s="319">
        <v>569384</v>
      </c>
      <c r="O55" s="319">
        <v>581768</v>
      </c>
      <c r="P55" s="319">
        <v>563656</v>
      </c>
      <c r="Q55" s="319">
        <v>592712</v>
      </c>
      <c r="R55" s="322">
        <v>621614</v>
      </c>
      <c r="S55" s="377">
        <v>614701</v>
      </c>
      <c r="T55" s="637"/>
      <c r="U55" s="637">
        <v>650541</v>
      </c>
      <c r="V55" s="637">
        <v>640277</v>
      </c>
      <c r="W55" s="637">
        <v>613093</v>
      </c>
      <c r="X55" s="3"/>
    </row>
    <row r="56" spans="1:24">
      <c r="A56" s="319" t="s">
        <v>43</v>
      </c>
      <c r="B56" s="319">
        <v>516259</v>
      </c>
      <c r="C56" s="319">
        <v>701092</v>
      </c>
      <c r="D56" s="319">
        <v>693073</v>
      </c>
      <c r="E56" s="319">
        <v>872556</v>
      </c>
      <c r="F56" s="319">
        <v>599062</v>
      </c>
      <c r="G56" s="319">
        <v>792862</v>
      </c>
      <c r="H56" s="319">
        <v>971676</v>
      </c>
      <c r="I56" s="319">
        <v>1498581</v>
      </c>
      <c r="J56" s="584">
        <v>950272</v>
      </c>
      <c r="K56" s="319">
        <v>835500</v>
      </c>
      <c r="L56" s="319">
        <v>700400</v>
      </c>
      <c r="M56" s="319">
        <v>700000</v>
      </c>
      <c r="N56" s="319">
        <v>690000</v>
      </c>
      <c r="O56" s="319">
        <v>609581.66</v>
      </c>
      <c r="P56" s="319">
        <v>642702.33000000007</v>
      </c>
      <c r="Q56" s="319"/>
      <c r="R56" s="322"/>
      <c r="S56" s="377"/>
      <c r="T56" s="637"/>
      <c r="U56" s="637"/>
      <c r="V56" s="637"/>
      <c r="W56" s="637"/>
      <c r="X56" s="3"/>
    </row>
    <row r="57" spans="1:24">
      <c r="A57" s="319" t="s">
        <v>44</v>
      </c>
      <c r="B57" s="319">
        <v>479947</v>
      </c>
      <c r="C57" s="319">
        <v>445038</v>
      </c>
      <c r="D57" s="319">
        <v>462596</v>
      </c>
      <c r="E57" s="319">
        <v>482504</v>
      </c>
      <c r="F57" s="319">
        <v>0</v>
      </c>
      <c r="G57" s="319">
        <v>30046</v>
      </c>
      <c r="H57" s="319">
        <v>491751</v>
      </c>
      <c r="I57" s="319">
        <v>563281</v>
      </c>
      <c r="J57" s="584">
        <v>751882</v>
      </c>
      <c r="K57" s="319">
        <v>408000</v>
      </c>
      <c r="L57" s="319">
        <v>430000</v>
      </c>
      <c r="M57" s="319">
        <v>490000</v>
      </c>
      <c r="N57" s="319"/>
      <c r="O57" s="319">
        <v>507224.88</v>
      </c>
      <c r="P57" s="319">
        <v>490235.83</v>
      </c>
      <c r="Q57" s="319"/>
      <c r="R57" s="322">
        <v>489029.05000000005</v>
      </c>
      <c r="S57" s="377"/>
      <c r="T57" s="637"/>
      <c r="U57" s="637">
        <v>577718.93000000017</v>
      </c>
      <c r="V57" s="637"/>
      <c r="W57" s="637"/>
      <c r="X57" s="3"/>
    </row>
    <row r="58" spans="1:24">
      <c r="A58" s="319" t="s">
        <v>45</v>
      </c>
      <c r="B58" s="319">
        <v>0</v>
      </c>
      <c r="C58" s="319">
        <v>111748</v>
      </c>
      <c r="D58" s="319">
        <v>591473</v>
      </c>
      <c r="E58" s="319">
        <v>212319</v>
      </c>
      <c r="F58" s="319">
        <v>216666</v>
      </c>
      <c r="G58" s="319">
        <v>90313</v>
      </c>
      <c r="H58" s="319">
        <v>0</v>
      </c>
      <c r="I58" s="319">
        <v>0</v>
      </c>
      <c r="J58" s="584">
        <v>0</v>
      </c>
      <c r="K58" s="319">
        <v>174170</v>
      </c>
      <c r="L58" s="319">
        <v>174921</v>
      </c>
      <c r="M58" s="319">
        <v>171500</v>
      </c>
      <c r="N58" s="319">
        <v>301000</v>
      </c>
      <c r="O58" s="319">
        <v>286121</v>
      </c>
      <c r="P58" s="319">
        <v>294097</v>
      </c>
      <c r="Q58" s="319">
        <v>362979</v>
      </c>
      <c r="R58" s="322">
        <v>369773</v>
      </c>
      <c r="S58" s="377"/>
      <c r="T58" s="637"/>
      <c r="U58" s="637"/>
      <c r="V58" s="637"/>
      <c r="W58" s="637"/>
      <c r="X58" s="3"/>
    </row>
    <row r="59" spans="1:24">
      <c r="A59" s="319" t="s">
        <v>46</v>
      </c>
      <c r="B59" s="319">
        <v>2429509</v>
      </c>
      <c r="C59" s="319">
        <v>2306921</v>
      </c>
      <c r="D59" s="319">
        <v>2228795</v>
      </c>
      <c r="E59" s="319">
        <v>2256951</v>
      </c>
      <c r="F59" s="319">
        <v>3175726</v>
      </c>
      <c r="G59" s="319">
        <v>2235296</v>
      </c>
      <c r="H59" s="319">
        <v>2322120</v>
      </c>
      <c r="I59" s="319">
        <v>2123546</v>
      </c>
      <c r="J59" s="584">
        <v>876709</v>
      </c>
      <c r="K59" s="319">
        <v>1200100</v>
      </c>
      <c r="L59" s="319">
        <v>1237500</v>
      </c>
      <c r="M59" s="319">
        <v>1297639.2000000002</v>
      </c>
      <c r="N59" s="319">
        <v>1350000</v>
      </c>
      <c r="O59" s="319">
        <v>1338034.67</v>
      </c>
      <c r="P59" s="319"/>
      <c r="Q59" s="319"/>
      <c r="R59" s="322"/>
      <c r="S59" s="377"/>
      <c r="T59" s="637"/>
      <c r="U59" s="637"/>
      <c r="V59" s="637"/>
      <c r="W59" s="637"/>
      <c r="X59" s="3"/>
    </row>
    <row r="60" spans="1:24">
      <c r="A60" s="319" t="s">
        <v>47</v>
      </c>
      <c r="B60" s="319">
        <v>169046</v>
      </c>
      <c r="C60" s="319">
        <v>7036</v>
      </c>
      <c r="D60" s="319">
        <v>0</v>
      </c>
      <c r="E60" s="319">
        <v>0</v>
      </c>
      <c r="F60" s="319">
        <v>0</v>
      </c>
      <c r="G60" s="319">
        <v>0</v>
      </c>
      <c r="H60" s="319">
        <v>0</v>
      </c>
      <c r="I60" s="319">
        <v>1116733</v>
      </c>
      <c r="J60" s="584">
        <v>1271364</v>
      </c>
      <c r="K60" s="319">
        <v>1800000</v>
      </c>
      <c r="L60" s="319">
        <v>2400000</v>
      </c>
      <c r="M60" s="319">
        <v>1200000</v>
      </c>
      <c r="N60" s="319">
        <v>2679000</v>
      </c>
      <c r="O60" s="319">
        <v>2426968.2400000002</v>
      </c>
      <c r="P60" s="319">
        <v>2471459.83</v>
      </c>
      <c r="Q60" s="319">
        <v>2214281.35</v>
      </c>
      <c r="R60" s="322">
        <v>2226460.8600000003</v>
      </c>
      <c r="S60" s="377">
        <v>2362157.3000000003</v>
      </c>
      <c r="T60" s="637">
        <v>2494845.6000000006</v>
      </c>
      <c r="U60" s="637">
        <v>3754289.5999999996</v>
      </c>
      <c r="V60" s="637">
        <v>3881561.9700000007</v>
      </c>
      <c r="W60" s="637">
        <v>4028080.4400000004</v>
      </c>
      <c r="X60" s="3"/>
    </row>
    <row r="61" spans="1:24">
      <c r="A61" s="319" t="s">
        <v>48</v>
      </c>
      <c r="B61" s="319">
        <v>0</v>
      </c>
      <c r="C61" s="319">
        <v>0</v>
      </c>
      <c r="D61" s="319">
        <v>0</v>
      </c>
      <c r="E61" s="319">
        <v>0</v>
      </c>
      <c r="F61" s="319">
        <v>0</v>
      </c>
      <c r="G61" s="319">
        <v>0</v>
      </c>
      <c r="H61" s="319">
        <v>0</v>
      </c>
      <c r="I61" s="319">
        <v>0</v>
      </c>
      <c r="J61" s="584">
        <v>43673</v>
      </c>
      <c r="K61" s="319">
        <v>120000</v>
      </c>
      <c r="L61" s="319">
        <v>233000</v>
      </c>
      <c r="M61" s="319">
        <v>228000</v>
      </c>
      <c r="N61" s="319">
        <v>260000</v>
      </c>
      <c r="O61" s="319">
        <v>233157.39</v>
      </c>
      <c r="P61" s="319">
        <v>252335.81</v>
      </c>
      <c r="Q61" s="319">
        <v>281507.18999999994</v>
      </c>
      <c r="R61" s="322">
        <v>387139.84000000008</v>
      </c>
      <c r="S61" s="377">
        <v>409090.70999999996</v>
      </c>
      <c r="T61" s="637">
        <v>412773.57</v>
      </c>
      <c r="U61" s="637">
        <v>377428.75</v>
      </c>
      <c r="V61" s="637">
        <v>359327.14999999997</v>
      </c>
      <c r="W61" s="637">
        <v>378000</v>
      </c>
      <c r="X61" s="3"/>
    </row>
    <row r="62" spans="1:24">
      <c r="A62" s="319" t="s">
        <v>49</v>
      </c>
      <c r="B62" s="319">
        <v>4830000</v>
      </c>
      <c r="C62" s="319">
        <v>913911</v>
      </c>
      <c r="D62" s="319">
        <v>1120424</v>
      </c>
      <c r="E62" s="319">
        <v>1355208</v>
      </c>
      <c r="F62" s="319">
        <v>1737539</v>
      </c>
      <c r="G62" s="319">
        <v>1784167</v>
      </c>
      <c r="H62" s="319">
        <v>1284434</v>
      </c>
      <c r="I62" s="319">
        <v>1279150</v>
      </c>
      <c r="J62" s="584">
        <v>1302059</v>
      </c>
      <c r="K62" s="319"/>
      <c r="L62" s="319"/>
      <c r="M62" s="319"/>
      <c r="N62" s="319"/>
      <c r="O62" s="319"/>
      <c r="P62" s="319"/>
      <c r="Q62" s="319"/>
      <c r="R62" s="322"/>
      <c r="S62" s="377"/>
      <c r="T62" s="637"/>
      <c r="U62" s="637"/>
      <c r="V62" s="637"/>
      <c r="W62" s="637"/>
      <c r="X62" s="3"/>
    </row>
    <row r="63" spans="1:24">
      <c r="A63" s="319" t="s">
        <v>50</v>
      </c>
      <c r="B63" s="319">
        <v>89545</v>
      </c>
      <c r="C63" s="319">
        <v>315578</v>
      </c>
      <c r="D63" s="319">
        <v>745985</v>
      </c>
      <c r="E63" s="319">
        <v>1619097</v>
      </c>
      <c r="F63" s="319">
        <v>2184409</v>
      </c>
      <c r="G63" s="319">
        <v>2375676</v>
      </c>
      <c r="H63" s="319">
        <v>2247527</v>
      </c>
      <c r="I63" s="319">
        <v>2251141</v>
      </c>
      <c r="J63" s="584">
        <v>2533506</v>
      </c>
      <c r="K63" s="319">
        <v>605000</v>
      </c>
      <c r="L63" s="319">
        <v>605000</v>
      </c>
      <c r="M63" s="319">
        <v>610050</v>
      </c>
      <c r="N63" s="319">
        <v>645050</v>
      </c>
      <c r="O63" s="319">
        <v>656310.74000000011</v>
      </c>
      <c r="P63" s="319">
        <v>711824.97999999975</v>
      </c>
      <c r="Q63" s="319">
        <v>715120.79</v>
      </c>
      <c r="R63" s="322">
        <v>687482.04999999993</v>
      </c>
      <c r="S63" s="377">
        <v>707409.97</v>
      </c>
      <c r="T63" s="637">
        <v>741186.85000000009</v>
      </c>
      <c r="U63" s="637">
        <v>759586.75999999989</v>
      </c>
      <c r="V63" s="637">
        <v>742187.45999999985</v>
      </c>
      <c r="W63" s="637">
        <v>735000</v>
      </c>
      <c r="X63" s="3"/>
    </row>
    <row r="64" spans="1:24">
      <c r="A64" s="319" t="s">
        <v>51</v>
      </c>
      <c r="B64" s="319">
        <v>351130</v>
      </c>
      <c r="C64" s="319">
        <v>0</v>
      </c>
      <c r="D64" s="319">
        <v>0</v>
      </c>
      <c r="E64" s="319">
        <v>0</v>
      </c>
      <c r="F64" s="319">
        <v>0</v>
      </c>
      <c r="G64" s="319">
        <v>0</v>
      </c>
      <c r="H64" s="319">
        <v>0</v>
      </c>
      <c r="I64" s="319">
        <v>431795</v>
      </c>
      <c r="J64" s="584">
        <v>488870</v>
      </c>
      <c r="K64" s="319">
        <v>480000</v>
      </c>
      <c r="L64" s="319">
        <v>485000</v>
      </c>
      <c r="M64" s="319">
        <v>492000</v>
      </c>
      <c r="N64" s="319">
        <v>535000</v>
      </c>
      <c r="O64" s="319">
        <v>472626.87999999995</v>
      </c>
      <c r="P64" s="319">
        <v>509438.24999999994</v>
      </c>
      <c r="Q64" s="319">
        <v>529819.12</v>
      </c>
      <c r="R64" s="322">
        <v>520540.8600000001</v>
      </c>
      <c r="S64" s="377">
        <v>548564.22</v>
      </c>
      <c r="T64" s="637">
        <v>479984.98</v>
      </c>
      <c r="U64" s="637">
        <v>475949.27000000014</v>
      </c>
      <c r="V64" s="637">
        <v>464135.18999999989</v>
      </c>
      <c r="W64" s="637">
        <v>470000</v>
      </c>
      <c r="X64" s="3"/>
    </row>
    <row r="65" spans="1:24">
      <c r="A65" s="319" t="s">
        <v>52</v>
      </c>
      <c r="B65" s="319">
        <v>0</v>
      </c>
      <c r="C65" s="319">
        <v>0</v>
      </c>
      <c r="D65" s="319">
        <v>0</v>
      </c>
      <c r="E65" s="319">
        <v>0</v>
      </c>
      <c r="F65" s="319">
        <v>0</v>
      </c>
      <c r="G65" s="319">
        <v>0</v>
      </c>
      <c r="H65" s="319">
        <v>0</v>
      </c>
      <c r="I65" s="319">
        <v>0</v>
      </c>
      <c r="J65" s="584">
        <v>0</v>
      </c>
      <c r="K65" s="319">
        <v>0</v>
      </c>
      <c r="L65" s="319">
        <v>0</v>
      </c>
      <c r="M65" s="319">
        <v>0</v>
      </c>
      <c r="N65" s="319">
        <v>0</v>
      </c>
      <c r="O65" s="319">
        <v>0</v>
      </c>
      <c r="P65" s="319"/>
      <c r="Q65" s="319">
        <v>0</v>
      </c>
      <c r="R65" s="322">
        <v>0</v>
      </c>
      <c r="S65" s="377">
        <v>0</v>
      </c>
      <c r="T65" s="637">
        <v>0</v>
      </c>
      <c r="U65" s="637">
        <v>0</v>
      </c>
      <c r="V65" s="637">
        <v>0</v>
      </c>
      <c r="W65" s="637">
        <v>0</v>
      </c>
      <c r="X65" s="3"/>
    </row>
    <row r="66" spans="1:24">
      <c r="A66" s="319" t="s">
        <v>53</v>
      </c>
      <c r="B66" s="319">
        <v>385895</v>
      </c>
      <c r="C66" s="319">
        <v>379628</v>
      </c>
      <c r="D66" s="319">
        <v>488542</v>
      </c>
      <c r="E66" s="319">
        <v>466201</v>
      </c>
      <c r="F66" s="319">
        <v>392000</v>
      </c>
      <c r="G66" s="319">
        <v>477614</v>
      </c>
      <c r="H66" s="319">
        <v>453139</v>
      </c>
      <c r="I66" s="319">
        <v>385674</v>
      </c>
      <c r="J66" s="584">
        <v>424596</v>
      </c>
      <c r="K66" s="319">
        <v>0</v>
      </c>
      <c r="L66" s="319">
        <v>444100</v>
      </c>
      <c r="M66" s="319">
        <v>444100</v>
      </c>
      <c r="N66" s="319">
        <v>498000</v>
      </c>
      <c r="O66" s="319">
        <v>426414.06000000006</v>
      </c>
      <c r="P66" s="319">
        <v>441843.98</v>
      </c>
      <c r="Q66" s="319"/>
      <c r="R66" s="322">
        <v>469376.54000000004</v>
      </c>
      <c r="S66" s="377">
        <v>477746.0299999998</v>
      </c>
      <c r="T66" s="637">
        <v>507897.1399999999</v>
      </c>
      <c r="U66" s="637">
        <v>529819.84999999986</v>
      </c>
      <c r="V66" s="637">
        <v>1063862.9500000002</v>
      </c>
      <c r="W66" s="637">
        <v>1090000</v>
      </c>
      <c r="X66" s="3"/>
    </row>
    <row r="67" spans="1:24">
      <c r="A67" s="319" t="s">
        <v>54</v>
      </c>
      <c r="B67" s="319">
        <v>1417207</v>
      </c>
      <c r="C67" s="319">
        <v>0</v>
      </c>
      <c r="D67" s="319">
        <v>875756</v>
      </c>
      <c r="E67" s="319">
        <v>1072374</v>
      </c>
      <c r="F67" s="319">
        <v>1363461</v>
      </c>
      <c r="G67" s="319">
        <v>1810492</v>
      </c>
      <c r="H67" s="319">
        <v>1771543</v>
      </c>
      <c r="I67" s="319">
        <v>1875596</v>
      </c>
      <c r="J67" s="584">
        <v>2244449</v>
      </c>
      <c r="K67" s="319">
        <v>975000</v>
      </c>
      <c r="L67" s="319">
        <v>1005000</v>
      </c>
      <c r="M67" s="319">
        <v>1040000</v>
      </c>
      <c r="N67" s="319">
        <v>1200000</v>
      </c>
      <c r="O67" s="319">
        <v>1025159.4500000001</v>
      </c>
      <c r="P67" s="319">
        <v>1055258.43</v>
      </c>
      <c r="Q67" s="319">
        <v>1084270.69</v>
      </c>
      <c r="R67" s="322">
        <v>1064037.3900000001</v>
      </c>
      <c r="S67" s="377"/>
      <c r="T67" s="637">
        <v>1172310.5599999998</v>
      </c>
      <c r="U67" s="637">
        <v>1214060.24</v>
      </c>
      <c r="V67" s="637">
        <v>1275276.5299999998</v>
      </c>
      <c r="W67" s="637">
        <v>1250000</v>
      </c>
      <c r="X67" s="3"/>
    </row>
    <row r="68" spans="1:24">
      <c r="A68" s="622" t="s">
        <v>513</v>
      </c>
      <c r="B68" s="338"/>
      <c r="C68" s="338"/>
      <c r="D68" s="338"/>
      <c r="E68" s="338"/>
      <c r="F68" s="338"/>
      <c r="G68" s="338"/>
      <c r="H68" s="338"/>
      <c r="I68" s="338"/>
      <c r="J68" s="623"/>
      <c r="K68" s="338"/>
      <c r="L68" s="338"/>
      <c r="M68" s="338"/>
      <c r="N68" s="338"/>
      <c r="O68" s="338"/>
      <c r="P68" s="338">
        <v>672237.61000000034</v>
      </c>
      <c r="Q68" s="338"/>
      <c r="R68" s="342">
        <v>685796.16999999993</v>
      </c>
      <c r="S68" s="338"/>
      <c r="T68" s="637">
        <v>0</v>
      </c>
      <c r="U68" s="637">
        <v>3.2014213502407074E-10</v>
      </c>
      <c r="V68" s="637">
        <v>0</v>
      </c>
      <c r="W68" s="637">
        <v>0</v>
      </c>
      <c r="X68" s="3"/>
    </row>
    <row r="69" spans="1:24">
      <c r="A69" s="319" t="s">
        <v>55</v>
      </c>
      <c r="B69" s="319">
        <v>0</v>
      </c>
      <c r="C69" s="319">
        <v>0</v>
      </c>
      <c r="D69" s="319">
        <v>0</v>
      </c>
      <c r="E69" s="319">
        <v>0</v>
      </c>
      <c r="F69" s="319">
        <v>0</v>
      </c>
      <c r="G69" s="319">
        <v>0</v>
      </c>
      <c r="H69" s="319">
        <v>0</v>
      </c>
      <c r="I69" s="319">
        <v>0</v>
      </c>
      <c r="J69" s="584">
        <v>0</v>
      </c>
      <c r="K69" s="319">
        <v>0</v>
      </c>
      <c r="L69" s="319">
        <v>0</v>
      </c>
      <c r="M69" s="319">
        <v>0</v>
      </c>
      <c r="N69" s="319">
        <v>180000</v>
      </c>
      <c r="O69" s="319">
        <v>151441.45999999973</v>
      </c>
      <c r="P69" s="319">
        <v>176861.52000000002</v>
      </c>
      <c r="Q69" s="319">
        <v>48950.089999999851</v>
      </c>
      <c r="R69" s="322">
        <v>0</v>
      </c>
      <c r="S69" s="377">
        <v>0</v>
      </c>
      <c r="T69" s="637">
        <v>95673.889999999665</v>
      </c>
      <c r="U69" s="637">
        <v>1173148.8700000001</v>
      </c>
      <c r="V69" s="637"/>
      <c r="W69" s="637"/>
      <c r="X69" s="3"/>
    </row>
    <row r="70" spans="1:24">
      <c r="A70" s="319" t="s">
        <v>56</v>
      </c>
      <c r="B70" s="319">
        <v>0</v>
      </c>
      <c r="C70" s="319">
        <v>0</v>
      </c>
      <c r="D70" s="319">
        <v>0</v>
      </c>
      <c r="E70" s="319">
        <v>0</v>
      </c>
      <c r="F70" s="319">
        <v>389156</v>
      </c>
      <c r="G70" s="319">
        <v>0</v>
      </c>
      <c r="H70" s="319">
        <v>0</v>
      </c>
      <c r="I70" s="319">
        <v>0</v>
      </c>
      <c r="J70" s="584">
        <v>0</v>
      </c>
      <c r="K70" s="319">
        <v>0</v>
      </c>
      <c r="L70" s="319">
        <v>0</v>
      </c>
      <c r="M70" s="319">
        <v>0</v>
      </c>
      <c r="N70" s="319">
        <v>0</v>
      </c>
      <c r="O70" s="319">
        <v>0</v>
      </c>
      <c r="P70" s="319">
        <v>0</v>
      </c>
      <c r="Q70" s="319">
        <v>0</v>
      </c>
      <c r="R70" s="322">
        <v>0</v>
      </c>
      <c r="S70" s="377">
        <v>30967.960000000079</v>
      </c>
      <c r="T70" s="637">
        <v>401946.72999999986</v>
      </c>
      <c r="U70" s="637">
        <v>419637.06000000006</v>
      </c>
      <c r="V70" s="637">
        <v>425911.82999999996</v>
      </c>
      <c r="W70" s="637">
        <v>410000</v>
      </c>
      <c r="X70" s="3"/>
    </row>
    <row r="71" spans="1:24">
      <c r="A71" s="319" t="s">
        <v>57</v>
      </c>
      <c r="B71" s="319">
        <v>0</v>
      </c>
      <c r="C71" s="319">
        <v>0</v>
      </c>
      <c r="D71" s="319">
        <v>0</v>
      </c>
      <c r="E71" s="319">
        <v>0</v>
      </c>
      <c r="F71" s="319">
        <v>971393</v>
      </c>
      <c r="G71" s="319">
        <v>0</v>
      </c>
      <c r="H71" s="319">
        <v>0</v>
      </c>
      <c r="I71" s="319">
        <v>0</v>
      </c>
      <c r="J71" s="584">
        <v>0</v>
      </c>
      <c r="K71" s="319">
        <v>470000</v>
      </c>
      <c r="L71" s="319">
        <v>522000</v>
      </c>
      <c r="M71" s="319">
        <v>400000</v>
      </c>
      <c r="N71" s="319">
        <v>833493</v>
      </c>
      <c r="O71" s="319">
        <v>1081183.2400000002</v>
      </c>
      <c r="P71" s="319">
        <v>1258391.8500000001</v>
      </c>
      <c r="Q71" s="319">
        <v>1320388.5</v>
      </c>
      <c r="R71" s="322">
        <v>1317965.5599999998</v>
      </c>
      <c r="S71" s="377"/>
      <c r="T71" s="637">
        <v>1609616.04</v>
      </c>
      <c r="U71" s="637">
        <v>1629912.6</v>
      </c>
      <c r="V71" s="637">
        <v>1654282.92</v>
      </c>
      <c r="W71" s="637">
        <v>1656000</v>
      </c>
      <c r="X71" s="3"/>
    </row>
    <row r="72" spans="1:24">
      <c r="A72" s="319" t="s">
        <v>58</v>
      </c>
      <c r="B72" s="319">
        <v>207612</v>
      </c>
      <c r="C72" s="319">
        <v>210705</v>
      </c>
      <c r="D72" s="319">
        <v>216192</v>
      </c>
      <c r="E72" s="319">
        <v>238332</v>
      </c>
      <c r="F72" s="319">
        <v>0</v>
      </c>
      <c r="G72" s="319">
        <v>506622</v>
      </c>
      <c r="H72" s="319">
        <v>857816</v>
      </c>
      <c r="I72" s="319">
        <v>760888</v>
      </c>
      <c r="J72" s="584">
        <v>673293</v>
      </c>
      <c r="K72" s="319">
        <v>250000</v>
      </c>
      <c r="L72" s="319">
        <v>260000</v>
      </c>
      <c r="M72" s="319">
        <v>272100</v>
      </c>
      <c r="N72" s="319">
        <v>280000</v>
      </c>
      <c r="O72" s="319">
        <v>258176.51</v>
      </c>
      <c r="P72" s="319">
        <v>256863.97999999998</v>
      </c>
      <c r="Q72" s="319">
        <v>265424.02</v>
      </c>
      <c r="R72" s="322">
        <v>260892.33000000007</v>
      </c>
      <c r="S72" s="377">
        <v>285685.83000000007</v>
      </c>
      <c r="T72" s="637">
        <v>610435.79000000015</v>
      </c>
      <c r="U72" s="637">
        <v>629225</v>
      </c>
      <c r="V72" s="637"/>
      <c r="W72" s="637"/>
      <c r="X72" s="3"/>
    </row>
    <row r="73" spans="1:24">
      <c r="A73" s="319" t="s">
        <v>59</v>
      </c>
      <c r="B73" s="319">
        <v>126703</v>
      </c>
      <c r="C73" s="319">
        <v>0</v>
      </c>
      <c r="D73" s="319">
        <v>712002</v>
      </c>
      <c r="E73" s="319">
        <v>906066</v>
      </c>
      <c r="F73" s="319">
        <v>2032114</v>
      </c>
      <c r="G73" s="319">
        <v>952433</v>
      </c>
      <c r="H73" s="319">
        <v>952494</v>
      </c>
      <c r="I73" s="319">
        <v>898652</v>
      </c>
      <c r="J73" s="584">
        <v>903799</v>
      </c>
      <c r="K73" s="319">
        <v>907000</v>
      </c>
      <c r="L73" s="319">
        <v>917500</v>
      </c>
      <c r="M73" s="319">
        <v>1200000</v>
      </c>
      <c r="N73" s="319">
        <v>1170000</v>
      </c>
      <c r="O73" s="319">
        <v>997272.66</v>
      </c>
      <c r="P73" s="319">
        <v>1038891.0499999999</v>
      </c>
      <c r="Q73" s="319"/>
      <c r="R73" s="322">
        <v>1066207.9300000002</v>
      </c>
      <c r="S73" s="377"/>
      <c r="T73" s="637">
        <v>1265354.97</v>
      </c>
      <c r="U73" s="637"/>
      <c r="V73" s="637"/>
      <c r="W73" s="637"/>
      <c r="X73" s="3"/>
    </row>
    <row r="74" spans="1:24">
      <c r="A74" s="319" t="s">
        <v>60</v>
      </c>
      <c r="B74" s="319">
        <v>155730</v>
      </c>
      <c r="C74" s="319">
        <v>0</v>
      </c>
      <c r="D74" s="319">
        <v>0</v>
      </c>
      <c r="E74" s="319">
        <v>0</v>
      </c>
      <c r="F74" s="319">
        <v>998705</v>
      </c>
      <c r="G74" s="319">
        <v>0</v>
      </c>
      <c r="H74" s="319">
        <v>0</v>
      </c>
      <c r="I74" s="319">
        <v>0</v>
      </c>
      <c r="J74" s="584">
        <v>0</v>
      </c>
      <c r="K74" s="319">
        <v>1031385.9500000002</v>
      </c>
      <c r="L74" s="319">
        <v>1791199.7000000002</v>
      </c>
      <c r="M74" s="319">
        <v>1898526.2599999998</v>
      </c>
      <c r="N74" s="319">
        <v>1975468.62</v>
      </c>
      <c r="O74" s="319">
        <v>2443357.2000000002</v>
      </c>
      <c r="P74" s="319">
        <v>2203161.58</v>
      </c>
      <c r="Q74" s="319">
        <v>2505538.0900000003</v>
      </c>
      <c r="R74" s="322">
        <v>3096666.52</v>
      </c>
      <c r="S74" s="377">
        <v>3313133.1700000004</v>
      </c>
      <c r="T74" s="637">
        <v>3662026.59</v>
      </c>
      <c r="U74" s="637">
        <v>3860364.7199999997</v>
      </c>
      <c r="V74" s="637">
        <v>3889574.8699999996</v>
      </c>
      <c r="W74" s="637">
        <v>3555000</v>
      </c>
      <c r="X74" s="3"/>
    </row>
    <row r="75" spans="1:24">
      <c r="A75" s="319" t="s">
        <v>61</v>
      </c>
      <c r="B75" s="319">
        <v>1972703</v>
      </c>
      <c r="C75" s="319">
        <v>0</v>
      </c>
      <c r="D75" s="319">
        <v>0</v>
      </c>
      <c r="E75" s="319">
        <v>163769</v>
      </c>
      <c r="F75" s="319">
        <v>2218234</v>
      </c>
      <c r="G75" s="319">
        <v>2761420</v>
      </c>
      <c r="H75" s="319">
        <v>2376999</v>
      </c>
      <c r="I75" s="319">
        <v>1948155</v>
      </c>
      <c r="J75" s="584">
        <v>2910627</v>
      </c>
      <c r="K75" s="319">
        <v>1864601</v>
      </c>
      <c r="L75" s="319">
        <v>1832109</v>
      </c>
      <c r="M75" s="319">
        <v>1957369</v>
      </c>
      <c r="N75" s="319">
        <v>1889000</v>
      </c>
      <c r="O75" s="319">
        <v>1775049</v>
      </c>
      <c r="P75" s="319">
        <v>1910271</v>
      </c>
      <c r="Q75" s="319">
        <v>1849945</v>
      </c>
      <c r="R75" s="322">
        <v>1883023</v>
      </c>
      <c r="S75" s="377">
        <v>1871649</v>
      </c>
      <c r="T75" s="637">
        <v>1987966</v>
      </c>
      <c r="U75" s="637">
        <v>2103490</v>
      </c>
      <c r="V75" s="637">
        <v>2121011</v>
      </c>
      <c r="W75" s="637">
        <v>2120000</v>
      </c>
      <c r="X75" s="3"/>
    </row>
    <row r="76" spans="1:24">
      <c r="A76" s="319" t="s">
        <v>62</v>
      </c>
      <c r="B76" s="319">
        <v>968769</v>
      </c>
      <c r="C76" s="319">
        <v>948103</v>
      </c>
      <c r="D76" s="319">
        <v>1064347</v>
      </c>
      <c r="E76" s="319">
        <v>898689</v>
      </c>
      <c r="F76" s="319">
        <v>108666</v>
      </c>
      <c r="G76" s="319">
        <v>927017</v>
      </c>
      <c r="H76" s="319">
        <v>1049377</v>
      </c>
      <c r="I76" s="319">
        <v>1078535</v>
      </c>
      <c r="J76" s="584">
        <v>1205749</v>
      </c>
      <c r="K76" s="319">
        <v>685000</v>
      </c>
      <c r="L76" s="319">
        <v>1375000</v>
      </c>
      <c r="M76" s="319">
        <v>1395000</v>
      </c>
      <c r="N76" s="319">
        <v>1370000</v>
      </c>
      <c r="O76" s="319">
        <v>1455939.75</v>
      </c>
      <c r="P76" s="319">
        <v>1446782.8399999999</v>
      </c>
      <c r="Q76" s="319">
        <v>1543866.2300000002</v>
      </c>
      <c r="R76" s="322">
        <v>1578692.4</v>
      </c>
      <c r="S76" s="377"/>
      <c r="T76" s="637"/>
      <c r="U76" s="637"/>
      <c r="V76" s="637"/>
      <c r="W76" s="637"/>
      <c r="X76" s="3"/>
    </row>
    <row r="77" spans="1:24">
      <c r="A77" s="319" t="s">
        <v>63</v>
      </c>
      <c r="B77" s="319">
        <v>1199066</v>
      </c>
      <c r="C77" s="319">
        <v>1938530</v>
      </c>
      <c r="D77" s="319">
        <v>2053105</v>
      </c>
      <c r="E77" s="319">
        <v>2221369</v>
      </c>
      <c r="F77" s="319">
        <v>222662</v>
      </c>
      <c r="G77" s="319">
        <v>2590855</v>
      </c>
      <c r="H77" s="319">
        <v>2551115</v>
      </c>
      <c r="I77" s="319">
        <v>2665600</v>
      </c>
      <c r="J77" s="584">
        <v>2919663</v>
      </c>
      <c r="K77" s="319">
        <v>2563000</v>
      </c>
      <c r="L77" s="319">
        <v>2595000</v>
      </c>
      <c r="M77" s="319">
        <v>2600000</v>
      </c>
      <c r="N77" s="319">
        <v>2761131</v>
      </c>
      <c r="O77" s="319">
        <v>2592606.2200000002</v>
      </c>
      <c r="P77" s="319">
        <v>2547285.48</v>
      </c>
      <c r="Q77" s="319">
        <v>2608053.7999999998</v>
      </c>
      <c r="R77" s="322">
        <v>2557271.98</v>
      </c>
      <c r="S77" s="377">
        <v>2627621.2200000002</v>
      </c>
      <c r="T77" s="637">
        <v>2899050.61</v>
      </c>
      <c r="U77" s="637">
        <v>3078402.74</v>
      </c>
      <c r="V77" s="637">
        <v>3161994.44</v>
      </c>
      <c r="W77" s="637">
        <v>2900000</v>
      </c>
      <c r="X77" s="3"/>
    </row>
    <row r="78" spans="1:24">
      <c r="A78" s="319" t="s">
        <v>64</v>
      </c>
      <c r="B78" s="319">
        <v>1726331</v>
      </c>
      <c r="C78" s="319">
        <v>2989826</v>
      </c>
      <c r="D78" s="319">
        <v>1057191</v>
      </c>
      <c r="E78" s="319">
        <v>117564</v>
      </c>
      <c r="F78" s="319">
        <v>0</v>
      </c>
      <c r="G78" s="319">
        <v>120057</v>
      </c>
      <c r="H78" s="319">
        <v>0</v>
      </c>
      <c r="I78" s="319">
        <v>0</v>
      </c>
      <c r="J78" s="584">
        <v>0</v>
      </c>
      <c r="K78" s="319">
        <v>0</v>
      </c>
      <c r="L78" s="319">
        <v>0</v>
      </c>
      <c r="M78" s="319">
        <v>0</v>
      </c>
      <c r="N78" s="319">
        <v>433500</v>
      </c>
      <c r="O78" s="319">
        <v>538599</v>
      </c>
      <c r="P78" s="319">
        <v>361339</v>
      </c>
      <c r="Q78" s="319">
        <v>0</v>
      </c>
      <c r="R78" s="322">
        <v>0</v>
      </c>
      <c r="S78" s="377">
        <v>0</v>
      </c>
      <c r="T78" s="637">
        <v>0</v>
      </c>
      <c r="U78" s="637">
        <v>0</v>
      </c>
      <c r="V78" s="637">
        <v>0</v>
      </c>
      <c r="W78" s="637">
        <v>1661250</v>
      </c>
      <c r="X78" s="3"/>
    </row>
    <row r="79" spans="1:24">
      <c r="A79" s="319" t="s">
        <v>65</v>
      </c>
      <c r="B79" s="319">
        <v>186664</v>
      </c>
      <c r="C79" s="319">
        <v>215266</v>
      </c>
      <c r="D79" s="319">
        <v>224741</v>
      </c>
      <c r="E79" s="319">
        <v>214281</v>
      </c>
      <c r="F79" s="319">
        <v>0</v>
      </c>
      <c r="G79" s="319">
        <v>240457</v>
      </c>
      <c r="H79" s="319">
        <v>242306</v>
      </c>
      <c r="I79" s="319">
        <v>212705</v>
      </c>
      <c r="J79" s="584">
        <v>215256</v>
      </c>
      <c r="K79" s="319">
        <v>328900</v>
      </c>
      <c r="L79" s="319">
        <v>341000</v>
      </c>
      <c r="M79" s="319">
        <v>340000</v>
      </c>
      <c r="N79" s="319">
        <v>390000</v>
      </c>
      <c r="O79" s="319">
        <v>206578</v>
      </c>
      <c r="P79" s="319">
        <v>207635</v>
      </c>
      <c r="Q79" s="319">
        <v>223661</v>
      </c>
      <c r="R79" s="322">
        <v>222421</v>
      </c>
      <c r="S79" s="377">
        <v>221819</v>
      </c>
      <c r="T79" s="637">
        <v>277301</v>
      </c>
      <c r="U79" s="637">
        <v>276626</v>
      </c>
      <c r="V79" s="637">
        <v>264809</v>
      </c>
      <c r="W79" s="637">
        <v>260000</v>
      </c>
      <c r="X79" s="3"/>
    </row>
    <row r="80" spans="1:24">
      <c r="A80" s="319" t="s">
        <v>66</v>
      </c>
      <c r="B80" s="319">
        <v>302548</v>
      </c>
      <c r="C80" s="319">
        <v>0</v>
      </c>
      <c r="D80" s="319">
        <v>0</v>
      </c>
      <c r="E80" s="319">
        <v>0</v>
      </c>
      <c r="F80" s="319">
        <v>1164277</v>
      </c>
      <c r="G80" s="319">
        <v>0</v>
      </c>
      <c r="H80" s="319">
        <v>0</v>
      </c>
      <c r="I80" s="319">
        <v>0</v>
      </c>
      <c r="J80" s="584">
        <v>0</v>
      </c>
      <c r="K80" s="319">
        <v>0</v>
      </c>
      <c r="L80" s="319">
        <v>0</v>
      </c>
      <c r="M80" s="319">
        <v>0</v>
      </c>
      <c r="N80" s="319">
        <v>544000</v>
      </c>
      <c r="O80" s="319">
        <v>481618.25000000017</v>
      </c>
      <c r="P80" s="319">
        <v>465619.08000000013</v>
      </c>
      <c r="Q80" s="319">
        <v>677353.9</v>
      </c>
      <c r="R80" s="322">
        <v>678601</v>
      </c>
      <c r="S80" s="377"/>
      <c r="T80" s="637">
        <v>550746.62</v>
      </c>
      <c r="U80" s="637">
        <v>93989.330000000075</v>
      </c>
      <c r="V80" s="637"/>
      <c r="W80" s="637"/>
      <c r="X80" s="3"/>
    </row>
    <row r="81" spans="1:24">
      <c r="A81" s="319" t="s">
        <v>67</v>
      </c>
      <c r="B81" s="319">
        <v>0</v>
      </c>
      <c r="C81" s="319">
        <v>0</v>
      </c>
      <c r="D81" s="319">
        <v>0</v>
      </c>
      <c r="E81" s="319">
        <v>0</v>
      </c>
      <c r="F81" s="319">
        <v>0</v>
      </c>
      <c r="G81" s="319">
        <v>0</v>
      </c>
      <c r="H81" s="319">
        <v>0</v>
      </c>
      <c r="I81" s="319">
        <v>0</v>
      </c>
      <c r="J81" s="584">
        <v>0</v>
      </c>
      <c r="K81" s="319">
        <v>0</v>
      </c>
      <c r="L81" s="319">
        <v>0</v>
      </c>
      <c r="M81" s="319">
        <v>0</v>
      </c>
      <c r="N81" s="319">
        <v>0</v>
      </c>
      <c r="O81" s="319">
        <v>0</v>
      </c>
      <c r="P81" s="319">
        <v>0</v>
      </c>
      <c r="Q81" s="319"/>
      <c r="R81" s="322">
        <v>0</v>
      </c>
      <c r="S81" s="377"/>
      <c r="T81" s="637">
        <v>0</v>
      </c>
      <c r="U81" s="637"/>
      <c r="V81" s="637"/>
      <c r="W81" s="637"/>
      <c r="X81" s="3"/>
    </row>
    <row r="82" spans="1:24">
      <c r="A82" s="319" t="s">
        <v>68</v>
      </c>
      <c r="B82" s="319">
        <v>0</v>
      </c>
      <c r="C82" s="319">
        <v>864206</v>
      </c>
      <c r="D82" s="319">
        <v>597281</v>
      </c>
      <c r="E82" s="319">
        <v>659275</v>
      </c>
      <c r="F82" s="319">
        <v>477400</v>
      </c>
      <c r="G82" s="319">
        <v>752724</v>
      </c>
      <c r="H82" s="319">
        <v>1070273</v>
      </c>
      <c r="I82" s="319">
        <v>1020240</v>
      </c>
      <c r="J82" s="584">
        <v>943972</v>
      </c>
      <c r="K82" s="319">
        <v>770300</v>
      </c>
      <c r="L82" s="319">
        <v>800867.10000000009</v>
      </c>
      <c r="M82" s="319">
        <v>771500</v>
      </c>
      <c r="N82" s="319"/>
      <c r="O82" s="319"/>
      <c r="P82" s="319"/>
      <c r="Q82" s="319"/>
      <c r="R82" s="322">
        <v>0</v>
      </c>
      <c r="S82" s="377"/>
      <c r="T82" s="637"/>
      <c r="U82" s="637"/>
      <c r="V82" s="637"/>
      <c r="W82" s="637"/>
      <c r="X82" s="3"/>
    </row>
    <row r="83" spans="1:24">
      <c r="A83" s="319" t="s">
        <v>69</v>
      </c>
      <c r="B83" s="319">
        <v>0</v>
      </c>
      <c r="C83" s="319">
        <v>0</v>
      </c>
      <c r="D83" s="319">
        <v>0</v>
      </c>
      <c r="E83" s="319">
        <v>0</v>
      </c>
      <c r="F83" s="319">
        <v>0</v>
      </c>
      <c r="G83" s="319">
        <v>0</v>
      </c>
      <c r="H83" s="319">
        <v>0</v>
      </c>
      <c r="I83" s="319">
        <v>0</v>
      </c>
      <c r="J83" s="584">
        <v>0</v>
      </c>
      <c r="K83" s="319">
        <v>0</v>
      </c>
      <c r="L83" s="319">
        <v>0</v>
      </c>
      <c r="M83" s="319">
        <v>0</v>
      </c>
      <c r="N83" s="319">
        <v>0</v>
      </c>
      <c r="O83" s="319">
        <v>0</v>
      </c>
      <c r="P83" s="319">
        <v>0</v>
      </c>
      <c r="Q83" s="319"/>
      <c r="R83" s="322"/>
      <c r="S83" s="377"/>
      <c r="T83" s="637"/>
      <c r="U83" s="637"/>
      <c r="V83" s="637"/>
      <c r="W83" s="637"/>
      <c r="X83" s="3"/>
    </row>
    <row r="84" spans="1:24">
      <c r="A84" s="320" t="s">
        <v>70</v>
      </c>
      <c r="B84" s="320">
        <v>411360</v>
      </c>
      <c r="C84" s="320">
        <v>441831</v>
      </c>
      <c r="D84" s="320">
        <v>463556</v>
      </c>
      <c r="E84" s="320">
        <v>475419</v>
      </c>
      <c r="F84" s="320">
        <v>90164</v>
      </c>
      <c r="G84" s="320">
        <v>528780</v>
      </c>
      <c r="H84" s="320">
        <v>595780</v>
      </c>
      <c r="I84" s="320">
        <v>585736</v>
      </c>
      <c r="J84" s="585">
        <v>604845</v>
      </c>
      <c r="K84" s="320">
        <v>410000</v>
      </c>
      <c r="L84" s="320">
        <v>445000</v>
      </c>
      <c r="M84" s="320">
        <v>425000</v>
      </c>
      <c r="N84" s="320">
        <v>450000</v>
      </c>
      <c r="O84" s="320">
        <v>427518</v>
      </c>
      <c r="P84" s="320">
        <v>447934</v>
      </c>
      <c r="Q84" s="320">
        <v>458161</v>
      </c>
      <c r="R84" s="323">
        <v>474554</v>
      </c>
      <c r="S84" s="378">
        <v>455566</v>
      </c>
      <c r="T84" s="702">
        <v>501908</v>
      </c>
      <c r="U84" s="702">
        <v>499020</v>
      </c>
      <c r="V84" s="702">
        <v>476118</v>
      </c>
      <c r="W84" s="702">
        <v>480000</v>
      </c>
      <c r="X84" s="3"/>
    </row>
    <row r="85" spans="1:24">
      <c r="A85" s="320" t="s">
        <v>300</v>
      </c>
      <c r="B85" s="320">
        <v>0</v>
      </c>
      <c r="C85" s="320">
        <v>0</v>
      </c>
      <c r="D85" s="320">
        <v>0</v>
      </c>
      <c r="E85" s="320">
        <v>0</v>
      </c>
      <c r="F85" s="320">
        <v>348248</v>
      </c>
      <c r="G85" s="320">
        <v>0</v>
      </c>
      <c r="H85" s="320">
        <v>0</v>
      </c>
      <c r="I85" s="320">
        <v>0</v>
      </c>
      <c r="J85" s="585">
        <v>0</v>
      </c>
      <c r="K85" s="320">
        <v>0</v>
      </c>
      <c r="L85" s="320">
        <v>0</v>
      </c>
      <c r="M85" s="320">
        <v>0</v>
      </c>
      <c r="N85" s="320">
        <v>0</v>
      </c>
      <c r="O85" s="320">
        <v>0</v>
      </c>
      <c r="P85" s="320">
        <v>0</v>
      </c>
      <c r="Q85" s="320">
        <v>0</v>
      </c>
      <c r="R85" s="323">
        <v>0</v>
      </c>
      <c r="S85" s="378">
        <v>0</v>
      </c>
      <c r="T85" s="702">
        <v>0</v>
      </c>
      <c r="U85" s="702">
        <v>0</v>
      </c>
      <c r="V85" s="702">
        <v>0</v>
      </c>
      <c r="W85" s="702">
        <v>0</v>
      </c>
      <c r="X85" s="3"/>
    </row>
    <row r="86" spans="1:24">
      <c r="A86" s="319" t="s">
        <v>301</v>
      </c>
      <c r="B86" s="319">
        <v>1225742</v>
      </c>
      <c r="C86" s="319">
        <v>625863</v>
      </c>
      <c r="D86" s="319">
        <v>296390</v>
      </c>
      <c r="E86" s="319">
        <v>80192</v>
      </c>
      <c r="F86" s="319">
        <v>0</v>
      </c>
      <c r="G86" s="319">
        <v>95595</v>
      </c>
      <c r="H86" s="319">
        <v>56136</v>
      </c>
      <c r="I86" s="319">
        <v>18597</v>
      </c>
      <c r="J86" s="584">
        <v>3171</v>
      </c>
      <c r="K86" s="319"/>
      <c r="L86" s="319">
        <v>786000</v>
      </c>
      <c r="M86" s="319"/>
      <c r="N86" s="319"/>
      <c r="O86" s="319">
        <v>1600445.65</v>
      </c>
      <c r="P86" s="319">
        <v>1610209.4000000001</v>
      </c>
      <c r="Q86" s="319">
        <v>1833302.7800000003</v>
      </c>
      <c r="R86" s="322">
        <v>1741587.9499999997</v>
      </c>
      <c r="S86" s="377">
        <v>1750324.17</v>
      </c>
      <c r="T86" s="637"/>
      <c r="U86" s="637"/>
      <c r="V86" s="637"/>
      <c r="W86" s="637"/>
      <c r="X86" s="3"/>
    </row>
    <row r="87" spans="1:24">
      <c r="A87" s="319" t="s">
        <v>73</v>
      </c>
      <c r="B87" s="319">
        <v>312086</v>
      </c>
      <c r="C87" s="319">
        <v>310681</v>
      </c>
      <c r="D87" s="319">
        <v>321303</v>
      </c>
      <c r="E87" s="319">
        <v>325546</v>
      </c>
      <c r="F87" s="319">
        <v>89145</v>
      </c>
      <c r="G87" s="319">
        <v>381386</v>
      </c>
      <c r="H87" s="319">
        <v>363941</v>
      </c>
      <c r="I87" s="319">
        <v>367598</v>
      </c>
      <c r="J87" s="584">
        <v>369854</v>
      </c>
      <c r="K87" s="319">
        <v>258000</v>
      </c>
      <c r="L87" s="319">
        <v>250000</v>
      </c>
      <c r="M87" s="319">
        <v>248000</v>
      </c>
      <c r="N87" s="319">
        <v>265000</v>
      </c>
      <c r="O87" s="319">
        <v>268351.59000000003</v>
      </c>
      <c r="P87" s="319">
        <v>275780.05000000005</v>
      </c>
      <c r="Q87" s="319">
        <v>288162.90000000002</v>
      </c>
      <c r="R87" s="322">
        <v>302812.48</v>
      </c>
      <c r="S87" s="377">
        <v>301809.25000000006</v>
      </c>
      <c r="T87" s="637">
        <v>327406.32000000007</v>
      </c>
      <c r="U87" s="637">
        <v>360072.33999999997</v>
      </c>
      <c r="V87" s="637">
        <v>332423.95</v>
      </c>
      <c r="W87" s="637">
        <v>340000</v>
      </c>
      <c r="X87" s="3"/>
    </row>
    <row r="88" spans="1:24">
      <c r="A88" s="319" t="s">
        <v>74</v>
      </c>
      <c r="B88" s="319">
        <v>0</v>
      </c>
      <c r="C88" s="319">
        <v>0</v>
      </c>
      <c r="D88" s="319">
        <v>0</v>
      </c>
      <c r="E88" s="319">
        <v>0</v>
      </c>
      <c r="F88" s="319">
        <v>0</v>
      </c>
      <c r="G88" s="319">
        <v>77905</v>
      </c>
      <c r="H88" s="319">
        <v>393760</v>
      </c>
      <c r="I88" s="319">
        <v>347747</v>
      </c>
      <c r="J88" s="584">
        <v>507005</v>
      </c>
      <c r="K88" s="319">
        <v>268000</v>
      </c>
      <c r="L88" s="319">
        <v>281000</v>
      </c>
      <c r="M88" s="319">
        <v>284500</v>
      </c>
      <c r="N88" s="319">
        <v>300000</v>
      </c>
      <c r="O88" s="319">
        <v>282381.67000000004</v>
      </c>
      <c r="P88" s="319">
        <v>302565.90000000002</v>
      </c>
      <c r="Q88" s="319">
        <v>310819.21999999997</v>
      </c>
      <c r="R88" s="322">
        <v>315998.86000000004</v>
      </c>
      <c r="S88" s="377">
        <v>315463.50000000006</v>
      </c>
      <c r="T88" s="637">
        <v>359390.98</v>
      </c>
      <c r="U88" s="637">
        <v>395871.98</v>
      </c>
      <c r="V88" s="637">
        <v>418488.76</v>
      </c>
      <c r="W88" s="637">
        <v>355500</v>
      </c>
      <c r="X88" s="3"/>
    </row>
    <row r="89" spans="1:24">
      <c r="A89" s="319" t="s">
        <v>75</v>
      </c>
      <c r="B89" s="319">
        <v>362943</v>
      </c>
      <c r="C89" s="319">
        <v>0</v>
      </c>
      <c r="D89" s="319">
        <v>0</v>
      </c>
      <c r="E89" s="319">
        <v>0</v>
      </c>
      <c r="F89" s="319">
        <v>0</v>
      </c>
      <c r="G89" s="319">
        <v>2642709</v>
      </c>
      <c r="H89" s="319">
        <v>2898364</v>
      </c>
      <c r="I89" s="319">
        <v>3150942</v>
      </c>
      <c r="J89" s="584">
        <v>2852464</v>
      </c>
      <c r="K89" s="319">
        <v>1575000</v>
      </c>
      <c r="L89" s="319">
        <v>1650005</v>
      </c>
      <c r="M89" s="319">
        <v>1640000</v>
      </c>
      <c r="N89" s="319">
        <v>1350000</v>
      </c>
      <c r="O89" s="319">
        <v>18504.409999999683</v>
      </c>
      <c r="P89" s="319">
        <v>4316.6999999997206</v>
      </c>
      <c r="Q89" s="319">
        <v>2564.1699999999255</v>
      </c>
      <c r="R89" s="322">
        <v>775.20999999996275</v>
      </c>
      <c r="S89" s="377">
        <v>986.33999999985099</v>
      </c>
      <c r="T89" s="637">
        <v>13.399999999906868</v>
      </c>
      <c r="U89" s="637">
        <v>0.55999999959021807</v>
      </c>
      <c r="V89" s="637">
        <v>264.32000000029802</v>
      </c>
      <c r="W89" s="637">
        <v>325</v>
      </c>
      <c r="X89" s="3"/>
    </row>
    <row r="90" spans="1:24">
      <c r="A90" s="319" t="s">
        <v>76</v>
      </c>
      <c r="B90" s="319">
        <v>0</v>
      </c>
      <c r="C90" s="319">
        <v>0</v>
      </c>
      <c r="D90" s="319">
        <v>0</v>
      </c>
      <c r="E90" s="319">
        <v>0</v>
      </c>
      <c r="F90" s="319">
        <v>0</v>
      </c>
      <c r="G90" s="319">
        <v>0</v>
      </c>
      <c r="H90" s="319">
        <v>0</v>
      </c>
      <c r="I90" s="319">
        <v>0</v>
      </c>
      <c r="J90" s="584">
        <v>0</v>
      </c>
      <c r="K90" s="319">
        <v>0</v>
      </c>
      <c r="L90" s="319">
        <v>0</v>
      </c>
      <c r="M90" s="319">
        <v>0</v>
      </c>
      <c r="N90" s="319">
        <v>0</v>
      </c>
      <c r="O90" s="319">
        <v>0</v>
      </c>
      <c r="P90" s="319">
        <v>0</v>
      </c>
      <c r="Q90" s="319">
        <v>0</v>
      </c>
      <c r="R90" s="322">
        <v>0</v>
      </c>
      <c r="S90" s="377">
        <v>0</v>
      </c>
      <c r="T90" s="637">
        <v>0</v>
      </c>
      <c r="U90" s="637">
        <v>0</v>
      </c>
      <c r="V90" s="637">
        <v>0</v>
      </c>
      <c r="W90" s="637">
        <v>0</v>
      </c>
      <c r="X90" s="3"/>
    </row>
    <row r="91" spans="1:24">
      <c r="A91" s="319" t="s">
        <v>77</v>
      </c>
      <c r="B91" s="319">
        <v>0</v>
      </c>
      <c r="C91" s="319">
        <v>0</v>
      </c>
      <c r="D91" s="319">
        <v>0</v>
      </c>
      <c r="E91" s="319">
        <v>0</v>
      </c>
      <c r="F91" s="319">
        <v>0</v>
      </c>
      <c r="G91" s="319">
        <v>0</v>
      </c>
      <c r="H91" s="319">
        <v>0</v>
      </c>
      <c r="I91" s="319">
        <v>0</v>
      </c>
      <c r="J91" s="584">
        <v>0</v>
      </c>
      <c r="K91" s="319">
        <v>230000</v>
      </c>
      <c r="L91" s="319">
        <v>240000</v>
      </c>
      <c r="M91" s="319">
        <v>244500</v>
      </c>
      <c r="N91" s="319"/>
      <c r="O91" s="319">
        <v>242317.14</v>
      </c>
      <c r="P91" s="319">
        <v>249005.36</v>
      </c>
      <c r="Q91" s="319">
        <v>262895.26</v>
      </c>
      <c r="R91" s="322">
        <v>241088.62</v>
      </c>
      <c r="S91" s="377">
        <v>252274.40000000002</v>
      </c>
      <c r="T91" s="637">
        <v>267474.76</v>
      </c>
      <c r="U91" s="637">
        <v>273500.21000000008</v>
      </c>
      <c r="V91" s="637">
        <v>264232.15999999997</v>
      </c>
      <c r="W91" s="637">
        <v>250000</v>
      </c>
      <c r="X91" s="3"/>
    </row>
    <row r="92" spans="1:24">
      <c r="A92" s="319" t="s">
        <v>78</v>
      </c>
      <c r="B92" s="319">
        <v>256515</v>
      </c>
      <c r="C92" s="319">
        <v>0</v>
      </c>
      <c r="D92" s="319">
        <v>0</v>
      </c>
      <c r="E92" s="319">
        <v>0</v>
      </c>
      <c r="F92" s="319">
        <v>0</v>
      </c>
      <c r="G92" s="319">
        <v>0</v>
      </c>
      <c r="H92" s="319">
        <v>0</v>
      </c>
      <c r="I92" s="319">
        <v>0</v>
      </c>
      <c r="J92" s="584">
        <v>0</v>
      </c>
      <c r="K92" s="319">
        <v>0</v>
      </c>
      <c r="L92" s="319">
        <v>0</v>
      </c>
      <c r="M92" s="319">
        <v>0</v>
      </c>
      <c r="N92" s="319">
        <v>0</v>
      </c>
      <c r="O92" s="319">
        <v>-4.6566128730773926E-10</v>
      </c>
      <c r="P92" s="319">
        <v>4.6566128730773926E-10</v>
      </c>
      <c r="Q92" s="319">
        <v>4.6566128730773926E-10</v>
      </c>
      <c r="R92" s="322">
        <v>0</v>
      </c>
      <c r="S92" s="377">
        <v>0</v>
      </c>
      <c r="T92" s="637">
        <v>0</v>
      </c>
      <c r="U92" s="637">
        <v>0</v>
      </c>
      <c r="V92" s="637"/>
      <c r="W92" s="637"/>
      <c r="X92" s="3"/>
    </row>
    <row r="93" spans="1:24">
      <c r="A93" s="319" t="s">
        <v>79</v>
      </c>
      <c r="B93" s="319">
        <v>1804566</v>
      </c>
      <c r="C93" s="319">
        <v>1767651</v>
      </c>
      <c r="D93" s="319">
        <v>1983793</v>
      </c>
      <c r="E93" s="319">
        <v>2085752</v>
      </c>
      <c r="F93" s="319">
        <v>0</v>
      </c>
      <c r="G93" s="319">
        <v>0</v>
      </c>
      <c r="H93" s="319">
        <v>0</v>
      </c>
      <c r="I93" s="319">
        <v>0</v>
      </c>
      <c r="J93" s="584">
        <v>0</v>
      </c>
      <c r="K93" s="319">
        <v>0</v>
      </c>
      <c r="L93" s="319">
        <v>0</v>
      </c>
      <c r="M93" s="319">
        <v>0</v>
      </c>
      <c r="N93" s="319">
        <v>0</v>
      </c>
      <c r="O93" s="319">
        <v>0</v>
      </c>
      <c r="P93" s="319">
        <v>0</v>
      </c>
      <c r="Q93" s="319">
        <v>0</v>
      </c>
      <c r="R93" s="322">
        <v>0</v>
      </c>
      <c r="S93" s="377">
        <v>0</v>
      </c>
      <c r="T93" s="637">
        <v>0</v>
      </c>
      <c r="U93" s="637">
        <v>0</v>
      </c>
      <c r="V93" s="637">
        <v>0</v>
      </c>
      <c r="W93" s="637">
        <v>0</v>
      </c>
      <c r="X93" s="3"/>
    </row>
    <row r="94" spans="1:24">
      <c r="A94" s="319" t="s">
        <v>80</v>
      </c>
      <c r="B94" s="319">
        <v>0</v>
      </c>
      <c r="C94" s="319">
        <v>0</v>
      </c>
      <c r="D94" s="319">
        <v>0</v>
      </c>
      <c r="E94" s="319">
        <v>0</v>
      </c>
      <c r="F94" s="319">
        <v>0</v>
      </c>
      <c r="G94" s="319">
        <v>0</v>
      </c>
      <c r="H94" s="319">
        <v>0</v>
      </c>
      <c r="I94" s="319">
        <v>0</v>
      </c>
      <c r="J94" s="584">
        <v>0</v>
      </c>
      <c r="K94" s="319">
        <v>200000</v>
      </c>
      <c r="L94" s="319">
        <v>225000</v>
      </c>
      <c r="M94" s="319">
        <v>211000</v>
      </c>
      <c r="N94" s="319">
        <v>227000</v>
      </c>
      <c r="O94" s="319">
        <v>227587.43000000005</v>
      </c>
      <c r="P94" s="319">
        <v>248127.84000000003</v>
      </c>
      <c r="Q94" s="319">
        <v>465975.41999999993</v>
      </c>
      <c r="R94" s="322"/>
      <c r="S94" s="377">
        <v>429905.35</v>
      </c>
      <c r="T94" s="637">
        <v>489613.88000000012</v>
      </c>
      <c r="U94" s="637">
        <v>506040.75000000012</v>
      </c>
      <c r="V94" s="637">
        <v>475663.59000000008</v>
      </c>
      <c r="W94" s="637">
        <v>490000</v>
      </c>
      <c r="X94" s="3"/>
    </row>
    <row r="95" spans="1:24">
      <c r="A95" s="319" t="s">
        <v>81</v>
      </c>
      <c r="B95" s="319">
        <v>306353</v>
      </c>
      <c r="C95" s="319">
        <v>0</v>
      </c>
      <c r="D95" s="319">
        <v>0</v>
      </c>
      <c r="E95" s="319">
        <v>0</v>
      </c>
      <c r="F95" s="319">
        <v>1710882</v>
      </c>
      <c r="G95" s="319">
        <v>0</v>
      </c>
      <c r="H95" s="319">
        <v>0</v>
      </c>
      <c r="I95" s="319">
        <v>0</v>
      </c>
      <c r="J95" s="584">
        <v>0</v>
      </c>
      <c r="K95" s="319">
        <v>0</v>
      </c>
      <c r="L95" s="319">
        <v>911880</v>
      </c>
      <c r="M95" s="319">
        <v>1822000</v>
      </c>
      <c r="N95" s="319">
        <v>1940000</v>
      </c>
      <c r="O95" s="319">
        <v>1837821.0599999998</v>
      </c>
      <c r="P95" s="319">
        <v>1860598.4699999997</v>
      </c>
      <c r="Q95" s="319">
        <v>1883856.72</v>
      </c>
      <c r="R95" s="322">
        <v>1862444.02</v>
      </c>
      <c r="S95" s="377">
        <v>1910153.5700000003</v>
      </c>
      <c r="T95" s="637">
        <v>2002457.3599999999</v>
      </c>
      <c r="U95" s="637">
        <v>2098300.2400000002</v>
      </c>
      <c r="V95" s="637"/>
      <c r="W95" s="637"/>
      <c r="X95" s="3"/>
    </row>
    <row r="96" spans="1:24">
      <c r="A96" s="319" t="s">
        <v>82</v>
      </c>
      <c r="B96" s="319">
        <v>0</v>
      </c>
      <c r="C96" s="319">
        <v>0</v>
      </c>
      <c r="D96" s="319">
        <v>0</v>
      </c>
      <c r="E96" s="319">
        <v>0</v>
      </c>
      <c r="F96" s="319">
        <v>0</v>
      </c>
      <c r="G96" s="319">
        <v>0</v>
      </c>
      <c r="H96" s="319">
        <v>0</v>
      </c>
      <c r="I96" s="319">
        <v>0</v>
      </c>
      <c r="J96" s="584">
        <v>0</v>
      </c>
      <c r="K96" s="319">
        <v>0</v>
      </c>
      <c r="L96" s="319">
        <v>0</v>
      </c>
      <c r="M96" s="319">
        <v>0</v>
      </c>
      <c r="N96" s="319">
        <v>0</v>
      </c>
      <c r="O96" s="319">
        <v>1.1641532182693481E-10</v>
      </c>
      <c r="P96" s="319">
        <v>0</v>
      </c>
      <c r="Q96" s="319" t="e">
        <v>#REF!</v>
      </c>
      <c r="R96" s="322">
        <v>932000.99999999988</v>
      </c>
      <c r="S96" s="377">
        <v>939119.94</v>
      </c>
      <c r="T96" s="637">
        <v>1033564.4199999999</v>
      </c>
      <c r="U96" s="637"/>
      <c r="V96" s="637">
        <v>1064061.2699999998</v>
      </c>
      <c r="W96" s="637">
        <v>1050000</v>
      </c>
      <c r="X96" s="3"/>
    </row>
    <row r="97" spans="1:24">
      <c r="A97" s="319" t="s">
        <v>83</v>
      </c>
      <c r="B97" s="319">
        <v>2926301</v>
      </c>
      <c r="C97" s="319">
        <v>2335290</v>
      </c>
      <c r="D97" s="319">
        <v>3109856</v>
      </c>
      <c r="E97" s="319">
        <v>3086243</v>
      </c>
      <c r="F97" s="319">
        <v>987821</v>
      </c>
      <c r="G97" s="319">
        <v>3327308</v>
      </c>
      <c r="H97" s="319">
        <v>3225842</v>
      </c>
      <c r="I97" s="319">
        <v>3472875</v>
      </c>
      <c r="J97" s="584">
        <v>3557333</v>
      </c>
      <c r="K97" s="319" t="e">
        <v>#VALUE!</v>
      </c>
      <c r="L97" s="319" t="e">
        <v>#VALUE!</v>
      </c>
      <c r="M97" s="319"/>
      <c r="N97" s="319"/>
      <c r="O97" s="319"/>
      <c r="P97" s="319"/>
      <c r="Q97" s="319"/>
      <c r="R97" s="322"/>
      <c r="S97" s="319"/>
      <c r="T97" s="637"/>
      <c r="U97" s="637"/>
      <c r="V97" s="637"/>
      <c r="W97" s="637"/>
      <c r="X97" s="3"/>
    </row>
    <row r="98" spans="1:24">
      <c r="A98" s="319" t="s">
        <v>84</v>
      </c>
      <c r="B98" s="319">
        <v>789346</v>
      </c>
      <c r="C98" s="319">
        <v>1466941</v>
      </c>
      <c r="D98" s="319">
        <v>1485448</v>
      </c>
      <c r="E98" s="319">
        <v>1565000</v>
      </c>
      <c r="F98" s="319">
        <v>72335</v>
      </c>
      <c r="G98" s="319">
        <v>1784467</v>
      </c>
      <c r="H98" s="319">
        <v>1782588</v>
      </c>
      <c r="I98" s="319">
        <v>1764851</v>
      </c>
      <c r="J98" s="584">
        <v>1868876</v>
      </c>
      <c r="K98" s="319">
        <v>1209343.6600000001</v>
      </c>
      <c r="L98" s="319">
        <v>1453400</v>
      </c>
      <c r="M98" s="319">
        <v>1480000</v>
      </c>
      <c r="N98" s="319">
        <v>1645000</v>
      </c>
      <c r="O98" s="319">
        <v>1367194.79</v>
      </c>
      <c r="P98" s="319">
        <v>1382809.26</v>
      </c>
      <c r="Q98" s="319">
        <v>1437471.9199999997</v>
      </c>
      <c r="R98" s="322">
        <v>1432851.2900000005</v>
      </c>
      <c r="S98" s="377">
        <v>1489382.0399999996</v>
      </c>
      <c r="T98" s="637">
        <v>1593838.1</v>
      </c>
      <c r="U98" s="637">
        <v>1721322.6</v>
      </c>
      <c r="V98" s="637">
        <v>1735866.5</v>
      </c>
      <c r="W98" s="637">
        <v>1700000</v>
      </c>
      <c r="X98" s="3"/>
    </row>
    <row r="99" spans="1:24">
      <c r="A99" s="319" t="s">
        <v>85</v>
      </c>
      <c r="B99" s="319">
        <v>0</v>
      </c>
      <c r="C99" s="319">
        <v>0</v>
      </c>
      <c r="D99" s="319">
        <v>0</v>
      </c>
      <c r="E99" s="319">
        <v>0</v>
      </c>
      <c r="F99" s="319">
        <v>0</v>
      </c>
      <c r="G99" s="319">
        <v>0</v>
      </c>
      <c r="H99" s="319">
        <v>0</v>
      </c>
      <c r="I99" s="319">
        <v>0</v>
      </c>
      <c r="J99" s="584">
        <v>0</v>
      </c>
      <c r="K99" s="319">
        <v>0</v>
      </c>
      <c r="L99" s="319">
        <v>0</v>
      </c>
      <c r="M99" s="319">
        <v>0</v>
      </c>
      <c r="N99" s="319">
        <v>0</v>
      </c>
      <c r="O99" s="319">
        <v>0</v>
      </c>
      <c r="P99" s="319">
        <v>0</v>
      </c>
      <c r="Q99" s="319">
        <v>0</v>
      </c>
      <c r="R99" s="322">
        <v>0</v>
      </c>
      <c r="S99" s="377">
        <v>0</v>
      </c>
      <c r="T99" s="637">
        <v>0</v>
      </c>
      <c r="U99" s="637">
        <v>0</v>
      </c>
      <c r="V99" s="637">
        <v>0</v>
      </c>
      <c r="W99" s="637">
        <v>0</v>
      </c>
      <c r="X99" s="3"/>
    </row>
    <row r="100" spans="1:24">
      <c r="A100" s="319" t="s">
        <v>86</v>
      </c>
      <c r="B100" s="319">
        <v>933449</v>
      </c>
      <c r="C100" s="319">
        <v>787122</v>
      </c>
      <c r="D100" s="319">
        <v>859304</v>
      </c>
      <c r="E100" s="319">
        <v>960716</v>
      </c>
      <c r="F100" s="319">
        <v>0</v>
      </c>
      <c r="G100" s="319">
        <v>1069872</v>
      </c>
      <c r="H100" s="319">
        <v>1238341</v>
      </c>
      <c r="I100" s="319">
        <v>1425924</v>
      </c>
      <c r="J100" s="584">
        <v>1117012</v>
      </c>
      <c r="K100" s="319">
        <v>1155439.8999999999</v>
      </c>
      <c r="L100" s="319"/>
      <c r="M100" s="319"/>
      <c r="N100" s="319"/>
      <c r="O100" s="319"/>
      <c r="P100" s="319">
        <v>1604065.21</v>
      </c>
      <c r="Q100" s="319"/>
      <c r="R100" s="322"/>
      <c r="S100" s="377"/>
      <c r="T100" s="637"/>
      <c r="U100" s="637"/>
      <c r="V100" s="637"/>
      <c r="W100" s="637"/>
      <c r="X100" s="3"/>
    </row>
    <row r="101" spans="1:24">
      <c r="A101" s="321" t="s">
        <v>87</v>
      </c>
      <c r="B101" s="321">
        <v>0</v>
      </c>
      <c r="C101" s="321">
        <v>88482</v>
      </c>
      <c r="D101" s="321">
        <v>65218</v>
      </c>
      <c r="E101" s="321">
        <v>121898</v>
      </c>
      <c r="F101" s="321">
        <v>0</v>
      </c>
      <c r="G101" s="321">
        <v>89304</v>
      </c>
      <c r="H101" s="321">
        <v>116583</v>
      </c>
      <c r="I101" s="321">
        <v>105802</v>
      </c>
      <c r="J101" s="586">
        <v>88495</v>
      </c>
      <c r="K101" s="321">
        <v>101710</v>
      </c>
      <c r="L101" s="321">
        <v>107452.98000000001</v>
      </c>
      <c r="M101" s="321">
        <v>116534.60999999999</v>
      </c>
      <c r="N101" s="321">
        <v>91185</v>
      </c>
      <c r="O101" s="321">
        <v>105639.81</v>
      </c>
      <c r="P101" s="321">
        <v>108216.06000000001</v>
      </c>
      <c r="Q101" s="321">
        <v>146922.16999999998</v>
      </c>
      <c r="R101" s="324">
        <v>158195.29999999999</v>
      </c>
      <c r="S101" s="377">
        <v>145951.38</v>
      </c>
      <c r="T101" s="637">
        <v>143864.78000000003</v>
      </c>
      <c r="U101" s="637">
        <v>146844.31</v>
      </c>
      <c r="V101" s="637">
        <v>0</v>
      </c>
      <c r="W101" s="637">
        <v>0</v>
      </c>
      <c r="X101" s="3"/>
    </row>
    <row r="102" spans="1:24">
      <c r="A102" s="350" t="s">
        <v>88</v>
      </c>
      <c r="B102" s="351">
        <v>0</v>
      </c>
      <c r="C102" s="351">
        <v>0</v>
      </c>
      <c r="D102" s="351">
        <v>0</v>
      </c>
      <c r="E102" s="351">
        <v>0</v>
      </c>
      <c r="F102" s="351">
        <v>0</v>
      </c>
      <c r="G102" s="352">
        <v>0</v>
      </c>
      <c r="H102" s="351">
        <v>0</v>
      </c>
      <c r="I102" s="351">
        <v>0</v>
      </c>
      <c r="J102" s="351">
        <v>0</v>
      </c>
      <c r="K102" s="351">
        <v>0</v>
      </c>
      <c r="L102" s="351">
        <v>0</v>
      </c>
      <c r="M102" s="351">
        <v>0</v>
      </c>
      <c r="N102" s="351">
        <v>0</v>
      </c>
      <c r="O102" s="350">
        <v>0</v>
      </c>
      <c r="P102" s="321">
        <v>0</v>
      </c>
      <c r="Q102" s="321">
        <v>0</v>
      </c>
      <c r="R102" s="324">
        <v>0</v>
      </c>
      <c r="S102" s="377">
        <v>0</v>
      </c>
      <c r="T102" s="637">
        <v>0</v>
      </c>
      <c r="U102" s="637">
        <v>0</v>
      </c>
      <c r="V102" s="637">
        <v>0</v>
      </c>
      <c r="W102" s="637">
        <v>0</v>
      </c>
      <c r="X102" s="3"/>
    </row>
    <row r="104" spans="1:24">
      <c r="A104" s="3"/>
      <c r="X104" s="3"/>
    </row>
    <row r="105" spans="1:24">
      <c r="A105" s="3"/>
      <c r="X105" s="3"/>
    </row>
    <row r="106" spans="1:24">
      <c r="A106" s="3"/>
      <c r="X106" s="3"/>
    </row>
    <row r="107" spans="1:24">
      <c r="A107" s="3"/>
      <c r="X107" s="3"/>
    </row>
    <row r="108" spans="1:24">
      <c r="A108" s="3"/>
      <c r="X108" s="3"/>
    </row>
    <row r="109" spans="1:24">
      <c r="A109" s="3"/>
      <c r="X109" s="3"/>
    </row>
    <row r="110" spans="1:24">
      <c r="A110" s="3"/>
      <c r="X110" s="3"/>
    </row>
    <row r="111" spans="1:24">
      <c r="A111" s="3"/>
      <c r="X111" s="3"/>
    </row>
    <row r="112" spans="1:24">
      <c r="A112" s="3"/>
      <c r="X112" s="3"/>
    </row>
    <row r="113" spans="1:24">
      <c r="A113" s="3"/>
      <c r="X113" s="3"/>
    </row>
    <row r="114" spans="1:24">
      <c r="A114" s="3"/>
      <c r="X114" s="3"/>
    </row>
    <row r="115" spans="1:24">
      <c r="A115" s="3"/>
      <c r="X115" s="3"/>
    </row>
    <row r="116" spans="1:24">
      <c r="A116" s="3"/>
      <c r="X116" s="3"/>
    </row>
    <row r="117" spans="1:24">
      <c r="A117" s="3"/>
      <c r="X117" s="3"/>
    </row>
    <row r="118" spans="1:24">
      <c r="A118" s="3"/>
      <c r="X118" s="3"/>
    </row>
    <row r="119" spans="1:24">
      <c r="A119" s="3"/>
      <c r="X119" s="3"/>
    </row>
    <row r="120" spans="1:24">
      <c r="A120" s="3"/>
      <c r="X120" s="3"/>
    </row>
    <row r="121" spans="1:24">
      <c r="A121" s="3"/>
      <c r="X121" s="3"/>
    </row>
    <row r="122" spans="1:24">
      <c r="A122" s="3"/>
      <c r="X122" s="3"/>
    </row>
    <row r="123" spans="1:24">
      <c r="A123" s="3"/>
      <c r="X123" s="3"/>
    </row>
    <row r="124" spans="1:24">
      <c r="A124" s="3"/>
      <c r="X124" s="3"/>
    </row>
    <row r="125" spans="1:24">
      <c r="A125" s="3"/>
      <c r="X125" s="3"/>
    </row>
    <row r="126" spans="1:24">
      <c r="A126" s="3"/>
      <c r="X126" s="3"/>
    </row>
    <row r="127" spans="1:24">
      <c r="A127" s="3"/>
      <c r="X127" s="3"/>
    </row>
    <row r="128" spans="1:24">
      <c r="A128" s="3"/>
      <c r="X128" s="3"/>
    </row>
    <row r="129" spans="1:24">
      <c r="A129" s="3"/>
      <c r="X129" s="3"/>
    </row>
    <row r="130" spans="1:24">
      <c r="A130" s="3"/>
      <c r="X130" s="3"/>
    </row>
    <row r="131" spans="1:24">
      <c r="A131" s="3"/>
      <c r="X131" s="3"/>
    </row>
    <row r="132" spans="1:24">
      <c r="A132" s="3"/>
      <c r="X132" s="3"/>
    </row>
    <row r="133" spans="1:24">
      <c r="A133" s="3"/>
      <c r="X133" s="3"/>
    </row>
    <row r="134" spans="1:24">
      <c r="A134" s="3"/>
      <c r="X134" s="3"/>
    </row>
    <row r="135" spans="1:24">
      <c r="A135" s="3"/>
      <c r="X135" s="3"/>
    </row>
    <row r="136" spans="1:24">
      <c r="A136" s="3"/>
      <c r="X136" s="3"/>
    </row>
    <row r="137" spans="1:24">
      <c r="A137" s="3"/>
      <c r="X137" s="3"/>
    </row>
    <row r="138" spans="1:24">
      <c r="A138" s="3"/>
      <c r="X138" s="3"/>
    </row>
    <row r="139" spans="1:24">
      <c r="A139" s="3"/>
      <c r="X139" s="3"/>
    </row>
    <row r="140" spans="1:24">
      <c r="A140" s="3"/>
      <c r="X140" s="3"/>
    </row>
    <row r="141" spans="1:24">
      <c r="A141" s="3"/>
      <c r="X141" s="3"/>
    </row>
    <row r="142" spans="1:24">
      <c r="A142" s="3"/>
      <c r="X142" s="3"/>
    </row>
    <row r="143" spans="1:24">
      <c r="A143" s="3"/>
      <c r="X143" s="3"/>
    </row>
    <row r="144" spans="1:24">
      <c r="A144" s="3"/>
      <c r="X144" s="3"/>
    </row>
    <row r="145" spans="1:24">
      <c r="A145" s="3"/>
      <c r="X145" s="3"/>
    </row>
    <row r="146" spans="1:24">
      <c r="A146" s="3"/>
      <c r="X146" s="3"/>
    </row>
    <row r="147" spans="1:24">
      <c r="A147" s="3"/>
      <c r="X147" s="3"/>
    </row>
    <row r="148" spans="1:24">
      <c r="A148" s="3"/>
      <c r="X148" s="3"/>
    </row>
    <row r="149" spans="1:24">
      <c r="A149" s="3"/>
      <c r="X149" s="3"/>
    </row>
    <row r="150" spans="1:24">
      <c r="A150" s="3"/>
      <c r="X150" s="3"/>
    </row>
    <row r="151" spans="1:24">
      <c r="A151" s="3"/>
      <c r="X151" s="3"/>
    </row>
    <row r="152" spans="1:24">
      <c r="A152" s="3"/>
      <c r="X152" s="3"/>
    </row>
    <row r="153" spans="1:24">
      <c r="A153" s="3"/>
      <c r="X153" s="3"/>
    </row>
    <row r="154" spans="1:24">
      <c r="A154" s="3"/>
      <c r="X154" s="3"/>
    </row>
    <row r="155" spans="1:24">
      <c r="A155" s="3"/>
      <c r="X155" s="3"/>
    </row>
    <row r="156" spans="1:24">
      <c r="A156" s="3"/>
      <c r="X156" s="3"/>
    </row>
    <row r="157" spans="1:24">
      <c r="A157" s="3"/>
      <c r="X157" s="3"/>
    </row>
    <row r="158" spans="1:24">
      <c r="A158" s="3"/>
      <c r="X158" s="3"/>
    </row>
    <row r="159" spans="1:24">
      <c r="A159" s="3"/>
      <c r="X159" s="3"/>
    </row>
    <row r="160" spans="1:24">
      <c r="A160" s="3"/>
      <c r="X160" s="3"/>
    </row>
    <row r="161" spans="1:24">
      <c r="A161" s="3"/>
      <c r="X161" s="3"/>
    </row>
    <row r="162" spans="1:24">
      <c r="A162" s="3"/>
      <c r="X162" s="3"/>
    </row>
    <row r="163" spans="1:24">
      <c r="A163" s="3"/>
      <c r="X163" s="3"/>
    </row>
    <row r="164" spans="1:24">
      <c r="A164" s="3"/>
      <c r="X164" s="3"/>
    </row>
    <row r="165" spans="1:24">
      <c r="A165" s="3"/>
      <c r="X165" s="3"/>
    </row>
    <row r="166" spans="1:24">
      <c r="A166" s="3"/>
      <c r="X166" s="3"/>
    </row>
    <row r="167" spans="1:24">
      <c r="A167" s="3"/>
      <c r="X167" s="3"/>
    </row>
    <row r="168" spans="1:24">
      <c r="A168" s="3"/>
      <c r="X168" s="3"/>
    </row>
    <row r="169" spans="1:24">
      <c r="A169" s="3"/>
      <c r="X169" s="3"/>
    </row>
    <row r="170" spans="1:24">
      <c r="A170" s="3"/>
      <c r="X170" s="3"/>
    </row>
    <row r="171" spans="1:24">
      <c r="A171" s="3"/>
      <c r="X171" s="3"/>
    </row>
    <row r="172" spans="1:24">
      <c r="A172" s="3"/>
      <c r="X172" s="3"/>
    </row>
    <row r="173" spans="1:24">
      <c r="A173" s="3"/>
      <c r="X173" s="3"/>
    </row>
    <row r="174" spans="1:24">
      <c r="A174" s="3"/>
      <c r="X174" s="3"/>
    </row>
    <row r="175" spans="1:24">
      <c r="A175" s="3"/>
      <c r="X175" s="3"/>
    </row>
    <row r="176" spans="1:24">
      <c r="A176" s="3"/>
      <c r="X176" s="3"/>
    </row>
    <row r="177" spans="1:24">
      <c r="A177" s="3"/>
      <c r="X177" s="3"/>
    </row>
    <row r="178" spans="1:24">
      <c r="A178" s="3"/>
      <c r="X178" s="3"/>
    </row>
    <row r="179" spans="1:24">
      <c r="A179" s="3"/>
      <c r="X179" s="3"/>
    </row>
    <row r="180" spans="1:24">
      <c r="A180" s="3"/>
      <c r="X180" s="3"/>
    </row>
    <row r="181" spans="1:24">
      <c r="A181" s="3"/>
      <c r="X181" s="3"/>
    </row>
    <row r="182" spans="1:24">
      <c r="A182" s="3"/>
      <c r="X182" s="3"/>
    </row>
    <row r="183" spans="1:24">
      <c r="A183" s="3"/>
      <c r="X183" s="3"/>
    </row>
    <row r="184" spans="1:24">
      <c r="A184" s="3"/>
      <c r="X184" s="3"/>
    </row>
    <row r="185" spans="1:24">
      <c r="A185" s="3"/>
      <c r="X185" s="3"/>
    </row>
    <row r="186" spans="1:24">
      <c r="A186" s="3"/>
      <c r="X186" s="3"/>
    </row>
    <row r="187" spans="1:24">
      <c r="A187" s="3"/>
      <c r="X187" s="3"/>
    </row>
    <row r="188" spans="1:24">
      <c r="A188" s="3"/>
      <c r="X188" s="3"/>
    </row>
    <row r="189" spans="1:24">
      <c r="A189" s="3"/>
      <c r="X189" s="3"/>
    </row>
    <row r="190" spans="1:24">
      <c r="A190" s="3"/>
      <c r="X190" s="3"/>
    </row>
    <row r="191" spans="1:24">
      <c r="A191" s="3"/>
      <c r="X191" s="3"/>
    </row>
    <row r="192" spans="1:24">
      <c r="A192" s="3"/>
      <c r="X192" s="3"/>
    </row>
    <row r="193" spans="1:24">
      <c r="A193" s="3"/>
      <c r="X193" s="3"/>
    </row>
    <row r="194" spans="1:24">
      <c r="A194" s="3"/>
      <c r="X194" s="3"/>
    </row>
    <row r="195" spans="1:24">
      <c r="A195" s="3"/>
      <c r="X195" s="3"/>
    </row>
    <row r="196" spans="1:24">
      <c r="A196" s="3"/>
      <c r="X196" s="3"/>
    </row>
    <row r="197" spans="1:24">
      <c r="A197" s="3"/>
      <c r="X197" s="3"/>
    </row>
    <row r="198" spans="1:24">
      <c r="A198" s="3"/>
      <c r="X198" s="3"/>
    </row>
    <row r="199" spans="1:24">
      <c r="A199" s="3"/>
      <c r="X199" s="3"/>
    </row>
    <row r="200" spans="1:24">
      <c r="A200" s="3"/>
      <c r="X200" s="3"/>
    </row>
    <row r="201" spans="1:24">
      <c r="A201" s="3"/>
      <c r="X201" s="3"/>
    </row>
    <row r="202" spans="1:24">
      <c r="A202" s="3"/>
      <c r="X202" s="3"/>
    </row>
    <row r="203" spans="1:24">
      <c r="A203" s="3"/>
      <c r="X203" s="3"/>
    </row>
    <row r="204" spans="1:24">
      <c r="A204" s="3"/>
      <c r="X204" s="3"/>
    </row>
    <row r="205" spans="1:24">
      <c r="A205" s="3"/>
      <c r="X205" s="3"/>
    </row>
    <row r="206" spans="1:24">
      <c r="A206" s="3"/>
      <c r="X206" s="3"/>
    </row>
    <row r="207" spans="1:24">
      <c r="A207" s="3"/>
      <c r="X207" s="3"/>
    </row>
    <row r="208" spans="1:24">
      <c r="A208" s="3"/>
      <c r="X208" s="3"/>
    </row>
    <row r="209" spans="1:24">
      <c r="A209" s="3"/>
      <c r="X209" s="3"/>
    </row>
    <row r="210" spans="1:24">
      <c r="A210" s="3"/>
      <c r="X210" s="3"/>
    </row>
    <row r="211" spans="1:24">
      <c r="A211" s="3"/>
      <c r="X211" s="3"/>
    </row>
    <row r="212" spans="1:24">
      <c r="A212" s="3"/>
      <c r="X212" s="3"/>
    </row>
    <row r="213" spans="1:24">
      <c r="A213" s="3"/>
      <c r="X213" s="3"/>
    </row>
    <row r="214" spans="1:24">
      <c r="A214" s="3"/>
      <c r="X214" s="3"/>
    </row>
    <row r="215" spans="1:24">
      <c r="A215" s="3"/>
      <c r="X215" s="3"/>
    </row>
    <row r="216" spans="1:24">
      <c r="A216" s="3"/>
      <c r="X216" s="3"/>
    </row>
    <row r="217" spans="1:24">
      <c r="A217" s="3"/>
      <c r="X217" s="3"/>
    </row>
    <row r="218" spans="1:24">
      <c r="A218" s="3"/>
      <c r="X218" s="3"/>
    </row>
    <row r="219" spans="1:24">
      <c r="A219" s="3"/>
      <c r="X219" s="3"/>
    </row>
    <row r="220" spans="1:24">
      <c r="A220" s="3"/>
      <c r="X220" s="3"/>
    </row>
    <row r="221" spans="1:24">
      <c r="A221" s="3"/>
      <c r="X221" s="3"/>
    </row>
    <row r="222" spans="1:24">
      <c r="A222" s="3"/>
      <c r="X222" s="3"/>
    </row>
    <row r="223" spans="1:24">
      <c r="A223" s="3"/>
      <c r="X223" s="3"/>
    </row>
    <row r="224" spans="1:24">
      <c r="A224" s="3"/>
      <c r="X224" s="3"/>
    </row>
    <row r="225" spans="1:24">
      <c r="A225" s="3"/>
      <c r="X225" s="3"/>
    </row>
    <row r="226" spans="1:24">
      <c r="A226" s="3"/>
      <c r="X226" s="3"/>
    </row>
    <row r="227" spans="1:24">
      <c r="A227" s="3"/>
      <c r="X227" s="3"/>
    </row>
    <row r="228" spans="1:24">
      <c r="A228" s="3"/>
      <c r="X228" s="3"/>
    </row>
    <row r="229" spans="1:24">
      <c r="A229" s="3"/>
      <c r="X229" s="3"/>
    </row>
    <row r="230" spans="1:24">
      <c r="A230" s="3"/>
      <c r="X230" s="3"/>
    </row>
    <row r="231" spans="1:24">
      <c r="A231" s="3"/>
      <c r="X231" s="3"/>
    </row>
    <row r="232" spans="1:24">
      <c r="A232" s="3"/>
      <c r="X232" s="3"/>
    </row>
    <row r="233" spans="1:24">
      <c r="A233" s="3"/>
      <c r="X233" s="3"/>
    </row>
    <row r="234" spans="1:24">
      <c r="A234" s="3"/>
      <c r="X234" s="3"/>
    </row>
    <row r="235" spans="1:24">
      <c r="A235" s="3"/>
      <c r="X235" s="3"/>
    </row>
    <row r="236" spans="1:24">
      <c r="A236" s="3"/>
      <c r="X236" s="3"/>
    </row>
    <row r="237" spans="1:24">
      <c r="A237" s="3"/>
      <c r="X237" s="3"/>
    </row>
    <row r="238" spans="1:24">
      <c r="A238" s="3"/>
      <c r="X238" s="3"/>
    </row>
    <row r="239" spans="1:24">
      <c r="A239" s="3"/>
      <c r="X239" s="3"/>
    </row>
    <row r="240" spans="1:24">
      <c r="A240" s="3"/>
      <c r="X240" s="3"/>
    </row>
    <row r="241" spans="1:24">
      <c r="A241" s="3"/>
      <c r="X241" s="3"/>
    </row>
    <row r="242" spans="1:24">
      <c r="A242" s="3"/>
      <c r="X242" s="3"/>
    </row>
    <row r="243" spans="1:24">
      <c r="A243" s="3"/>
      <c r="X243" s="3"/>
    </row>
    <row r="244" spans="1:24">
      <c r="A244" s="3"/>
      <c r="X244" s="3"/>
    </row>
    <row r="245" spans="1:24">
      <c r="A245" s="3"/>
      <c r="X245" s="3"/>
    </row>
    <row r="246" spans="1:24">
      <c r="A246" s="3"/>
      <c r="X246" s="3"/>
    </row>
    <row r="247" spans="1:24">
      <c r="A247" s="3"/>
      <c r="X247" s="3"/>
    </row>
    <row r="248" spans="1:24">
      <c r="A248" s="3"/>
      <c r="X248" s="3"/>
    </row>
    <row r="249" spans="1:24">
      <c r="A249" s="3"/>
      <c r="X249" s="3"/>
    </row>
    <row r="250" spans="1:24">
      <c r="A250" s="3"/>
      <c r="X250" s="3"/>
    </row>
    <row r="251" spans="1:24">
      <c r="A251" s="3"/>
      <c r="X251" s="3"/>
    </row>
    <row r="252" spans="1:24">
      <c r="A252" s="3"/>
      <c r="X252" s="3"/>
    </row>
    <row r="253" spans="1:24">
      <c r="A253" s="3"/>
      <c r="X253" s="3"/>
    </row>
    <row r="254" spans="1:24">
      <c r="A254" s="3"/>
      <c r="X254" s="3"/>
    </row>
    <row r="255" spans="1:24">
      <c r="A255" s="3"/>
      <c r="X255" s="3"/>
    </row>
    <row r="256" spans="1:24">
      <c r="A256" s="3"/>
      <c r="X256" s="3"/>
    </row>
    <row r="257" spans="1:24">
      <c r="A257" s="3"/>
      <c r="X257" s="3"/>
    </row>
    <row r="258" spans="1:24">
      <c r="A258" s="3"/>
      <c r="X258" s="3"/>
    </row>
    <row r="259" spans="1:24">
      <c r="A259" s="3"/>
      <c r="X259" s="3"/>
    </row>
    <row r="260" spans="1:24">
      <c r="A260" s="3"/>
      <c r="X260" s="3"/>
    </row>
    <row r="261" spans="1:24">
      <c r="A261" s="3"/>
      <c r="X261" s="3"/>
    </row>
    <row r="262" spans="1:24">
      <c r="A262" s="3"/>
      <c r="X262" s="3"/>
    </row>
    <row r="263" spans="1:24">
      <c r="A263" s="3"/>
      <c r="X263" s="3"/>
    </row>
    <row r="264" spans="1:24">
      <c r="A264" s="3"/>
      <c r="X264" s="3"/>
    </row>
    <row r="265" spans="1:24">
      <c r="A265" s="3"/>
      <c r="X265" s="3"/>
    </row>
    <row r="266" spans="1:24">
      <c r="A266" s="3"/>
      <c r="X266" s="3"/>
    </row>
    <row r="267" spans="1:24">
      <c r="A267" s="3"/>
      <c r="X267" s="3"/>
    </row>
    <row r="268" spans="1:24">
      <c r="A268" s="3"/>
      <c r="X268" s="3"/>
    </row>
    <row r="269" spans="1:24">
      <c r="A269" s="3"/>
      <c r="X269" s="3"/>
    </row>
    <row r="270" spans="1:24">
      <c r="A270" s="3"/>
      <c r="X270" s="3"/>
    </row>
    <row r="271" spans="1:24">
      <c r="A271" s="3"/>
      <c r="X271" s="3"/>
    </row>
    <row r="272" spans="1:24">
      <c r="A272" s="3"/>
      <c r="X272" s="3"/>
    </row>
    <row r="273" spans="1:24">
      <c r="A273" s="3"/>
      <c r="X273" s="3"/>
    </row>
    <row r="274" spans="1:24">
      <c r="A274" s="3"/>
      <c r="X274" s="3"/>
    </row>
    <row r="275" spans="1:24">
      <c r="A275" s="3"/>
      <c r="X275" s="3"/>
    </row>
    <row r="276" spans="1:24">
      <c r="A276" s="3"/>
      <c r="X276" s="3"/>
    </row>
    <row r="277" spans="1:24">
      <c r="A277" s="3"/>
      <c r="X277" s="3"/>
    </row>
    <row r="278" spans="1:24">
      <c r="A278" s="3"/>
      <c r="X278" s="3"/>
    </row>
    <row r="279" spans="1:24">
      <c r="A279" s="3"/>
      <c r="X279" s="3"/>
    </row>
    <row r="280" spans="1:24">
      <c r="A280" s="3"/>
      <c r="X280" s="3"/>
    </row>
    <row r="281" spans="1:24">
      <c r="A281" s="3"/>
      <c r="X281" s="3"/>
    </row>
    <row r="282" spans="1:24">
      <c r="A282" s="3"/>
      <c r="X282" s="3"/>
    </row>
    <row r="283" spans="1:24">
      <c r="A283" s="3"/>
      <c r="X283" s="3"/>
    </row>
    <row r="284" spans="1:24">
      <c r="A284" s="3"/>
      <c r="X284" s="3"/>
    </row>
    <row r="285" spans="1:24">
      <c r="A285" s="3"/>
      <c r="X285" s="3"/>
    </row>
    <row r="286" spans="1:24">
      <c r="A286" s="3"/>
      <c r="X286" s="3"/>
    </row>
    <row r="287" spans="1:24">
      <c r="A287" s="3"/>
      <c r="X287" s="3"/>
    </row>
    <row r="288" spans="1:24">
      <c r="A288" s="3"/>
      <c r="X288" s="3"/>
    </row>
    <row r="289" spans="1:24">
      <c r="A289" s="3"/>
      <c r="X289" s="3"/>
    </row>
    <row r="290" spans="1:24">
      <c r="A290" s="3"/>
      <c r="X290" s="3"/>
    </row>
    <row r="291" spans="1:24">
      <c r="A291" s="3"/>
      <c r="X291" s="3"/>
    </row>
    <row r="292" spans="1:24">
      <c r="A292" s="3"/>
      <c r="X292" s="3"/>
    </row>
    <row r="293" spans="1:24">
      <c r="A293" s="3"/>
      <c r="X293" s="3"/>
    </row>
    <row r="294" spans="1:24">
      <c r="A294" s="3"/>
      <c r="X294" s="3"/>
    </row>
    <row r="295" spans="1:24">
      <c r="A295" s="3"/>
      <c r="X295" s="3"/>
    </row>
    <row r="296" spans="1:24">
      <c r="A296" s="3"/>
      <c r="X296" s="3"/>
    </row>
    <row r="297" spans="1:24">
      <c r="A297" s="3"/>
      <c r="X297" s="3"/>
    </row>
    <row r="298" spans="1:24">
      <c r="A298" s="3"/>
      <c r="X298" s="3"/>
    </row>
    <row r="299" spans="1:24">
      <c r="A299" s="3"/>
      <c r="X299" s="3"/>
    </row>
    <row r="300" spans="1:24">
      <c r="A300" s="3"/>
      <c r="X300" s="3"/>
    </row>
    <row r="301" spans="1:24">
      <c r="A301" s="3"/>
      <c r="X301" s="3"/>
    </row>
    <row r="302" spans="1:24">
      <c r="A302" s="3"/>
      <c r="X302" s="3"/>
    </row>
    <row r="303" spans="1:24">
      <c r="A303" s="3"/>
      <c r="X303" s="3"/>
    </row>
    <row r="304" spans="1:24">
      <c r="A304" s="3"/>
      <c r="X304" s="3"/>
    </row>
    <row r="305" spans="1:24">
      <c r="A305" s="3"/>
      <c r="X305" s="3"/>
    </row>
    <row r="306" spans="1:24">
      <c r="A306" s="3"/>
      <c r="X306" s="3"/>
    </row>
    <row r="307" spans="1:24">
      <c r="A307" s="3"/>
      <c r="X307" s="3"/>
    </row>
    <row r="308" spans="1:24">
      <c r="A308" s="3"/>
      <c r="X308" s="3"/>
    </row>
    <row r="309" spans="1:24">
      <c r="A309" s="3"/>
      <c r="X309" s="3"/>
    </row>
    <row r="310" spans="1:24">
      <c r="A310" s="3"/>
      <c r="X310" s="3"/>
    </row>
    <row r="311" spans="1:24">
      <c r="A311" s="3"/>
      <c r="X311" s="3"/>
    </row>
    <row r="312" spans="1:24">
      <c r="A312" s="3"/>
      <c r="X312" s="3"/>
    </row>
    <row r="313" spans="1:24">
      <c r="A313" s="3"/>
      <c r="X313" s="3"/>
    </row>
    <row r="314" spans="1:24">
      <c r="A314" s="3"/>
      <c r="X314" s="3"/>
    </row>
    <row r="315" spans="1:24">
      <c r="A315" s="3"/>
      <c r="X315" s="3"/>
    </row>
    <row r="316" spans="1:24">
      <c r="A316" s="3"/>
      <c r="X316" s="3"/>
    </row>
    <row r="317" spans="1:24">
      <c r="A317" s="3"/>
      <c r="X317" s="3"/>
    </row>
    <row r="318" spans="1:24">
      <c r="A318" s="3"/>
      <c r="X318" s="3"/>
    </row>
    <row r="319" spans="1:24">
      <c r="A319" s="3"/>
      <c r="X319" s="3"/>
    </row>
    <row r="320" spans="1:24">
      <c r="A320" s="3"/>
      <c r="X320" s="3"/>
    </row>
    <row r="321" spans="1:24">
      <c r="A321" s="3"/>
      <c r="X321" s="3"/>
    </row>
    <row r="322" spans="1:24">
      <c r="A322" s="3"/>
      <c r="X322" s="3"/>
    </row>
    <row r="323" spans="1:24">
      <c r="A323" s="3"/>
      <c r="X323" s="3"/>
    </row>
    <row r="324" spans="1:24">
      <c r="A324" s="3"/>
      <c r="X324" s="3"/>
    </row>
    <row r="325" spans="1:24">
      <c r="A325" s="3"/>
      <c r="X325" s="3"/>
    </row>
    <row r="326" spans="1:24">
      <c r="A326" s="3"/>
      <c r="X326" s="3"/>
    </row>
    <row r="327" spans="1:24">
      <c r="A327" s="3"/>
      <c r="X327" s="3"/>
    </row>
    <row r="328" spans="1:24">
      <c r="A328" s="3"/>
      <c r="X328" s="3"/>
    </row>
    <row r="329" spans="1:24">
      <c r="A329" s="3"/>
      <c r="X329" s="3"/>
    </row>
    <row r="330" spans="1:24">
      <c r="A330" s="3"/>
      <c r="X330" s="3"/>
    </row>
    <row r="331" spans="1:24">
      <c r="A331" s="3"/>
      <c r="X331" s="3"/>
    </row>
    <row r="332" spans="1:24">
      <c r="A332" s="3"/>
      <c r="X332" s="3"/>
    </row>
    <row r="333" spans="1:24">
      <c r="A333" s="3"/>
      <c r="X333" s="3"/>
    </row>
    <row r="334" spans="1:24">
      <c r="A334" s="3"/>
      <c r="X334" s="3"/>
    </row>
    <row r="335" spans="1:24">
      <c r="A335" s="3"/>
      <c r="X335" s="3"/>
    </row>
    <row r="336" spans="1:24">
      <c r="A336" s="3"/>
      <c r="X336" s="3"/>
    </row>
    <row r="337" spans="1:24">
      <c r="A337" s="3"/>
      <c r="X337" s="3"/>
    </row>
    <row r="338" spans="1:24">
      <c r="A338" s="3"/>
      <c r="X338" s="3"/>
    </row>
    <row r="339" spans="1:24">
      <c r="A339" s="3"/>
      <c r="X339" s="3"/>
    </row>
    <row r="340" spans="1:24">
      <c r="A340" s="3"/>
      <c r="X340" s="3"/>
    </row>
    <row r="341" spans="1:24">
      <c r="A341" s="3"/>
      <c r="X341" s="3"/>
    </row>
    <row r="342" spans="1:24">
      <c r="A342" s="3"/>
      <c r="X342" s="3"/>
    </row>
    <row r="343" spans="1:24">
      <c r="A343" s="3"/>
      <c r="X343" s="3"/>
    </row>
    <row r="344" spans="1:24">
      <c r="A344" s="3"/>
      <c r="X344" s="3"/>
    </row>
    <row r="345" spans="1:24">
      <c r="A345" s="3"/>
      <c r="X345" s="3"/>
    </row>
    <row r="346" spans="1:24">
      <c r="A346" s="3"/>
      <c r="X346" s="3"/>
    </row>
    <row r="347" spans="1:24">
      <c r="A347" s="3"/>
      <c r="X347" s="3"/>
    </row>
    <row r="348" spans="1:24">
      <c r="A348" s="3"/>
      <c r="X348" s="3"/>
    </row>
    <row r="349" spans="1:24">
      <c r="A349" s="3"/>
      <c r="X349" s="3"/>
    </row>
    <row r="350" spans="1:24">
      <c r="A350" s="3"/>
      <c r="X350" s="3"/>
    </row>
    <row r="351" spans="1:24">
      <c r="A351" s="3"/>
      <c r="X351" s="3"/>
    </row>
    <row r="352" spans="1:24">
      <c r="A352" s="3"/>
      <c r="X352" s="3"/>
    </row>
    <row r="353" spans="1:24">
      <c r="A353" s="3"/>
      <c r="X353" s="3"/>
    </row>
    <row r="354" spans="1:24">
      <c r="A354" s="3"/>
      <c r="X354" s="3"/>
    </row>
    <row r="355" spans="1:24">
      <c r="A355" s="3"/>
      <c r="X355" s="3"/>
    </row>
    <row r="356" spans="1:24">
      <c r="A356" s="3"/>
      <c r="X356" s="3"/>
    </row>
    <row r="357" spans="1:24">
      <c r="A357" s="3"/>
      <c r="X357" s="3"/>
    </row>
    <row r="358" spans="1:24">
      <c r="A358" s="3"/>
      <c r="X358" s="3"/>
    </row>
    <row r="359" spans="1:24">
      <c r="A359" s="3"/>
      <c r="X359" s="3"/>
    </row>
    <row r="360" spans="1:24">
      <c r="A360" s="3"/>
      <c r="X360" s="3"/>
    </row>
    <row r="361" spans="1:24">
      <c r="A361" s="3"/>
      <c r="X361" s="3"/>
    </row>
    <row r="362" spans="1:24">
      <c r="A362" s="3"/>
      <c r="X362" s="3"/>
    </row>
    <row r="363" spans="1:24">
      <c r="A363" s="3"/>
      <c r="X363" s="3"/>
    </row>
    <row r="364" spans="1:24">
      <c r="A364" s="3"/>
      <c r="X364" s="3"/>
    </row>
    <row r="365" spans="1:24">
      <c r="A365" s="3"/>
      <c r="X365" s="3"/>
    </row>
    <row r="366" spans="1:24">
      <c r="A366" s="3"/>
      <c r="X366" s="3"/>
    </row>
    <row r="367" spans="1:24">
      <c r="A367" s="3"/>
      <c r="X367" s="3"/>
    </row>
    <row r="368" spans="1:24">
      <c r="A368" s="3"/>
      <c r="X368" s="3"/>
    </row>
    <row r="369" spans="1:24">
      <c r="A369" s="3"/>
      <c r="X369" s="3"/>
    </row>
    <row r="370" spans="1:24">
      <c r="A370" s="3"/>
      <c r="X370" s="3"/>
    </row>
    <row r="371" spans="1:24">
      <c r="A371" s="3"/>
      <c r="X371" s="3"/>
    </row>
    <row r="372" spans="1:24">
      <c r="A372" s="3"/>
      <c r="X372" s="3"/>
    </row>
    <row r="373" spans="1:24">
      <c r="A373" s="3"/>
      <c r="X373" s="3"/>
    </row>
    <row r="374" spans="1:24">
      <c r="A374" s="3"/>
      <c r="X374" s="3"/>
    </row>
    <row r="375" spans="1:24">
      <c r="A375" s="3"/>
      <c r="X375" s="3"/>
    </row>
    <row r="376" spans="1:24">
      <c r="A376" s="3"/>
      <c r="X376" s="3"/>
    </row>
    <row r="377" spans="1:24">
      <c r="A377" s="3"/>
      <c r="X377" s="3"/>
    </row>
    <row r="378" spans="1:24">
      <c r="A378" s="3"/>
      <c r="X378" s="3"/>
    </row>
    <row r="379" spans="1:24">
      <c r="A379" s="3"/>
      <c r="X379" s="3"/>
    </row>
    <row r="380" spans="1:24">
      <c r="A380" s="3"/>
      <c r="X380" s="3"/>
    </row>
    <row r="381" spans="1:24">
      <c r="A381" s="3"/>
      <c r="X381" s="3"/>
    </row>
    <row r="382" spans="1:24">
      <c r="A382" s="3"/>
      <c r="X382" s="3"/>
    </row>
    <row r="383" spans="1:24">
      <c r="A383" s="3"/>
      <c r="X383" s="3"/>
    </row>
    <row r="384" spans="1:24">
      <c r="A384" s="3"/>
      <c r="X384" s="3"/>
    </row>
    <row r="385" spans="1:24">
      <c r="A385" s="3"/>
      <c r="X385" s="3"/>
    </row>
    <row r="386" spans="1:24">
      <c r="A386" s="3"/>
      <c r="X386" s="3"/>
    </row>
    <row r="387" spans="1:24">
      <c r="A387" s="3"/>
      <c r="X387" s="3"/>
    </row>
    <row r="388" spans="1:24">
      <c r="A388" s="3"/>
      <c r="X388" s="3"/>
    </row>
    <row r="389" spans="1:24">
      <c r="A389" s="3"/>
      <c r="X389" s="3"/>
    </row>
    <row r="390" spans="1:24">
      <c r="A390" s="3"/>
      <c r="X390" s="3"/>
    </row>
    <row r="391" spans="1:24">
      <c r="A391" s="3"/>
      <c r="X391" s="3"/>
    </row>
    <row r="392" spans="1:24">
      <c r="A392" s="3"/>
      <c r="X392" s="3"/>
    </row>
    <row r="393" spans="1:24">
      <c r="A393" s="3"/>
      <c r="X393" s="3"/>
    </row>
    <row r="394" spans="1:24">
      <c r="A394" s="3"/>
      <c r="X394" s="3"/>
    </row>
    <row r="395" spans="1:24">
      <c r="A395" s="3"/>
      <c r="X395" s="3"/>
    </row>
    <row r="396" spans="1:24">
      <c r="A396" s="3"/>
      <c r="X396" s="3"/>
    </row>
    <row r="397" spans="1:24">
      <c r="A397" s="3"/>
      <c r="X397" s="3"/>
    </row>
    <row r="398" spans="1:24">
      <c r="A398" s="3"/>
      <c r="X398" s="3"/>
    </row>
    <row r="399" spans="1:24">
      <c r="A399" s="3"/>
      <c r="X399" s="3"/>
    </row>
    <row r="400" spans="1:24">
      <c r="A400" s="3"/>
      <c r="X400" s="3"/>
    </row>
    <row r="401" spans="1:24">
      <c r="A401" s="3"/>
      <c r="X401" s="3"/>
    </row>
    <row r="402" spans="1:24">
      <c r="A402" s="3"/>
      <c r="X402" s="3"/>
    </row>
    <row r="403" spans="1:24">
      <c r="A403" s="3"/>
      <c r="X403" s="3"/>
    </row>
    <row r="404" spans="1:24">
      <c r="A404" s="3"/>
      <c r="X404" s="3"/>
    </row>
    <row r="405" spans="1:24">
      <c r="A405" s="3"/>
      <c r="X405" s="3"/>
    </row>
    <row r="406" spans="1:24">
      <c r="A406" s="3"/>
      <c r="X406" s="3"/>
    </row>
    <row r="407" spans="1:24">
      <c r="A407" s="3"/>
      <c r="X407" s="3"/>
    </row>
    <row r="408" spans="1:24">
      <c r="A408" s="3"/>
      <c r="X408" s="3"/>
    </row>
    <row r="409" spans="1:24">
      <c r="A409" s="3"/>
      <c r="X409" s="3"/>
    </row>
    <row r="410" spans="1:24">
      <c r="A410" s="3"/>
      <c r="X410" s="3"/>
    </row>
    <row r="411" spans="1:24">
      <c r="A411" s="3"/>
      <c r="X411" s="3"/>
    </row>
    <row r="412" spans="1:24">
      <c r="A412" s="3"/>
      <c r="X412" s="3"/>
    </row>
    <row r="413" spans="1:24">
      <c r="A413" s="3"/>
      <c r="X413" s="3"/>
    </row>
    <row r="414" spans="1:24">
      <c r="A414" s="3"/>
      <c r="X414" s="3"/>
    </row>
    <row r="415" spans="1:24">
      <c r="A415" s="3"/>
      <c r="X415" s="3"/>
    </row>
    <row r="416" spans="1:24">
      <c r="A416" s="3"/>
      <c r="X416" s="3"/>
    </row>
    <row r="417" spans="1:24">
      <c r="A417" s="3"/>
      <c r="X417" s="3"/>
    </row>
    <row r="418" spans="1:24">
      <c r="A418" s="3"/>
      <c r="X418" s="3"/>
    </row>
    <row r="419" spans="1:24">
      <c r="A419" s="3"/>
      <c r="X419" s="3"/>
    </row>
    <row r="420" spans="1:24">
      <c r="A420" s="3"/>
      <c r="X420" s="3"/>
    </row>
    <row r="421" spans="1:24">
      <c r="A421" s="3"/>
      <c r="X421" s="3"/>
    </row>
    <row r="422" spans="1:24">
      <c r="A422" s="3"/>
      <c r="X422" s="3"/>
    </row>
    <row r="423" spans="1:24">
      <c r="A423" s="3"/>
      <c r="X423" s="3"/>
    </row>
    <row r="424" spans="1:24">
      <c r="A424" s="3"/>
      <c r="X424" s="3"/>
    </row>
    <row r="425" spans="1:24">
      <c r="A425" s="3"/>
      <c r="X425" s="3"/>
    </row>
    <row r="426" spans="1:24">
      <c r="A426" s="3"/>
      <c r="X426" s="3"/>
    </row>
    <row r="427" spans="1:24">
      <c r="A427" s="3"/>
      <c r="X427" s="3"/>
    </row>
    <row r="428" spans="1:24">
      <c r="A428" s="3"/>
      <c r="X428" s="3"/>
    </row>
    <row r="429" spans="1:24">
      <c r="A429" s="3"/>
      <c r="X429" s="3"/>
    </row>
    <row r="430" spans="1:24">
      <c r="A430" s="3"/>
      <c r="X430" s="3"/>
    </row>
    <row r="431" spans="1:24">
      <c r="A431" s="3"/>
      <c r="X431" s="3"/>
    </row>
    <row r="432" spans="1:24">
      <c r="A432" s="3"/>
      <c r="X432" s="3"/>
    </row>
    <row r="433" spans="1:24">
      <c r="A433" s="3"/>
      <c r="X433" s="3"/>
    </row>
    <row r="434" spans="1:24">
      <c r="A434" s="3"/>
      <c r="X434" s="3"/>
    </row>
    <row r="435" spans="1:24">
      <c r="A435" s="3"/>
      <c r="X435" s="3"/>
    </row>
    <row r="436" spans="1:24">
      <c r="A436" s="3"/>
      <c r="X436" s="3"/>
    </row>
    <row r="437" spans="1:24">
      <c r="A437" s="3"/>
      <c r="X437" s="3"/>
    </row>
    <row r="438" spans="1:24">
      <c r="A438" s="3"/>
      <c r="X438" s="3"/>
    </row>
    <row r="439" spans="1:24">
      <c r="A439" s="3"/>
      <c r="X439" s="3"/>
    </row>
    <row r="440" spans="1:24">
      <c r="A440" s="3"/>
      <c r="X440" s="3"/>
    </row>
    <row r="441" spans="1:24">
      <c r="A441" s="3"/>
      <c r="X441" s="3"/>
    </row>
    <row r="442" spans="1:24">
      <c r="A442" s="3"/>
      <c r="X442" s="3"/>
    </row>
    <row r="443" spans="1:24">
      <c r="A443" s="3"/>
      <c r="X443" s="3"/>
    </row>
    <row r="444" spans="1:24">
      <c r="A444" s="3"/>
      <c r="X444" s="3"/>
    </row>
    <row r="445" spans="1:24">
      <c r="A445" s="3"/>
      <c r="X445" s="3"/>
    </row>
    <row r="446" spans="1:24">
      <c r="A446" s="3"/>
      <c r="X446" s="3"/>
    </row>
    <row r="447" spans="1:24">
      <c r="A447" s="3"/>
      <c r="X447" s="3"/>
    </row>
    <row r="448" spans="1:24">
      <c r="A448" s="3"/>
      <c r="X448" s="3"/>
    </row>
    <row r="449" spans="1:24">
      <c r="A449" s="3"/>
      <c r="X449" s="3"/>
    </row>
    <row r="450" spans="1:24">
      <c r="A450" s="3"/>
      <c r="X450" s="3"/>
    </row>
    <row r="451" spans="1:24">
      <c r="A451" s="3"/>
      <c r="X451" s="3"/>
    </row>
    <row r="452" spans="1:24">
      <c r="A452" s="3"/>
      <c r="X452" s="3"/>
    </row>
    <row r="453" spans="1:24">
      <c r="A453" s="3"/>
      <c r="X453" s="3"/>
    </row>
    <row r="454" spans="1:24">
      <c r="A454" s="3"/>
      <c r="X454" s="3"/>
    </row>
    <row r="455" spans="1:24">
      <c r="A455" s="3"/>
      <c r="X455" s="3"/>
    </row>
    <row r="456" spans="1:24">
      <c r="A456" s="3"/>
      <c r="X456" s="3"/>
    </row>
    <row r="457" spans="1:24">
      <c r="A457" s="3"/>
      <c r="X457" s="3"/>
    </row>
    <row r="458" spans="1:24">
      <c r="A458" s="3"/>
      <c r="X458" s="3"/>
    </row>
    <row r="459" spans="1:24">
      <c r="A459" s="3"/>
      <c r="X459" s="3"/>
    </row>
    <row r="460" spans="1:24">
      <c r="A460" s="3"/>
      <c r="X460" s="3"/>
    </row>
    <row r="461" spans="1:24">
      <c r="A461" s="3"/>
      <c r="X461" s="3"/>
    </row>
    <row r="462" spans="1:24">
      <c r="A462" s="3"/>
      <c r="X462" s="3"/>
    </row>
    <row r="463" spans="1:24">
      <c r="A463" s="3"/>
      <c r="X463" s="3"/>
    </row>
    <row r="464" spans="1:24">
      <c r="A464" s="3"/>
      <c r="X464" s="3"/>
    </row>
    <row r="465" spans="1:24">
      <c r="A465" s="3"/>
      <c r="X465" s="3"/>
    </row>
    <row r="466" spans="1:24">
      <c r="A466" s="3"/>
      <c r="X466" s="3"/>
    </row>
    <row r="467" spans="1:24">
      <c r="A467" s="3"/>
      <c r="X467" s="3"/>
    </row>
    <row r="468" spans="1:24">
      <c r="A468" s="3"/>
      <c r="X468" s="3"/>
    </row>
    <row r="469" spans="1:24">
      <c r="A469" s="3"/>
      <c r="X469" s="3"/>
    </row>
    <row r="470" spans="1:24">
      <c r="A470" s="3"/>
      <c r="X470" s="3"/>
    </row>
    <row r="471" spans="1:24">
      <c r="A471" s="3"/>
      <c r="X471" s="3"/>
    </row>
    <row r="472" spans="1:24">
      <c r="A472" s="3"/>
      <c r="X472" s="3"/>
    </row>
    <row r="473" spans="1:24">
      <c r="A473" s="3"/>
      <c r="X473" s="3"/>
    </row>
    <row r="474" spans="1:24">
      <c r="A474" s="3"/>
      <c r="X474" s="3"/>
    </row>
    <row r="475" spans="1:24">
      <c r="A475" s="3"/>
      <c r="X475" s="3"/>
    </row>
    <row r="476" spans="1:24">
      <c r="A476" s="3"/>
      <c r="X476" s="3"/>
    </row>
    <row r="477" spans="1:24">
      <c r="A477" s="3"/>
      <c r="X477" s="3"/>
    </row>
    <row r="478" spans="1:24">
      <c r="A478" s="3"/>
      <c r="X478" s="3"/>
    </row>
    <row r="479" spans="1:24">
      <c r="A479" s="3"/>
      <c r="X479" s="3"/>
    </row>
    <row r="480" spans="1:24">
      <c r="A480" s="3"/>
      <c r="X480" s="3"/>
    </row>
    <row r="481" spans="1:24">
      <c r="A481" s="3"/>
      <c r="X481" s="3"/>
    </row>
    <row r="482" spans="1:24">
      <c r="A482" s="3"/>
      <c r="X482" s="3"/>
    </row>
    <row r="483" spans="1:24">
      <c r="A483" s="3"/>
      <c r="X483" s="3"/>
    </row>
    <row r="484" spans="1:24">
      <c r="A484" s="3"/>
      <c r="X484" s="3"/>
    </row>
    <row r="485" spans="1:24">
      <c r="A485" s="3"/>
      <c r="X485" s="3"/>
    </row>
    <row r="486" spans="1:24">
      <c r="A486" s="3"/>
      <c r="X486" s="3"/>
    </row>
    <row r="487" spans="1:24">
      <c r="A487" s="3"/>
      <c r="X487" s="3"/>
    </row>
    <row r="488" spans="1:24">
      <c r="A488" s="3"/>
      <c r="X488" s="3"/>
    </row>
    <row r="489" spans="1:24">
      <c r="A489" s="3"/>
      <c r="X489" s="3"/>
    </row>
    <row r="490" spans="1:24">
      <c r="A490" s="3"/>
      <c r="X490" s="3"/>
    </row>
    <row r="491" spans="1:24">
      <c r="A491" s="3"/>
      <c r="X491" s="3"/>
    </row>
    <row r="492" spans="1:24">
      <c r="A492" s="3"/>
      <c r="X492" s="3"/>
    </row>
    <row r="493" spans="1:24">
      <c r="A493" s="3"/>
      <c r="X493" s="3"/>
    </row>
    <row r="494" spans="1:24">
      <c r="A494" s="3"/>
      <c r="X494" s="3"/>
    </row>
    <row r="495" spans="1:24">
      <c r="A495" s="3"/>
      <c r="X495" s="3"/>
    </row>
    <row r="496" spans="1:24">
      <c r="A496" s="3"/>
      <c r="X496" s="3"/>
    </row>
    <row r="497" spans="1:24">
      <c r="A497" s="3"/>
      <c r="X497" s="3"/>
    </row>
  </sheetData>
  <mergeCells count="4">
    <mergeCell ref="A1:C1"/>
    <mergeCell ref="A3:B3"/>
    <mergeCell ref="A11:B11"/>
    <mergeCell ref="A5:B5"/>
  </mergeCells>
  <phoneticPr fontId="3" type="noConversion"/>
  <pageMargins left="0.75" right="0.75" top="1" bottom="1" header="0.5" footer="0.5"/>
  <pageSetup scale="26" orientation="landscape" r:id="rId1"/>
  <headerFooter alignWithMargins="0"/>
  <legacy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tabColor indexed="10"/>
  </sheetPr>
  <dimension ref="A1:HS128"/>
  <sheetViews>
    <sheetView zoomScaleNormal="100" workbookViewId="0">
      <selection activeCell="E3" sqref="E3"/>
    </sheetView>
  </sheetViews>
  <sheetFormatPr baseColWidth="10" defaultColWidth="9.1640625" defaultRowHeight="13"/>
  <cols>
    <col min="1" max="1" width="15.33203125" style="48" bestFit="1" customWidth="1"/>
    <col min="2" max="19" width="12.6640625" style="3" bestFit="1" customWidth="1"/>
    <col min="20" max="20" width="12.6640625" style="118" bestFit="1" customWidth="1"/>
    <col min="21" max="21" width="15.33203125" style="58" bestFit="1" customWidth="1"/>
    <col min="22" max="23" width="12.6640625" style="58" bestFit="1" customWidth="1"/>
    <col min="24" max="24" width="11.1640625" style="59" bestFit="1" customWidth="1"/>
    <col min="25" max="27" width="11.1640625" style="60" bestFit="1" customWidth="1"/>
    <col min="28" max="34" width="12.6640625" style="60" bestFit="1" customWidth="1"/>
    <col min="35" max="37" width="12.6640625" style="3" bestFit="1" customWidth="1"/>
    <col min="38" max="38" width="12.6640625" style="60" bestFit="1" customWidth="1"/>
    <col min="39" max="39" width="12.6640625" style="118" bestFit="1" customWidth="1"/>
    <col min="40" max="53" width="12.6640625" style="60" bestFit="1" customWidth="1"/>
    <col min="54" max="56" width="12.6640625" style="3" bestFit="1" customWidth="1"/>
    <col min="57" max="57" width="12.6640625" style="60" bestFit="1" customWidth="1"/>
    <col min="58" max="58" width="12.6640625" style="118" bestFit="1" customWidth="1"/>
    <col min="59" max="72" width="12.6640625" style="60" bestFit="1" customWidth="1"/>
    <col min="73" max="75" width="12.6640625" style="3" bestFit="1" customWidth="1"/>
    <col min="76" max="76" width="12.6640625" style="60" bestFit="1" customWidth="1"/>
    <col min="77" max="77" width="12.6640625" style="118" bestFit="1" customWidth="1"/>
    <col min="78" max="91" width="12.6640625" style="60" bestFit="1" customWidth="1"/>
    <col min="92" max="94" width="12.6640625" style="3" bestFit="1" customWidth="1"/>
    <col min="95" max="95" width="12.6640625" style="60" bestFit="1" customWidth="1"/>
    <col min="96" max="96" width="11.1640625" style="118" bestFit="1" customWidth="1"/>
    <col min="97" max="97" width="11.1640625" style="60" bestFit="1" customWidth="1"/>
    <col min="98" max="98" width="10.1640625" style="60" bestFit="1" customWidth="1"/>
    <col min="99" max="102" width="11.1640625" style="60" bestFit="1" customWidth="1"/>
    <col min="103" max="104" width="12.6640625" style="60" bestFit="1" customWidth="1"/>
    <col min="105" max="105" width="11.1640625" style="60" bestFit="1" customWidth="1"/>
    <col min="106" max="106" width="12.6640625" style="60" customWidth="1"/>
    <col min="107" max="107" width="12.6640625" style="60" bestFit="1" customWidth="1"/>
    <col min="108" max="108" width="11.1640625" style="60" bestFit="1" customWidth="1"/>
    <col min="109" max="109" width="12.6640625" style="60" bestFit="1" customWidth="1"/>
    <col min="110" max="110" width="11.1640625" style="60" bestFit="1" customWidth="1"/>
    <col min="111" max="112" width="11.1640625" style="3" bestFit="1" customWidth="1"/>
    <col min="113" max="113" width="12.6640625" style="3" bestFit="1" customWidth="1"/>
    <col min="114" max="114" width="12.6640625" style="60" customWidth="1"/>
    <col min="115" max="115" width="12.6640625" style="3" bestFit="1" customWidth="1"/>
    <col min="116" max="116" width="13.1640625" style="3" customWidth="1"/>
    <col min="117" max="117" width="11.1640625" style="3" bestFit="1" customWidth="1"/>
    <col min="118" max="119" width="12.6640625" style="3" bestFit="1" customWidth="1"/>
    <col min="120" max="120" width="11.1640625" style="3" bestFit="1" customWidth="1"/>
    <col min="121" max="124" width="12.6640625" style="3" bestFit="1" customWidth="1"/>
    <col min="125" max="125" width="12.6640625" style="766" bestFit="1" customWidth="1"/>
    <col min="126" max="132" width="12.6640625" style="3" bestFit="1" customWidth="1"/>
    <col min="133" max="139" width="12.6640625" style="60" bestFit="1" customWidth="1"/>
    <col min="140" max="142" width="12.6640625" style="60" customWidth="1"/>
    <col min="143" max="167" width="12.6640625" style="60" bestFit="1" customWidth="1"/>
    <col min="168" max="16384" width="9.1640625" style="60"/>
  </cols>
  <sheetData>
    <row r="1" spans="1:170" s="63" customFormat="1">
      <c r="A1" s="979" t="s">
        <v>267</v>
      </c>
      <c r="B1" s="979"/>
      <c r="C1" s="979"/>
      <c r="D1" s="979"/>
      <c r="O1" s="49"/>
      <c r="P1" s="49"/>
      <c r="Q1" s="49"/>
      <c r="R1" s="49"/>
      <c r="S1" s="49"/>
      <c r="T1" s="49"/>
      <c r="U1" s="49"/>
      <c r="V1" s="49"/>
      <c r="W1" s="49"/>
      <c r="X1" s="49"/>
      <c r="Y1" s="118"/>
      <c r="AA1" s="3"/>
      <c r="AB1" s="119"/>
      <c r="AC1" s="119"/>
      <c r="AD1" s="120"/>
      <c r="AE1" s="120"/>
      <c r="AF1" s="64"/>
      <c r="AG1" s="64"/>
      <c r="AH1" s="64"/>
      <c r="AI1" s="64"/>
      <c r="AJ1" s="64"/>
      <c r="AK1" s="64"/>
      <c r="AL1" s="64"/>
      <c r="AM1" s="64"/>
      <c r="AN1" s="49"/>
      <c r="AO1" s="49"/>
      <c r="AP1" s="49"/>
      <c r="AQ1" s="49"/>
      <c r="AR1" s="49"/>
      <c r="AS1" s="49"/>
      <c r="AT1" s="49"/>
      <c r="AU1" s="49"/>
      <c r="AV1" s="64"/>
      <c r="AW1" s="118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49"/>
      <c r="BM1" s="49"/>
      <c r="BN1" s="49"/>
      <c r="BO1" s="49"/>
      <c r="BP1" s="49"/>
      <c r="BQ1" s="49"/>
      <c r="BR1" s="49"/>
      <c r="BS1" s="49"/>
      <c r="BT1" s="64"/>
      <c r="BU1" s="118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49"/>
      <c r="CK1" s="49"/>
      <c r="CL1" s="49"/>
      <c r="CM1" s="49"/>
      <c r="CN1" s="49"/>
      <c r="CO1" s="49"/>
      <c r="CP1" s="49"/>
      <c r="CQ1" s="49"/>
      <c r="CR1" s="64"/>
      <c r="CS1" s="118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49"/>
      <c r="DI1" s="49"/>
      <c r="DJ1" s="49"/>
      <c r="DK1" s="49"/>
      <c r="DL1" s="49"/>
      <c r="DM1" s="49"/>
      <c r="DN1" s="49"/>
      <c r="DO1" s="49"/>
      <c r="DP1" s="64"/>
      <c r="DQ1" s="118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49"/>
      <c r="EG1" s="49"/>
      <c r="EH1" s="49"/>
      <c r="EI1" s="49"/>
      <c r="EJ1" s="763"/>
      <c r="EK1" s="763"/>
      <c r="EL1" s="763"/>
      <c r="EM1" s="763"/>
      <c r="EN1" s="64"/>
      <c r="EO1" s="51"/>
      <c r="EP1" s="49"/>
      <c r="EQ1" s="49"/>
      <c r="ER1" s="49"/>
      <c r="ES1" s="49"/>
      <c r="ET1" s="49"/>
      <c r="EU1" s="49"/>
      <c r="EV1" s="49"/>
      <c r="EW1" s="49"/>
      <c r="EX1" s="49"/>
      <c r="EY1" s="41"/>
      <c r="EZ1" s="41"/>
      <c r="FA1" s="41"/>
      <c r="FB1" s="41"/>
      <c r="FC1" s="41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</row>
    <row r="2" spans="1:170" s="63" customFormat="1" ht="18">
      <c r="B2" s="49"/>
      <c r="C2" s="49"/>
      <c r="D2" s="49"/>
      <c r="O2" s="14"/>
      <c r="P2" s="14"/>
      <c r="Q2" s="14"/>
      <c r="R2" s="14"/>
      <c r="S2" s="14"/>
      <c r="T2" s="14"/>
      <c r="U2" s="14"/>
      <c r="V2" s="14"/>
      <c r="W2" s="14"/>
      <c r="X2" s="272"/>
      <c r="Y2" s="118"/>
      <c r="Z2" s="48"/>
      <c r="AB2" s="48"/>
      <c r="AC2" s="48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49"/>
      <c r="AO2" s="49"/>
      <c r="AP2" s="49"/>
      <c r="AQ2" s="49"/>
      <c r="AR2" s="49"/>
      <c r="AS2" s="49"/>
      <c r="AT2" s="49"/>
      <c r="AU2" s="49"/>
      <c r="AV2" s="64"/>
      <c r="AW2" s="118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49"/>
      <c r="BM2" s="49"/>
      <c r="BN2" s="49"/>
      <c r="BO2" s="49"/>
      <c r="BP2" s="49"/>
      <c r="BQ2" s="49"/>
      <c r="BR2" s="49"/>
      <c r="BS2" s="49"/>
      <c r="BT2" s="64"/>
      <c r="BU2" s="118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49"/>
      <c r="CK2" s="49"/>
      <c r="CL2" s="49"/>
      <c r="CM2" s="49"/>
      <c r="CN2" s="49"/>
      <c r="CO2" s="49"/>
      <c r="CP2" s="49"/>
      <c r="CQ2" s="49"/>
      <c r="CR2" s="64"/>
      <c r="CS2" s="118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49"/>
      <c r="DI2" s="49"/>
      <c r="DJ2" s="49"/>
      <c r="DK2" s="49"/>
      <c r="DL2" s="49"/>
      <c r="DM2" s="49"/>
      <c r="DN2" s="49"/>
      <c r="DO2" s="49"/>
      <c r="DP2" s="64"/>
      <c r="DQ2" s="118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49"/>
      <c r="EG2" s="49"/>
      <c r="EH2" s="49"/>
      <c r="EI2" s="49"/>
      <c r="EJ2" s="763"/>
      <c r="EK2" s="763"/>
      <c r="EL2" s="763"/>
      <c r="EM2" s="763"/>
      <c r="EN2" s="64"/>
      <c r="EO2" s="53"/>
      <c r="EP2" s="49"/>
      <c r="EQ2" s="49"/>
      <c r="ER2" s="49"/>
      <c r="ES2" s="49"/>
      <c r="ET2" s="49"/>
      <c r="EU2" s="49"/>
      <c r="EV2" s="49"/>
      <c r="EW2" s="49"/>
      <c r="EX2" s="49"/>
      <c r="EY2" s="41"/>
      <c r="EZ2" s="41"/>
      <c r="FA2" s="41"/>
      <c r="FB2" s="41"/>
      <c r="FC2" s="41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</row>
    <row r="3" spans="1:170" s="63" customFormat="1">
      <c r="A3" s="1023" t="s">
        <v>108</v>
      </c>
      <c r="B3" s="1023"/>
      <c r="C3" s="1023"/>
      <c r="D3" s="1023"/>
      <c r="E3" s="930"/>
      <c r="F3" s="561"/>
      <c r="G3" s="561"/>
      <c r="H3" s="561"/>
      <c r="I3" s="561"/>
      <c r="J3" s="561"/>
      <c r="K3" s="561"/>
      <c r="L3" s="561"/>
      <c r="M3" s="561"/>
      <c r="N3" s="561"/>
      <c r="O3" s="267"/>
      <c r="P3" s="18"/>
      <c r="Q3" s="18"/>
      <c r="R3" s="18"/>
      <c r="S3" s="18"/>
      <c r="T3" s="18"/>
      <c r="U3" s="18"/>
      <c r="V3" s="18"/>
      <c r="W3" s="18"/>
      <c r="X3" s="272"/>
      <c r="Y3" s="1023" t="s">
        <v>108</v>
      </c>
      <c r="Z3" s="1023"/>
      <c r="AA3" s="1023"/>
      <c r="AB3" s="1023"/>
      <c r="AC3" s="48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49"/>
      <c r="AO3" s="49"/>
      <c r="AP3" s="49"/>
      <c r="AQ3" s="49"/>
      <c r="AR3" s="49"/>
      <c r="AS3" s="49"/>
      <c r="AT3" s="49"/>
      <c r="AU3" s="49"/>
      <c r="AV3" s="64"/>
      <c r="AW3" s="1023" t="s">
        <v>108</v>
      </c>
      <c r="AX3" s="1023"/>
      <c r="AY3" s="1023"/>
      <c r="AZ3" s="1023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49"/>
      <c r="BM3" s="49"/>
      <c r="BN3" s="49"/>
      <c r="BO3" s="49"/>
      <c r="BP3" s="49"/>
      <c r="BQ3" s="49"/>
      <c r="BR3" s="49"/>
      <c r="BS3" s="49"/>
      <c r="BT3" s="64"/>
      <c r="BU3" s="1018" t="s">
        <v>108</v>
      </c>
      <c r="BV3" s="1018"/>
      <c r="BW3" s="1018"/>
      <c r="BX3" s="1018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49"/>
      <c r="CK3" s="49"/>
      <c r="CL3" s="49"/>
      <c r="CM3" s="49"/>
      <c r="CN3" s="49"/>
      <c r="CO3" s="49"/>
      <c r="CP3" s="49"/>
      <c r="CQ3" s="49"/>
      <c r="CR3" s="64"/>
      <c r="CS3" s="1018" t="s">
        <v>108</v>
      </c>
      <c r="CT3" s="1018"/>
      <c r="CU3" s="1018"/>
      <c r="CV3" s="1018"/>
      <c r="CW3" s="1018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49"/>
      <c r="DI3" s="49"/>
      <c r="DJ3" s="49"/>
      <c r="DK3" s="49"/>
      <c r="DL3" s="49"/>
      <c r="DM3" s="49"/>
      <c r="DN3" s="49"/>
      <c r="DO3" s="49"/>
      <c r="DP3" s="64"/>
      <c r="DQ3" s="1018" t="s">
        <v>108</v>
      </c>
      <c r="DR3" s="1018"/>
      <c r="DS3" s="1018"/>
      <c r="DT3" s="1018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49"/>
      <c r="EG3" s="49"/>
      <c r="EH3" s="49"/>
      <c r="EI3" s="49"/>
      <c r="EJ3" s="763"/>
      <c r="EK3" s="763"/>
      <c r="EL3" s="763"/>
      <c r="EM3" s="763"/>
      <c r="EN3" s="64"/>
      <c r="EO3" s="1018" t="s">
        <v>296</v>
      </c>
      <c r="EP3" s="1018"/>
      <c r="EQ3" s="1018"/>
      <c r="ER3" s="1018"/>
      <c r="ES3" s="1018"/>
      <c r="ET3" s="49"/>
      <c r="EU3" s="49"/>
      <c r="EV3" s="49"/>
      <c r="EW3" s="49"/>
      <c r="EX3" s="49"/>
      <c r="EY3" s="41"/>
      <c r="EZ3" s="41"/>
      <c r="FA3" s="41"/>
      <c r="FB3" s="41"/>
      <c r="FC3" s="41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</row>
    <row r="4" spans="1:170" s="63" customFormat="1" ht="14.25" customHeight="1">
      <c r="A4" s="48"/>
      <c r="B4" s="49"/>
      <c r="C4" s="49"/>
      <c r="D4" s="3"/>
      <c r="E4" s="455"/>
      <c r="F4" s="455"/>
      <c r="G4" s="455"/>
      <c r="H4" s="455"/>
      <c r="I4" s="455"/>
      <c r="J4" s="455"/>
      <c r="K4" s="455"/>
      <c r="L4" s="548"/>
      <c r="M4" s="14"/>
      <c r="N4" s="14"/>
      <c r="O4" s="207"/>
      <c r="P4" s="207"/>
      <c r="Q4" s="207"/>
      <c r="R4" s="207"/>
      <c r="S4" s="207"/>
      <c r="T4" s="207"/>
      <c r="U4" s="207"/>
      <c r="V4" s="207"/>
      <c r="W4" s="207"/>
      <c r="X4" s="272"/>
      <c r="Y4" s="118"/>
      <c r="Z4" s="48"/>
      <c r="AA4" s="96" t="s">
        <v>94</v>
      </c>
      <c r="AB4" s="96"/>
      <c r="AG4" s="64"/>
      <c r="AH4" s="64"/>
      <c r="AI4" s="64"/>
      <c r="AJ4" s="64"/>
      <c r="AK4" s="64"/>
      <c r="AL4" s="64"/>
      <c r="AM4" s="64"/>
      <c r="AN4" s="49"/>
      <c r="AO4" s="49"/>
      <c r="AP4" s="49"/>
      <c r="AQ4" s="49"/>
      <c r="AR4" s="49"/>
      <c r="AS4" s="49"/>
      <c r="AT4" s="49"/>
      <c r="AU4" s="49"/>
      <c r="AV4" s="64"/>
      <c r="AW4" s="118"/>
      <c r="AX4" s="64"/>
      <c r="AY4" s="64"/>
      <c r="BE4" s="64"/>
      <c r="BF4" s="64"/>
      <c r="BG4" s="64"/>
      <c r="BH4" s="64"/>
      <c r="BI4" s="64"/>
      <c r="BJ4" s="64"/>
      <c r="BK4" s="64"/>
      <c r="BL4" s="49"/>
      <c r="BM4" s="49"/>
      <c r="BN4" s="49"/>
      <c r="BO4" s="49"/>
      <c r="BP4" s="49"/>
      <c r="BQ4" s="49"/>
      <c r="BR4" s="49"/>
      <c r="BS4" s="49"/>
      <c r="BT4" s="64"/>
      <c r="BU4" s="118"/>
      <c r="BV4" s="64"/>
      <c r="BW4" s="64"/>
      <c r="CC4" s="64"/>
      <c r="CD4" s="64"/>
      <c r="CE4" s="64"/>
      <c r="CF4" s="64"/>
      <c r="CG4" s="64"/>
      <c r="CH4" s="64"/>
      <c r="CI4" s="64"/>
      <c r="CJ4" s="49"/>
      <c r="CK4" s="49"/>
      <c r="CL4" s="49"/>
      <c r="CM4" s="49"/>
      <c r="CN4" s="49"/>
      <c r="CO4" s="49"/>
      <c r="CP4" s="49"/>
      <c r="CQ4" s="49"/>
      <c r="CR4" s="64"/>
      <c r="CS4" s="118"/>
      <c r="CT4" s="64"/>
      <c r="CU4" s="64"/>
      <c r="DB4" s="64"/>
      <c r="DC4" s="64"/>
      <c r="DD4" s="64"/>
      <c r="DE4" s="64"/>
      <c r="DF4" s="64"/>
      <c r="DG4" s="64"/>
      <c r="DH4" s="49"/>
      <c r="DI4" s="49"/>
      <c r="DJ4" s="49"/>
      <c r="DK4" s="49"/>
      <c r="DL4" s="49"/>
      <c r="DM4" s="49"/>
      <c r="DN4" s="49"/>
      <c r="DO4" s="49"/>
      <c r="DP4" s="64"/>
      <c r="DQ4" s="118"/>
      <c r="DR4" s="64"/>
      <c r="DS4" s="64"/>
      <c r="DY4" s="64"/>
      <c r="DZ4" s="64"/>
      <c r="EA4" s="64"/>
      <c r="EB4" s="64"/>
      <c r="EC4" s="64"/>
      <c r="ED4" s="64"/>
      <c r="EE4" s="64"/>
      <c r="EF4" s="49"/>
      <c r="EG4" s="49"/>
      <c r="EH4" s="49"/>
      <c r="EI4" s="49"/>
      <c r="EJ4" s="763"/>
      <c r="EK4" s="763"/>
      <c r="EL4" s="763"/>
      <c r="EM4" s="763"/>
      <c r="EN4" s="64"/>
      <c r="EO4" s="3"/>
      <c r="EP4" s="49"/>
      <c r="EQ4" s="49"/>
      <c r="ER4" s="3"/>
      <c r="EU4" s="448"/>
      <c r="EV4" s="448"/>
      <c r="EW4" s="448"/>
      <c r="EX4" s="448"/>
      <c r="EY4" s="41"/>
      <c r="EZ4" s="41"/>
      <c r="FA4" s="41"/>
      <c r="FB4" s="41"/>
      <c r="FC4" s="41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</row>
    <row r="5" spans="1:170">
      <c r="A5" s="1026" t="s">
        <v>292</v>
      </c>
      <c r="B5" s="1026"/>
      <c r="C5" s="49"/>
      <c r="D5" s="4"/>
      <c r="E5" s="49"/>
      <c r="F5" s="49"/>
      <c r="G5" s="49"/>
      <c r="H5" s="49"/>
      <c r="I5" s="49"/>
      <c r="J5" s="49"/>
      <c r="K5" s="49"/>
      <c r="L5" s="548"/>
      <c r="M5" s="267"/>
      <c r="N5" s="267"/>
      <c r="O5" s="207"/>
      <c r="P5" s="207"/>
      <c r="Q5" s="207"/>
      <c r="R5" s="207"/>
      <c r="S5" s="207"/>
      <c r="T5" s="207"/>
      <c r="U5" s="207"/>
      <c r="V5" s="207"/>
      <c r="W5" s="207"/>
      <c r="X5" s="272"/>
      <c r="Y5" s="1027" t="s">
        <v>107</v>
      </c>
      <c r="Z5" s="1026"/>
      <c r="AA5" s="71"/>
      <c r="AB5" s="71"/>
      <c r="AI5" s="60"/>
      <c r="AJ5" s="60"/>
      <c r="AK5" s="60"/>
      <c r="AM5" s="60"/>
      <c r="AN5" s="49"/>
      <c r="AO5" s="49"/>
      <c r="AP5" s="49"/>
      <c r="AQ5" s="49"/>
      <c r="AR5" s="49"/>
      <c r="AS5" s="49"/>
      <c r="AT5" s="49"/>
      <c r="AU5" s="49"/>
      <c r="AW5" s="829" t="s">
        <v>103</v>
      </c>
      <c r="BF5" s="60"/>
      <c r="BL5" s="49"/>
      <c r="BM5" s="49"/>
      <c r="BN5" s="49"/>
      <c r="BO5" s="49"/>
      <c r="BP5" s="49"/>
      <c r="BQ5" s="49"/>
      <c r="BR5" s="49"/>
      <c r="BS5" s="49"/>
      <c r="BU5" s="118"/>
      <c r="BV5" s="60"/>
      <c r="BW5" s="60"/>
      <c r="CJ5" s="49"/>
      <c r="CK5" s="49"/>
      <c r="CL5" s="49"/>
      <c r="CM5" s="49"/>
      <c r="CN5" s="49"/>
      <c r="CO5" s="49"/>
      <c r="CP5" s="49"/>
      <c r="CQ5" s="49"/>
      <c r="CR5" s="60"/>
      <c r="CS5" s="69" t="s">
        <v>101</v>
      </c>
      <c r="DG5" s="60"/>
      <c r="DH5" s="49"/>
      <c r="DI5" s="49"/>
      <c r="DJ5" s="49"/>
      <c r="DK5" s="49"/>
      <c r="DL5" s="49"/>
      <c r="DM5" s="49"/>
      <c r="DN5" s="49"/>
      <c r="DO5" s="49"/>
      <c r="DP5" s="60"/>
      <c r="DQ5" s="69" t="s">
        <v>459</v>
      </c>
      <c r="DR5" s="60"/>
      <c r="DS5" s="60"/>
      <c r="DY5" s="60"/>
      <c r="DZ5" s="60"/>
      <c r="EA5" s="60"/>
      <c r="EB5" s="60"/>
      <c r="EF5" s="49"/>
      <c r="EG5" s="49"/>
      <c r="EH5" s="49"/>
      <c r="EI5" s="49"/>
      <c r="EJ5" s="763"/>
      <c r="EK5" s="763"/>
      <c r="EL5" s="763"/>
      <c r="EM5" s="763"/>
      <c r="EO5" s="1019" t="s">
        <v>458</v>
      </c>
      <c r="EP5" s="1019"/>
      <c r="EQ5" s="49"/>
      <c r="ER5" s="4"/>
      <c r="EU5" s="449"/>
      <c r="EV5" s="449"/>
      <c r="EW5" s="449"/>
      <c r="EX5" s="449"/>
      <c r="EY5" s="41"/>
      <c r="EZ5" s="41"/>
      <c r="FA5" s="41"/>
      <c r="FB5" s="41"/>
      <c r="FC5" s="41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</row>
    <row r="6" spans="1:170" s="67" customFormat="1">
      <c r="C6" s="49"/>
      <c r="D6" s="4"/>
      <c r="E6" s="550" t="s">
        <v>461</v>
      </c>
      <c r="F6" s="550" t="s">
        <v>270</v>
      </c>
      <c r="G6" s="550"/>
      <c r="H6" s="550"/>
      <c r="I6" s="550"/>
      <c r="J6" s="550"/>
      <c r="K6" s="49"/>
      <c r="L6" s="63"/>
      <c r="M6" s="207"/>
      <c r="N6" s="207"/>
      <c r="O6" s="49"/>
      <c r="P6" s="49"/>
      <c r="Q6" s="49"/>
      <c r="R6" s="49"/>
      <c r="S6" s="49"/>
      <c r="T6" s="49"/>
      <c r="U6" s="49"/>
      <c r="V6" s="49"/>
      <c r="W6" s="49"/>
      <c r="X6" s="49"/>
      <c r="Y6" s="118"/>
      <c r="Z6" s="66"/>
      <c r="AA6" s="107" t="s">
        <v>94</v>
      </c>
      <c r="AB6" s="137"/>
      <c r="AC6" s="983" t="s">
        <v>270</v>
      </c>
      <c r="AD6" s="983"/>
      <c r="AE6" s="983"/>
      <c r="AF6" s="983"/>
      <c r="AG6" s="68"/>
      <c r="AH6" s="68"/>
      <c r="AI6" s="68"/>
      <c r="AJ6" s="68"/>
      <c r="AK6" s="68"/>
      <c r="AL6" s="68"/>
      <c r="AM6" s="68"/>
      <c r="AN6" s="49"/>
      <c r="AO6" s="49"/>
      <c r="AP6" s="49"/>
      <c r="AQ6" s="49"/>
      <c r="AR6" s="49"/>
      <c r="AS6" s="49"/>
      <c r="AT6" s="49"/>
      <c r="AU6" s="49"/>
      <c r="AV6" s="68"/>
      <c r="AW6" s="118"/>
      <c r="AY6" s="68"/>
      <c r="AZ6" s="96" t="s">
        <v>461</v>
      </c>
      <c r="BA6" s="983" t="s">
        <v>270</v>
      </c>
      <c r="BB6" s="983"/>
      <c r="BC6" s="983"/>
      <c r="BD6" s="983"/>
      <c r="BE6" s="68"/>
      <c r="BF6" s="68"/>
      <c r="BG6" s="68"/>
      <c r="BH6" s="68"/>
      <c r="BI6" s="68"/>
      <c r="BJ6" s="68"/>
      <c r="BK6" s="68"/>
      <c r="BL6" s="49"/>
      <c r="BM6" s="49"/>
      <c r="BN6" s="49"/>
      <c r="BO6" s="49"/>
      <c r="BP6" s="49"/>
      <c r="BQ6" s="49"/>
      <c r="BR6" s="49"/>
      <c r="BS6" s="49"/>
      <c r="BT6" s="68"/>
      <c r="BU6" s="828" t="s">
        <v>100</v>
      </c>
      <c r="BV6" s="829"/>
      <c r="BX6" s="96" t="s">
        <v>461</v>
      </c>
      <c r="BY6" s="983" t="s">
        <v>270</v>
      </c>
      <c r="BZ6" s="983"/>
      <c r="CA6" s="983"/>
      <c r="CB6" s="983"/>
      <c r="CC6" s="68"/>
      <c r="CD6" s="68"/>
      <c r="CE6" s="68"/>
      <c r="CF6" s="68"/>
      <c r="CG6" s="68"/>
      <c r="CH6" s="68"/>
      <c r="CI6" s="68"/>
      <c r="CJ6" s="49"/>
      <c r="CK6" s="49"/>
      <c r="CL6" s="49"/>
      <c r="CM6" s="49"/>
      <c r="CN6" s="49"/>
      <c r="CO6" s="49"/>
      <c r="CP6" s="49"/>
      <c r="CQ6" s="49"/>
      <c r="CR6" s="68"/>
      <c r="CS6" s="118"/>
      <c r="CU6" s="68"/>
      <c r="CV6" s="96" t="s">
        <v>461</v>
      </c>
      <c r="CW6" s="983" t="s">
        <v>270</v>
      </c>
      <c r="CX6" s="983"/>
      <c r="CY6" s="983"/>
      <c r="CZ6" s="983"/>
      <c r="DA6" s="983"/>
      <c r="DB6" s="68"/>
      <c r="DC6" s="68"/>
      <c r="DD6" s="68"/>
      <c r="DE6" s="68"/>
      <c r="DF6" s="68"/>
      <c r="DG6" s="68"/>
      <c r="DH6" s="49"/>
      <c r="DI6" s="49"/>
      <c r="DJ6" s="49"/>
      <c r="DK6" s="49"/>
      <c r="DL6" s="49"/>
      <c r="DM6" s="49"/>
      <c r="DN6" s="49"/>
      <c r="DO6" s="49"/>
      <c r="DP6" s="68"/>
      <c r="DQ6" s="118"/>
      <c r="DS6" s="68"/>
      <c r="DT6" s="96" t="s">
        <v>461</v>
      </c>
      <c r="DU6" s="983" t="s">
        <v>270</v>
      </c>
      <c r="DV6" s="983"/>
      <c r="DW6" s="983"/>
      <c r="DX6" s="983"/>
      <c r="DY6" s="68"/>
      <c r="DZ6" s="68"/>
      <c r="EA6" s="68"/>
      <c r="EB6" s="68"/>
      <c r="EC6" s="68"/>
      <c r="ED6" s="68"/>
      <c r="EE6" s="68"/>
      <c r="EF6" s="49"/>
      <c r="EG6" s="49"/>
      <c r="EH6" s="49"/>
      <c r="EI6" s="49"/>
      <c r="EJ6" s="763"/>
      <c r="EK6" s="763"/>
      <c r="EL6" s="763"/>
      <c r="EM6" s="763"/>
      <c r="EN6" s="68"/>
      <c r="EO6" s="55"/>
      <c r="EP6" s="49"/>
      <c r="EQ6" s="49"/>
      <c r="ER6" s="4"/>
      <c r="ES6" s="448" t="s">
        <v>461</v>
      </c>
      <c r="ET6" s="448" t="s">
        <v>270</v>
      </c>
      <c r="EU6" s="486"/>
      <c r="EV6" s="486"/>
      <c r="EW6" s="486"/>
      <c r="EX6" s="486"/>
      <c r="EY6" s="41"/>
      <c r="EZ6" s="41"/>
      <c r="FA6" s="41"/>
      <c r="FB6" s="41"/>
      <c r="FC6" s="41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</row>
    <row r="7" spans="1:170" s="67" customFormat="1">
      <c r="C7" s="49"/>
      <c r="D7" s="4"/>
      <c r="E7" s="551"/>
      <c r="F7" s="551" t="s">
        <v>272</v>
      </c>
      <c r="G7" s="551"/>
      <c r="H7" s="551"/>
      <c r="I7" s="551"/>
      <c r="J7" s="551"/>
      <c r="K7" s="447"/>
      <c r="L7" s="548"/>
      <c r="M7" s="207"/>
      <c r="N7" s="207"/>
      <c r="O7" s="49"/>
      <c r="P7" s="49"/>
      <c r="Q7" s="49"/>
      <c r="R7" s="49"/>
      <c r="S7" s="49"/>
      <c r="T7" s="49"/>
      <c r="U7" s="49"/>
      <c r="V7" s="49"/>
      <c r="W7" s="49"/>
      <c r="X7" s="49"/>
      <c r="Y7" s="118"/>
      <c r="Z7" s="66"/>
      <c r="AA7" s="107"/>
      <c r="AB7" s="137"/>
      <c r="AC7" s="984" t="s">
        <v>272</v>
      </c>
      <c r="AD7" s="984"/>
      <c r="AE7" s="984"/>
      <c r="AF7" s="984"/>
      <c r="AG7" s="68"/>
      <c r="AH7" s="68"/>
      <c r="AI7" s="68"/>
      <c r="AJ7" s="68"/>
      <c r="AK7" s="68"/>
      <c r="AL7" s="68"/>
      <c r="AM7" s="68"/>
      <c r="AN7" s="49"/>
      <c r="AO7" s="49"/>
      <c r="AP7" s="49"/>
      <c r="AQ7" s="49"/>
      <c r="AR7" s="49"/>
      <c r="AS7" s="49"/>
      <c r="AT7" s="49"/>
      <c r="AU7" s="49"/>
      <c r="AV7" s="68"/>
      <c r="AW7" s="118"/>
      <c r="AX7" s="69"/>
      <c r="AY7" s="68"/>
      <c r="AZ7" s="71"/>
      <c r="BA7" s="984" t="s">
        <v>272</v>
      </c>
      <c r="BB7" s="984"/>
      <c r="BC7" s="984"/>
      <c r="BD7" s="984"/>
      <c r="BE7" s="68"/>
      <c r="BF7" s="68"/>
      <c r="BG7" s="68"/>
      <c r="BH7" s="68"/>
      <c r="BI7" s="68"/>
      <c r="BJ7" s="68"/>
      <c r="BK7" s="68"/>
      <c r="BL7" s="49"/>
      <c r="BM7" s="49"/>
      <c r="BN7" s="49"/>
      <c r="BO7" s="49"/>
      <c r="BP7" s="49"/>
      <c r="BQ7" s="49"/>
      <c r="BR7" s="49"/>
      <c r="BS7" s="49"/>
      <c r="BT7" s="68"/>
      <c r="BU7" s="118"/>
      <c r="BV7" s="69"/>
      <c r="BW7" s="68"/>
      <c r="BX7" s="71"/>
      <c r="BY7" s="984" t="s">
        <v>272</v>
      </c>
      <c r="BZ7" s="984"/>
      <c r="CA7" s="984"/>
      <c r="CB7" s="984"/>
      <c r="CC7" s="68"/>
      <c r="CD7" s="68"/>
      <c r="CE7" s="68"/>
      <c r="CF7" s="68"/>
      <c r="CG7" s="68"/>
      <c r="CH7" s="68"/>
      <c r="CI7" s="68"/>
      <c r="CJ7" s="49"/>
      <c r="CK7" s="49"/>
      <c r="CL7" s="49"/>
      <c r="CM7" s="49"/>
      <c r="CN7" s="49"/>
      <c r="CO7" s="49"/>
      <c r="CP7" s="49"/>
      <c r="CQ7" s="49"/>
      <c r="CR7" s="68"/>
      <c r="CS7" s="118"/>
      <c r="CT7" s="69"/>
      <c r="CU7" s="68"/>
      <c r="CV7" s="71"/>
      <c r="CW7" s="984" t="s">
        <v>272</v>
      </c>
      <c r="CX7" s="984"/>
      <c r="CY7" s="984"/>
      <c r="CZ7" s="984"/>
      <c r="DA7" s="984"/>
      <c r="DB7" s="68"/>
      <c r="DC7" s="68"/>
      <c r="DD7" s="68"/>
      <c r="DE7" s="68"/>
      <c r="DF7" s="68"/>
      <c r="DG7" s="68"/>
      <c r="DH7" s="49"/>
      <c r="DI7" s="49"/>
      <c r="DJ7" s="49"/>
      <c r="DK7" s="49"/>
      <c r="DL7" s="49"/>
      <c r="DM7" s="49"/>
      <c r="DN7" s="49"/>
      <c r="DO7" s="49"/>
      <c r="DP7" s="68"/>
      <c r="DQ7" s="118"/>
      <c r="DR7" s="69"/>
      <c r="DS7" s="68"/>
      <c r="DT7" s="71"/>
      <c r="DU7" s="984" t="s">
        <v>272</v>
      </c>
      <c r="DV7" s="984"/>
      <c r="DW7" s="984"/>
      <c r="DX7" s="984"/>
      <c r="DY7" s="68"/>
      <c r="DZ7" s="68"/>
      <c r="EA7" s="68"/>
      <c r="EB7" s="68"/>
      <c r="EC7" s="68"/>
      <c r="ED7" s="68"/>
      <c r="EE7" s="68"/>
      <c r="EF7" s="49"/>
      <c r="EG7" s="49"/>
      <c r="EH7" s="49"/>
      <c r="EI7" s="49"/>
      <c r="EJ7" s="763"/>
      <c r="EK7" s="763"/>
      <c r="EL7" s="763"/>
      <c r="EM7" s="763"/>
      <c r="EN7" s="68"/>
      <c r="EO7" s="55"/>
      <c r="EP7" s="49"/>
      <c r="EQ7" s="49"/>
      <c r="ER7" s="4"/>
      <c r="ES7" s="449"/>
      <c r="ET7" s="449" t="s">
        <v>272</v>
      </c>
      <c r="EU7" s="448"/>
      <c r="EV7" s="448"/>
      <c r="EW7" s="448"/>
      <c r="EX7" s="448"/>
      <c r="EY7" s="41"/>
      <c r="EZ7" s="41"/>
      <c r="FA7" s="41"/>
      <c r="FB7" s="41"/>
      <c r="FC7" s="41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</row>
    <row r="8" spans="1:170" s="67" customFormat="1">
      <c r="C8" s="49"/>
      <c r="D8" s="4"/>
      <c r="E8" s="826" t="s">
        <v>521</v>
      </c>
      <c r="F8" s="446" t="s">
        <v>388</v>
      </c>
      <c r="G8" s="550"/>
      <c r="H8" s="550"/>
      <c r="I8" s="550"/>
      <c r="J8" s="550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118"/>
      <c r="Z8" s="66"/>
      <c r="AA8" s="107"/>
      <c r="AB8" s="137"/>
      <c r="AC8" s="826" t="s">
        <v>521</v>
      </c>
      <c r="AD8" s="446" t="s">
        <v>389</v>
      </c>
      <c r="AE8" s="827"/>
      <c r="AF8" s="827"/>
      <c r="AG8" s="68"/>
      <c r="AH8" s="68"/>
      <c r="AI8" s="68"/>
      <c r="AJ8" s="68"/>
      <c r="AK8" s="68"/>
      <c r="AL8" s="68"/>
      <c r="AM8" s="68"/>
      <c r="AN8" s="49"/>
      <c r="AO8" s="49"/>
      <c r="AP8" s="49"/>
      <c r="AQ8" s="49"/>
      <c r="AR8" s="49"/>
      <c r="AS8" s="49"/>
      <c r="AT8" s="49"/>
      <c r="AU8" s="49"/>
      <c r="AV8" s="68"/>
      <c r="AW8" s="118"/>
      <c r="AX8" s="69"/>
      <c r="AY8" s="68"/>
      <c r="AZ8" s="826" t="s">
        <v>521</v>
      </c>
      <c r="BA8" s="446" t="s">
        <v>390</v>
      </c>
      <c r="BB8" s="827"/>
      <c r="BC8" s="827"/>
      <c r="BD8" s="827"/>
      <c r="BE8" s="68"/>
      <c r="BF8" s="68"/>
      <c r="BG8" s="68"/>
      <c r="BH8" s="68"/>
      <c r="BI8" s="68"/>
      <c r="BJ8" s="68"/>
      <c r="BK8" s="68"/>
      <c r="BL8" s="49"/>
      <c r="BM8" s="49"/>
      <c r="BN8" s="49"/>
      <c r="BO8" s="49"/>
      <c r="BP8" s="49"/>
      <c r="BQ8" s="49"/>
      <c r="BR8" s="49"/>
      <c r="BS8" s="49"/>
      <c r="BT8" s="68"/>
      <c r="BU8" s="118"/>
      <c r="BV8" s="69"/>
      <c r="BW8" s="68"/>
      <c r="BX8" s="826" t="s">
        <v>521</v>
      </c>
      <c r="BY8" s="446" t="s">
        <v>393</v>
      </c>
      <c r="BZ8" s="826"/>
      <c r="CA8" s="826"/>
      <c r="CB8" s="827"/>
      <c r="CC8" s="68"/>
      <c r="CD8" s="68"/>
      <c r="CE8" s="68"/>
      <c r="CF8" s="68"/>
      <c r="CG8" s="68"/>
      <c r="CH8" s="68"/>
      <c r="CI8" s="68"/>
      <c r="CJ8" s="49"/>
      <c r="CK8" s="49"/>
      <c r="CL8" s="49"/>
      <c r="CM8" s="49"/>
      <c r="CN8" s="49"/>
      <c r="CO8" s="49"/>
      <c r="CP8" s="49"/>
      <c r="CQ8" s="49"/>
      <c r="CR8" s="68"/>
      <c r="CS8" s="118"/>
      <c r="CT8" s="69"/>
      <c r="CU8" s="68"/>
      <c r="CV8" s="826" t="s">
        <v>521</v>
      </c>
      <c r="CW8" s="446" t="s">
        <v>391</v>
      </c>
      <c r="CX8" s="826"/>
      <c r="CY8" s="826"/>
      <c r="CZ8" s="826"/>
      <c r="DA8" s="827"/>
      <c r="DB8" s="68"/>
      <c r="DC8" s="68"/>
      <c r="DD8" s="68"/>
      <c r="DE8" s="68"/>
      <c r="DF8" s="68"/>
      <c r="DG8" s="68"/>
      <c r="DH8" s="49"/>
      <c r="DI8" s="49"/>
      <c r="DJ8" s="49"/>
      <c r="DK8" s="49"/>
      <c r="DL8" s="49"/>
      <c r="DM8" s="49"/>
      <c r="DN8" s="49"/>
      <c r="DO8" s="49"/>
      <c r="DP8" s="68"/>
      <c r="DQ8" s="118"/>
      <c r="DR8" s="69"/>
      <c r="DS8" s="68"/>
      <c r="DT8" s="826" t="s">
        <v>521</v>
      </c>
      <c r="DU8" s="446" t="s">
        <v>392</v>
      </c>
      <c r="DV8" s="827"/>
      <c r="DW8" s="827"/>
      <c r="DX8" s="827"/>
      <c r="DY8" s="68"/>
      <c r="DZ8" s="68"/>
      <c r="EA8" s="68"/>
      <c r="EB8" s="68"/>
      <c r="EC8" s="68"/>
      <c r="ED8" s="68"/>
      <c r="EE8" s="68"/>
      <c r="EF8" s="49"/>
      <c r="EG8" s="49"/>
      <c r="EH8" s="49"/>
      <c r="EI8" s="49"/>
      <c r="EJ8" s="763"/>
      <c r="EK8" s="763"/>
      <c r="EL8" s="763"/>
      <c r="EM8" s="763"/>
      <c r="EN8" s="68"/>
      <c r="EO8" s="55"/>
      <c r="EP8" s="49"/>
      <c r="EQ8" s="49"/>
      <c r="ER8" s="4"/>
      <c r="ES8" s="826" t="s">
        <v>521</v>
      </c>
      <c r="ET8" s="446" t="s">
        <v>394</v>
      </c>
      <c r="EU8" s="448"/>
      <c r="EV8" s="448"/>
      <c r="EW8" s="448"/>
      <c r="EX8" s="448"/>
      <c r="EY8" s="41"/>
      <c r="EZ8" s="41"/>
      <c r="FA8" s="41"/>
      <c r="FB8" s="41"/>
      <c r="FC8" s="41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</row>
    <row r="9" spans="1:170" s="246" customFormat="1">
      <c r="D9" s="248"/>
      <c r="E9" s="826">
        <v>2016</v>
      </c>
      <c r="F9" s="446" t="s">
        <v>185</v>
      </c>
      <c r="G9" s="550"/>
      <c r="H9" s="550"/>
      <c r="J9" s="834" t="s">
        <v>623</v>
      </c>
      <c r="K9" s="929"/>
      <c r="L9" s="929"/>
      <c r="M9" s="929"/>
      <c r="N9" s="929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36"/>
      <c r="AB9" s="107"/>
      <c r="AC9" s="826">
        <v>2016</v>
      </c>
      <c r="AD9" s="446" t="s">
        <v>196</v>
      </c>
      <c r="AE9" s="827"/>
      <c r="AF9" s="827"/>
      <c r="AG9" s="107"/>
      <c r="AH9" s="107"/>
      <c r="AI9" s="107"/>
      <c r="AJ9" s="107"/>
      <c r="AK9" s="107"/>
      <c r="AL9" s="107"/>
      <c r="AM9" s="107"/>
      <c r="AN9" s="248"/>
      <c r="AO9" s="248"/>
      <c r="AP9" s="248"/>
      <c r="AQ9" s="248"/>
      <c r="AR9" s="248"/>
      <c r="AS9" s="248"/>
      <c r="AT9" s="248"/>
      <c r="AU9" s="248"/>
      <c r="AV9" s="107"/>
      <c r="AW9" s="236"/>
      <c r="AX9" s="107"/>
      <c r="AY9" s="107"/>
      <c r="AZ9" s="826">
        <v>2016</v>
      </c>
      <c r="BA9" s="446" t="s">
        <v>197</v>
      </c>
      <c r="BB9" s="827"/>
      <c r="BC9" s="827"/>
      <c r="BD9" s="827"/>
      <c r="BE9" s="107"/>
      <c r="BF9" s="107"/>
      <c r="BG9" s="107"/>
      <c r="BH9" s="107"/>
      <c r="BI9" s="107"/>
      <c r="BJ9" s="107"/>
      <c r="BK9" s="107"/>
      <c r="BL9" s="248"/>
      <c r="BM9" s="248"/>
      <c r="BN9" s="248"/>
      <c r="BO9" s="248"/>
      <c r="BP9" s="248"/>
      <c r="BQ9" s="248"/>
      <c r="BR9" s="248"/>
      <c r="BS9" s="248"/>
      <c r="BT9" s="107"/>
      <c r="BU9" s="236"/>
      <c r="BV9" s="107"/>
      <c r="BW9" s="107"/>
      <c r="BX9" s="826">
        <v>2016</v>
      </c>
      <c r="BY9" s="446" t="s">
        <v>198</v>
      </c>
      <c r="BZ9" s="826"/>
      <c r="CA9" s="826"/>
      <c r="CB9" s="827"/>
      <c r="CC9" s="107"/>
      <c r="CD9" s="107"/>
      <c r="CE9" s="107"/>
      <c r="CF9" s="107"/>
      <c r="CG9" s="107"/>
      <c r="CH9" s="107"/>
      <c r="CI9" s="107"/>
      <c r="CJ9" s="248"/>
      <c r="CK9" s="248"/>
      <c r="CL9" s="248"/>
      <c r="CM9" s="248"/>
      <c r="CN9" s="248"/>
      <c r="CO9" s="248"/>
      <c r="CP9" s="248"/>
      <c r="CQ9" s="248"/>
      <c r="CR9" s="107"/>
      <c r="CS9" s="236"/>
      <c r="CT9" s="107"/>
      <c r="CU9" s="107"/>
      <c r="CV9" s="826">
        <v>2016</v>
      </c>
      <c r="CW9" s="446" t="s">
        <v>199</v>
      </c>
      <c r="CX9" s="826"/>
      <c r="CY9" s="826"/>
      <c r="CZ9" s="826"/>
      <c r="DA9" s="827"/>
      <c r="DB9" s="107"/>
      <c r="DC9" s="107"/>
      <c r="DD9" s="107"/>
      <c r="DE9" s="107"/>
      <c r="DF9" s="107"/>
      <c r="DG9" s="107"/>
      <c r="DH9" s="248"/>
      <c r="DI9" s="248"/>
      <c r="DJ9" s="248"/>
      <c r="DK9" s="248"/>
      <c r="DL9" s="248"/>
      <c r="DM9" s="248"/>
      <c r="DN9" s="248"/>
      <c r="DO9" s="248"/>
      <c r="DP9" s="107"/>
      <c r="DQ9" s="236"/>
      <c r="DR9" s="107"/>
      <c r="DS9" s="107"/>
      <c r="DT9" s="826">
        <v>2016</v>
      </c>
      <c r="DU9" s="446" t="s">
        <v>200</v>
      </c>
      <c r="DV9" s="827"/>
      <c r="DW9" s="827"/>
      <c r="DX9" s="827"/>
      <c r="DY9" s="107"/>
      <c r="DZ9" s="107"/>
      <c r="EA9" s="107"/>
      <c r="EB9" s="107"/>
      <c r="EC9" s="107"/>
      <c r="ED9" s="107"/>
      <c r="EE9" s="107"/>
      <c r="EF9" s="248"/>
      <c r="EG9" s="248"/>
      <c r="EH9" s="248"/>
      <c r="EI9" s="248"/>
      <c r="EJ9" s="763"/>
      <c r="EK9" s="763"/>
      <c r="EL9" s="763"/>
      <c r="EM9" s="763"/>
      <c r="EN9" s="107"/>
      <c r="EQ9" s="249"/>
      <c r="ER9" s="249"/>
      <c r="ES9" s="826">
        <v>2016</v>
      </c>
      <c r="ET9" s="446" t="s">
        <v>395</v>
      </c>
      <c r="EU9" s="452"/>
      <c r="EV9" s="452"/>
      <c r="EW9" s="452"/>
      <c r="EX9" s="452"/>
      <c r="EY9" s="250"/>
      <c r="EZ9" s="250"/>
      <c r="FA9" s="250"/>
      <c r="FB9" s="250"/>
      <c r="FC9" s="250"/>
      <c r="FD9" s="248"/>
      <c r="FE9" s="248"/>
      <c r="FF9" s="248"/>
      <c r="FG9" s="248"/>
      <c r="FH9" s="248"/>
      <c r="FI9" s="248"/>
      <c r="FJ9" s="248"/>
      <c r="FK9" s="248"/>
      <c r="FL9" s="248"/>
      <c r="FM9" s="248"/>
      <c r="FN9" s="248"/>
    </row>
    <row r="10" spans="1:170" s="246" customFormat="1">
      <c r="B10" s="247"/>
      <c r="C10" s="248"/>
      <c r="D10" s="248"/>
      <c r="E10" s="826">
        <v>2017</v>
      </c>
      <c r="F10" s="446" t="s">
        <v>307</v>
      </c>
      <c r="G10" s="550"/>
      <c r="H10" s="550"/>
      <c r="J10" s="856" t="s">
        <v>526</v>
      </c>
      <c r="K10" s="929"/>
      <c r="L10" s="929"/>
      <c r="M10" s="929"/>
      <c r="N10" s="929"/>
      <c r="O10" s="966"/>
      <c r="P10" s="248"/>
      <c r="Q10" s="248"/>
      <c r="R10" s="248"/>
      <c r="S10" s="248"/>
      <c r="T10" s="248"/>
      <c r="U10" s="248"/>
      <c r="V10" s="248"/>
      <c r="W10" s="248"/>
      <c r="X10" s="248"/>
      <c r="Y10" s="236"/>
      <c r="Z10" s="65"/>
      <c r="AA10" s="107"/>
      <c r="AB10" s="107"/>
      <c r="AC10" s="826">
        <v>2017</v>
      </c>
      <c r="AD10" s="446" t="s">
        <v>308</v>
      </c>
      <c r="AE10" s="827"/>
      <c r="AF10" s="827"/>
      <c r="AG10" s="107"/>
      <c r="AH10" s="107"/>
      <c r="AI10" s="107"/>
      <c r="AJ10" s="107"/>
      <c r="AK10" s="107"/>
      <c r="AL10" s="107"/>
      <c r="AM10" s="107"/>
      <c r="AN10" s="248"/>
      <c r="AO10" s="248"/>
      <c r="AP10" s="248"/>
      <c r="AQ10" s="248"/>
      <c r="AR10" s="248"/>
      <c r="AS10" s="248"/>
      <c r="AT10" s="248"/>
      <c r="AU10" s="248"/>
      <c r="AV10" s="107"/>
      <c r="AW10" s="236"/>
      <c r="AX10" s="107"/>
      <c r="AY10" s="107"/>
      <c r="AZ10" s="826">
        <v>2017</v>
      </c>
      <c r="BA10" s="446" t="s">
        <v>309</v>
      </c>
      <c r="BB10" s="827"/>
      <c r="BC10" s="827"/>
      <c r="BD10" s="827"/>
      <c r="BE10" s="107"/>
      <c r="BF10" s="107"/>
      <c r="BG10" s="107"/>
      <c r="BH10" s="107"/>
      <c r="BI10" s="107"/>
      <c r="BJ10" s="107"/>
      <c r="BK10" s="107"/>
      <c r="BL10" s="248"/>
      <c r="BM10" s="248"/>
      <c r="BN10" s="248"/>
      <c r="BO10" s="248"/>
      <c r="BP10" s="248"/>
      <c r="BQ10" s="248"/>
      <c r="BR10" s="248"/>
      <c r="BS10" s="248"/>
      <c r="BT10" s="107"/>
      <c r="BU10" s="236"/>
      <c r="BV10" s="107"/>
      <c r="BW10" s="107"/>
      <c r="BX10" s="826">
        <v>2017</v>
      </c>
      <c r="BY10" s="446" t="s">
        <v>310</v>
      </c>
      <c r="BZ10" s="826"/>
      <c r="CA10" s="826"/>
      <c r="CB10" s="827"/>
      <c r="CC10" s="107"/>
      <c r="CD10" s="107"/>
      <c r="CE10" s="107"/>
      <c r="CF10" s="107"/>
      <c r="CG10" s="107"/>
      <c r="CH10" s="107"/>
      <c r="CI10" s="107"/>
      <c r="CJ10" s="248"/>
      <c r="CK10" s="248"/>
      <c r="CL10" s="248"/>
      <c r="CM10" s="248"/>
      <c r="CN10" s="248"/>
      <c r="CO10" s="248"/>
      <c r="CP10" s="248"/>
      <c r="CQ10" s="248"/>
      <c r="CR10" s="107"/>
      <c r="CS10" s="236"/>
      <c r="CT10" s="107"/>
      <c r="CU10" s="107"/>
      <c r="CV10" s="826">
        <v>2017</v>
      </c>
      <c r="CW10" s="446" t="s">
        <v>311</v>
      </c>
      <c r="CX10" s="826"/>
      <c r="CY10" s="826"/>
      <c r="CZ10" s="826"/>
      <c r="DA10" s="827"/>
      <c r="DB10" s="107"/>
      <c r="DC10" s="107"/>
      <c r="DD10" s="107"/>
      <c r="DE10" s="107"/>
      <c r="DF10" s="107"/>
      <c r="DG10" s="107"/>
      <c r="DH10" s="248"/>
      <c r="DI10" s="248"/>
      <c r="DJ10" s="248"/>
      <c r="DK10" s="248"/>
      <c r="DL10" s="248"/>
      <c r="DM10" s="248"/>
      <c r="DN10" s="248"/>
      <c r="DO10" s="248"/>
      <c r="DP10" s="107"/>
      <c r="DQ10" s="236"/>
      <c r="DR10" s="107"/>
      <c r="DS10" s="107"/>
      <c r="DT10" s="826">
        <v>2017</v>
      </c>
      <c r="DU10" s="446" t="s">
        <v>312</v>
      </c>
      <c r="DV10" s="827"/>
      <c r="DW10" s="827"/>
      <c r="DX10" s="827"/>
      <c r="DY10" s="107"/>
      <c r="DZ10" s="107"/>
      <c r="EA10" s="107"/>
      <c r="EB10" s="107"/>
      <c r="EC10" s="107"/>
      <c r="ED10" s="107"/>
      <c r="EE10" s="107"/>
      <c r="EF10" s="248"/>
      <c r="EG10" s="248"/>
      <c r="EH10" s="248"/>
      <c r="EI10" s="248"/>
      <c r="EJ10" s="763"/>
      <c r="EK10" s="763"/>
      <c r="EL10" s="763"/>
      <c r="EM10" s="763"/>
      <c r="EN10" s="107"/>
      <c r="EO10" s="249"/>
      <c r="EP10" s="249"/>
      <c r="EQ10" s="249"/>
      <c r="ER10" s="249"/>
      <c r="ES10" s="826">
        <v>2017</v>
      </c>
      <c r="ET10" s="446" t="s">
        <v>396</v>
      </c>
      <c r="EY10" s="250"/>
      <c r="EZ10" s="250"/>
      <c r="FA10" s="250"/>
      <c r="FB10" s="250"/>
      <c r="FC10" s="250"/>
      <c r="FD10" s="248"/>
      <c r="FE10" s="248"/>
      <c r="FF10" s="248"/>
      <c r="FG10" s="248"/>
      <c r="FH10" s="248"/>
      <c r="FI10" s="248"/>
      <c r="FJ10" s="248"/>
      <c r="FK10" s="248"/>
      <c r="FL10" s="248"/>
      <c r="FM10" s="248"/>
      <c r="FN10" s="248"/>
    </row>
    <row r="11" spans="1:170" s="246" customFormat="1">
      <c r="B11" s="247"/>
      <c r="C11" s="248"/>
      <c r="D11" s="248"/>
      <c r="E11" s="251"/>
      <c r="F11" s="555"/>
      <c r="G11" s="555"/>
      <c r="H11" s="555"/>
      <c r="I11" s="555"/>
      <c r="J11" s="555"/>
      <c r="K11" s="439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36"/>
      <c r="Z11" s="65"/>
      <c r="AA11" s="107"/>
      <c r="AB11" s="107"/>
      <c r="AC11" s="1022"/>
      <c r="AD11" s="1022"/>
      <c r="AE11" s="1022"/>
      <c r="AF11" s="1022"/>
      <c r="AG11" s="107"/>
      <c r="AH11" s="107"/>
      <c r="AI11" s="107"/>
      <c r="AJ11" s="107"/>
      <c r="AK11" s="107"/>
      <c r="AL11" s="107"/>
      <c r="AM11" s="107"/>
      <c r="AN11" s="248"/>
      <c r="AO11" s="248"/>
      <c r="AP11" s="248"/>
      <c r="AQ11" s="248"/>
      <c r="AR11" s="248"/>
      <c r="AS11" s="248"/>
      <c r="AT11" s="248"/>
      <c r="AU11" s="248"/>
      <c r="AV11" s="107"/>
      <c r="AW11" s="236"/>
      <c r="AX11" s="107"/>
      <c r="AY11" s="107"/>
      <c r="BE11" s="107"/>
      <c r="BF11" s="107"/>
      <c r="BG11" s="107"/>
      <c r="BH11" s="107"/>
      <c r="BI11" s="107"/>
      <c r="BJ11" s="107"/>
      <c r="BK11" s="107"/>
      <c r="BL11" s="248"/>
      <c r="BM11" s="248"/>
      <c r="BN11" s="248"/>
      <c r="BO11" s="248"/>
      <c r="BP11" s="248"/>
      <c r="BQ11" s="248"/>
      <c r="BR11" s="248"/>
      <c r="BS11" s="248"/>
      <c r="BT11" s="107"/>
      <c r="BU11" s="236"/>
      <c r="BV11" s="107"/>
      <c r="BW11" s="107"/>
      <c r="CC11" s="107"/>
      <c r="CD11" s="107"/>
      <c r="CE11" s="107"/>
      <c r="CF11" s="107"/>
      <c r="CG11" s="107"/>
      <c r="CH11" s="107"/>
      <c r="CI11" s="107"/>
      <c r="CJ11" s="248"/>
      <c r="CK11" s="248"/>
      <c r="CL11" s="248"/>
      <c r="CM11" s="248"/>
      <c r="CN11" s="248"/>
      <c r="CO11" s="248"/>
      <c r="CP11" s="248"/>
      <c r="CQ11" s="248"/>
      <c r="CR11" s="107"/>
      <c r="CS11" s="236"/>
      <c r="CT11" s="107"/>
      <c r="CU11" s="107"/>
      <c r="DB11" s="107"/>
      <c r="DC11" s="107"/>
      <c r="DD11" s="107"/>
      <c r="DE11" s="107"/>
      <c r="DF11" s="107"/>
      <c r="DG11" s="107"/>
      <c r="DH11" s="248"/>
      <c r="DI11" s="248"/>
      <c r="DJ11" s="248"/>
      <c r="DK11" s="248"/>
      <c r="DL11" s="248"/>
      <c r="DM11" s="248"/>
      <c r="DN11" s="248"/>
      <c r="DO11" s="248"/>
      <c r="DP11" s="107"/>
      <c r="DQ11" s="236"/>
      <c r="DR11" s="107"/>
      <c r="DS11" s="107"/>
      <c r="DY11" s="107"/>
      <c r="DZ11" s="107"/>
      <c r="EA11" s="107"/>
      <c r="EB11" s="107"/>
      <c r="EC11" s="107"/>
      <c r="ED11" s="107"/>
      <c r="EE11" s="107"/>
      <c r="EF11" s="248"/>
      <c r="EG11" s="248"/>
      <c r="EH11" s="248"/>
      <c r="EI11" s="248"/>
      <c r="EJ11" s="763"/>
      <c r="EK11" s="763"/>
      <c r="EL11" s="763"/>
      <c r="EM11" s="763"/>
      <c r="EN11" s="107"/>
      <c r="EO11" s="249"/>
      <c r="EP11" s="249"/>
      <c r="EQ11" s="249"/>
      <c r="ER11" s="249"/>
      <c r="EY11" s="250"/>
      <c r="EZ11" s="250"/>
      <c r="FA11" s="250"/>
      <c r="FB11" s="250"/>
      <c r="FC11" s="250"/>
      <c r="FD11" s="248"/>
      <c r="FE11" s="248"/>
      <c r="FF11" s="248"/>
      <c r="FG11" s="248"/>
      <c r="FH11" s="248"/>
      <c r="FI11" s="248"/>
      <c r="FJ11" s="248"/>
      <c r="FK11" s="248"/>
      <c r="FL11" s="248"/>
      <c r="FM11" s="248"/>
      <c r="FN11" s="248"/>
    </row>
    <row r="12" spans="1:170" s="246" customFormat="1">
      <c r="B12" s="247"/>
      <c r="C12" s="248"/>
      <c r="D12" s="248"/>
      <c r="E12" s="251"/>
      <c r="F12" s="555"/>
      <c r="G12" s="555"/>
      <c r="H12" s="555"/>
      <c r="I12" s="555"/>
      <c r="J12" s="555"/>
      <c r="K12" s="439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36"/>
      <c r="Z12" s="65"/>
      <c r="AA12" s="107"/>
      <c r="AB12" s="107"/>
      <c r="AC12" s="1022"/>
      <c r="AD12" s="1022"/>
      <c r="AE12" s="1022"/>
      <c r="AF12" s="1022"/>
      <c r="AG12" s="107"/>
      <c r="AH12" s="107"/>
      <c r="AI12" s="107"/>
      <c r="AJ12" s="107"/>
      <c r="AK12" s="107"/>
      <c r="AL12" s="107"/>
      <c r="AM12" s="107"/>
      <c r="AN12" s="248"/>
      <c r="AO12" s="248"/>
      <c r="AP12" s="248"/>
      <c r="AQ12" s="248"/>
      <c r="AR12" s="248"/>
      <c r="AS12" s="248"/>
      <c r="AT12" s="248"/>
      <c r="AU12" s="248"/>
      <c r="AV12" s="107"/>
      <c r="AW12" s="236"/>
      <c r="AX12" s="107"/>
      <c r="AY12" s="107"/>
      <c r="BE12" s="107"/>
      <c r="BF12" s="107"/>
      <c r="BG12" s="107"/>
      <c r="BH12" s="107"/>
      <c r="BI12" s="107"/>
      <c r="BJ12" s="107"/>
      <c r="BK12" s="107"/>
      <c r="BL12" s="248"/>
      <c r="BM12" s="248"/>
      <c r="BN12" s="248"/>
      <c r="BO12" s="248"/>
      <c r="BP12" s="248"/>
      <c r="BQ12" s="248"/>
      <c r="BR12" s="248"/>
      <c r="BS12" s="248"/>
      <c r="BT12" s="107"/>
      <c r="BU12" s="236"/>
      <c r="BV12" s="107"/>
      <c r="BW12" s="107"/>
      <c r="CC12" s="107"/>
      <c r="CD12" s="107"/>
      <c r="CE12" s="107"/>
      <c r="CF12" s="107"/>
      <c r="CG12" s="107"/>
      <c r="CH12" s="107"/>
      <c r="CI12" s="107"/>
      <c r="CJ12" s="248"/>
      <c r="CK12" s="248"/>
      <c r="CL12" s="248"/>
      <c r="CM12" s="248"/>
      <c r="CN12" s="248"/>
      <c r="CO12" s="248"/>
      <c r="CP12" s="248"/>
      <c r="CQ12" s="248"/>
      <c r="CR12" s="107"/>
      <c r="CS12" s="236"/>
      <c r="CT12" s="107"/>
      <c r="CU12" s="107"/>
      <c r="DB12" s="107"/>
      <c r="DC12" s="107"/>
      <c r="DD12" s="107"/>
      <c r="DE12" s="107"/>
      <c r="DF12" s="107"/>
      <c r="DG12" s="107"/>
      <c r="DH12" s="248"/>
      <c r="DI12" s="248"/>
      <c r="DJ12" s="248"/>
      <c r="DK12" s="248"/>
      <c r="DL12" s="248"/>
      <c r="DM12" s="248"/>
      <c r="DN12" s="248"/>
      <c r="DO12" s="248"/>
      <c r="DP12" s="107"/>
      <c r="DQ12" s="236"/>
      <c r="DR12" s="107"/>
      <c r="DS12" s="107"/>
      <c r="DY12" s="107"/>
      <c r="DZ12" s="107"/>
      <c r="EA12" s="107"/>
      <c r="EB12" s="107"/>
      <c r="EC12" s="107"/>
      <c r="ED12" s="107"/>
      <c r="EE12" s="107"/>
      <c r="EF12" s="248"/>
      <c r="EG12" s="248"/>
      <c r="EH12" s="248"/>
      <c r="EI12" s="248"/>
      <c r="EJ12" s="763"/>
      <c r="EK12" s="763"/>
      <c r="EL12" s="763"/>
      <c r="EM12" s="763"/>
      <c r="EN12" s="107"/>
      <c r="EO12" s="249"/>
      <c r="EP12" s="249"/>
      <c r="EQ12" s="249"/>
      <c r="ER12" s="249"/>
      <c r="EY12" s="250"/>
      <c r="EZ12" s="250"/>
      <c r="FA12" s="250"/>
      <c r="FB12" s="250"/>
      <c r="FC12" s="250"/>
      <c r="FD12" s="248"/>
      <c r="FE12" s="248"/>
      <c r="FF12" s="248"/>
      <c r="FG12" s="248"/>
      <c r="FH12" s="248"/>
      <c r="FI12" s="248"/>
      <c r="FJ12" s="248"/>
      <c r="FK12" s="248"/>
      <c r="FL12" s="248"/>
      <c r="FM12" s="248"/>
      <c r="FN12" s="248"/>
    </row>
    <row r="13" spans="1:170" s="246" customFormat="1">
      <c r="B13" s="247"/>
      <c r="C13" s="248"/>
      <c r="D13" s="248"/>
      <c r="E13" s="251"/>
      <c r="F13" s="555"/>
      <c r="G13" s="555"/>
      <c r="H13" s="555"/>
      <c r="I13" s="555"/>
      <c r="J13" s="555"/>
      <c r="K13" s="439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36"/>
      <c r="Z13" s="65"/>
      <c r="AA13" s="107"/>
      <c r="AB13" s="107"/>
      <c r="AC13" s="1020"/>
      <c r="AD13" s="1020"/>
      <c r="AE13" s="1020"/>
      <c r="AF13" s="1020"/>
      <c r="AG13" s="107"/>
      <c r="AH13" s="107"/>
      <c r="AI13" s="107"/>
      <c r="AJ13" s="107"/>
      <c r="AK13" s="107"/>
      <c r="AL13" s="107"/>
      <c r="AM13" s="107"/>
      <c r="AN13" s="248"/>
      <c r="AO13" s="248"/>
      <c r="AP13" s="248"/>
      <c r="AQ13" s="248"/>
      <c r="AR13" s="248"/>
      <c r="AS13" s="248"/>
      <c r="AT13" s="248"/>
      <c r="AU13" s="248"/>
      <c r="AV13" s="107"/>
      <c r="AW13" s="236"/>
      <c r="AX13" s="107"/>
      <c r="AY13" s="107"/>
      <c r="AZ13" s="107"/>
      <c r="BA13" s="1020"/>
      <c r="BB13" s="1020"/>
      <c r="BC13" s="1020"/>
      <c r="BD13" s="1020"/>
      <c r="BE13" s="107"/>
      <c r="BF13" s="107"/>
      <c r="BG13" s="107"/>
      <c r="BH13" s="107"/>
      <c r="BI13" s="107"/>
      <c r="BJ13" s="107"/>
      <c r="BK13" s="107"/>
      <c r="BL13" s="248"/>
      <c r="BM13" s="248"/>
      <c r="BN13" s="248"/>
      <c r="BO13" s="248"/>
      <c r="BP13" s="248"/>
      <c r="BQ13" s="248"/>
      <c r="BR13" s="248"/>
      <c r="BS13" s="248"/>
      <c r="BT13" s="107"/>
      <c r="BU13" s="236"/>
      <c r="BV13" s="107"/>
      <c r="BW13" s="107"/>
      <c r="BX13" s="107"/>
      <c r="BY13" s="873"/>
      <c r="BZ13" s="873"/>
      <c r="CA13" s="873"/>
      <c r="CB13" s="873"/>
      <c r="CC13" s="107"/>
      <c r="CD13" s="107"/>
      <c r="CE13" s="107"/>
      <c r="CF13" s="107"/>
      <c r="CG13" s="107"/>
      <c r="CH13" s="107"/>
      <c r="CI13" s="107"/>
      <c r="CJ13" s="248"/>
      <c r="CK13" s="248"/>
      <c r="CL13" s="248"/>
      <c r="CM13" s="248"/>
      <c r="CN13" s="248"/>
      <c r="CO13" s="248"/>
      <c r="CP13" s="248"/>
      <c r="CQ13" s="248"/>
      <c r="CR13" s="107"/>
      <c r="CS13" s="236"/>
      <c r="CT13" s="107"/>
      <c r="CU13" s="107"/>
      <c r="CV13" s="107"/>
      <c r="CW13" s="1020"/>
      <c r="CX13" s="1020"/>
      <c r="CY13" s="1020"/>
      <c r="CZ13" s="1020"/>
      <c r="DA13" s="1020"/>
      <c r="DB13" s="107"/>
      <c r="DC13" s="107"/>
      <c r="DD13" s="107"/>
      <c r="DE13" s="107"/>
      <c r="DF13" s="107"/>
      <c r="DG13" s="107"/>
      <c r="DH13" s="248"/>
      <c r="DI13" s="248"/>
      <c r="DJ13" s="248"/>
      <c r="DK13" s="248"/>
      <c r="DL13" s="248"/>
      <c r="DM13" s="248"/>
      <c r="DN13" s="248"/>
      <c r="DO13" s="248"/>
      <c r="DP13" s="107"/>
      <c r="DQ13" s="236"/>
      <c r="DR13" s="107"/>
      <c r="DS13" s="107"/>
      <c r="DT13" s="107"/>
      <c r="DU13" s="1020"/>
      <c r="DV13" s="1020"/>
      <c r="DW13" s="1020"/>
      <c r="DX13" s="1020"/>
      <c r="DY13" s="107"/>
      <c r="DZ13" s="107"/>
      <c r="EA13" s="107"/>
      <c r="EB13" s="107"/>
      <c r="EC13" s="107"/>
      <c r="ED13" s="107"/>
      <c r="EE13" s="107"/>
      <c r="EF13" s="248"/>
      <c r="EG13" s="248"/>
      <c r="EH13" s="248"/>
      <c r="EI13" s="248"/>
      <c r="EJ13" s="763"/>
      <c r="EK13" s="763"/>
      <c r="EL13" s="763"/>
      <c r="EM13" s="763"/>
      <c r="EN13" s="107"/>
      <c r="EO13" s="249"/>
      <c r="EP13" s="249"/>
      <c r="EQ13" s="249"/>
      <c r="ER13" s="249"/>
      <c r="ES13" s="252"/>
      <c r="ET13" s="1021"/>
      <c r="EU13" s="1021"/>
      <c r="EV13" s="1021"/>
      <c r="EW13" s="1021"/>
      <c r="EX13" s="1021"/>
      <c r="EY13" s="250"/>
      <c r="EZ13" s="250"/>
      <c r="FA13" s="250"/>
      <c r="FB13" s="250"/>
      <c r="FC13" s="250"/>
      <c r="FD13" s="248"/>
      <c r="FE13" s="248"/>
      <c r="FF13" s="248"/>
      <c r="FG13" s="248"/>
      <c r="FH13" s="248"/>
      <c r="FI13" s="248"/>
      <c r="FJ13" s="248"/>
      <c r="FK13" s="248"/>
      <c r="FL13" s="248"/>
      <c r="FM13" s="248"/>
      <c r="FN13" s="248"/>
    </row>
    <row r="14" spans="1:170" s="246" customFormat="1">
      <c r="B14" s="247"/>
      <c r="C14" s="248"/>
      <c r="D14" s="248"/>
      <c r="E14" s="251"/>
      <c r="F14" s="555"/>
      <c r="G14" s="555"/>
      <c r="H14" s="555"/>
      <c r="I14" s="555"/>
      <c r="J14" s="555"/>
      <c r="K14" s="439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36"/>
      <c r="Z14" s="65"/>
      <c r="AA14" s="107"/>
      <c r="AB14" s="107"/>
      <c r="AC14" s="1020"/>
      <c r="AD14" s="1020"/>
      <c r="AE14" s="1020"/>
      <c r="AF14" s="1020"/>
      <c r="AG14" s="107"/>
      <c r="AH14" s="107"/>
      <c r="AI14" s="107"/>
      <c r="AJ14" s="107"/>
      <c r="AK14" s="107"/>
      <c r="AL14" s="107"/>
      <c r="AM14" s="107"/>
      <c r="AN14" s="248"/>
      <c r="AO14" s="248"/>
      <c r="AP14" s="248"/>
      <c r="AQ14" s="248"/>
      <c r="AR14" s="248"/>
      <c r="AS14" s="248"/>
      <c r="AT14" s="248"/>
      <c r="AU14" s="248"/>
      <c r="AV14" s="107"/>
      <c r="AW14" s="236"/>
      <c r="AX14" s="107"/>
      <c r="AY14" s="107"/>
      <c r="AZ14" s="107"/>
      <c r="BA14" s="1020"/>
      <c r="BB14" s="1020"/>
      <c r="BC14" s="1020"/>
      <c r="BD14" s="1020"/>
      <c r="BE14" s="107"/>
      <c r="BF14" s="107"/>
      <c r="BG14" s="107"/>
      <c r="BH14" s="107"/>
      <c r="BI14" s="107"/>
      <c r="BJ14" s="107"/>
      <c r="BK14" s="107"/>
      <c r="BL14" s="248"/>
      <c r="BM14" s="248"/>
      <c r="BN14" s="248"/>
      <c r="BO14" s="248"/>
      <c r="BP14" s="248"/>
      <c r="BQ14" s="248"/>
      <c r="BR14" s="248"/>
      <c r="BS14" s="248"/>
      <c r="BT14" s="107"/>
      <c r="BU14" s="236"/>
      <c r="BV14" s="107"/>
      <c r="BW14" s="107"/>
      <c r="BX14" s="107"/>
      <c r="BY14" s="873"/>
      <c r="BZ14" s="873"/>
      <c r="CA14" s="873"/>
      <c r="CB14" s="873"/>
      <c r="CC14" s="107"/>
      <c r="CD14" s="107"/>
      <c r="CE14" s="107"/>
      <c r="CF14" s="107"/>
      <c r="CG14" s="107"/>
      <c r="CH14" s="107"/>
      <c r="CI14" s="107"/>
      <c r="CJ14" s="248"/>
      <c r="CK14" s="248"/>
      <c r="CL14" s="248"/>
      <c r="CM14" s="248"/>
      <c r="CN14" s="248"/>
      <c r="CO14" s="248"/>
      <c r="CP14" s="248"/>
      <c r="CQ14" s="248"/>
      <c r="CR14" s="107"/>
      <c r="CS14" s="236"/>
      <c r="CT14" s="107"/>
      <c r="CU14" s="107"/>
      <c r="CV14" s="107"/>
      <c r="CW14" s="1020"/>
      <c r="CX14" s="1020"/>
      <c r="CY14" s="1020"/>
      <c r="CZ14" s="1020"/>
      <c r="DA14" s="1020"/>
      <c r="DB14" s="107"/>
      <c r="DC14" s="107"/>
      <c r="DD14" s="107"/>
      <c r="DE14" s="107"/>
      <c r="DF14" s="107"/>
      <c r="DG14" s="107"/>
      <c r="DH14" s="248"/>
      <c r="DI14" s="248"/>
      <c r="DJ14" s="248"/>
      <c r="DK14" s="248"/>
      <c r="DL14" s="248"/>
      <c r="DM14" s="248"/>
      <c r="DN14" s="248"/>
      <c r="DO14" s="248"/>
      <c r="DP14" s="107"/>
      <c r="DQ14" s="236"/>
      <c r="DR14" s="107"/>
      <c r="DS14" s="107"/>
      <c r="DT14" s="107"/>
      <c r="DU14" s="1020"/>
      <c r="DV14" s="1020"/>
      <c r="DW14" s="1020"/>
      <c r="DX14" s="1020"/>
      <c r="DY14" s="107"/>
      <c r="DZ14" s="107"/>
      <c r="EA14" s="107"/>
      <c r="EB14" s="107"/>
      <c r="EC14" s="107"/>
      <c r="ED14" s="107"/>
      <c r="EE14" s="107"/>
      <c r="EF14" s="248"/>
      <c r="EG14" s="248"/>
      <c r="EH14" s="248"/>
      <c r="EI14" s="248"/>
      <c r="EJ14" s="763"/>
      <c r="EK14" s="763"/>
      <c r="EL14" s="763"/>
      <c r="EM14" s="763"/>
      <c r="EN14" s="107"/>
      <c r="EO14" s="249"/>
      <c r="EP14" s="249"/>
      <c r="EQ14" s="249"/>
      <c r="ER14" s="249"/>
      <c r="ES14" s="252"/>
      <c r="ET14" s="1021"/>
      <c r="EU14" s="1021"/>
      <c r="EV14" s="1021"/>
      <c r="EW14" s="1021"/>
      <c r="EX14" s="1021"/>
      <c r="EY14" s="250"/>
      <c r="EZ14" s="250"/>
      <c r="FA14" s="250"/>
      <c r="FB14" s="250"/>
      <c r="FC14" s="250"/>
      <c r="FD14" s="248"/>
      <c r="FE14" s="248"/>
      <c r="FF14" s="248"/>
      <c r="FG14" s="248"/>
      <c r="FH14" s="248"/>
      <c r="FI14" s="248"/>
      <c r="FJ14" s="248"/>
      <c r="FK14" s="248"/>
      <c r="FL14" s="248"/>
      <c r="FM14" s="248"/>
      <c r="FN14" s="248"/>
    </row>
    <row r="15" spans="1:170" s="246" customFormat="1">
      <c r="A15" s="1026" t="s">
        <v>292</v>
      </c>
      <c r="B15" s="1026"/>
      <c r="C15" s="248"/>
      <c r="D15" s="248"/>
      <c r="E15" s="251"/>
      <c r="F15" s="555"/>
      <c r="G15" s="555"/>
      <c r="H15" s="555"/>
      <c r="I15" s="555"/>
      <c r="J15" s="555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1027" t="s">
        <v>107</v>
      </c>
      <c r="Z15" s="1026"/>
      <c r="AA15" s="107"/>
      <c r="AB15" s="107"/>
      <c r="AC15" s="1020"/>
      <c r="AD15" s="1020"/>
      <c r="AE15" s="1020"/>
      <c r="AF15" s="1020"/>
      <c r="AG15" s="107"/>
      <c r="AH15" s="107"/>
      <c r="AI15" s="107"/>
      <c r="AJ15" s="107"/>
      <c r="AK15" s="107"/>
      <c r="AL15" s="107"/>
      <c r="AM15" s="107"/>
      <c r="AN15" s="248"/>
      <c r="AO15" s="248"/>
      <c r="AP15" s="248"/>
      <c r="AQ15" s="248"/>
      <c r="AR15" s="248"/>
      <c r="AS15" s="248"/>
      <c r="AT15" s="248"/>
      <c r="AU15" s="248"/>
      <c r="AV15" s="107"/>
      <c r="AW15" s="69" t="s">
        <v>103</v>
      </c>
      <c r="AX15" s="107"/>
      <c r="AY15" s="107"/>
      <c r="AZ15" s="107"/>
      <c r="BA15" s="1020"/>
      <c r="BB15" s="1020"/>
      <c r="BC15" s="1020"/>
      <c r="BD15" s="1020"/>
      <c r="BE15" s="107"/>
      <c r="BF15" s="107"/>
      <c r="BG15" s="107"/>
      <c r="BH15" s="107"/>
      <c r="BI15" s="107"/>
      <c r="BJ15" s="107"/>
      <c r="BK15" s="107"/>
      <c r="BL15" s="248"/>
      <c r="BM15" s="248"/>
      <c r="BN15" s="248"/>
      <c r="BO15" s="248"/>
      <c r="BP15" s="248"/>
      <c r="BQ15" s="248"/>
      <c r="BR15" s="248"/>
      <c r="BS15" s="248"/>
      <c r="BT15" s="107"/>
      <c r="BU15" s="1024" t="s">
        <v>100</v>
      </c>
      <c r="BV15" s="1025"/>
      <c r="BW15" s="107"/>
      <c r="BX15" s="107"/>
      <c r="BY15" s="873"/>
      <c r="BZ15" s="873"/>
      <c r="CA15" s="873"/>
      <c r="CB15" s="873"/>
      <c r="CC15" s="107"/>
      <c r="CD15" s="107"/>
      <c r="CE15" s="107"/>
      <c r="CF15" s="107"/>
      <c r="CG15" s="107"/>
      <c r="CH15" s="107"/>
      <c r="CI15" s="107"/>
      <c r="CJ15" s="248"/>
      <c r="CK15" s="248"/>
      <c r="CL15" s="248"/>
      <c r="CM15" s="248"/>
      <c r="CN15" s="248"/>
      <c r="CO15" s="248"/>
      <c r="CP15" s="248"/>
      <c r="CQ15" s="248"/>
      <c r="CR15" s="107"/>
      <c r="CS15" s="829" t="s">
        <v>101</v>
      </c>
      <c r="CT15" s="107"/>
      <c r="CU15" s="107"/>
      <c r="CV15" s="107"/>
      <c r="CW15" s="1020"/>
      <c r="CX15" s="1020"/>
      <c r="CY15" s="1020"/>
      <c r="CZ15" s="1020"/>
      <c r="DA15" s="1020"/>
      <c r="DB15" s="107"/>
      <c r="DC15" s="107"/>
      <c r="DD15" s="107"/>
      <c r="DE15" s="107"/>
      <c r="DF15" s="107"/>
      <c r="DG15" s="107"/>
      <c r="DH15" s="248"/>
      <c r="DI15" s="248"/>
      <c r="DJ15" s="248"/>
      <c r="DK15" s="248"/>
      <c r="DL15" s="248"/>
      <c r="DM15" s="248"/>
      <c r="DN15" s="248"/>
      <c r="DO15" s="248"/>
      <c r="DP15" s="107"/>
      <c r="DQ15" s="829" t="s">
        <v>459</v>
      </c>
      <c r="DR15" s="107"/>
      <c r="DS15" s="107"/>
      <c r="DT15" s="107"/>
      <c r="DU15" s="1020"/>
      <c r="DV15" s="1020"/>
      <c r="DW15" s="1020"/>
      <c r="DX15" s="1020"/>
      <c r="DY15" s="107"/>
      <c r="DZ15" s="107"/>
      <c r="EA15" s="107"/>
      <c r="EB15" s="107"/>
      <c r="EC15" s="107"/>
      <c r="ED15" s="107"/>
      <c r="EE15" s="107"/>
      <c r="EF15" s="248"/>
      <c r="EG15" s="248"/>
      <c r="EH15" s="248"/>
      <c r="EI15" s="248"/>
      <c r="EJ15" s="763"/>
      <c r="EK15" s="763"/>
      <c r="EL15" s="763"/>
      <c r="EM15" s="763"/>
      <c r="EN15" s="107"/>
      <c r="EO15" s="1019" t="s">
        <v>458</v>
      </c>
      <c r="EP15" s="1019"/>
      <c r="EQ15" s="249"/>
      <c r="ER15" s="249"/>
      <c r="ES15" s="252"/>
      <c r="ET15" s="1021"/>
      <c r="EU15" s="1021"/>
      <c r="EV15" s="1021"/>
      <c r="EW15" s="1021"/>
      <c r="EX15" s="1021"/>
      <c r="EY15" s="250"/>
      <c r="EZ15" s="250"/>
      <c r="FA15" s="250"/>
      <c r="FB15" s="250"/>
      <c r="FC15" s="250"/>
      <c r="FD15" s="248"/>
      <c r="FE15" s="248"/>
      <c r="FF15" s="248"/>
      <c r="FG15" s="248"/>
      <c r="FH15" s="248"/>
      <c r="FI15" s="248"/>
      <c r="FJ15" s="248"/>
      <c r="FK15" s="248"/>
      <c r="FL15" s="248"/>
      <c r="FM15" s="248"/>
      <c r="FN15" s="248"/>
    </row>
    <row r="16" spans="1:170" s="63" customFormat="1">
      <c r="A16" s="48"/>
      <c r="B16" s="5"/>
      <c r="C16" s="5"/>
      <c r="D16" s="5"/>
      <c r="E16" s="5"/>
      <c r="F16" s="25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116"/>
      <c r="Z16" s="48"/>
      <c r="AA16" s="48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5"/>
      <c r="AO16" s="5"/>
      <c r="AP16" s="5"/>
      <c r="AQ16" s="5"/>
      <c r="AR16" s="5"/>
      <c r="AS16" s="5"/>
      <c r="AT16" s="5"/>
      <c r="AU16" s="5"/>
      <c r="AV16" s="64"/>
      <c r="AW16" s="116"/>
      <c r="AX16" s="64"/>
      <c r="AY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5"/>
      <c r="BM16" s="5"/>
      <c r="BN16" s="5"/>
      <c r="BO16" s="5"/>
      <c r="BP16" s="5"/>
      <c r="BQ16" s="5"/>
      <c r="BR16" s="5"/>
      <c r="BS16" s="5"/>
      <c r="BT16" s="64"/>
      <c r="BU16" s="116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5"/>
      <c r="CK16" s="5"/>
      <c r="CL16" s="5"/>
      <c r="CM16" s="5"/>
      <c r="CN16" s="5"/>
      <c r="CO16" s="5"/>
      <c r="CP16" s="5"/>
      <c r="CQ16" s="5"/>
      <c r="CR16" s="64"/>
      <c r="CS16" s="116"/>
      <c r="CT16" s="64"/>
      <c r="CU16" s="64"/>
      <c r="CV16" s="107"/>
      <c r="CW16" s="70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5"/>
      <c r="DI16" s="5"/>
      <c r="DJ16" s="5"/>
      <c r="DK16" s="5"/>
      <c r="DL16" s="5"/>
      <c r="DM16" s="5"/>
      <c r="DN16" s="5"/>
      <c r="DO16" s="5"/>
      <c r="DP16" s="64"/>
      <c r="DQ16" s="116"/>
      <c r="DR16" s="64"/>
      <c r="DS16" s="64"/>
      <c r="DT16" s="107"/>
      <c r="DU16" s="70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5"/>
      <c r="EG16" s="5"/>
      <c r="EH16" s="5"/>
      <c r="EI16" s="5"/>
      <c r="EJ16" s="764"/>
      <c r="EK16" s="764"/>
      <c r="EL16" s="764"/>
      <c r="EM16" s="764"/>
      <c r="EN16" s="64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</row>
    <row r="17" spans="1:227" s="285" customFormat="1">
      <c r="A17" s="325" t="s">
        <v>0</v>
      </c>
      <c r="B17" s="326" t="s">
        <v>409</v>
      </c>
      <c r="C17" s="326" t="s">
        <v>410</v>
      </c>
      <c r="D17" s="326" t="s">
        <v>411</v>
      </c>
      <c r="E17" s="326" t="s">
        <v>412</v>
      </c>
      <c r="F17" s="326" t="s">
        <v>413</v>
      </c>
      <c r="G17" s="326" t="s">
        <v>414</v>
      </c>
      <c r="H17" s="326" t="s">
        <v>415</v>
      </c>
      <c r="I17" s="326" t="s">
        <v>416</v>
      </c>
      <c r="J17" s="326" t="s">
        <v>417</v>
      </c>
      <c r="K17" s="326" t="s">
        <v>418</v>
      </c>
      <c r="L17" s="326" t="s">
        <v>419</v>
      </c>
      <c r="M17" s="326" t="s">
        <v>420</v>
      </c>
      <c r="N17" s="326" t="s">
        <v>421</v>
      </c>
      <c r="O17" s="326" t="s">
        <v>422</v>
      </c>
      <c r="P17" s="326" t="s">
        <v>423</v>
      </c>
      <c r="Q17" s="326" t="s">
        <v>355</v>
      </c>
      <c r="R17" s="326" t="s">
        <v>399</v>
      </c>
      <c r="S17" s="327" t="s">
        <v>424</v>
      </c>
      <c r="T17" s="762" t="s">
        <v>446</v>
      </c>
      <c r="U17" s="762" t="s">
        <v>523</v>
      </c>
      <c r="V17" s="762" t="s">
        <v>524</v>
      </c>
      <c r="W17" s="762" t="s">
        <v>525</v>
      </c>
      <c r="X17" s="284"/>
      <c r="Y17" s="325" t="s">
        <v>0</v>
      </c>
      <c r="Z17" s="326" t="s">
        <v>409</v>
      </c>
      <c r="AA17" s="326" t="s">
        <v>410</v>
      </c>
      <c r="AB17" s="326" t="s">
        <v>411</v>
      </c>
      <c r="AC17" s="326" t="s">
        <v>412</v>
      </c>
      <c r="AD17" s="326" t="s">
        <v>413</v>
      </c>
      <c r="AE17" s="326" t="s">
        <v>414</v>
      </c>
      <c r="AF17" s="326" t="s">
        <v>415</v>
      </c>
      <c r="AG17" s="326" t="s">
        <v>416</v>
      </c>
      <c r="AH17" s="326" t="s">
        <v>417</v>
      </c>
      <c r="AI17" s="326" t="s">
        <v>418</v>
      </c>
      <c r="AJ17" s="326" t="s">
        <v>419</v>
      </c>
      <c r="AK17" s="326" t="s">
        <v>420</v>
      </c>
      <c r="AL17" s="326" t="s">
        <v>421</v>
      </c>
      <c r="AM17" s="326" t="s">
        <v>422</v>
      </c>
      <c r="AN17" s="326" t="s">
        <v>423</v>
      </c>
      <c r="AO17" s="326" t="s">
        <v>355</v>
      </c>
      <c r="AP17" s="326" t="s">
        <v>399</v>
      </c>
      <c r="AQ17" s="327" t="s">
        <v>424</v>
      </c>
      <c r="AR17" s="762" t="s">
        <v>446</v>
      </c>
      <c r="AS17" s="762" t="s">
        <v>523</v>
      </c>
      <c r="AT17" s="762" t="s">
        <v>524</v>
      </c>
      <c r="AU17" s="762" t="s">
        <v>525</v>
      </c>
      <c r="AW17" s="325" t="s">
        <v>0</v>
      </c>
      <c r="AX17" s="326" t="s">
        <v>409</v>
      </c>
      <c r="AY17" s="326" t="s">
        <v>410</v>
      </c>
      <c r="AZ17" s="326" t="s">
        <v>411</v>
      </c>
      <c r="BA17" s="326" t="s">
        <v>412</v>
      </c>
      <c r="BB17" s="326" t="s">
        <v>413</v>
      </c>
      <c r="BC17" s="326" t="s">
        <v>414</v>
      </c>
      <c r="BD17" s="326" t="s">
        <v>415</v>
      </c>
      <c r="BE17" s="326" t="s">
        <v>416</v>
      </c>
      <c r="BF17" s="326" t="s">
        <v>417</v>
      </c>
      <c r="BG17" s="326" t="s">
        <v>418</v>
      </c>
      <c r="BH17" s="326" t="s">
        <v>419</v>
      </c>
      <c r="BI17" s="326" t="s">
        <v>420</v>
      </c>
      <c r="BJ17" s="326" t="s">
        <v>421</v>
      </c>
      <c r="BK17" s="326" t="s">
        <v>422</v>
      </c>
      <c r="BL17" s="326" t="s">
        <v>423</v>
      </c>
      <c r="BM17" s="326" t="s">
        <v>355</v>
      </c>
      <c r="BN17" s="326" t="s">
        <v>399</v>
      </c>
      <c r="BO17" s="327" t="s">
        <v>424</v>
      </c>
      <c r="BP17" s="762" t="s">
        <v>446</v>
      </c>
      <c r="BQ17" s="762" t="s">
        <v>523</v>
      </c>
      <c r="BR17" s="762" t="s">
        <v>524</v>
      </c>
      <c r="BS17" s="762" t="s">
        <v>525</v>
      </c>
      <c r="BU17" s="325" t="s">
        <v>0</v>
      </c>
      <c r="BV17" s="326" t="s">
        <v>409</v>
      </c>
      <c r="BW17" s="326" t="s">
        <v>410</v>
      </c>
      <c r="BX17" s="326" t="s">
        <v>411</v>
      </c>
      <c r="BY17" s="326" t="s">
        <v>412</v>
      </c>
      <c r="BZ17" s="326" t="s">
        <v>413</v>
      </c>
      <c r="CA17" s="326" t="s">
        <v>414</v>
      </c>
      <c r="CB17" s="326" t="s">
        <v>415</v>
      </c>
      <c r="CC17" s="326" t="s">
        <v>416</v>
      </c>
      <c r="CD17" s="326" t="s">
        <v>417</v>
      </c>
      <c r="CE17" s="326" t="s">
        <v>418</v>
      </c>
      <c r="CF17" s="326" t="s">
        <v>419</v>
      </c>
      <c r="CG17" s="326" t="s">
        <v>420</v>
      </c>
      <c r="CH17" s="326" t="s">
        <v>421</v>
      </c>
      <c r="CI17" s="326" t="s">
        <v>422</v>
      </c>
      <c r="CJ17" s="326" t="s">
        <v>423</v>
      </c>
      <c r="CK17" s="326" t="s">
        <v>355</v>
      </c>
      <c r="CL17" s="326" t="s">
        <v>399</v>
      </c>
      <c r="CM17" s="327" t="s">
        <v>424</v>
      </c>
      <c r="CN17" s="762" t="s">
        <v>446</v>
      </c>
      <c r="CO17" s="762" t="s">
        <v>523</v>
      </c>
      <c r="CP17" s="762" t="s">
        <v>524</v>
      </c>
      <c r="CQ17" s="762" t="s">
        <v>525</v>
      </c>
      <c r="CS17" s="325" t="s">
        <v>0</v>
      </c>
      <c r="CT17" s="326" t="s">
        <v>409</v>
      </c>
      <c r="CU17" s="326" t="s">
        <v>410</v>
      </c>
      <c r="CV17" s="326" t="s">
        <v>411</v>
      </c>
      <c r="CW17" s="326" t="s">
        <v>412</v>
      </c>
      <c r="CX17" s="326" t="s">
        <v>413</v>
      </c>
      <c r="CY17" s="326" t="s">
        <v>414</v>
      </c>
      <c r="CZ17" s="326" t="s">
        <v>415</v>
      </c>
      <c r="DA17" s="326" t="s">
        <v>416</v>
      </c>
      <c r="DB17" s="326" t="s">
        <v>417</v>
      </c>
      <c r="DC17" s="326" t="s">
        <v>418</v>
      </c>
      <c r="DD17" s="326" t="s">
        <v>419</v>
      </c>
      <c r="DE17" s="326" t="s">
        <v>420</v>
      </c>
      <c r="DF17" s="326" t="s">
        <v>421</v>
      </c>
      <c r="DG17" s="326" t="s">
        <v>422</v>
      </c>
      <c r="DH17" s="326" t="s">
        <v>423</v>
      </c>
      <c r="DI17" s="326" t="s">
        <v>355</v>
      </c>
      <c r="DJ17" s="325" t="s">
        <v>399</v>
      </c>
      <c r="DK17" s="327" t="s">
        <v>424</v>
      </c>
      <c r="DL17" s="762" t="s">
        <v>446</v>
      </c>
      <c r="DM17" s="762" t="s">
        <v>523</v>
      </c>
      <c r="DN17" s="762" t="s">
        <v>524</v>
      </c>
      <c r="DO17" s="762" t="s">
        <v>525</v>
      </c>
      <c r="DQ17" s="325" t="s">
        <v>0</v>
      </c>
      <c r="DR17" s="326" t="s">
        <v>409</v>
      </c>
      <c r="DS17" s="326" t="s">
        <v>410</v>
      </c>
      <c r="DT17" s="326" t="s">
        <v>411</v>
      </c>
      <c r="DU17" s="326" t="s">
        <v>412</v>
      </c>
      <c r="DV17" s="326" t="s">
        <v>413</v>
      </c>
      <c r="DW17" s="326" t="s">
        <v>414</v>
      </c>
      <c r="DX17" s="326" t="s">
        <v>415</v>
      </c>
      <c r="DY17" s="326" t="s">
        <v>416</v>
      </c>
      <c r="DZ17" s="326" t="s">
        <v>417</v>
      </c>
      <c r="EA17" s="326" t="s">
        <v>418</v>
      </c>
      <c r="EB17" s="326" t="s">
        <v>419</v>
      </c>
      <c r="EC17" s="326" t="s">
        <v>420</v>
      </c>
      <c r="ED17" s="326" t="s">
        <v>421</v>
      </c>
      <c r="EE17" s="326" t="s">
        <v>422</v>
      </c>
      <c r="EF17" s="326" t="s">
        <v>423</v>
      </c>
      <c r="EG17" s="326" t="s">
        <v>355</v>
      </c>
      <c r="EH17" s="326" t="s">
        <v>399</v>
      </c>
      <c r="EI17" s="327" t="s">
        <v>424</v>
      </c>
      <c r="EJ17" s="762" t="s">
        <v>446</v>
      </c>
      <c r="EK17" s="762" t="s">
        <v>523</v>
      </c>
      <c r="EL17" s="762" t="s">
        <v>524</v>
      </c>
      <c r="EM17" s="762" t="s">
        <v>525</v>
      </c>
      <c r="EO17" s="325" t="s">
        <v>0</v>
      </c>
      <c r="EP17" s="326" t="s">
        <v>409</v>
      </c>
      <c r="EQ17" s="326" t="s">
        <v>410</v>
      </c>
      <c r="ER17" s="326" t="s">
        <v>411</v>
      </c>
      <c r="ES17" s="326" t="s">
        <v>412</v>
      </c>
      <c r="ET17" s="326" t="s">
        <v>413</v>
      </c>
      <c r="EU17" s="326" t="s">
        <v>414</v>
      </c>
      <c r="EV17" s="326" t="s">
        <v>415</v>
      </c>
      <c r="EW17" s="326" t="s">
        <v>416</v>
      </c>
      <c r="EX17" s="326" t="s">
        <v>417</v>
      </c>
      <c r="EY17" s="326" t="s">
        <v>418</v>
      </c>
      <c r="EZ17" s="326" t="s">
        <v>419</v>
      </c>
      <c r="FA17" s="326" t="s">
        <v>420</v>
      </c>
      <c r="FB17" s="326" t="s">
        <v>421</v>
      </c>
      <c r="FC17" s="326" t="s">
        <v>422</v>
      </c>
      <c r="FD17" s="326" t="s">
        <v>423</v>
      </c>
      <c r="FE17" s="326" t="s">
        <v>355</v>
      </c>
      <c r="FF17" s="325" t="s">
        <v>399</v>
      </c>
      <c r="FG17" s="327" t="s">
        <v>424</v>
      </c>
      <c r="FH17" s="762" t="s">
        <v>446</v>
      </c>
      <c r="FI17" s="762" t="s">
        <v>523</v>
      </c>
      <c r="FJ17" s="762" t="s">
        <v>524</v>
      </c>
      <c r="FK17" s="762" t="s">
        <v>525</v>
      </c>
    </row>
    <row r="18" spans="1:227" s="61" customFormat="1">
      <c r="A18" s="319" t="s">
        <v>1</v>
      </c>
      <c r="B18" s="319">
        <v>1342236</v>
      </c>
      <c r="C18" s="319">
        <v>1592436</v>
      </c>
      <c r="D18" s="319">
        <v>1416255</v>
      </c>
      <c r="E18" s="319">
        <v>1248256</v>
      </c>
      <c r="F18" s="319">
        <v>1777770</v>
      </c>
      <c r="G18" s="319">
        <v>1534512</v>
      </c>
      <c r="H18" s="319">
        <v>1486519</v>
      </c>
      <c r="I18" s="319">
        <v>1763821</v>
      </c>
      <c r="J18" s="319">
        <v>1557033.8399999999</v>
      </c>
      <c r="K18" s="319">
        <v>1376903.98</v>
      </c>
      <c r="L18" s="319">
        <v>1418185.3599999999</v>
      </c>
      <c r="M18" s="319">
        <v>2316848.31</v>
      </c>
      <c r="N18" s="319">
        <v>2132257.59</v>
      </c>
      <c r="O18" s="319">
        <v>1553174.36</v>
      </c>
      <c r="P18" s="319">
        <v>1746701.86</v>
      </c>
      <c r="Q18" s="319">
        <v>2109903.59</v>
      </c>
      <c r="R18" s="319">
        <v>1653320.27</v>
      </c>
      <c r="S18" s="319">
        <v>2735786.8000000003</v>
      </c>
      <c r="T18" s="760">
        <v>2708629.23</v>
      </c>
      <c r="U18" s="760">
        <v>2040293.25</v>
      </c>
      <c r="V18" s="760">
        <v>2094889.8299999998</v>
      </c>
      <c r="W18" s="760">
        <v>2471440</v>
      </c>
      <c r="X18" s="42"/>
      <c r="Y18" s="319" t="s">
        <v>1</v>
      </c>
      <c r="Z18" s="319">
        <v>308714.28000000003</v>
      </c>
      <c r="AA18" s="319">
        <v>350335.92</v>
      </c>
      <c r="AB18" s="319">
        <v>424876.5</v>
      </c>
      <c r="AC18" s="319">
        <v>486819.84000000003</v>
      </c>
      <c r="AD18" s="319">
        <v>462220.2</v>
      </c>
      <c r="AE18" s="319">
        <v>521734.08</v>
      </c>
      <c r="AF18" s="319">
        <v>535146.84</v>
      </c>
      <c r="AG18" s="319">
        <v>546784.51</v>
      </c>
      <c r="AH18" s="319">
        <v>560316.26</v>
      </c>
      <c r="AI18" s="319">
        <v>547092.79</v>
      </c>
      <c r="AJ18" s="319">
        <v>565408.71</v>
      </c>
      <c r="AK18" s="319">
        <v>625241.93000000005</v>
      </c>
      <c r="AL18" s="319">
        <v>640904.59</v>
      </c>
      <c r="AM18" s="319">
        <v>637859.1</v>
      </c>
      <c r="AN18" s="319">
        <v>671231.8</v>
      </c>
      <c r="AO18" s="319">
        <v>669533.56999999995</v>
      </c>
      <c r="AP18" s="319">
        <v>716189.11</v>
      </c>
      <c r="AQ18" s="322">
        <v>720268.81</v>
      </c>
      <c r="AR18" s="760">
        <v>749361.43</v>
      </c>
      <c r="AS18" s="760">
        <v>733982.28</v>
      </c>
      <c r="AT18" s="760">
        <v>742507.45</v>
      </c>
      <c r="AU18" s="760">
        <v>770000</v>
      </c>
      <c r="AV18" s="62"/>
      <c r="AW18" s="319" t="s">
        <v>1</v>
      </c>
      <c r="AX18" s="319">
        <v>0</v>
      </c>
      <c r="AY18" s="319">
        <v>0</v>
      </c>
      <c r="AZ18" s="319">
        <v>0</v>
      </c>
      <c r="BA18" s="319">
        <v>0</v>
      </c>
      <c r="BB18" s="319">
        <v>0</v>
      </c>
      <c r="BC18" s="319">
        <v>0</v>
      </c>
      <c r="BD18" s="319">
        <v>0</v>
      </c>
      <c r="BE18" s="319">
        <v>0</v>
      </c>
      <c r="BF18" s="319">
        <v>0</v>
      </c>
      <c r="BG18" s="319">
        <v>0</v>
      </c>
      <c r="BH18" s="319">
        <v>0</v>
      </c>
      <c r="BI18" s="319">
        <v>0</v>
      </c>
      <c r="BJ18" s="319">
        <v>0</v>
      </c>
      <c r="BK18" s="319">
        <v>0</v>
      </c>
      <c r="BL18" s="319">
        <v>0</v>
      </c>
      <c r="BM18" s="319">
        <v>0</v>
      </c>
      <c r="BN18" s="319">
        <v>0</v>
      </c>
      <c r="BO18" s="322">
        <v>197937.1</v>
      </c>
      <c r="BP18" s="760">
        <v>283171.84000000003</v>
      </c>
      <c r="BQ18" s="760">
        <v>279180.37</v>
      </c>
      <c r="BR18" s="760">
        <v>305637.48</v>
      </c>
      <c r="BS18" s="760">
        <v>300000</v>
      </c>
      <c r="BT18" s="62"/>
      <c r="BU18" s="319" t="s">
        <v>1</v>
      </c>
      <c r="BV18" s="319">
        <v>751652.16</v>
      </c>
      <c r="BW18" s="319">
        <v>859915.44</v>
      </c>
      <c r="BX18" s="319">
        <v>807265.35</v>
      </c>
      <c r="BY18" s="319">
        <v>711505.92000000004</v>
      </c>
      <c r="BZ18" s="319">
        <v>1173328.2</v>
      </c>
      <c r="CA18" s="319">
        <v>843981.6</v>
      </c>
      <c r="CB18" s="319">
        <v>847315.83</v>
      </c>
      <c r="CC18" s="319">
        <v>1111207.23</v>
      </c>
      <c r="CD18" s="319">
        <v>836080.34</v>
      </c>
      <c r="CE18" s="319">
        <v>721702.33000000007</v>
      </c>
      <c r="CF18" s="319">
        <v>686698.58999999985</v>
      </c>
      <c r="CG18" s="319">
        <v>1556032.66</v>
      </c>
      <c r="CH18" s="319">
        <v>1124086.93</v>
      </c>
      <c r="CI18" s="319">
        <v>839686.13000000012</v>
      </c>
      <c r="CJ18" s="319">
        <v>926114.01</v>
      </c>
      <c r="CK18" s="319">
        <v>1246057.5399999998</v>
      </c>
      <c r="CL18" s="319">
        <v>822214.27000000014</v>
      </c>
      <c r="CM18" s="322">
        <v>1726217.57</v>
      </c>
      <c r="CN18" s="760">
        <v>1545813.92</v>
      </c>
      <c r="CO18" s="760">
        <v>934698.26</v>
      </c>
      <c r="CP18" s="760">
        <v>943008.03</v>
      </c>
      <c r="CQ18" s="760">
        <v>1299840</v>
      </c>
      <c r="CR18" s="62"/>
      <c r="CS18" s="319" t="s">
        <v>1</v>
      </c>
      <c r="CT18" s="319">
        <v>26844.720000000001</v>
      </c>
      <c r="CU18" s="319">
        <v>31848.720000000001</v>
      </c>
      <c r="CV18" s="319">
        <v>14162.55</v>
      </c>
      <c r="CW18" s="319">
        <v>12482.56</v>
      </c>
      <c r="CX18" s="319">
        <v>35555.4</v>
      </c>
      <c r="CY18" s="319">
        <v>30690.240000000002</v>
      </c>
      <c r="CZ18" s="319">
        <v>44595.57</v>
      </c>
      <c r="DA18" s="319">
        <v>35276.42</v>
      </c>
      <c r="DB18" s="319">
        <v>12389.08</v>
      </c>
      <c r="DC18" s="319">
        <v>6543.78</v>
      </c>
      <c r="DD18" s="319">
        <v>8349.9599999999991</v>
      </c>
      <c r="DE18" s="319">
        <v>5994.97</v>
      </c>
      <c r="DF18" s="319">
        <v>10295.9</v>
      </c>
      <c r="DG18" s="319">
        <v>23973.99</v>
      </c>
      <c r="DH18" s="319">
        <v>17616.52</v>
      </c>
      <c r="DI18" s="319">
        <v>21697.52</v>
      </c>
      <c r="DJ18" s="319">
        <v>7763.02</v>
      </c>
      <c r="DK18" s="322">
        <v>10115.41</v>
      </c>
      <c r="DL18" s="760">
        <v>14088.07</v>
      </c>
      <c r="DM18" s="760">
        <v>16432.87</v>
      </c>
      <c r="DN18" s="760">
        <v>13147.99</v>
      </c>
      <c r="DO18" s="760">
        <v>13000</v>
      </c>
      <c r="DP18" s="62"/>
      <c r="DQ18" s="319" t="s">
        <v>1</v>
      </c>
      <c r="DR18" s="319">
        <v>255024.84</v>
      </c>
      <c r="DS18" s="319">
        <v>350335.92</v>
      </c>
      <c r="DT18" s="319">
        <v>169950.6</v>
      </c>
      <c r="DU18" s="319">
        <v>37447.68</v>
      </c>
      <c r="DV18" s="319">
        <v>106666.2</v>
      </c>
      <c r="DW18" s="319">
        <v>138106.07999999999</v>
      </c>
      <c r="DX18" s="319">
        <v>59460.76</v>
      </c>
      <c r="DY18" s="319">
        <v>70552.84</v>
      </c>
      <c r="DZ18" s="319">
        <v>14076.029999999999</v>
      </c>
      <c r="EA18" s="319">
        <v>26718.66</v>
      </c>
      <c r="EB18" s="319">
        <v>21329.769999999997</v>
      </c>
      <c r="EC18" s="319">
        <v>16664.59</v>
      </c>
      <c r="ED18" s="319">
        <v>241671</v>
      </c>
      <c r="EE18" s="319">
        <v>27950.890000000003</v>
      </c>
      <c r="EF18" s="319">
        <v>23868.48</v>
      </c>
      <c r="EG18" s="319">
        <v>109815.95999999999</v>
      </c>
      <c r="EH18" s="319">
        <v>51354.04</v>
      </c>
      <c r="EI18" s="322">
        <v>31683.919999999998</v>
      </c>
      <c r="EJ18" s="767">
        <v>26080.92</v>
      </c>
      <c r="EK18" s="767">
        <v>19080.239999999998</v>
      </c>
      <c r="EL18" s="767">
        <v>27797.79</v>
      </c>
      <c r="EM18" s="767">
        <v>16700</v>
      </c>
      <c r="EO18" s="319" t="s">
        <v>1</v>
      </c>
      <c r="EP18" s="319">
        <v>1413918</v>
      </c>
      <c r="EQ18" s="319">
        <v>1605957</v>
      </c>
      <c r="ER18" s="319">
        <v>1581284</v>
      </c>
      <c r="ES18" s="319">
        <v>1065518</v>
      </c>
      <c r="ET18" s="319">
        <v>1769883</v>
      </c>
      <c r="EU18" s="319">
        <v>1294769</v>
      </c>
      <c r="EV18" s="319">
        <v>1247756</v>
      </c>
      <c r="EW18" s="319">
        <v>1953439</v>
      </c>
      <c r="EX18" s="319">
        <v>1919622.4200000002</v>
      </c>
      <c r="EY18" s="319">
        <v>1463114.46</v>
      </c>
      <c r="EZ18" s="319">
        <v>1492496.72</v>
      </c>
      <c r="FA18" s="319">
        <v>2299523.2400000002</v>
      </c>
      <c r="FB18" s="319"/>
      <c r="FC18" s="319">
        <v>1753342.25</v>
      </c>
      <c r="FD18" s="319">
        <v>1537805.6300000001</v>
      </c>
      <c r="FE18" s="319">
        <v>2226286.7299999995</v>
      </c>
      <c r="FF18" s="319">
        <v>1704971.07</v>
      </c>
      <c r="FG18" s="322">
        <v>2355079.7600000002</v>
      </c>
      <c r="FH18" s="760">
        <v>2092385.57</v>
      </c>
      <c r="FI18" s="760">
        <v>1575988.28</v>
      </c>
      <c r="FJ18" s="760">
        <v>2142137.7999999998</v>
      </c>
      <c r="FK18" s="760">
        <v>2917177.4099999997</v>
      </c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</row>
    <row r="19" spans="1:227" s="61" customFormat="1">
      <c r="A19" s="319" t="s">
        <v>2</v>
      </c>
      <c r="B19" s="319">
        <v>1565042</v>
      </c>
      <c r="C19" s="319">
        <v>1676710</v>
      </c>
      <c r="D19" s="319">
        <v>1903327</v>
      </c>
      <c r="E19" s="319">
        <v>1868141</v>
      </c>
      <c r="F19" s="319">
        <v>1759809</v>
      </c>
      <c r="G19" s="319">
        <v>2162020</v>
      </c>
      <c r="H19" s="319">
        <v>1950035</v>
      </c>
      <c r="I19" s="319">
        <v>2177909</v>
      </c>
      <c r="J19" s="319">
        <v>2795079</v>
      </c>
      <c r="K19" s="319">
        <v>2792039</v>
      </c>
      <c r="L19" s="319">
        <v>2819021</v>
      </c>
      <c r="M19" s="319">
        <v>2215179</v>
      </c>
      <c r="N19" s="319">
        <v>2865459</v>
      </c>
      <c r="O19" s="319">
        <v>2425093</v>
      </c>
      <c r="P19" s="319">
        <v>2488200</v>
      </c>
      <c r="Q19" s="319">
        <v>1199716</v>
      </c>
      <c r="R19" s="319">
        <v>3122843</v>
      </c>
      <c r="S19" s="322">
        <v>2881566</v>
      </c>
      <c r="T19" s="760">
        <v>2431791</v>
      </c>
      <c r="U19" s="760">
        <v>2890638</v>
      </c>
      <c r="V19" s="760">
        <v>2575085</v>
      </c>
      <c r="W19" s="760">
        <v>3025110</v>
      </c>
      <c r="X19" s="42"/>
      <c r="Y19" s="319" t="s">
        <v>2</v>
      </c>
      <c r="Z19" s="319">
        <v>532114.28</v>
      </c>
      <c r="AA19" s="319">
        <v>603615.6</v>
      </c>
      <c r="AB19" s="319">
        <v>609064.64</v>
      </c>
      <c r="AC19" s="319">
        <v>728574.99</v>
      </c>
      <c r="AD19" s="319">
        <v>563138.88</v>
      </c>
      <c r="AE19" s="319">
        <v>778327.2</v>
      </c>
      <c r="AF19" s="319">
        <v>760513.65</v>
      </c>
      <c r="AG19" s="319">
        <v>784047.24</v>
      </c>
      <c r="AH19" s="319">
        <v>854075</v>
      </c>
      <c r="AI19" s="319">
        <v>792319</v>
      </c>
      <c r="AJ19" s="319">
        <v>986398</v>
      </c>
      <c r="AK19" s="319">
        <v>854086</v>
      </c>
      <c r="AL19" s="319">
        <v>1035640</v>
      </c>
      <c r="AM19" s="319">
        <v>1062551</v>
      </c>
      <c r="AN19" s="319">
        <v>977102</v>
      </c>
      <c r="AO19" s="319">
        <v>0</v>
      </c>
      <c r="AP19" s="319">
        <v>1088449</v>
      </c>
      <c r="AQ19" s="322">
        <v>1091830</v>
      </c>
      <c r="AR19" s="760">
        <v>1200812</v>
      </c>
      <c r="AS19" s="760">
        <v>1205280</v>
      </c>
      <c r="AT19" s="760">
        <v>1254611</v>
      </c>
      <c r="AU19" s="760">
        <v>1304610</v>
      </c>
      <c r="AV19" s="62"/>
      <c r="AW19" s="319" t="s">
        <v>2</v>
      </c>
      <c r="AX19" s="319">
        <v>234756.3</v>
      </c>
      <c r="AY19" s="319">
        <v>251506.5</v>
      </c>
      <c r="AZ19" s="319">
        <v>285499.05</v>
      </c>
      <c r="BA19" s="319">
        <v>280221.15000000002</v>
      </c>
      <c r="BB19" s="319">
        <v>299167.53000000003</v>
      </c>
      <c r="BC19" s="319">
        <v>345923.2</v>
      </c>
      <c r="BD19" s="319">
        <v>331505.95</v>
      </c>
      <c r="BE19" s="319">
        <v>348465.44</v>
      </c>
      <c r="BF19" s="319">
        <v>348578</v>
      </c>
      <c r="BG19" s="319">
        <v>371824</v>
      </c>
      <c r="BH19" s="319">
        <v>353367</v>
      </c>
      <c r="BI19" s="319">
        <v>341226</v>
      </c>
      <c r="BJ19" s="319">
        <v>364962</v>
      </c>
      <c r="BK19" s="319">
        <v>340251</v>
      </c>
      <c r="BL19" s="319">
        <v>344886</v>
      </c>
      <c r="BM19" s="319">
        <v>328946</v>
      </c>
      <c r="BN19" s="319">
        <v>375914</v>
      </c>
      <c r="BO19" s="322">
        <v>354727</v>
      </c>
      <c r="BP19" s="760">
        <v>373932</v>
      </c>
      <c r="BQ19" s="760">
        <v>388862</v>
      </c>
      <c r="BR19" s="760">
        <v>403643</v>
      </c>
      <c r="BS19" s="760">
        <v>418000</v>
      </c>
      <c r="BT19" s="62"/>
      <c r="BU19" s="319" t="s">
        <v>2</v>
      </c>
      <c r="BV19" s="319">
        <v>626016.80000000005</v>
      </c>
      <c r="BW19" s="319">
        <v>771286.6</v>
      </c>
      <c r="BX19" s="319">
        <v>932630.23</v>
      </c>
      <c r="BY19" s="319">
        <v>784619.22</v>
      </c>
      <c r="BZ19" s="319">
        <v>703923.6</v>
      </c>
      <c r="CA19" s="319">
        <v>951288.8</v>
      </c>
      <c r="CB19" s="319">
        <v>799514.35</v>
      </c>
      <c r="CC19" s="319">
        <v>914721.78</v>
      </c>
      <c r="CD19" s="319">
        <v>1527754</v>
      </c>
      <c r="CE19" s="319">
        <v>1380266</v>
      </c>
      <c r="CF19" s="319">
        <v>1076124</v>
      </c>
      <c r="CG19" s="319">
        <v>884407</v>
      </c>
      <c r="CH19" s="319">
        <v>1399733</v>
      </c>
      <c r="CI19" s="319">
        <v>989812</v>
      </c>
      <c r="CJ19" s="319">
        <v>1126501</v>
      </c>
      <c r="CK19" s="319">
        <v>814862</v>
      </c>
      <c r="CL19" s="319">
        <v>1619757</v>
      </c>
      <c r="CM19" s="322">
        <v>1398640</v>
      </c>
      <c r="CN19" s="760">
        <v>835609</v>
      </c>
      <c r="CO19" s="760">
        <v>1274148</v>
      </c>
      <c r="CP19" s="760">
        <v>897602</v>
      </c>
      <c r="CQ19" s="760">
        <v>1271000</v>
      </c>
      <c r="CR19" s="62"/>
      <c r="CS19" s="319" t="s">
        <v>2</v>
      </c>
      <c r="CT19" s="319">
        <v>31300.84</v>
      </c>
      <c r="CU19" s="319">
        <v>33534.199999999997</v>
      </c>
      <c r="CV19" s="319">
        <v>38066.54</v>
      </c>
      <c r="CW19" s="319">
        <v>37362.82</v>
      </c>
      <c r="CX19" s="319">
        <v>35196.18</v>
      </c>
      <c r="CY19" s="319">
        <v>21620.2</v>
      </c>
      <c r="CZ19" s="319">
        <v>19500.349999999999</v>
      </c>
      <c r="DA19" s="319">
        <v>0</v>
      </c>
      <c r="DB19" s="319">
        <v>4744</v>
      </c>
      <c r="DC19" s="319">
        <v>8036</v>
      </c>
      <c r="DD19" s="319">
        <v>24527</v>
      </c>
      <c r="DE19" s="319">
        <v>40931</v>
      </c>
      <c r="DF19" s="319">
        <v>14422</v>
      </c>
      <c r="DG19" s="319">
        <v>1474</v>
      </c>
      <c r="DH19" s="319">
        <v>1821</v>
      </c>
      <c r="DI19" s="319">
        <v>2631</v>
      </c>
      <c r="DJ19" s="319">
        <v>2595</v>
      </c>
      <c r="DK19" s="322">
        <v>2962</v>
      </c>
      <c r="DL19" s="760">
        <v>3446</v>
      </c>
      <c r="DM19" s="760">
        <v>3712</v>
      </c>
      <c r="DN19" s="760">
        <v>3844</v>
      </c>
      <c r="DO19" s="760">
        <v>3500</v>
      </c>
      <c r="DP19" s="62"/>
      <c r="DQ19" s="319" t="s">
        <v>2</v>
      </c>
      <c r="DR19" s="319">
        <v>140853.78</v>
      </c>
      <c r="DS19" s="319">
        <v>16767.099999999999</v>
      </c>
      <c r="DT19" s="319">
        <v>38066.54</v>
      </c>
      <c r="DU19" s="319">
        <v>37362.82</v>
      </c>
      <c r="DV19" s="319">
        <v>158382.81</v>
      </c>
      <c r="DW19" s="319">
        <v>64860.6</v>
      </c>
      <c r="DX19" s="319">
        <v>39000.699999999997</v>
      </c>
      <c r="DY19" s="319">
        <v>130674.54</v>
      </c>
      <c r="DZ19" s="319">
        <v>54928</v>
      </c>
      <c r="EA19" s="319">
        <v>55299</v>
      </c>
      <c r="EB19" s="319">
        <v>75263</v>
      </c>
      <c r="EC19" s="319">
        <v>91906</v>
      </c>
      <c r="ED19" s="319">
        <v>43339</v>
      </c>
      <c r="EE19" s="319">
        <v>31005</v>
      </c>
      <c r="EF19" s="319">
        <v>37890</v>
      </c>
      <c r="EG19" s="319">
        <v>53277</v>
      </c>
      <c r="EH19" s="319">
        <v>36128</v>
      </c>
      <c r="EI19" s="322">
        <v>33407</v>
      </c>
      <c r="EJ19" s="767">
        <v>17992</v>
      </c>
      <c r="EK19" s="767">
        <v>18636</v>
      </c>
      <c r="EL19" s="767">
        <v>15385</v>
      </c>
      <c r="EM19" s="767">
        <v>28000</v>
      </c>
      <c r="EO19" s="319" t="s">
        <v>2</v>
      </c>
      <c r="EP19" s="319">
        <v>1633102</v>
      </c>
      <c r="EQ19" s="319">
        <v>1459652</v>
      </c>
      <c r="ER19" s="319">
        <v>1990765</v>
      </c>
      <c r="ES19" s="319">
        <v>1672882</v>
      </c>
      <c r="ET19" s="319">
        <v>2074742</v>
      </c>
      <c r="EU19" s="319">
        <v>1845893</v>
      </c>
      <c r="EV19" s="319">
        <v>1969248</v>
      </c>
      <c r="EW19" s="319">
        <v>2269558</v>
      </c>
      <c r="EX19" s="319">
        <v>2976842</v>
      </c>
      <c r="EY19" s="319">
        <v>2875276</v>
      </c>
      <c r="EZ19" s="319">
        <v>2423677</v>
      </c>
      <c r="FA19" s="319">
        <v>2592197</v>
      </c>
      <c r="FB19" s="319">
        <v>2940747</v>
      </c>
      <c r="FC19" s="319">
        <v>2054925</v>
      </c>
      <c r="FD19" s="319">
        <v>2428452</v>
      </c>
      <c r="FE19" s="319">
        <v>2230005</v>
      </c>
      <c r="FF19" s="319">
        <v>2416457</v>
      </c>
      <c r="FG19" s="322">
        <v>2889278</v>
      </c>
      <c r="FH19" s="760">
        <v>2311536</v>
      </c>
      <c r="FI19" s="760">
        <v>2703233</v>
      </c>
      <c r="FJ19" s="760">
        <v>2333726</v>
      </c>
      <c r="FK19" s="760">
        <v>3059303</v>
      </c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</row>
    <row r="20" spans="1:227" s="61" customFormat="1">
      <c r="A20" s="319" t="s">
        <v>3</v>
      </c>
      <c r="B20" s="319">
        <v>878097</v>
      </c>
      <c r="C20" s="319">
        <v>701368</v>
      </c>
      <c r="D20" s="319">
        <v>1165127</v>
      </c>
      <c r="E20" s="319">
        <v>665353</v>
      </c>
      <c r="F20" s="319">
        <v>1024181</v>
      </c>
      <c r="G20" s="319">
        <v>1256238</v>
      </c>
      <c r="H20" s="319">
        <v>1261717</v>
      </c>
      <c r="I20" s="319">
        <v>930403</v>
      </c>
      <c r="J20" s="319">
        <v>944818.46</v>
      </c>
      <c r="K20" s="319">
        <v>1253222.81</v>
      </c>
      <c r="L20" s="319">
        <v>1136320.54</v>
      </c>
      <c r="M20" s="319">
        <v>1369333.56</v>
      </c>
      <c r="N20" s="319">
        <v>1290516.1900000002</v>
      </c>
      <c r="O20" s="319">
        <v>1285738.8499999999</v>
      </c>
      <c r="P20" s="319">
        <v>1537149.98</v>
      </c>
      <c r="Q20" s="319">
        <v>1305302.7000000002</v>
      </c>
      <c r="R20" s="319">
        <v>1560125</v>
      </c>
      <c r="S20" s="322">
        <v>1482567</v>
      </c>
      <c r="T20" s="760">
        <v>1488174</v>
      </c>
      <c r="U20" s="760">
        <v>1540707</v>
      </c>
      <c r="V20" s="760">
        <v>1493833.81</v>
      </c>
      <c r="W20" s="760">
        <v>1572411</v>
      </c>
      <c r="X20" s="42"/>
      <c r="Y20" s="319" t="s">
        <v>3</v>
      </c>
      <c r="Z20" s="319">
        <v>368800.74</v>
      </c>
      <c r="AA20" s="319">
        <v>378738.72</v>
      </c>
      <c r="AB20" s="319">
        <v>419445.72</v>
      </c>
      <c r="AC20" s="319">
        <v>399211.8</v>
      </c>
      <c r="AD20" s="319">
        <v>430156.02</v>
      </c>
      <c r="AE20" s="319">
        <v>427120.92</v>
      </c>
      <c r="AF20" s="319">
        <v>428983.78</v>
      </c>
      <c r="AG20" s="319">
        <v>446593.44</v>
      </c>
      <c r="AH20" s="319">
        <v>453147.37999999995</v>
      </c>
      <c r="AI20" s="319">
        <v>455009.3</v>
      </c>
      <c r="AJ20" s="319">
        <v>461023.52</v>
      </c>
      <c r="AK20" s="319">
        <v>478465.81999999995</v>
      </c>
      <c r="AL20" s="319">
        <v>483316.06</v>
      </c>
      <c r="AM20" s="319">
        <v>567328.66999999993</v>
      </c>
      <c r="AN20" s="319">
        <v>708786.41000000015</v>
      </c>
      <c r="AO20" s="319">
        <v>646486.70000000007</v>
      </c>
      <c r="AP20" s="319">
        <v>762002</v>
      </c>
      <c r="AQ20" s="322">
        <v>750608</v>
      </c>
      <c r="AR20" s="760">
        <v>818660</v>
      </c>
      <c r="AS20" s="760">
        <v>806247</v>
      </c>
      <c r="AT20" s="760">
        <v>838033.58000000007</v>
      </c>
      <c r="AU20" s="760">
        <v>828000</v>
      </c>
      <c r="AV20" s="62"/>
      <c r="AW20" s="319" t="s">
        <v>3</v>
      </c>
      <c r="AX20" s="319">
        <v>0</v>
      </c>
      <c r="AY20" s="319">
        <v>0</v>
      </c>
      <c r="AZ20" s="319">
        <v>0</v>
      </c>
      <c r="BA20" s="319">
        <v>0</v>
      </c>
      <c r="BB20" s="319">
        <v>0</v>
      </c>
      <c r="BC20" s="319">
        <v>0</v>
      </c>
      <c r="BD20" s="319">
        <v>0</v>
      </c>
      <c r="BE20" s="319">
        <v>0</v>
      </c>
      <c r="BF20" s="319">
        <v>0</v>
      </c>
      <c r="BG20" s="319">
        <v>0</v>
      </c>
      <c r="BH20" s="319">
        <v>0</v>
      </c>
      <c r="BI20" s="319">
        <v>0</v>
      </c>
      <c r="BJ20" s="319">
        <v>0</v>
      </c>
      <c r="BK20" s="319">
        <v>0</v>
      </c>
      <c r="BL20" s="319">
        <v>0</v>
      </c>
      <c r="BM20" s="319">
        <v>0</v>
      </c>
      <c r="BN20" s="319">
        <v>0</v>
      </c>
      <c r="BO20" s="322">
        <v>0</v>
      </c>
      <c r="BP20" s="760">
        <v>0</v>
      </c>
      <c r="BQ20" s="760">
        <v>0</v>
      </c>
      <c r="BR20" s="760">
        <v>0</v>
      </c>
      <c r="BS20" s="760">
        <v>0</v>
      </c>
      <c r="BT20" s="62"/>
      <c r="BU20" s="319" t="s">
        <v>3</v>
      </c>
      <c r="BV20" s="319">
        <v>26342.91</v>
      </c>
      <c r="BW20" s="319">
        <v>0</v>
      </c>
      <c r="BX20" s="319">
        <v>11651.27</v>
      </c>
      <c r="BY20" s="319">
        <v>0</v>
      </c>
      <c r="BZ20" s="319">
        <v>0</v>
      </c>
      <c r="CA20" s="319">
        <v>0</v>
      </c>
      <c r="CB20" s="319">
        <v>0</v>
      </c>
      <c r="CC20" s="319">
        <v>0</v>
      </c>
      <c r="CD20" s="319">
        <v>0</v>
      </c>
      <c r="CE20" s="319">
        <v>604944.99</v>
      </c>
      <c r="CF20" s="319">
        <v>604016.64000000001</v>
      </c>
      <c r="CG20" s="319">
        <v>828905.41</v>
      </c>
      <c r="CH20" s="319">
        <v>692027.10000000009</v>
      </c>
      <c r="CI20" s="319">
        <v>669207.29999999993</v>
      </c>
      <c r="CJ20" s="319">
        <v>587121.46</v>
      </c>
      <c r="CK20" s="319">
        <v>576780</v>
      </c>
      <c r="CL20" s="319">
        <v>706354</v>
      </c>
      <c r="CM20" s="322">
        <v>575842</v>
      </c>
      <c r="CN20" s="760">
        <v>600316</v>
      </c>
      <c r="CO20" s="760">
        <v>625460</v>
      </c>
      <c r="CP20" s="760">
        <v>631392.82999999996</v>
      </c>
      <c r="CQ20" s="760">
        <v>630000</v>
      </c>
      <c r="CR20" s="62"/>
      <c r="CS20" s="319" t="s">
        <v>3</v>
      </c>
      <c r="CT20" s="319">
        <v>8780.9699999999993</v>
      </c>
      <c r="CU20" s="319">
        <v>14027.36</v>
      </c>
      <c r="CV20" s="319">
        <v>0</v>
      </c>
      <c r="CW20" s="319">
        <v>13307.06</v>
      </c>
      <c r="CX20" s="319">
        <v>10241.81</v>
      </c>
      <c r="CY20" s="319">
        <v>0</v>
      </c>
      <c r="CZ20" s="319">
        <v>0</v>
      </c>
      <c r="DA20" s="319">
        <v>0</v>
      </c>
      <c r="DB20" s="319">
        <v>1162.69</v>
      </c>
      <c r="DC20" s="319">
        <v>8098.46</v>
      </c>
      <c r="DD20" s="319">
        <v>12412.82</v>
      </c>
      <c r="DE20" s="319">
        <v>8292</v>
      </c>
      <c r="DF20" s="319">
        <v>4268.6499999999996</v>
      </c>
      <c r="DG20" s="319">
        <v>889.29</v>
      </c>
      <c r="DH20" s="319">
        <v>562.99</v>
      </c>
      <c r="DI20" s="319">
        <v>746</v>
      </c>
      <c r="DJ20" s="319">
        <v>496</v>
      </c>
      <c r="DK20" s="322">
        <v>314</v>
      </c>
      <c r="DL20" s="760">
        <v>636</v>
      </c>
      <c r="DM20" s="760">
        <v>736</v>
      </c>
      <c r="DN20" s="760">
        <v>1437.67</v>
      </c>
      <c r="DO20" s="760">
        <v>1011</v>
      </c>
      <c r="DP20" s="62"/>
      <c r="DQ20" s="319" t="s">
        <v>3</v>
      </c>
      <c r="DR20" s="319">
        <v>474172.38</v>
      </c>
      <c r="DS20" s="319">
        <v>308601.92</v>
      </c>
      <c r="DT20" s="319">
        <v>734030.01</v>
      </c>
      <c r="DU20" s="319">
        <v>252834.14</v>
      </c>
      <c r="DV20" s="319">
        <v>583783.17000000004</v>
      </c>
      <c r="DW20" s="319">
        <v>829117.08</v>
      </c>
      <c r="DX20" s="319">
        <v>832733.22</v>
      </c>
      <c r="DY20" s="319">
        <v>483809.56</v>
      </c>
      <c r="DZ20" s="319">
        <v>32302.37</v>
      </c>
      <c r="EA20" s="319">
        <v>31535.14</v>
      </c>
      <c r="EB20" s="319">
        <v>32041.47</v>
      </c>
      <c r="EC20" s="319">
        <v>17772.830000000002</v>
      </c>
      <c r="ED20" s="319">
        <v>78540.040000000008</v>
      </c>
      <c r="EE20" s="319">
        <v>6300.76</v>
      </c>
      <c r="EF20" s="319">
        <v>69599.81</v>
      </c>
      <c r="EG20" s="319">
        <v>69461</v>
      </c>
      <c r="EH20" s="319">
        <v>85071</v>
      </c>
      <c r="EI20" s="322">
        <v>57464</v>
      </c>
      <c r="EJ20" s="767">
        <v>28983</v>
      </c>
      <c r="EK20" s="767">
        <v>90265</v>
      </c>
      <c r="EL20" s="767">
        <v>0</v>
      </c>
      <c r="EM20" s="767">
        <v>12000</v>
      </c>
      <c r="EO20" s="319" t="s">
        <v>3</v>
      </c>
      <c r="EP20" s="319">
        <v>814587</v>
      </c>
      <c r="EQ20" s="319">
        <v>697179</v>
      </c>
      <c r="ER20" s="319">
        <v>961017</v>
      </c>
      <c r="ES20" s="319">
        <v>956450</v>
      </c>
      <c r="ET20" s="319">
        <v>920986</v>
      </c>
      <c r="EU20" s="319">
        <v>1336991</v>
      </c>
      <c r="EV20" s="319">
        <v>1043167</v>
      </c>
      <c r="EW20" s="319">
        <v>1049730</v>
      </c>
      <c r="EX20" s="319">
        <v>1049059.0900000001</v>
      </c>
      <c r="EY20" s="319">
        <v>1080406.96</v>
      </c>
      <c r="EZ20" s="319">
        <v>1233056.0099999998</v>
      </c>
      <c r="FA20" s="319">
        <v>1259402.5099999998</v>
      </c>
      <c r="FB20" s="319">
        <v>1361522.29</v>
      </c>
      <c r="FC20" s="319">
        <v>1275097.75</v>
      </c>
      <c r="FD20" s="319">
        <v>1560535.96</v>
      </c>
      <c r="FE20" s="319">
        <v>1429111.68</v>
      </c>
      <c r="FF20" s="319">
        <v>1492077</v>
      </c>
      <c r="FG20" s="322">
        <v>1478589</v>
      </c>
      <c r="FH20" s="760">
        <v>1313338</v>
      </c>
      <c r="FI20" s="760">
        <v>1375718</v>
      </c>
      <c r="FJ20" s="760">
        <v>1382253.62</v>
      </c>
      <c r="FK20" s="760">
        <v>2079636</v>
      </c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</row>
    <row r="21" spans="1:227" s="61" customFormat="1">
      <c r="A21" s="319" t="s">
        <v>4</v>
      </c>
      <c r="B21" s="319">
        <v>1065211</v>
      </c>
      <c r="C21" s="319">
        <v>1199194</v>
      </c>
      <c r="D21" s="319">
        <v>1704103</v>
      </c>
      <c r="E21" s="319">
        <v>1704983</v>
      </c>
      <c r="F21" s="319">
        <v>1720642</v>
      </c>
      <c r="G21" s="319">
        <v>1984008</v>
      </c>
      <c r="H21" s="319">
        <v>1949033</v>
      </c>
      <c r="I21" s="319">
        <v>1884888</v>
      </c>
      <c r="J21" s="319">
        <v>2151267.6500000004</v>
      </c>
      <c r="K21" s="319">
        <v>2174666.29</v>
      </c>
      <c r="L21" s="319">
        <v>1914777.59</v>
      </c>
      <c r="M21" s="319">
        <v>2170636.4699999997</v>
      </c>
      <c r="N21" s="319">
        <v>2038240.27</v>
      </c>
      <c r="O21" s="319">
        <v>2122844.56</v>
      </c>
      <c r="P21" s="319">
        <v>2226714.27</v>
      </c>
      <c r="Q21" s="319">
        <v>2224840.6100000003</v>
      </c>
      <c r="R21" s="319">
        <v>2408564.96</v>
      </c>
      <c r="S21" s="322">
        <v>2331024.8600000003</v>
      </c>
      <c r="T21" s="760">
        <v>2453339.0600000005</v>
      </c>
      <c r="U21" s="760">
        <v>2384120.83</v>
      </c>
      <c r="V21" s="760">
        <v>2780190.87</v>
      </c>
      <c r="W21" s="760">
        <v>4539500</v>
      </c>
      <c r="X21" s="42"/>
      <c r="Y21" s="319" t="s">
        <v>4</v>
      </c>
      <c r="Z21" s="319">
        <v>287606.96999999997</v>
      </c>
      <c r="AA21" s="319">
        <v>323782.38</v>
      </c>
      <c r="AB21" s="319">
        <v>528271.93000000005</v>
      </c>
      <c r="AC21" s="319">
        <v>818391.84</v>
      </c>
      <c r="AD21" s="319">
        <v>791495.32</v>
      </c>
      <c r="AE21" s="319">
        <v>932483.76</v>
      </c>
      <c r="AF21" s="319">
        <v>974516.5</v>
      </c>
      <c r="AG21" s="319">
        <v>961292.88</v>
      </c>
      <c r="AH21" s="319">
        <v>1053499.32</v>
      </c>
      <c r="AI21" s="319">
        <v>983064.82</v>
      </c>
      <c r="AJ21" s="319">
        <v>949190.29</v>
      </c>
      <c r="AK21" s="319">
        <v>1172547.68</v>
      </c>
      <c r="AL21" s="319">
        <v>1099449.04</v>
      </c>
      <c r="AM21" s="319">
        <v>1256734.4000000001</v>
      </c>
      <c r="AN21" s="319">
        <v>1383635.64</v>
      </c>
      <c r="AO21" s="319">
        <v>1305837.7</v>
      </c>
      <c r="AP21" s="319">
        <v>1553586.2200000002</v>
      </c>
      <c r="AQ21" s="322">
        <v>1490935.86</v>
      </c>
      <c r="AR21" s="760">
        <v>1570156.9100000001</v>
      </c>
      <c r="AS21" s="760">
        <v>1479118.88</v>
      </c>
      <c r="AT21" s="760">
        <v>1660092.63</v>
      </c>
      <c r="AU21" s="760">
        <v>1645000</v>
      </c>
      <c r="AV21" s="62"/>
      <c r="AW21" s="319" t="s">
        <v>4</v>
      </c>
      <c r="AX21" s="319">
        <v>0</v>
      </c>
      <c r="AY21" s="319">
        <v>0</v>
      </c>
      <c r="AZ21" s="319">
        <v>0</v>
      </c>
      <c r="BA21" s="319">
        <v>0</v>
      </c>
      <c r="BB21" s="319">
        <v>0</v>
      </c>
      <c r="BC21" s="319">
        <v>0</v>
      </c>
      <c r="BD21" s="319">
        <v>0</v>
      </c>
      <c r="BE21" s="319">
        <v>0</v>
      </c>
      <c r="BF21" s="319">
        <v>0</v>
      </c>
      <c r="BG21" s="319">
        <v>0</v>
      </c>
      <c r="BH21" s="319">
        <v>0</v>
      </c>
      <c r="BI21" s="319">
        <v>0</v>
      </c>
      <c r="BJ21" s="319">
        <v>0</v>
      </c>
      <c r="BK21" s="319">
        <v>0</v>
      </c>
      <c r="BL21" s="319">
        <v>0</v>
      </c>
      <c r="BM21" s="319">
        <v>0</v>
      </c>
      <c r="BN21" s="319">
        <v>0</v>
      </c>
      <c r="BO21" s="322">
        <v>0</v>
      </c>
      <c r="BP21" s="760">
        <v>0</v>
      </c>
      <c r="BQ21" s="760">
        <v>0</v>
      </c>
      <c r="BR21" s="760">
        <v>0</v>
      </c>
      <c r="BS21" s="760">
        <v>0</v>
      </c>
      <c r="BT21" s="62"/>
      <c r="BU21" s="319" t="s">
        <v>4</v>
      </c>
      <c r="BV21" s="319">
        <v>745647.7</v>
      </c>
      <c r="BW21" s="319">
        <v>803459.98</v>
      </c>
      <c r="BX21" s="319">
        <v>1056543.8600000001</v>
      </c>
      <c r="BY21" s="319">
        <v>801342.01</v>
      </c>
      <c r="BZ21" s="319">
        <v>860321</v>
      </c>
      <c r="CA21" s="319">
        <v>853123.44</v>
      </c>
      <c r="CB21" s="319">
        <v>896555.18</v>
      </c>
      <c r="CC21" s="319">
        <v>904746.24</v>
      </c>
      <c r="CD21" s="319">
        <v>903770.73</v>
      </c>
      <c r="CE21" s="319">
        <v>889591.98</v>
      </c>
      <c r="CF21" s="319">
        <v>884446.64</v>
      </c>
      <c r="CG21" s="319">
        <v>881453.17999999993</v>
      </c>
      <c r="CH21" s="319">
        <v>802596.7699999999</v>
      </c>
      <c r="CI21" s="319">
        <v>771445.27999999991</v>
      </c>
      <c r="CJ21" s="319">
        <v>793548.81</v>
      </c>
      <c r="CK21" s="319">
        <v>837449.27000000014</v>
      </c>
      <c r="CL21" s="319">
        <v>824717.17</v>
      </c>
      <c r="CM21" s="322">
        <v>817242.37000000011</v>
      </c>
      <c r="CN21" s="760">
        <v>853486.24000000011</v>
      </c>
      <c r="CO21" s="760">
        <v>891184.29999999993</v>
      </c>
      <c r="CP21" s="760">
        <v>898910.74</v>
      </c>
      <c r="CQ21" s="760">
        <v>2876500</v>
      </c>
      <c r="CR21" s="62"/>
      <c r="CS21" s="319" t="s">
        <v>4</v>
      </c>
      <c r="CT21" s="319">
        <v>10652.11</v>
      </c>
      <c r="CU21" s="319">
        <v>23983.88</v>
      </c>
      <c r="CV21" s="319">
        <v>34082.06</v>
      </c>
      <c r="CW21" s="319">
        <v>17049.830000000002</v>
      </c>
      <c r="CX21" s="319">
        <v>34412.839999999997</v>
      </c>
      <c r="CY21" s="319">
        <v>39680.160000000003</v>
      </c>
      <c r="CZ21" s="319">
        <v>38980.660000000003</v>
      </c>
      <c r="DA21" s="319">
        <v>18848.88</v>
      </c>
      <c r="DB21" s="319">
        <v>12566.5</v>
      </c>
      <c r="DC21" s="319">
        <v>16277.55</v>
      </c>
      <c r="DD21" s="319">
        <v>47016.43</v>
      </c>
      <c r="DE21" s="319">
        <v>84951.67</v>
      </c>
      <c r="DF21" s="319">
        <v>48148.77</v>
      </c>
      <c r="DG21" s="319">
        <v>11826.74</v>
      </c>
      <c r="DH21" s="319">
        <v>9506.66</v>
      </c>
      <c r="DI21" s="319">
        <v>3779.23</v>
      </c>
      <c r="DJ21" s="319">
        <v>1852.6</v>
      </c>
      <c r="DK21" s="322">
        <v>1803.39</v>
      </c>
      <c r="DL21" s="760">
        <v>786.09</v>
      </c>
      <c r="DM21" s="760">
        <v>1034.18</v>
      </c>
      <c r="DN21" s="760">
        <v>2357.27</v>
      </c>
      <c r="DO21" s="760">
        <v>2000</v>
      </c>
      <c r="DP21" s="62"/>
      <c r="DQ21" s="319" t="s">
        <v>4</v>
      </c>
      <c r="DR21" s="319">
        <v>21304.22</v>
      </c>
      <c r="DS21" s="319">
        <v>47967.76</v>
      </c>
      <c r="DT21" s="319">
        <v>85205.15</v>
      </c>
      <c r="DU21" s="319">
        <v>68199.320000000007</v>
      </c>
      <c r="DV21" s="319">
        <v>34412.839999999997</v>
      </c>
      <c r="DW21" s="319">
        <v>158720.64000000001</v>
      </c>
      <c r="DX21" s="319">
        <v>38980.660000000003</v>
      </c>
      <c r="DY21" s="319">
        <v>0</v>
      </c>
      <c r="DZ21" s="319">
        <v>181431.1</v>
      </c>
      <c r="EA21" s="319">
        <v>285731.94</v>
      </c>
      <c r="EB21" s="319">
        <v>34124.229999999996</v>
      </c>
      <c r="EC21" s="319">
        <v>31683.940000000002</v>
      </c>
      <c r="ED21" s="319">
        <v>88045.69</v>
      </c>
      <c r="EE21" s="319">
        <v>82838.14</v>
      </c>
      <c r="EF21" s="319">
        <v>40023.160000000003</v>
      </c>
      <c r="EG21" s="319">
        <v>77774.41</v>
      </c>
      <c r="EH21" s="319">
        <v>28408.97</v>
      </c>
      <c r="EI21" s="322">
        <v>21043.24</v>
      </c>
      <c r="EJ21" s="767">
        <v>28909.82</v>
      </c>
      <c r="EK21" s="767">
        <v>12783.47</v>
      </c>
      <c r="EL21" s="767">
        <v>218830.23</v>
      </c>
      <c r="EM21" s="767">
        <v>16000</v>
      </c>
      <c r="EO21" s="319" t="s">
        <v>4</v>
      </c>
      <c r="EP21" s="319">
        <v>921754</v>
      </c>
      <c r="EQ21" s="319">
        <v>1208289</v>
      </c>
      <c r="ER21" s="319">
        <v>1441768</v>
      </c>
      <c r="ES21" s="319">
        <v>1925146</v>
      </c>
      <c r="ET21" s="319">
        <v>1747861</v>
      </c>
      <c r="EU21" s="319">
        <v>1788954</v>
      </c>
      <c r="EV21" s="319">
        <v>1786611</v>
      </c>
      <c r="EW21" s="319">
        <v>1978774</v>
      </c>
      <c r="EX21" s="319">
        <v>1924735.6600000001</v>
      </c>
      <c r="EY21" s="319">
        <v>2161177.0799999996</v>
      </c>
      <c r="EZ21" s="319">
        <v>1998567.9300000002</v>
      </c>
      <c r="FA21" s="319">
        <v>2024997.9399999997</v>
      </c>
      <c r="FB21" s="319">
        <v>2193983.2200000002</v>
      </c>
      <c r="FC21" s="319">
        <v>2121451.1799999997</v>
      </c>
      <c r="FD21" s="319">
        <v>2243083.3699999996</v>
      </c>
      <c r="FE21" s="319">
        <v>2399957.1</v>
      </c>
      <c r="FF21" s="319">
        <v>2196108.65</v>
      </c>
      <c r="FG21" s="322">
        <v>2374871.6999999997</v>
      </c>
      <c r="FH21" s="760">
        <v>2411853.8499999996</v>
      </c>
      <c r="FI21" s="760">
        <v>2494708.62</v>
      </c>
      <c r="FJ21" s="760">
        <v>3233396.9699999997</v>
      </c>
      <c r="FK21" s="760">
        <v>4897670</v>
      </c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</row>
    <row r="22" spans="1:227" s="61" customFormat="1">
      <c r="A22" s="319" t="s">
        <v>5</v>
      </c>
      <c r="B22" s="319">
        <v>1552262</v>
      </c>
      <c r="C22" s="319">
        <v>462666</v>
      </c>
      <c r="D22" s="319">
        <v>430419</v>
      </c>
      <c r="E22" s="319">
        <v>239064</v>
      </c>
      <c r="F22" s="319">
        <v>241680</v>
      </c>
      <c r="G22" s="319">
        <v>246362</v>
      </c>
      <c r="H22" s="319">
        <v>514176</v>
      </c>
      <c r="I22" s="319">
        <v>579734</v>
      </c>
      <c r="J22" s="319">
        <v>732357</v>
      </c>
      <c r="K22" s="319">
        <v>1014621</v>
      </c>
      <c r="L22" s="319">
        <v>749674</v>
      </c>
      <c r="M22" s="319">
        <v>806842</v>
      </c>
      <c r="N22" s="319">
        <v>859732</v>
      </c>
      <c r="O22" s="319">
        <v>989804</v>
      </c>
      <c r="P22" s="319">
        <v>816758</v>
      </c>
      <c r="Q22" s="319">
        <v>756592.57000000007</v>
      </c>
      <c r="R22" s="319"/>
      <c r="S22" s="322">
        <v>647153.51</v>
      </c>
      <c r="T22" s="760">
        <v>414986.73</v>
      </c>
      <c r="U22" s="760">
        <v>366333.75</v>
      </c>
      <c r="V22" s="760">
        <v>460421.80000000005</v>
      </c>
      <c r="W22" s="760">
        <v>772900</v>
      </c>
      <c r="X22" s="42"/>
      <c r="Y22" s="319" t="s">
        <v>5</v>
      </c>
      <c r="Z22" s="319">
        <v>434633.36</v>
      </c>
      <c r="AA22" s="319">
        <v>64773.24</v>
      </c>
      <c r="AB22" s="319">
        <v>77475.42</v>
      </c>
      <c r="AC22" s="319">
        <v>83672.399999999994</v>
      </c>
      <c r="AD22" s="319">
        <v>89421.6</v>
      </c>
      <c r="AE22" s="319">
        <v>93617.56</v>
      </c>
      <c r="AF22" s="319">
        <v>97693.440000000002</v>
      </c>
      <c r="AG22" s="319">
        <v>104352.12</v>
      </c>
      <c r="AH22" s="319">
        <v>110610</v>
      </c>
      <c r="AI22" s="319">
        <v>113238</v>
      </c>
      <c r="AJ22" s="319">
        <v>121887</v>
      </c>
      <c r="AK22" s="319">
        <v>130641</v>
      </c>
      <c r="AL22" s="319">
        <v>141607</v>
      </c>
      <c r="AM22" s="319">
        <v>143043</v>
      </c>
      <c r="AN22" s="319">
        <v>144215</v>
      </c>
      <c r="AO22" s="319">
        <v>149203.04999999999</v>
      </c>
      <c r="AP22" s="319"/>
      <c r="AQ22" s="322">
        <v>151348.86000000002</v>
      </c>
      <c r="AR22" s="760">
        <v>158721.78</v>
      </c>
      <c r="AS22" s="760">
        <v>161325.16999999998</v>
      </c>
      <c r="AT22" s="760">
        <v>167646.99000000002</v>
      </c>
      <c r="AU22" s="760">
        <v>171100</v>
      </c>
      <c r="AV22" s="62"/>
      <c r="AW22" s="319" t="s">
        <v>5</v>
      </c>
      <c r="AX22" s="319">
        <v>0</v>
      </c>
      <c r="AY22" s="319">
        <v>0</v>
      </c>
      <c r="AZ22" s="319">
        <v>0</v>
      </c>
      <c r="BA22" s="319">
        <v>0</v>
      </c>
      <c r="BB22" s="319">
        <v>0</v>
      </c>
      <c r="BC22" s="319">
        <v>0</v>
      </c>
      <c r="BD22" s="319">
        <v>0</v>
      </c>
      <c r="BE22" s="319">
        <v>0</v>
      </c>
      <c r="BF22" s="319">
        <v>0</v>
      </c>
      <c r="BG22" s="319">
        <v>0</v>
      </c>
      <c r="BH22" s="319">
        <v>0</v>
      </c>
      <c r="BI22" s="319">
        <v>0</v>
      </c>
      <c r="BJ22" s="319">
        <v>0</v>
      </c>
      <c r="BK22" s="319">
        <v>0</v>
      </c>
      <c r="BL22" s="319">
        <v>0</v>
      </c>
      <c r="BM22" s="319">
        <v>0</v>
      </c>
      <c r="BN22" s="319"/>
      <c r="BO22" s="322">
        <v>0</v>
      </c>
      <c r="BP22" s="760">
        <v>0</v>
      </c>
      <c r="BQ22" s="760">
        <v>0</v>
      </c>
      <c r="BR22" s="760">
        <v>0</v>
      </c>
      <c r="BS22" s="760">
        <v>0</v>
      </c>
      <c r="BT22" s="62"/>
      <c r="BU22" s="319" t="s">
        <v>5</v>
      </c>
      <c r="BV22" s="319">
        <v>1102106.02</v>
      </c>
      <c r="BW22" s="319">
        <v>374759.46</v>
      </c>
      <c r="BX22" s="319">
        <v>327118.44</v>
      </c>
      <c r="BY22" s="319">
        <v>129094.56</v>
      </c>
      <c r="BZ22" s="319">
        <v>118423.2</v>
      </c>
      <c r="CA22" s="319">
        <v>137962.72</v>
      </c>
      <c r="CB22" s="319">
        <v>133685.76000000001</v>
      </c>
      <c r="CC22" s="319">
        <v>139136.16</v>
      </c>
      <c r="CD22" s="319">
        <v>146844</v>
      </c>
      <c r="CE22" s="319">
        <v>148092</v>
      </c>
      <c r="CF22" s="319">
        <v>201265</v>
      </c>
      <c r="CG22" s="319">
        <v>145766</v>
      </c>
      <c r="CH22" s="319">
        <v>255490</v>
      </c>
      <c r="CI22" s="319">
        <v>399100</v>
      </c>
      <c r="CJ22" s="319">
        <v>311100</v>
      </c>
      <c r="CK22" s="319">
        <v>127315.98</v>
      </c>
      <c r="CL22" s="319"/>
      <c r="CM22" s="322">
        <v>128658.02</v>
      </c>
      <c r="CN22" s="760">
        <v>176384.28</v>
      </c>
      <c r="CO22" s="760">
        <v>139693.90000000002</v>
      </c>
      <c r="CP22" s="760">
        <v>274878.98</v>
      </c>
      <c r="CQ22" s="760">
        <v>535000</v>
      </c>
      <c r="CR22" s="62"/>
      <c r="CS22" s="319" t="s">
        <v>5</v>
      </c>
      <c r="CT22" s="319">
        <v>15522.62</v>
      </c>
      <c r="CU22" s="319">
        <v>23133.3</v>
      </c>
      <c r="CV22" s="319">
        <v>25825.14</v>
      </c>
      <c r="CW22" s="319">
        <v>21515.759999999998</v>
      </c>
      <c r="CX22" s="319">
        <v>24168</v>
      </c>
      <c r="CY22" s="319">
        <v>14781.72</v>
      </c>
      <c r="CZ22" s="319">
        <v>5141.76</v>
      </c>
      <c r="DA22" s="319">
        <v>0</v>
      </c>
      <c r="DB22" s="319">
        <v>3819</v>
      </c>
      <c r="DC22" s="319">
        <v>10204</v>
      </c>
      <c r="DD22" s="319">
        <v>22802</v>
      </c>
      <c r="DE22" s="319">
        <v>26818</v>
      </c>
      <c r="DF22" s="319">
        <v>10804</v>
      </c>
      <c r="DG22" s="319">
        <v>4194</v>
      </c>
      <c r="DH22" s="319">
        <v>6614</v>
      </c>
      <c r="DI22" s="319">
        <v>6976.53</v>
      </c>
      <c r="DJ22" s="319"/>
      <c r="DK22" s="322">
        <v>5481.29</v>
      </c>
      <c r="DL22" s="760">
        <v>4379.8599999999997</v>
      </c>
      <c r="DM22" s="760">
        <v>4600.79</v>
      </c>
      <c r="DN22" s="760">
        <v>7725.52</v>
      </c>
      <c r="DO22" s="760">
        <v>6800</v>
      </c>
      <c r="DP22" s="62"/>
      <c r="DQ22" s="319" t="s">
        <v>5</v>
      </c>
      <c r="DR22" s="319">
        <v>0</v>
      </c>
      <c r="DS22" s="319">
        <v>0</v>
      </c>
      <c r="DT22" s="319">
        <v>0</v>
      </c>
      <c r="DU22" s="319">
        <v>4781.28</v>
      </c>
      <c r="DV22" s="319">
        <v>9667.2000000000007</v>
      </c>
      <c r="DW22" s="319">
        <v>0</v>
      </c>
      <c r="DX22" s="319">
        <v>277655.03999999998</v>
      </c>
      <c r="DY22" s="319">
        <v>336245.72</v>
      </c>
      <c r="DZ22" s="319">
        <v>471084</v>
      </c>
      <c r="EA22" s="319">
        <v>743087</v>
      </c>
      <c r="EB22" s="319">
        <v>403720</v>
      </c>
      <c r="EC22" s="319">
        <v>503617</v>
      </c>
      <c r="ED22" s="319">
        <v>451831</v>
      </c>
      <c r="EE22" s="319">
        <v>437397</v>
      </c>
      <c r="EF22" s="319">
        <v>354829</v>
      </c>
      <c r="EG22" s="319">
        <v>473097.01</v>
      </c>
      <c r="EH22" s="319"/>
      <c r="EI22" s="322">
        <v>361665.34</v>
      </c>
      <c r="EJ22" s="767">
        <v>54105.719999999994</v>
      </c>
      <c r="EK22" s="767">
        <v>60713.89</v>
      </c>
      <c r="EL22" s="767">
        <v>10170.310000000001</v>
      </c>
      <c r="EM22" s="767">
        <v>60000</v>
      </c>
      <c r="EO22" s="319" t="s">
        <v>5</v>
      </c>
      <c r="EP22" s="319">
        <v>1433216</v>
      </c>
      <c r="EQ22" s="319">
        <v>456970</v>
      </c>
      <c r="ER22" s="319">
        <v>349073</v>
      </c>
      <c r="ES22" s="319">
        <v>343261</v>
      </c>
      <c r="ET22" s="319">
        <v>317273</v>
      </c>
      <c r="EU22" s="319">
        <v>247168</v>
      </c>
      <c r="EV22" s="319">
        <v>578651</v>
      </c>
      <c r="EW22" s="319">
        <v>646775</v>
      </c>
      <c r="EX22" s="319">
        <v>603178</v>
      </c>
      <c r="EY22" s="319">
        <v>963925</v>
      </c>
      <c r="EZ22" s="319">
        <v>571704</v>
      </c>
      <c r="FA22" s="319">
        <v>854265</v>
      </c>
      <c r="FB22" s="319">
        <v>720156</v>
      </c>
      <c r="FC22" s="319">
        <v>871494</v>
      </c>
      <c r="FD22" s="319">
        <v>678801</v>
      </c>
      <c r="FE22" s="319">
        <v>630586.39999999991</v>
      </c>
      <c r="FF22" s="319"/>
      <c r="FG22" s="322">
        <v>618078.84</v>
      </c>
      <c r="FH22" s="760">
        <v>365765.54</v>
      </c>
      <c r="FI22" s="760">
        <v>232515.5</v>
      </c>
      <c r="FJ22" s="760">
        <v>245257.49</v>
      </c>
      <c r="FK22" s="760">
        <v>1701550</v>
      </c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</row>
    <row r="23" spans="1:227" s="61" customFormat="1">
      <c r="A23" s="319" t="s">
        <v>6</v>
      </c>
      <c r="B23" s="319">
        <v>587368</v>
      </c>
      <c r="C23" s="319">
        <v>677374</v>
      </c>
      <c r="D23" s="319">
        <v>674420</v>
      </c>
      <c r="E23" s="319">
        <v>864090</v>
      </c>
      <c r="F23" s="319">
        <v>882985</v>
      </c>
      <c r="G23" s="319">
        <v>699034</v>
      </c>
      <c r="H23" s="319">
        <v>728861</v>
      </c>
      <c r="I23" s="319">
        <v>1090158</v>
      </c>
      <c r="J23" s="319">
        <v>876346.81</v>
      </c>
      <c r="K23" s="319">
        <v>748613.15</v>
      </c>
      <c r="L23" s="319">
        <v>1065125.8800000001</v>
      </c>
      <c r="M23" s="319">
        <v>845874.8</v>
      </c>
      <c r="N23" s="319">
        <v>1311893.8</v>
      </c>
      <c r="O23" s="319">
        <v>676579.49999999988</v>
      </c>
      <c r="P23" s="319">
        <v>690186.81</v>
      </c>
      <c r="Q23" s="319">
        <v>645961.80000000005</v>
      </c>
      <c r="R23" s="319">
        <v>653784.28</v>
      </c>
      <c r="S23" s="322">
        <v>701192.77</v>
      </c>
      <c r="T23" s="760">
        <v>1228954.4000000001</v>
      </c>
      <c r="U23" s="760">
        <v>1507264.02</v>
      </c>
      <c r="V23" s="760">
        <v>740236.12999999989</v>
      </c>
      <c r="W23" s="760">
        <v>719888</v>
      </c>
      <c r="X23" s="42"/>
      <c r="Y23" s="319" t="s">
        <v>6</v>
      </c>
      <c r="Z23" s="319">
        <v>0</v>
      </c>
      <c r="AA23" s="319">
        <v>0</v>
      </c>
      <c r="AB23" s="319">
        <v>0</v>
      </c>
      <c r="AC23" s="319">
        <v>0</v>
      </c>
      <c r="AD23" s="319">
        <v>0</v>
      </c>
      <c r="AE23" s="319">
        <v>0</v>
      </c>
      <c r="AF23" s="319">
        <v>0</v>
      </c>
      <c r="AG23" s="319">
        <v>0</v>
      </c>
      <c r="AH23" s="319">
        <v>0</v>
      </c>
      <c r="AI23" s="319">
        <v>0</v>
      </c>
      <c r="AJ23" s="319">
        <v>0</v>
      </c>
      <c r="AK23" s="319">
        <v>0</v>
      </c>
      <c r="AL23" s="319">
        <v>0</v>
      </c>
      <c r="AM23" s="319">
        <v>0</v>
      </c>
      <c r="AN23" s="319">
        <v>0</v>
      </c>
      <c r="AO23" s="319">
        <v>0</v>
      </c>
      <c r="AP23" s="319">
        <v>0</v>
      </c>
      <c r="AQ23" s="322">
        <v>0</v>
      </c>
      <c r="AR23" s="760">
        <v>0</v>
      </c>
      <c r="AS23" s="760">
        <v>0</v>
      </c>
      <c r="AT23" s="760">
        <v>0</v>
      </c>
      <c r="AU23" s="760">
        <v>0</v>
      </c>
      <c r="AV23" s="62"/>
      <c r="AW23" s="319" t="s">
        <v>6</v>
      </c>
      <c r="AX23" s="319">
        <v>0</v>
      </c>
      <c r="AY23" s="319">
        <v>0</v>
      </c>
      <c r="AZ23" s="319">
        <v>0</v>
      </c>
      <c r="BA23" s="319">
        <v>0</v>
      </c>
      <c r="BB23" s="319">
        <v>0</v>
      </c>
      <c r="BC23" s="319">
        <v>0</v>
      </c>
      <c r="BD23" s="319">
        <v>0</v>
      </c>
      <c r="BE23" s="319">
        <v>0</v>
      </c>
      <c r="BF23" s="319">
        <v>0</v>
      </c>
      <c r="BG23" s="319">
        <v>0</v>
      </c>
      <c r="BH23" s="319">
        <v>0</v>
      </c>
      <c r="BI23" s="319">
        <v>0</v>
      </c>
      <c r="BJ23" s="319">
        <v>0</v>
      </c>
      <c r="BK23" s="319">
        <v>0</v>
      </c>
      <c r="BL23" s="319">
        <v>0</v>
      </c>
      <c r="BM23" s="319">
        <v>0</v>
      </c>
      <c r="BN23" s="319">
        <v>0</v>
      </c>
      <c r="BO23" s="322">
        <v>0</v>
      </c>
      <c r="BP23" s="760">
        <v>0</v>
      </c>
      <c r="BQ23" s="760">
        <v>0</v>
      </c>
      <c r="BR23" s="760">
        <v>0</v>
      </c>
      <c r="BS23" s="760">
        <v>0</v>
      </c>
      <c r="BT23" s="62"/>
      <c r="BU23" s="319" t="s">
        <v>6</v>
      </c>
      <c r="BV23" s="319">
        <v>575620.64</v>
      </c>
      <c r="BW23" s="319">
        <v>623184.07999999996</v>
      </c>
      <c r="BX23" s="319">
        <v>640699</v>
      </c>
      <c r="BY23" s="319">
        <v>803603.7</v>
      </c>
      <c r="BZ23" s="319">
        <v>653408.9</v>
      </c>
      <c r="CA23" s="319">
        <v>671072.64</v>
      </c>
      <c r="CB23" s="319">
        <v>692417.95</v>
      </c>
      <c r="CC23" s="319">
        <v>1068354.8400000001</v>
      </c>
      <c r="CD23" s="319">
        <v>724145.57000000007</v>
      </c>
      <c r="CE23" s="319">
        <v>719823.5</v>
      </c>
      <c r="CF23" s="319">
        <v>1024842.4400000001</v>
      </c>
      <c r="CG23" s="319">
        <v>793229.79</v>
      </c>
      <c r="CH23" s="319">
        <v>1082014.48</v>
      </c>
      <c r="CI23" s="319">
        <v>652609.6399999999</v>
      </c>
      <c r="CJ23" s="319">
        <v>647983.55000000005</v>
      </c>
      <c r="CK23" s="319">
        <v>638605.9</v>
      </c>
      <c r="CL23" s="319">
        <v>638093.82000000007</v>
      </c>
      <c r="CM23" s="322">
        <v>686049.5</v>
      </c>
      <c r="CN23" s="760">
        <v>1195264.3600000001</v>
      </c>
      <c r="CO23" s="760">
        <v>1474917.78</v>
      </c>
      <c r="CP23" s="760">
        <v>724971.3899999999</v>
      </c>
      <c r="CQ23" s="760">
        <v>705000</v>
      </c>
      <c r="CR23" s="62"/>
      <c r="CS23" s="319" t="s">
        <v>6</v>
      </c>
      <c r="CT23" s="319">
        <v>5873.68</v>
      </c>
      <c r="CU23" s="319">
        <v>6773.74</v>
      </c>
      <c r="CV23" s="319">
        <v>13488.4</v>
      </c>
      <c r="CW23" s="319">
        <v>25922.7</v>
      </c>
      <c r="CX23" s="319">
        <v>35319.4</v>
      </c>
      <c r="CY23" s="319">
        <v>20971.02</v>
      </c>
      <c r="CZ23" s="319">
        <v>7288.61</v>
      </c>
      <c r="DA23" s="319">
        <v>0</v>
      </c>
      <c r="DB23" s="319">
        <v>6461.52</v>
      </c>
      <c r="DC23" s="319">
        <v>22907.09</v>
      </c>
      <c r="DD23" s="319">
        <v>37981.089999999997</v>
      </c>
      <c r="DE23" s="319">
        <v>50485.7</v>
      </c>
      <c r="DF23" s="319">
        <v>25309.81</v>
      </c>
      <c r="DG23" s="319">
        <v>6899.03</v>
      </c>
      <c r="DH23" s="319">
        <v>4780.91</v>
      </c>
      <c r="DI23" s="319">
        <v>4916.8999999999996</v>
      </c>
      <c r="DJ23" s="319">
        <v>11060.36</v>
      </c>
      <c r="DK23" s="322">
        <v>5846.77</v>
      </c>
      <c r="DL23" s="760">
        <v>2686.73</v>
      </c>
      <c r="DM23" s="760">
        <v>20090.11</v>
      </c>
      <c r="DN23" s="760">
        <v>4996.74</v>
      </c>
      <c r="DO23" s="760">
        <v>5000</v>
      </c>
      <c r="DP23" s="62"/>
      <c r="DQ23" s="319" t="s">
        <v>6</v>
      </c>
      <c r="DR23" s="319">
        <v>5873.68</v>
      </c>
      <c r="DS23" s="319">
        <v>47416.18</v>
      </c>
      <c r="DT23" s="319">
        <v>20232.599999999999</v>
      </c>
      <c r="DU23" s="319">
        <v>34563.599999999999</v>
      </c>
      <c r="DV23" s="319">
        <v>194256.7</v>
      </c>
      <c r="DW23" s="319">
        <v>6990.34</v>
      </c>
      <c r="DX23" s="319">
        <v>29154.44</v>
      </c>
      <c r="DY23" s="319">
        <v>21803.16</v>
      </c>
      <c r="DZ23" s="319">
        <v>145739.72</v>
      </c>
      <c r="EA23" s="319">
        <v>5882.56</v>
      </c>
      <c r="EB23" s="319">
        <v>2302.35</v>
      </c>
      <c r="EC23" s="319">
        <v>2159.31</v>
      </c>
      <c r="ED23" s="319">
        <v>204569.51</v>
      </c>
      <c r="EE23" s="319">
        <v>17070.830000000002</v>
      </c>
      <c r="EF23" s="319">
        <v>37422.35</v>
      </c>
      <c r="EG23" s="319">
        <v>2439</v>
      </c>
      <c r="EH23" s="319">
        <v>4630.1000000000004</v>
      </c>
      <c r="EI23" s="322">
        <v>488.5</v>
      </c>
      <c r="EJ23" s="767">
        <v>22195.31</v>
      </c>
      <c r="EK23" s="767">
        <v>3448.13</v>
      </c>
      <c r="EL23" s="767">
        <v>1460</v>
      </c>
      <c r="EM23" s="767">
        <v>1080</v>
      </c>
      <c r="EO23" s="319" t="s">
        <v>6</v>
      </c>
      <c r="EP23" s="319">
        <v>720624</v>
      </c>
      <c r="EQ23" s="319">
        <v>528145</v>
      </c>
      <c r="ER23" s="319">
        <v>499932</v>
      </c>
      <c r="ES23" s="319">
        <v>930367</v>
      </c>
      <c r="ET23" s="319">
        <v>767436</v>
      </c>
      <c r="EU23" s="319">
        <v>495343</v>
      </c>
      <c r="EV23" s="319">
        <v>610625</v>
      </c>
      <c r="EW23" s="319">
        <v>1018911</v>
      </c>
      <c r="EX23" s="319">
        <v>771911.46999999974</v>
      </c>
      <c r="EY23" s="319">
        <v>911630.33</v>
      </c>
      <c r="EZ23" s="319">
        <v>894176.92</v>
      </c>
      <c r="FA23" s="319">
        <v>591080.30000000005</v>
      </c>
      <c r="FB23" s="319">
        <v>1486259.2999999998</v>
      </c>
      <c r="FC23" s="319">
        <v>833783.39999999991</v>
      </c>
      <c r="FD23" s="319">
        <v>888974.29</v>
      </c>
      <c r="FE23" s="319">
        <v>611363.9</v>
      </c>
      <c r="FF23" s="319">
        <v>681555.35</v>
      </c>
      <c r="FG23" s="322">
        <v>729083.96000000008</v>
      </c>
      <c r="FH23" s="760">
        <v>1101610.8000000003</v>
      </c>
      <c r="FI23" s="760">
        <v>1301352.9599999997</v>
      </c>
      <c r="FJ23" s="760">
        <v>453436.14999999997</v>
      </c>
      <c r="FK23" s="760">
        <v>706160</v>
      </c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</row>
    <row r="24" spans="1:227" s="61" customFormat="1">
      <c r="A24" s="319" t="s">
        <v>7</v>
      </c>
      <c r="B24" s="319">
        <v>1181799</v>
      </c>
      <c r="C24" s="319">
        <v>1309781</v>
      </c>
      <c r="D24" s="319">
        <v>1059222</v>
      </c>
      <c r="E24" s="319">
        <v>1267036</v>
      </c>
      <c r="F24" s="319">
        <v>1349385</v>
      </c>
      <c r="G24" s="319">
        <v>1552843</v>
      </c>
      <c r="H24" s="319">
        <v>1150372</v>
      </c>
      <c r="I24" s="319">
        <v>1072597</v>
      </c>
      <c r="J24" s="319">
        <v>1335653</v>
      </c>
      <c r="K24" s="319"/>
      <c r="L24" s="319"/>
      <c r="M24" s="319"/>
      <c r="N24" s="319"/>
      <c r="O24" s="319"/>
      <c r="P24" s="319"/>
      <c r="Q24" s="319"/>
      <c r="R24" s="319"/>
      <c r="S24" s="322"/>
      <c r="T24" s="760"/>
      <c r="U24" s="760"/>
      <c r="V24" s="760"/>
      <c r="W24" s="760"/>
      <c r="X24" s="42"/>
      <c r="Y24" s="319" t="s">
        <v>7</v>
      </c>
      <c r="Z24" s="319">
        <v>0</v>
      </c>
      <c r="AA24" s="319">
        <v>0</v>
      </c>
      <c r="AB24" s="319">
        <v>0</v>
      </c>
      <c r="AC24" s="319">
        <v>38011.08</v>
      </c>
      <c r="AD24" s="319">
        <v>40481.550000000003</v>
      </c>
      <c r="AE24" s="319">
        <v>46585.29</v>
      </c>
      <c r="AF24" s="319">
        <v>46014.879999999997</v>
      </c>
      <c r="AG24" s="319">
        <v>42903.88</v>
      </c>
      <c r="AH24" s="319">
        <v>0</v>
      </c>
      <c r="AI24" s="319"/>
      <c r="AJ24" s="319"/>
      <c r="AK24" s="319"/>
      <c r="AL24" s="319"/>
      <c r="AM24" s="319"/>
      <c r="AN24" s="319"/>
      <c r="AO24" s="319"/>
      <c r="AP24" s="319"/>
      <c r="AQ24" s="322"/>
      <c r="AR24" s="760"/>
      <c r="AS24" s="760"/>
      <c r="AT24" s="760"/>
      <c r="AU24" s="760"/>
      <c r="AV24" s="62"/>
      <c r="AW24" s="319" t="s">
        <v>7</v>
      </c>
      <c r="AX24" s="319">
        <v>0</v>
      </c>
      <c r="AY24" s="319">
        <v>0</v>
      </c>
      <c r="AZ24" s="319">
        <v>0</v>
      </c>
      <c r="BA24" s="319">
        <v>0</v>
      </c>
      <c r="BB24" s="319">
        <v>0</v>
      </c>
      <c r="BC24" s="319">
        <v>0</v>
      </c>
      <c r="BD24" s="319">
        <v>0</v>
      </c>
      <c r="BE24" s="319">
        <v>0</v>
      </c>
      <c r="BF24" s="319">
        <v>0</v>
      </c>
      <c r="BG24" s="319"/>
      <c r="BH24" s="319"/>
      <c r="BI24" s="319"/>
      <c r="BJ24" s="319"/>
      <c r="BK24" s="319"/>
      <c r="BL24" s="319"/>
      <c r="BM24" s="319"/>
      <c r="BN24" s="319"/>
      <c r="BO24" s="322"/>
      <c r="BP24" s="760"/>
      <c r="BQ24" s="760"/>
      <c r="BR24" s="760"/>
      <c r="BS24" s="760"/>
      <c r="BT24" s="62"/>
      <c r="BU24" s="319" t="s">
        <v>7</v>
      </c>
      <c r="BV24" s="319">
        <v>1146345.03</v>
      </c>
      <c r="BW24" s="319">
        <v>1270487.57</v>
      </c>
      <c r="BX24" s="319">
        <v>921523.14</v>
      </c>
      <c r="BY24" s="319">
        <v>1165673.1200000001</v>
      </c>
      <c r="BZ24" s="319">
        <v>1227940.3500000001</v>
      </c>
      <c r="CA24" s="319">
        <v>1475200.85</v>
      </c>
      <c r="CB24" s="319">
        <v>1023831.08</v>
      </c>
      <c r="CC24" s="319">
        <v>997515.21</v>
      </c>
      <c r="CD24" s="319">
        <v>718604.54</v>
      </c>
      <c r="CE24" s="319"/>
      <c r="CF24" s="319"/>
      <c r="CG24" s="319"/>
      <c r="CH24" s="319"/>
      <c r="CI24" s="319"/>
      <c r="CJ24" s="319"/>
      <c r="CK24" s="319"/>
      <c r="CL24" s="319"/>
      <c r="CM24" s="322"/>
      <c r="CN24" s="760"/>
      <c r="CO24" s="760"/>
      <c r="CP24" s="760"/>
      <c r="CQ24" s="760"/>
      <c r="CR24" s="62"/>
      <c r="CS24" s="319" t="s">
        <v>7</v>
      </c>
      <c r="CT24" s="319">
        <v>11817.99</v>
      </c>
      <c r="CU24" s="319">
        <v>0</v>
      </c>
      <c r="CV24" s="319">
        <v>10592.22</v>
      </c>
      <c r="CW24" s="319">
        <v>12670.36</v>
      </c>
      <c r="CX24" s="319">
        <v>26987.7</v>
      </c>
      <c r="CY24" s="319">
        <v>15528.43</v>
      </c>
      <c r="CZ24" s="319">
        <v>11503.72</v>
      </c>
      <c r="DA24" s="319">
        <v>0</v>
      </c>
      <c r="DB24" s="319">
        <v>8763.4699999999993</v>
      </c>
      <c r="DC24" s="319"/>
      <c r="DD24" s="319"/>
      <c r="DE24" s="319"/>
      <c r="DF24" s="319"/>
      <c r="DG24" s="319"/>
      <c r="DH24" s="319"/>
      <c r="DI24" s="319"/>
      <c r="DJ24" s="319"/>
      <c r="DK24" s="322"/>
      <c r="DL24" s="760"/>
      <c r="DM24" s="760"/>
      <c r="DN24" s="760"/>
      <c r="DO24" s="760"/>
      <c r="DP24" s="62"/>
      <c r="DQ24" s="319" t="s">
        <v>7</v>
      </c>
      <c r="DR24" s="319">
        <v>23635.98</v>
      </c>
      <c r="DS24" s="319">
        <v>39293.43</v>
      </c>
      <c r="DT24" s="319">
        <v>127106.64</v>
      </c>
      <c r="DU24" s="319">
        <v>50681.440000000002</v>
      </c>
      <c r="DV24" s="319">
        <v>53975.4</v>
      </c>
      <c r="DW24" s="319">
        <v>15528.43</v>
      </c>
      <c r="DX24" s="319">
        <v>69022.320000000007</v>
      </c>
      <c r="DY24" s="319">
        <v>32177.91</v>
      </c>
      <c r="DZ24" s="319">
        <v>148978.99</v>
      </c>
      <c r="EA24" s="319"/>
      <c r="EB24" s="319"/>
      <c r="EC24" s="319"/>
      <c r="ED24" s="319"/>
      <c r="EE24" s="319"/>
      <c r="EF24" s="319"/>
      <c r="EG24" s="319"/>
      <c r="EH24" s="319"/>
      <c r="EI24" s="322"/>
      <c r="EJ24" s="767"/>
      <c r="EK24" s="767"/>
      <c r="EL24" s="767"/>
      <c r="EM24" s="767"/>
      <c r="EO24" s="319" t="s">
        <v>7</v>
      </c>
      <c r="EP24" s="319">
        <v>1061518</v>
      </c>
      <c r="EQ24" s="319">
        <v>1434404</v>
      </c>
      <c r="ER24" s="319">
        <v>924746</v>
      </c>
      <c r="ES24" s="319">
        <v>1084997</v>
      </c>
      <c r="ET24" s="319">
        <v>1426375</v>
      </c>
      <c r="EU24" s="319">
        <v>1509698</v>
      </c>
      <c r="EV24" s="319">
        <v>998947</v>
      </c>
      <c r="EW24" s="319">
        <v>973587</v>
      </c>
      <c r="EX24" s="319">
        <v>1184819</v>
      </c>
      <c r="EY24" s="319"/>
      <c r="EZ24" s="319"/>
      <c r="FA24" s="319"/>
      <c r="FB24" s="319"/>
      <c r="FC24" s="319"/>
      <c r="FD24" s="319"/>
      <c r="FE24" s="319"/>
      <c r="FF24" s="319"/>
      <c r="FG24" s="322"/>
      <c r="FH24" s="760"/>
      <c r="FI24" s="760"/>
      <c r="FJ24" s="760"/>
      <c r="FK24" s="760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</row>
    <row r="25" spans="1:227" s="61" customFormat="1">
      <c r="A25" s="319" t="s">
        <v>8</v>
      </c>
      <c r="B25" s="319">
        <v>1438125</v>
      </c>
      <c r="C25" s="319">
        <v>1267160</v>
      </c>
      <c r="D25" s="319">
        <v>1237405</v>
      </c>
      <c r="E25" s="319">
        <v>1195689</v>
      </c>
      <c r="F25" s="319">
        <v>1256676</v>
      </c>
      <c r="G25" s="319">
        <v>1266175</v>
      </c>
      <c r="H25" s="319">
        <v>1416632</v>
      </c>
      <c r="I25" s="319">
        <v>1320698</v>
      </c>
      <c r="J25" s="319">
        <v>1214111.9500000002</v>
      </c>
      <c r="K25" s="319">
        <v>1281393.3400000001</v>
      </c>
      <c r="L25" s="319">
        <v>1360366.4899999998</v>
      </c>
      <c r="M25" s="319">
        <v>1994962.3299999998</v>
      </c>
      <c r="N25" s="319">
        <v>1310834.3799999999</v>
      </c>
      <c r="O25" s="319">
        <v>1310661.8799999999</v>
      </c>
      <c r="P25" s="319">
        <v>1305216.54</v>
      </c>
      <c r="Q25" s="319">
        <v>1431158.1199999999</v>
      </c>
      <c r="R25" s="319">
        <v>1747144.0099999998</v>
      </c>
      <c r="S25" s="322">
        <v>1373296.55</v>
      </c>
      <c r="T25" s="760">
        <v>1788132.55</v>
      </c>
      <c r="U25" s="760">
        <v>1433111.3199999998</v>
      </c>
      <c r="V25" s="760">
        <v>1787624.59</v>
      </c>
      <c r="W25" s="760">
        <v>1904350</v>
      </c>
      <c r="X25" s="42"/>
      <c r="Y25" s="319" t="s">
        <v>8</v>
      </c>
      <c r="Z25" s="319">
        <v>215718.75</v>
      </c>
      <c r="AA25" s="319">
        <v>240760.4</v>
      </c>
      <c r="AB25" s="319">
        <v>272229.09999999998</v>
      </c>
      <c r="AC25" s="319">
        <v>275008.46999999997</v>
      </c>
      <c r="AD25" s="319">
        <v>276468.71999999997</v>
      </c>
      <c r="AE25" s="319">
        <v>316543.75</v>
      </c>
      <c r="AF25" s="319">
        <v>311659.03999999998</v>
      </c>
      <c r="AG25" s="319">
        <v>330174.5</v>
      </c>
      <c r="AH25" s="319">
        <v>322680.61000000004</v>
      </c>
      <c r="AI25" s="319">
        <v>337789.82</v>
      </c>
      <c r="AJ25" s="319">
        <v>384315.48</v>
      </c>
      <c r="AK25" s="319">
        <v>404093.22</v>
      </c>
      <c r="AL25" s="319">
        <v>399279.47</v>
      </c>
      <c r="AM25" s="319">
        <v>448897.03</v>
      </c>
      <c r="AN25" s="319">
        <v>434155.99</v>
      </c>
      <c r="AO25" s="319">
        <v>439430.85000000003</v>
      </c>
      <c r="AP25" s="319">
        <v>492650.91</v>
      </c>
      <c r="AQ25" s="322">
        <v>467903.23</v>
      </c>
      <c r="AR25" s="760">
        <v>477317.83</v>
      </c>
      <c r="AS25" s="760">
        <v>498980.88999999996</v>
      </c>
      <c r="AT25" s="760">
        <v>502681.25</v>
      </c>
      <c r="AU25" s="760">
        <v>511000</v>
      </c>
      <c r="AV25" s="62"/>
      <c r="AW25" s="319" t="s">
        <v>8</v>
      </c>
      <c r="AX25" s="319">
        <v>0</v>
      </c>
      <c r="AY25" s="319">
        <v>0</v>
      </c>
      <c r="AZ25" s="319">
        <v>111366.45</v>
      </c>
      <c r="BA25" s="319">
        <v>0</v>
      </c>
      <c r="BB25" s="319">
        <v>113100.84</v>
      </c>
      <c r="BC25" s="319">
        <v>126617.5</v>
      </c>
      <c r="BD25" s="319">
        <v>0</v>
      </c>
      <c r="BE25" s="319">
        <v>0</v>
      </c>
      <c r="BF25" s="319">
        <v>116748.82</v>
      </c>
      <c r="BG25" s="319">
        <v>119147.07</v>
      </c>
      <c r="BH25" s="319">
        <v>106130.86</v>
      </c>
      <c r="BI25" s="319">
        <v>131679.14000000001</v>
      </c>
      <c r="BJ25" s="319">
        <v>99618.44</v>
      </c>
      <c r="BK25" s="319">
        <v>86135.46</v>
      </c>
      <c r="BL25" s="319">
        <v>93598.78</v>
      </c>
      <c r="BM25" s="319">
        <v>101920.22</v>
      </c>
      <c r="BN25" s="319">
        <v>114624.53</v>
      </c>
      <c r="BO25" s="322">
        <v>125313.94</v>
      </c>
      <c r="BP25" s="760">
        <v>144720.26</v>
      </c>
      <c r="BQ25" s="760">
        <v>155236.73000000001</v>
      </c>
      <c r="BR25" s="760">
        <v>161075.25</v>
      </c>
      <c r="BS25" s="760">
        <v>168600</v>
      </c>
      <c r="BT25" s="62"/>
      <c r="BU25" s="319" t="s">
        <v>8</v>
      </c>
      <c r="BV25" s="319">
        <v>920400</v>
      </c>
      <c r="BW25" s="319">
        <v>887012</v>
      </c>
      <c r="BX25" s="319">
        <v>705320.85</v>
      </c>
      <c r="BY25" s="319">
        <v>789154.74</v>
      </c>
      <c r="BZ25" s="319">
        <v>766572.36</v>
      </c>
      <c r="CA25" s="319">
        <v>633087.5</v>
      </c>
      <c r="CB25" s="319">
        <v>1076640.32</v>
      </c>
      <c r="CC25" s="319">
        <v>977316.52</v>
      </c>
      <c r="CD25" s="319">
        <v>760464.48</v>
      </c>
      <c r="CE25" s="319">
        <v>791725.9</v>
      </c>
      <c r="CF25" s="319">
        <v>808989.92999999993</v>
      </c>
      <c r="CG25" s="319">
        <v>1288632.8499999999</v>
      </c>
      <c r="CH25" s="319">
        <v>781916.38</v>
      </c>
      <c r="CI25" s="319">
        <v>655622.69999999984</v>
      </c>
      <c r="CJ25" s="319">
        <v>743903.55999999994</v>
      </c>
      <c r="CK25" s="319">
        <v>302567.96999999997</v>
      </c>
      <c r="CL25" s="319">
        <v>480597.69999999995</v>
      </c>
      <c r="CM25" s="322">
        <v>101725.90000000001</v>
      </c>
      <c r="CN25" s="760">
        <v>143078.02000000002</v>
      </c>
      <c r="CO25" s="760">
        <v>168127.22</v>
      </c>
      <c r="CP25" s="760">
        <v>515865.16</v>
      </c>
      <c r="CQ25" s="760">
        <v>497250</v>
      </c>
      <c r="CR25" s="62"/>
      <c r="CS25" s="319" t="s">
        <v>8</v>
      </c>
      <c r="CT25" s="319">
        <v>86287.5</v>
      </c>
      <c r="CU25" s="319">
        <v>101372.8</v>
      </c>
      <c r="CV25" s="319">
        <v>111366.45</v>
      </c>
      <c r="CW25" s="319">
        <v>119568.9</v>
      </c>
      <c r="CX25" s="319">
        <v>87967.32</v>
      </c>
      <c r="CY25" s="319">
        <v>50647</v>
      </c>
      <c r="CZ25" s="319">
        <v>14166.32</v>
      </c>
      <c r="DA25" s="319">
        <v>13206.98</v>
      </c>
      <c r="DB25" s="319">
        <v>7880.2</v>
      </c>
      <c r="DC25" s="319">
        <v>15430.88</v>
      </c>
      <c r="DD25" s="319">
        <v>27215.57</v>
      </c>
      <c r="DE25" s="319">
        <v>37729.22</v>
      </c>
      <c r="DF25" s="319">
        <v>16401.16</v>
      </c>
      <c r="DG25" s="319">
        <v>12815.19</v>
      </c>
      <c r="DH25" s="319">
        <v>16952.37</v>
      </c>
      <c r="DI25" s="319">
        <v>20519.23</v>
      </c>
      <c r="DJ25" s="319">
        <v>10744.63</v>
      </c>
      <c r="DK25" s="322">
        <v>2488.1799999999998</v>
      </c>
      <c r="DL25" s="760">
        <v>3477.72</v>
      </c>
      <c r="DM25" s="760">
        <v>3494.77</v>
      </c>
      <c r="DN25" s="760">
        <v>3767.01</v>
      </c>
      <c r="DO25" s="760">
        <v>4600</v>
      </c>
      <c r="DP25" s="62"/>
      <c r="DQ25" s="319" t="s">
        <v>8</v>
      </c>
      <c r="DR25" s="319">
        <v>215718.75</v>
      </c>
      <c r="DS25" s="319">
        <v>38014.800000000003</v>
      </c>
      <c r="DT25" s="319">
        <v>37122.15</v>
      </c>
      <c r="DU25" s="319">
        <v>11956.89</v>
      </c>
      <c r="DV25" s="319">
        <v>12566.76</v>
      </c>
      <c r="DW25" s="319">
        <v>139279.25</v>
      </c>
      <c r="DX25" s="319">
        <v>14166.32</v>
      </c>
      <c r="DY25" s="319">
        <v>0</v>
      </c>
      <c r="DZ25" s="319">
        <v>6337.84</v>
      </c>
      <c r="EA25" s="319">
        <v>17299.669999999998</v>
      </c>
      <c r="EB25" s="319">
        <v>33714.65</v>
      </c>
      <c r="EC25" s="319">
        <v>132827.9</v>
      </c>
      <c r="ED25" s="319">
        <v>13618.93</v>
      </c>
      <c r="EE25" s="319">
        <v>99914.49</v>
      </c>
      <c r="EF25" s="319">
        <v>16605.84</v>
      </c>
      <c r="EG25" s="319">
        <v>51687.85</v>
      </c>
      <c r="EH25" s="319">
        <v>50868.25</v>
      </c>
      <c r="EI25" s="322">
        <v>124923.76</v>
      </c>
      <c r="EJ25" s="767">
        <v>450954.77</v>
      </c>
      <c r="EK25" s="767">
        <v>19238.509999999998</v>
      </c>
      <c r="EL25" s="767">
        <v>18591.12</v>
      </c>
      <c r="EM25" s="767">
        <v>142900</v>
      </c>
      <c r="EO25" s="319" t="s">
        <v>8</v>
      </c>
      <c r="EP25" s="319">
        <v>1404012</v>
      </c>
      <c r="EQ25" s="319">
        <v>1016675</v>
      </c>
      <c r="ER25" s="319">
        <v>1207162</v>
      </c>
      <c r="ES25" s="319">
        <v>1364643</v>
      </c>
      <c r="ET25" s="319">
        <v>1327704</v>
      </c>
      <c r="EU25" s="319">
        <v>1529184</v>
      </c>
      <c r="EV25" s="319">
        <v>1483982</v>
      </c>
      <c r="EW25" s="319">
        <v>1216442</v>
      </c>
      <c r="EX25" s="319">
        <v>1323733.92</v>
      </c>
      <c r="EY25" s="319">
        <v>1221543.44</v>
      </c>
      <c r="EZ25" s="319">
        <v>1239636.6800000002</v>
      </c>
      <c r="FA25" s="319">
        <v>1956521.99</v>
      </c>
      <c r="FB25" s="319">
        <v>1484931.8</v>
      </c>
      <c r="FC25" s="319">
        <v>1134732.71</v>
      </c>
      <c r="FD25" s="319">
        <v>1256301.99</v>
      </c>
      <c r="FE25" s="319">
        <v>1434642.9000000001</v>
      </c>
      <c r="FF25" s="319">
        <v>1865803.03</v>
      </c>
      <c r="FG25" s="322">
        <v>1303279.6200000001</v>
      </c>
      <c r="FH25" s="760">
        <v>1536306.7999999998</v>
      </c>
      <c r="FI25" s="760">
        <v>1917026.53</v>
      </c>
      <c r="FJ25" s="760">
        <v>1773476.79</v>
      </c>
      <c r="FK25" s="760">
        <v>2082465</v>
      </c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</row>
    <row r="26" spans="1:227" s="61" customFormat="1">
      <c r="A26" s="319" t="s">
        <v>9</v>
      </c>
      <c r="B26" s="319">
        <v>889401</v>
      </c>
      <c r="C26" s="319">
        <v>761754</v>
      </c>
      <c r="D26" s="319">
        <v>713615</v>
      </c>
      <c r="E26" s="319">
        <v>763703</v>
      </c>
      <c r="F26" s="319">
        <v>895275</v>
      </c>
      <c r="G26" s="319">
        <v>967229</v>
      </c>
      <c r="H26" s="319">
        <v>1049355</v>
      </c>
      <c r="I26" s="319">
        <v>2018534</v>
      </c>
      <c r="J26" s="319">
        <v>1225966.05</v>
      </c>
      <c r="K26" s="319">
        <v>854308.8600000001</v>
      </c>
      <c r="L26" s="319">
        <v>1372216.4100000001</v>
      </c>
      <c r="M26" s="319">
        <v>942280.77</v>
      </c>
      <c r="N26" s="319">
        <v>1453506.78</v>
      </c>
      <c r="O26" s="319">
        <v>913038.3600000001</v>
      </c>
      <c r="P26" s="319">
        <v>1117402.1000000001</v>
      </c>
      <c r="Q26" s="319">
        <v>1740147.48</v>
      </c>
      <c r="R26" s="319"/>
      <c r="S26" s="322">
        <v>984114.19</v>
      </c>
      <c r="T26" s="760">
        <v>1096981.69</v>
      </c>
      <c r="U26" s="760">
        <v>1262775.52</v>
      </c>
      <c r="V26" s="760">
        <v>1420719.33</v>
      </c>
      <c r="W26" s="760">
        <v>959935</v>
      </c>
      <c r="X26" s="42"/>
      <c r="Y26" s="319" t="s">
        <v>9</v>
      </c>
      <c r="Z26" s="319">
        <v>160092.18</v>
      </c>
      <c r="AA26" s="319">
        <v>159968.34</v>
      </c>
      <c r="AB26" s="319">
        <v>156995.29999999999</v>
      </c>
      <c r="AC26" s="319">
        <v>190925.75</v>
      </c>
      <c r="AD26" s="319">
        <v>205913.25</v>
      </c>
      <c r="AE26" s="319">
        <v>212790.38</v>
      </c>
      <c r="AF26" s="319">
        <v>220364.55</v>
      </c>
      <c r="AG26" s="319">
        <v>242224.08</v>
      </c>
      <c r="AH26" s="319">
        <v>245908.44</v>
      </c>
      <c r="AI26" s="319">
        <v>0</v>
      </c>
      <c r="AJ26" s="319">
        <v>252825.57</v>
      </c>
      <c r="AK26" s="319">
        <v>253332.83000000002</v>
      </c>
      <c r="AL26" s="319">
        <v>264512.22000000003</v>
      </c>
      <c r="AM26" s="319">
        <v>247484.51</v>
      </c>
      <c r="AN26" s="319">
        <v>279867.03000000003</v>
      </c>
      <c r="AO26" s="319">
        <v>279292.63</v>
      </c>
      <c r="AP26" s="319"/>
      <c r="AQ26" s="322">
        <v>297899.31</v>
      </c>
      <c r="AR26" s="760">
        <v>321490.02</v>
      </c>
      <c r="AS26" s="760">
        <v>311980</v>
      </c>
      <c r="AT26" s="760">
        <v>353311.17000000004</v>
      </c>
      <c r="AU26" s="760">
        <v>351500</v>
      </c>
      <c r="AV26" s="62"/>
      <c r="AW26" s="319" t="s">
        <v>9</v>
      </c>
      <c r="AX26" s="319">
        <v>0</v>
      </c>
      <c r="AY26" s="319">
        <v>0</v>
      </c>
      <c r="AZ26" s="319">
        <v>0</v>
      </c>
      <c r="BA26" s="319">
        <v>0</v>
      </c>
      <c r="BB26" s="319">
        <v>0</v>
      </c>
      <c r="BC26" s="319">
        <v>0</v>
      </c>
      <c r="BD26" s="319">
        <v>0</v>
      </c>
      <c r="BE26" s="319">
        <v>0</v>
      </c>
      <c r="BF26" s="319">
        <v>0</v>
      </c>
      <c r="BG26" s="319">
        <v>0</v>
      </c>
      <c r="BH26" s="319">
        <v>0</v>
      </c>
      <c r="BI26" s="319">
        <v>0</v>
      </c>
      <c r="BJ26" s="319">
        <v>0</v>
      </c>
      <c r="BK26" s="319">
        <v>0</v>
      </c>
      <c r="BL26" s="319">
        <v>0</v>
      </c>
      <c r="BM26" s="319">
        <v>0</v>
      </c>
      <c r="BN26" s="319"/>
      <c r="BO26" s="322">
        <v>0</v>
      </c>
      <c r="BP26" s="760">
        <v>0</v>
      </c>
      <c r="BQ26" s="760">
        <v>0</v>
      </c>
      <c r="BR26" s="760">
        <v>0</v>
      </c>
      <c r="BS26" s="760">
        <v>0</v>
      </c>
      <c r="BT26" s="62"/>
      <c r="BU26" s="319" t="s">
        <v>9</v>
      </c>
      <c r="BV26" s="319">
        <v>720414.81</v>
      </c>
      <c r="BW26" s="319">
        <v>594168.12</v>
      </c>
      <c r="BX26" s="319">
        <v>470985.9</v>
      </c>
      <c r="BY26" s="319">
        <v>534592.1</v>
      </c>
      <c r="BZ26" s="319">
        <v>537165</v>
      </c>
      <c r="CA26" s="319">
        <v>541648.24</v>
      </c>
      <c r="CB26" s="319">
        <v>818496.9</v>
      </c>
      <c r="CC26" s="319">
        <v>1675383.22</v>
      </c>
      <c r="CD26" s="319">
        <v>599845.68000000005</v>
      </c>
      <c r="CE26" s="319">
        <v>581098.25</v>
      </c>
      <c r="CF26" s="319">
        <v>577349.25000000012</v>
      </c>
      <c r="CG26" s="319">
        <v>576336.87</v>
      </c>
      <c r="CH26" s="319">
        <v>524845.43000000005</v>
      </c>
      <c r="CI26" s="319">
        <v>497496.85000000003</v>
      </c>
      <c r="CJ26" s="319">
        <v>520447.73</v>
      </c>
      <c r="CK26" s="319">
        <v>516502.97</v>
      </c>
      <c r="CL26" s="319"/>
      <c r="CM26" s="322">
        <v>537865.48</v>
      </c>
      <c r="CN26" s="760">
        <v>564234.57999999996</v>
      </c>
      <c r="CO26" s="760">
        <v>585168.21</v>
      </c>
      <c r="CP26" s="760">
        <v>589508.82999999996</v>
      </c>
      <c r="CQ26" s="760">
        <v>585400</v>
      </c>
      <c r="CR26" s="62"/>
      <c r="CS26" s="319" t="s">
        <v>9</v>
      </c>
      <c r="CT26" s="319">
        <v>0</v>
      </c>
      <c r="CU26" s="319">
        <v>0</v>
      </c>
      <c r="CV26" s="319">
        <v>0</v>
      </c>
      <c r="CW26" s="319">
        <v>7637.03</v>
      </c>
      <c r="CX26" s="319">
        <v>8952.75</v>
      </c>
      <c r="CY26" s="319">
        <v>9672.2900000000009</v>
      </c>
      <c r="CZ26" s="319">
        <v>0</v>
      </c>
      <c r="DA26" s="319">
        <v>0</v>
      </c>
      <c r="DB26" s="319">
        <v>1625.84</v>
      </c>
      <c r="DC26" s="319">
        <v>2370.71</v>
      </c>
      <c r="DD26" s="319">
        <v>8072.7</v>
      </c>
      <c r="DE26" s="319">
        <v>5789.72</v>
      </c>
      <c r="DF26" s="319">
        <v>3610.4</v>
      </c>
      <c r="DG26" s="319">
        <v>3600</v>
      </c>
      <c r="DH26" s="319">
        <v>22.18</v>
      </c>
      <c r="DI26" s="319">
        <v>15.53</v>
      </c>
      <c r="DJ26" s="319"/>
      <c r="DK26" s="322">
        <v>3.37</v>
      </c>
      <c r="DL26" s="760">
        <v>3.38</v>
      </c>
      <c r="DM26" s="760">
        <v>3.38</v>
      </c>
      <c r="DN26" s="760">
        <v>0</v>
      </c>
      <c r="DO26" s="760">
        <v>4</v>
      </c>
      <c r="DP26" s="62"/>
      <c r="DQ26" s="319" t="s">
        <v>9</v>
      </c>
      <c r="DR26" s="319">
        <v>8894.01</v>
      </c>
      <c r="DS26" s="319">
        <v>7617.54</v>
      </c>
      <c r="DT26" s="319">
        <v>85633.8</v>
      </c>
      <c r="DU26" s="319">
        <v>30548.12</v>
      </c>
      <c r="DV26" s="319">
        <v>143244</v>
      </c>
      <c r="DW26" s="319">
        <v>203118.09</v>
      </c>
      <c r="DX26" s="319">
        <v>10493.55</v>
      </c>
      <c r="DY26" s="319">
        <v>100926.7</v>
      </c>
      <c r="DZ26" s="319">
        <v>378586.08999999997</v>
      </c>
      <c r="EA26" s="319">
        <v>270839.90000000002</v>
      </c>
      <c r="EB26" s="319">
        <v>533968.89</v>
      </c>
      <c r="EC26" s="319">
        <v>106821.34999999999</v>
      </c>
      <c r="ED26" s="319">
        <v>660538.73</v>
      </c>
      <c r="EE26" s="319">
        <v>164457</v>
      </c>
      <c r="EF26" s="319">
        <v>317065.16000000003</v>
      </c>
      <c r="EG26" s="319">
        <v>944336.35</v>
      </c>
      <c r="EH26" s="319"/>
      <c r="EI26" s="322">
        <v>148346.03</v>
      </c>
      <c r="EJ26" s="767">
        <v>211253.71</v>
      </c>
      <c r="EK26" s="767">
        <v>365623.93</v>
      </c>
      <c r="EL26" s="767">
        <v>477899.33</v>
      </c>
      <c r="EM26" s="767">
        <v>23031</v>
      </c>
      <c r="EO26" s="319" t="s">
        <v>9</v>
      </c>
      <c r="EP26" s="319">
        <v>909315</v>
      </c>
      <c r="EQ26" s="319">
        <v>755112</v>
      </c>
      <c r="ER26" s="319">
        <v>687294</v>
      </c>
      <c r="ES26" s="319">
        <v>778032</v>
      </c>
      <c r="ET26" s="319">
        <v>868981</v>
      </c>
      <c r="EU26" s="319">
        <v>883989</v>
      </c>
      <c r="EV26" s="319">
        <v>1010429</v>
      </c>
      <c r="EW26" s="319">
        <v>1786593</v>
      </c>
      <c r="EX26" s="319">
        <v>1484019.44</v>
      </c>
      <c r="EY26" s="319">
        <v>1211373.6099999999</v>
      </c>
      <c r="EZ26" s="319">
        <v>1494133.95</v>
      </c>
      <c r="FA26" s="319">
        <v>890376.35</v>
      </c>
      <c r="FB26" s="319">
        <v>1234499.79</v>
      </c>
      <c r="FC26" s="319">
        <v>1244829.21</v>
      </c>
      <c r="FD26" s="319">
        <v>1242653.49</v>
      </c>
      <c r="FE26" s="319">
        <v>1486395.62</v>
      </c>
      <c r="FF26" s="319"/>
      <c r="FG26" s="322">
        <v>1091401.8599999999</v>
      </c>
      <c r="FH26" s="760">
        <v>1110307.48</v>
      </c>
      <c r="FI26" s="760">
        <v>1285725.1300000001</v>
      </c>
      <c r="FJ26" s="760">
        <v>1056215.5699999998</v>
      </c>
      <c r="FK26" s="760">
        <v>1356080</v>
      </c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</row>
    <row r="27" spans="1:227" s="61" customFormat="1">
      <c r="A27" s="319" t="s">
        <v>10</v>
      </c>
      <c r="B27" s="319">
        <v>1748445</v>
      </c>
      <c r="C27" s="319">
        <v>1917077</v>
      </c>
      <c r="D27" s="319">
        <v>1830795</v>
      </c>
      <c r="E27" s="319">
        <v>1915227</v>
      </c>
      <c r="F27" s="319">
        <v>1916056</v>
      </c>
      <c r="G27" s="319">
        <v>2299088</v>
      </c>
      <c r="H27" s="319">
        <v>3102147</v>
      </c>
      <c r="I27" s="319">
        <v>2387054</v>
      </c>
      <c r="J27" s="319">
        <v>2625277.7899999996</v>
      </c>
      <c r="K27" s="319">
        <v>2506935.09</v>
      </c>
      <c r="L27" s="319">
        <v>2596507.5499999998</v>
      </c>
      <c r="M27" s="319">
        <v>3383283.17</v>
      </c>
      <c r="N27" s="319">
        <v>2898704.67</v>
      </c>
      <c r="O27" s="319">
        <v>2635074.6199999996</v>
      </c>
      <c r="P27" s="319">
        <v>3001298.6</v>
      </c>
      <c r="Q27" s="319">
        <v>3412414.8199999994</v>
      </c>
      <c r="R27" s="319">
        <v>6301981.6799999997</v>
      </c>
      <c r="S27" s="322">
        <v>2541195.84</v>
      </c>
      <c r="T27" s="760"/>
      <c r="U27" s="760">
        <v>3114967.4</v>
      </c>
      <c r="V27" s="760">
        <v>2553286.4</v>
      </c>
      <c r="W27" s="760">
        <v>4622655.2</v>
      </c>
      <c r="X27" s="42"/>
      <c r="Y27" s="319" t="s">
        <v>10</v>
      </c>
      <c r="Z27" s="319">
        <v>34968.9</v>
      </c>
      <c r="AA27" s="319">
        <v>95853.85</v>
      </c>
      <c r="AB27" s="319">
        <v>109847.7</v>
      </c>
      <c r="AC27" s="319">
        <v>114913.62</v>
      </c>
      <c r="AD27" s="319">
        <v>114963.36</v>
      </c>
      <c r="AE27" s="319">
        <v>137945.28</v>
      </c>
      <c r="AF27" s="319">
        <v>155107.35</v>
      </c>
      <c r="AG27" s="319">
        <v>143223.24</v>
      </c>
      <c r="AH27" s="319">
        <v>162987.65</v>
      </c>
      <c r="AI27" s="319">
        <v>167332.15</v>
      </c>
      <c r="AJ27" s="319">
        <v>153469.01</v>
      </c>
      <c r="AK27" s="319">
        <v>164410.47</v>
      </c>
      <c r="AL27" s="319">
        <v>165189.07</v>
      </c>
      <c r="AM27" s="319">
        <v>176398.83</v>
      </c>
      <c r="AN27" s="319">
        <v>173205.29</v>
      </c>
      <c r="AO27" s="319">
        <v>175927.96</v>
      </c>
      <c r="AP27" s="319">
        <v>182703.63999999998</v>
      </c>
      <c r="AQ27" s="322">
        <v>177461.87999999998</v>
      </c>
      <c r="AR27" s="760"/>
      <c r="AS27" s="760">
        <v>193443.65</v>
      </c>
      <c r="AT27" s="760">
        <v>138398.61000000002</v>
      </c>
      <c r="AU27" s="760">
        <v>157000</v>
      </c>
      <c r="AV27" s="62"/>
      <c r="AW27" s="319" t="s">
        <v>10</v>
      </c>
      <c r="AX27" s="319">
        <v>594471.30000000005</v>
      </c>
      <c r="AY27" s="319">
        <v>613464.64</v>
      </c>
      <c r="AZ27" s="319">
        <v>585854.4</v>
      </c>
      <c r="BA27" s="319">
        <v>632024.91</v>
      </c>
      <c r="BB27" s="319">
        <v>632298.48</v>
      </c>
      <c r="BC27" s="319">
        <v>689726.4</v>
      </c>
      <c r="BD27" s="319">
        <v>713493.81</v>
      </c>
      <c r="BE27" s="319">
        <v>811598.36</v>
      </c>
      <c r="BF27" s="319">
        <v>757261.27</v>
      </c>
      <c r="BG27" s="319">
        <v>818661.82</v>
      </c>
      <c r="BH27" s="319">
        <v>829758.79</v>
      </c>
      <c r="BI27" s="319">
        <v>856193.48</v>
      </c>
      <c r="BJ27" s="319">
        <v>844727.39</v>
      </c>
      <c r="BK27" s="319">
        <v>846534</v>
      </c>
      <c r="BL27" s="319">
        <v>855953.03</v>
      </c>
      <c r="BM27" s="319">
        <v>867684.11</v>
      </c>
      <c r="BN27" s="319">
        <v>908630.65</v>
      </c>
      <c r="BO27" s="322">
        <v>891154.5</v>
      </c>
      <c r="BP27" s="760"/>
      <c r="BQ27" s="760">
        <v>976434.95</v>
      </c>
      <c r="BR27" s="760">
        <v>986397.1</v>
      </c>
      <c r="BS27" s="760">
        <v>920000</v>
      </c>
      <c r="BT27" s="62"/>
      <c r="BU27" s="319" t="s">
        <v>10</v>
      </c>
      <c r="BV27" s="319">
        <v>1084035.8999999999</v>
      </c>
      <c r="BW27" s="319">
        <v>1188587.74</v>
      </c>
      <c r="BX27" s="319">
        <v>1135092.8999999999</v>
      </c>
      <c r="BY27" s="319">
        <v>1149136.2</v>
      </c>
      <c r="BZ27" s="319">
        <v>1149633.6000000001</v>
      </c>
      <c r="CA27" s="319">
        <v>1471416.3200000001</v>
      </c>
      <c r="CB27" s="319">
        <v>2233545.84</v>
      </c>
      <c r="CC27" s="319">
        <v>1384491.32</v>
      </c>
      <c r="CD27" s="319">
        <v>1664118.4299999997</v>
      </c>
      <c r="CE27" s="319">
        <v>1492970.7000000002</v>
      </c>
      <c r="CF27" s="319">
        <v>1595449.0199999998</v>
      </c>
      <c r="CG27" s="319">
        <v>2283649.0499999998</v>
      </c>
      <c r="CH27" s="319">
        <v>1860155.7600000002</v>
      </c>
      <c r="CI27" s="319">
        <v>1598009.2699999996</v>
      </c>
      <c r="CJ27" s="319">
        <v>1969944.35</v>
      </c>
      <c r="CK27" s="319">
        <v>2163445.0499999993</v>
      </c>
      <c r="CL27" s="319">
        <v>5205873.83</v>
      </c>
      <c r="CM27" s="322">
        <v>1259752.49</v>
      </c>
      <c r="CN27" s="760"/>
      <c r="CO27" s="760">
        <v>1648150.32</v>
      </c>
      <c r="CP27" s="760">
        <v>1362497.02</v>
      </c>
      <c r="CQ27" s="760">
        <v>3492655.2</v>
      </c>
      <c r="CR27" s="62"/>
      <c r="CS27" s="319" t="s">
        <v>10</v>
      </c>
      <c r="CT27" s="319">
        <v>0</v>
      </c>
      <c r="CU27" s="319">
        <v>0</v>
      </c>
      <c r="CV27" s="319">
        <v>0</v>
      </c>
      <c r="CW27" s="319">
        <v>0</v>
      </c>
      <c r="CX27" s="319">
        <v>19160.560000000001</v>
      </c>
      <c r="CY27" s="319">
        <v>0</v>
      </c>
      <c r="CZ27" s="319">
        <v>0</v>
      </c>
      <c r="DA27" s="319">
        <v>0</v>
      </c>
      <c r="DB27" s="319">
        <v>2196.17</v>
      </c>
      <c r="DC27" s="319">
        <v>9337.5300000000007</v>
      </c>
      <c r="DD27" s="319">
        <v>10372.450000000001</v>
      </c>
      <c r="DE27" s="319">
        <v>7131.75</v>
      </c>
      <c r="DF27" s="319">
        <v>7603.74</v>
      </c>
      <c r="DG27" s="319">
        <v>300.45</v>
      </c>
      <c r="DH27" s="319">
        <v>137.59</v>
      </c>
      <c r="DI27" s="319">
        <v>336.95</v>
      </c>
      <c r="DJ27" s="319">
        <v>3057.83</v>
      </c>
      <c r="DK27" s="322">
        <v>4309.7</v>
      </c>
      <c r="DL27" s="760"/>
      <c r="DM27" s="760">
        <v>3697.91</v>
      </c>
      <c r="DN27" s="760">
        <v>5572.67</v>
      </c>
      <c r="DO27" s="760">
        <v>3000</v>
      </c>
      <c r="DP27" s="62"/>
      <c r="DQ27" s="319" t="s">
        <v>10</v>
      </c>
      <c r="DR27" s="319">
        <v>34968.9</v>
      </c>
      <c r="DS27" s="319">
        <v>19170.77</v>
      </c>
      <c r="DT27" s="319">
        <v>0</v>
      </c>
      <c r="DU27" s="319">
        <v>19152.27</v>
      </c>
      <c r="DV27" s="319">
        <v>0</v>
      </c>
      <c r="DW27" s="319">
        <v>0</v>
      </c>
      <c r="DX27" s="319">
        <v>0</v>
      </c>
      <c r="DY27" s="319">
        <v>47741.08</v>
      </c>
      <c r="DZ27" s="319">
        <v>38714.270000000004</v>
      </c>
      <c r="EA27" s="319">
        <v>18632.89</v>
      </c>
      <c r="EB27" s="319">
        <v>7458.28</v>
      </c>
      <c r="EC27" s="319">
        <v>71898.42</v>
      </c>
      <c r="ED27" s="319">
        <v>21028.71</v>
      </c>
      <c r="EE27" s="319">
        <v>13832.07</v>
      </c>
      <c r="EF27" s="319">
        <v>2058.3399999999997</v>
      </c>
      <c r="EG27" s="319">
        <v>5020.75</v>
      </c>
      <c r="EH27" s="319">
        <v>1715.73</v>
      </c>
      <c r="EI27" s="322">
        <v>8517.27</v>
      </c>
      <c r="EJ27" s="767"/>
      <c r="EK27" s="767">
        <v>143240.57</v>
      </c>
      <c r="EL27" s="767">
        <v>10421</v>
      </c>
      <c r="EM27" s="767">
        <v>0</v>
      </c>
      <c r="EO27" s="319" t="s">
        <v>10</v>
      </c>
      <c r="EP27" s="319">
        <v>1767289</v>
      </c>
      <c r="EQ27" s="319">
        <v>1640800</v>
      </c>
      <c r="ER27" s="319">
        <v>1683222</v>
      </c>
      <c r="ES27" s="319">
        <v>1876961</v>
      </c>
      <c r="ET27" s="319">
        <v>2181069</v>
      </c>
      <c r="EU27" s="319">
        <v>2436754</v>
      </c>
      <c r="EV27" s="319">
        <v>2919103</v>
      </c>
      <c r="EW27" s="319">
        <v>2439031</v>
      </c>
      <c r="EX27" s="319">
        <v>2567288.6799999997</v>
      </c>
      <c r="EY27" s="319">
        <v>2547530.9299999997</v>
      </c>
      <c r="EZ27" s="319">
        <v>2769612.02</v>
      </c>
      <c r="FA27" s="319">
        <v>3171788.0700000003</v>
      </c>
      <c r="FB27" s="319">
        <v>2683588.88</v>
      </c>
      <c r="FC27" s="319">
        <v>2504076.71</v>
      </c>
      <c r="FD27" s="319">
        <v>3179422.7399999998</v>
      </c>
      <c r="FE27" s="319">
        <v>3614917.5700000003</v>
      </c>
      <c r="FF27" s="319">
        <v>5822026.7799999993</v>
      </c>
      <c r="FG27" s="322">
        <v>2724056.91</v>
      </c>
      <c r="FH27" s="760"/>
      <c r="FI27" s="760">
        <v>2814553.56</v>
      </c>
      <c r="FJ27" s="760">
        <v>2410843.3600000003</v>
      </c>
      <c r="FK27" s="760">
        <v>5169302</v>
      </c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</row>
    <row r="28" spans="1:227" s="61" customFormat="1">
      <c r="A28" s="319" t="s">
        <v>11</v>
      </c>
      <c r="B28" s="319">
        <v>840244</v>
      </c>
      <c r="C28" s="319">
        <v>709640</v>
      </c>
      <c r="D28" s="319">
        <v>1134338</v>
      </c>
      <c r="E28" s="319">
        <v>1051692</v>
      </c>
      <c r="F28" s="319">
        <v>1077871</v>
      </c>
      <c r="G28" s="319">
        <v>1125639</v>
      </c>
      <c r="H28" s="319">
        <v>943915</v>
      </c>
      <c r="I28" s="319">
        <v>1125896</v>
      </c>
      <c r="J28" s="319">
        <v>769034.46</v>
      </c>
      <c r="K28" s="319">
        <v>1347729.4500000002</v>
      </c>
      <c r="L28" s="319">
        <v>1009674.55</v>
      </c>
      <c r="M28" s="319">
        <v>1067151.9000000001</v>
      </c>
      <c r="N28" s="319">
        <v>1218873.42</v>
      </c>
      <c r="O28" s="319">
        <v>689900.23</v>
      </c>
      <c r="P28" s="319">
        <v>1615882.87</v>
      </c>
      <c r="Q28" s="319">
        <v>764951.85</v>
      </c>
      <c r="R28" s="319">
        <v>691329.10999999987</v>
      </c>
      <c r="S28" s="322">
        <v>869773.20000000007</v>
      </c>
      <c r="T28" s="760">
        <v>1837327.19</v>
      </c>
      <c r="U28" s="760">
        <v>795005.54</v>
      </c>
      <c r="V28" s="760">
        <v>1220650.1700000002</v>
      </c>
      <c r="W28" s="760">
        <v>1423240</v>
      </c>
      <c r="X28" s="42"/>
      <c r="Y28" s="319" t="s">
        <v>11</v>
      </c>
      <c r="Z28" s="319">
        <v>25207.32</v>
      </c>
      <c r="AA28" s="319">
        <v>28385.599999999999</v>
      </c>
      <c r="AB28" s="319">
        <v>22686.76</v>
      </c>
      <c r="AC28" s="319">
        <v>0</v>
      </c>
      <c r="AD28" s="319">
        <v>32336.13</v>
      </c>
      <c r="AE28" s="319">
        <v>45025.56</v>
      </c>
      <c r="AF28" s="319">
        <v>37756.6</v>
      </c>
      <c r="AG28" s="319">
        <v>45035.839999999997</v>
      </c>
      <c r="AH28" s="319">
        <v>41403.589999999997</v>
      </c>
      <c r="AI28" s="319">
        <v>41764.86</v>
      </c>
      <c r="AJ28" s="319">
        <v>42000</v>
      </c>
      <c r="AK28" s="319">
        <v>0</v>
      </c>
      <c r="AL28" s="319">
        <v>0</v>
      </c>
      <c r="AM28" s="319">
        <v>0</v>
      </c>
      <c r="AN28" s="319">
        <v>0</v>
      </c>
      <c r="AO28" s="319">
        <v>0</v>
      </c>
      <c r="AP28" s="319">
        <v>0</v>
      </c>
      <c r="AQ28" s="322">
        <v>0</v>
      </c>
      <c r="AR28" s="760">
        <v>0</v>
      </c>
      <c r="AS28" s="760">
        <v>0</v>
      </c>
      <c r="AT28" s="760">
        <v>0</v>
      </c>
      <c r="AU28" s="760">
        <v>0</v>
      </c>
      <c r="AV28" s="62"/>
      <c r="AW28" s="319" t="s">
        <v>11</v>
      </c>
      <c r="AX28" s="319">
        <v>0</v>
      </c>
      <c r="AY28" s="319">
        <v>0</v>
      </c>
      <c r="AZ28" s="319">
        <v>0</v>
      </c>
      <c r="BA28" s="319">
        <v>94652.28</v>
      </c>
      <c r="BB28" s="319">
        <v>0</v>
      </c>
      <c r="BC28" s="319">
        <v>90051.12</v>
      </c>
      <c r="BD28" s="319">
        <v>0</v>
      </c>
      <c r="BE28" s="319">
        <v>0</v>
      </c>
      <c r="BF28" s="319">
        <v>92046.13</v>
      </c>
      <c r="BG28" s="319">
        <v>89083.5</v>
      </c>
      <c r="BH28" s="319">
        <v>79716.12</v>
      </c>
      <c r="BI28" s="319">
        <v>103624.79</v>
      </c>
      <c r="BJ28" s="319">
        <v>253.73</v>
      </c>
      <c r="BK28" s="319">
        <v>59.59</v>
      </c>
      <c r="BL28" s="319">
        <v>66.83</v>
      </c>
      <c r="BM28" s="319">
        <v>63.48</v>
      </c>
      <c r="BN28" s="319">
        <v>69.94</v>
      </c>
      <c r="BO28" s="322">
        <v>85.92</v>
      </c>
      <c r="BP28" s="760">
        <v>77.67</v>
      </c>
      <c r="BQ28" s="760">
        <v>493.31</v>
      </c>
      <c r="BR28" s="760">
        <v>527.09</v>
      </c>
      <c r="BS28" s="760">
        <v>500</v>
      </c>
      <c r="BT28" s="62"/>
      <c r="BU28" s="319" t="s">
        <v>11</v>
      </c>
      <c r="BV28" s="319">
        <v>739414.72</v>
      </c>
      <c r="BW28" s="319">
        <v>645772.4</v>
      </c>
      <c r="BX28" s="319">
        <v>1077621.1000000001</v>
      </c>
      <c r="BY28" s="319">
        <v>914972.04</v>
      </c>
      <c r="BZ28" s="319">
        <v>926969.06</v>
      </c>
      <c r="CA28" s="319">
        <v>405230.04</v>
      </c>
      <c r="CB28" s="319">
        <v>887280.1</v>
      </c>
      <c r="CC28" s="319">
        <v>1058342.24</v>
      </c>
      <c r="CD28" s="319">
        <v>427996.86</v>
      </c>
      <c r="CE28" s="319">
        <v>428346.04</v>
      </c>
      <c r="CF28" s="319">
        <v>420785.68</v>
      </c>
      <c r="CG28" s="319">
        <v>500910.81</v>
      </c>
      <c r="CH28" s="319">
        <v>413619.83</v>
      </c>
      <c r="CI28" s="319">
        <v>426938.68000000005</v>
      </c>
      <c r="CJ28" s="319">
        <v>474505.03</v>
      </c>
      <c r="CK28" s="319">
        <v>428770.93</v>
      </c>
      <c r="CL28" s="319">
        <v>413664.76</v>
      </c>
      <c r="CM28" s="322">
        <v>398426.56</v>
      </c>
      <c r="CN28" s="760">
        <v>406758.40000000002</v>
      </c>
      <c r="CO28" s="760">
        <v>419611.13</v>
      </c>
      <c r="CP28" s="760">
        <v>486201.14</v>
      </c>
      <c r="CQ28" s="760">
        <v>419000</v>
      </c>
      <c r="CR28" s="62"/>
      <c r="CS28" s="319" t="s">
        <v>11</v>
      </c>
      <c r="CT28" s="319">
        <v>16804.88</v>
      </c>
      <c r="CU28" s="319">
        <v>14192.8</v>
      </c>
      <c r="CV28" s="319">
        <v>11343.38</v>
      </c>
      <c r="CW28" s="319">
        <v>10516.92</v>
      </c>
      <c r="CX28" s="319">
        <v>10778.71</v>
      </c>
      <c r="CY28" s="319">
        <v>11256.39</v>
      </c>
      <c r="CZ28" s="319">
        <v>9439.15</v>
      </c>
      <c r="DA28" s="319">
        <v>0</v>
      </c>
      <c r="DB28" s="319">
        <v>4012</v>
      </c>
      <c r="DC28" s="319">
        <v>10982.87</v>
      </c>
      <c r="DD28" s="319">
        <v>28216.27</v>
      </c>
      <c r="DE28" s="319">
        <v>8977.33</v>
      </c>
      <c r="DF28" s="319">
        <v>7329.32</v>
      </c>
      <c r="DG28" s="319">
        <v>9510.35</v>
      </c>
      <c r="DH28" s="319">
        <v>14063.47</v>
      </c>
      <c r="DI28" s="319">
        <v>5406.76</v>
      </c>
      <c r="DJ28" s="319">
        <v>5697.37</v>
      </c>
      <c r="DK28" s="322">
        <v>6223.49</v>
      </c>
      <c r="DL28" s="760">
        <v>8027.52</v>
      </c>
      <c r="DM28" s="760">
        <v>7506.69</v>
      </c>
      <c r="DN28" s="760">
        <v>7606.17</v>
      </c>
      <c r="DO28" s="760">
        <v>7600</v>
      </c>
      <c r="DP28" s="62"/>
      <c r="DQ28" s="319" t="s">
        <v>11</v>
      </c>
      <c r="DR28" s="319">
        <v>58817.08</v>
      </c>
      <c r="DS28" s="319">
        <v>21289.200000000001</v>
      </c>
      <c r="DT28" s="319">
        <v>22686.76</v>
      </c>
      <c r="DU28" s="319">
        <v>31550.76</v>
      </c>
      <c r="DV28" s="319">
        <v>107787.1</v>
      </c>
      <c r="DW28" s="319">
        <v>574075.89</v>
      </c>
      <c r="DX28" s="319">
        <v>9439.15</v>
      </c>
      <c r="DY28" s="319">
        <v>22517.919999999998</v>
      </c>
      <c r="DZ28" s="319">
        <v>203575.88</v>
      </c>
      <c r="EA28" s="319">
        <v>777552.18</v>
      </c>
      <c r="EB28" s="319">
        <v>438956.48000000004</v>
      </c>
      <c r="EC28" s="319">
        <v>452888.97000000003</v>
      </c>
      <c r="ED28" s="319">
        <v>797670.54</v>
      </c>
      <c r="EE28" s="319">
        <v>253391.61</v>
      </c>
      <c r="EF28" s="319">
        <v>1127247.54</v>
      </c>
      <c r="EG28" s="319">
        <v>330710.68</v>
      </c>
      <c r="EH28" s="319">
        <v>271897.03999999998</v>
      </c>
      <c r="EI28" s="322">
        <v>465037.23</v>
      </c>
      <c r="EJ28" s="767">
        <v>1422463.5999999999</v>
      </c>
      <c r="EK28" s="767">
        <v>367394.41000000003</v>
      </c>
      <c r="EL28" s="767">
        <v>726315.77</v>
      </c>
      <c r="EM28" s="767">
        <v>996140</v>
      </c>
      <c r="EO28" s="319" t="s">
        <v>11</v>
      </c>
      <c r="EP28" s="319">
        <v>921162</v>
      </c>
      <c r="EQ28" s="319">
        <v>762493</v>
      </c>
      <c r="ER28" s="319">
        <v>1179866</v>
      </c>
      <c r="ES28" s="319">
        <v>1200368</v>
      </c>
      <c r="ET28" s="319">
        <v>913737</v>
      </c>
      <c r="EU28" s="319">
        <v>995132</v>
      </c>
      <c r="EV28" s="319">
        <v>802257</v>
      </c>
      <c r="EW28" s="319">
        <v>1082388</v>
      </c>
      <c r="EX28" s="319">
        <v>791500.75000000012</v>
      </c>
      <c r="EY28" s="319">
        <v>1219031.03</v>
      </c>
      <c r="EZ28" s="319">
        <v>935495.54999999993</v>
      </c>
      <c r="FA28" s="319">
        <v>1406093.3199999996</v>
      </c>
      <c r="FB28" s="319">
        <v>1307181.3699999999</v>
      </c>
      <c r="FC28" s="319">
        <v>728803.62999999989</v>
      </c>
      <c r="FD28" s="319">
        <v>1542294.75</v>
      </c>
      <c r="FE28" s="319">
        <v>679094.25999999989</v>
      </c>
      <c r="FF28" s="319">
        <v>590392.32999999996</v>
      </c>
      <c r="FG28" s="322">
        <v>791585.41000000015</v>
      </c>
      <c r="FH28" s="760">
        <v>1717784.6800000002</v>
      </c>
      <c r="FI28" s="760">
        <v>897318.47</v>
      </c>
      <c r="FJ28" s="760">
        <v>1165470.5300000003</v>
      </c>
      <c r="FK28" s="760">
        <v>1737621</v>
      </c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</row>
    <row r="29" spans="1:227" s="61" customFormat="1">
      <c r="A29" s="319" t="s">
        <v>12</v>
      </c>
      <c r="B29" s="319">
        <v>1062265</v>
      </c>
      <c r="C29" s="319">
        <v>1863310</v>
      </c>
      <c r="D29" s="319">
        <v>1475011</v>
      </c>
      <c r="E29" s="319">
        <v>1463845</v>
      </c>
      <c r="F29" s="319">
        <v>1231245</v>
      </c>
      <c r="G29" s="319">
        <v>1756048</v>
      </c>
      <c r="H29" s="319">
        <v>2092208</v>
      </c>
      <c r="I29" s="319">
        <v>1789061</v>
      </c>
      <c r="J29" s="319">
        <v>1441944.27</v>
      </c>
      <c r="K29" s="319">
        <v>1298784.18</v>
      </c>
      <c r="L29" s="319">
        <v>1599890.54</v>
      </c>
      <c r="M29" s="319">
        <v>1472963.35</v>
      </c>
      <c r="N29" s="319">
        <v>1371133.0899999999</v>
      </c>
      <c r="O29" s="319">
        <v>1522285.7300000002</v>
      </c>
      <c r="P29" s="319">
        <v>1663466.9399999997</v>
      </c>
      <c r="Q29" s="319">
        <v>1195243.77</v>
      </c>
      <c r="R29" s="319">
        <v>1967138.83</v>
      </c>
      <c r="S29" s="322">
        <v>2138654.6</v>
      </c>
      <c r="T29" s="760">
        <v>1657880.6800000002</v>
      </c>
      <c r="U29" s="760">
        <v>2052556.69</v>
      </c>
      <c r="V29" s="760">
        <v>2280885.59</v>
      </c>
      <c r="W29" s="760">
        <v>2027418.92</v>
      </c>
      <c r="X29" s="42"/>
      <c r="Y29" s="319" t="s">
        <v>12</v>
      </c>
      <c r="Z29" s="319">
        <v>42490.6</v>
      </c>
      <c r="AA29" s="319">
        <v>55899.3</v>
      </c>
      <c r="AB29" s="319">
        <v>59000.44</v>
      </c>
      <c r="AC29" s="319">
        <v>0</v>
      </c>
      <c r="AD29" s="319">
        <v>0</v>
      </c>
      <c r="AE29" s="319">
        <v>52681.440000000002</v>
      </c>
      <c r="AF29" s="319">
        <v>62766.239999999998</v>
      </c>
      <c r="AG29" s="319">
        <v>71562.44</v>
      </c>
      <c r="AH29" s="319">
        <v>62848.98</v>
      </c>
      <c r="AI29" s="319">
        <v>63539.38</v>
      </c>
      <c r="AJ29" s="319">
        <v>63923.88</v>
      </c>
      <c r="AK29" s="319">
        <v>66727.95</v>
      </c>
      <c r="AL29" s="319">
        <v>71763.789999999994</v>
      </c>
      <c r="AM29" s="319">
        <v>78968.67</v>
      </c>
      <c r="AN29" s="319">
        <v>76534.67</v>
      </c>
      <c r="AO29" s="319">
        <v>90227.16</v>
      </c>
      <c r="AP29" s="319">
        <v>90451.41</v>
      </c>
      <c r="AQ29" s="322">
        <v>94784.68</v>
      </c>
      <c r="AR29" s="760">
        <v>101803.94</v>
      </c>
      <c r="AS29" s="760">
        <v>105524.49</v>
      </c>
      <c r="AT29" s="760">
        <v>108158.63</v>
      </c>
      <c r="AU29" s="760">
        <v>110998.92</v>
      </c>
      <c r="AV29" s="62"/>
      <c r="AW29" s="319" t="s">
        <v>12</v>
      </c>
      <c r="AX29" s="319">
        <v>0</v>
      </c>
      <c r="AY29" s="319">
        <v>0</v>
      </c>
      <c r="AZ29" s="319">
        <v>0</v>
      </c>
      <c r="BA29" s="319">
        <v>0</v>
      </c>
      <c r="BB29" s="319">
        <v>0</v>
      </c>
      <c r="BC29" s="319">
        <v>0</v>
      </c>
      <c r="BD29" s="319">
        <v>0</v>
      </c>
      <c r="BE29" s="319">
        <v>0</v>
      </c>
      <c r="BF29" s="319">
        <v>0</v>
      </c>
      <c r="BG29" s="319">
        <v>0</v>
      </c>
      <c r="BH29" s="319">
        <v>0</v>
      </c>
      <c r="BI29" s="319">
        <v>0</v>
      </c>
      <c r="BJ29" s="319">
        <v>0</v>
      </c>
      <c r="BK29" s="319">
        <v>0</v>
      </c>
      <c r="BL29" s="319">
        <v>0</v>
      </c>
      <c r="BM29" s="319">
        <v>0</v>
      </c>
      <c r="BN29" s="319">
        <v>0</v>
      </c>
      <c r="BO29" s="322">
        <v>0</v>
      </c>
      <c r="BP29" s="760">
        <v>0</v>
      </c>
      <c r="BQ29" s="760">
        <v>0</v>
      </c>
      <c r="BR29" s="760">
        <v>0</v>
      </c>
      <c r="BS29" s="760">
        <v>0</v>
      </c>
      <c r="BT29" s="62"/>
      <c r="BU29" s="319" t="s">
        <v>12</v>
      </c>
      <c r="BV29" s="319">
        <v>966661.15</v>
      </c>
      <c r="BW29" s="319">
        <v>1770144.5</v>
      </c>
      <c r="BX29" s="319">
        <v>1386510.34</v>
      </c>
      <c r="BY29" s="319">
        <v>1434568.1</v>
      </c>
      <c r="BZ29" s="319">
        <v>1194307.6499999999</v>
      </c>
      <c r="CA29" s="319">
        <v>1562882.72</v>
      </c>
      <c r="CB29" s="319">
        <v>1778376.8</v>
      </c>
      <c r="CC29" s="319">
        <v>1663826.73</v>
      </c>
      <c r="CD29" s="319">
        <v>1344813.62</v>
      </c>
      <c r="CE29" s="319">
        <v>1207637.54</v>
      </c>
      <c r="CF29" s="319">
        <v>1487387.07</v>
      </c>
      <c r="CG29" s="319">
        <v>1326563.6200000001</v>
      </c>
      <c r="CH29" s="319">
        <v>1224375.9399999997</v>
      </c>
      <c r="CI29" s="319">
        <v>1391254.2200000002</v>
      </c>
      <c r="CJ29" s="319">
        <v>1531842.88</v>
      </c>
      <c r="CK29" s="319">
        <v>1051580.57</v>
      </c>
      <c r="CL29" s="319">
        <v>1775819.84</v>
      </c>
      <c r="CM29" s="322">
        <v>2000539.0300000003</v>
      </c>
      <c r="CN29" s="760">
        <v>1523581.1600000001</v>
      </c>
      <c r="CO29" s="760">
        <v>1886349.8399999999</v>
      </c>
      <c r="CP29" s="760">
        <v>2139190.19</v>
      </c>
      <c r="CQ29" s="760">
        <v>1897720</v>
      </c>
      <c r="CR29" s="62"/>
      <c r="CS29" s="319" t="s">
        <v>12</v>
      </c>
      <c r="CT29" s="319">
        <v>10622.65</v>
      </c>
      <c r="CU29" s="319">
        <v>18633.099999999999</v>
      </c>
      <c r="CV29" s="319">
        <v>29500.22</v>
      </c>
      <c r="CW29" s="319">
        <v>29276.9</v>
      </c>
      <c r="CX29" s="319">
        <v>36937.35</v>
      </c>
      <c r="CY29" s="319">
        <v>35120.959999999999</v>
      </c>
      <c r="CZ29" s="319">
        <v>20922.080000000002</v>
      </c>
      <c r="DA29" s="319">
        <v>17890.61</v>
      </c>
      <c r="DB29" s="319">
        <v>6982.11</v>
      </c>
      <c r="DC29" s="319">
        <v>9038.9599999999991</v>
      </c>
      <c r="DD29" s="319">
        <v>19261.68</v>
      </c>
      <c r="DE29" s="319">
        <v>33954.5</v>
      </c>
      <c r="DF29" s="319">
        <v>13511.78</v>
      </c>
      <c r="DG29" s="319">
        <v>605.82000000000005</v>
      </c>
      <c r="DH29" s="319">
        <v>540.33000000000004</v>
      </c>
      <c r="DI29" s="319">
        <v>2018.03</v>
      </c>
      <c r="DJ29" s="319">
        <v>2687.46</v>
      </c>
      <c r="DK29" s="322">
        <v>1556.26</v>
      </c>
      <c r="DL29" s="760">
        <v>450.23</v>
      </c>
      <c r="DM29" s="760">
        <v>1130.3</v>
      </c>
      <c r="DN29" s="760">
        <v>1184.48</v>
      </c>
      <c r="DO29" s="760">
        <v>1300</v>
      </c>
      <c r="DP29" s="62"/>
      <c r="DQ29" s="319" t="s">
        <v>12</v>
      </c>
      <c r="DR29" s="319">
        <v>42490.6</v>
      </c>
      <c r="DS29" s="319">
        <v>18633.099999999999</v>
      </c>
      <c r="DT29" s="319">
        <v>0</v>
      </c>
      <c r="DU29" s="319">
        <v>0</v>
      </c>
      <c r="DV29" s="319">
        <v>0</v>
      </c>
      <c r="DW29" s="319">
        <v>105362.88</v>
      </c>
      <c r="DX29" s="319">
        <v>230142.88</v>
      </c>
      <c r="DY29" s="319">
        <v>35781.22</v>
      </c>
      <c r="DZ29" s="319">
        <v>3275.46</v>
      </c>
      <c r="EA29" s="319">
        <v>152.13</v>
      </c>
      <c r="EB29" s="319">
        <v>6751.33</v>
      </c>
      <c r="EC29" s="319">
        <v>30349</v>
      </c>
      <c r="ED29" s="319">
        <v>20508.18</v>
      </c>
      <c r="EE29" s="319">
        <v>7257.13</v>
      </c>
      <c r="EF29" s="319">
        <v>14967.11</v>
      </c>
      <c r="EG29" s="319">
        <v>18520.489999999998</v>
      </c>
      <c r="EH29" s="319">
        <v>20014.810000000001</v>
      </c>
      <c r="EI29" s="322">
        <v>11176.56</v>
      </c>
      <c r="EJ29" s="767">
        <v>16936.900000000001</v>
      </c>
      <c r="EK29" s="767">
        <v>45142.359999999993</v>
      </c>
      <c r="EL29" s="767">
        <v>1853.81</v>
      </c>
      <c r="EM29" s="767">
        <v>2400</v>
      </c>
      <c r="EO29" s="319" t="s">
        <v>12</v>
      </c>
      <c r="EP29" s="319">
        <v>920699</v>
      </c>
      <c r="EQ29" s="319">
        <v>1985728</v>
      </c>
      <c r="ER29" s="319">
        <v>1092439</v>
      </c>
      <c r="ES29" s="319">
        <v>1300890</v>
      </c>
      <c r="ET29" s="319">
        <v>1326989</v>
      </c>
      <c r="EU29" s="319">
        <v>1643459</v>
      </c>
      <c r="EV29" s="319">
        <v>2444184</v>
      </c>
      <c r="EW29" s="319">
        <v>1872979</v>
      </c>
      <c r="EX29" s="319">
        <v>1412306.6199999999</v>
      </c>
      <c r="EY29" s="319">
        <v>1302319.801</v>
      </c>
      <c r="EZ29" s="319">
        <v>1503448.1599999997</v>
      </c>
      <c r="FA29" s="319">
        <v>1151440.9300000002</v>
      </c>
      <c r="FB29" s="319">
        <v>1586211.58</v>
      </c>
      <c r="FC29" s="319">
        <v>1420657.45</v>
      </c>
      <c r="FD29" s="319">
        <v>1490723.1299999994</v>
      </c>
      <c r="FE29" s="319">
        <v>1139656.9299999997</v>
      </c>
      <c r="FF29" s="319">
        <v>1894363.88</v>
      </c>
      <c r="FG29" s="322">
        <v>2330990.9400000004</v>
      </c>
      <c r="FH29" s="760">
        <v>1587401.5600000003</v>
      </c>
      <c r="FI29" s="760">
        <v>1891871.1500000001</v>
      </c>
      <c r="FJ29" s="760">
        <v>2398795.6699999995</v>
      </c>
      <c r="FK29" s="760">
        <v>2303583.23</v>
      </c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</row>
    <row r="30" spans="1:227" s="61" customFormat="1">
      <c r="A30" s="319" t="s">
        <v>13</v>
      </c>
      <c r="B30" s="319">
        <v>365509</v>
      </c>
      <c r="C30" s="319">
        <v>476270</v>
      </c>
      <c r="D30" s="319">
        <v>544494</v>
      </c>
      <c r="E30" s="319">
        <v>432144</v>
      </c>
      <c r="F30" s="319">
        <v>431624</v>
      </c>
      <c r="G30" s="319">
        <v>410925</v>
      </c>
      <c r="H30" s="319">
        <v>908279</v>
      </c>
      <c r="I30" s="319">
        <v>772709</v>
      </c>
      <c r="J30" s="319">
        <v>513364.58999999997</v>
      </c>
      <c r="K30" s="319">
        <v>404637.72</v>
      </c>
      <c r="L30" s="319"/>
      <c r="M30" s="319">
        <v>536028.28</v>
      </c>
      <c r="N30" s="319"/>
      <c r="O30" s="319">
        <v>575594</v>
      </c>
      <c r="P30" s="319">
        <v>847412.91</v>
      </c>
      <c r="Q30" s="319">
        <v>1740147.48</v>
      </c>
      <c r="R30" s="319">
        <v>631808.23</v>
      </c>
      <c r="S30" s="322">
        <v>719021.34000000008</v>
      </c>
      <c r="T30" s="760">
        <v>552207.71000000008</v>
      </c>
      <c r="U30" s="760">
        <v>581313.07999999996</v>
      </c>
      <c r="V30" s="760">
        <v>650167.56999999995</v>
      </c>
      <c r="W30" s="760">
        <v>486650</v>
      </c>
      <c r="X30" s="42"/>
      <c r="Y30" s="319" t="s">
        <v>13</v>
      </c>
      <c r="Z30" s="319">
        <v>51171.26</v>
      </c>
      <c r="AA30" s="319">
        <v>61915.1</v>
      </c>
      <c r="AB30" s="319">
        <v>59894.34</v>
      </c>
      <c r="AC30" s="319">
        <v>64821.599999999999</v>
      </c>
      <c r="AD30" s="319">
        <v>73376.08</v>
      </c>
      <c r="AE30" s="319">
        <v>78075.75</v>
      </c>
      <c r="AF30" s="319">
        <v>81745.11</v>
      </c>
      <c r="AG30" s="319">
        <v>84997.99</v>
      </c>
      <c r="AH30" s="319">
        <v>84969.15</v>
      </c>
      <c r="AI30" s="319">
        <v>93999.8</v>
      </c>
      <c r="AJ30" s="319"/>
      <c r="AK30" s="319">
        <v>100698.85</v>
      </c>
      <c r="AL30" s="319"/>
      <c r="AM30" s="319">
        <v>106117.19</v>
      </c>
      <c r="AN30" s="319">
        <v>116658.17</v>
      </c>
      <c r="AO30" s="319">
        <v>279292.63</v>
      </c>
      <c r="AP30" s="319">
        <v>121115.28</v>
      </c>
      <c r="AQ30" s="322">
        <v>127279.95999999999</v>
      </c>
      <c r="AR30" s="760">
        <v>124862.55</v>
      </c>
      <c r="AS30" s="760">
        <v>142425.78</v>
      </c>
      <c r="AT30" s="760">
        <v>141920.94</v>
      </c>
      <c r="AU30" s="760">
        <v>130000</v>
      </c>
      <c r="AV30" s="62"/>
      <c r="AW30" s="319" t="s">
        <v>13</v>
      </c>
      <c r="AX30" s="319">
        <v>0</v>
      </c>
      <c r="AY30" s="319">
        <v>0</v>
      </c>
      <c r="AZ30" s="319">
        <v>0</v>
      </c>
      <c r="BA30" s="319">
        <v>0</v>
      </c>
      <c r="BB30" s="319">
        <v>0</v>
      </c>
      <c r="BC30" s="319">
        <v>0</v>
      </c>
      <c r="BD30" s="319">
        <v>0</v>
      </c>
      <c r="BE30" s="319">
        <v>0</v>
      </c>
      <c r="BF30" s="319">
        <v>0</v>
      </c>
      <c r="BG30" s="319">
        <v>0</v>
      </c>
      <c r="BH30" s="319"/>
      <c r="BI30" s="319">
        <v>0</v>
      </c>
      <c r="BJ30" s="319"/>
      <c r="BK30" s="319">
        <v>0</v>
      </c>
      <c r="BL30" s="319">
        <v>0</v>
      </c>
      <c r="BM30" s="319">
        <v>0</v>
      </c>
      <c r="BN30" s="319">
        <v>0</v>
      </c>
      <c r="BO30" s="322">
        <v>0</v>
      </c>
      <c r="BP30" s="760">
        <v>0</v>
      </c>
      <c r="BQ30" s="760">
        <v>0</v>
      </c>
      <c r="BR30" s="760">
        <v>0</v>
      </c>
      <c r="BS30" s="760">
        <v>0</v>
      </c>
      <c r="BT30" s="62"/>
      <c r="BU30" s="319" t="s">
        <v>13</v>
      </c>
      <c r="BV30" s="319">
        <v>285097.02</v>
      </c>
      <c r="BW30" s="319">
        <v>333389</v>
      </c>
      <c r="BX30" s="319">
        <v>332141.34000000003</v>
      </c>
      <c r="BY30" s="319">
        <v>337072.32</v>
      </c>
      <c r="BZ30" s="319">
        <v>345299.20000000001</v>
      </c>
      <c r="CA30" s="319">
        <v>324630.75</v>
      </c>
      <c r="CB30" s="319">
        <v>817451.1</v>
      </c>
      <c r="CC30" s="319">
        <v>672256.83</v>
      </c>
      <c r="CD30" s="319">
        <v>417557.46</v>
      </c>
      <c r="CE30" s="319">
        <v>304056.83999999997</v>
      </c>
      <c r="CF30" s="319"/>
      <c r="CG30" s="319">
        <v>411877.35</v>
      </c>
      <c r="CH30" s="319"/>
      <c r="CI30" s="319">
        <v>432107.41000000003</v>
      </c>
      <c r="CJ30" s="319">
        <v>668536.24</v>
      </c>
      <c r="CK30" s="319">
        <v>516502.97</v>
      </c>
      <c r="CL30" s="319">
        <v>483277.23</v>
      </c>
      <c r="CM30" s="322">
        <v>568087.1100000001</v>
      </c>
      <c r="CN30" s="760">
        <v>409418.55000000005</v>
      </c>
      <c r="CO30" s="760">
        <v>427197.13</v>
      </c>
      <c r="CP30" s="760">
        <v>426224.32999999996</v>
      </c>
      <c r="CQ30" s="760">
        <v>351600</v>
      </c>
      <c r="CR30" s="62"/>
      <c r="CS30" s="319" t="s">
        <v>13</v>
      </c>
      <c r="CT30" s="319">
        <v>7310.18</v>
      </c>
      <c r="CU30" s="319">
        <v>4762.7</v>
      </c>
      <c r="CV30" s="319">
        <v>5444.94</v>
      </c>
      <c r="CW30" s="319">
        <v>4321.4399999999996</v>
      </c>
      <c r="CX30" s="319">
        <v>8632.48</v>
      </c>
      <c r="CY30" s="319">
        <v>8218.5</v>
      </c>
      <c r="CZ30" s="319">
        <v>9082.7900000000009</v>
      </c>
      <c r="DA30" s="319">
        <v>15454.18</v>
      </c>
      <c r="DB30" s="319">
        <v>10007.11</v>
      </c>
      <c r="DC30" s="319">
        <v>6301.08</v>
      </c>
      <c r="DD30" s="319"/>
      <c r="DE30" s="319">
        <v>16048.19</v>
      </c>
      <c r="DF30" s="319"/>
      <c r="DG30" s="319">
        <v>20057.330000000002</v>
      </c>
      <c r="DH30" s="319">
        <v>8965.9599999999991</v>
      </c>
      <c r="DI30" s="319">
        <v>15.53</v>
      </c>
      <c r="DJ30" s="319">
        <v>8636.5300000000007</v>
      </c>
      <c r="DK30" s="322">
        <v>7415.68</v>
      </c>
      <c r="DL30" s="760">
        <v>5834.73</v>
      </c>
      <c r="DM30" s="760">
        <v>6938.84</v>
      </c>
      <c r="DN30" s="760">
        <v>7643.5</v>
      </c>
      <c r="DO30" s="760">
        <v>5000</v>
      </c>
      <c r="DP30" s="62"/>
      <c r="DQ30" s="319" t="s">
        <v>13</v>
      </c>
      <c r="DR30" s="319">
        <v>21930.54</v>
      </c>
      <c r="DS30" s="319">
        <v>76203.199999999997</v>
      </c>
      <c r="DT30" s="319">
        <v>147013.38</v>
      </c>
      <c r="DU30" s="319">
        <v>25928.639999999999</v>
      </c>
      <c r="DV30" s="319">
        <v>4316.24</v>
      </c>
      <c r="DW30" s="319">
        <v>0</v>
      </c>
      <c r="DX30" s="319">
        <v>0</v>
      </c>
      <c r="DY30" s="319">
        <v>0</v>
      </c>
      <c r="DZ30" s="319">
        <v>830.87</v>
      </c>
      <c r="EA30" s="319">
        <v>280</v>
      </c>
      <c r="EB30" s="319"/>
      <c r="EC30" s="319">
        <v>7403.8899999999994</v>
      </c>
      <c r="ED30" s="319"/>
      <c r="EE30" s="319">
        <v>17312.07</v>
      </c>
      <c r="EF30" s="319">
        <v>53252.54</v>
      </c>
      <c r="EG30" s="319">
        <v>944336.35</v>
      </c>
      <c r="EH30" s="319">
        <v>0</v>
      </c>
      <c r="EI30" s="322">
        <v>9704.75</v>
      </c>
      <c r="EJ30" s="767">
        <v>3248.53</v>
      </c>
      <c r="EK30" s="767">
        <v>0</v>
      </c>
      <c r="EL30" s="767">
        <v>0</v>
      </c>
      <c r="EM30" s="767">
        <v>0</v>
      </c>
      <c r="EO30" s="319" t="s">
        <v>13</v>
      </c>
      <c r="EP30" s="319">
        <v>345829</v>
      </c>
      <c r="EQ30" s="319">
        <v>601915</v>
      </c>
      <c r="ER30" s="319">
        <v>525474</v>
      </c>
      <c r="ES30" s="319">
        <v>390791</v>
      </c>
      <c r="ET30" s="319">
        <v>425711</v>
      </c>
      <c r="EU30" s="319">
        <v>454610</v>
      </c>
      <c r="EV30" s="319">
        <v>651846</v>
      </c>
      <c r="EW30" s="319">
        <v>878974</v>
      </c>
      <c r="EX30" s="319">
        <v>599574.21</v>
      </c>
      <c r="EY30" s="319">
        <v>505372.64</v>
      </c>
      <c r="EZ30" s="319"/>
      <c r="FA30" s="319">
        <v>568840.73</v>
      </c>
      <c r="FB30" s="319"/>
      <c r="FC30" s="319">
        <v>913041.21</v>
      </c>
      <c r="FD30" s="319">
        <v>776964.49</v>
      </c>
      <c r="FE30" s="319">
        <v>1486395.62</v>
      </c>
      <c r="FF30" s="319">
        <v>567002.12</v>
      </c>
      <c r="FG30" s="319">
        <v>771762.30999999994</v>
      </c>
      <c r="FH30" s="760">
        <v>542909.1100000001</v>
      </c>
      <c r="FI30" s="760">
        <v>547920.33000000007</v>
      </c>
      <c r="FJ30" s="760">
        <v>739837.92</v>
      </c>
      <c r="FK30" s="760">
        <v>822210</v>
      </c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</row>
    <row r="31" spans="1:227" s="61" customFormat="1">
      <c r="A31" s="319" t="s">
        <v>14</v>
      </c>
      <c r="B31" s="319">
        <v>580567</v>
      </c>
      <c r="C31" s="319">
        <v>609773</v>
      </c>
      <c r="D31" s="319">
        <v>571769</v>
      </c>
      <c r="E31" s="319">
        <v>1245226</v>
      </c>
      <c r="F31" s="319">
        <v>757934</v>
      </c>
      <c r="G31" s="319">
        <v>610724</v>
      </c>
      <c r="H31" s="319">
        <v>902464</v>
      </c>
      <c r="I31" s="319">
        <v>997983</v>
      </c>
      <c r="J31" s="319">
        <v>833603.39000000025</v>
      </c>
      <c r="K31" s="319">
        <v>961138.07000000007</v>
      </c>
      <c r="L31" s="319">
        <v>1979342.52</v>
      </c>
      <c r="M31" s="319">
        <v>980523.66999999981</v>
      </c>
      <c r="N31" s="319"/>
      <c r="O31" s="319">
        <v>743297.25</v>
      </c>
      <c r="P31" s="319">
        <v>882974.34</v>
      </c>
      <c r="Q31" s="319">
        <v>719046.41999999993</v>
      </c>
      <c r="R31" s="319">
        <v>887235.64999999991</v>
      </c>
      <c r="S31" s="322"/>
      <c r="T31" s="760">
        <v>1053669.6300000001</v>
      </c>
      <c r="U31" s="760"/>
      <c r="V31" s="760"/>
      <c r="W31" s="760"/>
      <c r="X31" s="42"/>
      <c r="Y31" s="319" t="s">
        <v>14</v>
      </c>
      <c r="Z31" s="319">
        <v>75473.710000000006</v>
      </c>
      <c r="AA31" s="319">
        <v>79270.490000000005</v>
      </c>
      <c r="AB31" s="319">
        <v>85765.35</v>
      </c>
      <c r="AC31" s="319">
        <v>99618.08</v>
      </c>
      <c r="AD31" s="319">
        <v>98531.42</v>
      </c>
      <c r="AE31" s="319">
        <v>116037.56</v>
      </c>
      <c r="AF31" s="319">
        <v>117320.32000000001</v>
      </c>
      <c r="AG31" s="319">
        <v>119757.96</v>
      </c>
      <c r="AH31" s="319">
        <v>128057.05</v>
      </c>
      <c r="AI31" s="319">
        <v>133792.44</v>
      </c>
      <c r="AJ31" s="319">
        <v>139107.26999999999</v>
      </c>
      <c r="AK31" s="319">
        <v>144733.84</v>
      </c>
      <c r="AL31" s="319"/>
      <c r="AM31" s="319">
        <v>163978.79999999999</v>
      </c>
      <c r="AN31" s="319">
        <v>162422.76</v>
      </c>
      <c r="AO31" s="319">
        <v>172849.45</v>
      </c>
      <c r="AP31" s="319">
        <v>174358.71</v>
      </c>
      <c r="AQ31" s="322"/>
      <c r="AR31" s="760">
        <v>183380.11</v>
      </c>
      <c r="AS31" s="760"/>
      <c r="AT31" s="760"/>
      <c r="AU31" s="760"/>
      <c r="AV31" s="62"/>
      <c r="AW31" s="319" t="s">
        <v>14</v>
      </c>
      <c r="AX31" s="319">
        <v>0</v>
      </c>
      <c r="AY31" s="319">
        <v>0</v>
      </c>
      <c r="AZ31" s="319">
        <v>0</v>
      </c>
      <c r="BA31" s="319">
        <v>0</v>
      </c>
      <c r="BB31" s="319">
        <v>0</v>
      </c>
      <c r="BC31" s="319">
        <v>0</v>
      </c>
      <c r="BD31" s="319">
        <v>0</v>
      </c>
      <c r="BE31" s="319">
        <v>0</v>
      </c>
      <c r="BF31" s="319">
        <v>0</v>
      </c>
      <c r="BG31" s="319">
        <v>0</v>
      </c>
      <c r="BH31" s="319">
        <v>0</v>
      </c>
      <c r="BI31" s="319">
        <v>0</v>
      </c>
      <c r="BJ31" s="319"/>
      <c r="BK31" s="319">
        <v>0</v>
      </c>
      <c r="BL31" s="319">
        <v>0</v>
      </c>
      <c r="BM31" s="319">
        <v>0</v>
      </c>
      <c r="BN31" s="319">
        <v>0</v>
      </c>
      <c r="BO31" s="322"/>
      <c r="BP31" s="760">
        <v>0</v>
      </c>
      <c r="BQ31" s="760"/>
      <c r="BR31" s="760"/>
      <c r="BS31" s="760"/>
      <c r="BT31" s="62"/>
      <c r="BU31" s="319" t="s">
        <v>14</v>
      </c>
      <c r="BV31" s="319">
        <v>470259.27</v>
      </c>
      <c r="BW31" s="319">
        <v>457329.75</v>
      </c>
      <c r="BX31" s="319">
        <v>388802.92</v>
      </c>
      <c r="BY31" s="319">
        <v>946371.76</v>
      </c>
      <c r="BZ31" s="319">
        <v>568450.5</v>
      </c>
      <c r="CA31" s="319">
        <v>470257.48</v>
      </c>
      <c r="CB31" s="319">
        <v>577576.95999999996</v>
      </c>
      <c r="CC31" s="319">
        <v>598789.80000000005</v>
      </c>
      <c r="CD31" s="319">
        <v>680090.91000000015</v>
      </c>
      <c r="CE31" s="319">
        <v>511151.09</v>
      </c>
      <c r="CF31" s="319">
        <v>1469816.49</v>
      </c>
      <c r="CG31" s="319">
        <v>755649.08999999985</v>
      </c>
      <c r="CH31" s="319"/>
      <c r="CI31" s="319">
        <v>578413.9</v>
      </c>
      <c r="CJ31" s="319">
        <v>705830.40999999992</v>
      </c>
      <c r="CK31" s="319">
        <v>544095.1</v>
      </c>
      <c r="CL31" s="319">
        <v>583207.13</v>
      </c>
      <c r="CM31" s="322"/>
      <c r="CN31" s="760">
        <v>847496.85000000009</v>
      </c>
      <c r="CO31" s="760"/>
      <c r="CP31" s="760"/>
      <c r="CQ31" s="760"/>
      <c r="CR31" s="62"/>
      <c r="CS31" s="319" t="s">
        <v>14</v>
      </c>
      <c r="CT31" s="319">
        <v>11611.34</v>
      </c>
      <c r="CU31" s="319">
        <v>6097.73</v>
      </c>
      <c r="CV31" s="319">
        <v>11435.38</v>
      </c>
      <c r="CW31" s="319">
        <v>0</v>
      </c>
      <c r="CX31" s="319">
        <v>7579.34</v>
      </c>
      <c r="CY31" s="319">
        <v>6107.24</v>
      </c>
      <c r="CZ31" s="319">
        <v>0</v>
      </c>
      <c r="DA31" s="319">
        <v>0</v>
      </c>
      <c r="DB31" s="319">
        <v>1611.27</v>
      </c>
      <c r="DC31" s="319">
        <v>6422.16</v>
      </c>
      <c r="DD31" s="319">
        <v>12379.92</v>
      </c>
      <c r="DE31" s="319">
        <v>16882.79</v>
      </c>
      <c r="DF31" s="319"/>
      <c r="DG31" s="319">
        <v>274.22000000000003</v>
      </c>
      <c r="DH31" s="319">
        <v>835.74</v>
      </c>
      <c r="DI31" s="319">
        <v>1260.1400000000001</v>
      </c>
      <c r="DJ31" s="319">
        <v>1008.22</v>
      </c>
      <c r="DK31" s="322"/>
      <c r="DL31" s="760">
        <v>124.97</v>
      </c>
      <c r="DM31" s="760"/>
      <c r="DN31" s="760"/>
      <c r="DO31" s="760"/>
      <c r="DP31" s="62"/>
      <c r="DQ31" s="319" t="s">
        <v>14</v>
      </c>
      <c r="DR31" s="319">
        <v>23222.68</v>
      </c>
      <c r="DS31" s="319">
        <v>67075.03</v>
      </c>
      <c r="DT31" s="319">
        <v>85765.35</v>
      </c>
      <c r="DU31" s="319">
        <v>199236.16</v>
      </c>
      <c r="DV31" s="319">
        <v>83372.740000000005</v>
      </c>
      <c r="DW31" s="319">
        <v>18321.72</v>
      </c>
      <c r="DX31" s="319">
        <v>207566.72</v>
      </c>
      <c r="DY31" s="319">
        <v>279435.24</v>
      </c>
      <c r="DZ31" s="319">
        <v>23844.16</v>
      </c>
      <c r="EA31" s="319">
        <v>101348.49</v>
      </c>
      <c r="EB31" s="319">
        <v>3348.64</v>
      </c>
      <c r="EC31" s="319">
        <v>63257.950000000004</v>
      </c>
      <c r="ED31" s="319"/>
      <c r="EE31" s="319">
        <v>630.33000000000004</v>
      </c>
      <c r="EF31" s="319">
        <v>2041.97</v>
      </c>
      <c r="EG31" s="319">
        <v>6146.31</v>
      </c>
      <c r="EH31" s="319">
        <v>128661.59</v>
      </c>
      <c r="EI31" s="322"/>
      <c r="EJ31" s="767">
        <v>22667.699999999997</v>
      </c>
      <c r="EK31" s="767"/>
      <c r="EL31" s="767"/>
      <c r="EM31" s="767"/>
      <c r="EO31" s="319" t="s">
        <v>14</v>
      </c>
      <c r="EP31" s="319">
        <v>701285</v>
      </c>
      <c r="EQ31" s="319">
        <v>568202</v>
      </c>
      <c r="ER31" s="319">
        <v>462818</v>
      </c>
      <c r="ES31" s="319">
        <v>1261050</v>
      </c>
      <c r="ET31" s="319">
        <v>699959</v>
      </c>
      <c r="EU31" s="319">
        <v>616813</v>
      </c>
      <c r="EV31" s="319">
        <v>836270</v>
      </c>
      <c r="EW31" s="319">
        <v>1074085</v>
      </c>
      <c r="EX31" s="319">
        <v>967099.05</v>
      </c>
      <c r="EY31" s="319">
        <v>754677.58</v>
      </c>
      <c r="EZ31" s="319">
        <v>1939206.4999999998</v>
      </c>
      <c r="FA31" s="319">
        <v>1055094.6199999999</v>
      </c>
      <c r="FB31" s="319"/>
      <c r="FC31" s="319">
        <v>766138.38</v>
      </c>
      <c r="FD31" s="319">
        <v>900782.88</v>
      </c>
      <c r="FE31" s="319">
        <v>639083.99</v>
      </c>
      <c r="FF31" s="319">
        <v>904262.25</v>
      </c>
      <c r="FG31" s="322"/>
      <c r="FH31" s="760">
        <v>1051751.3500000001</v>
      </c>
      <c r="FI31" s="760"/>
      <c r="FJ31" s="760"/>
      <c r="FK31" s="760"/>
      <c r="GW31" s="62"/>
      <c r="GZ31" s="62"/>
      <c r="HB31" s="62"/>
      <c r="HD31" s="62"/>
      <c r="HF31" s="62"/>
      <c r="HH31" s="62"/>
      <c r="HJ31" s="62"/>
      <c r="HL31" s="62"/>
      <c r="HN31" s="62"/>
    </row>
    <row r="32" spans="1:227" s="61" customFormat="1">
      <c r="A32" s="319" t="s">
        <v>15</v>
      </c>
      <c r="B32" s="319">
        <v>974165</v>
      </c>
      <c r="C32" s="319">
        <v>924055</v>
      </c>
      <c r="D32" s="319">
        <v>1284265</v>
      </c>
      <c r="E32" s="319">
        <v>820443</v>
      </c>
      <c r="F32" s="319">
        <v>829971</v>
      </c>
      <c r="G32" s="319">
        <v>807495</v>
      </c>
      <c r="H32" s="319">
        <v>1106920</v>
      </c>
      <c r="I32" s="319">
        <v>1226761</v>
      </c>
      <c r="J32" s="319">
        <v>826570.18</v>
      </c>
      <c r="K32" s="319">
        <v>934907.26</v>
      </c>
      <c r="L32" s="319">
        <v>986811.64999999991</v>
      </c>
      <c r="M32" s="319">
        <v>1049578.71</v>
      </c>
      <c r="N32" s="319">
        <v>921181.77</v>
      </c>
      <c r="O32" s="319">
        <v>762497.92</v>
      </c>
      <c r="P32" s="319">
        <v>844283.64999999991</v>
      </c>
      <c r="Q32" s="319">
        <v>1438155.27</v>
      </c>
      <c r="R32" s="319">
        <v>985813.73</v>
      </c>
      <c r="S32" s="322">
        <v>790010.09</v>
      </c>
      <c r="T32" s="760">
        <v>1284312.97</v>
      </c>
      <c r="U32" s="760">
        <v>861841.86</v>
      </c>
      <c r="V32" s="760">
        <v>891870.10000000009</v>
      </c>
      <c r="W32" s="760">
        <v>1860760</v>
      </c>
      <c r="X32" s="42"/>
      <c r="Y32" s="319" t="s">
        <v>15</v>
      </c>
      <c r="Z32" s="319">
        <v>0</v>
      </c>
      <c r="AA32" s="319">
        <v>0</v>
      </c>
      <c r="AB32" s="319">
        <v>0</v>
      </c>
      <c r="AC32" s="319">
        <v>0</v>
      </c>
      <c r="AD32" s="319">
        <v>0</v>
      </c>
      <c r="AE32" s="319">
        <v>0</v>
      </c>
      <c r="AF32" s="319">
        <v>0</v>
      </c>
      <c r="AG32" s="319">
        <v>0</v>
      </c>
      <c r="AH32" s="319">
        <v>0</v>
      </c>
      <c r="AI32" s="319">
        <v>0</v>
      </c>
      <c r="AJ32" s="319">
        <v>0</v>
      </c>
      <c r="AK32" s="319">
        <v>0</v>
      </c>
      <c r="AL32" s="319">
        <v>0</v>
      </c>
      <c r="AM32" s="319">
        <v>0</v>
      </c>
      <c r="AN32" s="319">
        <v>0</v>
      </c>
      <c r="AO32" s="319">
        <v>0</v>
      </c>
      <c r="AP32" s="319">
        <v>0</v>
      </c>
      <c r="AQ32" s="322">
        <v>0</v>
      </c>
      <c r="AR32" s="760">
        <v>0</v>
      </c>
      <c r="AS32" s="760">
        <v>0</v>
      </c>
      <c r="AT32" s="760">
        <v>0</v>
      </c>
      <c r="AU32" s="760">
        <v>0</v>
      </c>
      <c r="AV32" s="62"/>
      <c r="AW32" s="319" t="s">
        <v>15</v>
      </c>
      <c r="AX32" s="319">
        <v>0</v>
      </c>
      <c r="AY32" s="319">
        <v>0</v>
      </c>
      <c r="AZ32" s="319">
        <v>0</v>
      </c>
      <c r="BA32" s="319">
        <v>0</v>
      </c>
      <c r="BB32" s="319">
        <v>0</v>
      </c>
      <c r="BC32" s="319">
        <v>0</v>
      </c>
      <c r="BD32" s="319">
        <v>0</v>
      </c>
      <c r="BE32" s="319">
        <v>0</v>
      </c>
      <c r="BF32" s="319">
        <v>0</v>
      </c>
      <c r="BG32" s="319">
        <v>0</v>
      </c>
      <c r="BH32" s="319">
        <v>0</v>
      </c>
      <c r="BI32" s="319">
        <v>0</v>
      </c>
      <c r="BJ32" s="319">
        <v>0</v>
      </c>
      <c r="BK32" s="319">
        <v>0</v>
      </c>
      <c r="BL32" s="319">
        <v>0</v>
      </c>
      <c r="BM32" s="319">
        <v>0</v>
      </c>
      <c r="BN32" s="319">
        <v>0</v>
      </c>
      <c r="BO32" s="322">
        <v>0</v>
      </c>
      <c r="BP32" s="760">
        <v>0</v>
      </c>
      <c r="BQ32" s="760">
        <v>0</v>
      </c>
      <c r="BR32" s="760">
        <v>0</v>
      </c>
      <c r="BS32" s="760">
        <v>0</v>
      </c>
      <c r="BT32" s="62"/>
      <c r="BU32" s="319" t="s">
        <v>15</v>
      </c>
      <c r="BV32" s="319">
        <v>282507.84999999998</v>
      </c>
      <c r="BW32" s="319">
        <v>184811</v>
      </c>
      <c r="BX32" s="319">
        <v>1245737.05</v>
      </c>
      <c r="BY32" s="319">
        <v>779420.85</v>
      </c>
      <c r="BZ32" s="319">
        <v>788472.45</v>
      </c>
      <c r="CA32" s="319">
        <v>767120.25</v>
      </c>
      <c r="CB32" s="319">
        <v>1073712.3999999999</v>
      </c>
      <c r="CC32" s="319">
        <v>1214493.3899999999</v>
      </c>
      <c r="CD32" s="319">
        <v>813259.05</v>
      </c>
      <c r="CE32" s="319">
        <v>913434.72</v>
      </c>
      <c r="CF32" s="319">
        <v>951699.49999999988</v>
      </c>
      <c r="CG32" s="319">
        <v>1003201.8</v>
      </c>
      <c r="CH32" s="319">
        <v>809846.49</v>
      </c>
      <c r="CI32" s="319">
        <v>732424.45000000007</v>
      </c>
      <c r="CJ32" s="319">
        <v>814382.0199999999</v>
      </c>
      <c r="CK32" s="319">
        <v>1420505.65</v>
      </c>
      <c r="CL32" s="319">
        <v>951989.73</v>
      </c>
      <c r="CM32" s="322">
        <v>748239.35</v>
      </c>
      <c r="CN32" s="760">
        <v>1252671.19</v>
      </c>
      <c r="CO32" s="760">
        <v>851218.66</v>
      </c>
      <c r="CP32" s="760">
        <v>872922.17</v>
      </c>
      <c r="CQ32" s="760">
        <v>1747060</v>
      </c>
      <c r="CR32" s="62"/>
      <c r="CS32" s="319" t="s">
        <v>15</v>
      </c>
      <c r="CT32" s="319">
        <v>38966.6</v>
      </c>
      <c r="CU32" s="319">
        <v>36962.199999999997</v>
      </c>
      <c r="CV32" s="319">
        <v>38527.949999999997</v>
      </c>
      <c r="CW32" s="319">
        <v>41022.15</v>
      </c>
      <c r="CX32" s="319">
        <v>41498.550000000003</v>
      </c>
      <c r="CY32" s="319">
        <v>32299.8</v>
      </c>
      <c r="CZ32" s="319">
        <v>11069.2</v>
      </c>
      <c r="DA32" s="319">
        <v>0</v>
      </c>
      <c r="DB32" s="319">
        <v>6056.73</v>
      </c>
      <c r="DC32" s="319">
        <v>20537.419999999998</v>
      </c>
      <c r="DD32" s="319">
        <v>32342.99</v>
      </c>
      <c r="DE32" s="319">
        <v>41922.65</v>
      </c>
      <c r="DF32" s="319">
        <v>20545.09</v>
      </c>
      <c r="DG32" s="319">
        <v>19458.89</v>
      </c>
      <c r="DH32" s="319">
        <v>10911.13</v>
      </c>
      <c r="DI32" s="319">
        <v>12464.54</v>
      </c>
      <c r="DJ32" s="319">
        <v>11232.59</v>
      </c>
      <c r="DK32" s="322">
        <v>8937.9699999999993</v>
      </c>
      <c r="DL32" s="760">
        <v>5294.93</v>
      </c>
      <c r="DM32" s="760">
        <v>5756.42</v>
      </c>
      <c r="DN32" s="760">
        <v>6505.15</v>
      </c>
      <c r="DO32" s="760">
        <v>6500</v>
      </c>
      <c r="DP32" s="62"/>
      <c r="DQ32" s="319" t="s">
        <v>15</v>
      </c>
      <c r="DR32" s="319">
        <v>652690.55000000005</v>
      </c>
      <c r="DS32" s="319">
        <v>702281.8</v>
      </c>
      <c r="DT32" s="319">
        <v>0</v>
      </c>
      <c r="DU32" s="319">
        <v>0</v>
      </c>
      <c r="DV32" s="319">
        <v>0</v>
      </c>
      <c r="DW32" s="319">
        <v>8074.95</v>
      </c>
      <c r="DX32" s="319">
        <v>22138.400000000001</v>
      </c>
      <c r="DY32" s="319">
        <v>12267.61</v>
      </c>
      <c r="DZ32" s="319">
        <v>7254.4</v>
      </c>
      <c r="EA32" s="319">
        <v>935.12</v>
      </c>
      <c r="EB32" s="319">
        <v>2769.16</v>
      </c>
      <c r="EC32" s="319">
        <v>4454.26</v>
      </c>
      <c r="ED32" s="319">
        <v>6880.31</v>
      </c>
      <c r="EE32" s="319">
        <v>4476.4399999999996</v>
      </c>
      <c r="EF32" s="319">
        <v>16421.11</v>
      </c>
      <c r="EG32" s="319">
        <v>5185.08</v>
      </c>
      <c r="EH32" s="319">
        <v>22591.41</v>
      </c>
      <c r="EI32" s="322">
        <v>32832.770000000004</v>
      </c>
      <c r="EJ32" s="767">
        <v>26346.85</v>
      </c>
      <c r="EK32" s="767">
        <v>4866.7800000000007</v>
      </c>
      <c r="EL32" s="767">
        <v>2385.5300000000002</v>
      </c>
      <c r="EM32" s="767">
        <v>5700</v>
      </c>
      <c r="EO32" s="319" t="s">
        <v>15</v>
      </c>
      <c r="EP32" s="319">
        <v>1008488</v>
      </c>
      <c r="EQ32" s="319">
        <v>897484</v>
      </c>
      <c r="ER32" s="319">
        <v>1310296</v>
      </c>
      <c r="ES32" s="319">
        <v>751223</v>
      </c>
      <c r="ET32" s="319">
        <v>890934</v>
      </c>
      <c r="EU32" s="319">
        <v>955267</v>
      </c>
      <c r="EV32" s="319">
        <v>1239406</v>
      </c>
      <c r="EW32" s="319">
        <v>1179336</v>
      </c>
      <c r="EX32" s="319">
        <v>711383.56000000017</v>
      </c>
      <c r="EY32" s="319">
        <v>880677.2899999998</v>
      </c>
      <c r="EZ32" s="319">
        <v>974838.82000000007</v>
      </c>
      <c r="FA32" s="319">
        <v>885310.7699999999</v>
      </c>
      <c r="FB32" s="319">
        <v>1124962.4300000002</v>
      </c>
      <c r="FC32" s="319">
        <v>925592.79</v>
      </c>
      <c r="FD32" s="319">
        <v>813951.44</v>
      </c>
      <c r="FE32" s="319">
        <v>1342328.9500000002</v>
      </c>
      <c r="FF32" s="319">
        <v>1094458.0200000003</v>
      </c>
      <c r="FG32" s="322">
        <v>850272.65000000014</v>
      </c>
      <c r="FH32" s="760">
        <v>1451669.3300000003</v>
      </c>
      <c r="FI32" s="760">
        <v>740891.92000000039</v>
      </c>
      <c r="FJ32" s="760">
        <v>1041464.3800000001</v>
      </c>
      <c r="FK32" s="760">
        <v>2077020</v>
      </c>
      <c r="GW32" s="62"/>
      <c r="GZ32" s="62"/>
      <c r="HB32" s="62"/>
      <c r="HD32" s="62"/>
      <c r="HF32" s="62"/>
      <c r="HH32" s="62"/>
      <c r="HJ32" s="62"/>
      <c r="HL32" s="62"/>
      <c r="HN32" s="62"/>
    </row>
    <row r="33" spans="1:222" s="61" customFormat="1">
      <c r="A33" s="319" t="s">
        <v>16</v>
      </c>
      <c r="B33" s="319">
        <v>1162862</v>
      </c>
      <c r="C33" s="319">
        <v>1832446</v>
      </c>
      <c r="D33" s="319">
        <v>990895</v>
      </c>
      <c r="E33" s="319">
        <v>1500098</v>
      </c>
      <c r="F33" s="319">
        <v>1387146</v>
      </c>
      <c r="G33" s="319">
        <v>1071263</v>
      </c>
      <c r="H33" s="319">
        <v>1683275</v>
      </c>
      <c r="I33" s="319">
        <v>1373918</v>
      </c>
      <c r="J33" s="319">
        <v>1217897.27</v>
      </c>
      <c r="K33" s="319">
        <v>1576510.79</v>
      </c>
      <c r="L33" s="319">
        <v>1108522.57</v>
      </c>
      <c r="M33" s="319">
        <v>1477401.1099999999</v>
      </c>
      <c r="N33" s="319">
        <v>1280903.24</v>
      </c>
      <c r="O33" s="319">
        <v>1144438.06</v>
      </c>
      <c r="P33" s="319">
        <v>1738131.4700000002</v>
      </c>
      <c r="Q33" s="319">
        <v>1654777.15</v>
      </c>
      <c r="R33" s="319">
        <v>1238962.81</v>
      </c>
      <c r="S33" s="322">
        <v>1962342.8199999998</v>
      </c>
      <c r="T33" s="760">
        <v>2149489.27</v>
      </c>
      <c r="U33" s="760">
        <v>1387555.33</v>
      </c>
      <c r="V33" s="760">
        <v>1330467.98</v>
      </c>
      <c r="W33" s="760">
        <v>1837583.56</v>
      </c>
      <c r="X33" s="42"/>
      <c r="Y33" s="319" t="s">
        <v>16</v>
      </c>
      <c r="Z33" s="319">
        <v>348858.6</v>
      </c>
      <c r="AA33" s="319">
        <v>366489.2</v>
      </c>
      <c r="AB33" s="319">
        <v>386449.05</v>
      </c>
      <c r="AC33" s="319">
        <v>405026.46</v>
      </c>
      <c r="AD33" s="319">
        <v>416143.8</v>
      </c>
      <c r="AE33" s="319">
        <v>428505.2</v>
      </c>
      <c r="AF33" s="319">
        <v>437651.5</v>
      </c>
      <c r="AG33" s="319">
        <v>425914.58</v>
      </c>
      <c r="AH33" s="319">
        <v>442333.86</v>
      </c>
      <c r="AI33" s="319">
        <v>440168.15</v>
      </c>
      <c r="AJ33" s="319">
        <v>459951.09</v>
      </c>
      <c r="AK33" s="319">
        <v>484097.13999999996</v>
      </c>
      <c r="AL33" s="319">
        <v>464175.72000000003</v>
      </c>
      <c r="AM33" s="319">
        <v>304247.13</v>
      </c>
      <c r="AN33" s="319">
        <v>533275.57999999996</v>
      </c>
      <c r="AO33" s="319">
        <v>526740.53999999992</v>
      </c>
      <c r="AP33" s="319">
        <v>570367.19999999995</v>
      </c>
      <c r="AQ33" s="322">
        <v>580616.98</v>
      </c>
      <c r="AR33" s="760">
        <v>583323.58000000007</v>
      </c>
      <c r="AS33" s="760">
        <v>603247.82000000007</v>
      </c>
      <c r="AT33" s="760">
        <v>633050.02</v>
      </c>
      <c r="AU33" s="760">
        <v>613000</v>
      </c>
      <c r="AV33" s="62"/>
      <c r="AW33" s="319" t="s">
        <v>16</v>
      </c>
      <c r="AX33" s="319">
        <v>0</v>
      </c>
      <c r="AY33" s="319">
        <v>0</v>
      </c>
      <c r="AZ33" s="319">
        <v>0</v>
      </c>
      <c r="BA33" s="319">
        <v>0</v>
      </c>
      <c r="BB33" s="319">
        <v>0</v>
      </c>
      <c r="BC33" s="319">
        <v>0</v>
      </c>
      <c r="BD33" s="319">
        <v>0</v>
      </c>
      <c r="BE33" s="319">
        <v>0</v>
      </c>
      <c r="BF33" s="319">
        <v>0</v>
      </c>
      <c r="BG33" s="319">
        <v>0</v>
      </c>
      <c r="BH33" s="319">
        <v>0</v>
      </c>
      <c r="BI33" s="319">
        <v>0</v>
      </c>
      <c r="BJ33" s="319">
        <v>0</v>
      </c>
      <c r="BK33" s="319">
        <v>0</v>
      </c>
      <c r="BL33" s="319">
        <v>0</v>
      </c>
      <c r="BM33" s="319">
        <v>0</v>
      </c>
      <c r="BN33" s="319">
        <v>0</v>
      </c>
      <c r="BO33" s="322">
        <v>0</v>
      </c>
      <c r="BP33" s="760">
        <v>0</v>
      </c>
      <c r="BQ33" s="760">
        <v>0</v>
      </c>
      <c r="BR33" s="760">
        <v>0</v>
      </c>
      <c r="BS33" s="760">
        <v>0</v>
      </c>
      <c r="BT33" s="62"/>
      <c r="BU33" s="319" t="s">
        <v>16</v>
      </c>
      <c r="BV33" s="319">
        <v>744231.68</v>
      </c>
      <c r="BW33" s="319">
        <v>1374334.5</v>
      </c>
      <c r="BX33" s="319">
        <v>584628.05000000005</v>
      </c>
      <c r="BY33" s="319">
        <v>1065069.58</v>
      </c>
      <c r="BZ33" s="319">
        <v>915516.36</v>
      </c>
      <c r="CA33" s="319">
        <v>621332.54</v>
      </c>
      <c r="CB33" s="319">
        <v>1211958</v>
      </c>
      <c r="CC33" s="319">
        <v>893046.7</v>
      </c>
      <c r="CD33" s="319">
        <v>743203.76000000013</v>
      </c>
      <c r="CE33" s="319">
        <v>1114086.6700000002</v>
      </c>
      <c r="CF33" s="319">
        <v>560058.65</v>
      </c>
      <c r="CG33" s="319">
        <v>965620.49</v>
      </c>
      <c r="CH33" s="319">
        <v>737511.97</v>
      </c>
      <c r="CI33" s="319">
        <v>530329.16</v>
      </c>
      <c r="CJ33" s="319">
        <v>1080970.83</v>
      </c>
      <c r="CK33" s="319">
        <v>1079501.1399999999</v>
      </c>
      <c r="CL33" s="319">
        <v>636824.80000000005</v>
      </c>
      <c r="CM33" s="322">
        <v>1359039.8399999999</v>
      </c>
      <c r="CN33" s="760">
        <v>1536444.38</v>
      </c>
      <c r="CO33" s="760">
        <v>758871.3</v>
      </c>
      <c r="CP33" s="760">
        <v>672156.92</v>
      </c>
      <c r="CQ33" s="760">
        <v>1203495</v>
      </c>
      <c r="CR33" s="62"/>
      <c r="CS33" s="319" t="s">
        <v>16</v>
      </c>
      <c r="CT33" s="319">
        <v>11628.62</v>
      </c>
      <c r="CU33" s="319">
        <v>0</v>
      </c>
      <c r="CV33" s="319">
        <v>9908.9500000000007</v>
      </c>
      <c r="CW33" s="319">
        <v>0</v>
      </c>
      <c r="CX33" s="319">
        <v>0</v>
      </c>
      <c r="CY33" s="319">
        <v>0</v>
      </c>
      <c r="CZ33" s="319">
        <v>16832.75</v>
      </c>
      <c r="DA33" s="319">
        <v>13739.18</v>
      </c>
      <c r="DB33" s="319">
        <v>5006.59</v>
      </c>
      <c r="DC33" s="319">
        <v>3212.37</v>
      </c>
      <c r="DD33" s="319">
        <v>3481.87</v>
      </c>
      <c r="DE33" s="319">
        <v>5666.63</v>
      </c>
      <c r="DF33" s="319">
        <v>6515.84</v>
      </c>
      <c r="DG33" s="319">
        <v>5185.8100000000004</v>
      </c>
      <c r="DH33" s="319">
        <v>3441.01</v>
      </c>
      <c r="DI33" s="319">
        <v>5688.77</v>
      </c>
      <c r="DJ33" s="319">
        <v>2511.4</v>
      </c>
      <c r="DK33" s="322">
        <v>2441.5300000000002</v>
      </c>
      <c r="DL33" s="760">
        <v>3010.83</v>
      </c>
      <c r="DM33" s="760">
        <v>4267.6499999999996</v>
      </c>
      <c r="DN33" s="760">
        <v>4588.5600000000004</v>
      </c>
      <c r="DO33" s="760">
        <v>4588.5600000000004</v>
      </c>
      <c r="DP33" s="62"/>
      <c r="DQ33" s="319" t="s">
        <v>16</v>
      </c>
      <c r="DR33" s="319">
        <v>58143.1</v>
      </c>
      <c r="DS33" s="319">
        <v>91622.3</v>
      </c>
      <c r="DT33" s="319">
        <v>9908.9500000000007</v>
      </c>
      <c r="DU33" s="319">
        <v>30001.96</v>
      </c>
      <c r="DV33" s="319">
        <v>55485.84</v>
      </c>
      <c r="DW33" s="319">
        <v>21425.26</v>
      </c>
      <c r="DX33" s="319">
        <v>16832.75</v>
      </c>
      <c r="DY33" s="319">
        <v>41217.54</v>
      </c>
      <c r="DZ33" s="319">
        <v>21384.97</v>
      </c>
      <c r="EA33" s="319">
        <v>12869.25</v>
      </c>
      <c r="EB33" s="319">
        <v>78337.61</v>
      </c>
      <c r="EC33" s="319">
        <v>15987.83</v>
      </c>
      <c r="ED33" s="319">
        <v>65461.94</v>
      </c>
      <c r="EE33" s="319">
        <v>296379.7</v>
      </c>
      <c r="EF33" s="319">
        <v>109921.87000000001</v>
      </c>
      <c r="EG33" s="319">
        <v>35135.67</v>
      </c>
      <c r="EH33" s="319">
        <v>19790.530000000002</v>
      </c>
      <c r="EI33" s="322">
        <v>11691.86</v>
      </c>
      <c r="EJ33" s="767">
        <v>18166.66</v>
      </c>
      <c r="EK33" s="767">
        <v>12384.650000000001</v>
      </c>
      <c r="EL33" s="767">
        <v>11656.62</v>
      </c>
      <c r="EM33" s="767">
        <v>8000</v>
      </c>
      <c r="EO33" s="319" t="s">
        <v>16</v>
      </c>
      <c r="EP33" s="319">
        <v>1292988</v>
      </c>
      <c r="EQ33" s="319">
        <v>1817700</v>
      </c>
      <c r="ER33" s="319">
        <v>1005749</v>
      </c>
      <c r="ES33" s="319">
        <v>1397682</v>
      </c>
      <c r="ET33" s="319">
        <v>1416920</v>
      </c>
      <c r="EU33" s="319">
        <v>1062694</v>
      </c>
      <c r="EV33" s="319">
        <v>1648489</v>
      </c>
      <c r="EW33" s="319">
        <v>1282290</v>
      </c>
      <c r="EX33" s="319">
        <v>1320061.21</v>
      </c>
      <c r="EY33" s="319">
        <v>1596558.0100000002</v>
      </c>
      <c r="EZ33" s="319">
        <v>1162760.6399999999</v>
      </c>
      <c r="FA33" s="319">
        <v>1380901.4330000002</v>
      </c>
      <c r="FB33" s="319">
        <v>1322098.6400000001</v>
      </c>
      <c r="FC33" s="319">
        <v>1245993.3900000001</v>
      </c>
      <c r="FD33" s="319">
        <v>1558902.27</v>
      </c>
      <c r="FE33" s="319">
        <v>1780490.193</v>
      </c>
      <c r="FF33" s="319">
        <v>1186122.3800000001</v>
      </c>
      <c r="FG33" s="322">
        <v>1952947.56</v>
      </c>
      <c r="FH33" s="760">
        <v>2070823.8499999996</v>
      </c>
      <c r="FI33" s="760">
        <v>1399302.01</v>
      </c>
      <c r="FJ33" s="760">
        <v>1277284.31</v>
      </c>
      <c r="FK33" s="760">
        <v>2058826.5899999999</v>
      </c>
      <c r="GZ33" s="62"/>
      <c r="HB33" s="62"/>
      <c r="HD33" s="62"/>
      <c r="HF33" s="62"/>
      <c r="HH33" s="62"/>
      <c r="HJ33" s="62"/>
      <c r="HL33" s="62"/>
      <c r="HN33" s="62"/>
    </row>
    <row r="34" spans="1:222" s="61" customFormat="1">
      <c r="A34" s="319" t="s">
        <v>17</v>
      </c>
      <c r="B34" s="319">
        <v>1138950</v>
      </c>
      <c r="C34" s="319">
        <v>1148375</v>
      </c>
      <c r="D34" s="319">
        <v>1244324</v>
      </c>
      <c r="E34" s="319">
        <v>1252630</v>
      </c>
      <c r="F34" s="319">
        <v>1338633</v>
      </c>
      <c r="G34" s="319">
        <v>1392749</v>
      </c>
      <c r="H34" s="319">
        <v>1393772</v>
      </c>
      <c r="I34" s="319">
        <v>1446803</v>
      </c>
      <c r="J34" s="319">
        <v>1517824.86</v>
      </c>
      <c r="K34" s="319">
        <v>1577848.8</v>
      </c>
      <c r="L34" s="319">
        <v>1658918.85</v>
      </c>
      <c r="M34" s="319">
        <v>1714535.2999999998</v>
      </c>
      <c r="N34" s="319">
        <v>1829233.9000000001</v>
      </c>
      <c r="O34" s="319">
        <v>1710896.5999999999</v>
      </c>
      <c r="P34" s="319">
        <v>2051446.2799999998</v>
      </c>
      <c r="Q34" s="321">
        <v>2037257.9500000002</v>
      </c>
      <c r="R34" s="319">
        <v>1930887.8199999998</v>
      </c>
      <c r="S34" s="322">
        <v>2034393.5100000002</v>
      </c>
      <c r="T34" s="760">
        <v>2274148.81</v>
      </c>
      <c r="U34" s="760">
        <v>2158368.2600000002</v>
      </c>
      <c r="V34" s="760">
        <v>2746888.93</v>
      </c>
      <c r="W34" s="760">
        <v>2172801.25</v>
      </c>
      <c r="X34" s="42"/>
      <c r="Y34" s="319" t="s">
        <v>17</v>
      </c>
      <c r="Z34" s="319">
        <v>512527.5</v>
      </c>
      <c r="AA34" s="319">
        <v>528252.5</v>
      </c>
      <c r="AB34" s="319">
        <v>597275.52</v>
      </c>
      <c r="AC34" s="319">
        <v>613788.69999999995</v>
      </c>
      <c r="AD34" s="319">
        <v>655930.17000000004</v>
      </c>
      <c r="AE34" s="319">
        <v>682447.01</v>
      </c>
      <c r="AF34" s="319">
        <v>696886</v>
      </c>
      <c r="AG34" s="319">
        <v>737869.53</v>
      </c>
      <c r="AH34" s="319">
        <v>793183.1</v>
      </c>
      <c r="AI34" s="319">
        <v>858509.04</v>
      </c>
      <c r="AJ34" s="319">
        <v>880721.53</v>
      </c>
      <c r="AK34" s="319">
        <v>904513.07</v>
      </c>
      <c r="AL34" s="319">
        <v>899801.82000000007</v>
      </c>
      <c r="AM34" s="319">
        <v>1062128.6399999999</v>
      </c>
      <c r="AN34" s="319">
        <v>1125723.8499999999</v>
      </c>
      <c r="AO34" s="319">
        <v>966950.73</v>
      </c>
      <c r="AP34" s="319">
        <v>1076340.1100000001</v>
      </c>
      <c r="AQ34" s="322">
        <v>1181175.4100000001</v>
      </c>
      <c r="AR34" s="760">
        <v>1426980.3900000001</v>
      </c>
      <c r="AS34" s="760">
        <v>1229827.5900000001</v>
      </c>
      <c r="AT34" s="760">
        <v>1501539.24</v>
      </c>
      <c r="AU34" s="760">
        <v>1392651.25</v>
      </c>
      <c r="AV34" s="62"/>
      <c r="AW34" s="319" t="s">
        <v>17</v>
      </c>
      <c r="AX34" s="319">
        <v>0</v>
      </c>
      <c r="AY34" s="319">
        <v>0</v>
      </c>
      <c r="AZ34" s="319">
        <v>0</v>
      </c>
      <c r="BA34" s="319">
        <v>100210.4</v>
      </c>
      <c r="BB34" s="319">
        <v>93704.31</v>
      </c>
      <c r="BC34" s="319">
        <v>0</v>
      </c>
      <c r="BD34" s="319">
        <v>0</v>
      </c>
      <c r="BE34" s="319">
        <v>0</v>
      </c>
      <c r="BF34" s="319">
        <v>0</v>
      </c>
      <c r="BG34" s="319">
        <v>0</v>
      </c>
      <c r="BH34" s="319">
        <v>0</v>
      </c>
      <c r="BI34" s="319">
        <v>0</v>
      </c>
      <c r="BJ34" s="319">
        <v>0</v>
      </c>
      <c r="BK34" s="319">
        <v>0</v>
      </c>
      <c r="BL34" s="319">
        <v>0</v>
      </c>
      <c r="BM34" s="319">
        <v>0</v>
      </c>
      <c r="BN34" s="319">
        <v>0</v>
      </c>
      <c r="BO34" s="322">
        <v>0</v>
      </c>
      <c r="BP34" s="760">
        <v>0</v>
      </c>
      <c r="BQ34" s="760">
        <v>0</v>
      </c>
      <c r="BR34" s="760">
        <v>0</v>
      </c>
      <c r="BS34" s="760">
        <v>0</v>
      </c>
      <c r="BT34" s="62"/>
      <c r="BU34" s="319" t="s">
        <v>17</v>
      </c>
      <c r="BV34" s="319">
        <v>523917</v>
      </c>
      <c r="BW34" s="319">
        <v>574187.5</v>
      </c>
      <c r="BX34" s="319">
        <v>522616.08</v>
      </c>
      <c r="BY34" s="319">
        <v>413367.9</v>
      </c>
      <c r="BZ34" s="319">
        <v>468521.55</v>
      </c>
      <c r="CA34" s="319">
        <v>640664.54</v>
      </c>
      <c r="CB34" s="319">
        <v>641135.12</v>
      </c>
      <c r="CC34" s="319">
        <v>665529.38</v>
      </c>
      <c r="CD34" s="319">
        <v>675615.1100000001</v>
      </c>
      <c r="CE34" s="319">
        <v>674125.27</v>
      </c>
      <c r="CF34" s="319">
        <v>696461.64000000013</v>
      </c>
      <c r="CG34" s="319">
        <v>695872.25</v>
      </c>
      <c r="CH34" s="319">
        <v>647698.44000000006</v>
      </c>
      <c r="CI34" s="319">
        <v>627995.52</v>
      </c>
      <c r="CJ34" s="319">
        <v>639727.79999999993</v>
      </c>
      <c r="CK34" s="321">
        <v>932821.84000000008</v>
      </c>
      <c r="CL34" s="319">
        <v>722339.23999999987</v>
      </c>
      <c r="CM34" s="322">
        <v>650885.48</v>
      </c>
      <c r="CN34" s="760">
        <v>682462.98999999987</v>
      </c>
      <c r="CO34" s="760">
        <v>708355.34000000008</v>
      </c>
      <c r="CP34" s="760">
        <v>1051726.7200000002</v>
      </c>
      <c r="CQ34" s="760">
        <v>652150</v>
      </c>
      <c r="CR34" s="62"/>
      <c r="CS34" s="319" t="s">
        <v>17</v>
      </c>
      <c r="CT34" s="319">
        <v>22779</v>
      </c>
      <c r="CU34" s="319">
        <v>34451.25</v>
      </c>
      <c r="CV34" s="319">
        <v>37329.72</v>
      </c>
      <c r="CW34" s="319">
        <v>37578.9</v>
      </c>
      <c r="CX34" s="319">
        <v>26772.66</v>
      </c>
      <c r="CY34" s="319">
        <v>13927.49</v>
      </c>
      <c r="CZ34" s="319">
        <v>13937.72</v>
      </c>
      <c r="DA34" s="319">
        <v>0</v>
      </c>
      <c r="DB34" s="319">
        <v>13950.68</v>
      </c>
      <c r="DC34" s="319">
        <v>28791.78</v>
      </c>
      <c r="DD34" s="319">
        <v>39475.949999999997</v>
      </c>
      <c r="DE34" s="319">
        <v>42399.64</v>
      </c>
      <c r="DF34" s="319">
        <v>24128.52</v>
      </c>
      <c r="DG34" s="319">
        <v>7704.72</v>
      </c>
      <c r="DH34" s="319">
        <v>4160.84</v>
      </c>
      <c r="DI34" s="321">
        <v>6312.44</v>
      </c>
      <c r="DJ34" s="319">
        <v>3286.08</v>
      </c>
      <c r="DK34" s="322">
        <v>5100.21</v>
      </c>
      <c r="DL34" s="760">
        <v>3340.34</v>
      </c>
      <c r="DM34" s="760">
        <v>2228.6999999999998</v>
      </c>
      <c r="DN34" s="760">
        <v>3546.12</v>
      </c>
      <c r="DO34" s="760">
        <v>3000</v>
      </c>
      <c r="DP34" s="62"/>
      <c r="DQ34" s="319" t="s">
        <v>17</v>
      </c>
      <c r="DR34" s="319">
        <v>79726.5</v>
      </c>
      <c r="DS34" s="319">
        <v>11483.75</v>
      </c>
      <c r="DT34" s="319">
        <v>87102.68</v>
      </c>
      <c r="DU34" s="319">
        <v>87684.1</v>
      </c>
      <c r="DV34" s="319">
        <v>93704.31</v>
      </c>
      <c r="DW34" s="319">
        <v>55709.96</v>
      </c>
      <c r="DX34" s="319">
        <v>41813.160000000003</v>
      </c>
      <c r="DY34" s="319">
        <v>43404.09</v>
      </c>
      <c r="DZ34" s="319">
        <v>33535.82</v>
      </c>
      <c r="EA34" s="319">
        <v>13922.71</v>
      </c>
      <c r="EB34" s="319">
        <v>40226.629999999997</v>
      </c>
      <c r="EC34" s="319">
        <v>71750.34</v>
      </c>
      <c r="ED34" s="319">
        <v>257605.12</v>
      </c>
      <c r="EE34" s="319">
        <v>13067.72</v>
      </c>
      <c r="EF34" s="319">
        <v>105322.08</v>
      </c>
      <c r="EG34" s="321">
        <v>131172.94</v>
      </c>
      <c r="EH34" s="321">
        <v>25380.339999999997</v>
      </c>
      <c r="EI34" s="324">
        <v>85449.66</v>
      </c>
      <c r="EJ34" s="767">
        <v>85654.83</v>
      </c>
      <c r="EK34" s="767">
        <v>58974.89</v>
      </c>
      <c r="EL34" s="767">
        <v>20076.849999999999</v>
      </c>
      <c r="EM34" s="767">
        <v>15000</v>
      </c>
      <c r="EO34" s="319" t="s">
        <v>17</v>
      </c>
      <c r="EP34" s="319">
        <v>943184</v>
      </c>
      <c r="EQ34" s="319">
        <v>1069807</v>
      </c>
      <c r="ER34" s="319">
        <v>1398372</v>
      </c>
      <c r="ES34" s="319">
        <v>1463655</v>
      </c>
      <c r="ET34" s="319">
        <v>1362546</v>
      </c>
      <c r="EU34" s="319">
        <v>1463619</v>
      </c>
      <c r="EV34" s="319">
        <v>1400587</v>
      </c>
      <c r="EW34" s="319">
        <v>1456640</v>
      </c>
      <c r="EX34" s="319">
        <v>1340921.1200000001</v>
      </c>
      <c r="EY34" s="319">
        <v>1543233.3299999998</v>
      </c>
      <c r="EZ34" s="319">
        <v>1661076.7899999996</v>
      </c>
      <c r="FA34" s="319">
        <v>1320338.1800000002</v>
      </c>
      <c r="FB34" s="319">
        <v>2134263.1199999996</v>
      </c>
      <c r="FC34" s="319">
        <v>1940101.17</v>
      </c>
      <c r="FD34" s="319">
        <v>2022673.7999999998</v>
      </c>
      <c r="FE34" s="321">
        <v>2046333.3900000001</v>
      </c>
      <c r="FF34" s="321">
        <v>1955287.49</v>
      </c>
      <c r="FG34" s="324">
        <v>1940748.08</v>
      </c>
      <c r="FH34" s="760">
        <v>2169055.9799999995</v>
      </c>
      <c r="FI34" s="760">
        <v>2092198.9799999997</v>
      </c>
      <c r="FJ34" s="760">
        <v>2310901.3599999994</v>
      </c>
      <c r="FK34" s="760">
        <v>2617890</v>
      </c>
      <c r="GZ34" s="62"/>
      <c r="HB34" s="62"/>
      <c r="HD34" s="62"/>
      <c r="HF34" s="62"/>
      <c r="HH34" s="62"/>
      <c r="HJ34" s="62"/>
      <c r="HL34" s="62"/>
      <c r="HN34" s="62"/>
    </row>
    <row r="35" spans="1:222" s="61" customFormat="1">
      <c r="A35" s="319" t="s">
        <v>18</v>
      </c>
      <c r="B35" s="319">
        <v>903340</v>
      </c>
      <c r="C35" s="319">
        <v>954370</v>
      </c>
      <c r="D35" s="319">
        <v>1050583</v>
      </c>
      <c r="E35" s="319">
        <v>1032292</v>
      </c>
      <c r="F35" s="319">
        <v>1045789</v>
      </c>
      <c r="G35" s="319">
        <v>1082812</v>
      </c>
      <c r="H35" s="319">
        <v>1141220</v>
      </c>
      <c r="I35" s="319">
        <v>1154943</v>
      </c>
      <c r="J35" s="319">
        <v>1408301.75</v>
      </c>
      <c r="K35" s="319">
        <v>1197464.3599999999</v>
      </c>
      <c r="L35" s="319">
        <v>1279866.77</v>
      </c>
      <c r="M35" s="319">
        <v>1344111.67</v>
      </c>
      <c r="N35" s="319">
        <v>1200698.17</v>
      </c>
      <c r="O35" s="319">
        <v>1307586.99</v>
      </c>
      <c r="P35" s="322">
        <v>1382934.27</v>
      </c>
      <c r="Q35" s="520">
        <v>1343928</v>
      </c>
      <c r="R35" s="319">
        <v>1612716.37</v>
      </c>
      <c r="S35" s="322">
        <v>1483250.2000000002</v>
      </c>
      <c r="T35" s="760">
        <v>1554090.8900000001</v>
      </c>
      <c r="U35" s="760">
        <v>1478670.16</v>
      </c>
      <c r="V35" s="760">
        <v>1823209.65</v>
      </c>
      <c r="W35" s="760">
        <v>1522000</v>
      </c>
      <c r="X35" s="42"/>
      <c r="Y35" s="319" t="s">
        <v>18</v>
      </c>
      <c r="Z35" s="319">
        <v>325202.40000000002</v>
      </c>
      <c r="AA35" s="319">
        <v>324485.8</v>
      </c>
      <c r="AB35" s="319">
        <v>409727.37</v>
      </c>
      <c r="AC35" s="319">
        <v>402593.88</v>
      </c>
      <c r="AD35" s="319">
        <v>428773.49</v>
      </c>
      <c r="AE35" s="319">
        <v>433124.8</v>
      </c>
      <c r="AF35" s="319">
        <v>479312.4</v>
      </c>
      <c r="AG35" s="319">
        <v>508174.92</v>
      </c>
      <c r="AH35" s="319">
        <v>543819.56999999995</v>
      </c>
      <c r="AI35" s="319">
        <v>555493.29999999993</v>
      </c>
      <c r="AJ35" s="319">
        <v>592315.46</v>
      </c>
      <c r="AK35" s="319">
        <v>655353.43999999994</v>
      </c>
      <c r="AL35" s="319">
        <v>606208.74</v>
      </c>
      <c r="AM35" s="319">
        <v>680383.22</v>
      </c>
      <c r="AN35" s="319">
        <v>707740.36</v>
      </c>
      <c r="AO35" s="521">
        <v>686799.40999999992</v>
      </c>
      <c r="AP35" s="319">
        <v>748492.92999999993</v>
      </c>
      <c r="AQ35" s="322">
        <v>713464.55999999994</v>
      </c>
      <c r="AR35" s="760">
        <v>742558.12</v>
      </c>
      <c r="AS35" s="760">
        <v>734034.44</v>
      </c>
      <c r="AT35" s="760">
        <v>788074.94</v>
      </c>
      <c r="AU35" s="760">
        <v>745000</v>
      </c>
      <c r="AV35" s="62"/>
      <c r="AW35" s="319" t="s">
        <v>18</v>
      </c>
      <c r="AX35" s="319">
        <v>0</v>
      </c>
      <c r="AY35" s="319">
        <v>0</v>
      </c>
      <c r="AZ35" s="319">
        <v>0</v>
      </c>
      <c r="BA35" s="319">
        <v>0</v>
      </c>
      <c r="BB35" s="319">
        <v>0</v>
      </c>
      <c r="BC35" s="319">
        <v>0</v>
      </c>
      <c r="BD35" s="319">
        <v>0</v>
      </c>
      <c r="BE35" s="319">
        <v>0</v>
      </c>
      <c r="BF35" s="319">
        <v>0</v>
      </c>
      <c r="BG35" s="319">
        <v>0</v>
      </c>
      <c r="BH35" s="319">
        <v>0</v>
      </c>
      <c r="BI35" s="319">
        <v>0</v>
      </c>
      <c r="BJ35" s="319">
        <v>0</v>
      </c>
      <c r="BK35" s="319">
        <v>0</v>
      </c>
      <c r="BL35" s="319">
        <v>0</v>
      </c>
      <c r="BM35" s="319">
        <v>0</v>
      </c>
      <c r="BN35" s="319">
        <v>0</v>
      </c>
      <c r="BO35" s="322">
        <v>0</v>
      </c>
      <c r="BP35" s="760">
        <v>0</v>
      </c>
      <c r="BQ35" s="760">
        <v>0</v>
      </c>
      <c r="BR35" s="760">
        <v>0</v>
      </c>
      <c r="BS35" s="760">
        <v>0</v>
      </c>
      <c r="BT35" s="62"/>
      <c r="BU35" s="319" t="s">
        <v>18</v>
      </c>
      <c r="BV35" s="319">
        <v>496837</v>
      </c>
      <c r="BW35" s="319">
        <v>524903.5</v>
      </c>
      <c r="BX35" s="319">
        <v>546303.16</v>
      </c>
      <c r="BY35" s="319">
        <v>536791.84</v>
      </c>
      <c r="BZ35" s="319">
        <v>564726.06000000006</v>
      </c>
      <c r="CA35" s="319">
        <v>563062.24</v>
      </c>
      <c r="CB35" s="319">
        <v>559197.80000000005</v>
      </c>
      <c r="CC35" s="319">
        <v>565922.06999999995</v>
      </c>
      <c r="CD35" s="319">
        <v>593467.85999999987</v>
      </c>
      <c r="CE35" s="319">
        <v>592071.43000000005</v>
      </c>
      <c r="CF35" s="319">
        <v>602587.67000000004</v>
      </c>
      <c r="CG35" s="319">
        <v>593709.0199999999</v>
      </c>
      <c r="CH35" s="319">
        <v>536183.03</v>
      </c>
      <c r="CI35" s="319">
        <v>512552.67</v>
      </c>
      <c r="CJ35" s="322">
        <v>586704.93999999994</v>
      </c>
      <c r="CK35" s="522">
        <v>525559.85</v>
      </c>
      <c r="CL35" s="319">
        <v>723208.41</v>
      </c>
      <c r="CM35" s="322">
        <v>646294.94000000006</v>
      </c>
      <c r="CN35" s="760">
        <v>593603.26</v>
      </c>
      <c r="CO35" s="760">
        <v>583250.25</v>
      </c>
      <c r="CP35" s="760">
        <v>591753.82999999996</v>
      </c>
      <c r="CQ35" s="760">
        <v>553000</v>
      </c>
      <c r="CR35" s="62"/>
      <c r="CS35" s="319" t="s">
        <v>18</v>
      </c>
      <c r="CT35" s="319">
        <v>18066.8</v>
      </c>
      <c r="CU35" s="319">
        <v>19087.400000000001</v>
      </c>
      <c r="CV35" s="319">
        <v>21011.66</v>
      </c>
      <c r="CW35" s="319">
        <v>20645.84</v>
      </c>
      <c r="CX35" s="319">
        <v>31373.67</v>
      </c>
      <c r="CY35" s="319">
        <v>21656.240000000002</v>
      </c>
      <c r="CZ35" s="319">
        <v>11412.2</v>
      </c>
      <c r="DA35" s="319">
        <v>11549.43</v>
      </c>
      <c r="DB35" s="319">
        <v>8181.1</v>
      </c>
      <c r="DC35" s="319">
        <v>15571.97</v>
      </c>
      <c r="DD35" s="319">
        <v>27889.32</v>
      </c>
      <c r="DE35" s="319">
        <v>33333.5</v>
      </c>
      <c r="DF35" s="319">
        <v>14387.54</v>
      </c>
      <c r="DG35" s="319">
        <v>5279.35</v>
      </c>
      <c r="DH35" s="322">
        <v>4435.3900000000003</v>
      </c>
      <c r="DI35" s="523">
        <v>2888.84</v>
      </c>
      <c r="DJ35" s="319">
        <v>2523.21</v>
      </c>
      <c r="DK35" s="322">
        <v>2312.75</v>
      </c>
      <c r="DL35" s="760">
        <v>3294.88</v>
      </c>
      <c r="DM35" s="760">
        <v>1720.05</v>
      </c>
      <c r="DN35" s="760">
        <v>3076.21</v>
      </c>
      <c r="DO35" s="760">
        <v>3000</v>
      </c>
      <c r="DP35" s="62"/>
      <c r="DQ35" s="319" t="s">
        <v>18</v>
      </c>
      <c r="DR35" s="319">
        <v>63233.8</v>
      </c>
      <c r="DS35" s="319">
        <v>85893.3</v>
      </c>
      <c r="DT35" s="319">
        <v>73540.81</v>
      </c>
      <c r="DU35" s="319">
        <v>72260.44</v>
      </c>
      <c r="DV35" s="319">
        <v>20915.78</v>
      </c>
      <c r="DW35" s="319">
        <v>64968.72</v>
      </c>
      <c r="DX35" s="319">
        <v>91297.600000000006</v>
      </c>
      <c r="DY35" s="319">
        <v>69296.58</v>
      </c>
      <c r="DZ35" s="319">
        <v>243910.22000000003</v>
      </c>
      <c r="EA35" s="319">
        <v>1400.23</v>
      </c>
      <c r="EB35" s="319">
        <v>18946.919999999998</v>
      </c>
      <c r="EC35" s="319">
        <v>4347.8</v>
      </c>
      <c r="ED35" s="319">
        <v>3242.1</v>
      </c>
      <c r="EE35" s="319">
        <v>30417.309999999998</v>
      </c>
      <c r="EF35" s="322">
        <v>3315.57</v>
      </c>
      <c r="EG35" s="524">
        <v>127190.66</v>
      </c>
      <c r="EH35" s="524">
        <v>27587.67</v>
      </c>
      <c r="EI35" s="524">
        <v>47221.79</v>
      </c>
      <c r="EJ35" s="768">
        <v>96093.83</v>
      </c>
      <c r="EK35" s="768">
        <v>61723.8</v>
      </c>
      <c r="EL35" s="768">
        <v>288866.44</v>
      </c>
      <c r="EM35" s="768">
        <v>21000</v>
      </c>
      <c r="EO35" s="319" t="s">
        <v>18</v>
      </c>
      <c r="EP35" s="319">
        <v>1154797</v>
      </c>
      <c r="EQ35" s="319">
        <v>832643</v>
      </c>
      <c r="ER35" s="319">
        <v>1118063</v>
      </c>
      <c r="ES35" s="319">
        <v>768478</v>
      </c>
      <c r="ET35" s="319">
        <v>1115534</v>
      </c>
      <c r="EU35" s="319">
        <v>1148035</v>
      </c>
      <c r="EV35" s="319">
        <v>1184408</v>
      </c>
      <c r="EW35" s="319">
        <v>1254552</v>
      </c>
      <c r="EX35" s="319">
        <v>1022042.6</v>
      </c>
      <c r="EY35" s="319">
        <v>1429035.8</v>
      </c>
      <c r="EZ35" s="319">
        <v>1131861</v>
      </c>
      <c r="FA35" s="319">
        <v>1427053.28</v>
      </c>
      <c r="FB35" s="319">
        <v>1439922.45</v>
      </c>
      <c r="FC35" s="319">
        <v>1295556.99</v>
      </c>
      <c r="FD35" s="322">
        <v>1244932.7799999998</v>
      </c>
      <c r="FE35" s="319">
        <v>1292274.1399999999</v>
      </c>
      <c r="FF35" s="319">
        <v>1503841.44</v>
      </c>
      <c r="FG35" s="319">
        <v>1664119.3099999998</v>
      </c>
      <c r="FH35" s="319">
        <v>1420756.92</v>
      </c>
      <c r="FI35" s="319">
        <v>1432801.93</v>
      </c>
      <c r="FJ35" s="760">
        <v>1618936.2</v>
      </c>
      <c r="FK35" s="760">
        <v>1695100</v>
      </c>
      <c r="GZ35" s="62"/>
      <c r="HB35" s="62"/>
      <c r="HD35" s="62"/>
      <c r="HF35" s="62"/>
      <c r="HH35" s="62"/>
      <c r="HJ35" s="62"/>
      <c r="HL35" s="62"/>
      <c r="HN35" s="62"/>
    </row>
    <row r="36" spans="1:222" s="61" customFormat="1">
      <c r="A36" s="319" t="s">
        <v>19</v>
      </c>
      <c r="B36" s="319">
        <v>1443557</v>
      </c>
      <c r="C36" s="319">
        <v>1482394</v>
      </c>
      <c r="D36" s="319">
        <v>1600680</v>
      </c>
      <c r="E36" s="319">
        <v>1900438</v>
      </c>
      <c r="F36" s="319">
        <v>1772032</v>
      </c>
      <c r="G36" s="319">
        <v>1977684</v>
      </c>
      <c r="H36" s="319">
        <v>2342354</v>
      </c>
      <c r="I36" s="319">
        <v>2835858</v>
      </c>
      <c r="J36" s="319">
        <v>2017518.47</v>
      </c>
      <c r="K36" s="319">
        <v>2066202.0299999998</v>
      </c>
      <c r="L36" s="319">
        <v>2209640.35</v>
      </c>
      <c r="M36" s="319">
        <v>2312853.3299999996</v>
      </c>
      <c r="N36" s="319">
        <v>2294700.54</v>
      </c>
      <c r="O36" s="319"/>
      <c r="P36" s="319"/>
      <c r="Q36" s="325"/>
      <c r="R36" s="319"/>
      <c r="S36" s="322"/>
      <c r="T36" s="760"/>
      <c r="U36" s="760"/>
      <c r="V36" s="760"/>
      <c r="W36" s="760"/>
      <c r="X36" s="42"/>
      <c r="Y36" s="319" t="s">
        <v>19</v>
      </c>
      <c r="Z36" s="319">
        <v>259840.26</v>
      </c>
      <c r="AA36" s="319">
        <v>266830.92</v>
      </c>
      <c r="AB36" s="319">
        <v>320136</v>
      </c>
      <c r="AC36" s="319">
        <v>361083.22</v>
      </c>
      <c r="AD36" s="319">
        <v>354406.40000000002</v>
      </c>
      <c r="AE36" s="319">
        <v>375759.96</v>
      </c>
      <c r="AF36" s="319">
        <v>421623.72</v>
      </c>
      <c r="AG36" s="319">
        <v>453737.28</v>
      </c>
      <c r="AH36" s="319">
        <v>440842.94999999995</v>
      </c>
      <c r="AI36" s="319">
        <v>471485.62</v>
      </c>
      <c r="AJ36" s="319">
        <v>469291.7</v>
      </c>
      <c r="AK36" s="319">
        <v>510853.32</v>
      </c>
      <c r="AL36" s="319">
        <v>521936.41</v>
      </c>
      <c r="AM36" s="319"/>
      <c r="AN36" s="319"/>
      <c r="AO36" s="319"/>
      <c r="AP36" s="319"/>
      <c r="AQ36" s="322"/>
      <c r="AR36" s="760"/>
      <c r="AS36" s="760"/>
      <c r="AT36" s="760"/>
      <c r="AU36" s="760"/>
      <c r="AV36" s="62"/>
      <c r="AW36" s="319" t="s">
        <v>19</v>
      </c>
      <c r="AX36" s="319">
        <v>505244.95</v>
      </c>
      <c r="AY36" s="319">
        <v>504013.96</v>
      </c>
      <c r="AZ36" s="319">
        <v>544231.19999999995</v>
      </c>
      <c r="BA36" s="319">
        <v>589135.78</v>
      </c>
      <c r="BB36" s="319">
        <v>620211.19999999995</v>
      </c>
      <c r="BC36" s="319">
        <v>652635.72</v>
      </c>
      <c r="BD36" s="319">
        <v>679282.66</v>
      </c>
      <c r="BE36" s="319">
        <v>708964.5</v>
      </c>
      <c r="BF36" s="319">
        <v>701136.54</v>
      </c>
      <c r="BG36" s="319">
        <v>736933.7</v>
      </c>
      <c r="BH36" s="319">
        <v>920545.38</v>
      </c>
      <c r="BI36" s="319">
        <v>735857.19</v>
      </c>
      <c r="BJ36" s="319">
        <v>719688.32</v>
      </c>
      <c r="BK36" s="319"/>
      <c r="BL36" s="319"/>
      <c r="BM36" s="319"/>
      <c r="BN36" s="319"/>
      <c r="BO36" s="322"/>
      <c r="BP36" s="760"/>
      <c r="BQ36" s="760"/>
      <c r="BR36" s="760"/>
      <c r="BS36" s="760"/>
      <c r="BT36" s="62"/>
      <c r="BU36" s="319" t="s">
        <v>19</v>
      </c>
      <c r="BV36" s="319">
        <v>591858.37</v>
      </c>
      <c r="BW36" s="319">
        <v>667077.30000000005</v>
      </c>
      <c r="BX36" s="319">
        <v>672285.6</v>
      </c>
      <c r="BY36" s="319">
        <v>874201.48</v>
      </c>
      <c r="BZ36" s="319">
        <v>708812.80000000005</v>
      </c>
      <c r="CA36" s="319">
        <v>731743.08</v>
      </c>
      <c r="CB36" s="319">
        <v>1100906.3799999999</v>
      </c>
      <c r="CC36" s="319">
        <v>1474646.16</v>
      </c>
      <c r="CD36" s="319">
        <v>770572.4</v>
      </c>
      <c r="CE36" s="319">
        <v>783506.58</v>
      </c>
      <c r="CF36" s="319">
        <v>811630.37</v>
      </c>
      <c r="CG36" s="319">
        <v>884382.0199999999</v>
      </c>
      <c r="CH36" s="319">
        <v>720986.19000000006</v>
      </c>
      <c r="CI36" s="319"/>
      <c r="CJ36" s="319"/>
      <c r="CK36" s="325"/>
      <c r="CL36" s="319"/>
      <c r="CM36" s="322"/>
      <c r="CN36" s="760"/>
      <c r="CO36" s="760"/>
      <c r="CP36" s="760"/>
      <c r="CQ36" s="760"/>
      <c r="CR36" s="62"/>
      <c r="CS36" s="319" t="s">
        <v>19</v>
      </c>
      <c r="CT36" s="319">
        <v>43306.71</v>
      </c>
      <c r="CU36" s="319">
        <v>44471.82</v>
      </c>
      <c r="CV36" s="319">
        <v>64027.199999999997</v>
      </c>
      <c r="CW36" s="319">
        <v>76017.52</v>
      </c>
      <c r="CX36" s="319">
        <v>88601.600000000006</v>
      </c>
      <c r="CY36" s="319">
        <v>79107.360000000001</v>
      </c>
      <c r="CZ36" s="319">
        <v>70270.62</v>
      </c>
      <c r="DA36" s="319">
        <v>56717.16</v>
      </c>
      <c r="DB36" s="319">
        <v>72434.850000000006</v>
      </c>
      <c r="DC36" s="319">
        <v>59945.04</v>
      </c>
      <c r="DD36" s="319">
        <v>1078.3</v>
      </c>
      <c r="DE36" s="319">
        <v>36659.910000000003</v>
      </c>
      <c r="DF36" s="319">
        <v>58546.79</v>
      </c>
      <c r="DG36" s="319"/>
      <c r="DH36" s="319"/>
      <c r="DI36" s="325"/>
      <c r="DJ36" s="319"/>
      <c r="DK36" s="322"/>
      <c r="DL36" s="760"/>
      <c r="DM36" s="760"/>
      <c r="DN36" s="760"/>
      <c r="DO36" s="760"/>
      <c r="DP36" s="62"/>
      <c r="DQ36" s="319" t="s">
        <v>19</v>
      </c>
      <c r="DR36" s="319">
        <v>43306.71</v>
      </c>
      <c r="DS36" s="319">
        <v>0</v>
      </c>
      <c r="DT36" s="319">
        <v>0</v>
      </c>
      <c r="DU36" s="319">
        <v>0</v>
      </c>
      <c r="DV36" s="319">
        <v>0</v>
      </c>
      <c r="DW36" s="319">
        <v>138437.88</v>
      </c>
      <c r="DX36" s="319">
        <v>70270.62</v>
      </c>
      <c r="DY36" s="319">
        <v>141792.9</v>
      </c>
      <c r="DZ36" s="319">
        <v>28675.99</v>
      </c>
      <c r="EA36" s="319">
        <v>13376.49</v>
      </c>
      <c r="EB36" s="319">
        <v>5181.2000000000007</v>
      </c>
      <c r="EC36" s="319">
        <v>144755.77000000002</v>
      </c>
      <c r="ED36" s="319">
        <v>272217.7</v>
      </c>
      <c r="EE36" s="319"/>
      <c r="EF36" s="319"/>
      <c r="EG36" s="325"/>
      <c r="EH36" s="325"/>
      <c r="EI36" s="375"/>
      <c r="EJ36" s="767"/>
      <c r="EK36" s="767"/>
      <c r="EL36" s="767"/>
      <c r="EM36" s="767"/>
      <c r="EO36" s="319" t="s">
        <v>19</v>
      </c>
      <c r="EP36" s="319">
        <v>1432343</v>
      </c>
      <c r="EQ36" s="319">
        <v>1200503</v>
      </c>
      <c r="ER36" s="319">
        <v>1482668</v>
      </c>
      <c r="ES36" s="319">
        <v>1608184</v>
      </c>
      <c r="ET36" s="319">
        <v>1712469</v>
      </c>
      <c r="EU36" s="319">
        <v>2209042</v>
      </c>
      <c r="EV36" s="319">
        <v>2958336</v>
      </c>
      <c r="EW36" s="319">
        <v>2348500</v>
      </c>
      <c r="EX36" s="319">
        <v>1882107.91</v>
      </c>
      <c r="EY36" s="319">
        <v>2105613.19</v>
      </c>
      <c r="EZ36" s="319">
        <v>2686807.7</v>
      </c>
      <c r="FA36" s="319">
        <v>2156228.75</v>
      </c>
      <c r="FB36" s="319">
        <v>2268476.75</v>
      </c>
      <c r="FC36" s="319"/>
      <c r="FD36" s="319"/>
      <c r="FE36" s="325"/>
      <c r="FF36" s="325"/>
      <c r="FG36" s="375"/>
      <c r="FH36" s="760"/>
      <c r="FI36" s="760"/>
      <c r="FJ36" s="760"/>
      <c r="FK36" s="760"/>
      <c r="GZ36" s="62"/>
      <c r="HB36" s="62"/>
      <c r="HD36" s="62"/>
      <c r="HF36" s="62"/>
      <c r="HH36" s="62"/>
      <c r="HJ36" s="62"/>
      <c r="HL36" s="62"/>
      <c r="HN36" s="62"/>
    </row>
    <row r="37" spans="1:222" s="61" customFormat="1">
      <c r="A37" s="319" t="s">
        <v>20</v>
      </c>
      <c r="B37" s="319">
        <v>824841</v>
      </c>
      <c r="C37" s="319">
        <v>821714</v>
      </c>
      <c r="D37" s="319">
        <v>943143</v>
      </c>
      <c r="E37" s="319">
        <v>570479</v>
      </c>
      <c r="F37" s="319">
        <v>627658</v>
      </c>
      <c r="G37" s="319">
        <v>869061</v>
      </c>
      <c r="H37" s="319">
        <v>1460431</v>
      </c>
      <c r="I37" s="319">
        <v>669537</v>
      </c>
      <c r="J37" s="319">
        <v>1119210.1800000002</v>
      </c>
      <c r="K37" s="319">
        <v>655646.19000000006</v>
      </c>
      <c r="L37" s="319">
        <v>619976.05999999994</v>
      </c>
      <c r="M37" s="319">
        <v>1912890.4600000002</v>
      </c>
      <c r="N37" s="319">
        <v>1293649.3899999999</v>
      </c>
      <c r="O37" s="319">
        <v>759896.94000000006</v>
      </c>
      <c r="P37" s="319">
        <v>618386.96999999986</v>
      </c>
      <c r="Q37" s="319">
        <v>1022077.27</v>
      </c>
      <c r="R37" s="319">
        <v>592631.12</v>
      </c>
      <c r="S37" s="322">
        <v>621248.7300000001</v>
      </c>
      <c r="T37" s="760">
        <v>1626619.03</v>
      </c>
      <c r="U37" s="760">
        <v>919443.76</v>
      </c>
      <c r="V37" s="760">
        <v>2215051.9099999992</v>
      </c>
      <c r="W37" s="760">
        <v>550720</v>
      </c>
      <c r="X37" s="42"/>
      <c r="Y37" s="319" t="s">
        <v>20</v>
      </c>
      <c r="Z37" s="319">
        <v>24745.23</v>
      </c>
      <c r="AA37" s="319">
        <v>24651.42</v>
      </c>
      <c r="AB37" s="319">
        <v>37725.72</v>
      </c>
      <c r="AC37" s="319">
        <v>11409.58</v>
      </c>
      <c r="AD37" s="319">
        <v>25106.32</v>
      </c>
      <c r="AE37" s="319">
        <v>26071.83</v>
      </c>
      <c r="AF37" s="319">
        <v>29208.62</v>
      </c>
      <c r="AG37" s="319">
        <v>26781.48</v>
      </c>
      <c r="AH37" s="319">
        <v>31910.97</v>
      </c>
      <c r="AI37" s="319">
        <v>31820.6</v>
      </c>
      <c r="AJ37" s="319">
        <v>33283.25</v>
      </c>
      <c r="AK37" s="319">
        <v>34689.32</v>
      </c>
      <c r="AL37" s="319">
        <v>82339.570000000007</v>
      </c>
      <c r="AM37" s="319">
        <v>6877.06</v>
      </c>
      <c r="AN37" s="319">
        <v>82443.34</v>
      </c>
      <c r="AO37" s="319">
        <v>0</v>
      </c>
      <c r="AP37" s="319">
        <v>41862.78</v>
      </c>
      <c r="AQ37" s="322">
        <v>43194.66</v>
      </c>
      <c r="AR37" s="760">
        <v>43913.22</v>
      </c>
      <c r="AS37" s="760">
        <v>46265.99</v>
      </c>
      <c r="AT37" s="760">
        <v>91419.28</v>
      </c>
      <c r="AU37" s="760">
        <v>0</v>
      </c>
      <c r="AV37" s="62"/>
      <c r="AW37" s="319" t="s">
        <v>20</v>
      </c>
      <c r="AX37" s="319">
        <v>0</v>
      </c>
      <c r="AY37" s="319">
        <v>0</v>
      </c>
      <c r="AZ37" s="319">
        <v>0</v>
      </c>
      <c r="BA37" s="319">
        <v>0</v>
      </c>
      <c r="BB37" s="319">
        <v>0</v>
      </c>
      <c r="BC37" s="319">
        <v>0</v>
      </c>
      <c r="BD37" s="319">
        <v>0</v>
      </c>
      <c r="BE37" s="319">
        <v>0</v>
      </c>
      <c r="BF37" s="319">
        <v>0</v>
      </c>
      <c r="BG37" s="319">
        <v>0</v>
      </c>
      <c r="BH37" s="319">
        <v>0</v>
      </c>
      <c r="BI37" s="319">
        <v>0</v>
      </c>
      <c r="BJ37" s="319">
        <v>0</v>
      </c>
      <c r="BK37" s="319">
        <v>0</v>
      </c>
      <c r="BL37" s="319">
        <v>0</v>
      </c>
      <c r="BM37" s="319">
        <v>0</v>
      </c>
      <c r="BN37" s="319">
        <v>0</v>
      </c>
      <c r="BO37" s="322">
        <v>0</v>
      </c>
      <c r="BP37" s="760">
        <v>0</v>
      </c>
      <c r="BQ37" s="760">
        <v>0</v>
      </c>
      <c r="BR37" s="760">
        <v>0</v>
      </c>
      <c r="BS37" s="760">
        <v>0</v>
      </c>
      <c r="BT37" s="62"/>
      <c r="BU37" s="319" t="s">
        <v>20</v>
      </c>
      <c r="BV37" s="319">
        <v>775350.54</v>
      </c>
      <c r="BW37" s="319">
        <v>780628.3</v>
      </c>
      <c r="BX37" s="319">
        <v>886554.42</v>
      </c>
      <c r="BY37" s="319">
        <v>530545.47</v>
      </c>
      <c r="BZ37" s="319">
        <v>577445.36</v>
      </c>
      <c r="CA37" s="319">
        <v>825607.95</v>
      </c>
      <c r="CB37" s="319">
        <v>1416618.07</v>
      </c>
      <c r="CC37" s="319">
        <v>595887.93000000005</v>
      </c>
      <c r="CD37" s="319">
        <v>1082840.3900000001</v>
      </c>
      <c r="CE37" s="319">
        <v>621573.42000000004</v>
      </c>
      <c r="CF37" s="319">
        <v>581183.31999999995</v>
      </c>
      <c r="CG37" s="319">
        <v>1858703.1800000002</v>
      </c>
      <c r="CH37" s="319">
        <v>1172473.94</v>
      </c>
      <c r="CI37" s="319">
        <v>746813.21</v>
      </c>
      <c r="CJ37" s="319">
        <v>533551.93999999994</v>
      </c>
      <c r="CK37" s="319">
        <v>1014509.86</v>
      </c>
      <c r="CL37" s="319">
        <v>548295.88</v>
      </c>
      <c r="CM37" s="322">
        <v>575318.05000000005</v>
      </c>
      <c r="CN37" s="760">
        <v>1582705.81</v>
      </c>
      <c r="CO37" s="760">
        <v>871619.23</v>
      </c>
      <c r="CP37" s="760">
        <v>2122614.8299999996</v>
      </c>
      <c r="CQ37" s="760">
        <v>549720</v>
      </c>
      <c r="CR37" s="62"/>
      <c r="CS37" s="319" t="s">
        <v>20</v>
      </c>
      <c r="CT37" s="319">
        <v>16496.82</v>
      </c>
      <c r="CU37" s="319">
        <v>8217.14</v>
      </c>
      <c r="CV37" s="319">
        <v>9431.43</v>
      </c>
      <c r="CW37" s="319">
        <v>17114.37</v>
      </c>
      <c r="CX37" s="319">
        <v>18829.740000000002</v>
      </c>
      <c r="CY37" s="319">
        <v>17381.22</v>
      </c>
      <c r="CZ37" s="319">
        <v>14604.31</v>
      </c>
      <c r="DA37" s="319">
        <v>6695.37</v>
      </c>
      <c r="DB37" s="319">
        <v>2886.14</v>
      </c>
      <c r="DC37" s="319">
        <v>2252.17</v>
      </c>
      <c r="DD37" s="319">
        <v>5509.49</v>
      </c>
      <c r="DE37" s="319">
        <v>6836.49</v>
      </c>
      <c r="DF37" s="319">
        <v>11570.74</v>
      </c>
      <c r="DG37" s="319">
        <v>4923.3</v>
      </c>
      <c r="DH37" s="319">
        <v>701.89</v>
      </c>
      <c r="DI37" s="319">
        <v>1529.31</v>
      </c>
      <c r="DJ37" s="319">
        <v>2472.46</v>
      </c>
      <c r="DK37" s="322">
        <v>2736.02</v>
      </c>
      <c r="DL37" s="760">
        <v>0</v>
      </c>
      <c r="DM37" s="760">
        <v>1558.54</v>
      </c>
      <c r="DN37" s="760">
        <v>1017.8</v>
      </c>
      <c r="DO37" s="760">
        <v>1000</v>
      </c>
      <c r="DP37" s="62"/>
      <c r="DQ37" s="319" t="s">
        <v>20</v>
      </c>
      <c r="DR37" s="319">
        <v>8248.41</v>
      </c>
      <c r="DS37" s="319">
        <v>8217.14</v>
      </c>
      <c r="DT37" s="319">
        <v>9431.43</v>
      </c>
      <c r="DU37" s="319">
        <v>11409.58</v>
      </c>
      <c r="DV37" s="319">
        <v>6276.58</v>
      </c>
      <c r="DW37" s="319">
        <v>0</v>
      </c>
      <c r="DX37" s="319">
        <v>0</v>
      </c>
      <c r="DY37" s="319">
        <v>40172.22</v>
      </c>
      <c r="DZ37" s="319">
        <v>1572.68</v>
      </c>
      <c r="EA37" s="319">
        <v>0</v>
      </c>
      <c r="EB37" s="319">
        <v>0</v>
      </c>
      <c r="EC37" s="319">
        <v>12661.47</v>
      </c>
      <c r="ED37" s="319">
        <v>27265.14</v>
      </c>
      <c r="EE37" s="319">
        <v>1283.3699999999999</v>
      </c>
      <c r="EF37" s="319">
        <v>1689.8</v>
      </c>
      <c r="EG37" s="319">
        <v>6038.1</v>
      </c>
      <c r="EH37" s="319">
        <v>0</v>
      </c>
      <c r="EI37" s="322">
        <v>0</v>
      </c>
      <c r="EJ37" s="767">
        <v>0</v>
      </c>
      <c r="EK37" s="767">
        <v>0</v>
      </c>
      <c r="EL37" s="767">
        <v>0</v>
      </c>
      <c r="EM37" s="767">
        <v>0</v>
      </c>
      <c r="EO37" s="319" t="s">
        <v>20</v>
      </c>
      <c r="EP37" s="319">
        <v>835223</v>
      </c>
      <c r="EQ37" s="319">
        <v>802670</v>
      </c>
      <c r="ER37" s="319">
        <v>909826</v>
      </c>
      <c r="ES37" s="319">
        <v>646207</v>
      </c>
      <c r="ET37" s="319">
        <v>634507</v>
      </c>
      <c r="EU37" s="319">
        <v>768863</v>
      </c>
      <c r="EV37" s="319">
        <v>1479210</v>
      </c>
      <c r="EW37" s="319">
        <v>703005</v>
      </c>
      <c r="EX37" s="319">
        <v>1086205.93</v>
      </c>
      <c r="EY37" s="319">
        <v>734215.04</v>
      </c>
      <c r="EZ37" s="319">
        <v>599061.7699999999</v>
      </c>
      <c r="FA37" s="319">
        <v>1894018.48</v>
      </c>
      <c r="FB37" s="319">
        <v>1300982.7000000002</v>
      </c>
      <c r="FC37" s="319">
        <v>862036.96</v>
      </c>
      <c r="FD37" s="319">
        <v>533753.47</v>
      </c>
      <c r="FE37" s="319">
        <v>1058226.67</v>
      </c>
      <c r="FF37" s="319">
        <v>562753.91</v>
      </c>
      <c r="FG37" s="322">
        <v>603811.20000000007</v>
      </c>
      <c r="FH37" s="760">
        <v>1577719.2599999998</v>
      </c>
      <c r="FI37" s="760">
        <v>809081.13</v>
      </c>
      <c r="FJ37" s="760">
        <v>2091975.3000000003</v>
      </c>
      <c r="FK37" s="760">
        <v>750000</v>
      </c>
      <c r="GZ37" s="62"/>
      <c r="HB37" s="62"/>
      <c r="HD37" s="62"/>
      <c r="HF37" s="62"/>
      <c r="HH37" s="62"/>
      <c r="HJ37" s="62"/>
      <c r="HL37" s="62"/>
      <c r="HN37" s="62"/>
    </row>
    <row r="38" spans="1:222" s="61" customFormat="1">
      <c r="A38" s="319" t="s">
        <v>21</v>
      </c>
      <c r="B38" s="319">
        <v>785478</v>
      </c>
      <c r="C38" s="319">
        <v>833825</v>
      </c>
      <c r="D38" s="319">
        <v>872378</v>
      </c>
      <c r="E38" s="319">
        <v>901971</v>
      </c>
      <c r="F38" s="319">
        <v>949332</v>
      </c>
      <c r="G38" s="319">
        <v>962669</v>
      </c>
      <c r="H38" s="319">
        <v>1933282</v>
      </c>
      <c r="I38" s="319">
        <v>1780195</v>
      </c>
      <c r="J38" s="319">
        <v>1268156.9000000001</v>
      </c>
      <c r="K38" s="319">
        <v>1097432.1200000001</v>
      </c>
      <c r="L38" s="319">
        <v>1061221.0900000001</v>
      </c>
      <c r="M38" s="319">
        <v>2156615.4699999997</v>
      </c>
      <c r="N38" s="319">
        <v>1684500.1199999999</v>
      </c>
      <c r="O38" s="319">
        <v>1165814.1500000001</v>
      </c>
      <c r="P38" s="319">
        <v>1232715.48</v>
      </c>
      <c r="Q38" s="319">
        <v>1129189.82</v>
      </c>
      <c r="R38" s="319"/>
      <c r="S38" s="322">
        <v>1088437.1400000001</v>
      </c>
      <c r="T38" s="760">
        <v>1184942.3700000001</v>
      </c>
      <c r="U38" s="760">
        <v>1173248.47</v>
      </c>
      <c r="V38" s="760">
        <v>1335702.79</v>
      </c>
      <c r="W38" s="760">
        <v>1132910</v>
      </c>
      <c r="X38" s="42"/>
      <c r="Y38" s="319" t="s">
        <v>21</v>
      </c>
      <c r="Z38" s="319">
        <v>196369.5</v>
      </c>
      <c r="AA38" s="319">
        <v>208456.25</v>
      </c>
      <c r="AB38" s="319">
        <v>226818.28</v>
      </c>
      <c r="AC38" s="319">
        <v>243532.17</v>
      </c>
      <c r="AD38" s="319">
        <v>265812.96000000002</v>
      </c>
      <c r="AE38" s="319">
        <v>279174.01</v>
      </c>
      <c r="AF38" s="319">
        <v>289992.3</v>
      </c>
      <c r="AG38" s="319">
        <v>302633.15000000002</v>
      </c>
      <c r="AH38" s="319">
        <v>326601.95</v>
      </c>
      <c r="AI38" s="319">
        <v>329530.34999999998</v>
      </c>
      <c r="AJ38" s="319">
        <v>344117.77</v>
      </c>
      <c r="AK38" s="319">
        <v>361906.83999999997</v>
      </c>
      <c r="AL38" s="319">
        <v>374504.07</v>
      </c>
      <c r="AM38" s="319">
        <v>392953.11000000004</v>
      </c>
      <c r="AN38" s="319">
        <v>407992.95999999996</v>
      </c>
      <c r="AO38" s="319">
        <v>396857.94</v>
      </c>
      <c r="AP38" s="319"/>
      <c r="AQ38" s="322">
        <v>396588.75</v>
      </c>
      <c r="AR38" s="760">
        <v>423573.09</v>
      </c>
      <c r="AS38" s="760">
        <v>429496.71</v>
      </c>
      <c r="AT38" s="760">
        <v>436885.09</v>
      </c>
      <c r="AU38" s="760">
        <v>438500</v>
      </c>
      <c r="AV38" s="62"/>
      <c r="AW38" s="319" t="s">
        <v>21</v>
      </c>
      <c r="AX38" s="319">
        <v>0</v>
      </c>
      <c r="AY38" s="319">
        <v>0</v>
      </c>
      <c r="AZ38" s="319">
        <v>0</v>
      </c>
      <c r="BA38" s="319">
        <v>0</v>
      </c>
      <c r="BB38" s="319">
        <v>0</v>
      </c>
      <c r="BC38" s="319">
        <v>0</v>
      </c>
      <c r="BD38" s="319">
        <v>0</v>
      </c>
      <c r="BE38" s="319">
        <v>0</v>
      </c>
      <c r="BF38" s="319">
        <v>0</v>
      </c>
      <c r="BG38" s="319">
        <v>0</v>
      </c>
      <c r="BH38" s="319">
        <v>0</v>
      </c>
      <c r="BI38" s="319">
        <v>0</v>
      </c>
      <c r="BJ38" s="319">
        <v>0</v>
      </c>
      <c r="BK38" s="319">
        <v>0</v>
      </c>
      <c r="BL38" s="319">
        <v>0</v>
      </c>
      <c r="BM38" s="319">
        <v>0</v>
      </c>
      <c r="BN38" s="319"/>
      <c r="BO38" s="322">
        <v>0</v>
      </c>
      <c r="BP38" s="760">
        <v>0</v>
      </c>
      <c r="BQ38" s="760">
        <v>0</v>
      </c>
      <c r="BR38" s="760">
        <v>0</v>
      </c>
      <c r="BS38" s="760">
        <v>0</v>
      </c>
      <c r="BT38" s="62"/>
      <c r="BU38" s="319" t="s">
        <v>21</v>
      </c>
      <c r="BV38" s="319">
        <v>541979.81999999995</v>
      </c>
      <c r="BW38" s="319">
        <v>583677.5</v>
      </c>
      <c r="BX38" s="319">
        <v>601940.81999999995</v>
      </c>
      <c r="BY38" s="319">
        <v>613340.28</v>
      </c>
      <c r="BZ38" s="319">
        <v>645545.76</v>
      </c>
      <c r="CA38" s="319">
        <v>644988.23</v>
      </c>
      <c r="CB38" s="319">
        <v>1623956.88</v>
      </c>
      <c r="CC38" s="319">
        <v>1441957.95</v>
      </c>
      <c r="CD38" s="319">
        <v>909810.41</v>
      </c>
      <c r="CE38" s="319">
        <v>755549.88</v>
      </c>
      <c r="CF38" s="319">
        <v>707597.21000000008</v>
      </c>
      <c r="CG38" s="319">
        <v>1779739.0099999998</v>
      </c>
      <c r="CH38" s="319">
        <v>1267852.5499999998</v>
      </c>
      <c r="CI38" s="319">
        <v>754205.48</v>
      </c>
      <c r="CJ38" s="319">
        <v>812311.6</v>
      </c>
      <c r="CK38" s="319">
        <v>717310.8600000001</v>
      </c>
      <c r="CL38" s="319"/>
      <c r="CM38" s="322">
        <v>680972.46000000008</v>
      </c>
      <c r="CN38" s="760">
        <v>754516.53</v>
      </c>
      <c r="CO38" s="760">
        <v>736707.50999999989</v>
      </c>
      <c r="CP38" s="760">
        <v>892494.88</v>
      </c>
      <c r="CQ38" s="760">
        <v>688510</v>
      </c>
      <c r="CR38" s="62"/>
      <c r="CS38" s="319" t="s">
        <v>21</v>
      </c>
      <c r="CT38" s="319">
        <v>23564.34</v>
      </c>
      <c r="CU38" s="319">
        <v>33353</v>
      </c>
      <c r="CV38" s="319">
        <v>34895.120000000003</v>
      </c>
      <c r="CW38" s="319">
        <v>18039.419999999998</v>
      </c>
      <c r="CX38" s="319">
        <v>18986.64</v>
      </c>
      <c r="CY38" s="319">
        <v>9626.69</v>
      </c>
      <c r="CZ38" s="319">
        <v>0</v>
      </c>
      <c r="DA38" s="319">
        <v>17801.95</v>
      </c>
      <c r="DB38" s="319">
        <v>22389.39</v>
      </c>
      <c r="DC38" s="319">
        <v>9838.76</v>
      </c>
      <c r="DD38" s="319">
        <v>6043.6</v>
      </c>
      <c r="DE38" s="319">
        <v>10383.81</v>
      </c>
      <c r="DF38" s="319">
        <v>20597.45</v>
      </c>
      <c r="DG38" s="319">
        <v>7932.41</v>
      </c>
      <c r="DH38" s="319">
        <v>9878.7199999999993</v>
      </c>
      <c r="DI38" s="319">
        <v>7214.4</v>
      </c>
      <c r="DJ38" s="319"/>
      <c r="DK38" s="322">
        <v>5663.26</v>
      </c>
      <c r="DL38" s="760">
        <v>2309.61</v>
      </c>
      <c r="DM38" s="760">
        <v>2798.42</v>
      </c>
      <c r="DN38" s="760">
        <v>2939.65</v>
      </c>
      <c r="DO38" s="760">
        <v>2800</v>
      </c>
      <c r="DP38" s="62"/>
      <c r="DQ38" s="319" t="s">
        <v>21</v>
      </c>
      <c r="DR38" s="319">
        <v>23564.34</v>
      </c>
      <c r="DS38" s="319">
        <v>8338.25</v>
      </c>
      <c r="DT38" s="319">
        <v>8723.7800000000007</v>
      </c>
      <c r="DU38" s="319">
        <v>27059.13</v>
      </c>
      <c r="DV38" s="319">
        <v>18986.64</v>
      </c>
      <c r="DW38" s="319">
        <v>28880.07</v>
      </c>
      <c r="DX38" s="319">
        <v>19332.82</v>
      </c>
      <c r="DY38" s="319">
        <v>17801.95</v>
      </c>
      <c r="DZ38" s="319">
        <v>9355.15</v>
      </c>
      <c r="EA38" s="319">
        <v>2513.13</v>
      </c>
      <c r="EB38" s="319">
        <v>3462.51</v>
      </c>
      <c r="EC38" s="319">
        <v>4585.8099999999995</v>
      </c>
      <c r="ED38" s="319">
        <v>21546.05</v>
      </c>
      <c r="EE38" s="319">
        <v>10723.15</v>
      </c>
      <c r="EF38" s="319">
        <v>2532.1999999999998</v>
      </c>
      <c r="EG38" s="319">
        <v>7806.62</v>
      </c>
      <c r="EH38" s="319"/>
      <c r="EI38" s="322">
        <v>5212.67</v>
      </c>
      <c r="EJ38" s="767">
        <v>4543.1399999999994</v>
      </c>
      <c r="EK38" s="767">
        <v>4245.83</v>
      </c>
      <c r="EL38" s="767">
        <v>3383.1699999999996</v>
      </c>
      <c r="EM38" s="767">
        <v>3100</v>
      </c>
      <c r="EO38" s="319" t="s">
        <v>21</v>
      </c>
      <c r="EP38" s="319">
        <v>655055</v>
      </c>
      <c r="EQ38" s="319">
        <v>744271</v>
      </c>
      <c r="ER38" s="319">
        <v>1162391</v>
      </c>
      <c r="ES38" s="319">
        <v>939640</v>
      </c>
      <c r="ET38" s="319">
        <v>1023957</v>
      </c>
      <c r="EU38" s="319">
        <v>1041333</v>
      </c>
      <c r="EV38" s="319">
        <v>1914485</v>
      </c>
      <c r="EW38" s="319">
        <v>1672731</v>
      </c>
      <c r="EX38" s="319">
        <v>1329074.77</v>
      </c>
      <c r="EY38" s="319">
        <v>1137184.01</v>
      </c>
      <c r="EZ38" s="319">
        <v>1032741.98</v>
      </c>
      <c r="FA38" s="319">
        <v>1662676.15</v>
      </c>
      <c r="FB38" s="319">
        <v>2111856.2200000002</v>
      </c>
      <c r="FC38" s="319">
        <v>1115436.04</v>
      </c>
      <c r="FD38" s="319">
        <v>1261041.17</v>
      </c>
      <c r="FE38" s="319">
        <v>1107635.43</v>
      </c>
      <c r="FF38" s="319"/>
      <c r="FG38" s="322">
        <v>1114060.3799999999</v>
      </c>
      <c r="FH38" s="760">
        <v>1143140.58</v>
      </c>
      <c r="FI38" s="760">
        <v>1089246.6199999999</v>
      </c>
      <c r="FJ38" s="760">
        <v>1387458.6199999999</v>
      </c>
      <c r="FK38" s="760">
        <v>1324600</v>
      </c>
      <c r="GZ38" s="62"/>
      <c r="HB38" s="62"/>
      <c r="HD38" s="62"/>
      <c r="HF38" s="62"/>
      <c r="HH38" s="62"/>
      <c r="HJ38" s="62"/>
      <c r="HL38" s="62"/>
      <c r="HN38" s="62"/>
    </row>
    <row r="39" spans="1:222" s="61" customFormat="1">
      <c r="A39" s="319" t="s">
        <v>22</v>
      </c>
      <c r="B39" s="319">
        <v>1552034</v>
      </c>
      <c r="C39" s="319">
        <v>1301111</v>
      </c>
      <c r="D39" s="319">
        <v>2234875</v>
      </c>
      <c r="E39" s="319">
        <v>921544</v>
      </c>
      <c r="F39" s="319">
        <v>912055</v>
      </c>
      <c r="G39" s="319">
        <v>902272</v>
      </c>
      <c r="H39" s="319">
        <v>1163126</v>
      </c>
      <c r="I39" s="319">
        <v>896021</v>
      </c>
      <c r="J39" s="319">
        <v>1079559.8799999999</v>
      </c>
      <c r="K39" s="319">
        <v>1650362.4500000002</v>
      </c>
      <c r="L39" s="319">
        <v>1213087.08</v>
      </c>
      <c r="M39" s="319">
        <v>1471075.9300000002</v>
      </c>
      <c r="N39" s="319">
        <v>1080245.78</v>
      </c>
      <c r="O39" s="319">
        <v>1427789.9000000001</v>
      </c>
      <c r="P39" s="319">
        <v>709888.58000000007</v>
      </c>
      <c r="Q39" s="319">
        <v>1034576.71</v>
      </c>
      <c r="R39" s="319"/>
      <c r="S39" s="322">
        <v>737708.41999999993</v>
      </c>
      <c r="T39" s="760"/>
      <c r="U39" s="760">
        <v>1227154.81</v>
      </c>
      <c r="V39" s="760">
        <v>1112048.26</v>
      </c>
      <c r="W39" s="760">
        <v>1108560</v>
      </c>
      <c r="X39" s="42"/>
      <c r="Y39" s="319" t="s">
        <v>22</v>
      </c>
      <c r="Z39" s="319">
        <v>0</v>
      </c>
      <c r="AA39" s="319">
        <v>0</v>
      </c>
      <c r="AB39" s="319">
        <v>0</v>
      </c>
      <c r="AC39" s="319">
        <v>0</v>
      </c>
      <c r="AD39" s="319">
        <v>0</v>
      </c>
      <c r="AE39" s="319">
        <v>0</v>
      </c>
      <c r="AF39" s="319">
        <v>0</v>
      </c>
      <c r="AG39" s="319">
        <v>0</v>
      </c>
      <c r="AH39" s="319">
        <v>0</v>
      </c>
      <c r="AI39" s="319">
        <v>0</v>
      </c>
      <c r="AJ39" s="319">
        <v>0</v>
      </c>
      <c r="AK39" s="319">
        <v>0</v>
      </c>
      <c r="AL39" s="319">
        <v>0</v>
      </c>
      <c r="AM39" s="319">
        <v>0</v>
      </c>
      <c r="AN39" s="319">
        <v>0</v>
      </c>
      <c r="AO39" s="319">
        <v>0</v>
      </c>
      <c r="AP39" s="319"/>
      <c r="AQ39" s="322">
        <v>0</v>
      </c>
      <c r="AR39" s="760"/>
      <c r="AS39" s="760">
        <v>0</v>
      </c>
      <c r="AT39" s="760">
        <v>0</v>
      </c>
      <c r="AU39" s="760">
        <v>0</v>
      </c>
      <c r="AV39" s="62"/>
      <c r="AW39" s="319" t="s">
        <v>22</v>
      </c>
      <c r="AX39" s="319">
        <v>0</v>
      </c>
      <c r="AY39" s="319">
        <v>0</v>
      </c>
      <c r="AZ39" s="319">
        <v>0</v>
      </c>
      <c r="BA39" s="319">
        <v>0</v>
      </c>
      <c r="BB39" s="319">
        <v>0</v>
      </c>
      <c r="BC39" s="319">
        <v>0</v>
      </c>
      <c r="BD39" s="319">
        <v>0</v>
      </c>
      <c r="BE39" s="319">
        <v>0</v>
      </c>
      <c r="BF39" s="319">
        <v>0</v>
      </c>
      <c r="BG39" s="319">
        <v>0</v>
      </c>
      <c r="BH39" s="319">
        <v>0</v>
      </c>
      <c r="BI39" s="319">
        <v>0</v>
      </c>
      <c r="BJ39" s="319">
        <v>0</v>
      </c>
      <c r="BK39" s="319">
        <v>0</v>
      </c>
      <c r="BL39" s="319">
        <v>0</v>
      </c>
      <c r="BM39" s="319">
        <v>0</v>
      </c>
      <c r="BN39" s="319"/>
      <c r="BO39" s="322">
        <v>0</v>
      </c>
      <c r="BP39" s="760"/>
      <c r="BQ39" s="760">
        <v>0</v>
      </c>
      <c r="BR39" s="760">
        <v>0</v>
      </c>
      <c r="BS39" s="760">
        <v>0</v>
      </c>
      <c r="BT39" s="62"/>
      <c r="BU39" s="319" t="s">
        <v>22</v>
      </c>
      <c r="BV39" s="319">
        <v>1505472.98</v>
      </c>
      <c r="BW39" s="319">
        <v>1236055.45</v>
      </c>
      <c r="BX39" s="319">
        <v>2190177.5</v>
      </c>
      <c r="BY39" s="319">
        <v>810958.72</v>
      </c>
      <c r="BZ39" s="319">
        <v>848211.15</v>
      </c>
      <c r="CA39" s="319">
        <v>830090.23999999999</v>
      </c>
      <c r="CB39" s="319">
        <v>1116600.96</v>
      </c>
      <c r="CC39" s="319">
        <v>878100.58</v>
      </c>
      <c r="CD39" s="319">
        <v>1056786.3999999999</v>
      </c>
      <c r="CE39" s="319">
        <v>1626888.34</v>
      </c>
      <c r="CF39" s="319">
        <v>1189510.1600000001</v>
      </c>
      <c r="CG39" s="319">
        <v>1400197.35</v>
      </c>
      <c r="CH39" s="319">
        <v>1052346.1100000001</v>
      </c>
      <c r="CI39" s="319">
        <v>1412715.1300000001</v>
      </c>
      <c r="CJ39" s="319">
        <v>599477.92000000004</v>
      </c>
      <c r="CK39" s="319">
        <v>993360.11</v>
      </c>
      <c r="CL39" s="319"/>
      <c r="CM39" s="322">
        <v>659570.04999999993</v>
      </c>
      <c r="CN39" s="760"/>
      <c r="CO39" s="760">
        <v>1218708.79</v>
      </c>
      <c r="CP39" s="760">
        <v>970942.14</v>
      </c>
      <c r="CQ39" s="760">
        <v>1093060</v>
      </c>
      <c r="CR39" s="62"/>
      <c r="CS39" s="319" t="s">
        <v>22</v>
      </c>
      <c r="CT39" s="319">
        <v>31040.68</v>
      </c>
      <c r="CU39" s="319">
        <v>26022.22</v>
      </c>
      <c r="CV39" s="319">
        <v>22348.75</v>
      </c>
      <c r="CW39" s="319">
        <v>36861.760000000002</v>
      </c>
      <c r="CX39" s="319">
        <v>54723.3</v>
      </c>
      <c r="CY39" s="319">
        <v>45113.599999999999</v>
      </c>
      <c r="CZ39" s="319">
        <v>23262.52</v>
      </c>
      <c r="DA39" s="319">
        <v>8960.2099999999991</v>
      </c>
      <c r="DB39" s="319">
        <v>7439.25</v>
      </c>
      <c r="DC39" s="319">
        <v>14861.28</v>
      </c>
      <c r="DD39" s="319">
        <v>19088.68</v>
      </c>
      <c r="DE39" s="319">
        <v>26598.68</v>
      </c>
      <c r="DF39" s="319">
        <v>15724.08</v>
      </c>
      <c r="DG39" s="319">
        <v>5901.62</v>
      </c>
      <c r="DH39" s="319">
        <v>1447.32</v>
      </c>
      <c r="DI39" s="319">
        <v>1159.68</v>
      </c>
      <c r="DJ39" s="319"/>
      <c r="DK39" s="322">
        <v>499.72</v>
      </c>
      <c r="DL39" s="760"/>
      <c r="DM39" s="760">
        <v>368.5</v>
      </c>
      <c r="DN39" s="760">
        <v>420.21</v>
      </c>
      <c r="DO39" s="760">
        <v>0</v>
      </c>
      <c r="DP39" s="62"/>
      <c r="DQ39" s="319" t="s">
        <v>22</v>
      </c>
      <c r="DR39" s="319">
        <v>15520.34</v>
      </c>
      <c r="DS39" s="319">
        <v>39033.33</v>
      </c>
      <c r="DT39" s="319">
        <v>22348.75</v>
      </c>
      <c r="DU39" s="319">
        <v>73723.520000000004</v>
      </c>
      <c r="DV39" s="319">
        <v>9120.5499999999993</v>
      </c>
      <c r="DW39" s="319">
        <v>27068.16</v>
      </c>
      <c r="DX39" s="319">
        <v>23262.52</v>
      </c>
      <c r="DY39" s="319">
        <v>8960.2099999999991</v>
      </c>
      <c r="DZ39" s="319">
        <v>15334.23</v>
      </c>
      <c r="EA39" s="319">
        <v>8612.83</v>
      </c>
      <c r="EB39" s="319">
        <v>4488.24</v>
      </c>
      <c r="EC39" s="319">
        <v>42079.9</v>
      </c>
      <c r="ED39" s="319">
        <v>11550.380000000001</v>
      </c>
      <c r="EE39" s="319">
        <v>7723.15</v>
      </c>
      <c r="EF39" s="319">
        <v>105362.64</v>
      </c>
      <c r="EG39" s="319">
        <v>39456.92</v>
      </c>
      <c r="EH39" s="319"/>
      <c r="EI39" s="322">
        <v>70961.39</v>
      </c>
      <c r="EJ39" s="767"/>
      <c r="EK39" s="767">
        <v>8077.52</v>
      </c>
      <c r="EL39" s="767">
        <v>140685.91</v>
      </c>
      <c r="EM39" s="767">
        <v>15500</v>
      </c>
      <c r="EO39" s="319" t="s">
        <v>22</v>
      </c>
      <c r="EP39" s="319">
        <v>1551242</v>
      </c>
      <c r="EQ39" s="319">
        <v>1259434</v>
      </c>
      <c r="ER39" s="319">
        <v>1968888</v>
      </c>
      <c r="ES39" s="319">
        <v>835841</v>
      </c>
      <c r="ET39" s="319">
        <v>872359</v>
      </c>
      <c r="EU39" s="319">
        <v>1138591</v>
      </c>
      <c r="EV39" s="319">
        <v>1139528</v>
      </c>
      <c r="EW39" s="319">
        <v>1006056</v>
      </c>
      <c r="EX39" s="319">
        <v>1346649.7</v>
      </c>
      <c r="EY39" s="319">
        <v>1376879.06</v>
      </c>
      <c r="EZ39" s="319">
        <v>1341061.28</v>
      </c>
      <c r="FA39" s="319">
        <v>1655296.6539999999</v>
      </c>
      <c r="FB39" s="319">
        <v>1251873.2099999997</v>
      </c>
      <c r="FC39" s="319">
        <v>1415060.8699999999</v>
      </c>
      <c r="FD39" s="319">
        <v>730570.26</v>
      </c>
      <c r="FE39" s="319">
        <v>1056164.46</v>
      </c>
      <c r="FF39" s="319"/>
      <c r="FG39" s="322">
        <v>765380.7300000001</v>
      </c>
      <c r="FH39" s="760"/>
      <c r="FI39" s="760">
        <v>1306370.33</v>
      </c>
      <c r="FJ39" s="760">
        <v>926217.54</v>
      </c>
      <c r="FK39" s="760">
        <v>1267763.3799999999</v>
      </c>
      <c r="GZ39" s="62"/>
      <c r="HB39" s="62"/>
      <c r="HD39" s="62"/>
      <c r="HF39" s="62"/>
      <c r="HH39" s="62"/>
      <c r="HJ39" s="62"/>
      <c r="HL39" s="62"/>
      <c r="HN39" s="62"/>
    </row>
    <row r="40" spans="1:222" s="61" customFormat="1">
      <c r="A40" s="319" t="s">
        <v>23</v>
      </c>
      <c r="B40" s="319">
        <v>718231</v>
      </c>
      <c r="C40" s="319">
        <v>594627</v>
      </c>
      <c r="D40" s="319">
        <v>781581</v>
      </c>
      <c r="E40" s="319">
        <v>911505</v>
      </c>
      <c r="F40" s="319">
        <v>1148212</v>
      </c>
      <c r="G40" s="319">
        <v>853719</v>
      </c>
      <c r="H40" s="319">
        <v>817249</v>
      </c>
      <c r="I40" s="319">
        <v>1070367</v>
      </c>
      <c r="J40" s="319">
        <v>1062726</v>
      </c>
      <c r="K40" s="319">
        <v>1354531</v>
      </c>
      <c r="L40" s="319">
        <v>734877</v>
      </c>
      <c r="M40" s="319">
        <v>1134578</v>
      </c>
      <c r="N40" s="319">
        <v>715529</v>
      </c>
      <c r="O40" s="319">
        <v>689389</v>
      </c>
      <c r="P40" s="319">
        <v>1077783</v>
      </c>
      <c r="Q40" s="319">
        <v>950596.13</v>
      </c>
      <c r="R40" s="319">
        <v>781850.33</v>
      </c>
      <c r="S40" s="322">
        <v>740741.85</v>
      </c>
      <c r="T40" s="760">
        <v>897682.46000000008</v>
      </c>
      <c r="U40" s="760"/>
      <c r="V40" s="760"/>
      <c r="W40" s="760"/>
      <c r="X40" s="42"/>
      <c r="Y40" s="319" t="s">
        <v>23</v>
      </c>
      <c r="Z40" s="319">
        <v>0</v>
      </c>
      <c r="AA40" s="319">
        <v>0</v>
      </c>
      <c r="AB40" s="319">
        <v>0</v>
      </c>
      <c r="AC40" s="319">
        <v>0</v>
      </c>
      <c r="AD40" s="319">
        <v>0</v>
      </c>
      <c r="AE40" s="319">
        <v>0</v>
      </c>
      <c r="AF40" s="319">
        <v>0</v>
      </c>
      <c r="AG40" s="319">
        <v>0</v>
      </c>
      <c r="AH40" s="319">
        <v>0</v>
      </c>
      <c r="AI40" s="319">
        <v>0</v>
      </c>
      <c r="AJ40" s="319">
        <v>0</v>
      </c>
      <c r="AK40" s="319">
        <v>0</v>
      </c>
      <c r="AL40" s="319">
        <v>0</v>
      </c>
      <c r="AM40" s="319">
        <v>0</v>
      </c>
      <c r="AN40" s="319">
        <v>0</v>
      </c>
      <c r="AO40" s="319">
        <v>0</v>
      </c>
      <c r="AP40" s="319">
        <v>0</v>
      </c>
      <c r="AQ40" s="322">
        <v>0</v>
      </c>
      <c r="AR40" s="760">
        <v>0</v>
      </c>
      <c r="AS40" s="760"/>
      <c r="AT40" s="760"/>
      <c r="AU40" s="760"/>
      <c r="AV40" s="62"/>
      <c r="AW40" s="319" t="s">
        <v>23</v>
      </c>
      <c r="AX40" s="319">
        <v>0</v>
      </c>
      <c r="AY40" s="319">
        <v>0</v>
      </c>
      <c r="AZ40" s="319">
        <v>85973.91</v>
      </c>
      <c r="BA40" s="319">
        <v>0</v>
      </c>
      <c r="BB40" s="319">
        <v>80374.84</v>
      </c>
      <c r="BC40" s="319">
        <v>0</v>
      </c>
      <c r="BD40" s="319">
        <v>98069.88</v>
      </c>
      <c r="BE40" s="319">
        <v>85629.36</v>
      </c>
      <c r="BF40" s="319">
        <v>94804</v>
      </c>
      <c r="BG40" s="319">
        <v>0</v>
      </c>
      <c r="BH40" s="319">
        <v>0</v>
      </c>
      <c r="BI40" s="319">
        <v>0</v>
      </c>
      <c r="BJ40" s="319">
        <v>0</v>
      </c>
      <c r="BK40" s="319">
        <v>0</v>
      </c>
      <c r="BL40" s="319">
        <v>0</v>
      </c>
      <c r="BM40" s="319">
        <v>0</v>
      </c>
      <c r="BN40" s="319">
        <v>0</v>
      </c>
      <c r="BO40" s="322">
        <v>0</v>
      </c>
      <c r="BP40" s="760">
        <v>0</v>
      </c>
      <c r="BQ40" s="760"/>
      <c r="BR40" s="760"/>
      <c r="BS40" s="760"/>
      <c r="BT40" s="62"/>
      <c r="BU40" s="319" t="s">
        <v>23</v>
      </c>
      <c r="BV40" s="319">
        <v>646407.9</v>
      </c>
      <c r="BW40" s="319">
        <v>523271.76</v>
      </c>
      <c r="BX40" s="319">
        <v>625264.80000000005</v>
      </c>
      <c r="BY40" s="319">
        <v>829469.55</v>
      </c>
      <c r="BZ40" s="319">
        <v>987462.32</v>
      </c>
      <c r="CA40" s="319">
        <v>793958.67</v>
      </c>
      <c r="CB40" s="319">
        <v>670144.18000000005</v>
      </c>
      <c r="CC40" s="319">
        <v>920515.62</v>
      </c>
      <c r="CD40" s="319">
        <v>927373</v>
      </c>
      <c r="CE40" s="319">
        <v>1286612</v>
      </c>
      <c r="CF40" s="319">
        <v>650918</v>
      </c>
      <c r="CG40" s="319">
        <v>1074177</v>
      </c>
      <c r="CH40" s="319">
        <v>652376</v>
      </c>
      <c r="CI40" s="319">
        <v>574705</v>
      </c>
      <c r="CJ40" s="319">
        <v>1005373</v>
      </c>
      <c r="CK40" s="319">
        <v>843027.79</v>
      </c>
      <c r="CL40" s="319">
        <v>655461.47</v>
      </c>
      <c r="CM40" s="322">
        <v>634246.38</v>
      </c>
      <c r="CN40" s="760">
        <v>817151.45000000007</v>
      </c>
      <c r="CO40" s="760"/>
      <c r="CP40" s="760"/>
      <c r="CQ40" s="760"/>
      <c r="CR40" s="62"/>
      <c r="CS40" s="319" t="s">
        <v>23</v>
      </c>
      <c r="CT40" s="319">
        <v>28729.24</v>
      </c>
      <c r="CU40" s="319">
        <v>29731.35</v>
      </c>
      <c r="CV40" s="319">
        <v>39079.050000000003</v>
      </c>
      <c r="CW40" s="319">
        <v>36460.199999999997</v>
      </c>
      <c r="CX40" s="319">
        <v>57410.6</v>
      </c>
      <c r="CY40" s="319">
        <v>34148.76</v>
      </c>
      <c r="CZ40" s="319">
        <v>16344.98</v>
      </c>
      <c r="DA40" s="319">
        <v>10703.67</v>
      </c>
      <c r="DB40" s="319">
        <v>9276</v>
      </c>
      <c r="DC40" s="319">
        <v>20515</v>
      </c>
      <c r="DD40" s="319">
        <v>22248</v>
      </c>
      <c r="DE40" s="319">
        <v>23716</v>
      </c>
      <c r="DF40" s="319">
        <v>21546</v>
      </c>
      <c r="DG40" s="319">
        <v>21787</v>
      </c>
      <c r="DH40" s="319">
        <v>25400</v>
      </c>
      <c r="DI40" s="319">
        <v>33117.699999999997</v>
      </c>
      <c r="DJ40" s="319">
        <v>34516.300000000003</v>
      </c>
      <c r="DK40" s="322">
        <v>16594.96</v>
      </c>
      <c r="DL40" s="760">
        <v>4680.2</v>
      </c>
      <c r="DM40" s="760"/>
      <c r="DN40" s="760"/>
      <c r="DO40" s="760"/>
      <c r="DP40" s="62"/>
      <c r="DQ40" s="319" t="s">
        <v>23</v>
      </c>
      <c r="DR40" s="319">
        <v>43093.86</v>
      </c>
      <c r="DS40" s="319">
        <v>41623.89</v>
      </c>
      <c r="DT40" s="319">
        <v>31263.24</v>
      </c>
      <c r="DU40" s="319">
        <v>45575.25</v>
      </c>
      <c r="DV40" s="319">
        <v>22964.240000000002</v>
      </c>
      <c r="DW40" s="319">
        <v>25611.57</v>
      </c>
      <c r="DX40" s="319">
        <v>32689.96</v>
      </c>
      <c r="DY40" s="319">
        <v>53518.35</v>
      </c>
      <c r="DZ40" s="319">
        <v>29494</v>
      </c>
      <c r="EA40" s="319">
        <v>26145</v>
      </c>
      <c r="EB40" s="319">
        <v>17941</v>
      </c>
      <c r="EC40" s="319">
        <v>26995</v>
      </c>
      <c r="ED40" s="319">
        <v>41100</v>
      </c>
      <c r="EE40" s="319">
        <v>89461</v>
      </c>
      <c r="EF40" s="319">
        <v>47010</v>
      </c>
      <c r="EG40" s="319">
        <v>53450.64</v>
      </c>
      <c r="EH40" s="319">
        <v>91872.56</v>
      </c>
      <c r="EI40" s="322">
        <v>57272.75</v>
      </c>
      <c r="EJ40" s="767">
        <v>75850.81</v>
      </c>
      <c r="EK40" s="767"/>
      <c r="EL40" s="767"/>
      <c r="EM40" s="767"/>
      <c r="EO40" s="319" t="s">
        <v>23</v>
      </c>
      <c r="EP40" s="319">
        <v>559489</v>
      </c>
      <c r="EQ40" s="319">
        <v>382143</v>
      </c>
      <c r="ER40" s="319">
        <v>662111</v>
      </c>
      <c r="ES40" s="319">
        <v>968831</v>
      </c>
      <c r="ET40" s="319">
        <v>1174196</v>
      </c>
      <c r="EU40" s="319">
        <v>889001</v>
      </c>
      <c r="EV40" s="319">
        <v>1292331</v>
      </c>
      <c r="EW40" s="319">
        <v>1060751</v>
      </c>
      <c r="EX40" s="319">
        <v>833979</v>
      </c>
      <c r="EY40" s="319">
        <v>1281573</v>
      </c>
      <c r="EZ40" s="319">
        <v>864905</v>
      </c>
      <c r="FA40" s="319">
        <v>1003599</v>
      </c>
      <c r="FB40" s="319">
        <v>635501</v>
      </c>
      <c r="FC40" s="319">
        <v>468753</v>
      </c>
      <c r="FD40" s="319">
        <v>729083</v>
      </c>
      <c r="FE40" s="319">
        <v>827327.99</v>
      </c>
      <c r="FF40" s="319">
        <v>791275.14</v>
      </c>
      <c r="FG40" s="322">
        <v>500177.24999999994</v>
      </c>
      <c r="FH40" s="760">
        <v>720185.23999999987</v>
      </c>
      <c r="FI40" s="760"/>
      <c r="FJ40" s="760"/>
      <c r="FK40" s="760"/>
      <c r="GZ40" s="62"/>
      <c r="HB40" s="62"/>
      <c r="HD40" s="62"/>
      <c r="HF40" s="62"/>
      <c r="HH40" s="62"/>
      <c r="HJ40" s="62"/>
      <c r="HL40" s="62"/>
      <c r="HN40" s="62"/>
    </row>
    <row r="41" spans="1:222" s="61" customFormat="1">
      <c r="A41" s="319" t="s">
        <v>24</v>
      </c>
      <c r="B41" s="319">
        <v>795267</v>
      </c>
      <c r="C41" s="319">
        <v>1000497</v>
      </c>
      <c r="D41" s="319">
        <v>1008930</v>
      </c>
      <c r="E41" s="319">
        <v>912804</v>
      </c>
      <c r="F41" s="319">
        <v>929645</v>
      </c>
      <c r="G41" s="319">
        <v>997916</v>
      </c>
      <c r="H41" s="319">
        <v>1138387</v>
      </c>
      <c r="I41" s="319">
        <v>931654</v>
      </c>
      <c r="J41" s="319">
        <v>1092020.95</v>
      </c>
      <c r="K41" s="319">
        <v>944717.94</v>
      </c>
      <c r="L41" s="319">
        <v>1128163.04</v>
      </c>
      <c r="M41" s="319">
        <v>1197947.47</v>
      </c>
      <c r="N41" s="319">
        <v>1454418.56</v>
      </c>
      <c r="O41" s="319">
        <v>1326406.6100000001</v>
      </c>
      <c r="P41" s="319">
        <v>1425583.66</v>
      </c>
      <c r="Q41" s="319">
        <v>1153644.6700000002</v>
      </c>
      <c r="R41" s="319">
        <v>1148606.1600000001</v>
      </c>
      <c r="S41" s="322">
        <v>1278438.78</v>
      </c>
      <c r="T41" s="760">
        <v>1604872.17</v>
      </c>
      <c r="U41" s="760">
        <v>1402131.7</v>
      </c>
      <c r="V41" s="760">
        <v>1626912.5200000003</v>
      </c>
      <c r="W41" s="760">
        <v>1569450</v>
      </c>
      <c r="X41" s="42"/>
      <c r="Y41" s="319" t="s">
        <v>24</v>
      </c>
      <c r="Z41" s="319">
        <v>230627.43</v>
      </c>
      <c r="AA41" s="319">
        <v>240119.28</v>
      </c>
      <c r="AB41" s="319">
        <v>252232.5</v>
      </c>
      <c r="AC41" s="319">
        <v>255585.12</v>
      </c>
      <c r="AD41" s="319">
        <v>269597.05</v>
      </c>
      <c r="AE41" s="319">
        <v>289395.64</v>
      </c>
      <c r="AF41" s="319">
        <v>284596.75</v>
      </c>
      <c r="AG41" s="319">
        <v>307445.82</v>
      </c>
      <c r="AH41" s="319">
        <v>316094.78000000003</v>
      </c>
      <c r="AI41" s="319">
        <v>309803.27</v>
      </c>
      <c r="AJ41" s="319">
        <v>361711.66</v>
      </c>
      <c r="AK41" s="319">
        <v>370831.16</v>
      </c>
      <c r="AL41" s="319">
        <v>393897.53</v>
      </c>
      <c r="AM41" s="319">
        <v>399537.47</v>
      </c>
      <c r="AN41" s="319">
        <v>407506.94</v>
      </c>
      <c r="AO41" s="319">
        <v>400061.71</v>
      </c>
      <c r="AP41" s="319">
        <v>403990.49</v>
      </c>
      <c r="AQ41" s="322">
        <v>411216.32</v>
      </c>
      <c r="AR41" s="760">
        <v>411138.03</v>
      </c>
      <c r="AS41" s="760">
        <v>421376.29</v>
      </c>
      <c r="AT41" s="760">
        <v>409943.09</v>
      </c>
      <c r="AU41" s="760">
        <v>410000</v>
      </c>
      <c r="AV41" s="62"/>
      <c r="AW41" s="319" t="s">
        <v>24</v>
      </c>
      <c r="AX41" s="319">
        <v>0</v>
      </c>
      <c r="AY41" s="319">
        <v>0</v>
      </c>
      <c r="AZ41" s="319">
        <v>0</v>
      </c>
      <c r="BA41" s="319">
        <v>0</v>
      </c>
      <c r="BB41" s="319">
        <v>139446.75</v>
      </c>
      <c r="BC41" s="319">
        <v>0</v>
      </c>
      <c r="BD41" s="319">
        <v>159374.18</v>
      </c>
      <c r="BE41" s="319">
        <v>158381.18</v>
      </c>
      <c r="BF41" s="319">
        <v>161642.01</v>
      </c>
      <c r="BG41" s="319">
        <v>0</v>
      </c>
      <c r="BH41" s="319">
        <v>0</v>
      </c>
      <c r="BI41" s="319">
        <v>0</v>
      </c>
      <c r="BJ41" s="319">
        <v>0</v>
      </c>
      <c r="BK41" s="319">
        <v>0</v>
      </c>
      <c r="BL41" s="319">
        <v>0</v>
      </c>
      <c r="BM41" s="319">
        <v>0</v>
      </c>
      <c r="BN41" s="319">
        <v>0</v>
      </c>
      <c r="BO41" s="322">
        <v>0</v>
      </c>
      <c r="BP41" s="760">
        <v>0</v>
      </c>
      <c r="BQ41" s="760">
        <v>30192.37</v>
      </c>
      <c r="BR41" s="760">
        <v>381430.6</v>
      </c>
      <c r="BS41" s="760">
        <v>390000</v>
      </c>
      <c r="BT41" s="62"/>
      <c r="BU41" s="319" t="s">
        <v>24</v>
      </c>
      <c r="BV41" s="319">
        <v>524876.22</v>
      </c>
      <c r="BW41" s="319">
        <v>580288.26</v>
      </c>
      <c r="BX41" s="319">
        <v>595268.69999999995</v>
      </c>
      <c r="BY41" s="319">
        <v>602450.64</v>
      </c>
      <c r="BZ41" s="319">
        <v>464822.5</v>
      </c>
      <c r="CA41" s="319">
        <v>628687.07999999996</v>
      </c>
      <c r="CB41" s="319">
        <v>603345.11</v>
      </c>
      <c r="CC41" s="319">
        <v>437877.38</v>
      </c>
      <c r="CD41" s="319">
        <v>565661.46</v>
      </c>
      <c r="CE41" s="319">
        <v>604496.61</v>
      </c>
      <c r="CF41" s="319">
        <v>674393.58</v>
      </c>
      <c r="CG41" s="319">
        <v>705889.67999999993</v>
      </c>
      <c r="CH41" s="319">
        <v>714739.19000000006</v>
      </c>
      <c r="CI41" s="319">
        <v>690803.74000000011</v>
      </c>
      <c r="CJ41" s="319">
        <v>690890.56</v>
      </c>
      <c r="CK41" s="319">
        <v>698061.29</v>
      </c>
      <c r="CL41" s="319">
        <v>722476.8600000001</v>
      </c>
      <c r="CM41" s="322">
        <v>751028.46</v>
      </c>
      <c r="CN41" s="760">
        <v>1062283.0699999998</v>
      </c>
      <c r="CO41" s="760">
        <v>792392.7</v>
      </c>
      <c r="CP41" s="760">
        <v>763177.88</v>
      </c>
      <c r="CQ41" s="760">
        <v>755450</v>
      </c>
      <c r="CR41" s="62"/>
      <c r="CS41" s="319" t="s">
        <v>24</v>
      </c>
      <c r="CT41" s="319">
        <v>15905.34</v>
      </c>
      <c r="CU41" s="319">
        <v>20009.939999999999</v>
      </c>
      <c r="CV41" s="319">
        <v>20178.599999999999</v>
      </c>
      <c r="CW41" s="319">
        <v>9128.0400000000009</v>
      </c>
      <c r="CX41" s="319">
        <v>9296.4500000000007</v>
      </c>
      <c r="CY41" s="319">
        <v>19958.32</v>
      </c>
      <c r="CZ41" s="319">
        <v>11383.87</v>
      </c>
      <c r="DA41" s="319">
        <v>9316.5400000000009</v>
      </c>
      <c r="DB41" s="319">
        <v>4129.2700000000004</v>
      </c>
      <c r="DC41" s="319">
        <v>3753.61</v>
      </c>
      <c r="DD41" s="319">
        <v>7883.85</v>
      </c>
      <c r="DE41" s="319">
        <v>8987.7099999999991</v>
      </c>
      <c r="DF41" s="319">
        <v>6601.19</v>
      </c>
      <c r="DG41" s="319">
        <v>11914.21</v>
      </c>
      <c r="DH41" s="319">
        <v>15268.3</v>
      </c>
      <c r="DI41" s="319">
        <v>5234.42</v>
      </c>
      <c r="DJ41" s="319">
        <v>3122.81</v>
      </c>
      <c r="DK41" s="322">
        <v>1040.17</v>
      </c>
      <c r="DL41" s="760">
        <v>906.57</v>
      </c>
      <c r="DM41" s="760">
        <v>1553.19</v>
      </c>
      <c r="DN41" s="760">
        <v>1974.21</v>
      </c>
      <c r="DO41" s="760">
        <v>2000</v>
      </c>
      <c r="DP41" s="62"/>
      <c r="DQ41" s="319" t="s">
        <v>24</v>
      </c>
      <c r="DR41" s="319">
        <v>23858.01</v>
      </c>
      <c r="DS41" s="319">
        <v>160079.51999999999</v>
      </c>
      <c r="DT41" s="319">
        <v>141250.20000000001</v>
      </c>
      <c r="DU41" s="319">
        <v>45640.2</v>
      </c>
      <c r="DV41" s="319">
        <v>46482.25</v>
      </c>
      <c r="DW41" s="319">
        <v>59874.96</v>
      </c>
      <c r="DX41" s="319">
        <v>79687.09</v>
      </c>
      <c r="DY41" s="319">
        <v>18633.080000000002</v>
      </c>
      <c r="DZ41" s="319">
        <v>44493.43</v>
      </c>
      <c r="EA41" s="319">
        <v>26664.449999999997</v>
      </c>
      <c r="EB41" s="319">
        <v>34173.949999999997</v>
      </c>
      <c r="EC41" s="319">
        <v>12238.92</v>
      </c>
      <c r="ED41" s="319">
        <v>239180.65</v>
      </c>
      <c r="EE41" s="319">
        <v>174151.19</v>
      </c>
      <c r="EF41" s="319">
        <v>311917.86</v>
      </c>
      <c r="EG41" s="319">
        <v>50287.25</v>
      </c>
      <c r="EH41" s="319">
        <v>19016</v>
      </c>
      <c r="EI41" s="322">
        <v>15153.83</v>
      </c>
      <c r="EJ41" s="767">
        <v>544.5</v>
      </c>
      <c r="EK41" s="767">
        <v>16617.150000000001</v>
      </c>
      <c r="EL41" s="767">
        <v>70386.740000000005</v>
      </c>
      <c r="EM41" s="767">
        <v>12000</v>
      </c>
      <c r="EO41" s="319" t="s">
        <v>24</v>
      </c>
      <c r="EP41" s="319">
        <v>807034</v>
      </c>
      <c r="EQ41" s="319">
        <v>988332</v>
      </c>
      <c r="ER41" s="319">
        <v>1120132</v>
      </c>
      <c r="ES41" s="319">
        <v>965306</v>
      </c>
      <c r="ET41" s="319">
        <v>881221</v>
      </c>
      <c r="EU41" s="319">
        <v>995114</v>
      </c>
      <c r="EV41" s="319">
        <v>1145144</v>
      </c>
      <c r="EW41" s="319">
        <v>1003303</v>
      </c>
      <c r="EX41" s="319">
        <v>1053497.4500000002</v>
      </c>
      <c r="EY41" s="319">
        <v>993676.1399999999</v>
      </c>
      <c r="EZ41" s="319">
        <v>1048872.5899999999</v>
      </c>
      <c r="FA41" s="319">
        <v>1193673.53</v>
      </c>
      <c r="FB41" s="319">
        <v>1219122.6299999999</v>
      </c>
      <c r="FC41" s="319">
        <v>1192957.4300000002</v>
      </c>
      <c r="FD41" s="319">
        <v>1496484.1600000001</v>
      </c>
      <c r="FE41" s="319">
        <v>1326215.8400000003</v>
      </c>
      <c r="FF41" s="319">
        <v>1308294.06</v>
      </c>
      <c r="FG41" s="322">
        <v>1274246.92</v>
      </c>
      <c r="FH41" s="760">
        <v>1694210.35</v>
      </c>
      <c r="FI41" s="760">
        <v>1318186.77</v>
      </c>
      <c r="FJ41" s="760">
        <v>1509225.7400000002</v>
      </c>
      <c r="FK41" s="760">
        <v>1648640</v>
      </c>
      <c r="GZ41" s="62"/>
      <c r="HB41" s="62"/>
      <c r="HD41" s="62"/>
      <c r="HF41" s="62"/>
      <c r="HH41" s="62"/>
      <c r="HJ41" s="62"/>
      <c r="HL41" s="62"/>
      <c r="HN41" s="62"/>
    </row>
    <row r="42" spans="1:222" s="61" customFormat="1">
      <c r="A42" s="319" t="s">
        <v>25</v>
      </c>
      <c r="B42" s="319">
        <v>722141</v>
      </c>
      <c r="C42" s="319">
        <v>767646</v>
      </c>
      <c r="D42" s="319">
        <v>826593</v>
      </c>
      <c r="E42" s="319">
        <v>885341</v>
      </c>
      <c r="F42" s="319">
        <v>867098</v>
      </c>
      <c r="G42" s="319">
        <v>910522</v>
      </c>
      <c r="H42" s="319">
        <v>1031321</v>
      </c>
      <c r="I42" s="319">
        <v>1264873</v>
      </c>
      <c r="J42" s="319">
        <v>1024512.4200000002</v>
      </c>
      <c r="K42" s="319">
        <v>942292.89999999991</v>
      </c>
      <c r="L42" s="319">
        <v>1084375.6199999999</v>
      </c>
      <c r="M42" s="319">
        <v>1016230.24</v>
      </c>
      <c r="N42" s="319">
        <v>1391187.9699999997</v>
      </c>
      <c r="O42" s="319">
        <v>1081662.2999999998</v>
      </c>
      <c r="P42" s="319">
        <v>1256933.8699999999</v>
      </c>
      <c r="Q42" s="319">
        <v>1263758.8499999999</v>
      </c>
      <c r="R42" s="319">
        <v>1482958.47</v>
      </c>
      <c r="S42" s="322">
        <v>1061245.17</v>
      </c>
      <c r="T42" s="760">
        <v>1134895.3799999999</v>
      </c>
      <c r="U42" s="760">
        <v>1264356.3700000001</v>
      </c>
      <c r="V42" s="760">
        <v>2425430.94</v>
      </c>
      <c r="W42" s="760">
        <v>1597772.51</v>
      </c>
      <c r="X42" s="42"/>
      <c r="Y42" s="319" t="s">
        <v>25</v>
      </c>
      <c r="Z42" s="319">
        <v>137206.79</v>
      </c>
      <c r="AA42" s="319">
        <v>145852.74</v>
      </c>
      <c r="AB42" s="319">
        <v>140520.81</v>
      </c>
      <c r="AC42" s="319">
        <v>177068.2</v>
      </c>
      <c r="AD42" s="319">
        <v>182090.58</v>
      </c>
      <c r="AE42" s="319">
        <v>191209.62</v>
      </c>
      <c r="AF42" s="319">
        <v>195950.99</v>
      </c>
      <c r="AG42" s="319">
        <v>227677.14</v>
      </c>
      <c r="AH42" s="319">
        <v>219720.44</v>
      </c>
      <c r="AI42" s="319">
        <v>229498.55</v>
      </c>
      <c r="AJ42" s="319">
        <v>241123.83</v>
      </c>
      <c r="AK42" s="319">
        <v>259432.62</v>
      </c>
      <c r="AL42" s="319">
        <v>270548.63</v>
      </c>
      <c r="AM42" s="319">
        <v>272672.36</v>
      </c>
      <c r="AN42" s="319">
        <v>290668.58</v>
      </c>
      <c r="AO42" s="319">
        <v>282317.96999999997</v>
      </c>
      <c r="AP42" s="319">
        <v>299972.03000000003</v>
      </c>
      <c r="AQ42" s="322">
        <v>297543.46000000002</v>
      </c>
      <c r="AR42" s="760">
        <v>299008.71999999997</v>
      </c>
      <c r="AS42" s="760">
        <v>316292.7</v>
      </c>
      <c r="AT42" s="760">
        <v>309424.38</v>
      </c>
      <c r="AU42" s="760">
        <v>315000</v>
      </c>
      <c r="AV42" s="62"/>
      <c r="AW42" s="319" t="s">
        <v>25</v>
      </c>
      <c r="AX42" s="319">
        <v>0</v>
      </c>
      <c r="AY42" s="319">
        <v>0</v>
      </c>
      <c r="AZ42" s="319">
        <v>0</v>
      </c>
      <c r="BA42" s="319">
        <v>0</v>
      </c>
      <c r="BB42" s="319">
        <v>0</v>
      </c>
      <c r="BC42" s="319">
        <v>0</v>
      </c>
      <c r="BD42" s="319">
        <v>0</v>
      </c>
      <c r="BE42" s="319">
        <v>0</v>
      </c>
      <c r="BF42" s="319">
        <v>0</v>
      </c>
      <c r="BG42" s="319">
        <v>0</v>
      </c>
      <c r="BH42" s="319">
        <v>0</v>
      </c>
      <c r="BI42" s="319">
        <v>0</v>
      </c>
      <c r="BJ42" s="319">
        <v>0</v>
      </c>
      <c r="BK42" s="319">
        <v>0</v>
      </c>
      <c r="BL42" s="319">
        <v>0</v>
      </c>
      <c r="BM42" s="319">
        <v>0</v>
      </c>
      <c r="BN42" s="319">
        <v>0</v>
      </c>
      <c r="BO42" s="322">
        <v>0</v>
      </c>
      <c r="BP42" s="760">
        <v>0</v>
      </c>
      <c r="BQ42" s="760">
        <v>0</v>
      </c>
      <c r="BR42" s="760">
        <v>0</v>
      </c>
      <c r="BS42" s="760">
        <v>0</v>
      </c>
      <c r="BT42" s="62"/>
      <c r="BU42" s="319" t="s">
        <v>25</v>
      </c>
      <c r="BV42" s="319">
        <v>563269.98</v>
      </c>
      <c r="BW42" s="319">
        <v>606440.34</v>
      </c>
      <c r="BX42" s="319">
        <v>653008.47</v>
      </c>
      <c r="BY42" s="319">
        <v>664005.75</v>
      </c>
      <c r="BZ42" s="319">
        <v>676336.44</v>
      </c>
      <c r="CA42" s="319">
        <v>673786.28</v>
      </c>
      <c r="CB42" s="319">
        <v>804430.38</v>
      </c>
      <c r="CC42" s="319">
        <v>708328.88</v>
      </c>
      <c r="CD42" s="319">
        <v>801928.42</v>
      </c>
      <c r="CE42" s="319">
        <v>692271.51</v>
      </c>
      <c r="CF42" s="319">
        <v>721488.2</v>
      </c>
      <c r="CG42" s="319">
        <v>743220.89</v>
      </c>
      <c r="CH42" s="319">
        <v>723563.97</v>
      </c>
      <c r="CI42" s="319">
        <v>715406.74</v>
      </c>
      <c r="CJ42" s="319">
        <v>698503.57</v>
      </c>
      <c r="CK42" s="319">
        <v>958157.3899999999</v>
      </c>
      <c r="CL42" s="319">
        <v>1155854.93</v>
      </c>
      <c r="CM42" s="322">
        <v>746641.99</v>
      </c>
      <c r="CN42" s="760">
        <v>806731.25</v>
      </c>
      <c r="CO42" s="760">
        <v>926336.97000000009</v>
      </c>
      <c r="CP42" s="760">
        <v>2080351.17</v>
      </c>
      <c r="CQ42" s="760">
        <v>954396.79</v>
      </c>
      <c r="CR42" s="62"/>
      <c r="CS42" s="319" t="s">
        <v>25</v>
      </c>
      <c r="CT42" s="319">
        <v>0</v>
      </c>
      <c r="CU42" s="319">
        <v>7676.46</v>
      </c>
      <c r="CV42" s="319">
        <v>8265.93</v>
      </c>
      <c r="CW42" s="319">
        <v>8853.41</v>
      </c>
      <c r="CX42" s="319">
        <v>8670.98</v>
      </c>
      <c r="CY42" s="319">
        <v>0</v>
      </c>
      <c r="CZ42" s="319">
        <v>0</v>
      </c>
      <c r="DA42" s="319">
        <v>0</v>
      </c>
      <c r="DB42" s="319">
        <v>1767.66</v>
      </c>
      <c r="DC42" s="319">
        <v>2313.37</v>
      </c>
      <c r="DD42" s="319">
        <v>3613.76</v>
      </c>
      <c r="DE42" s="319">
        <v>4814.91</v>
      </c>
      <c r="DF42" s="319">
        <v>8095.48</v>
      </c>
      <c r="DG42" s="319">
        <v>9359.08</v>
      </c>
      <c r="DH42" s="319">
        <v>6028.67</v>
      </c>
      <c r="DI42" s="319">
        <v>3920.77</v>
      </c>
      <c r="DJ42" s="319">
        <v>5768.58</v>
      </c>
      <c r="DK42" s="322">
        <v>4463.17</v>
      </c>
      <c r="DL42" s="760">
        <v>3201.32</v>
      </c>
      <c r="DM42" s="760">
        <v>2634.73</v>
      </c>
      <c r="DN42" s="760">
        <v>3620.04</v>
      </c>
      <c r="DO42" s="760">
        <v>3000</v>
      </c>
      <c r="DP42" s="62"/>
      <c r="DQ42" s="319" t="s">
        <v>25</v>
      </c>
      <c r="DR42" s="319">
        <v>21664.23</v>
      </c>
      <c r="DS42" s="319">
        <v>7676.46</v>
      </c>
      <c r="DT42" s="319">
        <v>24797.79</v>
      </c>
      <c r="DU42" s="319">
        <v>35413.64</v>
      </c>
      <c r="DV42" s="319">
        <v>0</v>
      </c>
      <c r="DW42" s="319">
        <v>45526.1</v>
      </c>
      <c r="DX42" s="319">
        <v>30939.63</v>
      </c>
      <c r="DY42" s="319">
        <v>328866.98</v>
      </c>
      <c r="DZ42" s="319">
        <v>1095.9000000000001</v>
      </c>
      <c r="EA42" s="319">
        <v>968.23</v>
      </c>
      <c r="EB42" s="319">
        <v>2368.3100000000004</v>
      </c>
      <c r="EC42" s="319">
        <v>8099.16</v>
      </c>
      <c r="ED42" s="319">
        <v>4449.2700000000004</v>
      </c>
      <c r="EE42" s="319">
        <v>22061.9</v>
      </c>
      <c r="EF42" s="319">
        <v>8689.2999999999993</v>
      </c>
      <c r="EG42" s="319">
        <v>5700.04</v>
      </c>
      <c r="EH42" s="319">
        <v>18581.61</v>
      </c>
      <c r="EI42" s="322">
        <v>10180.400000000001</v>
      </c>
      <c r="EJ42" s="767">
        <v>25314.09</v>
      </c>
      <c r="EK42" s="767">
        <v>15206.7</v>
      </c>
      <c r="EL42" s="767">
        <v>12785.88</v>
      </c>
      <c r="EM42" s="767">
        <v>1500</v>
      </c>
      <c r="EO42" s="319" t="s">
        <v>25</v>
      </c>
      <c r="EP42" s="319">
        <v>699429</v>
      </c>
      <c r="EQ42" s="319">
        <v>745462</v>
      </c>
      <c r="ER42" s="319">
        <v>832027</v>
      </c>
      <c r="ES42" s="319">
        <v>931834</v>
      </c>
      <c r="ET42" s="319">
        <v>858487</v>
      </c>
      <c r="EU42" s="319">
        <v>936044</v>
      </c>
      <c r="EV42" s="319">
        <v>958401</v>
      </c>
      <c r="EW42" s="319">
        <v>1253486</v>
      </c>
      <c r="EX42" s="319">
        <v>997924.71000000008</v>
      </c>
      <c r="EY42" s="319">
        <v>1039912.4199999999</v>
      </c>
      <c r="EZ42" s="319">
        <v>1050371.92</v>
      </c>
      <c r="FA42" s="319">
        <v>1002013.7100000001</v>
      </c>
      <c r="FB42" s="319">
        <v>1247027.95</v>
      </c>
      <c r="FC42" s="319">
        <v>1224530.02</v>
      </c>
      <c r="FD42" s="319">
        <v>1190059.27</v>
      </c>
      <c r="FE42" s="319">
        <v>1173034.33</v>
      </c>
      <c r="FF42" s="319">
        <v>1486437.1</v>
      </c>
      <c r="FG42" s="322">
        <v>1166948.1200000001</v>
      </c>
      <c r="FH42" s="760">
        <v>1135295.7899999998</v>
      </c>
      <c r="FI42" s="760">
        <v>1187660.8</v>
      </c>
      <c r="FJ42" s="760">
        <v>2264688.9400000004</v>
      </c>
      <c r="FK42" s="760">
        <v>1659861.83</v>
      </c>
      <c r="GZ42" s="62"/>
      <c r="HB42" s="62"/>
      <c r="HD42" s="62"/>
      <c r="HF42" s="62"/>
      <c r="HH42" s="62"/>
      <c r="HJ42" s="62"/>
      <c r="HL42" s="62"/>
      <c r="HN42" s="62"/>
    </row>
    <row r="43" spans="1:222" s="61" customFormat="1">
      <c r="A43" s="319" t="s">
        <v>26</v>
      </c>
      <c r="B43" s="319">
        <v>741587</v>
      </c>
      <c r="C43" s="319">
        <v>811819</v>
      </c>
      <c r="D43" s="319">
        <v>801849</v>
      </c>
      <c r="E43" s="319">
        <v>921020</v>
      </c>
      <c r="F43" s="319">
        <v>886726</v>
      </c>
      <c r="G43" s="319">
        <v>895087</v>
      </c>
      <c r="H43" s="319">
        <v>927584</v>
      </c>
      <c r="I43" s="319">
        <v>934087</v>
      </c>
      <c r="J43" s="319">
        <v>946702.88</v>
      </c>
      <c r="K43" s="319">
        <v>972896.85</v>
      </c>
      <c r="L43" s="319">
        <v>927252.47999999998</v>
      </c>
      <c r="M43" s="319">
        <v>924384.48</v>
      </c>
      <c r="N43" s="319">
        <v>818818.90999999992</v>
      </c>
      <c r="O43" s="319">
        <v>771105.9</v>
      </c>
      <c r="P43" s="319">
        <v>794313.09000000008</v>
      </c>
      <c r="Q43" s="319">
        <v>785301.69</v>
      </c>
      <c r="R43" s="319"/>
      <c r="S43" s="322">
        <v>796049.75</v>
      </c>
      <c r="T43" s="760">
        <v>825725.34000000008</v>
      </c>
      <c r="U43" s="760">
        <v>855305.45</v>
      </c>
      <c r="V43" s="760">
        <v>857308.75</v>
      </c>
      <c r="W43" s="760">
        <v>860200</v>
      </c>
      <c r="X43" s="42"/>
      <c r="Y43" s="319" t="s">
        <v>26</v>
      </c>
      <c r="Z43" s="319">
        <v>0</v>
      </c>
      <c r="AA43" s="319">
        <v>0</v>
      </c>
      <c r="AB43" s="319">
        <v>0</v>
      </c>
      <c r="AC43" s="319">
        <v>0</v>
      </c>
      <c r="AD43" s="319">
        <v>0</v>
      </c>
      <c r="AE43" s="319">
        <v>0</v>
      </c>
      <c r="AF43" s="319">
        <v>0</v>
      </c>
      <c r="AG43" s="319">
        <v>0</v>
      </c>
      <c r="AH43" s="319">
        <v>0</v>
      </c>
      <c r="AI43" s="319">
        <v>0</v>
      </c>
      <c r="AJ43" s="319">
        <v>0</v>
      </c>
      <c r="AK43" s="319">
        <v>0</v>
      </c>
      <c r="AL43" s="319">
        <v>0</v>
      </c>
      <c r="AM43" s="319">
        <v>0</v>
      </c>
      <c r="AN43" s="319">
        <v>0</v>
      </c>
      <c r="AO43" s="319">
        <v>0</v>
      </c>
      <c r="AP43" s="319"/>
      <c r="AQ43" s="322">
        <v>0</v>
      </c>
      <c r="AR43" s="760">
        <v>0</v>
      </c>
      <c r="AS43" s="760">
        <v>0</v>
      </c>
      <c r="AT43" s="760">
        <v>0</v>
      </c>
      <c r="AU43" s="760">
        <v>0</v>
      </c>
      <c r="AV43" s="62"/>
      <c r="AW43" s="319" t="s">
        <v>26</v>
      </c>
      <c r="AX43" s="319">
        <v>0</v>
      </c>
      <c r="AY43" s="319">
        <v>0</v>
      </c>
      <c r="AZ43" s="319">
        <v>0</v>
      </c>
      <c r="BA43" s="319">
        <v>128942.8</v>
      </c>
      <c r="BB43" s="319">
        <v>133008.9</v>
      </c>
      <c r="BC43" s="319">
        <v>0</v>
      </c>
      <c r="BD43" s="319">
        <v>0</v>
      </c>
      <c r="BE43" s="319">
        <v>149453.92000000001</v>
      </c>
      <c r="BF43" s="319">
        <v>136507.76999999999</v>
      </c>
      <c r="BG43" s="319">
        <v>142204.64000000001</v>
      </c>
      <c r="BH43" s="319">
        <v>122070.91</v>
      </c>
      <c r="BI43" s="319">
        <v>149604.37</v>
      </c>
      <c r="BJ43" s="319">
        <v>109593.37</v>
      </c>
      <c r="BK43" s="319">
        <v>93634.58</v>
      </c>
      <c r="BL43" s="319">
        <v>104149.54</v>
      </c>
      <c r="BM43" s="319">
        <v>109291.94</v>
      </c>
      <c r="BN43" s="319"/>
      <c r="BO43" s="322">
        <v>131295.89000000001</v>
      </c>
      <c r="BP43" s="760">
        <v>150226.44</v>
      </c>
      <c r="BQ43" s="760">
        <v>160883.13</v>
      </c>
      <c r="BR43" s="760">
        <v>166088.57999999999</v>
      </c>
      <c r="BS43" s="760">
        <v>167000</v>
      </c>
      <c r="BT43" s="62"/>
      <c r="BU43" s="319" t="s">
        <v>26</v>
      </c>
      <c r="BV43" s="319">
        <v>711923.52</v>
      </c>
      <c r="BW43" s="319">
        <v>771228.05</v>
      </c>
      <c r="BX43" s="319">
        <v>777793.53</v>
      </c>
      <c r="BY43" s="319">
        <v>598663</v>
      </c>
      <c r="BZ43" s="319">
        <v>629575.46</v>
      </c>
      <c r="CA43" s="319">
        <v>868234.39</v>
      </c>
      <c r="CB43" s="319">
        <v>909032.32</v>
      </c>
      <c r="CC43" s="319">
        <v>672542.64</v>
      </c>
      <c r="CD43" s="319">
        <v>687890.86</v>
      </c>
      <c r="CE43" s="319">
        <v>680793.76</v>
      </c>
      <c r="CF43" s="319">
        <v>645860.71</v>
      </c>
      <c r="CG43" s="319">
        <v>652639.63</v>
      </c>
      <c r="CH43" s="319">
        <v>614363.68999999994</v>
      </c>
      <c r="CI43" s="319">
        <v>592130.25</v>
      </c>
      <c r="CJ43" s="319">
        <v>604458.02</v>
      </c>
      <c r="CK43" s="319">
        <v>589655.79</v>
      </c>
      <c r="CL43" s="319"/>
      <c r="CM43" s="322">
        <v>661478.61</v>
      </c>
      <c r="CN43" s="760">
        <v>672643.85</v>
      </c>
      <c r="CO43" s="760">
        <v>691366.07</v>
      </c>
      <c r="CP43" s="760">
        <v>688099.18</v>
      </c>
      <c r="CQ43" s="760">
        <v>690000</v>
      </c>
      <c r="CR43" s="62"/>
      <c r="CS43" s="319" t="s">
        <v>26</v>
      </c>
      <c r="CT43" s="319">
        <v>29663.48</v>
      </c>
      <c r="CU43" s="319">
        <v>32472.76</v>
      </c>
      <c r="CV43" s="319">
        <v>24055.47</v>
      </c>
      <c r="CW43" s="319">
        <v>101312.2</v>
      </c>
      <c r="CX43" s="319">
        <v>35469.040000000001</v>
      </c>
      <c r="CY43" s="319">
        <v>26852.61</v>
      </c>
      <c r="CZ43" s="319">
        <v>18551.68</v>
      </c>
      <c r="DA43" s="319">
        <v>9340.8700000000008</v>
      </c>
      <c r="DB43" s="319">
        <v>4771.3500000000004</v>
      </c>
      <c r="DC43" s="319">
        <v>10037.07</v>
      </c>
      <c r="DD43" s="319">
        <v>20386.86</v>
      </c>
      <c r="DE43" s="319">
        <v>22983.15</v>
      </c>
      <c r="DF43" s="319">
        <v>13705.88</v>
      </c>
      <c r="DG43" s="319">
        <v>5968.16</v>
      </c>
      <c r="DH43" s="319">
        <v>4594.99</v>
      </c>
      <c r="DI43" s="319">
        <v>6001.81</v>
      </c>
      <c r="DJ43" s="319"/>
      <c r="DK43" s="322">
        <v>3275.25</v>
      </c>
      <c r="DL43" s="760">
        <v>2855.05</v>
      </c>
      <c r="DM43" s="760">
        <v>3056.25</v>
      </c>
      <c r="DN43" s="760">
        <v>3120.99</v>
      </c>
      <c r="DO43" s="760">
        <v>3200</v>
      </c>
      <c r="DP43" s="62"/>
      <c r="DQ43" s="319" t="s">
        <v>26</v>
      </c>
      <c r="DR43" s="319">
        <v>0</v>
      </c>
      <c r="DS43" s="319">
        <v>8118.19</v>
      </c>
      <c r="DT43" s="319">
        <v>0</v>
      </c>
      <c r="DU43" s="319">
        <v>92102</v>
      </c>
      <c r="DV43" s="319">
        <v>88672.6</v>
      </c>
      <c r="DW43" s="319">
        <v>0</v>
      </c>
      <c r="DX43" s="319">
        <v>0</v>
      </c>
      <c r="DY43" s="319">
        <v>102749.57</v>
      </c>
      <c r="DZ43" s="319">
        <v>117532.90000000001</v>
      </c>
      <c r="EA43" s="319">
        <v>106570.65</v>
      </c>
      <c r="EB43" s="319">
        <v>0</v>
      </c>
      <c r="EC43" s="319">
        <v>0</v>
      </c>
      <c r="ED43" s="319">
        <v>0</v>
      </c>
      <c r="EE43" s="319">
        <v>0</v>
      </c>
      <c r="EF43" s="319">
        <v>0</v>
      </c>
      <c r="EG43" s="319">
        <v>0</v>
      </c>
      <c r="EH43" s="319"/>
      <c r="EI43" s="322">
        <v>0</v>
      </c>
      <c r="EJ43" s="767">
        <v>0</v>
      </c>
      <c r="EK43" s="767">
        <v>0</v>
      </c>
      <c r="EL43" s="767">
        <v>0</v>
      </c>
      <c r="EM43" s="767">
        <v>0</v>
      </c>
      <c r="EO43" s="319" t="s">
        <v>26</v>
      </c>
      <c r="EP43" s="319">
        <v>676822</v>
      </c>
      <c r="EQ43" s="319">
        <v>744330</v>
      </c>
      <c r="ER43" s="319">
        <v>825864</v>
      </c>
      <c r="ES43" s="319">
        <v>852483</v>
      </c>
      <c r="ET43" s="319">
        <v>898062</v>
      </c>
      <c r="EU43" s="319">
        <v>890034</v>
      </c>
      <c r="EV43" s="319">
        <v>909096</v>
      </c>
      <c r="EW43" s="319">
        <v>959975</v>
      </c>
      <c r="EX43" s="319">
        <v>981828.39</v>
      </c>
      <c r="EY43" s="319">
        <v>1016646.54</v>
      </c>
      <c r="EZ43" s="319">
        <v>940777.3</v>
      </c>
      <c r="FA43" s="319">
        <v>920382.11</v>
      </c>
      <c r="FB43" s="319">
        <v>920000</v>
      </c>
      <c r="FC43" s="319">
        <v>835000</v>
      </c>
      <c r="FD43" s="319">
        <v>776000</v>
      </c>
      <c r="FE43" s="319">
        <v>827329.03</v>
      </c>
      <c r="FF43" s="319"/>
      <c r="FG43" s="322">
        <v>852558.58</v>
      </c>
      <c r="FH43" s="760">
        <v>802720.26</v>
      </c>
      <c r="FI43" s="760">
        <v>837195.39</v>
      </c>
      <c r="FJ43" s="760">
        <v>852277.31</v>
      </c>
      <c r="FK43" s="760">
        <v>853000</v>
      </c>
      <c r="GZ43" s="62"/>
      <c r="HB43" s="62"/>
      <c r="HD43" s="62"/>
      <c r="HF43" s="62"/>
      <c r="HH43" s="62"/>
      <c r="HJ43" s="62"/>
      <c r="HL43" s="62"/>
      <c r="HN43" s="62"/>
    </row>
    <row r="44" spans="1:222" s="61" customFormat="1">
      <c r="A44" s="319" t="s">
        <v>27</v>
      </c>
      <c r="B44" s="319">
        <v>1585658</v>
      </c>
      <c r="C44" s="319">
        <v>1272538</v>
      </c>
      <c r="D44" s="319">
        <v>1309773</v>
      </c>
      <c r="E44" s="319">
        <v>1517334</v>
      </c>
      <c r="F44" s="319">
        <v>1592428</v>
      </c>
      <c r="G44" s="319">
        <v>1806244</v>
      </c>
      <c r="H44" s="319">
        <v>1555701</v>
      </c>
      <c r="I44" s="319">
        <v>1769193</v>
      </c>
      <c r="J44" s="319">
        <v>1725647</v>
      </c>
      <c r="K44" s="319"/>
      <c r="L44" s="319"/>
      <c r="M44" s="319"/>
      <c r="N44" s="319"/>
      <c r="O44" s="319"/>
      <c r="P44" s="319"/>
      <c r="Q44" s="319"/>
      <c r="R44" s="319"/>
      <c r="S44" s="322"/>
      <c r="T44" s="760"/>
      <c r="U44" s="760"/>
      <c r="V44" s="760"/>
      <c r="W44" s="760"/>
      <c r="X44" s="42"/>
      <c r="Y44" s="319" t="s">
        <v>27</v>
      </c>
      <c r="Z44" s="319">
        <v>285418.44</v>
      </c>
      <c r="AA44" s="319">
        <v>305409.12</v>
      </c>
      <c r="AB44" s="319">
        <v>327443.25</v>
      </c>
      <c r="AC44" s="319">
        <v>364160.16</v>
      </c>
      <c r="AD44" s="319">
        <v>382182.72</v>
      </c>
      <c r="AE44" s="319">
        <v>397373.68</v>
      </c>
      <c r="AF44" s="319">
        <v>420039.27</v>
      </c>
      <c r="AG44" s="319">
        <v>424606.32</v>
      </c>
      <c r="AH44" s="319">
        <v>448668.22</v>
      </c>
      <c r="AI44" s="319"/>
      <c r="AJ44" s="319"/>
      <c r="AK44" s="319"/>
      <c r="AL44" s="319"/>
      <c r="AM44" s="319"/>
      <c r="AN44" s="319"/>
      <c r="AO44" s="319"/>
      <c r="AP44" s="319"/>
      <c r="AQ44" s="322"/>
      <c r="AR44" s="760"/>
      <c r="AS44" s="760"/>
      <c r="AT44" s="760"/>
      <c r="AU44" s="760"/>
      <c r="AV44" s="62"/>
      <c r="AW44" s="319" t="s">
        <v>27</v>
      </c>
      <c r="AX44" s="319">
        <v>412271.08</v>
      </c>
      <c r="AY44" s="319">
        <v>419937.54</v>
      </c>
      <c r="AZ44" s="319">
        <v>432225.09</v>
      </c>
      <c r="BA44" s="319">
        <v>485546.88</v>
      </c>
      <c r="BB44" s="319">
        <v>493652.68</v>
      </c>
      <c r="BC44" s="319">
        <v>523810.76</v>
      </c>
      <c r="BD44" s="319">
        <v>528938.34</v>
      </c>
      <c r="BE44" s="319">
        <v>548449.82999999996</v>
      </c>
      <c r="BF44" s="319">
        <v>534950.56999999995</v>
      </c>
      <c r="BG44" s="319"/>
      <c r="BH44" s="319"/>
      <c r="BI44" s="319"/>
      <c r="BJ44" s="319"/>
      <c r="BK44" s="319"/>
      <c r="BL44" s="319"/>
      <c r="BM44" s="319"/>
      <c r="BN44" s="319"/>
      <c r="BO44" s="322"/>
      <c r="BP44" s="760"/>
      <c r="BQ44" s="760"/>
      <c r="BR44" s="760"/>
      <c r="BS44" s="760"/>
      <c r="BT44" s="62"/>
      <c r="BU44" s="319" t="s">
        <v>27</v>
      </c>
      <c r="BV44" s="319">
        <v>824542.16</v>
      </c>
      <c r="BW44" s="319">
        <v>496289.82</v>
      </c>
      <c r="BX44" s="319">
        <v>497713.74</v>
      </c>
      <c r="BY44" s="319">
        <v>531066.9</v>
      </c>
      <c r="BZ44" s="319">
        <v>573274.07999999996</v>
      </c>
      <c r="CA44" s="319">
        <v>722497.6</v>
      </c>
      <c r="CB44" s="319">
        <v>575609.37</v>
      </c>
      <c r="CC44" s="319">
        <v>619217.55000000005</v>
      </c>
      <c r="CD44" s="319">
        <v>586719.98</v>
      </c>
      <c r="CE44" s="319"/>
      <c r="CF44" s="319"/>
      <c r="CG44" s="319"/>
      <c r="CH44" s="319"/>
      <c r="CI44" s="319"/>
      <c r="CJ44" s="319"/>
      <c r="CK44" s="319"/>
      <c r="CL44" s="319"/>
      <c r="CM44" s="322"/>
      <c r="CN44" s="760"/>
      <c r="CO44" s="760"/>
      <c r="CP44" s="760"/>
      <c r="CQ44" s="760"/>
      <c r="CR44" s="62"/>
      <c r="CS44" s="319" t="s">
        <v>27</v>
      </c>
      <c r="CT44" s="319">
        <v>31713.16</v>
      </c>
      <c r="CU44" s="319">
        <v>25450.76</v>
      </c>
      <c r="CV44" s="319">
        <v>26195.46</v>
      </c>
      <c r="CW44" s="319">
        <v>30346.68</v>
      </c>
      <c r="CX44" s="319">
        <v>31848.560000000001</v>
      </c>
      <c r="CY44" s="319">
        <v>36124.879999999997</v>
      </c>
      <c r="CZ44" s="319">
        <v>31114.02</v>
      </c>
      <c r="DA44" s="319">
        <v>35383.86</v>
      </c>
      <c r="DB44" s="319">
        <v>17256.47</v>
      </c>
      <c r="DC44" s="319"/>
      <c r="DD44" s="319"/>
      <c r="DE44" s="319"/>
      <c r="DF44" s="319"/>
      <c r="DG44" s="319"/>
      <c r="DH44" s="319"/>
      <c r="DI44" s="319"/>
      <c r="DJ44" s="319"/>
      <c r="DK44" s="322"/>
      <c r="DL44" s="760"/>
      <c r="DM44" s="760"/>
      <c r="DN44" s="760"/>
      <c r="DO44" s="760"/>
      <c r="DP44" s="62"/>
      <c r="DQ44" s="319" t="s">
        <v>27</v>
      </c>
      <c r="DR44" s="319">
        <v>31713.16</v>
      </c>
      <c r="DS44" s="319">
        <v>25450.76</v>
      </c>
      <c r="DT44" s="319">
        <v>26195.46</v>
      </c>
      <c r="DU44" s="319">
        <v>106213.38</v>
      </c>
      <c r="DV44" s="319">
        <v>111469.96</v>
      </c>
      <c r="DW44" s="319">
        <v>126437.08</v>
      </c>
      <c r="DX44" s="319">
        <v>0</v>
      </c>
      <c r="DY44" s="319">
        <v>141535.44</v>
      </c>
      <c r="DZ44" s="319">
        <v>138051.76</v>
      </c>
      <c r="EA44" s="319"/>
      <c r="EB44" s="319"/>
      <c r="EC44" s="319"/>
      <c r="ED44" s="319"/>
      <c r="EE44" s="319"/>
      <c r="EF44" s="319"/>
      <c r="EG44" s="319"/>
      <c r="EH44" s="319"/>
      <c r="EI44" s="322"/>
      <c r="EJ44" s="767"/>
      <c r="EK44" s="767"/>
      <c r="EL44" s="767"/>
      <c r="EM44" s="767"/>
      <c r="EO44" s="319" t="s">
        <v>27</v>
      </c>
      <c r="EP44" s="319">
        <v>1704427</v>
      </c>
      <c r="EQ44" s="319">
        <v>1392154</v>
      </c>
      <c r="ER44" s="319">
        <v>1183215</v>
      </c>
      <c r="ES44" s="319">
        <v>1166357</v>
      </c>
      <c r="ET44" s="319">
        <v>1414409</v>
      </c>
      <c r="EU44" s="319">
        <v>1744591</v>
      </c>
      <c r="EV44" s="319">
        <v>1643061</v>
      </c>
      <c r="EW44" s="319">
        <v>1622069</v>
      </c>
      <c r="EX44" s="319">
        <v>2038605</v>
      </c>
      <c r="EY44" s="319"/>
      <c r="EZ44" s="319"/>
      <c r="FA44" s="319"/>
      <c r="FB44" s="319"/>
      <c r="FC44" s="319"/>
      <c r="FD44" s="319"/>
      <c r="FE44" s="319"/>
      <c r="FF44" s="319"/>
      <c r="FG44" s="322"/>
      <c r="FH44" s="760"/>
      <c r="FI44" s="760"/>
      <c r="FJ44" s="760"/>
      <c r="FK44" s="760"/>
      <c r="GZ44" s="62"/>
      <c r="HB44" s="62"/>
      <c r="HD44" s="62"/>
      <c r="HF44" s="62"/>
      <c r="HH44" s="62"/>
      <c r="HJ44" s="62"/>
      <c r="HL44" s="62"/>
      <c r="HN44" s="62"/>
    </row>
    <row r="45" spans="1:222" s="61" customFormat="1">
      <c r="A45" s="319" t="s">
        <v>28</v>
      </c>
      <c r="B45" s="319">
        <v>546574</v>
      </c>
      <c r="C45" s="319">
        <v>728798</v>
      </c>
      <c r="D45" s="319">
        <v>1033895</v>
      </c>
      <c r="E45" s="319">
        <v>1253737</v>
      </c>
      <c r="F45" s="319">
        <v>615312</v>
      </c>
      <c r="G45" s="319">
        <v>857258</v>
      </c>
      <c r="H45" s="319">
        <v>1052809</v>
      </c>
      <c r="I45" s="319">
        <v>870286</v>
      </c>
      <c r="J45" s="319">
        <v>687768.16</v>
      </c>
      <c r="K45" s="319">
        <v>590649.3600000001</v>
      </c>
      <c r="L45" s="319">
        <v>777931.04</v>
      </c>
      <c r="M45" s="319">
        <v>788556.32999999984</v>
      </c>
      <c r="N45" s="319">
        <v>859310.1399999999</v>
      </c>
      <c r="O45" s="319">
        <v>1285212.76</v>
      </c>
      <c r="P45" s="319">
        <v>1827793.2300000002</v>
      </c>
      <c r="Q45" s="319">
        <v>1075755.21</v>
      </c>
      <c r="R45" s="319">
        <v>553742.43000000005</v>
      </c>
      <c r="S45" s="322">
        <v>572545.87999999989</v>
      </c>
      <c r="T45" s="760">
        <v>906998.34</v>
      </c>
      <c r="U45" s="760">
        <v>739814.01</v>
      </c>
      <c r="V45" s="760">
        <v>884683.35</v>
      </c>
      <c r="W45" s="760">
        <v>813390</v>
      </c>
      <c r="X45" s="42"/>
      <c r="Y45" s="319" t="s">
        <v>28</v>
      </c>
      <c r="Z45" s="319">
        <v>16397.22</v>
      </c>
      <c r="AA45" s="319">
        <v>14575.96</v>
      </c>
      <c r="AB45" s="319">
        <v>20677.900000000001</v>
      </c>
      <c r="AC45" s="319">
        <v>12537.37</v>
      </c>
      <c r="AD45" s="319">
        <v>18459.36</v>
      </c>
      <c r="AE45" s="319">
        <v>17145.16</v>
      </c>
      <c r="AF45" s="319">
        <v>21056.18</v>
      </c>
      <c r="AG45" s="319">
        <v>17405.72</v>
      </c>
      <c r="AH45" s="319">
        <v>15958.14</v>
      </c>
      <c r="AI45" s="319">
        <v>15950</v>
      </c>
      <c r="AJ45" s="319">
        <v>15968.56</v>
      </c>
      <c r="AK45" s="319">
        <v>15982.11</v>
      </c>
      <c r="AL45" s="319">
        <v>15459.39</v>
      </c>
      <c r="AM45" s="319">
        <v>15414.29</v>
      </c>
      <c r="AN45" s="319">
        <v>15351.08</v>
      </c>
      <c r="AO45" s="319">
        <v>15347.22</v>
      </c>
      <c r="AP45" s="319">
        <v>15353.28</v>
      </c>
      <c r="AQ45" s="322">
        <v>15363.7</v>
      </c>
      <c r="AR45" s="760">
        <v>15392.41</v>
      </c>
      <c r="AS45" s="760">
        <v>15392.42</v>
      </c>
      <c r="AT45" s="760">
        <v>15390.67</v>
      </c>
      <c r="AU45" s="760">
        <v>15390</v>
      </c>
      <c r="AV45" s="62"/>
      <c r="AW45" s="319" t="s">
        <v>28</v>
      </c>
      <c r="AX45" s="319">
        <v>0</v>
      </c>
      <c r="AY45" s="319">
        <v>0</v>
      </c>
      <c r="AZ45" s="319">
        <v>0</v>
      </c>
      <c r="BA45" s="319">
        <v>0</v>
      </c>
      <c r="BB45" s="319">
        <v>0</v>
      </c>
      <c r="BC45" s="319">
        <v>0</v>
      </c>
      <c r="BD45" s="319">
        <v>0</v>
      </c>
      <c r="BE45" s="319">
        <v>0</v>
      </c>
      <c r="BF45" s="319">
        <v>0</v>
      </c>
      <c r="BG45" s="319">
        <v>0</v>
      </c>
      <c r="BH45" s="319">
        <v>0</v>
      </c>
      <c r="BI45" s="319">
        <v>0</v>
      </c>
      <c r="BJ45" s="319">
        <v>0</v>
      </c>
      <c r="BK45" s="319">
        <v>0</v>
      </c>
      <c r="BL45" s="319">
        <v>0</v>
      </c>
      <c r="BM45" s="319">
        <v>0</v>
      </c>
      <c r="BN45" s="319">
        <v>0</v>
      </c>
      <c r="BO45" s="322">
        <v>0</v>
      </c>
      <c r="BP45" s="760">
        <v>0</v>
      </c>
      <c r="BQ45" s="760">
        <v>0</v>
      </c>
      <c r="BR45" s="760">
        <v>0</v>
      </c>
      <c r="BS45" s="760">
        <v>0</v>
      </c>
      <c r="BT45" s="62"/>
      <c r="BU45" s="319" t="s">
        <v>28</v>
      </c>
      <c r="BV45" s="319">
        <v>502848.08</v>
      </c>
      <c r="BW45" s="319">
        <v>670494.16</v>
      </c>
      <c r="BX45" s="319">
        <v>971861.3</v>
      </c>
      <c r="BY45" s="319">
        <v>1115825.93</v>
      </c>
      <c r="BZ45" s="319">
        <v>559933.92000000004</v>
      </c>
      <c r="CA45" s="319">
        <v>788677.36</v>
      </c>
      <c r="CB45" s="319">
        <v>926471.92</v>
      </c>
      <c r="CC45" s="319">
        <v>765851.68</v>
      </c>
      <c r="CD45" s="319">
        <v>597542</v>
      </c>
      <c r="CE45" s="319">
        <v>545600.20000000007</v>
      </c>
      <c r="CF45" s="319">
        <v>703218.83</v>
      </c>
      <c r="CG45" s="319">
        <v>737992.11999999988</v>
      </c>
      <c r="CH45" s="319">
        <v>804675.14999999991</v>
      </c>
      <c r="CI45" s="319">
        <v>1196541.3499999999</v>
      </c>
      <c r="CJ45" s="319">
        <v>1688258.82</v>
      </c>
      <c r="CK45" s="319">
        <v>971212.1</v>
      </c>
      <c r="CL45" s="319">
        <v>495644.02999999997</v>
      </c>
      <c r="CM45" s="322">
        <v>495326.17</v>
      </c>
      <c r="CN45" s="760">
        <v>861983.44</v>
      </c>
      <c r="CO45" s="760">
        <v>692503.02</v>
      </c>
      <c r="CP45" s="760">
        <v>824495.33</v>
      </c>
      <c r="CQ45" s="760">
        <v>759500</v>
      </c>
      <c r="CR45" s="62"/>
      <c r="CS45" s="319" t="s">
        <v>28</v>
      </c>
      <c r="CT45" s="319">
        <v>5465.74</v>
      </c>
      <c r="CU45" s="319">
        <v>14575.96</v>
      </c>
      <c r="CV45" s="319">
        <v>10338.950000000001</v>
      </c>
      <c r="CW45" s="319">
        <v>12537.37</v>
      </c>
      <c r="CX45" s="319">
        <v>6153.12</v>
      </c>
      <c r="CY45" s="319">
        <v>0</v>
      </c>
      <c r="CZ45" s="319">
        <v>0</v>
      </c>
      <c r="DA45" s="319">
        <v>0</v>
      </c>
      <c r="DB45" s="319">
        <v>1315.87</v>
      </c>
      <c r="DC45" s="319">
        <v>4294.21</v>
      </c>
      <c r="DD45" s="319">
        <v>5793.73</v>
      </c>
      <c r="DE45" s="319">
        <v>5731.69</v>
      </c>
      <c r="DF45" s="319">
        <v>2184.35</v>
      </c>
      <c r="DG45" s="319">
        <v>1650.8</v>
      </c>
      <c r="DH45" s="319">
        <v>1964.16</v>
      </c>
      <c r="DI45" s="319">
        <v>699.12</v>
      </c>
      <c r="DJ45" s="319">
        <v>1348.68</v>
      </c>
      <c r="DK45" s="322">
        <v>572.91999999999996</v>
      </c>
      <c r="DL45" s="760">
        <v>391.31</v>
      </c>
      <c r="DM45" s="760">
        <v>358.38</v>
      </c>
      <c r="DN45" s="760">
        <v>740.37</v>
      </c>
      <c r="DO45" s="760">
        <v>500</v>
      </c>
      <c r="DP45" s="62"/>
      <c r="DQ45" s="319" t="s">
        <v>28</v>
      </c>
      <c r="DR45" s="319">
        <v>21862.959999999999</v>
      </c>
      <c r="DS45" s="319">
        <v>29151.919999999998</v>
      </c>
      <c r="DT45" s="319">
        <v>31016.85</v>
      </c>
      <c r="DU45" s="319">
        <v>112836.33</v>
      </c>
      <c r="DV45" s="319">
        <v>30765.599999999999</v>
      </c>
      <c r="DW45" s="319">
        <v>51435.48</v>
      </c>
      <c r="DX45" s="319">
        <v>105280.9</v>
      </c>
      <c r="DY45" s="319">
        <v>87028.6</v>
      </c>
      <c r="DZ45" s="319">
        <v>36196.429999999993</v>
      </c>
      <c r="EA45" s="319">
        <v>24804.95</v>
      </c>
      <c r="EB45" s="319">
        <v>52949.919999999998</v>
      </c>
      <c r="EC45" s="319">
        <v>28850.41</v>
      </c>
      <c r="ED45" s="319">
        <v>33629.57</v>
      </c>
      <c r="EE45" s="319">
        <v>31564.32</v>
      </c>
      <c r="EF45" s="319">
        <v>122219.17</v>
      </c>
      <c r="EG45" s="319">
        <v>88496.77</v>
      </c>
      <c r="EH45" s="319">
        <v>41396.44</v>
      </c>
      <c r="EI45" s="322">
        <v>37597.869999999995</v>
      </c>
      <c r="EJ45" s="767">
        <v>16745.03</v>
      </c>
      <c r="EK45" s="767">
        <v>29865.870000000003</v>
      </c>
      <c r="EL45" s="767">
        <v>41741.53</v>
      </c>
      <c r="EM45" s="767">
        <v>33000</v>
      </c>
      <c r="EO45" s="319" t="s">
        <v>28</v>
      </c>
      <c r="EP45" s="319">
        <v>522978</v>
      </c>
      <c r="EQ45" s="319">
        <v>705797</v>
      </c>
      <c r="ER45" s="319">
        <v>1093407</v>
      </c>
      <c r="ES45" s="319">
        <v>1290115</v>
      </c>
      <c r="ET45" s="319">
        <v>700483</v>
      </c>
      <c r="EU45" s="319">
        <v>875292</v>
      </c>
      <c r="EV45" s="319">
        <v>996510</v>
      </c>
      <c r="EW45" s="319">
        <v>796464</v>
      </c>
      <c r="EX45" s="319">
        <v>692687.66999999993</v>
      </c>
      <c r="EY45" s="319">
        <v>661224.11</v>
      </c>
      <c r="EZ45" s="319">
        <v>713471.62</v>
      </c>
      <c r="FA45" s="319">
        <v>876561.95000000007</v>
      </c>
      <c r="FB45" s="319">
        <v>840123.67999999993</v>
      </c>
      <c r="FC45" s="319">
        <v>1237134.9500000002</v>
      </c>
      <c r="FD45" s="319">
        <v>1884930.5899999999</v>
      </c>
      <c r="FE45" s="319">
        <v>991258.72999999986</v>
      </c>
      <c r="FF45" s="319">
        <v>617099.64</v>
      </c>
      <c r="FG45" s="322">
        <v>610260.76</v>
      </c>
      <c r="FH45" s="760">
        <v>884171.94</v>
      </c>
      <c r="FI45" s="760">
        <v>696526.12999999989</v>
      </c>
      <c r="FJ45" s="760">
        <v>877432.27</v>
      </c>
      <c r="FK45" s="760">
        <v>881454.4</v>
      </c>
      <c r="GZ45" s="62"/>
      <c r="HB45" s="62"/>
      <c r="HD45" s="62"/>
      <c r="HF45" s="62"/>
      <c r="HH45" s="62"/>
      <c r="HJ45" s="62"/>
      <c r="HL45" s="62"/>
      <c r="HN45" s="62"/>
    </row>
    <row r="46" spans="1:222" s="61" customFormat="1">
      <c r="A46" s="319" t="s">
        <v>29</v>
      </c>
      <c r="B46" s="319">
        <v>776703</v>
      </c>
      <c r="C46" s="319">
        <v>733902</v>
      </c>
      <c r="D46" s="319">
        <v>655088</v>
      </c>
      <c r="E46" s="319">
        <v>792070</v>
      </c>
      <c r="F46" s="319">
        <v>567684</v>
      </c>
      <c r="G46" s="319">
        <v>807868</v>
      </c>
      <c r="H46" s="319">
        <v>947392</v>
      </c>
      <c r="I46" s="319">
        <v>832186</v>
      </c>
      <c r="J46" s="319">
        <v>887200.94000000006</v>
      </c>
      <c r="K46" s="319">
        <v>569461.88</v>
      </c>
      <c r="L46" s="319">
        <v>839208.52</v>
      </c>
      <c r="M46" s="319">
        <v>1147218.55</v>
      </c>
      <c r="N46" s="319">
        <v>1363726.0399999998</v>
      </c>
      <c r="O46" s="319">
        <v>1587426.06</v>
      </c>
      <c r="P46" s="319"/>
      <c r="Q46" s="319">
        <v>1058976</v>
      </c>
      <c r="R46" s="319">
        <v>661947.37</v>
      </c>
      <c r="S46" s="322">
        <v>741629.00999999989</v>
      </c>
      <c r="T46" s="760"/>
      <c r="U46" s="760"/>
      <c r="V46" s="760"/>
      <c r="W46" s="760"/>
      <c r="X46" s="42"/>
      <c r="Y46" s="319" t="s">
        <v>29</v>
      </c>
      <c r="Z46" s="319">
        <v>31068.12</v>
      </c>
      <c r="AA46" s="319">
        <v>36695.1</v>
      </c>
      <c r="AB46" s="319">
        <v>39305.279999999999</v>
      </c>
      <c r="AC46" s="319">
        <v>39603.5</v>
      </c>
      <c r="AD46" s="319">
        <v>39737.879999999997</v>
      </c>
      <c r="AE46" s="319">
        <v>40393.4</v>
      </c>
      <c r="AF46" s="319">
        <v>37895.68</v>
      </c>
      <c r="AG46" s="319">
        <v>41609.300000000003</v>
      </c>
      <c r="AH46" s="319">
        <v>47845.36</v>
      </c>
      <c r="AI46" s="319">
        <v>40351.15</v>
      </c>
      <c r="AJ46" s="319">
        <v>43193.88</v>
      </c>
      <c r="AK46" s="319">
        <v>48726.86</v>
      </c>
      <c r="AL46" s="319">
        <v>51885.09</v>
      </c>
      <c r="AM46" s="319">
        <v>53558.92</v>
      </c>
      <c r="AN46" s="319"/>
      <c r="AO46" s="319">
        <v>0</v>
      </c>
      <c r="AP46" s="319">
        <v>55411.64</v>
      </c>
      <c r="AQ46" s="322">
        <v>57191.33</v>
      </c>
      <c r="AR46" s="760"/>
      <c r="AS46" s="760"/>
      <c r="AT46" s="760"/>
      <c r="AU46" s="760"/>
      <c r="AV46" s="62"/>
      <c r="AW46" s="319" t="s">
        <v>29</v>
      </c>
      <c r="AX46" s="319">
        <v>0</v>
      </c>
      <c r="AY46" s="319">
        <v>0</v>
      </c>
      <c r="AZ46" s="319">
        <v>0</v>
      </c>
      <c r="BA46" s="319">
        <v>0</v>
      </c>
      <c r="BB46" s="319">
        <v>0</v>
      </c>
      <c r="BC46" s="319">
        <v>0</v>
      </c>
      <c r="BD46" s="319">
        <v>0</v>
      </c>
      <c r="BE46" s="319">
        <v>0</v>
      </c>
      <c r="BF46" s="319">
        <v>0</v>
      </c>
      <c r="BG46" s="319">
        <v>0</v>
      </c>
      <c r="BH46" s="319">
        <v>0</v>
      </c>
      <c r="BI46" s="319">
        <v>0</v>
      </c>
      <c r="BJ46" s="319">
        <v>0</v>
      </c>
      <c r="BK46" s="319">
        <v>0</v>
      </c>
      <c r="BL46" s="319"/>
      <c r="BM46" s="319">
        <v>0</v>
      </c>
      <c r="BN46" s="319">
        <v>0</v>
      </c>
      <c r="BO46" s="322">
        <v>0</v>
      </c>
      <c r="BP46" s="760"/>
      <c r="BQ46" s="760"/>
      <c r="BR46" s="760"/>
      <c r="BS46" s="760"/>
      <c r="BT46" s="62"/>
      <c r="BU46" s="319" t="s">
        <v>29</v>
      </c>
      <c r="BV46" s="319">
        <v>574760.22</v>
      </c>
      <c r="BW46" s="319">
        <v>682528.86</v>
      </c>
      <c r="BX46" s="319">
        <v>596130.07999999996</v>
      </c>
      <c r="BY46" s="319">
        <v>697021.6</v>
      </c>
      <c r="BZ46" s="319">
        <v>516592.44</v>
      </c>
      <c r="CA46" s="319">
        <v>492799.48</v>
      </c>
      <c r="CB46" s="319">
        <v>881074.56</v>
      </c>
      <c r="CC46" s="319">
        <v>740645.54</v>
      </c>
      <c r="CD46" s="319">
        <v>821452.77</v>
      </c>
      <c r="CE46" s="319">
        <v>512218.64</v>
      </c>
      <c r="CF46" s="319">
        <v>768528.61</v>
      </c>
      <c r="CG46" s="319">
        <v>1052179.03</v>
      </c>
      <c r="CH46" s="319">
        <v>1242521.0799999998</v>
      </c>
      <c r="CI46" s="319">
        <v>1526249.1600000001</v>
      </c>
      <c r="CJ46" s="319"/>
      <c r="CK46" s="319">
        <v>992240</v>
      </c>
      <c r="CL46" s="319">
        <v>595135.68999999994</v>
      </c>
      <c r="CM46" s="322">
        <v>674056.22</v>
      </c>
      <c r="CN46" s="760"/>
      <c r="CO46" s="760"/>
      <c r="CP46" s="760"/>
      <c r="CQ46" s="760"/>
      <c r="CR46" s="62"/>
      <c r="CS46" s="319" t="s">
        <v>29</v>
      </c>
      <c r="CT46" s="319">
        <v>15534.06</v>
      </c>
      <c r="CU46" s="319">
        <v>7339.02</v>
      </c>
      <c r="CV46" s="319">
        <v>13101.76</v>
      </c>
      <c r="CW46" s="319">
        <v>7920.7</v>
      </c>
      <c r="CX46" s="319">
        <v>5676.84</v>
      </c>
      <c r="CY46" s="319">
        <v>16157.36</v>
      </c>
      <c r="CZ46" s="319">
        <v>9473.92</v>
      </c>
      <c r="DA46" s="319">
        <v>8321.86</v>
      </c>
      <c r="DB46" s="319">
        <v>5862.52</v>
      </c>
      <c r="DC46" s="319">
        <v>12470.49</v>
      </c>
      <c r="DD46" s="319">
        <v>15632.78</v>
      </c>
      <c r="DE46" s="319">
        <v>27000.79</v>
      </c>
      <c r="DF46" s="319">
        <v>12127.95</v>
      </c>
      <c r="DG46" s="319">
        <v>1805.09</v>
      </c>
      <c r="DH46" s="319"/>
      <c r="DI46" s="319">
        <v>1313</v>
      </c>
      <c r="DJ46" s="319">
        <v>1182.04</v>
      </c>
      <c r="DK46" s="322">
        <v>777.01</v>
      </c>
      <c r="DL46" s="760"/>
      <c r="DM46" s="760"/>
      <c r="DN46" s="760"/>
      <c r="DO46" s="760"/>
      <c r="DP46" s="62"/>
      <c r="DQ46" s="319" t="s">
        <v>29</v>
      </c>
      <c r="DR46" s="319">
        <v>155340.6</v>
      </c>
      <c r="DS46" s="319">
        <v>7339.02</v>
      </c>
      <c r="DT46" s="319">
        <v>6550.88</v>
      </c>
      <c r="DU46" s="319">
        <v>47524.2</v>
      </c>
      <c r="DV46" s="319">
        <v>5676.84</v>
      </c>
      <c r="DW46" s="319">
        <v>258517.76000000001</v>
      </c>
      <c r="DX46" s="319">
        <v>18947.84</v>
      </c>
      <c r="DY46" s="319">
        <v>41609.300000000003</v>
      </c>
      <c r="DZ46" s="319">
        <v>12040.29</v>
      </c>
      <c r="EA46" s="319">
        <v>4421.6000000000004</v>
      </c>
      <c r="EB46" s="319">
        <v>11853.25</v>
      </c>
      <c r="EC46" s="319">
        <v>19311.87</v>
      </c>
      <c r="ED46" s="319">
        <v>16935.18</v>
      </c>
      <c r="EE46" s="319">
        <v>5812.8899999999994</v>
      </c>
      <c r="EF46" s="319"/>
      <c r="EG46" s="319">
        <v>65423</v>
      </c>
      <c r="EH46" s="319">
        <v>10218</v>
      </c>
      <c r="EI46" s="322">
        <v>9604.4500000000007</v>
      </c>
      <c r="EJ46" s="767"/>
      <c r="EK46" s="767"/>
      <c r="EL46" s="767"/>
      <c r="EM46" s="767"/>
      <c r="EO46" s="319" t="s">
        <v>29</v>
      </c>
      <c r="EP46" s="319">
        <v>821180</v>
      </c>
      <c r="EQ46" s="319">
        <v>778872</v>
      </c>
      <c r="ER46" s="319">
        <v>596281</v>
      </c>
      <c r="ES46" s="319">
        <v>943311</v>
      </c>
      <c r="ET46" s="319">
        <v>456461</v>
      </c>
      <c r="EU46" s="319">
        <v>761509</v>
      </c>
      <c r="EV46" s="319">
        <v>937230</v>
      </c>
      <c r="EW46" s="319">
        <v>752666</v>
      </c>
      <c r="EX46" s="319">
        <v>743529.06999999972</v>
      </c>
      <c r="EY46" s="319">
        <v>732724.80000000016</v>
      </c>
      <c r="EZ46" s="319">
        <v>609447.75</v>
      </c>
      <c r="FA46" s="319">
        <v>1202433.3700000001</v>
      </c>
      <c r="FB46" s="319">
        <v>1311953.1800000002</v>
      </c>
      <c r="FC46" s="319">
        <v>1624913.7400000002</v>
      </c>
      <c r="FD46" s="319"/>
      <c r="FE46" s="319">
        <v>1106204</v>
      </c>
      <c r="FF46" s="319">
        <v>877642.44000000006</v>
      </c>
      <c r="FG46" s="322">
        <v>659926.93000000005</v>
      </c>
      <c r="FH46" s="760"/>
      <c r="FI46" s="760"/>
      <c r="FJ46" s="760"/>
      <c r="FK46" s="760"/>
      <c r="GZ46" s="62"/>
      <c r="HB46" s="62"/>
      <c r="HD46" s="62"/>
      <c r="HF46" s="62"/>
      <c r="HH46" s="62"/>
      <c r="HJ46" s="62"/>
      <c r="HL46" s="62"/>
      <c r="HN46" s="62"/>
    </row>
    <row r="47" spans="1:222" s="61" customFormat="1">
      <c r="A47" s="319" t="s">
        <v>30</v>
      </c>
      <c r="B47" s="319">
        <v>1666072</v>
      </c>
      <c r="C47" s="319">
        <v>1277652</v>
      </c>
      <c r="D47" s="319">
        <v>1678633</v>
      </c>
      <c r="E47" s="319">
        <v>1523020</v>
      </c>
      <c r="F47" s="319">
        <v>1824265</v>
      </c>
      <c r="G47" s="319">
        <v>1452465</v>
      </c>
      <c r="H47" s="319">
        <v>1544549</v>
      </c>
      <c r="I47" s="319">
        <v>1430983</v>
      </c>
      <c r="J47" s="319">
        <v>2249500.7000000002</v>
      </c>
      <c r="K47" s="319">
        <v>1995198.83</v>
      </c>
      <c r="L47" s="319">
        <v>2040249.5499999998</v>
      </c>
      <c r="M47" s="319">
        <v>1458858.64</v>
      </c>
      <c r="N47" s="319">
        <v>1966016.55</v>
      </c>
      <c r="O47" s="319">
        <v>1633043.3900000001</v>
      </c>
      <c r="P47" s="319">
        <v>1755914.27</v>
      </c>
      <c r="Q47" s="319">
        <v>1666564.8000000003</v>
      </c>
      <c r="R47" s="319">
        <v>1363807.69</v>
      </c>
      <c r="S47" s="322">
        <v>1355488.0699999998</v>
      </c>
      <c r="T47" s="760">
        <v>1781264.75</v>
      </c>
      <c r="U47" s="760">
        <v>1614086.52</v>
      </c>
      <c r="V47" s="760">
        <v>1631455.85</v>
      </c>
      <c r="W47" s="760">
        <v>2586920</v>
      </c>
      <c r="X47" s="42"/>
      <c r="Y47" s="319" t="s">
        <v>30</v>
      </c>
      <c r="Z47" s="319">
        <v>0</v>
      </c>
      <c r="AA47" s="319">
        <v>0</v>
      </c>
      <c r="AB47" s="319">
        <v>0</v>
      </c>
      <c r="AC47" s="319">
        <v>0</v>
      </c>
      <c r="AD47" s="319">
        <v>0</v>
      </c>
      <c r="AE47" s="319">
        <v>0</v>
      </c>
      <c r="AF47" s="319">
        <v>0</v>
      </c>
      <c r="AG47" s="319">
        <v>0</v>
      </c>
      <c r="AH47" s="319">
        <v>0</v>
      </c>
      <c r="AI47" s="319">
        <v>0</v>
      </c>
      <c r="AJ47" s="319">
        <v>0</v>
      </c>
      <c r="AK47" s="319">
        <v>0</v>
      </c>
      <c r="AL47" s="319">
        <v>0</v>
      </c>
      <c r="AM47" s="319">
        <v>0</v>
      </c>
      <c r="AN47" s="319">
        <v>0</v>
      </c>
      <c r="AO47" s="319">
        <v>0</v>
      </c>
      <c r="AP47" s="319">
        <v>0</v>
      </c>
      <c r="AQ47" s="322">
        <v>0</v>
      </c>
      <c r="AR47" s="760">
        <v>0</v>
      </c>
      <c r="AS47" s="760">
        <v>0</v>
      </c>
      <c r="AT47" s="760">
        <v>0</v>
      </c>
      <c r="AU47" s="760">
        <v>0</v>
      </c>
      <c r="AV47" s="62"/>
      <c r="AW47" s="319" t="s">
        <v>30</v>
      </c>
      <c r="AX47" s="319">
        <v>349875.12</v>
      </c>
      <c r="AY47" s="319">
        <v>370519.08</v>
      </c>
      <c r="AZ47" s="319">
        <v>369299.26</v>
      </c>
      <c r="BA47" s="319">
        <v>395985.2</v>
      </c>
      <c r="BB47" s="319">
        <v>419580.95</v>
      </c>
      <c r="BC47" s="319">
        <v>421214.85</v>
      </c>
      <c r="BD47" s="319">
        <v>432473.72</v>
      </c>
      <c r="BE47" s="319">
        <v>414985.07</v>
      </c>
      <c r="BF47" s="319">
        <v>459035.82</v>
      </c>
      <c r="BG47" s="319">
        <v>502781.02</v>
      </c>
      <c r="BH47" s="319">
        <v>0</v>
      </c>
      <c r="BI47" s="319">
        <v>0</v>
      </c>
      <c r="BJ47" s="319">
        <v>537784.24</v>
      </c>
      <c r="BK47" s="319">
        <v>535418.67000000004</v>
      </c>
      <c r="BL47" s="319">
        <v>519840.68</v>
      </c>
      <c r="BM47" s="319">
        <v>535920.91</v>
      </c>
      <c r="BN47" s="319">
        <v>526734.07999999996</v>
      </c>
      <c r="BO47" s="322">
        <v>526628.18000000005</v>
      </c>
      <c r="BP47" s="760">
        <v>586113.47</v>
      </c>
      <c r="BQ47" s="760">
        <v>625023.16</v>
      </c>
      <c r="BR47" s="760">
        <v>599513.76</v>
      </c>
      <c r="BS47" s="760">
        <v>610000</v>
      </c>
      <c r="BT47" s="62"/>
      <c r="BU47" s="319" t="s">
        <v>30</v>
      </c>
      <c r="BV47" s="319">
        <v>1216232.56</v>
      </c>
      <c r="BW47" s="319">
        <v>804920.76</v>
      </c>
      <c r="BX47" s="319">
        <v>1175043.1000000001</v>
      </c>
      <c r="BY47" s="319">
        <v>1005193.2</v>
      </c>
      <c r="BZ47" s="319">
        <v>1240500.2</v>
      </c>
      <c r="CA47" s="319">
        <v>900528.3</v>
      </c>
      <c r="CB47" s="319">
        <v>1050293.32</v>
      </c>
      <c r="CC47" s="319">
        <v>987378.27</v>
      </c>
      <c r="CD47" s="319">
        <v>1725004.12</v>
      </c>
      <c r="CE47" s="319">
        <v>1405281.06</v>
      </c>
      <c r="CF47" s="319">
        <v>1464575.0499999998</v>
      </c>
      <c r="CG47" s="319">
        <v>829498.64999999991</v>
      </c>
      <c r="CH47" s="319">
        <v>1083117.9300000002</v>
      </c>
      <c r="CI47" s="319">
        <v>842520.82000000007</v>
      </c>
      <c r="CJ47" s="319">
        <v>917312.25</v>
      </c>
      <c r="CK47" s="319">
        <v>709035.08000000007</v>
      </c>
      <c r="CL47" s="319">
        <v>720867.94</v>
      </c>
      <c r="CM47" s="322">
        <v>741167.33</v>
      </c>
      <c r="CN47" s="760">
        <v>1107928.76</v>
      </c>
      <c r="CO47" s="760">
        <v>800463.47</v>
      </c>
      <c r="CP47" s="760">
        <v>892459.25</v>
      </c>
      <c r="CQ47" s="760">
        <v>1898470</v>
      </c>
      <c r="CR47" s="62"/>
      <c r="CS47" s="319" t="s">
        <v>30</v>
      </c>
      <c r="CT47" s="319">
        <v>66642.880000000005</v>
      </c>
      <c r="CU47" s="319">
        <v>76659.12</v>
      </c>
      <c r="CV47" s="319">
        <v>83931.65</v>
      </c>
      <c r="CW47" s="319">
        <v>76151</v>
      </c>
      <c r="CX47" s="319">
        <v>91213.25</v>
      </c>
      <c r="CY47" s="319">
        <v>87147.9</v>
      </c>
      <c r="CZ47" s="319">
        <v>46336.47</v>
      </c>
      <c r="DA47" s="319">
        <v>14309.83</v>
      </c>
      <c r="DB47" s="319">
        <v>19545.79</v>
      </c>
      <c r="DC47" s="319">
        <v>34079.800000000003</v>
      </c>
      <c r="DD47" s="319">
        <v>47892</v>
      </c>
      <c r="DE47" s="319">
        <v>41490.379999999997</v>
      </c>
      <c r="DF47" s="319">
        <v>10719.79</v>
      </c>
      <c r="DG47" s="319">
        <v>3484.21</v>
      </c>
      <c r="DH47" s="319">
        <v>4152.71</v>
      </c>
      <c r="DI47" s="319">
        <v>4250.1499999999996</v>
      </c>
      <c r="DJ47" s="319">
        <v>5078.59</v>
      </c>
      <c r="DK47" s="322">
        <v>3404.78</v>
      </c>
      <c r="DL47" s="760">
        <v>952.01</v>
      </c>
      <c r="DM47" s="760">
        <v>1269.8900000000001</v>
      </c>
      <c r="DN47" s="760">
        <v>1577.71</v>
      </c>
      <c r="DO47" s="760">
        <v>1200</v>
      </c>
      <c r="DP47" s="62"/>
      <c r="DQ47" s="319" t="s">
        <v>30</v>
      </c>
      <c r="DR47" s="319">
        <v>33321.440000000002</v>
      </c>
      <c r="DS47" s="319">
        <v>25553.040000000001</v>
      </c>
      <c r="DT47" s="319">
        <v>50358.99</v>
      </c>
      <c r="DU47" s="319">
        <v>45690.6</v>
      </c>
      <c r="DV47" s="319">
        <v>72970.600000000006</v>
      </c>
      <c r="DW47" s="319">
        <v>43573.95</v>
      </c>
      <c r="DX47" s="319">
        <v>15445.49</v>
      </c>
      <c r="DY47" s="319">
        <v>14309.83</v>
      </c>
      <c r="DZ47" s="319">
        <v>45914.969999999994</v>
      </c>
      <c r="EA47" s="319">
        <v>48056.95</v>
      </c>
      <c r="EB47" s="319">
        <v>12310.77</v>
      </c>
      <c r="EC47" s="319">
        <v>49297.039999999994</v>
      </c>
      <c r="ED47" s="319">
        <v>329394.58999999997</v>
      </c>
      <c r="EE47" s="319">
        <v>246619.69</v>
      </c>
      <c r="EF47" s="319">
        <v>309608.63</v>
      </c>
      <c r="EG47" s="319">
        <v>410358.66</v>
      </c>
      <c r="EH47" s="319">
        <v>102627.07999999999</v>
      </c>
      <c r="EI47" s="322">
        <v>74287.78</v>
      </c>
      <c r="EJ47" s="767">
        <v>78770.509999999995</v>
      </c>
      <c r="EK47" s="767">
        <v>185330</v>
      </c>
      <c r="EL47" s="767">
        <v>135155.13</v>
      </c>
      <c r="EM47" s="767">
        <v>75000</v>
      </c>
      <c r="EO47" s="319" t="s">
        <v>30</v>
      </c>
      <c r="EP47" s="319">
        <v>1236604</v>
      </c>
      <c r="EQ47" s="319">
        <v>1339831</v>
      </c>
      <c r="ER47" s="319">
        <v>1170358</v>
      </c>
      <c r="ES47" s="319">
        <v>1688095</v>
      </c>
      <c r="ET47" s="319">
        <v>1550439</v>
      </c>
      <c r="EU47" s="319">
        <v>1433722</v>
      </c>
      <c r="EV47" s="319">
        <v>1844215</v>
      </c>
      <c r="EW47" s="319">
        <v>1905271</v>
      </c>
      <c r="EX47" s="319">
        <v>2401947.2399999998</v>
      </c>
      <c r="EY47" s="319">
        <v>1916241.84</v>
      </c>
      <c r="EZ47" s="319">
        <v>2287884.4200000004</v>
      </c>
      <c r="FA47" s="319">
        <v>1832863.86</v>
      </c>
      <c r="FB47" s="319">
        <v>2115387.6000000006</v>
      </c>
      <c r="FC47" s="319">
        <v>1845982.57</v>
      </c>
      <c r="FD47" s="319">
        <v>1753661.3299999998</v>
      </c>
      <c r="FE47" s="319">
        <v>1521854.5999999999</v>
      </c>
      <c r="FF47" s="319">
        <v>1295880.17</v>
      </c>
      <c r="FG47" s="322">
        <v>1360592.44</v>
      </c>
      <c r="FH47" s="760">
        <v>1722305.4900000002</v>
      </c>
      <c r="FI47" s="760">
        <v>1389004.17</v>
      </c>
      <c r="FJ47" s="760">
        <v>1413805.8099999998</v>
      </c>
      <c r="FK47" s="760">
        <v>2582061</v>
      </c>
      <c r="GZ47" s="62"/>
      <c r="HB47" s="62"/>
      <c r="HD47" s="62"/>
      <c r="HF47" s="62"/>
      <c r="HH47" s="62"/>
      <c r="HJ47" s="62"/>
      <c r="HL47" s="62"/>
      <c r="HN47" s="62"/>
    </row>
    <row r="48" spans="1:222" s="61" customFormat="1">
      <c r="A48" s="319" t="s">
        <v>31</v>
      </c>
      <c r="B48" s="319">
        <v>1452944</v>
      </c>
      <c r="C48" s="319">
        <v>914109</v>
      </c>
      <c r="D48" s="319">
        <v>1084115</v>
      </c>
      <c r="E48" s="319">
        <v>1316703</v>
      </c>
      <c r="F48" s="319">
        <v>1006442</v>
      </c>
      <c r="G48" s="319">
        <v>1884864</v>
      </c>
      <c r="H48" s="319">
        <v>1308407</v>
      </c>
      <c r="I48" s="319">
        <v>980863</v>
      </c>
      <c r="J48" s="319">
        <v>1357809.3599999996</v>
      </c>
      <c r="K48" s="319">
        <v>1028920.76</v>
      </c>
      <c r="L48" s="319">
        <v>1017072.99</v>
      </c>
      <c r="M48" s="319">
        <v>1276103.26</v>
      </c>
      <c r="N48" s="319">
        <v>1299446.1199999999</v>
      </c>
      <c r="O48" s="319">
        <v>1062800.3</v>
      </c>
      <c r="P48" s="319">
        <v>957813.07999999984</v>
      </c>
      <c r="Q48" s="319">
        <v>1154310.69</v>
      </c>
      <c r="R48" s="319">
        <v>936356.78</v>
      </c>
      <c r="S48" s="322">
        <v>1110310.1099999999</v>
      </c>
      <c r="T48" s="760">
        <v>1640541.87</v>
      </c>
      <c r="U48" s="760">
        <v>1033802.9099999999</v>
      </c>
      <c r="V48" s="760">
        <v>1562256.41</v>
      </c>
      <c r="W48" s="760">
        <v>964600</v>
      </c>
      <c r="X48" s="42"/>
      <c r="Y48" s="319" t="s">
        <v>31</v>
      </c>
      <c r="Z48" s="319">
        <v>58117.760000000002</v>
      </c>
      <c r="AA48" s="319">
        <v>63987.63</v>
      </c>
      <c r="AB48" s="319">
        <v>75888.05</v>
      </c>
      <c r="AC48" s="319">
        <v>65835.149999999994</v>
      </c>
      <c r="AD48" s="319">
        <v>80515.360000000001</v>
      </c>
      <c r="AE48" s="319">
        <v>75394.559999999998</v>
      </c>
      <c r="AF48" s="319">
        <v>78504.42</v>
      </c>
      <c r="AG48" s="319">
        <v>78469.039999999994</v>
      </c>
      <c r="AH48" s="319">
        <v>88557.51</v>
      </c>
      <c r="AI48" s="319">
        <v>92571.18</v>
      </c>
      <c r="AJ48" s="319">
        <v>97423.02</v>
      </c>
      <c r="AK48" s="319">
        <v>99883.58</v>
      </c>
      <c r="AL48" s="319">
        <v>102186.53</v>
      </c>
      <c r="AM48" s="319">
        <v>103822.87</v>
      </c>
      <c r="AN48" s="319">
        <v>103177.98</v>
      </c>
      <c r="AO48" s="319">
        <v>104613.17</v>
      </c>
      <c r="AP48" s="319">
        <v>109560.34</v>
      </c>
      <c r="AQ48" s="322">
        <v>112799.16</v>
      </c>
      <c r="AR48" s="760">
        <v>115533.86</v>
      </c>
      <c r="AS48" s="760">
        <v>117401.1</v>
      </c>
      <c r="AT48" s="760">
        <v>117545.66</v>
      </c>
      <c r="AU48" s="760">
        <v>117000</v>
      </c>
      <c r="AV48" s="62"/>
      <c r="AW48" s="319" t="s">
        <v>31</v>
      </c>
      <c r="AX48" s="319">
        <v>0</v>
      </c>
      <c r="AY48" s="319">
        <v>0</v>
      </c>
      <c r="AZ48" s="319">
        <v>0</v>
      </c>
      <c r="BA48" s="319">
        <v>0</v>
      </c>
      <c r="BB48" s="319">
        <v>0</v>
      </c>
      <c r="BC48" s="319">
        <v>0</v>
      </c>
      <c r="BD48" s="319">
        <v>0</v>
      </c>
      <c r="BE48" s="319">
        <v>0</v>
      </c>
      <c r="BF48" s="319">
        <v>0</v>
      </c>
      <c r="BG48" s="319">
        <v>0</v>
      </c>
      <c r="BH48" s="319">
        <v>0</v>
      </c>
      <c r="BI48" s="319">
        <v>0</v>
      </c>
      <c r="BJ48" s="319">
        <v>0</v>
      </c>
      <c r="BK48" s="319">
        <v>0</v>
      </c>
      <c r="BL48" s="319">
        <v>0</v>
      </c>
      <c r="BM48" s="319">
        <v>0</v>
      </c>
      <c r="BN48" s="319">
        <v>0</v>
      </c>
      <c r="BO48" s="322">
        <v>0</v>
      </c>
      <c r="BP48" s="760">
        <v>0</v>
      </c>
      <c r="BQ48" s="760">
        <v>0</v>
      </c>
      <c r="BR48" s="760">
        <v>0</v>
      </c>
      <c r="BS48" s="760">
        <v>0</v>
      </c>
      <c r="BT48" s="62"/>
      <c r="BU48" s="319" t="s">
        <v>31</v>
      </c>
      <c r="BV48" s="319">
        <v>1162355.2</v>
      </c>
      <c r="BW48" s="319">
        <v>740428.29</v>
      </c>
      <c r="BX48" s="319">
        <v>932338.9</v>
      </c>
      <c r="BY48" s="319">
        <v>1106030.52</v>
      </c>
      <c r="BZ48" s="319">
        <v>764895.92</v>
      </c>
      <c r="CA48" s="319">
        <v>1734074.88</v>
      </c>
      <c r="CB48" s="319">
        <v>1151398.1599999999</v>
      </c>
      <c r="CC48" s="319">
        <v>833733.55</v>
      </c>
      <c r="CD48" s="319">
        <v>1229742.6999999997</v>
      </c>
      <c r="CE48" s="319">
        <v>868045.43</v>
      </c>
      <c r="CF48" s="319">
        <v>837342.91</v>
      </c>
      <c r="CG48" s="319">
        <v>1079130.8599999999</v>
      </c>
      <c r="CH48" s="319">
        <v>1075238.6199999999</v>
      </c>
      <c r="CI48" s="319">
        <v>854764.76</v>
      </c>
      <c r="CJ48" s="319">
        <v>778067.50999999989</v>
      </c>
      <c r="CK48" s="319">
        <v>962045.94000000006</v>
      </c>
      <c r="CL48" s="319">
        <v>747048.52</v>
      </c>
      <c r="CM48" s="322">
        <v>855580.02</v>
      </c>
      <c r="CN48" s="760">
        <v>1366976.05</v>
      </c>
      <c r="CO48" s="760">
        <v>832533.72</v>
      </c>
      <c r="CP48" s="760">
        <v>1265803.02</v>
      </c>
      <c r="CQ48" s="760">
        <v>757000</v>
      </c>
      <c r="CR48" s="62"/>
      <c r="CS48" s="319" t="s">
        <v>31</v>
      </c>
      <c r="CT48" s="319">
        <v>14529.44</v>
      </c>
      <c r="CU48" s="319">
        <v>27423.27</v>
      </c>
      <c r="CV48" s="319">
        <v>43364.6</v>
      </c>
      <c r="CW48" s="319">
        <v>39501.089999999997</v>
      </c>
      <c r="CX48" s="319">
        <v>50322.1</v>
      </c>
      <c r="CY48" s="319">
        <v>18848.64</v>
      </c>
      <c r="CZ48" s="319">
        <v>13084.07</v>
      </c>
      <c r="DA48" s="319">
        <v>9808.6299999999992</v>
      </c>
      <c r="DB48" s="319">
        <v>10081.549999999999</v>
      </c>
      <c r="DC48" s="319">
        <v>17111.07</v>
      </c>
      <c r="DD48" s="319">
        <v>25597.23</v>
      </c>
      <c r="DE48" s="319">
        <v>49439.16</v>
      </c>
      <c r="DF48" s="319">
        <v>38671.699999999997</v>
      </c>
      <c r="DG48" s="319">
        <v>21587.59</v>
      </c>
      <c r="DH48" s="319">
        <v>14714.57</v>
      </c>
      <c r="DI48" s="319">
        <v>5030.3900000000003</v>
      </c>
      <c r="DJ48" s="319">
        <v>3102.09</v>
      </c>
      <c r="DK48" s="322">
        <v>1606.17</v>
      </c>
      <c r="DL48" s="760">
        <v>1386.87</v>
      </c>
      <c r="DM48" s="760">
        <v>1366.29</v>
      </c>
      <c r="DN48" s="760">
        <v>3935.73</v>
      </c>
      <c r="DO48" s="760">
        <v>3000</v>
      </c>
      <c r="DP48" s="62"/>
      <c r="DQ48" s="319" t="s">
        <v>31</v>
      </c>
      <c r="DR48" s="319">
        <v>217941.6</v>
      </c>
      <c r="DS48" s="319">
        <v>82269.81</v>
      </c>
      <c r="DT48" s="319">
        <v>32523.45</v>
      </c>
      <c r="DU48" s="319">
        <v>105336.24</v>
      </c>
      <c r="DV48" s="319">
        <v>110708.62</v>
      </c>
      <c r="DW48" s="319">
        <v>56545.919999999998</v>
      </c>
      <c r="DX48" s="319">
        <v>65420.35</v>
      </c>
      <c r="DY48" s="319">
        <v>58851.78</v>
      </c>
      <c r="DZ48" s="319">
        <v>29427.600000000002</v>
      </c>
      <c r="EA48" s="319">
        <v>47753.23</v>
      </c>
      <c r="EB48" s="319">
        <v>52104.83</v>
      </c>
      <c r="EC48" s="319">
        <v>40695.35</v>
      </c>
      <c r="ED48" s="319">
        <v>78942.319999999992</v>
      </c>
      <c r="EE48" s="319">
        <v>60837.579999999994</v>
      </c>
      <c r="EF48" s="319">
        <v>51336.520000000004</v>
      </c>
      <c r="EG48" s="319">
        <v>68135.69</v>
      </c>
      <c r="EH48" s="319">
        <v>51282.080000000009</v>
      </c>
      <c r="EI48" s="322">
        <v>118893.51</v>
      </c>
      <c r="EJ48" s="767">
        <v>115807.59</v>
      </c>
      <c r="EK48" s="767">
        <v>65896.800000000003</v>
      </c>
      <c r="EL48" s="767">
        <v>158513.25</v>
      </c>
      <c r="EM48" s="767">
        <v>87600</v>
      </c>
      <c r="EO48" s="319" t="s">
        <v>31</v>
      </c>
      <c r="EP48" s="319">
        <v>1240604</v>
      </c>
      <c r="EQ48" s="319">
        <v>740155</v>
      </c>
      <c r="ER48" s="319">
        <v>950290</v>
      </c>
      <c r="ES48" s="319">
        <v>1244068</v>
      </c>
      <c r="ET48" s="319">
        <v>1187336</v>
      </c>
      <c r="EU48" s="319">
        <v>2167662</v>
      </c>
      <c r="EV48" s="319">
        <v>1165522</v>
      </c>
      <c r="EW48" s="319">
        <v>918724</v>
      </c>
      <c r="EX48" s="319">
        <v>1395204.19</v>
      </c>
      <c r="EY48" s="319">
        <v>699818.23</v>
      </c>
      <c r="EZ48" s="319">
        <v>1034059.3</v>
      </c>
      <c r="FA48" s="319">
        <v>1275905.51</v>
      </c>
      <c r="FB48" s="319">
        <v>1480841.3900000001</v>
      </c>
      <c r="FC48" s="319">
        <v>1244101.1399999999</v>
      </c>
      <c r="FD48" s="319">
        <v>1217223.22</v>
      </c>
      <c r="FE48" s="319">
        <v>1129398.26</v>
      </c>
      <c r="FF48" s="319">
        <v>792260.70000000007</v>
      </c>
      <c r="FG48" s="322">
        <v>885694</v>
      </c>
      <c r="FH48" s="760">
        <v>1545092.0899999999</v>
      </c>
      <c r="FI48" s="760">
        <v>907445.12000000011</v>
      </c>
      <c r="FJ48" s="760">
        <v>1421734.1300000001</v>
      </c>
      <c r="FK48" s="760">
        <v>1123967</v>
      </c>
      <c r="GZ48" s="62"/>
      <c r="HB48" s="62"/>
      <c r="HD48" s="62"/>
      <c r="HF48" s="62"/>
      <c r="HH48" s="62"/>
      <c r="HJ48" s="62"/>
      <c r="HL48" s="62"/>
      <c r="HN48" s="62"/>
    </row>
    <row r="49" spans="1:222" s="61" customFormat="1">
      <c r="A49" s="319" t="s">
        <v>32</v>
      </c>
      <c r="B49" s="319">
        <v>608273</v>
      </c>
      <c r="C49" s="319">
        <v>614048</v>
      </c>
      <c r="D49" s="319">
        <v>575715</v>
      </c>
      <c r="E49" s="319">
        <v>613638</v>
      </c>
      <c r="F49" s="319">
        <v>624776</v>
      </c>
      <c r="G49" s="319">
        <v>679993</v>
      </c>
      <c r="H49" s="319">
        <v>665642</v>
      </c>
      <c r="I49" s="319">
        <v>677011</v>
      </c>
      <c r="J49" s="319">
        <v>709305</v>
      </c>
      <c r="K49" s="319">
        <v>723861</v>
      </c>
      <c r="L49" s="319"/>
      <c r="M49" s="319">
        <v>1465768</v>
      </c>
      <c r="N49" s="319"/>
      <c r="O49" s="319">
        <v>778653</v>
      </c>
      <c r="P49" s="319">
        <v>1238443</v>
      </c>
      <c r="Q49" s="319">
        <v>757723</v>
      </c>
      <c r="R49" s="319">
        <v>776349</v>
      </c>
      <c r="S49" s="322">
        <v>806478</v>
      </c>
      <c r="T49" s="760">
        <v>1833771</v>
      </c>
      <c r="U49" s="760">
        <v>1171206</v>
      </c>
      <c r="V49" s="760">
        <v>827768</v>
      </c>
      <c r="W49" s="760">
        <v>841410</v>
      </c>
      <c r="X49" s="42"/>
      <c r="Y49" s="319" t="s">
        <v>32</v>
      </c>
      <c r="Z49" s="319">
        <v>133820.06</v>
      </c>
      <c r="AA49" s="319">
        <v>147371.51999999999</v>
      </c>
      <c r="AB49" s="319">
        <v>161200.20000000001</v>
      </c>
      <c r="AC49" s="319">
        <v>171818.64</v>
      </c>
      <c r="AD49" s="319">
        <v>162441.76</v>
      </c>
      <c r="AE49" s="319">
        <v>183598.11</v>
      </c>
      <c r="AF49" s="319">
        <v>186379.76</v>
      </c>
      <c r="AG49" s="319">
        <v>196333.19</v>
      </c>
      <c r="AH49" s="319">
        <v>208148</v>
      </c>
      <c r="AI49" s="319">
        <v>206999</v>
      </c>
      <c r="AJ49" s="319"/>
      <c r="AK49" s="319">
        <v>236037</v>
      </c>
      <c r="AL49" s="319"/>
      <c r="AM49" s="319">
        <v>262924</v>
      </c>
      <c r="AN49" s="319">
        <v>253586</v>
      </c>
      <c r="AO49" s="319">
        <v>254076</v>
      </c>
      <c r="AP49" s="319">
        <v>275806</v>
      </c>
      <c r="AQ49" s="322">
        <v>252469</v>
      </c>
      <c r="AR49" s="760">
        <v>277828</v>
      </c>
      <c r="AS49" s="760">
        <v>287016</v>
      </c>
      <c r="AT49" s="760">
        <v>300988</v>
      </c>
      <c r="AU49" s="760">
        <v>306500</v>
      </c>
      <c r="AV49" s="62"/>
      <c r="AW49" s="319" t="s">
        <v>32</v>
      </c>
      <c r="AX49" s="319">
        <v>0</v>
      </c>
      <c r="AY49" s="319">
        <v>0</v>
      </c>
      <c r="AZ49" s="319">
        <v>0</v>
      </c>
      <c r="BA49" s="319">
        <v>0</v>
      </c>
      <c r="BB49" s="319">
        <v>0</v>
      </c>
      <c r="BC49" s="319">
        <v>0</v>
      </c>
      <c r="BD49" s="319">
        <v>0</v>
      </c>
      <c r="BE49" s="319">
        <v>0</v>
      </c>
      <c r="BF49" s="319">
        <v>0</v>
      </c>
      <c r="BG49" s="319">
        <v>0</v>
      </c>
      <c r="BH49" s="319"/>
      <c r="BI49" s="319">
        <v>0</v>
      </c>
      <c r="BJ49" s="319"/>
      <c r="BK49" s="319">
        <v>0</v>
      </c>
      <c r="BL49" s="319">
        <v>0</v>
      </c>
      <c r="BM49" s="319">
        <v>0</v>
      </c>
      <c r="BN49" s="319">
        <v>0</v>
      </c>
      <c r="BO49" s="322">
        <v>0</v>
      </c>
      <c r="BP49" s="760">
        <v>0</v>
      </c>
      <c r="BQ49" s="760">
        <v>0</v>
      </c>
      <c r="BR49" s="760">
        <v>0</v>
      </c>
      <c r="BS49" s="760">
        <v>0</v>
      </c>
      <c r="BT49" s="62"/>
      <c r="BU49" s="319" t="s">
        <v>32</v>
      </c>
      <c r="BV49" s="319">
        <v>462287.48</v>
      </c>
      <c r="BW49" s="319">
        <v>454395.52</v>
      </c>
      <c r="BX49" s="319">
        <v>403000.5</v>
      </c>
      <c r="BY49" s="319">
        <v>435682.98</v>
      </c>
      <c r="BZ49" s="319">
        <v>449838.72</v>
      </c>
      <c r="CA49" s="319">
        <v>489594.96</v>
      </c>
      <c r="CB49" s="319">
        <v>459292.98</v>
      </c>
      <c r="CC49" s="319">
        <v>467137.59</v>
      </c>
      <c r="CD49" s="319">
        <v>482383</v>
      </c>
      <c r="CE49" s="319">
        <v>500942</v>
      </c>
      <c r="CF49" s="319"/>
      <c r="CG49" s="319">
        <v>1194139</v>
      </c>
      <c r="CH49" s="319"/>
      <c r="CI49" s="319">
        <v>510264</v>
      </c>
      <c r="CJ49" s="319">
        <v>881167</v>
      </c>
      <c r="CK49" s="319">
        <v>474823</v>
      </c>
      <c r="CL49" s="319">
        <v>493809</v>
      </c>
      <c r="CM49" s="322">
        <v>548424</v>
      </c>
      <c r="CN49" s="760">
        <v>1470923</v>
      </c>
      <c r="CO49" s="760">
        <v>539849</v>
      </c>
      <c r="CP49" s="760">
        <v>518076</v>
      </c>
      <c r="CQ49" s="760">
        <v>522710</v>
      </c>
      <c r="CR49" s="62"/>
      <c r="CS49" s="319" t="s">
        <v>32</v>
      </c>
      <c r="CT49" s="319">
        <v>12165.46</v>
      </c>
      <c r="CU49" s="319">
        <v>6140.48</v>
      </c>
      <c r="CV49" s="319">
        <v>5757.15</v>
      </c>
      <c r="CW49" s="319">
        <v>6136.38</v>
      </c>
      <c r="CX49" s="319">
        <v>6247.76</v>
      </c>
      <c r="CY49" s="319">
        <v>6799.93</v>
      </c>
      <c r="CZ49" s="319">
        <v>6656.42</v>
      </c>
      <c r="DA49" s="319">
        <v>6770.11</v>
      </c>
      <c r="DB49" s="319">
        <v>4657</v>
      </c>
      <c r="DC49" s="319">
        <v>6891</v>
      </c>
      <c r="DD49" s="319"/>
      <c r="DE49" s="319">
        <v>8532</v>
      </c>
      <c r="DF49" s="319"/>
      <c r="DG49" s="319">
        <v>5144</v>
      </c>
      <c r="DH49" s="319">
        <v>3622</v>
      </c>
      <c r="DI49" s="319">
        <v>3815</v>
      </c>
      <c r="DJ49" s="319">
        <v>4037</v>
      </c>
      <c r="DK49" s="322">
        <v>3416</v>
      </c>
      <c r="DL49" s="760">
        <v>1890</v>
      </c>
      <c r="DM49" s="760">
        <v>2726</v>
      </c>
      <c r="DN49" s="760">
        <v>2996</v>
      </c>
      <c r="DO49" s="760">
        <v>2700</v>
      </c>
      <c r="DP49" s="62"/>
      <c r="DQ49" s="319" t="s">
        <v>32</v>
      </c>
      <c r="DR49" s="319">
        <v>0</v>
      </c>
      <c r="DS49" s="319">
        <v>6140.48</v>
      </c>
      <c r="DT49" s="319">
        <v>5757.15</v>
      </c>
      <c r="DU49" s="319">
        <v>0</v>
      </c>
      <c r="DV49" s="319">
        <v>6247.76</v>
      </c>
      <c r="DW49" s="319">
        <v>0</v>
      </c>
      <c r="DX49" s="319">
        <v>13312.84</v>
      </c>
      <c r="DY49" s="319">
        <v>6770.11</v>
      </c>
      <c r="DZ49" s="319">
        <v>14117</v>
      </c>
      <c r="EA49" s="319">
        <v>9029</v>
      </c>
      <c r="EB49" s="319"/>
      <c r="EC49" s="319">
        <v>27060</v>
      </c>
      <c r="ED49" s="319"/>
      <c r="EE49" s="319">
        <v>321</v>
      </c>
      <c r="EF49" s="319">
        <v>14277</v>
      </c>
      <c r="EG49" s="319">
        <v>25009</v>
      </c>
      <c r="EH49" s="319">
        <v>2697</v>
      </c>
      <c r="EI49" s="322">
        <v>2169</v>
      </c>
      <c r="EJ49" s="767">
        <v>36414</v>
      </c>
      <c r="EK49" s="767">
        <v>341615</v>
      </c>
      <c r="EL49" s="767">
        <v>5708</v>
      </c>
      <c r="EM49" s="767">
        <v>9500</v>
      </c>
      <c r="EO49" s="319" t="s">
        <v>32</v>
      </c>
      <c r="EP49" s="319">
        <v>580720</v>
      </c>
      <c r="EQ49" s="319">
        <v>675166</v>
      </c>
      <c r="ER49" s="319">
        <v>586096</v>
      </c>
      <c r="ES49" s="319">
        <v>564501</v>
      </c>
      <c r="ET49" s="319">
        <v>694464</v>
      </c>
      <c r="EU49" s="319">
        <v>613024</v>
      </c>
      <c r="EV49" s="319">
        <v>619510</v>
      </c>
      <c r="EW49" s="319">
        <v>684525</v>
      </c>
      <c r="EX49" s="319">
        <v>698065</v>
      </c>
      <c r="EY49" s="319">
        <v>693999</v>
      </c>
      <c r="EZ49" s="319"/>
      <c r="FA49" s="319">
        <v>1507462</v>
      </c>
      <c r="FB49" s="319"/>
      <c r="FC49" s="319">
        <v>698552</v>
      </c>
      <c r="FD49" s="319">
        <v>1298233</v>
      </c>
      <c r="FE49" s="319">
        <v>787659</v>
      </c>
      <c r="FF49" s="319">
        <v>623197</v>
      </c>
      <c r="FG49" s="322">
        <v>970393</v>
      </c>
      <c r="FH49" s="760">
        <v>1693656</v>
      </c>
      <c r="FI49" s="760">
        <v>876552</v>
      </c>
      <c r="FJ49" s="760">
        <v>1216226</v>
      </c>
      <c r="FK49" s="760">
        <v>895128</v>
      </c>
      <c r="GZ49" s="62"/>
      <c r="HB49" s="62"/>
      <c r="HD49" s="62"/>
      <c r="HF49" s="62"/>
      <c r="HH49" s="62"/>
      <c r="HJ49" s="62"/>
      <c r="HL49" s="62"/>
      <c r="HN49" s="62"/>
    </row>
    <row r="50" spans="1:222" s="61" customFormat="1">
      <c r="A50" s="319" t="s">
        <v>33</v>
      </c>
      <c r="B50" s="319">
        <v>980856</v>
      </c>
      <c r="C50" s="319">
        <v>1344506</v>
      </c>
      <c r="D50" s="319">
        <v>1004624</v>
      </c>
      <c r="E50" s="319">
        <v>1296433</v>
      </c>
      <c r="F50" s="319">
        <v>1132878</v>
      </c>
      <c r="G50" s="319">
        <v>1787739</v>
      </c>
      <c r="H50" s="319">
        <v>1648996</v>
      </c>
      <c r="I50" s="319">
        <v>1505254</v>
      </c>
      <c r="J50" s="319">
        <v>2142095.9699999997</v>
      </c>
      <c r="K50" s="319">
        <v>1859801.6699999997</v>
      </c>
      <c r="L50" s="319">
        <v>2252493.4999999995</v>
      </c>
      <c r="M50" s="319">
        <v>1857864.44</v>
      </c>
      <c r="N50" s="319">
        <v>1573121.52</v>
      </c>
      <c r="O50" s="319">
        <v>1402396.8900000001</v>
      </c>
      <c r="P50" s="319">
        <v>1249573.92</v>
      </c>
      <c r="Q50" s="319"/>
      <c r="R50" s="319">
        <v>1564784.03</v>
      </c>
      <c r="S50" s="322">
        <v>1196771.94</v>
      </c>
      <c r="T50" s="760">
        <v>1191912.1000000001</v>
      </c>
      <c r="U50" s="760">
        <v>1401342.78</v>
      </c>
      <c r="V50" s="760">
        <v>1759319.4499999997</v>
      </c>
      <c r="W50" s="760">
        <v>1860500</v>
      </c>
      <c r="X50" s="42"/>
      <c r="Y50" s="319" t="s">
        <v>33</v>
      </c>
      <c r="Z50" s="319">
        <v>235405.44</v>
      </c>
      <c r="AA50" s="319">
        <v>242011.08</v>
      </c>
      <c r="AB50" s="319">
        <v>251156</v>
      </c>
      <c r="AC50" s="319">
        <v>272250.93</v>
      </c>
      <c r="AD50" s="319">
        <v>294548.28000000003</v>
      </c>
      <c r="AE50" s="319">
        <v>303915.63</v>
      </c>
      <c r="AF50" s="319">
        <v>296819.28000000003</v>
      </c>
      <c r="AG50" s="319">
        <v>331155.88</v>
      </c>
      <c r="AH50" s="319">
        <v>329317.54000000004</v>
      </c>
      <c r="AI50" s="319">
        <v>315415.31</v>
      </c>
      <c r="AJ50" s="319">
        <v>348266.01999999996</v>
      </c>
      <c r="AK50" s="319">
        <v>341731.22</v>
      </c>
      <c r="AL50" s="319">
        <v>306173.12</v>
      </c>
      <c r="AM50" s="319">
        <v>321607.02999999997</v>
      </c>
      <c r="AN50" s="319">
        <v>349407.28</v>
      </c>
      <c r="AO50" s="319"/>
      <c r="AP50" s="319">
        <v>372549.98999999993</v>
      </c>
      <c r="AQ50" s="322">
        <v>373656.91000000003</v>
      </c>
      <c r="AR50" s="760">
        <v>453296.2</v>
      </c>
      <c r="AS50" s="760">
        <v>484018.77999999997</v>
      </c>
      <c r="AT50" s="760">
        <v>481660.94000000006</v>
      </c>
      <c r="AU50" s="760">
        <v>450000</v>
      </c>
      <c r="AV50" s="62"/>
      <c r="AW50" s="319" t="s">
        <v>33</v>
      </c>
      <c r="AX50" s="319">
        <v>264831.12</v>
      </c>
      <c r="AY50" s="319">
        <v>295791.32</v>
      </c>
      <c r="AZ50" s="319">
        <v>271248.48</v>
      </c>
      <c r="BA50" s="319">
        <v>272250.93</v>
      </c>
      <c r="BB50" s="319">
        <v>294548.28000000003</v>
      </c>
      <c r="BC50" s="319">
        <v>303915.63</v>
      </c>
      <c r="BD50" s="319">
        <v>313309.24</v>
      </c>
      <c r="BE50" s="319">
        <v>150525.4</v>
      </c>
      <c r="BF50" s="319">
        <v>163002.48000000001</v>
      </c>
      <c r="BG50" s="319">
        <v>165180.66</v>
      </c>
      <c r="BH50" s="319">
        <v>171114.59</v>
      </c>
      <c r="BI50" s="319">
        <v>178162.22</v>
      </c>
      <c r="BJ50" s="319">
        <v>197632.18</v>
      </c>
      <c r="BK50" s="319">
        <v>174538.08</v>
      </c>
      <c r="BL50" s="319">
        <v>193116.49</v>
      </c>
      <c r="BM50" s="319"/>
      <c r="BN50" s="319">
        <v>224121.49</v>
      </c>
      <c r="BO50" s="322">
        <v>175034.72</v>
      </c>
      <c r="BP50" s="760">
        <v>189607.76</v>
      </c>
      <c r="BQ50" s="760">
        <v>201148.51</v>
      </c>
      <c r="BR50" s="760">
        <v>180907.38</v>
      </c>
      <c r="BS50" s="760">
        <v>175000</v>
      </c>
      <c r="BT50" s="62"/>
      <c r="BU50" s="319" t="s">
        <v>33</v>
      </c>
      <c r="BV50" s="319">
        <v>461002.32</v>
      </c>
      <c r="BW50" s="319">
        <v>779813.48</v>
      </c>
      <c r="BX50" s="319">
        <v>462127.04</v>
      </c>
      <c r="BY50" s="319">
        <v>726002.48</v>
      </c>
      <c r="BZ50" s="319">
        <v>521123.88</v>
      </c>
      <c r="CA50" s="319">
        <v>1162030.3500000001</v>
      </c>
      <c r="CB50" s="319">
        <v>1038867.48</v>
      </c>
      <c r="CC50" s="319">
        <v>376313.5</v>
      </c>
      <c r="CD50" s="319">
        <v>1216053.71</v>
      </c>
      <c r="CE50" s="319">
        <v>733202.91999999993</v>
      </c>
      <c r="CF50" s="319">
        <v>1245314.9699999997</v>
      </c>
      <c r="CG50" s="319">
        <v>731854.44000000006</v>
      </c>
      <c r="CH50" s="319">
        <v>548263.2699999999</v>
      </c>
      <c r="CI50" s="319">
        <v>462484.39</v>
      </c>
      <c r="CJ50" s="319">
        <v>154118.61000000002</v>
      </c>
      <c r="CK50" s="319"/>
      <c r="CL50" s="319">
        <v>420903.91000000003</v>
      </c>
      <c r="CM50" s="322">
        <v>274956.75</v>
      </c>
      <c r="CN50" s="760">
        <v>162200.79</v>
      </c>
      <c r="CO50" s="760">
        <v>320120.90000000002</v>
      </c>
      <c r="CP50" s="760">
        <v>642176.46</v>
      </c>
      <c r="CQ50" s="760">
        <v>881500</v>
      </c>
      <c r="CR50" s="62"/>
      <c r="CS50" s="319" t="s">
        <v>33</v>
      </c>
      <c r="CT50" s="319">
        <v>9808.56</v>
      </c>
      <c r="CU50" s="319">
        <v>13445.06</v>
      </c>
      <c r="CV50" s="319">
        <v>20092.48</v>
      </c>
      <c r="CW50" s="319">
        <v>12964.33</v>
      </c>
      <c r="CX50" s="319">
        <v>22657.56</v>
      </c>
      <c r="CY50" s="319">
        <v>17877.39</v>
      </c>
      <c r="CZ50" s="319">
        <v>0</v>
      </c>
      <c r="DA50" s="319">
        <v>0</v>
      </c>
      <c r="DB50" s="319">
        <v>3118.52</v>
      </c>
      <c r="DC50" s="319">
        <v>7079.07</v>
      </c>
      <c r="DD50" s="319">
        <v>10224.030000000001</v>
      </c>
      <c r="DE50" s="319">
        <v>9785.48</v>
      </c>
      <c r="DF50" s="319">
        <v>4541.3500000000004</v>
      </c>
      <c r="DG50" s="319">
        <v>0</v>
      </c>
      <c r="DH50" s="319">
        <v>94.1</v>
      </c>
      <c r="DI50" s="319"/>
      <c r="DJ50" s="319">
        <v>3924.91</v>
      </c>
      <c r="DK50" s="322">
        <v>2047.31</v>
      </c>
      <c r="DL50" s="760">
        <v>1807.35</v>
      </c>
      <c r="DM50" s="760">
        <v>2028.01</v>
      </c>
      <c r="DN50" s="760">
        <v>1405.51</v>
      </c>
      <c r="DO50" s="760">
        <v>1500</v>
      </c>
      <c r="DP50" s="62"/>
      <c r="DQ50" s="319" t="s">
        <v>33</v>
      </c>
      <c r="DR50" s="319">
        <v>9808.56</v>
      </c>
      <c r="DS50" s="319">
        <v>13445.06</v>
      </c>
      <c r="DT50" s="319">
        <v>0</v>
      </c>
      <c r="DU50" s="319">
        <v>12964.33</v>
      </c>
      <c r="DV50" s="319">
        <v>0</v>
      </c>
      <c r="DW50" s="319">
        <v>0</v>
      </c>
      <c r="DX50" s="319">
        <v>0</v>
      </c>
      <c r="DY50" s="319">
        <v>647259.22</v>
      </c>
      <c r="DZ50" s="319">
        <v>19128.72</v>
      </c>
      <c r="EA50" s="319">
        <v>49971.71</v>
      </c>
      <c r="EB50" s="319">
        <v>7611.39</v>
      </c>
      <c r="EC50" s="319">
        <v>15750.82</v>
      </c>
      <c r="ED50" s="319">
        <v>11492.07</v>
      </c>
      <c r="EE50" s="319">
        <v>1147.2</v>
      </c>
      <c r="EF50" s="319">
        <v>395</v>
      </c>
      <c r="EG50" s="319"/>
      <c r="EH50" s="319">
        <v>52401.05</v>
      </c>
      <c r="EI50" s="322">
        <v>0</v>
      </c>
      <c r="EJ50" s="767">
        <v>0</v>
      </c>
      <c r="EK50" s="767">
        <v>4739.8900000000003</v>
      </c>
      <c r="EL50" s="767">
        <v>3169.16</v>
      </c>
      <c r="EM50" s="767">
        <v>2500</v>
      </c>
      <c r="EO50" s="319" t="s">
        <v>33</v>
      </c>
      <c r="EP50" s="319">
        <v>1093819</v>
      </c>
      <c r="EQ50" s="319">
        <v>1010869</v>
      </c>
      <c r="ER50" s="319">
        <v>1117624</v>
      </c>
      <c r="ES50" s="319">
        <v>1213535</v>
      </c>
      <c r="ET50" s="319">
        <v>1122286</v>
      </c>
      <c r="EU50" s="319">
        <v>1846680</v>
      </c>
      <c r="EV50" s="319">
        <v>1501916</v>
      </c>
      <c r="EW50" s="319">
        <v>1505885</v>
      </c>
      <c r="EX50" s="319">
        <v>2144520.7800000003</v>
      </c>
      <c r="EY50" s="319">
        <v>1860843.5899999996</v>
      </c>
      <c r="EZ50" s="319">
        <v>2269783.87</v>
      </c>
      <c r="FA50" s="319">
        <v>1565778.2199999997</v>
      </c>
      <c r="FB50" s="319">
        <v>1562209.29</v>
      </c>
      <c r="FC50" s="319">
        <v>1575061.9699999997</v>
      </c>
      <c r="FD50" s="319">
        <v>1200069.8</v>
      </c>
      <c r="FE50" s="319"/>
      <c r="FF50" s="319">
        <v>1604312.79</v>
      </c>
      <c r="FG50" s="322">
        <v>1499699.47</v>
      </c>
      <c r="FH50" s="760">
        <v>1123779.72</v>
      </c>
      <c r="FI50" s="760">
        <v>1387646.83</v>
      </c>
      <c r="FJ50" s="760">
        <v>1808967.86</v>
      </c>
      <c r="FK50" s="760">
        <v>1866250</v>
      </c>
      <c r="GZ50" s="62"/>
      <c r="HB50" s="62"/>
      <c r="HD50" s="62"/>
      <c r="HF50" s="62"/>
      <c r="HH50" s="62"/>
      <c r="HJ50" s="62"/>
      <c r="HL50" s="62"/>
      <c r="HN50" s="62"/>
    </row>
    <row r="51" spans="1:222" s="61" customFormat="1">
      <c r="A51" s="319" t="s">
        <v>34</v>
      </c>
      <c r="B51" s="319">
        <v>920237</v>
      </c>
      <c r="C51" s="319">
        <v>866616</v>
      </c>
      <c r="D51" s="319">
        <v>1015378</v>
      </c>
      <c r="E51" s="319">
        <v>991409</v>
      </c>
      <c r="F51" s="319">
        <v>822928</v>
      </c>
      <c r="G51" s="319">
        <v>1072228</v>
      </c>
      <c r="H51" s="319">
        <v>1221860</v>
      </c>
      <c r="I51" s="319">
        <v>1057098</v>
      </c>
      <c r="J51" s="319">
        <v>1122237.04</v>
      </c>
      <c r="K51" s="319">
        <v>1217695.3500000001</v>
      </c>
      <c r="L51" s="319">
        <v>987272</v>
      </c>
      <c r="M51" s="319">
        <v>1441955.7999999998</v>
      </c>
      <c r="N51" s="319">
        <v>1231141.08</v>
      </c>
      <c r="O51" s="319">
        <v>1350988.57</v>
      </c>
      <c r="P51" s="319"/>
      <c r="Q51" s="319">
        <v>997484.94000000006</v>
      </c>
      <c r="R51" s="319">
        <v>1656482.3399999999</v>
      </c>
      <c r="S51" s="322">
        <v>1381224.8699999999</v>
      </c>
      <c r="T51" s="760">
        <v>1706233.5899999999</v>
      </c>
      <c r="U51" s="760">
        <v>1493224.1600000001</v>
      </c>
      <c r="V51" s="760">
        <v>872213.07000000007</v>
      </c>
      <c r="W51" s="760">
        <v>912142</v>
      </c>
      <c r="X51" s="42"/>
      <c r="Y51" s="319" t="s">
        <v>34</v>
      </c>
      <c r="Z51" s="319">
        <v>128833.18</v>
      </c>
      <c r="AA51" s="319">
        <v>138658.56</v>
      </c>
      <c r="AB51" s="319">
        <v>142152.92000000001</v>
      </c>
      <c r="AC51" s="319">
        <v>168539.53</v>
      </c>
      <c r="AD51" s="319">
        <v>172814.88</v>
      </c>
      <c r="AE51" s="319">
        <v>171556.48000000001</v>
      </c>
      <c r="AF51" s="319">
        <v>183279</v>
      </c>
      <c r="AG51" s="319">
        <v>179706.66</v>
      </c>
      <c r="AH51" s="319">
        <v>182845.13</v>
      </c>
      <c r="AI51" s="319">
        <v>165708.04</v>
      </c>
      <c r="AJ51" s="319">
        <v>193466.61</v>
      </c>
      <c r="AK51" s="319">
        <v>206152.9</v>
      </c>
      <c r="AL51" s="319">
        <v>213011.48</v>
      </c>
      <c r="AM51" s="319">
        <v>234367.79</v>
      </c>
      <c r="AN51" s="319"/>
      <c r="AO51" s="319">
        <v>225583.41</v>
      </c>
      <c r="AP51" s="319">
        <v>256580.4</v>
      </c>
      <c r="AQ51" s="322">
        <v>254917.47</v>
      </c>
      <c r="AR51" s="760">
        <v>253547.15999999997</v>
      </c>
      <c r="AS51" s="760">
        <v>272506.89</v>
      </c>
      <c r="AT51" s="760">
        <v>280592.57</v>
      </c>
      <c r="AU51" s="760">
        <v>277252</v>
      </c>
      <c r="AV51" s="62"/>
      <c r="AW51" s="319" t="s">
        <v>34</v>
      </c>
      <c r="AX51" s="319">
        <v>193249.77</v>
      </c>
      <c r="AY51" s="319">
        <v>190655.52</v>
      </c>
      <c r="AZ51" s="319">
        <v>192921.82</v>
      </c>
      <c r="BA51" s="319">
        <v>208195.89</v>
      </c>
      <c r="BB51" s="319">
        <v>213961.28</v>
      </c>
      <c r="BC51" s="319">
        <v>214445.6</v>
      </c>
      <c r="BD51" s="319">
        <v>219934.8</v>
      </c>
      <c r="BE51" s="319">
        <v>253703.52</v>
      </c>
      <c r="BF51" s="319">
        <v>244656.5</v>
      </c>
      <c r="BG51" s="319">
        <v>290660.25</v>
      </c>
      <c r="BH51" s="319">
        <v>289683.06000000006</v>
      </c>
      <c r="BI51" s="319">
        <v>277274.74</v>
      </c>
      <c r="BJ51" s="319">
        <v>246578.66</v>
      </c>
      <c r="BK51" s="319">
        <v>224814.28</v>
      </c>
      <c r="BL51" s="319"/>
      <c r="BM51" s="319">
        <v>237728.44</v>
      </c>
      <c r="BN51" s="319">
        <v>235263.02</v>
      </c>
      <c r="BO51" s="322">
        <v>250022.56</v>
      </c>
      <c r="BP51" s="760">
        <v>271225.74</v>
      </c>
      <c r="BQ51" s="760">
        <v>268643.03000000003</v>
      </c>
      <c r="BR51" s="760">
        <v>0</v>
      </c>
      <c r="BS51" s="760">
        <v>0</v>
      </c>
      <c r="BT51" s="62"/>
      <c r="BU51" s="319" t="s">
        <v>34</v>
      </c>
      <c r="BV51" s="319">
        <v>515332.72</v>
      </c>
      <c r="BW51" s="319">
        <v>372644.88</v>
      </c>
      <c r="BX51" s="319">
        <v>599073.02</v>
      </c>
      <c r="BY51" s="319">
        <v>575017.22</v>
      </c>
      <c r="BZ51" s="319">
        <v>395005.44</v>
      </c>
      <c r="CA51" s="319">
        <v>589725.4</v>
      </c>
      <c r="CB51" s="319">
        <v>647585.80000000005</v>
      </c>
      <c r="CC51" s="319">
        <v>539119.98</v>
      </c>
      <c r="CD51" s="319">
        <v>481237.12000000005</v>
      </c>
      <c r="CE51" s="319">
        <v>411818.61</v>
      </c>
      <c r="CF51" s="319">
        <v>379271.11</v>
      </c>
      <c r="CG51" s="319">
        <v>535285.02</v>
      </c>
      <c r="CH51" s="319">
        <v>631042.06000000006</v>
      </c>
      <c r="CI51" s="319">
        <v>756550.45</v>
      </c>
      <c r="CJ51" s="319"/>
      <c r="CK51" s="319">
        <v>448054.21</v>
      </c>
      <c r="CL51" s="319">
        <v>790406.33</v>
      </c>
      <c r="CM51" s="322">
        <v>688607.35</v>
      </c>
      <c r="CN51" s="760">
        <v>1056889.95</v>
      </c>
      <c r="CO51" s="760">
        <v>626482.64</v>
      </c>
      <c r="CP51" s="760">
        <v>487688.88999999996</v>
      </c>
      <c r="CQ51" s="760">
        <v>435800</v>
      </c>
      <c r="CR51" s="62"/>
      <c r="CS51" s="319" t="s">
        <v>34</v>
      </c>
      <c r="CT51" s="319">
        <v>18404.740000000002</v>
      </c>
      <c r="CU51" s="319">
        <v>25998.48</v>
      </c>
      <c r="CV51" s="319">
        <v>20307.560000000001</v>
      </c>
      <c r="CW51" s="319">
        <v>19828.18</v>
      </c>
      <c r="CX51" s="319">
        <v>24687.84</v>
      </c>
      <c r="CY51" s="319">
        <v>10722.28</v>
      </c>
      <c r="CZ51" s="319">
        <v>12218.6</v>
      </c>
      <c r="DA51" s="319">
        <v>10570.98</v>
      </c>
      <c r="DB51" s="319">
        <v>11656.54</v>
      </c>
      <c r="DC51" s="319">
        <v>18127.36</v>
      </c>
      <c r="DD51" s="319">
        <v>31243.91</v>
      </c>
      <c r="DE51" s="319">
        <v>29109.38</v>
      </c>
      <c r="DF51" s="319">
        <v>12240.99</v>
      </c>
      <c r="DG51" s="319">
        <v>4061.55</v>
      </c>
      <c r="DH51" s="319"/>
      <c r="DI51" s="319">
        <v>5669.25</v>
      </c>
      <c r="DJ51" s="319">
        <v>7010.32</v>
      </c>
      <c r="DK51" s="322">
        <v>6261.85</v>
      </c>
      <c r="DL51" s="760">
        <v>7136.3</v>
      </c>
      <c r="DM51" s="760">
        <v>6508.24</v>
      </c>
      <c r="DN51" s="760">
        <v>8469.64</v>
      </c>
      <c r="DO51" s="760">
        <v>7800</v>
      </c>
      <c r="DP51" s="62"/>
      <c r="DQ51" s="319" t="s">
        <v>34</v>
      </c>
      <c r="DR51" s="319">
        <v>64416.59</v>
      </c>
      <c r="DS51" s="319">
        <v>138658.56</v>
      </c>
      <c r="DT51" s="319">
        <v>60922.68</v>
      </c>
      <c r="DU51" s="319">
        <v>19828.18</v>
      </c>
      <c r="DV51" s="319">
        <v>16458.560000000001</v>
      </c>
      <c r="DW51" s="319">
        <v>85778.240000000005</v>
      </c>
      <c r="DX51" s="319">
        <v>158841.79999999999</v>
      </c>
      <c r="DY51" s="319">
        <v>73996.86</v>
      </c>
      <c r="DZ51" s="319">
        <v>179323.80000000002</v>
      </c>
      <c r="EA51" s="319">
        <v>281012.84000000003</v>
      </c>
      <c r="EB51" s="319">
        <v>66405.139999999985</v>
      </c>
      <c r="EC51" s="319">
        <v>4795.3999999999996</v>
      </c>
      <c r="ED51" s="319">
        <v>76051.349999999991</v>
      </c>
      <c r="EE51" s="319">
        <v>3343.13</v>
      </c>
      <c r="EF51" s="319"/>
      <c r="EG51" s="319">
        <v>50673.26</v>
      </c>
      <c r="EH51" s="319">
        <v>6928.98</v>
      </c>
      <c r="EI51" s="322">
        <v>93254.66</v>
      </c>
      <c r="EJ51" s="767">
        <v>6692.91</v>
      </c>
      <c r="EK51" s="767">
        <v>217211.52000000002</v>
      </c>
      <c r="EL51" s="767">
        <v>5991.1</v>
      </c>
      <c r="EM51" s="767">
        <v>0</v>
      </c>
      <c r="EO51" s="319" t="s">
        <v>34</v>
      </c>
      <c r="EP51" s="319">
        <v>948259</v>
      </c>
      <c r="EQ51" s="319">
        <v>936239</v>
      </c>
      <c r="ER51" s="319">
        <v>1056438</v>
      </c>
      <c r="ES51" s="319">
        <v>936675</v>
      </c>
      <c r="ET51" s="319">
        <v>965357</v>
      </c>
      <c r="EU51" s="319">
        <v>1033120</v>
      </c>
      <c r="EV51" s="319">
        <v>986512</v>
      </c>
      <c r="EW51" s="319">
        <v>1171412</v>
      </c>
      <c r="EX51" s="319">
        <v>1166023.08</v>
      </c>
      <c r="EY51" s="319">
        <v>1175942.5999999999</v>
      </c>
      <c r="EZ51" s="319">
        <v>996959.14999999991</v>
      </c>
      <c r="FA51" s="319">
        <v>1136818.68</v>
      </c>
      <c r="FB51" s="319">
        <v>1496125.83</v>
      </c>
      <c r="FC51" s="319">
        <v>1326038.5699999998</v>
      </c>
      <c r="FD51" s="319"/>
      <c r="FE51" s="319">
        <v>948148.24</v>
      </c>
      <c r="FF51" s="319">
        <v>1701086.1999999997</v>
      </c>
      <c r="FG51" s="322">
        <v>1282253.1200000001</v>
      </c>
      <c r="FH51" s="760">
        <v>1699117.8999999997</v>
      </c>
      <c r="FI51" s="760">
        <v>1445271.4900000002</v>
      </c>
      <c r="FJ51" s="760">
        <v>725071.01</v>
      </c>
      <c r="FK51" s="760">
        <v>942428</v>
      </c>
      <c r="GZ51" s="62"/>
      <c r="HB51" s="62"/>
      <c r="HD51" s="62"/>
      <c r="HF51" s="62"/>
      <c r="HH51" s="62"/>
      <c r="HJ51" s="62"/>
      <c r="HL51" s="62"/>
      <c r="HN51" s="62"/>
    </row>
    <row r="52" spans="1:222" s="61" customFormat="1">
      <c r="A52" s="319" t="s">
        <v>35</v>
      </c>
      <c r="B52" s="319">
        <v>1313251</v>
      </c>
      <c r="C52" s="319">
        <v>1300361</v>
      </c>
      <c r="D52" s="319">
        <v>1375469</v>
      </c>
      <c r="E52" s="319">
        <v>1416452</v>
      </c>
      <c r="F52" s="319">
        <v>1446160</v>
      </c>
      <c r="G52" s="319">
        <v>1430808</v>
      </c>
      <c r="H52" s="319">
        <v>2166469</v>
      </c>
      <c r="I52" s="319">
        <v>1629339</v>
      </c>
      <c r="J52" s="319">
        <v>1682876.4999999995</v>
      </c>
      <c r="K52" s="319">
        <v>1545621.91</v>
      </c>
      <c r="L52" s="319">
        <v>1765617.95</v>
      </c>
      <c r="M52" s="319">
        <v>2325033.58</v>
      </c>
      <c r="N52" s="319">
        <v>2378987.7799999998</v>
      </c>
      <c r="O52" s="319">
        <v>2798406.5300000003</v>
      </c>
      <c r="P52" s="319">
        <v>2164049.1100000003</v>
      </c>
      <c r="Q52" s="319">
        <v>2114884.63</v>
      </c>
      <c r="R52" s="319">
        <v>1857116.0099999998</v>
      </c>
      <c r="S52" s="322">
        <v>1981586.4400000002</v>
      </c>
      <c r="T52" s="760">
        <v>2040704.9</v>
      </c>
      <c r="U52" s="760">
        <v>2110098.84</v>
      </c>
      <c r="V52" s="760">
        <v>2334786.27</v>
      </c>
      <c r="W52" s="760">
        <v>2918505</v>
      </c>
      <c r="X52" s="42"/>
      <c r="Y52" s="319" t="s">
        <v>35</v>
      </c>
      <c r="Z52" s="319">
        <v>13132.51</v>
      </c>
      <c r="AA52" s="319">
        <v>26007.22</v>
      </c>
      <c r="AB52" s="319">
        <v>13754.69</v>
      </c>
      <c r="AC52" s="319">
        <v>28329.040000000001</v>
      </c>
      <c r="AD52" s="319">
        <v>28923.200000000001</v>
      </c>
      <c r="AE52" s="319">
        <v>28616.16</v>
      </c>
      <c r="AF52" s="319">
        <v>21664.69</v>
      </c>
      <c r="AG52" s="319">
        <v>32586.78</v>
      </c>
      <c r="AH52" s="319">
        <v>32915.980000000003</v>
      </c>
      <c r="AI52" s="319">
        <v>31693.69</v>
      </c>
      <c r="AJ52" s="319">
        <v>73276.430000000008</v>
      </c>
      <c r="AK52" s="319">
        <v>312695.73</v>
      </c>
      <c r="AL52" s="319">
        <v>335034.14999999997</v>
      </c>
      <c r="AM52" s="319">
        <v>349221.25</v>
      </c>
      <c r="AN52" s="319">
        <v>350550.15</v>
      </c>
      <c r="AO52" s="319">
        <v>351478.10000000003</v>
      </c>
      <c r="AP52" s="319">
        <v>467509.94999999995</v>
      </c>
      <c r="AQ52" s="322">
        <v>468312.06</v>
      </c>
      <c r="AR52" s="760">
        <v>502548.71</v>
      </c>
      <c r="AS52" s="760">
        <v>609340.23</v>
      </c>
      <c r="AT52" s="760">
        <v>529070.05999999994</v>
      </c>
      <c r="AU52" s="760">
        <v>918400</v>
      </c>
      <c r="AV52" s="62"/>
      <c r="AW52" s="319" t="s">
        <v>35</v>
      </c>
      <c r="AX52" s="319">
        <v>354577.77</v>
      </c>
      <c r="AY52" s="319">
        <v>260072.2</v>
      </c>
      <c r="AZ52" s="319">
        <v>261339.11</v>
      </c>
      <c r="BA52" s="319">
        <v>269125.88</v>
      </c>
      <c r="BB52" s="319">
        <v>289232</v>
      </c>
      <c r="BC52" s="319">
        <v>243237.36</v>
      </c>
      <c r="BD52" s="319">
        <v>259976.28</v>
      </c>
      <c r="BE52" s="319">
        <v>293281.02</v>
      </c>
      <c r="BF52" s="319">
        <v>290000</v>
      </c>
      <c r="BG52" s="319">
        <v>290000</v>
      </c>
      <c r="BH52" s="319">
        <v>290000</v>
      </c>
      <c r="BI52" s="319">
        <v>275000</v>
      </c>
      <c r="BJ52" s="319">
        <v>250000</v>
      </c>
      <c r="BK52" s="319">
        <v>130000</v>
      </c>
      <c r="BL52" s="319">
        <v>130000</v>
      </c>
      <c r="BM52" s="319">
        <v>130000</v>
      </c>
      <c r="BN52" s="319">
        <v>0</v>
      </c>
      <c r="BO52" s="322">
        <v>0</v>
      </c>
      <c r="BP52" s="760">
        <v>0</v>
      </c>
      <c r="BQ52" s="760">
        <v>0</v>
      </c>
      <c r="BR52" s="760">
        <v>0</v>
      </c>
      <c r="BS52" s="760">
        <v>0</v>
      </c>
      <c r="BT52" s="62"/>
      <c r="BU52" s="319" t="s">
        <v>35</v>
      </c>
      <c r="BV52" s="319">
        <v>932408.21</v>
      </c>
      <c r="BW52" s="319">
        <v>1001277.97</v>
      </c>
      <c r="BX52" s="319">
        <v>1072865.82</v>
      </c>
      <c r="BY52" s="319">
        <v>1104832.56</v>
      </c>
      <c r="BZ52" s="319">
        <v>1113543.2</v>
      </c>
      <c r="CA52" s="319">
        <v>1144646.3999999999</v>
      </c>
      <c r="CB52" s="319">
        <v>1841498.65</v>
      </c>
      <c r="CC52" s="319">
        <v>1238297.6399999999</v>
      </c>
      <c r="CD52" s="319">
        <v>1295454.6399999997</v>
      </c>
      <c r="CE52" s="319">
        <v>1172976.21</v>
      </c>
      <c r="CF52" s="319">
        <v>1212568.31</v>
      </c>
      <c r="CG52" s="319">
        <v>1205726.9099999999</v>
      </c>
      <c r="CH52" s="319">
        <v>1750702.6099999999</v>
      </c>
      <c r="CI52" s="319">
        <v>2061036.3400000003</v>
      </c>
      <c r="CJ52" s="319">
        <v>1634341.2600000002</v>
      </c>
      <c r="CK52" s="319">
        <v>1626464.1099999999</v>
      </c>
      <c r="CL52" s="319">
        <v>1310415.1599999999</v>
      </c>
      <c r="CM52" s="322">
        <v>1470057.07</v>
      </c>
      <c r="CN52" s="760">
        <v>1266784.6299999999</v>
      </c>
      <c r="CO52" s="760">
        <v>1413349.6</v>
      </c>
      <c r="CP52" s="760">
        <v>1697275.03</v>
      </c>
      <c r="CQ52" s="760">
        <v>1452105</v>
      </c>
      <c r="CR52" s="62"/>
      <c r="CS52" s="319" t="s">
        <v>35</v>
      </c>
      <c r="CT52" s="319">
        <v>13132.51</v>
      </c>
      <c r="CU52" s="319">
        <v>13003.61</v>
      </c>
      <c r="CV52" s="319">
        <v>13754.69</v>
      </c>
      <c r="CW52" s="319">
        <v>14164.52</v>
      </c>
      <c r="CX52" s="319">
        <v>14461.6</v>
      </c>
      <c r="CY52" s="319">
        <v>14308.08</v>
      </c>
      <c r="CZ52" s="319">
        <v>0</v>
      </c>
      <c r="DA52" s="319">
        <v>0</v>
      </c>
      <c r="DB52" s="319">
        <v>1362.52</v>
      </c>
      <c r="DC52" s="319">
        <v>2884.88</v>
      </c>
      <c r="DD52" s="319">
        <v>9614.1</v>
      </c>
      <c r="DE52" s="319">
        <v>17658.53</v>
      </c>
      <c r="DF52" s="319">
        <v>12182.32</v>
      </c>
      <c r="DG52" s="319">
        <v>1398.08</v>
      </c>
      <c r="DH52" s="319">
        <v>735.3</v>
      </c>
      <c r="DI52" s="319">
        <v>838.21</v>
      </c>
      <c r="DJ52" s="319">
        <v>1569.11</v>
      </c>
      <c r="DK52" s="322">
        <v>1893.78</v>
      </c>
      <c r="DL52" s="760">
        <v>1773.09</v>
      </c>
      <c r="DM52" s="760">
        <v>1719.76</v>
      </c>
      <c r="DN52" s="760">
        <v>1137.1400000000001</v>
      </c>
      <c r="DO52" s="760">
        <v>1000</v>
      </c>
      <c r="DP52" s="62"/>
      <c r="DQ52" s="319" t="s">
        <v>35</v>
      </c>
      <c r="DR52" s="319">
        <v>0</v>
      </c>
      <c r="DS52" s="319">
        <v>0</v>
      </c>
      <c r="DT52" s="319">
        <v>13754.69</v>
      </c>
      <c r="DU52" s="319">
        <v>0</v>
      </c>
      <c r="DV52" s="319">
        <v>0</v>
      </c>
      <c r="DW52" s="319">
        <v>0</v>
      </c>
      <c r="DX52" s="319">
        <v>43329.38</v>
      </c>
      <c r="DY52" s="319">
        <v>65173.56</v>
      </c>
      <c r="DZ52" s="319">
        <v>62578.36</v>
      </c>
      <c r="EA52" s="319">
        <v>47062.130000000005</v>
      </c>
      <c r="EB52" s="319">
        <v>178709.07</v>
      </c>
      <c r="EC52" s="319">
        <v>512687.41</v>
      </c>
      <c r="ED52" s="319">
        <v>26917.5</v>
      </c>
      <c r="EE52" s="319">
        <v>254725.86</v>
      </c>
      <c r="EF52" s="319">
        <v>47392.4</v>
      </c>
      <c r="EG52" s="319">
        <v>5132.2199999999993</v>
      </c>
      <c r="EH52" s="319">
        <v>76701.789999999994</v>
      </c>
      <c r="EI52" s="322">
        <v>40383.53</v>
      </c>
      <c r="EJ52" s="767">
        <v>268042.18000000005</v>
      </c>
      <c r="EK52" s="767">
        <v>84929.25</v>
      </c>
      <c r="EL52" s="767">
        <v>106347.04000000001</v>
      </c>
      <c r="EM52" s="767">
        <v>545000</v>
      </c>
      <c r="EO52" s="319" t="s">
        <v>35</v>
      </c>
      <c r="EP52" s="319">
        <v>1279841</v>
      </c>
      <c r="EQ52" s="319">
        <v>1275967</v>
      </c>
      <c r="ER52" s="319">
        <v>1333937</v>
      </c>
      <c r="ES52" s="319">
        <v>1454325</v>
      </c>
      <c r="ET52" s="319">
        <v>1460857</v>
      </c>
      <c r="EU52" s="319">
        <v>1519666</v>
      </c>
      <c r="EV52" s="319">
        <v>1895660</v>
      </c>
      <c r="EW52" s="319">
        <v>1918222</v>
      </c>
      <c r="EX52" s="319">
        <v>1665340.67</v>
      </c>
      <c r="EY52" s="319">
        <v>1546027.7600000002</v>
      </c>
      <c r="EZ52" s="319">
        <v>1489895.1400000001</v>
      </c>
      <c r="FA52" s="319">
        <v>2229106.0700000003</v>
      </c>
      <c r="FB52" s="319">
        <v>2538096.7599999998</v>
      </c>
      <c r="FC52" s="319">
        <v>2759302.7399999998</v>
      </c>
      <c r="FD52" s="319">
        <v>2461629.8999999994</v>
      </c>
      <c r="FE52" s="319">
        <v>1775390.43</v>
      </c>
      <c r="FF52" s="319">
        <v>1761649.81</v>
      </c>
      <c r="FG52" s="322">
        <v>2029914.27</v>
      </c>
      <c r="FH52" s="760">
        <v>2017017.8599999999</v>
      </c>
      <c r="FI52" s="760">
        <v>2329072.6</v>
      </c>
      <c r="FJ52" s="760">
        <v>2207227.35</v>
      </c>
      <c r="FK52" s="760">
        <v>3240860.4</v>
      </c>
      <c r="GZ52" s="62"/>
      <c r="HB52" s="62"/>
      <c r="HD52" s="62"/>
      <c r="HF52" s="62"/>
      <c r="HH52" s="62"/>
      <c r="HJ52" s="62"/>
      <c r="HL52" s="62"/>
      <c r="HN52" s="62"/>
    </row>
    <row r="53" spans="1:222" s="61" customFormat="1">
      <c r="A53" s="319" t="s">
        <v>36</v>
      </c>
      <c r="B53" s="319">
        <v>877977</v>
      </c>
      <c r="C53" s="319">
        <v>892407</v>
      </c>
      <c r="D53" s="319">
        <v>896254</v>
      </c>
      <c r="E53" s="319">
        <v>973153</v>
      </c>
      <c r="F53" s="319">
        <v>1158842</v>
      </c>
      <c r="G53" s="319">
        <v>907957</v>
      </c>
      <c r="H53" s="319">
        <v>1101299</v>
      </c>
      <c r="I53" s="319">
        <v>1080655</v>
      </c>
      <c r="J53" s="319">
        <v>1026116.1900000001</v>
      </c>
      <c r="K53" s="319">
        <v>889342.49</v>
      </c>
      <c r="L53" s="319">
        <v>1112255.8799999999</v>
      </c>
      <c r="M53" s="319">
        <v>1110014.06</v>
      </c>
      <c r="N53" s="319">
        <v>1931537.82</v>
      </c>
      <c r="O53" s="319">
        <v>1076721.47</v>
      </c>
      <c r="P53" s="319">
        <v>1173195.25</v>
      </c>
      <c r="Q53" s="319">
        <v>1318886.25</v>
      </c>
      <c r="R53" s="319">
        <v>1228784.81</v>
      </c>
      <c r="S53" s="322">
        <v>1218038.93</v>
      </c>
      <c r="T53" s="760">
        <v>1542579.81</v>
      </c>
      <c r="U53" s="760">
        <v>1256200.27</v>
      </c>
      <c r="V53" s="760">
        <v>1109915.56</v>
      </c>
      <c r="W53" s="760">
        <v>1433700</v>
      </c>
      <c r="X53" s="42"/>
      <c r="Y53" s="319" t="s">
        <v>36</v>
      </c>
      <c r="Z53" s="319">
        <v>333631.26</v>
      </c>
      <c r="AA53" s="319">
        <v>348038.73</v>
      </c>
      <c r="AB53" s="319">
        <v>376426.68</v>
      </c>
      <c r="AC53" s="319">
        <v>389261.2</v>
      </c>
      <c r="AD53" s="319">
        <v>405594.7</v>
      </c>
      <c r="AE53" s="319">
        <v>426739.79</v>
      </c>
      <c r="AF53" s="319">
        <v>418493.62</v>
      </c>
      <c r="AG53" s="319">
        <v>432262</v>
      </c>
      <c r="AH53" s="319">
        <v>431749.64</v>
      </c>
      <c r="AI53" s="319">
        <v>440149.04000000004</v>
      </c>
      <c r="AJ53" s="319">
        <v>469551.38</v>
      </c>
      <c r="AK53" s="319">
        <v>485999.72</v>
      </c>
      <c r="AL53" s="319">
        <v>473854.06</v>
      </c>
      <c r="AM53" s="319">
        <v>516106.68</v>
      </c>
      <c r="AN53" s="319">
        <v>504722.04000000004</v>
      </c>
      <c r="AO53" s="319">
        <v>491161.57999999996</v>
      </c>
      <c r="AP53" s="319">
        <v>533115.57999999996</v>
      </c>
      <c r="AQ53" s="322">
        <v>537021.86</v>
      </c>
      <c r="AR53" s="760">
        <v>557519.39</v>
      </c>
      <c r="AS53" s="760">
        <v>608240.73</v>
      </c>
      <c r="AT53" s="760">
        <v>536344.64</v>
      </c>
      <c r="AU53" s="760">
        <v>605000</v>
      </c>
      <c r="AV53" s="62"/>
      <c r="AW53" s="319" t="s">
        <v>36</v>
      </c>
      <c r="AX53" s="319">
        <v>0</v>
      </c>
      <c r="AY53" s="319">
        <v>0</v>
      </c>
      <c r="AZ53" s="319">
        <v>0</v>
      </c>
      <c r="BA53" s="319">
        <v>0</v>
      </c>
      <c r="BB53" s="319">
        <v>0</v>
      </c>
      <c r="BC53" s="319">
        <v>0</v>
      </c>
      <c r="BD53" s="319">
        <v>0</v>
      </c>
      <c r="BE53" s="319">
        <v>0</v>
      </c>
      <c r="BF53" s="319">
        <v>0</v>
      </c>
      <c r="BG53" s="319">
        <v>0</v>
      </c>
      <c r="BH53" s="319">
        <v>0</v>
      </c>
      <c r="BI53" s="319">
        <v>0</v>
      </c>
      <c r="BJ53" s="319">
        <v>0</v>
      </c>
      <c r="BK53" s="319">
        <v>0</v>
      </c>
      <c r="BL53" s="319">
        <v>0</v>
      </c>
      <c r="BM53" s="319">
        <v>0</v>
      </c>
      <c r="BN53" s="319">
        <v>0</v>
      </c>
      <c r="BO53" s="322">
        <v>0</v>
      </c>
      <c r="BP53" s="760">
        <v>0</v>
      </c>
      <c r="BQ53" s="760">
        <v>0</v>
      </c>
      <c r="BR53" s="760">
        <v>0</v>
      </c>
      <c r="BS53" s="760">
        <v>0</v>
      </c>
      <c r="BT53" s="62"/>
      <c r="BU53" s="319" t="s">
        <v>36</v>
      </c>
      <c r="BV53" s="319">
        <v>482887.35</v>
      </c>
      <c r="BW53" s="319">
        <v>526520.13</v>
      </c>
      <c r="BX53" s="319">
        <v>466052.08</v>
      </c>
      <c r="BY53" s="319">
        <v>506039.56</v>
      </c>
      <c r="BZ53" s="319">
        <v>463536.8</v>
      </c>
      <c r="CA53" s="319">
        <v>453978.5</v>
      </c>
      <c r="CB53" s="319">
        <v>539636.51</v>
      </c>
      <c r="CC53" s="319">
        <v>637586.44999999995</v>
      </c>
      <c r="CD53" s="319">
        <v>556492.41</v>
      </c>
      <c r="CE53" s="319">
        <v>403137.22000000003</v>
      </c>
      <c r="CF53" s="319">
        <v>464804.32000000007</v>
      </c>
      <c r="CG53" s="319">
        <v>494252.08999999997</v>
      </c>
      <c r="CH53" s="319">
        <v>529254.88</v>
      </c>
      <c r="CI53" s="319">
        <v>539348.59</v>
      </c>
      <c r="CJ53" s="319">
        <v>501878.18999999994</v>
      </c>
      <c r="CK53" s="319">
        <v>499216.46999999991</v>
      </c>
      <c r="CL53" s="319">
        <v>520170.17</v>
      </c>
      <c r="CM53" s="322">
        <v>541513.25</v>
      </c>
      <c r="CN53" s="760">
        <v>550616.36</v>
      </c>
      <c r="CO53" s="760">
        <v>570928.99</v>
      </c>
      <c r="CP53" s="760">
        <v>537029.06000000006</v>
      </c>
      <c r="CQ53" s="760">
        <v>558700</v>
      </c>
      <c r="CR53" s="62"/>
      <c r="CS53" s="319" t="s">
        <v>36</v>
      </c>
      <c r="CT53" s="319">
        <v>17559.54</v>
      </c>
      <c r="CU53" s="319">
        <v>17848.14</v>
      </c>
      <c r="CV53" s="319">
        <v>26887.62</v>
      </c>
      <c r="CW53" s="319">
        <v>29194.59</v>
      </c>
      <c r="CX53" s="319">
        <v>34765.26</v>
      </c>
      <c r="CY53" s="319">
        <v>27238.71</v>
      </c>
      <c r="CZ53" s="319">
        <v>22025.98</v>
      </c>
      <c r="DA53" s="319">
        <v>10806.55</v>
      </c>
      <c r="DB53" s="319">
        <v>10100.299999999999</v>
      </c>
      <c r="DC53" s="319">
        <v>11218.77</v>
      </c>
      <c r="DD53" s="319">
        <v>13379.71</v>
      </c>
      <c r="DE53" s="319">
        <v>10555.47</v>
      </c>
      <c r="DF53" s="319">
        <v>5594.66</v>
      </c>
      <c r="DG53" s="319">
        <v>5204.7299999999996</v>
      </c>
      <c r="DH53" s="319">
        <v>3237.51</v>
      </c>
      <c r="DI53" s="319">
        <v>2396.42</v>
      </c>
      <c r="DJ53" s="319">
        <v>3007.79</v>
      </c>
      <c r="DK53" s="322">
        <v>2183.5300000000002</v>
      </c>
      <c r="DL53" s="760">
        <v>2122.25</v>
      </c>
      <c r="DM53" s="760">
        <v>2046.13</v>
      </c>
      <c r="DN53" s="760">
        <v>2159.23</v>
      </c>
      <c r="DO53" s="760">
        <v>2000</v>
      </c>
      <c r="DP53" s="62"/>
      <c r="DQ53" s="319" t="s">
        <v>36</v>
      </c>
      <c r="DR53" s="319">
        <v>43898.85</v>
      </c>
      <c r="DS53" s="319">
        <v>0</v>
      </c>
      <c r="DT53" s="319">
        <v>26887.62</v>
      </c>
      <c r="DU53" s="319">
        <v>48657.65</v>
      </c>
      <c r="DV53" s="319">
        <v>254945.24</v>
      </c>
      <c r="DW53" s="319">
        <v>0</v>
      </c>
      <c r="DX53" s="319">
        <v>121142.89</v>
      </c>
      <c r="DY53" s="319">
        <v>0</v>
      </c>
      <c r="DZ53" s="319">
        <v>27773.84</v>
      </c>
      <c r="EA53" s="319">
        <v>34837.46</v>
      </c>
      <c r="EB53" s="319">
        <v>164520.47</v>
      </c>
      <c r="EC53" s="319">
        <v>93206.78</v>
      </c>
      <c r="ED53" s="319">
        <v>922834.22</v>
      </c>
      <c r="EE53" s="319">
        <v>16061.47</v>
      </c>
      <c r="EF53" s="319">
        <v>163357.50999999998</v>
      </c>
      <c r="EG53" s="319">
        <v>326111.77999999997</v>
      </c>
      <c r="EH53" s="319">
        <v>172491.27000000002</v>
      </c>
      <c r="EI53" s="322">
        <v>137320.28999999998</v>
      </c>
      <c r="EJ53" s="767">
        <v>432321.81</v>
      </c>
      <c r="EK53" s="767">
        <v>74984.420000000013</v>
      </c>
      <c r="EL53" s="767">
        <v>34382.629999999997</v>
      </c>
      <c r="EM53" s="767">
        <v>268000</v>
      </c>
      <c r="EO53" s="319" t="s">
        <v>36</v>
      </c>
      <c r="EP53" s="319">
        <v>839633</v>
      </c>
      <c r="EQ53" s="319">
        <v>830127</v>
      </c>
      <c r="ER53" s="319">
        <v>886415</v>
      </c>
      <c r="ES53" s="319">
        <v>967539</v>
      </c>
      <c r="ET53" s="319">
        <v>1138594</v>
      </c>
      <c r="EU53" s="319">
        <v>1025451</v>
      </c>
      <c r="EV53" s="319">
        <v>912576</v>
      </c>
      <c r="EW53" s="319">
        <v>1124047</v>
      </c>
      <c r="EX53" s="319">
        <v>984756.87000000011</v>
      </c>
      <c r="EY53" s="319">
        <v>1174168.1299999999</v>
      </c>
      <c r="EZ53" s="319">
        <v>1187480.5699999998</v>
      </c>
      <c r="FA53" s="319">
        <v>1237514.56</v>
      </c>
      <c r="FB53" s="319">
        <v>1805305.2700000003</v>
      </c>
      <c r="FC53" s="319">
        <v>1205015.21</v>
      </c>
      <c r="FD53" s="319">
        <v>1076489.0900000001</v>
      </c>
      <c r="FE53" s="319">
        <v>1132244.7799999998</v>
      </c>
      <c r="FF53" s="319">
        <v>1314918.3499999999</v>
      </c>
      <c r="FG53" s="322">
        <v>1184479.25</v>
      </c>
      <c r="FH53" s="760">
        <v>1603124.46</v>
      </c>
      <c r="FI53" s="760">
        <v>1235766.3899999999</v>
      </c>
      <c r="FJ53" s="760">
        <v>1204745.6099999999</v>
      </c>
      <c r="FK53" s="760">
        <v>1457500</v>
      </c>
      <c r="GZ53" s="62"/>
      <c r="HB53" s="62"/>
      <c r="HD53" s="62"/>
      <c r="HF53" s="62"/>
      <c r="HH53" s="62"/>
      <c r="HJ53" s="62"/>
      <c r="HL53" s="62"/>
      <c r="HN53" s="62"/>
    </row>
    <row r="54" spans="1:222" s="61" customFormat="1">
      <c r="A54" s="319" t="s">
        <v>37</v>
      </c>
      <c r="B54" s="319">
        <v>1281290</v>
      </c>
      <c r="C54" s="319">
        <v>1362081</v>
      </c>
      <c r="D54" s="319">
        <v>1239153</v>
      </c>
      <c r="E54" s="319">
        <v>1073062</v>
      </c>
      <c r="F54" s="319">
        <v>1001483</v>
      </c>
      <c r="G54" s="319">
        <v>1700935</v>
      </c>
      <c r="H54" s="319">
        <v>1272367</v>
      </c>
      <c r="I54" s="319">
        <v>1506266</v>
      </c>
      <c r="J54" s="319">
        <v>1600951.87</v>
      </c>
      <c r="K54" s="319">
        <v>1908692.6500000001</v>
      </c>
      <c r="L54" s="319">
        <v>1295683.1099999999</v>
      </c>
      <c r="M54" s="319">
        <v>1343886.26</v>
      </c>
      <c r="N54" s="319">
        <v>1478172.3400000003</v>
      </c>
      <c r="O54" s="319">
        <v>1131539.53</v>
      </c>
      <c r="P54" s="319">
        <v>1269737.26</v>
      </c>
      <c r="Q54" s="319">
        <v>1546289.4900000002</v>
      </c>
      <c r="R54" s="319">
        <v>1258548.78</v>
      </c>
      <c r="S54" s="322">
        <v>1026092.2169999999</v>
      </c>
      <c r="T54" s="760">
        <v>738815.79</v>
      </c>
      <c r="U54" s="760">
        <v>1099665.33</v>
      </c>
      <c r="V54" s="760">
        <v>1290000.22</v>
      </c>
      <c r="W54" s="760">
        <v>1115581.46</v>
      </c>
      <c r="X54" s="42"/>
      <c r="Y54" s="319" t="s">
        <v>37</v>
      </c>
      <c r="Z54" s="319">
        <v>256258</v>
      </c>
      <c r="AA54" s="319">
        <v>272416.2</v>
      </c>
      <c r="AB54" s="319">
        <v>285005.19</v>
      </c>
      <c r="AC54" s="319">
        <v>300457.36</v>
      </c>
      <c r="AD54" s="319">
        <v>310459.73</v>
      </c>
      <c r="AE54" s="319">
        <v>323177.65000000002</v>
      </c>
      <c r="AF54" s="319">
        <v>330815.42</v>
      </c>
      <c r="AG54" s="319">
        <v>346441.18</v>
      </c>
      <c r="AH54" s="319">
        <v>336362.78</v>
      </c>
      <c r="AI54" s="319">
        <v>342627.57</v>
      </c>
      <c r="AJ54" s="319">
        <v>343152.02999999997</v>
      </c>
      <c r="AK54" s="319">
        <v>346654.67</v>
      </c>
      <c r="AL54" s="319">
        <v>382204.83</v>
      </c>
      <c r="AM54" s="319">
        <v>420354.01</v>
      </c>
      <c r="AN54" s="319">
        <v>430694.24000000005</v>
      </c>
      <c r="AO54" s="319">
        <v>432950.79</v>
      </c>
      <c r="AP54" s="319">
        <v>480174.39</v>
      </c>
      <c r="AQ54" s="322">
        <v>146764.41</v>
      </c>
      <c r="AR54" s="760">
        <v>150752.44</v>
      </c>
      <c r="AS54" s="760">
        <v>495536.54</v>
      </c>
      <c r="AT54" s="760">
        <v>512462.88</v>
      </c>
      <c r="AU54" s="760">
        <v>503999.72000000003</v>
      </c>
      <c r="AV54" s="62"/>
      <c r="AW54" s="319" t="s">
        <v>37</v>
      </c>
      <c r="AX54" s="319">
        <v>102503.2</v>
      </c>
      <c r="AY54" s="319">
        <v>108966.48</v>
      </c>
      <c r="AZ54" s="319">
        <v>99132.24</v>
      </c>
      <c r="BA54" s="319">
        <v>107306.2</v>
      </c>
      <c r="BB54" s="319">
        <v>120177.96</v>
      </c>
      <c r="BC54" s="319">
        <v>136074.79999999999</v>
      </c>
      <c r="BD54" s="319">
        <v>127236.7</v>
      </c>
      <c r="BE54" s="319">
        <v>135563.94</v>
      </c>
      <c r="BF54" s="319">
        <v>130286.35</v>
      </c>
      <c r="BG54" s="319">
        <v>137497.88</v>
      </c>
      <c r="BH54" s="319">
        <v>127245.63</v>
      </c>
      <c r="BI54" s="319">
        <v>131923.01</v>
      </c>
      <c r="BJ54" s="319">
        <v>135210.84</v>
      </c>
      <c r="BK54" s="319">
        <v>133212.98000000001</v>
      </c>
      <c r="BL54" s="319">
        <v>139463.4</v>
      </c>
      <c r="BM54" s="319">
        <v>145580.76</v>
      </c>
      <c r="BN54" s="319">
        <v>139285.78</v>
      </c>
      <c r="BO54" s="322">
        <v>123953.47</v>
      </c>
      <c r="BP54" s="760">
        <v>0</v>
      </c>
      <c r="BQ54" s="760">
        <v>0</v>
      </c>
      <c r="BR54" s="760">
        <v>0</v>
      </c>
      <c r="BS54" s="760">
        <v>0</v>
      </c>
      <c r="BT54" s="62"/>
      <c r="BU54" s="319" t="s">
        <v>37</v>
      </c>
      <c r="BV54" s="319">
        <v>858464.3</v>
      </c>
      <c r="BW54" s="319">
        <v>912594.27</v>
      </c>
      <c r="BX54" s="319">
        <v>780666.39</v>
      </c>
      <c r="BY54" s="319">
        <v>568722.86</v>
      </c>
      <c r="BZ54" s="319">
        <v>510756.33</v>
      </c>
      <c r="CA54" s="319">
        <v>1173645.1499999999</v>
      </c>
      <c r="CB54" s="319">
        <v>687078.18</v>
      </c>
      <c r="CC54" s="319">
        <v>933884.92</v>
      </c>
      <c r="CD54" s="319">
        <v>1047233.1499999999</v>
      </c>
      <c r="CE54" s="319">
        <v>886978.22</v>
      </c>
      <c r="CF54" s="319">
        <v>684942.83</v>
      </c>
      <c r="CG54" s="319">
        <v>735941.53</v>
      </c>
      <c r="CH54" s="319">
        <v>818613.4800000001</v>
      </c>
      <c r="CI54" s="319">
        <v>529665.63</v>
      </c>
      <c r="CJ54" s="319">
        <v>519392.73</v>
      </c>
      <c r="CK54" s="319">
        <v>845703.65</v>
      </c>
      <c r="CL54" s="319">
        <v>554876.19999999995</v>
      </c>
      <c r="CM54" s="322">
        <v>668604.18999999994</v>
      </c>
      <c r="CN54" s="760">
        <v>525244.1</v>
      </c>
      <c r="CO54" s="760">
        <v>539009.14</v>
      </c>
      <c r="CP54" s="760">
        <v>678257.75</v>
      </c>
      <c r="CQ54" s="760">
        <v>529382.13</v>
      </c>
      <c r="CR54" s="62"/>
      <c r="CS54" s="319" t="s">
        <v>37</v>
      </c>
      <c r="CT54" s="319">
        <v>12812.9</v>
      </c>
      <c r="CU54" s="319">
        <v>27241.62</v>
      </c>
      <c r="CV54" s="319">
        <v>12391.53</v>
      </c>
      <c r="CW54" s="319">
        <v>10730.62</v>
      </c>
      <c r="CX54" s="319">
        <v>10014.83</v>
      </c>
      <c r="CY54" s="319">
        <v>17009.349999999999</v>
      </c>
      <c r="CZ54" s="319">
        <v>12723.67</v>
      </c>
      <c r="DA54" s="319">
        <v>15062.66</v>
      </c>
      <c r="DB54" s="319">
        <v>4285.57</v>
      </c>
      <c r="DC54" s="319">
        <v>10241.67</v>
      </c>
      <c r="DD54" s="319">
        <v>11496.21</v>
      </c>
      <c r="DE54" s="319">
        <v>13726.79</v>
      </c>
      <c r="DF54" s="319">
        <v>15095.92</v>
      </c>
      <c r="DG54" s="319">
        <v>0</v>
      </c>
      <c r="DH54" s="319">
        <v>10676.26</v>
      </c>
      <c r="DI54" s="319">
        <v>12935.82</v>
      </c>
      <c r="DJ54" s="319">
        <v>5067.6899999999996</v>
      </c>
      <c r="DK54" s="322">
        <v>5423.3</v>
      </c>
      <c r="DL54" s="760">
        <v>4155.57</v>
      </c>
      <c r="DM54" s="760">
        <v>5951.29</v>
      </c>
      <c r="DN54" s="760">
        <v>6733.02</v>
      </c>
      <c r="DO54" s="760">
        <v>6342.15</v>
      </c>
      <c r="DP54" s="62"/>
      <c r="DQ54" s="319" t="s">
        <v>37</v>
      </c>
      <c r="DR54" s="319">
        <v>51251.6</v>
      </c>
      <c r="DS54" s="319">
        <v>40862.43</v>
      </c>
      <c r="DT54" s="319">
        <v>61957.65</v>
      </c>
      <c r="DU54" s="319">
        <v>85844.96</v>
      </c>
      <c r="DV54" s="319">
        <v>50074.15</v>
      </c>
      <c r="DW54" s="319">
        <v>51028.05</v>
      </c>
      <c r="DX54" s="319">
        <v>114513.03</v>
      </c>
      <c r="DY54" s="319">
        <v>75313.3</v>
      </c>
      <c r="DZ54" s="319">
        <v>81254.61</v>
      </c>
      <c r="EA54" s="319">
        <v>527575.36</v>
      </c>
      <c r="EB54" s="319">
        <v>122647.15000000001</v>
      </c>
      <c r="EC54" s="319">
        <v>109459.88</v>
      </c>
      <c r="ED54" s="319">
        <v>127047.27</v>
      </c>
      <c r="EE54" s="319">
        <v>48306.909999999996</v>
      </c>
      <c r="EF54" s="319">
        <v>169510.63000000003</v>
      </c>
      <c r="EG54" s="319">
        <v>109118.47</v>
      </c>
      <c r="EH54" s="319">
        <v>79144.72</v>
      </c>
      <c r="EI54" s="322">
        <v>81346.847000000009</v>
      </c>
      <c r="EJ54" s="767">
        <v>56261.240000000005</v>
      </c>
      <c r="EK54" s="767">
        <v>2197.2800000000002</v>
      </c>
      <c r="EL54" s="767">
        <v>1140.42</v>
      </c>
      <c r="EM54" s="767">
        <v>1668.85</v>
      </c>
      <c r="EO54" s="319" t="s">
        <v>37</v>
      </c>
      <c r="EP54" s="319">
        <v>1266631</v>
      </c>
      <c r="EQ54" s="319">
        <v>1426182</v>
      </c>
      <c r="ER54" s="319">
        <v>1350765</v>
      </c>
      <c r="ES54" s="319">
        <v>1018105</v>
      </c>
      <c r="ET54" s="319">
        <v>865619</v>
      </c>
      <c r="EU54" s="319">
        <v>1668985</v>
      </c>
      <c r="EV54" s="319">
        <v>1136735</v>
      </c>
      <c r="EW54" s="319">
        <v>1415692</v>
      </c>
      <c r="EX54" s="319">
        <v>1688843.37</v>
      </c>
      <c r="EY54" s="319">
        <v>1950364.9000000001</v>
      </c>
      <c r="EZ54" s="319">
        <v>1478148.79</v>
      </c>
      <c r="FA54" s="319">
        <v>1053160.2599999998</v>
      </c>
      <c r="FB54" s="319">
        <v>1560246.08</v>
      </c>
      <c r="FC54" s="319">
        <v>1192599.5900000001</v>
      </c>
      <c r="FD54" s="319">
        <v>1031162.54</v>
      </c>
      <c r="FE54" s="319">
        <v>1661404.91</v>
      </c>
      <c r="FF54" s="319">
        <v>1369399.1999999997</v>
      </c>
      <c r="FG54" s="322">
        <v>1411659.99</v>
      </c>
      <c r="FH54" s="760">
        <v>1020859.8099999999</v>
      </c>
      <c r="FI54" s="760">
        <v>1068616.72</v>
      </c>
      <c r="FJ54" s="760">
        <v>1223690.83</v>
      </c>
      <c r="FK54" s="760">
        <v>1164920.9300000002</v>
      </c>
      <c r="GZ54" s="62"/>
      <c r="HB54" s="62"/>
      <c r="HD54" s="62"/>
      <c r="HF54" s="62"/>
      <c r="HH54" s="62"/>
      <c r="HJ54" s="62"/>
      <c r="HL54" s="62"/>
      <c r="HN54" s="62"/>
    </row>
    <row r="55" spans="1:222" s="61" customFormat="1">
      <c r="A55" s="319" t="s">
        <v>38</v>
      </c>
      <c r="B55" s="319">
        <v>1338195</v>
      </c>
      <c r="C55" s="319">
        <v>1159484</v>
      </c>
      <c r="D55" s="319">
        <v>905048</v>
      </c>
      <c r="E55" s="319">
        <v>1056922</v>
      </c>
      <c r="F55" s="319">
        <v>1136584</v>
      </c>
      <c r="G55" s="319">
        <v>1677766</v>
      </c>
      <c r="H55" s="319">
        <v>1278700</v>
      </c>
      <c r="I55" s="319">
        <v>1238191</v>
      </c>
      <c r="J55" s="319">
        <v>1319060.8</v>
      </c>
      <c r="K55" s="319">
        <v>1815654.1900000002</v>
      </c>
      <c r="L55" s="319">
        <v>2953434.98</v>
      </c>
      <c r="M55" s="319">
        <v>2259191.92</v>
      </c>
      <c r="N55" s="319">
        <v>2100960.7600000002</v>
      </c>
      <c r="O55" s="319">
        <v>2045903.66</v>
      </c>
      <c r="P55" s="319">
        <v>1840035.5499999998</v>
      </c>
      <c r="Q55" s="319">
        <v>1908126.4400000002</v>
      </c>
      <c r="R55" s="319">
        <v>2290185.7900000005</v>
      </c>
      <c r="S55" s="322">
        <v>2103997.4</v>
      </c>
      <c r="T55" s="760">
        <v>2816517.9699999997</v>
      </c>
      <c r="U55" s="760"/>
      <c r="V55" s="760"/>
      <c r="W55" s="760"/>
      <c r="X55" s="42"/>
      <c r="Y55" s="319" t="s">
        <v>38</v>
      </c>
      <c r="Z55" s="319">
        <v>0</v>
      </c>
      <c r="AA55" s="319">
        <v>0</v>
      </c>
      <c r="AB55" s="319">
        <v>0</v>
      </c>
      <c r="AC55" s="319">
        <v>0</v>
      </c>
      <c r="AD55" s="319">
        <v>0</v>
      </c>
      <c r="AE55" s="319">
        <v>0</v>
      </c>
      <c r="AF55" s="319">
        <v>0</v>
      </c>
      <c r="AG55" s="319">
        <v>0</v>
      </c>
      <c r="AH55" s="319">
        <v>2606.0300000000002</v>
      </c>
      <c r="AI55" s="319">
        <v>2901.84</v>
      </c>
      <c r="AJ55" s="319">
        <v>2763.31</v>
      </c>
      <c r="AK55" s="319">
        <v>2833.31</v>
      </c>
      <c r="AL55" s="319">
        <v>3282.99</v>
      </c>
      <c r="AM55" s="319">
        <v>3265.72</v>
      </c>
      <c r="AN55" s="319">
        <v>3516.98</v>
      </c>
      <c r="AO55" s="319">
        <v>3667.32</v>
      </c>
      <c r="AP55" s="319">
        <v>3370.47</v>
      </c>
      <c r="AQ55" s="322">
        <v>3569.6</v>
      </c>
      <c r="AR55" s="760">
        <v>3522.78</v>
      </c>
      <c r="AS55" s="760"/>
      <c r="AT55" s="760"/>
      <c r="AU55" s="760"/>
      <c r="AV55" s="62"/>
      <c r="AW55" s="319" t="s">
        <v>38</v>
      </c>
      <c r="AX55" s="319">
        <v>0</v>
      </c>
      <c r="AY55" s="319">
        <v>0</v>
      </c>
      <c r="AZ55" s="319">
        <v>0</v>
      </c>
      <c r="BA55" s="319">
        <v>0</v>
      </c>
      <c r="BB55" s="319">
        <v>0</v>
      </c>
      <c r="BC55" s="319">
        <v>0</v>
      </c>
      <c r="BD55" s="319">
        <v>0</v>
      </c>
      <c r="BE55" s="319">
        <v>0</v>
      </c>
      <c r="BF55" s="319">
        <v>0</v>
      </c>
      <c r="BG55" s="319">
        <v>0</v>
      </c>
      <c r="BH55" s="319">
        <v>0</v>
      </c>
      <c r="BI55" s="319">
        <v>0</v>
      </c>
      <c r="BJ55" s="319">
        <v>0</v>
      </c>
      <c r="BK55" s="319">
        <v>0</v>
      </c>
      <c r="BL55" s="319">
        <v>0</v>
      </c>
      <c r="BM55" s="319">
        <v>0</v>
      </c>
      <c r="BN55" s="319">
        <v>0</v>
      </c>
      <c r="BO55" s="322">
        <v>0</v>
      </c>
      <c r="BP55" s="760">
        <v>0</v>
      </c>
      <c r="BQ55" s="760"/>
      <c r="BR55" s="760"/>
      <c r="BS55" s="760"/>
      <c r="BT55" s="62"/>
      <c r="BU55" s="319" t="s">
        <v>38</v>
      </c>
      <c r="BV55" s="319">
        <v>682479.45</v>
      </c>
      <c r="BW55" s="319">
        <v>753664.6</v>
      </c>
      <c r="BX55" s="319">
        <v>814543.2</v>
      </c>
      <c r="BY55" s="319">
        <v>845537.6</v>
      </c>
      <c r="BZ55" s="319">
        <v>852438</v>
      </c>
      <c r="CA55" s="319">
        <v>1375768.12</v>
      </c>
      <c r="CB55" s="319">
        <v>971812</v>
      </c>
      <c r="CC55" s="319">
        <v>879115.61</v>
      </c>
      <c r="CD55" s="319">
        <v>933729.23</v>
      </c>
      <c r="CE55" s="319">
        <v>881395.83</v>
      </c>
      <c r="CF55" s="319">
        <v>889125.98</v>
      </c>
      <c r="CG55" s="319">
        <v>903420.1</v>
      </c>
      <c r="CH55" s="319">
        <v>837873.94000000006</v>
      </c>
      <c r="CI55" s="319">
        <v>797531.25000000012</v>
      </c>
      <c r="CJ55" s="319">
        <v>829561.09</v>
      </c>
      <c r="CK55" s="319">
        <v>869211.05000000016</v>
      </c>
      <c r="CL55" s="319">
        <v>1108437.6400000001</v>
      </c>
      <c r="CM55" s="322">
        <v>885063.04999999993</v>
      </c>
      <c r="CN55" s="760">
        <v>908586.79999999993</v>
      </c>
      <c r="CO55" s="760"/>
      <c r="CP55" s="760"/>
      <c r="CQ55" s="760"/>
      <c r="CR55" s="62"/>
      <c r="CS55" s="319" t="s">
        <v>38</v>
      </c>
      <c r="CT55" s="319">
        <v>0</v>
      </c>
      <c r="CU55" s="319">
        <v>11594.84</v>
      </c>
      <c r="CV55" s="319">
        <v>9050.48</v>
      </c>
      <c r="CW55" s="319">
        <v>0</v>
      </c>
      <c r="CX55" s="319">
        <v>0</v>
      </c>
      <c r="CY55" s="319">
        <v>0</v>
      </c>
      <c r="CZ55" s="319">
        <v>0</v>
      </c>
      <c r="DA55" s="319">
        <v>0</v>
      </c>
      <c r="DB55" s="319">
        <v>1256.24</v>
      </c>
      <c r="DC55" s="319">
        <v>2803.84</v>
      </c>
      <c r="DD55" s="319">
        <v>4203.8</v>
      </c>
      <c r="DE55" s="319">
        <v>8552.6</v>
      </c>
      <c r="DF55" s="319">
        <v>9275.16</v>
      </c>
      <c r="DG55" s="319">
        <v>933.92</v>
      </c>
      <c r="DH55" s="319">
        <v>4352.6899999999996</v>
      </c>
      <c r="DI55" s="319">
        <v>3146.93</v>
      </c>
      <c r="DJ55" s="319">
        <v>2641.49</v>
      </c>
      <c r="DK55" s="322">
        <v>2184.17</v>
      </c>
      <c r="DL55" s="760">
        <v>0</v>
      </c>
      <c r="DM55" s="760"/>
      <c r="DN55" s="760"/>
      <c r="DO55" s="760"/>
      <c r="DP55" s="62"/>
      <c r="DQ55" s="319" t="s">
        <v>38</v>
      </c>
      <c r="DR55" s="319">
        <v>655715.55000000005</v>
      </c>
      <c r="DS55" s="319">
        <v>394224.56</v>
      </c>
      <c r="DT55" s="319">
        <v>81454.320000000007</v>
      </c>
      <c r="DU55" s="319">
        <v>211384.4</v>
      </c>
      <c r="DV55" s="319">
        <v>284146</v>
      </c>
      <c r="DW55" s="319">
        <v>301997.88</v>
      </c>
      <c r="DX55" s="319">
        <v>306888</v>
      </c>
      <c r="DY55" s="319">
        <v>359075.39</v>
      </c>
      <c r="DZ55" s="319">
        <v>32469.300000000003</v>
      </c>
      <c r="EA55" s="319">
        <v>28552.68</v>
      </c>
      <c r="EB55" s="319">
        <v>734341.89</v>
      </c>
      <c r="EC55" s="319">
        <v>9566.1899999999987</v>
      </c>
      <c r="ED55" s="319">
        <v>65086.81</v>
      </c>
      <c r="EE55" s="319">
        <v>44172.770000000004</v>
      </c>
      <c r="EF55" s="319">
        <v>52604.79</v>
      </c>
      <c r="EG55" s="319">
        <v>82101.14</v>
      </c>
      <c r="EH55" s="319">
        <v>40736.189999999995</v>
      </c>
      <c r="EI55" s="322">
        <v>63180.58</v>
      </c>
      <c r="EJ55" s="767">
        <v>230312.17</v>
      </c>
      <c r="EK55" s="767"/>
      <c r="EL55" s="767"/>
      <c r="EM55" s="767"/>
      <c r="EO55" s="319" t="s">
        <v>38</v>
      </c>
      <c r="EP55" s="319">
        <v>1208103</v>
      </c>
      <c r="EQ55" s="319">
        <v>1109497</v>
      </c>
      <c r="ER55" s="319">
        <v>1002710</v>
      </c>
      <c r="ES55" s="319">
        <v>1140077</v>
      </c>
      <c r="ET55" s="319">
        <v>1026769</v>
      </c>
      <c r="EU55" s="319">
        <v>1792957</v>
      </c>
      <c r="EV55" s="319">
        <v>1240179</v>
      </c>
      <c r="EW55" s="319">
        <v>1227327</v>
      </c>
      <c r="EX55" s="319">
        <v>1257529.9500000002</v>
      </c>
      <c r="EY55" s="319">
        <v>1915941.88</v>
      </c>
      <c r="EZ55" s="319">
        <v>2908192.1599999997</v>
      </c>
      <c r="FA55" s="319">
        <v>1966417.5999999999</v>
      </c>
      <c r="FB55" s="319">
        <v>2294906.77</v>
      </c>
      <c r="FC55" s="319">
        <v>1813817.56</v>
      </c>
      <c r="FD55" s="319">
        <v>1825109.77</v>
      </c>
      <c r="FE55" s="319">
        <v>2025803.8500000003</v>
      </c>
      <c r="FF55" s="319">
        <v>2268785.1799999997</v>
      </c>
      <c r="FG55" s="322">
        <v>1947578.17</v>
      </c>
      <c r="FH55" s="760">
        <v>2685258.67</v>
      </c>
      <c r="FI55" s="760"/>
      <c r="FJ55" s="760"/>
      <c r="FK55" s="760"/>
      <c r="GZ55" s="62"/>
      <c r="HB55" s="62"/>
      <c r="HD55" s="62"/>
      <c r="HF55" s="62"/>
      <c r="HH55" s="62"/>
      <c r="HJ55" s="62"/>
      <c r="HL55" s="62"/>
      <c r="HN55" s="62"/>
    </row>
    <row r="56" spans="1:222" s="61" customFormat="1">
      <c r="A56" s="319" t="s">
        <v>39</v>
      </c>
      <c r="B56" s="319">
        <v>1750010</v>
      </c>
      <c r="C56" s="319">
        <v>1857002</v>
      </c>
      <c r="D56" s="319">
        <v>1969844</v>
      </c>
      <c r="E56" s="319">
        <v>2072233</v>
      </c>
      <c r="F56" s="319">
        <v>2322854</v>
      </c>
      <c r="G56" s="319">
        <v>2563743</v>
      </c>
      <c r="H56" s="319">
        <v>2240674</v>
      </c>
      <c r="I56" s="319">
        <v>2266917</v>
      </c>
      <c r="J56" s="319">
        <v>2804763.17</v>
      </c>
      <c r="K56" s="319">
        <v>2306252</v>
      </c>
      <c r="L56" s="319">
        <v>2472987.4900000002</v>
      </c>
      <c r="M56" s="319">
        <v>2853201.31</v>
      </c>
      <c r="N56" s="319">
        <v>2751941.28</v>
      </c>
      <c r="O56" s="319">
        <v>2410580.9899999998</v>
      </c>
      <c r="P56" s="319">
        <v>2655914.6999999997</v>
      </c>
      <c r="Q56" s="319">
        <v>2745929.74</v>
      </c>
      <c r="R56" s="319">
        <v>2540121.46</v>
      </c>
      <c r="S56" s="322">
        <v>2646526.54</v>
      </c>
      <c r="T56" s="760">
        <v>2867506.44</v>
      </c>
      <c r="U56" s="760">
        <v>3281947.38</v>
      </c>
      <c r="V56" s="760">
        <v>2990545.7300000004</v>
      </c>
      <c r="W56" s="760">
        <v>2979500</v>
      </c>
      <c r="X56" s="42"/>
      <c r="Y56" s="319" t="s">
        <v>39</v>
      </c>
      <c r="Z56" s="319">
        <v>52500.3</v>
      </c>
      <c r="AA56" s="319">
        <v>37140.04</v>
      </c>
      <c r="AB56" s="319">
        <v>39396.879999999997</v>
      </c>
      <c r="AC56" s="319">
        <v>41444.660000000003</v>
      </c>
      <c r="AD56" s="319">
        <v>46457.08</v>
      </c>
      <c r="AE56" s="319">
        <v>51274.86</v>
      </c>
      <c r="AF56" s="319">
        <v>44813.48</v>
      </c>
      <c r="AG56" s="319">
        <v>45338.34</v>
      </c>
      <c r="AH56" s="319">
        <v>48789.73</v>
      </c>
      <c r="AI56" s="319">
        <v>47694.33</v>
      </c>
      <c r="AJ56" s="319">
        <v>53258.05</v>
      </c>
      <c r="AK56" s="319">
        <v>57041.34</v>
      </c>
      <c r="AL56" s="319">
        <v>59481.84</v>
      </c>
      <c r="AM56" s="319">
        <v>53397.23</v>
      </c>
      <c r="AN56" s="319">
        <v>69544.56</v>
      </c>
      <c r="AO56" s="319">
        <v>62333.18</v>
      </c>
      <c r="AP56" s="319">
        <v>64209.19</v>
      </c>
      <c r="AQ56" s="322">
        <v>63880.93</v>
      </c>
      <c r="AR56" s="760">
        <v>65942.94</v>
      </c>
      <c r="AS56" s="760">
        <v>68499.25</v>
      </c>
      <c r="AT56" s="760">
        <v>71499.91</v>
      </c>
      <c r="AU56" s="760">
        <v>60000</v>
      </c>
      <c r="AV56" s="62"/>
      <c r="AW56" s="319" t="s">
        <v>39</v>
      </c>
      <c r="AX56" s="319">
        <v>875005</v>
      </c>
      <c r="AY56" s="319">
        <v>928501</v>
      </c>
      <c r="AZ56" s="319">
        <v>965223.56</v>
      </c>
      <c r="BA56" s="319">
        <v>1015394.17</v>
      </c>
      <c r="BB56" s="319">
        <v>1091741.3799999999</v>
      </c>
      <c r="BC56" s="319">
        <v>1102409.49</v>
      </c>
      <c r="BD56" s="319">
        <v>1120337</v>
      </c>
      <c r="BE56" s="319">
        <v>1156127.67</v>
      </c>
      <c r="BF56" s="319">
        <v>1196019.9099999999</v>
      </c>
      <c r="BG56" s="319">
        <v>1218665.1200000001</v>
      </c>
      <c r="BH56" s="319">
        <v>1247133.48</v>
      </c>
      <c r="BI56" s="319">
        <v>1262936.72</v>
      </c>
      <c r="BJ56" s="319">
        <v>1308716.56</v>
      </c>
      <c r="BK56" s="319">
        <v>1201458.68</v>
      </c>
      <c r="BL56" s="319">
        <v>1189828.4099999999</v>
      </c>
      <c r="BM56" s="319">
        <v>1256105.8600000001</v>
      </c>
      <c r="BN56" s="319">
        <v>1237926.5900000001</v>
      </c>
      <c r="BO56" s="322">
        <v>1262919.1399999999</v>
      </c>
      <c r="BP56" s="760">
        <v>1368684.93</v>
      </c>
      <c r="BQ56" s="760">
        <v>1552345.25</v>
      </c>
      <c r="BR56" s="760">
        <v>1527286.79</v>
      </c>
      <c r="BS56" s="760">
        <v>1550000</v>
      </c>
      <c r="BT56" s="62"/>
      <c r="BU56" s="319" t="s">
        <v>39</v>
      </c>
      <c r="BV56" s="319">
        <v>805004.6</v>
      </c>
      <c r="BW56" s="319">
        <v>872790.94</v>
      </c>
      <c r="BX56" s="319">
        <v>925826.68</v>
      </c>
      <c r="BY56" s="319">
        <v>973949.51</v>
      </c>
      <c r="BZ56" s="319">
        <v>1138198.46</v>
      </c>
      <c r="CA56" s="319">
        <v>1384421.22</v>
      </c>
      <c r="CB56" s="319">
        <v>1008303.3</v>
      </c>
      <c r="CC56" s="319">
        <v>1020112.65</v>
      </c>
      <c r="CD56" s="319">
        <v>1523974.51</v>
      </c>
      <c r="CE56" s="319">
        <v>1038612.13</v>
      </c>
      <c r="CF56" s="319">
        <v>1112308.7100000002</v>
      </c>
      <c r="CG56" s="319">
        <v>1526054.9100000001</v>
      </c>
      <c r="CH56" s="319">
        <v>1382076.43</v>
      </c>
      <c r="CI56" s="319">
        <v>1155292.96</v>
      </c>
      <c r="CJ56" s="319">
        <v>1396232.92</v>
      </c>
      <c r="CK56" s="319">
        <v>1427281.7</v>
      </c>
      <c r="CL56" s="319">
        <v>1237865.6299999999</v>
      </c>
      <c r="CM56" s="322">
        <v>1319507.43</v>
      </c>
      <c r="CN56" s="760">
        <v>1432195.2</v>
      </c>
      <c r="CO56" s="760">
        <v>1427469.6800000002</v>
      </c>
      <c r="CP56" s="760">
        <v>1391367.28</v>
      </c>
      <c r="CQ56" s="760">
        <v>1369500</v>
      </c>
      <c r="CR56" s="62"/>
      <c r="CS56" s="319" t="s">
        <v>39</v>
      </c>
      <c r="CT56" s="319">
        <v>17500.099999999999</v>
      </c>
      <c r="CU56" s="319">
        <v>18570.02</v>
      </c>
      <c r="CV56" s="319">
        <v>19698.439999999999</v>
      </c>
      <c r="CW56" s="319">
        <v>0</v>
      </c>
      <c r="CX56" s="319">
        <v>0</v>
      </c>
      <c r="CY56" s="319">
        <v>0</v>
      </c>
      <c r="CZ56" s="319">
        <v>0</v>
      </c>
      <c r="DA56" s="319">
        <v>0</v>
      </c>
      <c r="DB56" s="319">
        <v>885.52</v>
      </c>
      <c r="DC56" s="319">
        <v>1280.42</v>
      </c>
      <c r="DD56" s="319">
        <v>232.46</v>
      </c>
      <c r="DE56" s="319">
        <v>2318.34</v>
      </c>
      <c r="DF56" s="319">
        <v>19.989999999999998</v>
      </c>
      <c r="DG56" s="319">
        <v>412.12</v>
      </c>
      <c r="DH56" s="319">
        <v>308.81</v>
      </c>
      <c r="DI56" s="319">
        <v>73.7</v>
      </c>
      <c r="DJ56" s="319">
        <v>120.05</v>
      </c>
      <c r="DK56" s="322">
        <v>209.04</v>
      </c>
      <c r="DL56" s="760">
        <v>683.37</v>
      </c>
      <c r="DM56" s="760">
        <v>241.15</v>
      </c>
      <c r="DN56" s="760">
        <v>391.75</v>
      </c>
      <c r="DO56" s="760">
        <v>0</v>
      </c>
      <c r="DP56" s="62"/>
      <c r="DQ56" s="319" t="s">
        <v>39</v>
      </c>
      <c r="DR56" s="319">
        <v>0</v>
      </c>
      <c r="DS56" s="319">
        <v>0</v>
      </c>
      <c r="DT56" s="319">
        <v>19698.439999999999</v>
      </c>
      <c r="DU56" s="319">
        <v>41444.660000000003</v>
      </c>
      <c r="DV56" s="319">
        <v>46457.08</v>
      </c>
      <c r="DW56" s="319">
        <v>25637.43</v>
      </c>
      <c r="DX56" s="319">
        <v>67220.22</v>
      </c>
      <c r="DY56" s="319">
        <v>45338.34</v>
      </c>
      <c r="DZ56" s="319">
        <v>35093.5</v>
      </c>
      <c r="EA56" s="319">
        <v>0</v>
      </c>
      <c r="EB56" s="319">
        <v>60054.79</v>
      </c>
      <c r="EC56" s="319">
        <v>350</v>
      </c>
      <c r="ED56" s="319">
        <v>1646.46</v>
      </c>
      <c r="EE56" s="319">
        <v>20</v>
      </c>
      <c r="EF56" s="319">
        <v>0</v>
      </c>
      <c r="EG56" s="319">
        <v>135.30000000000001</v>
      </c>
      <c r="EH56" s="319">
        <v>0</v>
      </c>
      <c r="EI56" s="322">
        <v>10</v>
      </c>
      <c r="EJ56" s="767">
        <v>0</v>
      </c>
      <c r="EK56" s="767">
        <v>233392.05</v>
      </c>
      <c r="EL56" s="767">
        <v>0</v>
      </c>
      <c r="EM56" s="767">
        <v>0</v>
      </c>
      <c r="EO56" s="319" t="s">
        <v>39</v>
      </c>
      <c r="EP56" s="319">
        <v>1890961</v>
      </c>
      <c r="EQ56" s="319">
        <v>1878598</v>
      </c>
      <c r="ER56" s="319">
        <v>1997897</v>
      </c>
      <c r="ES56" s="319">
        <v>2148132</v>
      </c>
      <c r="ET56" s="319">
        <v>2277518</v>
      </c>
      <c r="EU56" s="319">
        <v>2526208</v>
      </c>
      <c r="EV56" s="319">
        <v>2234050</v>
      </c>
      <c r="EW56" s="319">
        <v>2337563</v>
      </c>
      <c r="EX56" s="319">
        <v>2747461.7199999997</v>
      </c>
      <c r="EY56" s="319">
        <v>2392518.7699999996</v>
      </c>
      <c r="EZ56" s="319">
        <v>2394901.14</v>
      </c>
      <c r="FA56" s="319">
        <v>2881542.8500000006</v>
      </c>
      <c r="FB56" s="319">
        <v>2766738.0700000003</v>
      </c>
      <c r="FC56" s="319">
        <v>2453721.9699999997</v>
      </c>
      <c r="FD56" s="319">
        <v>2630437.62</v>
      </c>
      <c r="FE56" s="319">
        <v>2552969.2100000004</v>
      </c>
      <c r="FF56" s="319">
        <v>2752261.44</v>
      </c>
      <c r="FG56" s="322">
        <v>2328325.19</v>
      </c>
      <c r="FH56" s="760">
        <v>2803545.02</v>
      </c>
      <c r="FI56" s="760">
        <v>3277324.5400000005</v>
      </c>
      <c r="FJ56" s="760">
        <v>3072855.48</v>
      </c>
      <c r="FK56" s="760">
        <v>3031147.79</v>
      </c>
      <c r="GZ56" s="62"/>
      <c r="HB56" s="62"/>
      <c r="HD56" s="62"/>
      <c r="HF56" s="62"/>
      <c r="HH56" s="62"/>
      <c r="HJ56" s="62"/>
      <c r="HL56" s="62"/>
      <c r="HN56" s="62"/>
    </row>
    <row r="57" spans="1:222" s="61" customFormat="1">
      <c r="A57" s="319" t="s">
        <v>40</v>
      </c>
      <c r="B57" s="319">
        <v>672893</v>
      </c>
      <c r="C57" s="319">
        <v>707666</v>
      </c>
      <c r="D57" s="319">
        <v>753014</v>
      </c>
      <c r="E57" s="319">
        <v>765953</v>
      </c>
      <c r="F57" s="319">
        <v>822238</v>
      </c>
      <c r="G57" s="319">
        <v>733745</v>
      </c>
      <c r="H57" s="319">
        <v>879634</v>
      </c>
      <c r="I57" s="319">
        <v>842779</v>
      </c>
      <c r="J57" s="319">
        <v>794428.00000000012</v>
      </c>
      <c r="K57" s="319">
        <v>843849.31</v>
      </c>
      <c r="L57" s="319">
        <v>868446.39</v>
      </c>
      <c r="M57" s="319">
        <v>851247.45</v>
      </c>
      <c r="N57" s="319">
        <v>974307.29</v>
      </c>
      <c r="O57" s="319">
        <v>1124161.23</v>
      </c>
      <c r="P57" s="319">
        <v>999048.96</v>
      </c>
      <c r="Q57" s="319">
        <v>970550.10000000009</v>
      </c>
      <c r="R57" s="319">
        <v>968485.49</v>
      </c>
      <c r="S57" s="322">
        <v>667065.4</v>
      </c>
      <c r="T57" s="760">
        <v>1045473.56</v>
      </c>
      <c r="U57" s="760">
        <v>1094751.6700000002</v>
      </c>
      <c r="V57" s="760">
        <v>1206426.6199999999</v>
      </c>
      <c r="W57" s="760">
        <v>1059980</v>
      </c>
      <c r="X57" s="42"/>
      <c r="Y57" s="319" t="s">
        <v>40</v>
      </c>
      <c r="Z57" s="319">
        <v>195138.97</v>
      </c>
      <c r="AA57" s="319">
        <v>198146.48</v>
      </c>
      <c r="AB57" s="319">
        <v>225904.2</v>
      </c>
      <c r="AC57" s="319">
        <v>206807.31</v>
      </c>
      <c r="AD57" s="319">
        <v>246671.4</v>
      </c>
      <c r="AE57" s="319">
        <v>220123.5</v>
      </c>
      <c r="AF57" s="319">
        <v>255093.86</v>
      </c>
      <c r="AG57" s="319">
        <v>286544.86</v>
      </c>
      <c r="AH57" s="319">
        <v>220683.69000000003</v>
      </c>
      <c r="AI57" s="319">
        <v>261219.01</v>
      </c>
      <c r="AJ57" s="319">
        <v>269372.89</v>
      </c>
      <c r="AK57" s="319">
        <v>274828</v>
      </c>
      <c r="AL57" s="319">
        <v>285114.79000000004</v>
      </c>
      <c r="AM57" s="319">
        <v>295700.67</v>
      </c>
      <c r="AN57" s="319">
        <v>303285.87000000005</v>
      </c>
      <c r="AO57" s="319">
        <v>306557.27999999997</v>
      </c>
      <c r="AP57" s="319">
        <v>332504.65999999997</v>
      </c>
      <c r="AQ57" s="322">
        <v>53993.39</v>
      </c>
      <c r="AR57" s="760">
        <v>351063.01</v>
      </c>
      <c r="AS57" s="760">
        <v>364759.05</v>
      </c>
      <c r="AT57" s="760">
        <v>364815.99</v>
      </c>
      <c r="AU57" s="760">
        <v>368000</v>
      </c>
      <c r="AV57" s="62"/>
      <c r="AW57" s="319" t="s">
        <v>40</v>
      </c>
      <c r="AX57" s="319">
        <v>0</v>
      </c>
      <c r="AY57" s="319">
        <v>0</v>
      </c>
      <c r="AZ57" s="319">
        <v>0</v>
      </c>
      <c r="BA57" s="319">
        <v>0</v>
      </c>
      <c r="BB57" s="319">
        <v>0</v>
      </c>
      <c r="BC57" s="319">
        <v>0</v>
      </c>
      <c r="BD57" s="319">
        <v>0</v>
      </c>
      <c r="BE57" s="319">
        <v>0</v>
      </c>
      <c r="BF57" s="319">
        <v>0</v>
      </c>
      <c r="BG57" s="319">
        <v>0</v>
      </c>
      <c r="BH57" s="319">
        <v>0</v>
      </c>
      <c r="BI57" s="319">
        <v>0</v>
      </c>
      <c r="BJ57" s="319">
        <v>12182.14</v>
      </c>
      <c r="BK57" s="319">
        <v>136592.43</v>
      </c>
      <c r="BL57" s="319">
        <v>137367.91</v>
      </c>
      <c r="BM57" s="319">
        <v>146521.19</v>
      </c>
      <c r="BN57" s="319">
        <v>138862.18</v>
      </c>
      <c r="BO57" s="322">
        <v>136152.23000000001</v>
      </c>
      <c r="BP57" s="760">
        <v>168196.87</v>
      </c>
      <c r="BQ57" s="760">
        <v>175816.67</v>
      </c>
      <c r="BR57" s="760">
        <v>166302.18</v>
      </c>
      <c r="BS57" s="760">
        <v>170000</v>
      </c>
      <c r="BT57" s="62"/>
      <c r="BU57" s="319" t="s">
        <v>40</v>
      </c>
      <c r="BV57" s="319">
        <v>430651.52</v>
      </c>
      <c r="BW57" s="319">
        <v>452906.23999999999</v>
      </c>
      <c r="BX57" s="319">
        <v>459338.54</v>
      </c>
      <c r="BY57" s="319">
        <v>482550.39</v>
      </c>
      <c r="BZ57" s="319">
        <v>476898.04</v>
      </c>
      <c r="CA57" s="319">
        <v>476934.25</v>
      </c>
      <c r="CB57" s="319">
        <v>483798.7</v>
      </c>
      <c r="CC57" s="319">
        <v>488811.82</v>
      </c>
      <c r="CD57" s="319">
        <v>499049.4</v>
      </c>
      <c r="CE57" s="319">
        <v>494439.24</v>
      </c>
      <c r="CF57" s="319">
        <v>496023.53</v>
      </c>
      <c r="CG57" s="319">
        <v>498353.87</v>
      </c>
      <c r="CH57" s="319">
        <v>452130.8</v>
      </c>
      <c r="CI57" s="319">
        <v>434299.3</v>
      </c>
      <c r="CJ57" s="319">
        <v>451432.08999999997</v>
      </c>
      <c r="CK57" s="319">
        <v>447208.29000000004</v>
      </c>
      <c r="CL57" s="319">
        <v>439945.26</v>
      </c>
      <c r="CM57" s="322">
        <v>0</v>
      </c>
      <c r="CN57" s="760">
        <v>465244.65</v>
      </c>
      <c r="CO57" s="760">
        <v>484923.68000000005</v>
      </c>
      <c r="CP57" s="760">
        <v>522349.95</v>
      </c>
      <c r="CQ57" s="760">
        <v>503680</v>
      </c>
      <c r="CR57" s="62"/>
      <c r="CS57" s="319" t="s">
        <v>40</v>
      </c>
      <c r="CT57" s="319">
        <v>0</v>
      </c>
      <c r="CU57" s="319">
        <v>7076.66</v>
      </c>
      <c r="CV57" s="319">
        <v>7530.14</v>
      </c>
      <c r="CW57" s="319">
        <v>0</v>
      </c>
      <c r="CX57" s="319">
        <v>0</v>
      </c>
      <c r="CY57" s="319">
        <v>7337.45</v>
      </c>
      <c r="CZ57" s="319">
        <v>0</v>
      </c>
      <c r="DA57" s="319">
        <v>0</v>
      </c>
      <c r="DB57" s="319">
        <v>1618.71</v>
      </c>
      <c r="DC57" s="319">
        <v>1626.42</v>
      </c>
      <c r="DD57" s="319">
        <v>1250.03</v>
      </c>
      <c r="DE57" s="319">
        <v>2883.87</v>
      </c>
      <c r="DF57" s="319">
        <v>2464.1799999999998</v>
      </c>
      <c r="DG57" s="319">
        <v>1742.24</v>
      </c>
      <c r="DH57" s="319">
        <v>3818.54</v>
      </c>
      <c r="DI57" s="319">
        <v>4379.05</v>
      </c>
      <c r="DJ57" s="319">
        <v>3131.84</v>
      </c>
      <c r="DK57" s="322">
        <v>0</v>
      </c>
      <c r="DL57" s="760">
        <v>2834.97</v>
      </c>
      <c r="DM57" s="760">
        <v>2820.71</v>
      </c>
      <c r="DN57" s="760">
        <v>3239.78</v>
      </c>
      <c r="DO57" s="760">
        <v>2900</v>
      </c>
      <c r="DP57" s="62"/>
      <c r="DQ57" s="319" t="s">
        <v>40</v>
      </c>
      <c r="DR57" s="319">
        <v>47102.51</v>
      </c>
      <c r="DS57" s="319">
        <v>49536.62</v>
      </c>
      <c r="DT57" s="319">
        <v>60241.120000000003</v>
      </c>
      <c r="DU57" s="319">
        <v>76595.3</v>
      </c>
      <c r="DV57" s="319">
        <v>98668.56</v>
      </c>
      <c r="DW57" s="319">
        <v>29349.8</v>
      </c>
      <c r="DX57" s="319">
        <v>140741.44</v>
      </c>
      <c r="DY57" s="319">
        <v>67422.320000000007</v>
      </c>
      <c r="DZ57" s="319">
        <v>23270.959999999995</v>
      </c>
      <c r="EA57" s="319">
        <v>20511.259999999998</v>
      </c>
      <c r="EB57" s="319">
        <v>19797.37</v>
      </c>
      <c r="EC57" s="319">
        <v>15289.409999999998</v>
      </c>
      <c r="ED57" s="319">
        <v>108793.76</v>
      </c>
      <c r="EE57" s="319">
        <v>115239.19</v>
      </c>
      <c r="EF57" s="319">
        <v>103144.55</v>
      </c>
      <c r="EG57" s="319">
        <v>65884.289999999994</v>
      </c>
      <c r="EH57" s="319">
        <v>50169.29</v>
      </c>
      <c r="EI57" s="322">
        <v>21551.940000000002</v>
      </c>
      <c r="EJ57" s="767">
        <v>58134.06</v>
      </c>
      <c r="EK57" s="767">
        <v>66431.560000000012</v>
      </c>
      <c r="EL57" s="767">
        <v>149718.72</v>
      </c>
      <c r="EM57" s="767">
        <v>15400</v>
      </c>
      <c r="EO57" s="319" t="s">
        <v>40</v>
      </c>
      <c r="EP57" s="319">
        <v>654757</v>
      </c>
      <c r="EQ57" s="319">
        <v>687327</v>
      </c>
      <c r="ER57" s="319">
        <v>808416</v>
      </c>
      <c r="ES57" s="319">
        <v>802976</v>
      </c>
      <c r="ET57" s="319">
        <v>796967</v>
      </c>
      <c r="EU57" s="319">
        <v>753918</v>
      </c>
      <c r="EV57" s="319">
        <v>867365</v>
      </c>
      <c r="EW57" s="319">
        <v>796772</v>
      </c>
      <c r="EX57" s="319">
        <v>836303.40999999992</v>
      </c>
      <c r="EY57" s="319">
        <v>863233.87000000011</v>
      </c>
      <c r="EZ57" s="319">
        <v>821822.7</v>
      </c>
      <c r="FA57" s="319">
        <v>867310.26</v>
      </c>
      <c r="FB57" s="319">
        <v>1002711.97</v>
      </c>
      <c r="FC57" s="319">
        <v>1099588.75</v>
      </c>
      <c r="FD57" s="319">
        <v>953445.73</v>
      </c>
      <c r="FE57" s="319">
        <v>957401.17999999993</v>
      </c>
      <c r="FF57" s="319">
        <v>942288.1399999999</v>
      </c>
      <c r="FG57" s="322">
        <v>0</v>
      </c>
      <c r="FH57" s="760">
        <v>1039308.55</v>
      </c>
      <c r="FI57" s="760">
        <v>1112040.04</v>
      </c>
      <c r="FJ57" s="760">
        <v>1236993.3799999999</v>
      </c>
      <c r="FK57" s="760">
        <v>1194582.92</v>
      </c>
      <c r="GZ57" s="62"/>
      <c r="HB57" s="62"/>
      <c r="HD57" s="62"/>
      <c r="HF57" s="62"/>
      <c r="HH57" s="62"/>
      <c r="HJ57" s="62"/>
      <c r="HL57" s="62"/>
      <c r="HN57" s="62"/>
    </row>
    <row r="58" spans="1:222" s="61" customFormat="1">
      <c r="A58" s="319" t="s">
        <v>41</v>
      </c>
      <c r="B58" s="319">
        <v>2390487</v>
      </c>
      <c r="C58" s="319">
        <v>1328748</v>
      </c>
      <c r="D58" s="319">
        <v>1336459</v>
      </c>
      <c r="E58" s="319">
        <v>1610957</v>
      </c>
      <c r="F58" s="319">
        <v>1937229</v>
      </c>
      <c r="G58" s="319">
        <v>2060274</v>
      </c>
      <c r="H58" s="319">
        <v>1544872</v>
      </c>
      <c r="I58" s="319">
        <v>1642562</v>
      </c>
      <c r="J58" s="319">
        <v>1439154.22</v>
      </c>
      <c r="K58" s="319">
        <v>2235867.6</v>
      </c>
      <c r="L58" s="319">
        <v>1971219.7300000002</v>
      </c>
      <c r="M58" s="319">
        <v>1982683.53</v>
      </c>
      <c r="N58" s="319">
        <v>2340341.4</v>
      </c>
      <c r="O58" s="319">
        <v>1608157.24</v>
      </c>
      <c r="P58" s="319">
        <v>1463687.3599999999</v>
      </c>
      <c r="Q58" s="319">
        <v>1580702.3599999999</v>
      </c>
      <c r="R58" s="319">
        <v>1377106.01</v>
      </c>
      <c r="S58" s="322">
        <v>1997443.2000000002</v>
      </c>
      <c r="T58" s="760">
        <v>1387286.8800000001</v>
      </c>
      <c r="U58" s="760">
        <v>2041804.2899999998</v>
      </c>
      <c r="V58" s="760">
        <v>2569077.8199999998</v>
      </c>
      <c r="W58" s="760">
        <v>1669800</v>
      </c>
      <c r="X58" s="42"/>
      <c r="Y58" s="319" t="s">
        <v>41</v>
      </c>
      <c r="Z58" s="319">
        <v>23904.87</v>
      </c>
      <c r="AA58" s="319">
        <v>39862.44</v>
      </c>
      <c r="AB58" s="319">
        <v>40093.769999999997</v>
      </c>
      <c r="AC58" s="319">
        <v>48328.71</v>
      </c>
      <c r="AD58" s="319">
        <v>38744.58</v>
      </c>
      <c r="AE58" s="319">
        <v>41205.480000000003</v>
      </c>
      <c r="AF58" s="319">
        <v>61794.879999999997</v>
      </c>
      <c r="AG58" s="319">
        <v>49276.86</v>
      </c>
      <c r="AH58" s="319">
        <v>55216.71</v>
      </c>
      <c r="AI58" s="319">
        <v>56535.64</v>
      </c>
      <c r="AJ58" s="319">
        <v>57440.78</v>
      </c>
      <c r="AK58" s="319">
        <v>65516.84</v>
      </c>
      <c r="AL58" s="319">
        <v>43502.12</v>
      </c>
      <c r="AM58" s="319">
        <v>61625.82</v>
      </c>
      <c r="AN58" s="319">
        <v>60791.94</v>
      </c>
      <c r="AO58" s="319">
        <v>57944.81</v>
      </c>
      <c r="AP58" s="319">
        <v>64846.99</v>
      </c>
      <c r="AQ58" s="322">
        <v>66522.58</v>
      </c>
      <c r="AR58" s="760">
        <v>67414.509999999995</v>
      </c>
      <c r="AS58" s="760">
        <v>68863.91</v>
      </c>
      <c r="AT58" s="760">
        <v>70214.759999999995</v>
      </c>
      <c r="AU58" s="760">
        <v>65000</v>
      </c>
      <c r="AV58" s="62"/>
      <c r="AW58" s="319" t="s">
        <v>41</v>
      </c>
      <c r="AX58" s="319">
        <v>478097.4</v>
      </c>
      <c r="AY58" s="319">
        <v>478349.28</v>
      </c>
      <c r="AZ58" s="319">
        <v>494489.83</v>
      </c>
      <c r="BA58" s="319">
        <v>531615.81000000006</v>
      </c>
      <c r="BB58" s="319">
        <v>542424.12</v>
      </c>
      <c r="BC58" s="319">
        <v>556273.98</v>
      </c>
      <c r="BD58" s="319">
        <v>587051.36</v>
      </c>
      <c r="BE58" s="319">
        <v>558471.07999999996</v>
      </c>
      <c r="BF58" s="319">
        <v>577949.72</v>
      </c>
      <c r="BG58" s="319">
        <v>581532.38</v>
      </c>
      <c r="BH58" s="319">
        <v>582767.05000000005</v>
      </c>
      <c r="BI58" s="319">
        <v>612436.99</v>
      </c>
      <c r="BJ58" s="319">
        <v>597791.96</v>
      </c>
      <c r="BK58" s="319">
        <v>588168.56000000006</v>
      </c>
      <c r="BL58" s="319">
        <v>595239.15</v>
      </c>
      <c r="BM58" s="319">
        <v>623276.64</v>
      </c>
      <c r="BN58" s="319">
        <v>613047.78</v>
      </c>
      <c r="BO58" s="322">
        <v>635605.96</v>
      </c>
      <c r="BP58" s="760">
        <v>672872.72</v>
      </c>
      <c r="BQ58" s="760">
        <v>686800.61</v>
      </c>
      <c r="BR58" s="760">
        <v>667413.36</v>
      </c>
      <c r="BS58" s="760">
        <v>660000</v>
      </c>
      <c r="BT58" s="62"/>
      <c r="BU58" s="319" t="s">
        <v>41</v>
      </c>
      <c r="BV58" s="319">
        <v>1840674.99</v>
      </c>
      <c r="BW58" s="319">
        <v>770673.84</v>
      </c>
      <c r="BX58" s="319">
        <v>681594.09</v>
      </c>
      <c r="BY58" s="319">
        <v>998793.34</v>
      </c>
      <c r="BZ58" s="319">
        <v>1297943.43</v>
      </c>
      <c r="CA58" s="319">
        <v>1421589.06</v>
      </c>
      <c r="CB58" s="319">
        <v>880577.04</v>
      </c>
      <c r="CC58" s="319">
        <v>1018388.44</v>
      </c>
      <c r="CD58" s="319">
        <v>722527</v>
      </c>
      <c r="CE58" s="319">
        <v>1562957.6600000001</v>
      </c>
      <c r="CF58" s="319">
        <v>1293423.6100000001</v>
      </c>
      <c r="CG58" s="319">
        <v>1265296.71</v>
      </c>
      <c r="CH58" s="319">
        <v>1672527.5999999999</v>
      </c>
      <c r="CI58" s="319">
        <v>949301.79</v>
      </c>
      <c r="CJ58" s="319">
        <v>804885.5</v>
      </c>
      <c r="CK58" s="319">
        <v>894853.47</v>
      </c>
      <c r="CL58" s="319">
        <v>678424.29</v>
      </c>
      <c r="CM58" s="322">
        <v>1292893.05</v>
      </c>
      <c r="CN58" s="760">
        <v>646357.11</v>
      </c>
      <c r="CO58" s="760">
        <v>1278158.32</v>
      </c>
      <c r="CP58" s="760">
        <v>1822713.3200000003</v>
      </c>
      <c r="CQ58" s="760">
        <v>943800</v>
      </c>
      <c r="CR58" s="62"/>
      <c r="CS58" s="319" t="s">
        <v>41</v>
      </c>
      <c r="CT58" s="319">
        <v>47809.74</v>
      </c>
      <c r="CU58" s="319">
        <v>39862.44</v>
      </c>
      <c r="CV58" s="319">
        <v>26729.18</v>
      </c>
      <c r="CW58" s="319">
        <v>32219.14</v>
      </c>
      <c r="CX58" s="319">
        <v>38744.58</v>
      </c>
      <c r="CY58" s="319">
        <v>41205.480000000003</v>
      </c>
      <c r="CZ58" s="319">
        <v>15448.72</v>
      </c>
      <c r="DA58" s="319">
        <v>16425.62</v>
      </c>
      <c r="DB58" s="319">
        <v>18267.72</v>
      </c>
      <c r="DC58" s="319">
        <v>31033.72</v>
      </c>
      <c r="DD58" s="319">
        <v>35485.47</v>
      </c>
      <c r="DE58" s="319">
        <v>32274.25</v>
      </c>
      <c r="DF58" s="319">
        <v>25290.73</v>
      </c>
      <c r="DG58" s="319">
        <v>2524.6799999999998</v>
      </c>
      <c r="DH58" s="319">
        <v>2705.27</v>
      </c>
      <c r="DI58" s="319">
        <v>2801.19</v>
      </c>
      <c r="DJ58" s="319">
        <v>3576.97</v>
      </c>
      <c r="DK58" s="322">
        <v>2005.49</v>
      </c>
      <c r="DL58" s="760">
        <v>597.04</v>
      </c>
      <c r="DM58" s="760">
        <v>927.65</v>
      </c>
      <c r="DN58" s="760">
        <v>5922.51</v>
      </c>
      <c r="DO58" s="760">
        <v>1000</v>
      </c>
      <c r="DP58" s="62"/>
      <c r="DQ58" s="319" t="s">
        <v>41</v>
      </c>
      <c r="DR58" s="319">
        <v>0</v>
      </c>
      <c r="DS58" s="319">
        <v>0</v>
      </c>
      <c r="DT58" s="319">
        <v>93552.13</v>
      </c>
      <c r="DU58" s="319">
        <v>0</v>
      </c>
      <c r="DV58" s="319">
        <v>19372.29</v>
      </c>
      <c r="DW58" s="319">
        <v>0</v>
      </c>
      <c r="DX58" s="319">
        <v>0</v>
      </c>
      <c r="DY58" s="319">
        <v>0</v>
      </c>
      <c r="DZ58" s="319">
        <v>65193.07</v>
      </c>
      <c r="EA58" s="319">
        <v>3808.2</v>
      </c>
      <c r="EB58" s="319">
        <v>2102.8199999999997</v>
      </c>
      <c r="EC58" s="319">
        <v>7158.74</v>
      </c>
      <c r="ED58" s="319">
        <v>1228.99</v>
      </c>
      <c r="EE58" s="319">
        <v>6536.3899999999994</v>
      </c>
      <c r="EF58" s="319">
        <v>65.5</v>
      </c>
      <c r="EG58" s="319">
        <v>1826.25</v>
      </c>
      <c r="EH58" s="319">
        <v>17209.98</v>
      </c>
      <c r="EI58" s="322">
        <v>416.12</v>
      </c>
      <c r="EJ58" s="767">
        <v>45.5</v>
      </c>
      <c r="EK58" s="767">
        <v>7053.8</v>
      </c>
      <c r="EL58" s="767">
        <v>2813.87</v>
      </c>
      <c r="EM58" s="767">
        <v>0</v>
      </c>
      <c r="EO58" s="319" t="s">
        <v>41</v>
      </c>
      <c r="EP58" s="319">
        <v>2486179</v>
      </c>
      <c r="EQ58" s="319">
        <v>1312182</v>
      </c>
      <c r="ER58" s="319">
        <v>1525973</v>
      </c>
      <c r="ES58" s="319">
        <v>1402224</v>
      </c>
      <c r="ET58" s="319">
        <v>2107848</v>
      </c>
      <c r="EU58" s="319">
        <v>1577154</v>
      </c>
      <c r="EV58" s="319">
        <v>1364390</v>
      </c>
      <c r="EW58" s="319">
        <v>1712064</v>
      </c>
      <c r="EX58" s="319">
        <v>1282051.1399999997</v>
      </c>
      <c r="EY58" s="319">
        <v>2503912.89</v>
      </c>
      <c r="EZ58" s="319">
        <v>2143716.1399999997</v>
      </c>
      <c r="FA58" s="319">
        <v>2129879.94</v>
      </c>
      <c r="FB58" s="319">
        <v>2511340.3200000003</v>
      </c>
      <c r="FC58" s="319">
        <v>1364615.51</v>
      </c>
      <c r="FD58" s="319">
        <v>1344516.58</v>
      </c>
      <c r="FE58" s="319">
        <v>1434631.2399999998</v>
      </c>
      <c r="FF58" s="319">
        <v>1154036.49</v>
      </c>
      <c r="FG58" s="322">
        <v>1655172.62</v>
      </c>
      <c r="FH58" s="760">
        <v>1268811.9000000001</v>
      </c>
      <c r="FI58" s="760">
        <v>1927805.4</v>
      </c>
      <c r="FJ58" s="760">
        <v>2315065.6500000004</v>
      </c>
      <c r="FK58" s="760">
        <v>2714611</v>
      </c>
      <c r="GZ58" s="62"/>
      <c r="HB58" s="62"/>
      <c r="HD58" s="62"/>
      <c r="HF58" s="62"/>
      <c r="HH58" s="62"/>
      <c r="HJ58" s="62"/>
      <c r="HL58" s="62"/>
      <c r="HN58" s="62"/>
    </row>
    <row r="59" spans="1:222" s="61" customFormat="1">
      <c r="A59" s="319" t="s">
        <v>42</v>
      </c>
      <c r="B59" s="319">
        <v>569220</v>
      </c>
      <c r="C59" s="319">
        <v>663948</v>
      </c>
      <c r="D59" s="319">
        <v>779882</v>
      </c>
      <c r="E59" s="319">
        <v>1046790</v>
      </c>
      <c r="F59" s="319">
        <v>1210347</v>
      </c>
      <c r="G59" s="319">
        <v>1151789</v>
      </c>
      <c r="H59" s="319">
        <v>915239</v>
      </c>
      <c r="I59" s="319">
        <v>1184946</v>
      </c>
      <c r="J59" s="319">
        <v>1111519</v>
      </c>
      <c r="K59" s="319">
        <v>1123845</v>
      </c>
      <c r="L59" s="319">
        <v>725864</v>
      </c>
      <c r="M59" s="319">
        <v>1122941</v>
      </c>
      <c r="N59" s="319">
        <v>1574570</v>
      </c>
      <c r="O59" s="319">
        <v>2481722</v>
      </c>
      <c r="P59" s="319">
        <v>1844991</v>
      </c>
      <c r="Q59" s="319">
        <v>968342</v>
      </c>
      <c r="R59" s="319">
        <v>681065</v>
      </c>
      <c r="S59" s="322"/>
      <c r="T59" s="760"/>
      <c r="U59" s="760">
        <v>1458770</v>
      </c>
      <c r="V59" s="760">
        <v>738341</v>
      </c>
      <c r="W59" s="760">
        <v>1247280</v>
      </c>
      <c r="X59" s="42"/>
      <c r="Y59" s="319" t="s">
        <v>42</v>
      </c>
      <c r="Z59" s="319">
        <v>45537.599999999999</v>
      </c>
      <c r="AA59" s="319">
        <v>66394.8</v>
      </c>
      <c r="AB59" s="319">
        <v>54591.74</v>
      </c>
      <c r="AC59" s="319">
        <v>62807.4</v>
      </c>
      <c r="AD59" s="319">
        <v>60517.35</v>
      </c>
      <c r="AE59" s="319">
        <v>69107.34</v>
      </c>
      <c r="AF59" s="319">
        <v>73219.12</v>
      </c>
      <c r="AG59" s="319">
        <v>71096.759999999995</v>
      </c>
      <c r="AH59" s="319">
        <v>71700</v>
      </c>
      <c r="AI59" s="319">
        <v>69752</v>
      </c>
      <c r="AJ59" s="319">
        <v>80732</v>
      </c>
      <c r="AK59" s="319">
        <v>12304</v>
      </c>
      <c r="AL59" s="319">
        <v>79242</v>
      </c>
      <c r="AM59" s="319">
        <v>79650</v>
      </c>
      <c r="AN59" s="319">
        <v>78978</v>
      </c>
      <c r="AO59" s="319">
        <v>79126</v>
      </c>
      <c r="AP59" s="319">
        <v>81833</v>
      </c>
      <c r="AQ59" s="322"/>
      <c r="AR59" s="760"/>
      <c r="AS59" s="760">
        <v>85135</v>
      </c>
      <c r="AT59" s="760">
        <v>86731</v>
      </c>
      <c r="AU59" s="760">
        <v>86000</v>
      </c>
      <c r="AV59" s="62"/>
      <c r="AW59" s="319" t="s">
        <v>42</v>
      </c>
      <c r="AX59" s="319">
        <v>0</v>
      </c>
      <c r="AY59" s="319">
        <v>0</v>
      </c>
      <c r="AZ59" s="319">
        <v>0</v>
      </c>
      <c r="BA59" s="319">
        <v>0</v>
      </c>
      <c r="BB59" s="319">
        <v>0</v>
      </c>
      <c r="BC59" s="319">
        <v>0</v>
      </c>
      <c r="BD59" s="319">
        <v>0</v>
      </c>
      <c r="BE59" s="319">
        <v>0</v>
      </c>
      <c r="BF59" s="319">
        <v>0</v>
      </c>
      <c r="BG59" s="319">
        <v>0</v>
      </c>
      <c r="BH59" s="319">
        <v>0</v>
      </c>
      <c r="BI59" s="319">
        <v>0</v>
      </c>
      <c r="BJ59" s="319">
        <v>0</v>
      </c>
      <c r="BK59" s="319">
        <v>0</v>
      </c>
      <c r="BL59" s="319">
        <v>0</v>
      </c>
      <c r="BM59" s="319">
        <v>0</v>
      </c>
      <c r="BN59" s="319">
        <v>0</v>
      </c>
      <c r="BO59" s="322"/>
      <c r="BP59" s="760"/>
      <c r="BQ59" s="760">
        <v>0</v>
      </c>
      <c r="BR59" s="760">
        <v>0</v>
      </c>
      <c r="BS59" s="760">
        <v>0</v>
      </c>
      <c r="BT59" s="62"/>
      <c r="BU59" s="319" t="s">
        <v>42</v>
      </c>
      <c r="BV59" s="319">
        <v>500913.6</v>
      </c>
      <c r="BW59" s="319">
        <v>577634.76</v>
      </c>
      <c r="BX59" s="319">
        <v>717491.44</v>
      </c>
      <c r="BY59" s="319">
        <v>973514.7</v>
      </c>
      <c r="BZ59" s="319">
        <v>1137726.18</v>
      </c>
      <c r="CA59" s="319">
        <v>1059645.8799999999</v>
      </c>
      <c r="CB59" s="319">
        <v>823715.1</v>
      </c>
      <c r="CC59" s="319">
        <v>1101999.78</v>
      </c>
      <c r="CD59" s="319">
        <v>1022358</v>
      </c>
      <c r="CE59" s="319">
        <v>1035855</v>
      </c>
      <c r="CF59" s="319">
        <v>618228</v>
      </c>
      <c r="CG59" s="319">
        <v>1064184</v>
      </c>
      <c r="CH59" s="319">
        <v>1388748</v>
      </c>
      <c r="CI59" s="319">
        <v>2399004</v>
      </c>
      <c r="CJ59" s="319">
        <v>1754767</v>
      </c>
      <c r="CK59" s="319">
        <v>884198</v>
      </c>
      <c r="CL59" s="319">
        <v>596819</v>
      </c>
      <c r="CM59" s="322"/>
      <c r="CN59" s="760"/>
      <c r="CO59" s="760">
        <v>1367610</v>
      </c>
      <c r="CP59" s="760">
        <v>648121</v>
      </c>
      <c r="CQ59" s="760">
        <v>1157780</v>
      </c>
      <c r="CR59" s="62"/>
      <c r="CS59" s="319" t="s">
        <v>42</v>
      </c>
      <c r="CT59" s="319">
        <v>17076.599999999999</v>
      </c>
      <c r="CU59" s="319">
        <v>13278.96</v>
      </c>
      <c r="CV59" s="319">
        <v>7798.82</v>
      </c>
      <c r="CW59" s="319">
        <v>10467.9</v>
      </c>
      <c r="CX59" s="319">
        <v>12103.47</v>
      </c>
      <c r="CY59" s="319">
        <v>11517.89</v>
      </c>
      <c r="CZ59" s="319">
        <v>9152.39</v>
      </c>
      <c r="DA59" s="319">
        <v>11849.46</v>
      </c>
      <c r="DB59" s="319">
        <v>7513</v>
      </c>
      <c r="DC59" s="319">
        <v>17905</v>
      </c>
      <c r="DD59" s="319">
        <v>26821</v>
      </c>
      <c r="DE59" s="319">
        <v>26615</v>
      </c>
      <c r="DF59" s="319">
        <v>11153</v>
      </c>
      <c r="DG59" s="319">
        <v>2708</v>
      </c>
      <c r="DH59" s="319">
        <v>1785</v>
      </c>
      <c r="DI59" s="319">
        <v>983</v>
      </c>
      <c r="DJ59" s="319">
        <v>1179</v>
      </c>
      <c r="DK59" s="322"/>
      <c r="DL59" s="760"/>
      <c r="DM59" s="760">
        <v>1742</v>
      </c>
      <c r="DN59" s="760">
        <v>2712</v>
      </c>
      <c r="DO59" s="760">
        <v>2500</v>
      </c>
      <c r="DP59" s="62"/>
      <c r="DQ59" s="319" t="s">
        <v>42</v>
      </c>
      <c r="DR59" s="319">
        <v>5692.2</v>
      </c>
      <c r="DS59" s="319">
        <v>6639.48</v>
      </c>
      <c r="DT59" s="319">
        <v>0</v>
      </c>
      <c r="DU59" s="319">
        <v>0</v>
      </c>
      <c r="DV59" s="319">
        <v>0</v>
      </c>
      <c r="DW59" s="319">
        <v>11517.89</v>
      </c>
      <c r="DX59" s="319">
        <v>9152.39</v>
      </c>
      <c r="DY59" s="319">
        <v>0</v>
      </c>
      <c r="DZ59" s="319">
        <v>948</v>
      </c>
      <c r="EA59" s="319">
        <v>333</v>
      </c>
      <c r="EB59" s="319">
        <v>83</v>
      </c>
      <c r="EC59" s="319">
        <v>19838</v>
      </c>
      <c r="ED59" s="319">
        <v>9427</v>
      </c>
      <c r="EE59" s="319">
        <v>360</v>
      </c>
      <c r="EF59" s="319">
        <v>9461</v>
      </c>
      <c r="EG59" s="319">
        <v>4035</v>
      </c>
      <c r="EH59" s="319">
        <v>1234</v>
      </c>
      <c r="EI59" s="322"/>
      <c r="EJ59" s="767"/>
      <c r="EK59" s="767">
        <v>4283</v>
      </c>
      <c r="EL59" s="767">
        <v>777</v>
      </c>
      <c r="EM59" s="767">
        <v>1000</v>
      </c>
      <c r="EO59" s="319" t="s">
        <v>42</v>
      </c>
      <c r="EP59" s="319">
        <v>516688</v>
      </c>
      <c r="EQ59" s="319">
        <v>775535</v>
      </c>
      <c r="ER59" s="319">
        <v>836315</v>
      </c>
      <c r="ES59" s="319">
        <v>1056471</v>
      </c>
      <c r="ET59" s="319">
        <v>1064021</v>
      </c>
      <c r="EU59" s="319">
        <v>1166793</v>
      </c>
      <c r="EV59" s="319">
        <v>715466</v>
      </c>
      <c r="EW59" s="319">
        <v>1053882</v>
      </c>
      <c r="EX59" s="319">
        <v>1034401</v>
      </c>
      <c r="EY59" s="319">
        <v>1001675</v>
      </c>
      <c r="EZ59" s="319">
        <v>1054775</v>
      </c>
      <c r="FA59" s="319">
        <v>1314306</v>
      </c>
      <c r="FB59" s="319">
        <v>1566205</v>
      </c>
      <c r="FC59" s="319">
        <v>2594511</v>
      </c>
      <c r="FD59" s="319">
        <v>1953640</v>
      </c>
      <c r="FE59" s="319">
        <v>931970</v>
      </c>
      <c r="FF59" s="319">
        <v>574021</v>
      </c>
      <c r="FG59" s="322"/>
      <c r="FH59" s="760"/>
      <c r="FI59" s="760">
        <v>1314866</v>
      </c>
      <c r="FJ59" s="760">
        <v>712476</v>
      </c>
      <c r="FK59" s="760">
        <v>1632657</v>
      </c>
      <c r="GZ59" s="62"/>
      <c r="HB59" s="62"/>
      <c r="HD59" s="62"/>
      <c r="HF59" s="62"/>
      <c r="HH59" s="62"/>
      <c r="HJ59" s="62"/>
      <c r="HL59" s="62"/>
      <c r="HN59" s="62"/>
    </row>
    <row r="60" spans="1:222" s="61" customFormat="1">
      <c r="A60" s="319" t="s">
        <v>43</v>
      </c>
      <c r="B60" s="319">
        <v>1160144</v>
      </c>
      <c r="C60" s="319">
        <v>1270900</v>
      </c>
      <c r="D60" s="319">
        <v>1292342</v>
      </c>
      <c r="E60" s="319">
        <v>1413926</v>
      </c>
      <c r="F60" s="319">
        <v>1332464</v>
      </c>
      <c r="G60" s="319">
        <v>1453988</v>
      </c>
      <c r="H60" s="319">
        <v>1462915</v>
      </c>
      <c r="I60" s="319">
        <v>1397908</v>
      </c>
      <c r="J60" s="319">
        <v>1503481.99</v>
      </c>
      <c r="K60" s="319">
        <v>1487307.74</v>
      </c>
      <c r="L60" s="319">
        <v>1560874.7199999997</v>
      </c>
      <c r="M60" s="319">
        <v>1552302.76</v>
      </c>
      <c r="N60" s="319">
        <v>1689497.36</v>
      </c>
      <c r="O60" s="319">
        <v>2042902.0300000003</v>
      </c>
      <c r="P60" s="319"/>
      <c r="Q60" s="319"/>
      <c r="R60" s="319"/>
      <c r="S60" s="322"/>
      <c r="T60" s="760"/>
      <c r="U60" s="760"/>
      <c r="V60" s="760"/>
      <c r="W60" s="760"/>
      <c r="X60" s="42"/>
      <c r="Y60" s="319" t="s">
        <v>43</v>
      </c>
      <c r="Z60" s="319">
        <v>382847.52</v>
      </c>
      <c r="AA60" s="319">
        <v>406688</v>
      </c>
      <c r="AB60" s="319">
        <v>413549.44</v>
      </c>
      <c r="AC60" s="319">
        <v>410038.54</v>
      </c>
      <c r="AD60" s="319">
        <v>453037.76</v>
      </c>
      <c r="AE60" s="319">
        <v>465276.15999999997</v>
      </c>
      <c r="AF60" s="319">
        <v>497391.1</v>
      </c>
      <c r="AG60" s="319">
        <v>517225.96</v>
      </c>
      <c r="AH60" s="319">
        <v>555016.12</v>
      </c>
      <c r="AI60" s="319">
        <v>518740.07</v>
      </c>
      <c r="AJ60" s="319">
        <v>605138.86</v>
      </c>
      <c r="AK60" s="319">
        <v>620348.54</v>
      </c>
      <c r="AL60" s="319">
        <v>629245.58000000007</v>
      </c>
      <c r="AM60" s="319">
        <v>655532.16</v>
      </c>
      <c r="AN60" s="319"/>
      <c r="AO60" s="319"/>
      <c r="AP60" s="319"/>
      <c r="AQ60" s="322"/>
      <c r="AR60" s="760"/>
      <c r="AS60" s="760"/>
      <c r="AT60" s="760"/>
      <c r="AU60" s="760"/>
      <c r="AV60" s="62"/>
      <c r="AW60" s="319" t="s">
        <v>43</v>
      </c>
      <c r="AX60" s="319">
        <v>0</v>
      </c>
      <c r="AY60" s="319">
        <v>0</v>
      </c>
      <c r="AZ60" s="319">
        <v>0</v>
      </c>
      <c r="BA60" s="319">
        <v>0</v>
      </c>
      <c r="BB60" s="319">
        <v>0</v>
      </c>
      <c r="BC60" s="319">
        <v>0</v>
      </c>
      <c r="BD60" s="319">
        <v>0</v>
      </c>
      <c r="BE60" s="319">
        <v>0</v>
      </c>
      <c r="BF60" s="319">
        <v>0</v>
      </c>
      <c r="BG60" s="319">
        <v>0</v>
      </c>
      <c r="BH60" s="319">
        <v>0</v>
      </c>
      <c r="BI60" s="319">
        <v>0</v>
      </c>
      <c r="BJ60" s="319">
        <v>0</v>
      </c>
      <c r="BK60" s="319">
        <v>0</v>
      </c>
      <c r="BL60" s="319"/>
      <c r="BM60" s="319"/>
      <c r="BN60" s="319"/>
      <c r="BO60" s="322"/>
      <c r="BP60" s="760"/>
      <c r="BQ60" s="760"/>
      <c r="BR60" s="760"/>
      <c r="BS60" s="760"/>
      <c r="BT60" s="62"/>
      <c r="BU60" s="319" t="s">
        <v>43</v>
      </c>
      <c r="BV60" s="319">
        <v>730890.72</v>
      </c>
      <c r="BW60" s="319">
        <v>800667</v>
      </c>
      <c r="BX60" s="319">
        <v>788328.62</v>
      </c>
      <c r="BY60" s="319">
        <v>947330.42</v>
      </c>
      <c r="BZ60" s="319">
        <v>826127.68</v>
      </c>
      <c r="CA60" s="319">
        <v>901472.56</v>
      </c>
      <c r="CB60" s="319">
        <v>921636.45</v>
      </c>
      <c r="CC60" s="319">
        <v>838744.8</v>
      </c>
      <c r="CD60" s="319">
        <v>861429.85</v>
      </c>
      <c r="CE60" s="319">
        <v>848126.23</v>
      </c>
      <c r="CF60" s="319">
        <v>862361.90999999992</v>
      </c>
      <c r="CG60" s="319">
        <v>862586.23</v>
      </c>
      <c r="CH60" s="319">
        <v>794272.99</v>
      </c>
      <c r="CI60" s="319">
        <v>762818.54000000015</v>
      </c>
      <c r="CJ60" s="319"/>
      <c r="CK60" s="319"/>
      <c r="CL60" s="319"/>
      <c r="CM60" s="322"/>
      <c r="CN60" s="760"/>
      <c r="CO60" s="760"/>
      <c r="CP60" s="760"/>
      <c r="CQ60" s="760"/>
      <c r="CR60" s="62"/>
      <c r="CS60" s="319" t="s">
        <v>43</v>
      </c>
      <c r="CT60" s="319">
        <v>23202.880000000001</v>
      </c>
      <c r="CU60" s="319">
        <v>25418</v>
      </c>
      <c r="CV60" s="319">
        <v>38770.26</v>
      </c>
      <c r="CW60" s="319">
        <v>28278.52</v>
      </c>
      <c r="CX60" s="319">
        <v>26649.279999999999</v>
      </c>
      <c r="CY60" s="319">
        <v>29079.759999999998</v>
      </c>
      <c r="CZ60" s="319">
        <v>14629.15</v>
      </c>
      <c r="DA60" s="319">
        <v>13979.08</v>
      </c>
      <c r="DB60" s="319">
        <v>4673.2700000000004</v>
      </c>
      <c r="DC60" s="319">
        <v>6088.09</v>
      </c>
      <c r="DD60" s="319">
        <v>10318.01</v>
      </c>
      <c r="DE60" s="319">
        <v>16098.65</v>
      </c>
      <c r="DF60" s="319">
        <v>9891.69</v>
      </c>
      <c r="DG60" s="319">
        <v>11905.8</v>
      </c>
      <c r="DH60" s="319"/>
      <c r="DI60" s="319"/>
      <c r="DJ60" s="319"/>
      <c r="DK60" s="322"/>
      <c r="DL60" s="760"/>
      <c r="DM60" s="760"/>
      <c r="DN60" s="760"/>
      <c r="DO60" s="760"/>
      <c r="DP60" s="62"/>
      <c r="DQ60" s="319" t="s">
        <v>43</v>
      </c>
      <c r="DR60" s="319">
        <v>23202.880000000001</v>
      </c>
      <c r="DS60" s="319">
        <v>38127</v>
      </c>
      <c r="DT60" s="319">
        <v>51693.68</v>
      </c>
      <c r="DU60" s="319">
        <v>28278.52</v>
      </c>
      <c r="DV60" s="319">
        <v>26649.279999999999</v>
      </c>
      <c r="DW60" s="319">
        <v>58159.519999999997</v>
      </c>
      <c r="DX60" s="319">
        <v>29258.3</v>
      </c>
      <c r="DY60" s="319">
        <v>27958.16</v>
      </c>
      <c r="DZ60" s="319">
        <v>80106.05</v>
      </c>
      <c r="EA60" s="319">
        <v>62803.619999999995</v>
      </c>
      <c r="EB60" s="319">
        <v>51243.740000000005</v>
      </c>
      <c r="EC60" s="319">
        <v>37891.709999999992</v>
      </c>
      <c r="ED60" s="319">
        <v>45164.81</v>
      </c>
      <c r="EE60" s="319">
        <v>57089.21</v>
      </c>
      <c r="EF60" s="319"/>
      <c r="EG60" s="319"/>
      <c r="EH60" s="319"/>
      <c r="EI60" s="322"/>
      <c r="EJ60" s="767"/>
      <c r="EK60" s="767"/>
      <c r="EL60" s="767"/>
      <c r="EM60" s="767"/>
      <c r="EO60" s="319" t="s">
        <v>43</v>
      </c>
      <c r="EP60" s="319">
        <v>1057542</v>
      </c>
      <c r="EQ60" s="319">
        <v>1235495</v>
      </c>
      <c r="ER60" s="319">
        <v>1279248</v>
      </c>
      <c r="ES60" s="319">
        <v>1493977</v>
      </c>
      <c r="ET60" s="319">
        <v>1540658</v>
      </c>
      <c r="EU60" s="319">
        <v>1312127</v>
      </c>
      <c r="EV60" s="319">
        <v>1440290</v>
      </c>
      <c r="EW60" s="319">
        <v>1574648</v>
      </c>
      <c r="EX60" s="319">
        <v>1526732.1400000001</v>
      </c>
      <c r="EY60" s="319">
        <v>1564898.73</v>
      </c>
      <c r="EZ60" s="319">
        <v>1501524.55</v>
      </c>
      <c r="FA60" s="319">
        <v>1505503.4500000002</v>
      </c>
      <c r="FB60" s="319">
        <v>1844811.75</v>
      </c>
      <c r="FC60" s="319">
        <v>1923759.6800000002</v>
      </c>
      <c r="FD60" s="319"/>
      <c r="FE60" s="319"/>
      <c r="FF60" s="319"/>
      <c r="FG60" s="322"/>
      <c r="FH60" s="760"/>
      <c r="FI60" s="760"/>
      <c r="FJ60" s="760"/>
      <c r="FK60" s="760"/>
      <c r="GZ60" s="62"/>
      <c r="HB60" s="62"/>
      <c r="HD60" s="62"/>
      <c r="HF60" s="62"/>
      <c r="HH60" s="62"/>
      <c r="HJ60" s="62"/>
      <c r="HL60" s="62"/>
      <c r="HN60" s="62"/>
    </row>
    <row r="61" spans="1:222" s="61" customFormat="1">
      <c r="A61" s="319" t="s">
        <v>44</v>
      </c>
      <c r="B61" s="319">
        <v>482882</v>
      </c>
      <c r="C61" s="319">
        <v>551902</v>
      </c>
      <c r="D61" s="319">
        <v>771469</v>
      </c>
      <c r="E61" s="319">
        <v>633097</v>
      </c>
      <c r="F61" s="319">
        <v>704033</v>
      </c>
      <c r="G61" s="319">
        <v>606235</v>
      </c>
      <c r="H61" s="319">
        <v>1383176</v>
      </c>
      <c r="I61" s="319">
        <v>1053375</v>
      </c>
      <c r="J61" s="319">
        <v>923931.3600000001</v>
      </c>
      <c r="K61" s="319">
        <v>690001.14999999991</v>
      </c>
      <c r="L61" s="319">
        <v>969514.09000000008</v>
      </c>
      <c r="M61" s="319">
        <v>798447.27</v>
      </c>
      <c r="N61" s="319">
        <v>1418489.83</v>
      </c>
      <c r="O61" s="319">
        <v>2526794.2699999996</v>
      </c>
      <c r="P61" s="319"/>
      <c r="Q61" s="319">
        <v>1693098.5400000003</v>
      </c>
      <c r="R61" s="319"/>
      <c r="S61" s="322"/>
      <c r="T61" s="760">
        <v>1762688.0999999999</v>
      </c>
      <c r="U61" s="760"/>
      <c r="V61" s="760"/>
      <c r="W61" s="760"/>
      <c r="X61" s="42"/>
      <c r="Y61" s="319" t="s">
        <v>44</v>
      </c>
      <c r="Z61" s="319">
        <v>154522.23999999999</v>
      </c>
      <c r="AA61" s="319">
        <v>209722.76</v>
      </c>
      <c r="AB61" s="319">
        <v>177437.87</v>
      </c>
      <c r="AC61" s="319">
        <v>202591.04</v>
      </c>
      <c r="AD61" s="319">
        <v>211209.9</v>
      </c>
      <c r="AE61" s="319">
        <v>230369.3</v>
      </c>
      <c r="AF61" s="319">
        <v>248971.68</v>
      </c>
      <c r="AG61" s="319">
        <v>252810</v>
      </c>
      <c r="AH61" s="319">
        <v>264391.67</v>
      </c>
      <c r="AI61" s="319">
        <v>274562.32</v>
      </c>
      <c r="AJ61" s="319">
        <v>280419.21000000002</v>
      </c>
      <c r="AK61" s="319">
        <v>293408.5</v>
      </c>
      <c r="AL61" s="319">
        <v>308531.42000000004</v>
      </c>
      <c r="AM61" s="319">
        <v>331440.89999999997</v>
      </c>
      <c r="AN61" s="319"/>
      <c r="AO61" s="319">
        <v>315109.05</v>
      </c>
      <c r="AP61" s="319"/>
      <c r="AQ61" s="322"/>
      <c r="AR61" s="760">
        <v>298743.52</v>
      </c>
      <c r="AS61" s="760"/>
      <c r="AT61" s="760"/>
      <c r="AU61" s="760"/>
      <c r="AV61" s="62"/>
      <c r="AW61" s="319" t="s">
        <v>44</v>
      </c>
      <c r="AX61" s="319">
        <v>0</v>
      </c>
      <c r="AY61" s="319">
        <v>0</v>
      </c>
      <c r="AZ61" s="319">
        <v>0</v>
      </c>
      <c r="BA61" s="319">
        <v>0</v>
      </c>
      <c r="BB61" s="319">
        <v>0</v>
      </c>
      <c r="BC61" s="319">
        <v>0</v>
      </c>
      <c r="BD61" s="319">
        <v>0</v>
      </c>
      <c r="BE61" s="319">
        <v>0</v>
      </c>
      <c r="BF61" s="319">
        <v>0</v>
      </c>
      <c r="BG61" s="319">
        <v>0</v>
      </c>
      <c r="BH61" s="319">
        <v>0</v>
      </c>
      <c r="BI61" s="319">
        <v>33323.230000000003</v>
      </c>
      <c r="BJ61" s="319">
        <v>466892.28</v>
      </c>
      <c r="BK61" s="319">
        <v>459296.63</v>
      </c>
      <c r="BL61" s="319"/>
      <c r="BM61" s="319">
        <v>437581.09</v>
      </c>
      <c r="BN61" s="319"/>
      <c r="BO61" s="322"/>
      <c r="BP61" s="760">
        <v>497004.41</v>
      </c>
      <c r="BQ61" s="760"/>
      <c r="BR61" s="760"/>
      <c r="BS61" s="760"/>
      <c r="BT61" s="62"/>
      <c r="BU61" s="319" t="s">
        <v>44</v>
      </c>
      <c r="BV61" s="319">
        <v>309044.47999999998</v>
      </c>
      <c r="BW61" s="319">
        <v>314584.14</v>
      </c>
      <c r="BX61" s="319">
        <v>501454.85</v>
      </c>
      <c r="BY61" s="319">
        <v>379858.2</v>
      </c>
      <c r="BZ61" s="319">
        <v>436500.46</v>
      </c>
      <c r="CA61" s="319">
        <v>351616.3</v>
      </c>
      <c r="CB61" s="319">
        <v>705419.76</v>
      </c>
      <c r="CC61" s="319">
        <v>368681.25</v>
      </c>
      <c r="CD61" s="319">
        <v>442040.80000000005</v>
      </c>
      <c r="CE61" s="319">
        <v>386840.95999999996</v>
      </c>
      <c r="CF61" s="319">
        <v>392218.83</v>
      </c>
      <c r="CG61" s="319">
        <v>406597.33999999997</v>
      </c>
      <c r="CH61" s="319">
        <v>634182.55999999994</v>
      </c>
      <c r="CI61" s="319">
        <v>1312325.8399999999</v>
      </c>
      <c r="CJ61" s="319"/>
      <c r="CK61" s="319">
        <v>814005.8600000001</v>
      </c>
      <c r="CL61" s="319"/>
      <c r="CM61" s="322"/>
      <c r="CN61" s="760">
        <v>344169.10000000003</v>
      </c>
      <c r="CO61" s="760"/>
      <c r="CP61" s="760"/>
      <c r="CQ61" s="760"/>
      <c r="CR61" s="62"/>
      <c r="CS61" s="319" t="s">
        <v>44</v>
      </c>
      <c r="CT61" s="319">
        <v>0</v>
      </c>
      <c r="CU61" s="319">
        <v>0</v>
      </c>
      <c r="CV61" s="319">
        <v>0</v>
      </c>
      <c r="CW61" s="319">
        <v>0</v>
      </c>
      <c r="CX61" s="319">
        <v>0</v>
      </c>
      <c r="CY61" s="319">
        <v>0</v>
      </c>
      <c r="CZ61" s="319">
        <v>0</v>
      </c>
      <c r="DA61" s="319">
        <v>0</v>
      </c>
      <c r="DB61" s="319">
        <v>783.19</v>
      </c>
      <c r="DC61" s="319">
        <v>3391.21</v>
      </c>
      <c r="DD61" s="319">
        <v>3705.94</v>
      </c>
      <c r="DE61" s="319">
        <v>5021.24</v>
      </c>
      <c r="DF61" s="319">
        <v>5266.53</v>
      </c>
      <c r="DG61" s="319">
        <v>4092.56</v>
      </c>
      <c r="DH61" s="319"/>
      <c r="DI61" s="319">
        <v>1589.15</v>
      </c>
      <c r="DJ61" s="319"/>
      <c r="DK61" s="322"/>
      <c r="DL61" s="760">
        <v>89.34</v>
      </c>
      <c r="DM61" s="760"/>
      <c r="DN61" s="760"/>
      <c r="DO61" s="760"/>
      <c r="DP61" s="62"/>
      <c r="DQ61" s="319" t="s">
        <v>44</v>
      </c>
      <c r="DR61" s="319">
        <v>19315.28</v>
      </c>
      <c r="DS61" s="319">
        <v>27595.1</v>
      </c>
      <c r="DT61" s="319">
        <v>92576.28</v>
      </c>
      <c r="DU61" s="319">
        <v>50647.76</v>
      </c>
      <c r="DV61" s="319">
        <v>56322.64</v>
      </c>
      <c r="DW61" s="319">
        <v>24249.4</v>
      </c>
      <c r="DX61" s="319">
        <v>428784.56</v>
      </c>
      <c r="DY61" s="319">
        <v>431883.75</v>
      </c>
      <c r="DZ61" s="319">
        <v>188416.02</v>
      </c>
      <c r="EA61" s="319">
        <v>20181.66</v>
      </c>
      <c r="EB61" s="319">
        <v>16050.99</v>
      </c>
      <c r="EC61" s="319">
        <v>22728.95</v>
      </c>
      <c r="ED61" s="319">
        <v>3577.04</v>
      </c>
      <c r="EE61" s="319">
        <v>57723.67</v>
      </c>
      <c r="EF61" s="319"/>
      <c r="EG61" s="319">
        <v>66209.36</v>
      </c>
      <c r="EH61" s="319"/>
      <c r="EI61" s="322"/>
      <c r="EJ61" s="767">
        <v>282259.78000000003</v>
      </c>
      <c r="EK61" s="767"/>
      <c r="EL61" s="767"/>
      <c r="EM61" s="767"/>
      <c r="EO61" s="319" t="s">
        <v>44</v>
      </c>
      <c r="EP61" s="319">
        <v>521766</v>
      </c>
      <c r="EQ61" s="319">
        <v>550292</v>
      </c>
      <c r="ER61" s="319">
        <v>730821</v>
      </c>
      <c r="ES61" s="319">
        <v>682877</v>
      </c>
      <c r="ET61" s="319">
        <v>684599</v>
      </c>
      <c r="EU61" s="319">
        <v>571233</v>
      </c>
      <c r="EV61" s="319">
        <v>1397185</v>
      </c>
      <c r="EW61" s="319">
        <v>1068016</v>
      </c>
      <c r="EX61" s="319">
        <v>711363.42</v>
      </c>
      <c r="EY61" s="319">
        <v>888559.71000000008</v>
      </c>
      <c r="EZ61" s="319">
        <v>951207.71000000008</v>
      </c>
      <c r="FA61" s="319">
        <v>747181.25</v>
      </c>
      <c r="FB61" s="319">
        <v>1415931.6</v>
      </c>
      <c r="FC61" s="319">
        <v>2633108.2299999995</v>
      </c>
      <c r="FD61" s="319"/>
      <c r="FE61" s="319">
        <v>1501202.0099999998</v>
      </c>
      <c r="FF61" s="319"/>
      <c r="FG61" s="322"/>
      <c r="FH61" s="760">
        <v>1836282.0300000003</v>
      </c>
      <c r="FI61" s="760"/>
      <c r="FJ61" s="760"/>
      <c r="FK61" s="760"/>
      <c r="GZ61" s="62"/>
      <c r="HB61" s="62"/>
      <c r="HD61" s="62"/>
      <c r="HF61" s="62"/>
      <c r="HH61" s="62"/>
      <c r="HJ61" s="62"/>
      <c r="HL61" s="62"/>
      <c r="HN61" s="62"/>
    </row>
    <row r="62" spans="1:222" s="61" customFormat="1">
      <c r="A62" s="319" t="s">
        <v>45</v>
      </c>
      <c r="B62" s="319">
        <v>804866</v>
      </c>
      <c r="C62" s="319">
        <v>581790</v>
      </c>
      <c r="D62" s="319">
        <v>1831118</v>
      </c>
      <c r="E62" s="319">
        <v>822556</v>
      </c>
      <c r="F62" s="319">
        <v>781567</v>
      </c>
      <c r="G62" s="319">
        <v>741153</v>
      </c>
      <c r="H62" s="319">
        <v>1067750</v>
      </c>
      <c r="I62" s="319">
        <v>797342</v>
      </c>
      <c r="J62" s="319">
        <v>515857</v>
      </c>
      <c r="K62" s="319">
        <v>535312</v>
      </c>
      <c r="L62" s="319">
        <v>448131</v>
      </c>
      <c r="M62" s="319"/>
      <c r="N62" s="319">
        <v>576677</v>
      </c>
      <c r="O62" s="319"/>
      <c r="P62" s="319">
        <v>443795</v>
      </c>
      <c r="Q62" s="319">
        <v>817322</v>
      </c>
      <c r="R62" s="319"/>
      <c r="S62" s="322"/>
      <c r="T62" s="760"/>
      <c r="U62" s="760"/>
      <c r="V62" s="760"/>
      <c r="W62" s="760"/>
      <c r="X62" s="42"/>
      <c r="Y62" s="319" t="s">
        <v>45</v>
      </c>
      <c r="Z62" s="319">
        <v>128778.56</v>
      </c>
      <c r="AA62" s="319">
        <v>98904.3</v>
      </c>
      <c r="AB62" s="319">
        <v>128178.26</v>
      </c>
      <c r="AC62" s="319">
        <v>148060.07999999999</v>
      </c>
      <c r="AD62" s="319">
        <v>156313.4</v>
      </c>
      <c r="AE62" s="319">
        <v>163053.66</v>
      </c>
      <c r="AF62" s="319">
        <v>170840</v>
      </c>
      <c r="AG62" s="319">
        <v>103654.46</v>
      </c>
      <c r="AH62" s="319">
        <v>107884</v>
      </c>
      <c r="AI62" s="319">
        <v>109928</v>
      </c>
      <c r="AJ62" s="319">
        <v>110061</v>
      </c>
      <c r="AK62" s="319"/>
      <c r="AL62" s="319">
        <v>123659</v>
      </c>
      <c r="AM62" s="319"/>
      <c r="AN62" s="319">
        <v>125588</v>
      </c>
      <c r="AO62" s="319">
        <v>145446</v>
      </c>
      <c r="AP62" s="319"/>
      <c r="AQ62" s="322"/>
      <c r="AR62" s="760"/>
      <c r="AS62" s="760"/>
      <c r="AT62" s="760"/>
      <c r="AU62" s="760"/>
      <c r="AV62" s="62"/>
      <c r="AW62" s="319" t="s">
        <v>45</v>
      </c>
      <c r="AX62" s="319">
        <v>56340.62</v>
      </c>
      <c r="AY62" s="319">
        <v>63996.9</v>
      </c>
      <c r="AZ62" s="319">
        <v>54933.54</v>
      </c>
      <c r="BA62" s="319">
        <v>65804.479999999996</v>
      </c>
      <c r="BB62" s="319">
        <v>70341.03</v>
      </c>
      <c r="BC62" s="319">
        <v>74115.3</v>
      </c>
      <c r="BD62" s="319">
        <v>85420</v>
      </c>
      <c r="BE62" s="319">
        <v>55813.94</v>
      </c>
      <c r="BF62" s="319">
        <v>53925</v>
      </c>
      <c r="BG62" s="319">
        <v>66506</v>
      </c>
      <c r="BH62" s="319">
        <v>65476</v>
      </c>
      <c r="BI62" s="319"/>
      <c r="BJ62" s="319">
        <v>86724</v>
      </c>
      <c r="BK62" s="319"/>
      <c r="BL62" s="319">
        <v>65637</v>
      </c>
      <c r="BM62" s="319">
        <v>64222</v>
      </c>
      <c r="BN62" s="319"/>
      <c r="BO62" s="322"/>
      <c r="BP62" s="760"/>
      <c r="BQ62" s="760"/>
      <c r="BR62" s="760"/>
      <c r="BS62" s="760"/>
      <c r="BT62" s="62"/>
      <c r="BU62" s="319" t="s">
        <v>45</v>
      </c>
      <c r="BV62" s="319">
        <v>378287.02</v>
      </c>
      <c r="BW62" s="319">
        <v>395617.2</v>
      </c>
      <c r="BX62" s="319">
        <v>439468.32</v>
      </c>
      <c r="BY62" s="319">
        <v>444180.24</v>
      </c>
      <c r="BZ62" s="319">
        <v>437677.52</v>
      </c>
      <c r="CA62" s="319">
        <v>474337.92</v>
      </c>
      <c r="CB62" s="319">
        <v>694037.5</v>
      </c>
      <c r="CC62" s="319">
        <v>287043.12</v>
      </c>
      <c r="CD62" s="319">
        <v>260318</v>
      </c>
      <c r="CE62" s="319">
        <v>246852</v>
      </c>
      <c r="CF62" s="319">
        <v>254929</v>
      </c>
      <c r="CG62" s="319"/>
      <c r="CH62" s="319">
        <v>227384</v>
      </c>
      <c r="CI62" s="319"/>
      <c r="CJ62" s="319">
        <v>222493</v>
      </c>
      <c r="CK62" s="319">
        <v>206470</v>
      </c>
      <c r="CL62" s="319"/>
      <c r="CM62" s="322"/>
      <c r="CN62" s="760"/>
      <c r="CO62" s="760"/>
      <c r="CP62" s="760"/>
      <c r="CQ62" s="760"/>
      <c r="CR62" s="62"/>
      <c r="CS62" s="319" t="s">
        <v>45</v>
      </c>
      <c r="CT62" s="319">
        <v>0</v>
      </c>
      <c r="CU62" s="319">
        <v>5817.9</v>
      </c>
      <c r="CV62" s="319">
        <v>0</v>
      </c>
      <c r="CW62" s="319">
        <v>0</v>
      </c>
      <c r="CX62" s="319">
        <v>0</v>
      </c>
      <c r="CY62" s="319">
        <v>0</v>
      </c>
      <c r="CZ62" s="319">
        <v>0</v>
      </c>
      <c r="DA62" s="319">
        <v>0</v>
      </c>
      <c r="DB62" s="319">
        <v>1017</v>
      </c>
      <c r="DC62" s="319">
        <v>539</v>
      </c>
      <c r="DD62" s="319">
        <v>512</v>
      </c>
      <c r="DE62" s="319"/>
      <c r="DF62" s="319">
        <v>1214</v>
      </c>
      <c r="DG62" s="319"/>
      <c r="DH62" s="319">
        <v>607</v>
      </c>
      <c r="DI62" s="319">
        <v>319</v>
      </c>
      <c r="DJ62" s="319"/>
      <c r="DK62" s="322"/>
      <c r="DL62" s="760"/>
      <c r="DM62" s="760"/>
      <c r="DN62" s="760"/>
      <c r="DO62" s="760"/>
      <c r="DP62" s="62"/>
      <c r="DQ62" s="319" t="s">
        <v>45</v>
      </c>
      <c r="DR62" s="319">
        <v>241459.8</v>
      </c>
      <c r="DS62" s="319">
        <v>17453.7</v>
      </c>
      <c r="DT62" s="319">
        <v>1208537.8799999999</v>
      </c>
      <c r="DU62" s="319">
        <v>164511.20000000001</v>
      </c>
      <c r="DV62" s="319">
        <v>117235.05</v>
      </c>
      <c r="DW62" s="319">
        <v>29646.12</v>
      </c>
      <c r="DX62" s="319">
        <v>117452.5</v>
      </c>
      <c r="DY62" s="319">
        <v>350830.48</v>
      </c>
      <c r="DZ62" s="319">
        <v>92713</v>
      </c>
      <c r="EA62" s="319">
        <v>111487</v>
      </c>
      <c r="EB62" s="319">
        <v>17153</v>
      </c>
      <c r="EC62" s="319"/>
      <c r="ED62" s="319">
        <v>137696</v>
      </c>
      <c r="EE62" s="319"/>
      <c r="EF62" s="319">
        <v>29470</v>
      </c>
      <c r="EG62" s="319">
        <v>400865</v>
      </c>
      <c r="EH62" s="319"/>
      <c r="EI62" s="322"/>
      <c r="EJ62" s="767"/>
      <c r="EK62" s="767"/>
      <c r="EL62" s="767"/>
      <c r="EM62" s="767"/>
      <c r="EO62" s="319" t="s">
        <v>45</v>
      </c>
      <c r="EP62" s="319">
        <v>790137</v>
      </c>
      <c r="EQ62" s="319">
        <v>630850</v>
      </c>
      <c r="ER62" s="319">
        <v>1779631</v>
      </c>
      <c r="ES62" s="319">
        <v>816366</v>
      </c>
      <c r="ET62" s="319">
        <v>812979</v>
      </c>
      <c r="EU62" s="319">
        <v>730366</v>
      </c>
      <c r="EV62" s="319">
        <v>1030008</v>
      </c>
      <c r="EW62" s="319">
        <v>778506</v>
      </c>
      <c r="EX62" s="319">
        <v>562659</v>
      </c>
      <c r="EY62" s="319">
        <v>543397</v>
      </c>
      <c r="EZ62" s="319">
        <v>447865</v>
      </c>
      <c r="FA62" s="319"/>
      <c r="FB62" s="319">
        <v>623286</v>
      </c>
      <c r="FC62" s="319"/>
      <c r="FD62" s="319">
        <v>500688</v>
      </c>
      <c r="FE62" s="319">
        <v>810028</v>
      </c>
      <c r="FF62" s="319"/>
      <c r="FG62" s="322"/>
      <c r="FH62" s="760"/>
      <c r="FI62" s="760"/>
      <c r="FJ62" s="760"/>
      <c r="FK62" s="760"/>
      <c r="GZ62" s="62"/>
      <c r="HB62" s="62"/>
      <c r="HD62" s="62"/>
      <c r="HF62" s="62"/>
      <c r="HH62" s="62"/>
      <c r="HJ62" s="62"/>
      <c r="HL62" s="62"/>
      <c r="HN62" s="62"/>
    </row>
    <row r="63" spans="1:222" s="61" customFormat="1">
      <c r="A63" s="319" t="s">
        <v>46</v>
      </c>
      <c r="B63" s="319">
        <v>935738</v>
      </c>
      <c r="C63" s="319">
        <v>989442</v>
      </c>
      <c r="D63" s="319">
        <v>1085683</v>
      </c>
      <c r="E63" s="319">
        <v>1240326</v>
      </c>
      <c r="F63" s="319">
        <v>1294514</v>
      </c>
      <c r="G63" s="319">
        <v>1321599</v>
      </c>
      <c r="H63" s="319">
        <v>1492226</v>
      </c>
      <c r="I63" s="319">
        <v>1487089</v>
      </c>
      <c r="J63" s="319">
        <v>1587089.44</v>
      </c>
      <c r="K63" s="319">
        <v>1673746.19</v>
      </c>
      <c r="L63" s="319">
        <v>1613720.56</v>
      </c>
      <c r="M63" s="319">
        <v>2073147.4500000002</v>
      </c>
      <c r="N63" s="319">
        <v>2117025.64</v>
      </c>
      <c r="O63" s="319"/>
      <c r="P63" s="319"/>
      <c r="Q63" s="319"/>
      <c r="R63" s="319"/>
      <c r="S63" s="322"/>
      <c r="T63" s="760"/>
      <c r="U63" s="760"/>
      <c r="V63" s="760"/>
      <c r="W63" s="760"/>
      <c r="X63" s="42"/>
      <c r="Y63" s="319" t="s">
        <v>46</v>
      </c>
      <c r="Z63" s="319">
        <v>439796.86</v>
      </c>
      <c r="AA63" s="319">
        <v>465037.74</v>
      </c>
      <c r="AB63" s="319">
        <v>564555.16</v>
      </c>
      <c r="AC63" s="319">
        <v>706985.82</v>
      </c>
      <c r="AD63" s="319">
        <v>724927.84</v>
      </c>
      <c r="AE63" s="319">
        <v>740095.44</v>
      </c>
      <c r="AF63" s="319">
        <v>820724.3</v>
      </c>
      <c r="AG63" s="319">
        <v>892253.4</v>
      </c>
      <c r="AH63" s="319">
        <v>935851.22</v>
      </c>
      <c r="AI63" s="319">
        <v>930047.07</v>
      </c>
      <c r="AJ63" s="319">
        <v>1018089.12</v>
      </c>
      <c r="AK63" s="319">
        <v>1041657.58</v>
      </c>
      <c r="AL63" s="319">
        <v>975014.75</v>
      </c>
      <c r="AM63" s="319"/>
      <c r="AN63" s="319"/>
      <c r="AO63" s="319"/>
      <c r="AP63" s="319"/>
      <c r="AQ63" s="322"/>
      <c r="AR63" s="760"/>
      <c r="AS63" s="760"/>
      <c r="AT63" s="760"/>
      <c r="AU63" s="760"/>
      <c r="AV63" s="62"/>
      <c r="AW63" s="319" t="s">
        <v>46</v>
      </c>
      <c r="AX63" s="319">
        <v>0</v>
      </c>
      <c r="AY63" s="319">
        <v>0</v>
      </c>
      <c r="AZ63" s="319">
        <v>0</v>
      </c>
      <c r="BA63" s="319">
        <v>0</v>
      </c>
      <c r="BB63" s="319">
        <v>0</v>
      </c>
      <c r="BC63" s="319">
        <v>0</v>
      </c>
      <c r="BD63" s="319">
        <v>0</v>
      </c>
      <c r="BE63" s="319">
        <v>0</v>
      </c>
      <c r="BF63" s="319">
        <v>0</v>
      </c>
      <c r="BG63" s="319">
        <v>0</v>
      </c>
      <c r="BH63" s="319">
        <v>0</v>
      </c>
      <c r="BI63" s="319">
        <v>0</v>
      </c>
      <c r="BJ63" s="319">
        <v>0</v>
      </c>
      <c r="BK63" s="319"/>
      <c r="BL63" s="319"/>
      <c r="BM63" s="319"/>
      <c r="BN63" s="319"/>
      <c r="BO63" s="322"/>
      <c r="BP63" s="760"/>
      <c r="BQ63" s="760"/>
      <c r="BR63" s="760"/>
      <c r="BS63" s="760"/>
      <c r="BT63" s="62"/>
      <c r="BU63" s="319" t="s">
        <v>46</v>
      </c>
      <c r="BV63" s="319">
        <v>458511.62</v>
      </c>
      <c r="BW63" s="319">
        <v>494721</v>
      </c>
      <c r="BX63" s="319">
        <v>488557.35</v>
      </c>
      <c r="BY63" s="319">
        <v>496130.4</v>
      </c>
      <c r="BZ63" s="319">
        <v>530750.74</v>
      </c>
      <c r="CA63" s="319">
        <v>528639.6</v>
      </c>
      <c r="CB63" s="319">
        <v>641657.18000000005</v>
      </c>
      <c r="CC63" s="319">
        <v>550222.93000000005</v>
      </c>
      <c r="CD63" s="319">
        <v>565267.31999999995</v>
      </c>
      <c r="CE63" s="319">
        <v>567205.39</v>
      </c>
      <c r="CF63" s="319">
        <v>558330.95000000007</v>
      </c>
      <c r="CG63" s="319">
        <v>558787.83000000007</v>
      </c>
      <c r="CH63" s="319">
        <v>511235.36000000004</v>
      </c>
      <c r="CI63" s="319"/>
      <c r="CJ63" s="319"/>
      <c r="CK63" s="319"/>
      <c r="CL63" s="319"/>
      <c r="CM63" s="322"/>
      <c r="CN63" s="760"/>
      <c r="CO63" s="760"/>
      <c r="CP63" s="760"/>
      <c r="CQ63" s="760"/>
      <c r="CR63" s="62"/>
      <c r="CS63" s="319" t="s">
        <v>46</v>
      </c>
      <c r="CT63" s="319">
        <v>9357.3799999999992</v>
      </c>
      <c r="CU63" s="319">
        <v>9894.42</v>
      </c>
      <c r="CV63" s="319">
        <v>10856.83</v>
      </c>
      <c r="CW63" s="319">
        <v>12403.26</v>
      </c>
      <c r="CX63" s="319">
        <v>12945.14</v>
      </c>
      <c r="CY63" s="319">
        <v>13215.99</v>
      </c>
      <c r="CZ63" s="319">
        <v>0</v>
      </c>
      <c r="DA63" s="319">
        <v>0</v>
      </c>
      <c r="DB63" s="319">
        <v>38563.31</v>
      </c>
      <c r="DC63" s="319">
        <v>2340.9299999999998</v>
      </c>
      <c r="DD63" s="319">
        <v>6980.53</v>
      </c>
      <c r="DE63" s="319">
        <v>10707.23</v>
      </c>
      <c r="DF63" s="319">
        <v>6023.8</v>
      </c>
      <c r="DG63" s="319"/>
      <c r="DH63" s="319"/>
      <c r="DI63" s="319"/>
      <c r="DJ63" s="319"/>
      <c r="DK63" s="322"/>
      <c r="DL63" s="760"/>
      <c r="DM63" s="760"/>
      <c r="DN63" s="760"/>
      <c r="DO63" s="760"/>
      <c r="DP63" s="62"/>
      <c r="DQ63" s="319" t="s">
        <v>46</v>
      </c>
      <c r="DR63" s="319">
        <v>28072.14</v>
      </c>
      <c r="DS63" s="319">
        <v>19788.84</v>
      </c>
      <c r="DT63" s="319">
        <v>21713.66</v>
      </c>
      <c r="DU63" s="319">
        <v>24806.52</v>
      </c>
      <c r="DV63" s="319">
        <v>25890.28</v>
      </c>
      <c r="DW63" s="319">
        <v>39647.97</v>
      </c>
      <c r="DX63" s="319">
        <v>29844.52</v>
      </c>
      <c r="DY63" s="319">
        <v>44612.67</v>
      </c>
      <c r="DZ63" s="319">
        <v>45181.35</v>
      </c>
      <c r="EA63" s="319">
        <v>72320.92</v>
      </c>
      <c r="EB63" s="319">
        <v>30319.96</v>
      </c>
      <c r="EC63" s="319">
        <v>108982.12</v>
      </c>
      <c r="ED63" s="319">
        <v>284751.73</v>
      </c>
      <c r="EE63" s="319"/>
      <c r="EF63" s="319"/>
      <c r="EG63" s="319"/>
      <c r="EH63" s="319"/>
      <c r="EI63" s="322"/>
      <c r="EJ63" s="767"/>
      <c r="EK63" s="767"/>
      <c r="EL63" s="767"/>
      <c r="EM63" s="767"/>
      <c r="EO63" s="319" t="s">
        <v>46</v>
      </c>
      <c r="EP63" s="319">
        <v>976320</v>
      </c>
      <c r="EQ63" s="319">
        <v>1012356</v>
      </c>
      <c r="ER63" s="319">
        <v>1054665</v>
      </c>
      <c r="ES63" s="319">
        <v>1146710</v>
      </c>
      <c r="ET63" s="319">
        <v>1312803</v>
      </c>
      <c r="EU63" s="319">
        <v>1374877</v>
      </c>
      <c r="EV63" s="319">
        <v>1409683</v>
      </c>
      <c r="EW63" s="319">
        <v>1516985</v>
      </c>
      <c r="EX63" s="319">
        <v>1614698.2999999998</v>
      </c>
      <c r="EY63" s="319">
        <v>1697699.12</v>
      </c>
      <c r="EZ63" s="319">
        <v>1497543.36</v>
      </c>
      <c r="FA63" s="319">
        <v>2021285.9900000002</v>
      </c>
      <c r="FB63" s="319">
        <v>2204102.59</v>
      </c>
      <c r="FC63" s="319"/>
      <c r="FD63" s="319"/>
      <c r="FE63" s="319"/>
      <c r="FF63" s="319"/>
      <c r="FG63" s="322"/>
      <c r="FH63" s="760"/>
      <c r="FI63" s="760"/>
      <c r="FJ63" s="760"/>
      <c r="FK63" s="760"/>
      <c r="GZ63" s="62"/>
      <c r="HB63" s="62"/>
      <c r="HD63" s="62"/>
      <c r="HF63" s="62"/>
      <c r="HH63" s="62"/>
      <c r="HJ63" s="62"/>
      <c r="HL63" s="62"/>
      <c r="HN63" s="62"/>
    </row>
    <row r="64" spans="1:222" s="61" customFormat="1">
      <c r="A64" s="319" t="s">
        <v>47</v>
      </c>
      <c r="B64" s="319">
        <v>1100521</v>
      </c>
      <c r="C64" s="319">
        <v>1146683</v>
      </c>
      <c r="D64" s="319">
        <v>1190512</v>
      </c>
      <c r="E64" s="319">
        <v>1300477</v>
      </c>
      <c r="F64" s="319">
        <v>1363737</v>
      </c>
      <c r="G64" s="319">
        <v>1443673</v>
      </c>
      <c r="H64" s="319">
        <v>2543031</v>
      </c>
      <c r="I64" s="319">
        <v>2083403</v>
      </c>
      <c r="J64" s="319">
        <v>1585300.9100000001</v>
      </c>
      <c r="K64" s="319">
        <v>1900862.5800000003</v>
      </c>
      <c r="L64" s="319">
        <v>2163890.81</v>
      </c>
      <c r="M64" s="319">
        <v>2763086.3</v>
      </c>
      <c r="N64" s="319">
        <v>2190728.86</v>
      </c>
      <c r="O64" s="319">
        <v>2376628.2000000002</v>
      </c>
      <c r="P64" s="319">
        <v>2076952.4200000002</v>
      </c>
      <c r="Q64" s="319">
        <v>2018839.8499999999</v>
      </c>
      <c r="R64" s="319">
        <v>2356296.9199999995</v>
      </c>
      <c r="S64" s="322">
        <v>2495533.8499999996</v>
      </c>
      <c r="T64" s="760">
        <v>2519322.1100000003</v>
      </c>
      <c r="U64" s="760">
        <v>2560876.9500000002</v>
      </c>
      <c r="V64" s="760">
        <v>2558620.1800000002</v>
      </c>
      <c r="W64" s="760">
        <v>2581254.5</v>
      </c>
      <c r="X64" s="42"/>
      <c r="Y64" s="319" t="s">
        <v>47</v>
      </c>
      <c r="Z64" s="319">
        <v>11005.21</v>
      </c>
      <c r="AA64" s="319">
        <v>0</v>
      </c>
      <c r="AB64" s="319">
        <v>0</v>
      </c>
      <c r="AC64" s="319">
        <v>13004.77</v>
      </c>
      <c r="AD64" s="319">
        <v>0</v>
      </c>
      <c r="AE64" s="319">
        <v>0</v>
      </c>
      <c r="AF64" s="319">
        <v>0</v>
      </c>
      <c r="AG64" s="319">
        <v>0</v>
      </c>
      <c r="AH64" s="319">
        <v>6930.98</v>
      </c>
      <c r="AI64" s="319">
        <v>8366.11</v>
      </c>
      <c r="AJ64" s="319">
        <v>0</v>
      </c>
      <c r="AK64" s="319">
        <v>0</v>
      </c>
      <c r="AL64" s="319">
        <v>0</v>
      </c>
      <c r="AM64" s="319">
        <v>0</v>
      </c>
      <c r="AN64" s="319">
        <v>0</v>
      </c>
      <c r="AO64" s="319">
        <v>54.53</v>
      </c>
      <c r="AP64" s="319">
        <v>54.53</v>
      </c>
      <c r="AQ64" s="322">
        <v>0</v>
      </c>
      <c r="AR64" s="760">
        <v>0</v>
      </c>
      <c r="AS64" s="760">
        <v>0</v>
      </c>
      <c r="AT64" s="760">
        <v>0</v>
      </c>
      <c r="AU64" s="760">
        <v>0</v>
      </c>
      <c r="AV64" s="62"/>
      <c r="AW64" s="319" t="s">
        <v>47</v>
      </c>
      <c r="AX64" s="319">
        <v>462218.82</v>
      </c>
      <c r="AY64" s="319">
        <v>470140.03</v>
      </c>
      <c r="AZ64" s="319">
        <v>464299.68</v>
      </c>
      <c r="BA64" s="319">
        <v>520190.8</v>
      </c>
      <c r="BB64" s="319">
        <v>600044.28</v>
      </c>
      <c r="BC64" s="319">
        <v>620779.39</v>
      </c>
      <c r="BD64" s="319">
        <v>635757.75</v>
      </c>
      <c r="BE64" s="319">
        <v>708357.02</v>
      </c>
      <c r="BF64" s="319">
        <v>710252.04</v>
      </c>
      <c r="BG64" s="319">
        <v>989264.78</v>
      </c>
      <c r="BH64" s="319">
        <v>1131011.05</v>
      </c>
      <c r="BI64" s="319">
        <v>1251877.3700000001</v>
      </c>
      <c r="BJ64" s="319">
        <v>1225620.3700000001</v>
      </c>
      <c r="BK64" s="319">
        <v>1271573.25</v>
      </c>
      <c r="BL64" s="319">
        <v>1197730.1200000001</v>
      </c>
      <c r="BM64" s="319">
        <v>1116099.52</v>
      </c>
      <c r="BN64" s="319">
        <v>1203263.8600000001</v>
      </c>
      <c r="BO64" s="322">
        <v>1191846.81</v>
      </c>
      <c r="BP64" s="760">
        <v>1253830.3799999999</v>
      </c>
      <c r="BQ64" s="760">
        <v>1333206.68</v>
      </c>
      <c r="BR64" s="760">
        <v>1367963.84</v>
      </c>
      <c r="BS64" s="760">
        <v>1368000</v>
      </c>
      <c r="BT64" s="62"/>
      <c r="BU64" s="319" t="s">
        <v>47</v>
      </c>
      <c r="BV64" s="319">
        <v>583276.13</v>
      </c>
      <c r="BW64" s="319">
        <v>630675.65</v>
      </c>
      <c r="BX64" s="319">
        <v>690496.96</v>
      </c>
      <c r="BY64" s="319">
        <v>702257.58</v>
      </c>
      <c r="BZ64" s="319">
        <v>709143.24</v>
      </c>
      <c r="CA64" s="319">
        <v>794020.15</v>
      </c>
      <c r="CB64" s="319">
        <v>1907273.25</v>
      </c>
      <c r="CC64" s="319">
        <v>1312543.8899999999</v>
      </c>
      <c r="CD64" s="319">
        <v>783180.99000000011</v>
      </c>
      <c r="CE64" s="319">
        <v>788411.02</v>
      </c>
      <c r="CF64" s="319">
        <v>806435.82000000007</v>
      </c>
      <c r="CG64" s="319">
        <v>1081131.6499999999</v>
      </c>
      <c r="CH64" s="319">
        <v>939378.54999999993</v>
      </c>
      <c r="CI64" s="319">
        <v>824276.29</v>
      </c>
      <c r="CJ64" s="319">
        <v>745086.08000000007</v>
      </c>
      <c r="CK64" s="319">
        <v>754275.95</v>
      </c>
      <c r="CL64" s="319">
        <v>930621.1399999999</v>
      </c>
      <c r="CM64" s="322">
        <v>1288512.3699999999</v>
      </c>
      <c r="CN64" s="760">
        <v>1254219.7400000002</v>
      </c>
      <c r="CO64" s="760">
        <v>1151643.6000000003</v>
      </c>
      <c r="CP64" s="760">
        <v>1095810.02</v>
      </c>
      <c r="CQ64" s="760">
        <v>920352</v>
      </c>
      <c r="CR64" s="62"/>
      <c r="CS64" s="319" t="s">
        <v>47</v>
      </c>
      <c r="CT64" s="319">
        <v>33015.629999999997</v>
      </c>
      <c r="CU64" s="319">
        <v>22933.66</v>
      </c>
      <c r="CV64" s="319">
        <v>11905.12</v>
      </c>
      <c r="CW64" s="319">
        <v>13004.77</v>
      </c>
      <c r="CX64" s="319">
        <v>13637.37</v>
      </c>
      <c r="CY64" s="319">
        <v>14436.73</v>
      </c>
      <c r="CZ64" s="319">
        <v>0</v>
      </c>
      <c r="DA64" s="319">
        <v>0</v>
      </c>
      <c r="DB64" s="319">
        <v>4193.33</v>
      </c>
      <c r="DC64" s="319">
        <v>8129.17</v>
      </c>
      <c r="DD64" s="319">
        <v>0</v>
      </c>
      <c r="DE64" s="319">
        <v>21165.919999999998</v>
      </c>
      <c r="DF64" s="319">
        <v>2994.33</v>
      </c>
      <c r="DG64" s="319">
        <v>1167.05</v>
      </c>
      <c r="DH64" s="319">
        <v>2875.75</v>
      </c>
      <c r="DI64" s="319">
        <v>0</v>
      </c>
      <c r="DJ64" s="319">
        <v>0</v>
      </c>
      <c r="DK64" s="322">
        <v>0</v>
      </c>
      <c r="DL64" s="760">
        <v>0</v>
      </c>
      <c r="DM64" s="760">
        <v>224.26</v>
      </c>
      <c r="DN64" s="760">
        <v>100.34</v>
      </c>
      <c r="DO64" s="760">
        <v>0</v>
      </c>
      <c r="DP64" s="62"/>
      <c r="DQ64" s="319" t="s">
        <v>47</v>
      </c>
      <c r="DR64" s="319">
        <v>11005.21</v>
      </c>
      <c r="DS64" s="319">
        <v>22933.66</v>
      </c>
      <c r="DT64" s="319">
        <v>23810.240000000002</v>
      </c>
      <c r="DU64" s="319">
        <v>52019.08</v>
      </c>
      <c r="DV64" s="319">
        <v>40912.11</v>
      </c>
      <c r="DW64" s="319">
        <v>14436.73</v>
      </c>
      <c r="DX64" s="319">
        <v>0</v>
      </c>
      <c r="DY64" s="319">
        <v>62502.09</v>
      </c>
      <c r="DZ64" s="319">
        <v>30743.57</v>
      </c>
      <c r="EA64" s="319">
        <v>6691.5</v>
      </c>
      <c r="EB64" s="319">
        <v>226443.94</v>
      </c>
      <c r="EC64" s="319">
        <v>7534.6399999999994</v>
      </c>
      <c r="ED64" s="319">
        <v>22735.609999999997</v>
      </c>
      <c r="EE64" s="319">
        <v>201287.85</v>
      </c>
      <c r="EF64" s="319">
        <v>3384.72</v>
      </c>
      <c r="EG64" s="319">
        <v>5394.25</v>
      </c>
      <c r="EH64" s="319">
        <v>13167.83</v>
      </c>
      <c r="EI64" s="322">
        <v>1879.33</v>
      </c>
      <c r="EJ64" s="767">
        <v>1879.33</v>
      </c>
      <c r="EK64" s="767">
        <v>4160</v>
      </c>
      <c r="EL64" s="767">
        <v>27584.58</v>
      </c>
      <c r="EM64" s="767">
        <v>174902.5</v>
      </c>
      <c r="EO64" s="319" t="s">
        <v>47</v>
      </c>
      <c r="EP64" s="319">
        <v>1137527</v>
      </c>
      <c r="EQ64" s="319">
        <v>1325488</v>
      </c>
      <c r="ER64" s="319">
        <v>1186974</v>
      </c>
      <c r="ES64" s="319">
        <v>1278721</v>
      </c>
      <c r="ET64" s="319">
        <v>1410061</v>
      </c>
      <c r="EU64" s="319">
        <v>1432792</v>
      </c>
      <c r="EV64" s="319">
        <v>2277928</v>
      </c>
      <c r="EW64" s="319">
        <v>1976834</v>
      </c>
      <c r="EX64" s="319">
        <v>1998918.0699999998</v>
      </c>
      <c r="EY64" s="319">
        <v>1900594.95</v>
      </c>
      <c r="EZ64" s="319">
        <v>2046025.7799999998</v>
      </c>
      <c r="FA64" s="319">
        <v>3248188.1900000009</v>
      </c>
      <c r="FB64" s="319">
        <v>2028885.71</v>
      </c>
      <c r="FC64" s="319">
        <v>2508633.87</v>
      </c>
      <c r="FD64" s="319">
        <v>2003692.6</v>
      </c>
      <c r="FE64" s="319">
        <v>1950977.7000000002</v>
      </c>
      <c r="FF64" s="319">
        <v>2140995.34</v>
      </c>
      <c r="FG64" s="322">
        <v>2635799.3600000003</v>
      </c>
      <c r="FH64" s="760">
        <v>2609316.8199999998</v>
      </c>
      <c r="FI64" s="760">
        <v>2693443.9000000004</v>
      </c>
      <c r="FJ64" s="760">
        <v>2641906.6100000003</v>
      </c>
      <c r="FK64" s="760">
        <v>2580802</v>
      </c>
      <c r="GZ64" s="62"/>
      <c r="HB64" s="62"/>
      <c r="HD64" s="62"/>
      <c r="HF64" s="62"/>
      <c r="HH64" s="62"/>
      <c r="HJ64" s="62"/>
      <c r="HL64" s="62"/>
      <c r="HN64" s="62"/>
    </row>
    <row r="65" spans="1:222" s="61" customFormat="1">
      <c r="A65" s="319" t="s">
        <v>48</v>
      </c>
      <c r="B65" s="319">
        <v>667487</v>
      </c>
      <c r="C65" s="319">
        <v>891598</v>
      </c>
      <c r="D65" s="319">
        <v>821029</v>
      </c>
      <c r="E65" s="319">
        <v>541026</v>
      </c>
      <c r="F65" s="319">
        <v>1196576</v>
      </c>
      <c r="G65" s="319">
        <v>721155</v>
      </c>
      <c r="H65" s="319">
        <v>913106</v>
      </c>
      <c r="I65" s="319">
        <v>969130</v>
      </c>
      <c r="J65" s="319">
        <v>789965.93</v>
      </c>
      <c r="K65" s="319">
        <v>758381.81</v>
      </c>
      <c r="L65" s="319">
        <v>758270.33</v>
      </c>
      <c r="M65" s="319">
        <v>1293404.4000000001</v>
      </c>
      <c r="N65" s="319">
        <v>762824.23</v>
      </c>
      <c r="O65" s="319">
        <v>746999.39</v>
      </c>
      <c r="P65" s="319">
        <v>756664.41</v>
      </c>
      <c r="Q65" s="319">
        <v>994025.96000000008</v>
      </c>
      <c r="R65" s="319">
        <v>1036716.0299999999</v>
      </c>
      <c r="S65" s="322">
        <v>830370.28999999992</v>
      </c>
      <c r="T65" s="760">
        <v>1001178.26</v>
      </c>
      <c r="U65" s="760">
        <v>1306945.26</v>
      </c>
      <c r="V65" s="760">
        <v>1175175.06</v>
      </c>
      <c r="W65" s="760">
        <v>1065147.49</v>
      </c>
      <c r="X65" s="42"/>
      <c r="Y65" s="319" t="s">
        <v>48</v>
      </c>
      <c r="Z65" s="319">
        <v>86773.31</v>
      </c>
      <c r="AA65" s="319">
        <v>89159.8</v>
      </c>
      <c r="AB65" s="319">
        <v>90313.19</v>
      </c>
      <c r="AC65" s="319">
        <v>27051.3</v>
      </c>
      <c r="AD65" s="319">
        <v>23931.52</v>
      </c>
      <c r="AE65" s="319">
        <v>28846.2</v>
      </c>
      <c r="AF65" s="319">
        <v>27393.18</v>
      </c>
      <c r="AG65" s="319">
        <v>29073.9</v>
      </c>
      <c r="AH65" s="319">
        <v>26572.120000000003</v>
      </c>
      <c r="AI65" s="319">
        <v>25815.25</v>
      </c>
      <c r="AJ65" s="319">
        <v>28691.64</v>
      </c>
      <c r="AK65" s="319">
        <v>0</v>
      </c>
      <c r="AL65" s="319">
        <v>4062.86</v>
      </c>
      <c r="AM65" s="319">
        <v>62.86</v>
      </c>
      <c r="AN65" s="319">
        <v>62.86</v>
      </c>
      <c r="AO65" s="319">
        <v>0</v>
      </c>
      <c r="AP65" s="319">
        <v>0</v>
      </c>
      <c r="AQ65" s="322">
        <v>10127.459999999999</v>
      </c>
      <c r="AR65" s="760">
        <v>90233.1</v>
      </c>
      <c r="AS65" s="760">
        <v>92406.25</v>
      </c>
      <c r="AT65" s="760">
        <v>97566.73000000001</v>
      </c>
      <c r="AU65" s="760">
        <v>97700</v>
      </c>
      <c r="AV65" s="62"/>
      <c r="AW65" s="319" t="s">
        <v>48</v>
      </c>
      <c r="AX65" s="319">
        <v>0</v>
      </c>
      <c r="AY65" s="319">
        <v>0</v>
      </c>
      <c r="AZ65" s="319">
        <v>0</v>
      </c>
      <c r="BA65" s="319">
        <v>0</v>
      </c>
      <c r="BB65" s="319">
        <v>0</v>
      </c>
      <c r="BC65" s="319">
        <v>7211.55</v>
      </c>
      <c r="BD65" s="319">
        <v>63917.42</v>
      </c>
      <c r="BE65" s="319">
        <v>58147.8</v>
      </c>
      <c r="BF65" s="319">
        <v>71527.070000000007</v>
      </c>
      <c r="BG65" s="319">
        <v>69293.31</v>
      </c>
      <c r="BH65" s="319">
        <v>76281.13</v>
      </c>
      <c r="BI65" s="319">
        <v>77077.279999999999</v>
      </c>
      <c r="BJ65" s="319">
        <v>73499.42</v>
      </c>
      <c r="BK65" s="319">
        <v>67480.539999999994</v>
      </c>
      <c r="BL65" s="319">
        <v>72530.490000000005</v>
      </c>
      <c r="BM65" s="319">
        <v>75988.240000000005</v>
      </c>
      <c r="BN65" s="319">
        <v>72865.41</v>
      </c>
      <c r="BO65" s="322">
        <v>66779.98</v>
      </c>
      <c r="BP65" s="760">
        <v>82747.23</v>
      </c>
      <c r="BQ65" s="760">
        <v>84594.59</v>
      </c>
      <c r="BR65" s="760">
        <v>77627.740000000005</v>
      </c>
      <c r="BS65" s="760">
        <v>80000</v>
      </c>
      <c r="BT65" s="62"/>
      <c r="BU65" s="319" t="s">
        <v>48</v>
      </c>
      <c r="BV65" s="319">
        <v>467240.9</v>
      </c>
      <c r="BW65" s="319">
        <v>775690.26</v>
      </c>
      <c r="BX65" s="319">
        <v>681454.07</v>
      </c>
      <c r="BY65" s="319">
        <v>481513.14</v>
      </c>
      <c r="BZ65" s="319">
        <v>1100849.92</v>
      </c>
      <c r="CA65" s="319">
        <v>656251.05000000005</v>
      </c>
      <c r="CB65" s="319">
        <v>666567.38</v>
      </c>
      <c r="CC65" s="319">
        <v>736538.8</v>
      </c>
      <c r="CD65" s="319">
        <v>627411.02</v>
      </c>
      <c r="CE65" s="319">
        <v>628441.36</v>
      </c>
      <c r="CF65" s="319">
        <v>620599.43999999994</v>
      </c>
      <c r="CG65" s="319">
        <v>1189296.31</v>
      </c>
      <c r="CH65" s="319">
        <v>575978.52</v>
      </c>
      <c r="CI65" s="319">
        <v>606645.57999999996</v>
      </c>
      <c r="CJ65" s="319">
        <v>528391.51</v>
      </c>
      <c r="CK65" s="319">
        <v>845787.93</v>
      </c>
      <c r="CL65" s="319">
        <v>914862.40999999992</v>
      </c>
      <c r="CM65" s="322">
        <v>715435.19</v>
      </c>
      <c r="CN65" s="760">
        <v>795411.03</v>
      </c>
      <c r="CO65" s="760">
        <v>1065668.8999999999</v>
      </c>
      <c r="CP65" s="760">
        <v>917914.66</v>
      </c>
      <c r="CQ65" s="760">
        <v>837314.16</v>
      </c>
      <c r="CR65" s="62"/>
      <c r="CS65" s="319" t="s">
        <v>48</v>
      </c>
      <c r="CT65" s="319">
        <v>20024.61</v>
      </c>
      <c r="CU65" s="319">
        <v>17831.96</v>
      </c>
      <c r="CV65" s="319">
        <v>32841.160000000003</v>
      </c>
      <c r="CW65" s="319">
        <v>27051.3</v>
      </c>
      <c r="CX65" s="319">
        <v>11965.76</v>
      </c>
      <c r="CY65" s="319">
        <v>0</v>
      </c>
      <c r="CZ65" s="319">
        <v>0</v>
      </c>
      <c r="DA65" s="319">
        <v>9691.2999999999993</v>
      </c>
      <c r="DB65" s="319">
        <v>5020.54</v>
      </c>
      <c r="DC65" s="319">
        <v>5415.55</v>
      </c>
      <c r="DD65" s="319">
        <v>4574.54</v>
      </c>
      <c r="DE65" s="319">
        <v>6043.53</v>
      </c>
      <c r="DF65" s="319">
        <v>6752.77</v>
      </c>
      <c r="DG65" s="319">
        <v>4785.04</v>
      </c>
      <c r="DH65" s="319">
        <v>4424.1000000000004</v>
      </c>
      <c r="DI65" s="319">
        <v>9020.5400000000009</v>
      </c>
      <c r="DJ65" s="319">
        <v>6486.49</v>
      </c>
      <c r="DK65" s="322">
        <v>5101.04</v>
      </c>
      <c r="DL65" s="760">
        <v>681.12</v>
      </c>
      <c r="DM65" s="760">
        <v>686.13</v>
      </c>
      <c r="DN65" s="760">
        <v>912.68</v>
      </c>
      <c r="DO65" s="760">
        <v>850</v>
      </c>
      <c r="DP65" s="62"/>
      <c r="DQ65" s="319" t="s">
        <v>48</v>
      </c>
      <c r="DR65" s="319">
        <v>93448.18</v>
      </c>
      <c r="DS65" s="319">
        <v>8915.98</v>
      </c>
      <c r="DT65" s="319">
        <v>16420.580000000002</v>
      </c>
      <c r="DU65" s="319">
        <v>5410.26</v>
      </c>
      <c r="DV65" s="319">
        <v>59828.800000000003</v>
      </c>
      <c r="DW65" s="319">
        <v>28846.2</v>
      </c>
      <c r="DX65" s="319">
        <v>155228.01999999999</v>
      </c>
      <c r="DY65" s="319">
        <v>135678.20000000001</v>
      </c>
      <c r="DZ65" s="319">
        <v>22494.7</v>
      </c>
      <c r="EA65" s="319">
        <v>29416.34</v>
      </c>
      <c r="EB65" s="319">
        <v>28123.58</v>
      </c>
      <c r="EC65" s="319">
        <v>20987.279999999999</v>
      </c>
      <c r="ED65" s="319">
        <v>56257.93</v>
      </c>
      <c r="EE65" s="319">
        <v>13004.240000000002</v>
      </c>
      <c r="EF65" s="319">
        <v>100310.8</v>
      </c>
      <c r="EG65" s="319">
        <v>13824.51</v>
      </c>
      <c r="EH65" s="319">
        <v>20595.980000000003</v>
      </c>
      <c r="EI65" s="322">
        <v>23525.63</v>
      </c>
      <c r="EJ65" s="767">
        <v>23845.920000000002</v>
      </c>
      <c r="EK65" s="767">
        <v>19744.750000000004</v>
      </c>
      <c r="EL65" s="767">
        <v>16936.27</v>
      </c>
      <c r="EM65" s="767">
        <v>25049</v>
      </c>
      <c r="EO65" s="319" t="s">
        <v>48</v>
      </c>
      <c r="EP65" s="319">
        <v>609914</v>
      </c>
      <c r="EQ65" s="319">
        <v>773642</v>
      </c>
      <c r="ER65" s="319">
        <v>935389</v>
      </c>
      <c r="ES65" s="319">
        <v>984279</v>
      </c>
      <c r="ET65" s="319">
        <v>1113668</v>
      </c>
      <c r="EU65" s="319">
        <v>840380</v>
      </c>
      <c r="EV65" s="319">
        <v>765356</v>
      </c>
      <c r="EW65" s="319">
        <v>973928</v>
      </c>
      <c r="EX65" s="319">
        <v>739195.46</v>
      </c>
      <c r="EY65" s="319">
        <v>886530.57000000007</v>
      </c>
      <c r="EZ65" s="319">
        <v>827938.98</v>
      </c>
      <c r="FA65" s="319">
        <v>1152235.9100000001</v>
      </c>
      <c r="FB65" s="319">
        <v>815074.21</v>
      </c>
      <c r="FC65" s="319">
        <v>737745.64</v>
      </c>
      <c r="FD65" s="319">
        <v>678684.4800000001</v>
      </c>
      <c r="FE65" s="319">
        <v>961998.35999999987</v>
      </c>
      <c r="FF65" s="319">
        <v>1074027.9400000002</v>
      </c>
      <c r="FG65" s="322">
        <v>884778.2699999999</v>
      </c>
      <c r="FH65" s="760">
        <v>1012891.5499999999</v>
      </c>
      <c r="FI65" s="760">
        <v>1264074.93</v>
      </c>
      <c r="FJ65" s="760">
        <v>1054696.79</v>
      </c>
      <c r="FK65" s="760">
        <v>1180013.56</v>
      </c>
      <c r="GZ65" s="62"/>
      <c r="HB65" s="62"/>
      <c r="HD65" s="62"/>
      <c r="HF65" s="62"/>
      <c r="HH65" s="62"/>
      <c r="HJ65" s="62"/>
      <c r="HL65" s="62"/>
      <c r="HN65" s="62"/>
    </row>
    <row r="66" spans="1:222" s="61" customFormat="1">
      <c r="A66" s="319" t="s">
        <v>49</v>
      </c>
      <c r="B66" s="319">
        <v>897190</v>
      </c>
      <c r="C66" s="319">
        <v>1057467</v>
      </c>
      <c r="D66" s="319">
        <v>1656649</v>
      </c>
      <c r="E66" s="319">
        <v>1276351</v>
      </c>
      <c r="F66" s="319">
        <v>1131553</v>
      </c>
      <c r="G66" s="319">
        <v>1088321</v>
      </c>
      <c r="H66" s="319">
        <v>1787480</v>
      </c>
      <c r="I66" s="319">
        <v>1446113</v>
      </c>
      <c r="J66" s="319">
        <v>1737685</v>
      </c>
      <c r="K66" s="319"/>
      <c r="L66" s="319"/>
      <c r="M66" s="319"/>
      <c r="N66" s="319"/>
      <c r="O66" s="319"/>
      <c r="P66" s="319"/>
      <c r="Q66" s="319"/>
      <c r="R66" s="319"/>
      <c r="S66" s="322"/>
      <c r="T66" s="760"/>
      <c r="U66" s="760"/>
      <c r="V66" s="760"/>
      <c r="W66" s="760"/>
      <c r="X66" s="42"/>
      <c r="Y66" s="319" t="s">
        <v>49</v>
      </c>
      <c r="Z66" s="319">
        <v>179438</v>
      </c>
      <c r="AA66" s="319">
        <v>200918.73</v>
      </c>
      <c r="AB66" s="319">
        <v>215364.37</v>
      </c>
      <c r="AC66" s="319">
        <v>229743.18</v>
      </c>
      <c r="AD66" s="319">
        <v>248941.66</v>
      </c>
      <c r="AE66" s="319">
        <v>261197.04</v>
      </c>
      <c r="AF66" s="319">
        <v>268122</v>
      </c>
      <c r="AG66" s="319">
        <v>274761.46999999997</v>
      </c>
      <c r="AH66" s="319">
        <v>295406.45</v>
      </c>
      <c r="AI66" s="319"/>
      <c r="AJ66" s="319"/>
      <c r="AK66" s="319"/>
      <c r="AL66" s="319"/>
      <c r="AM66" s="319"/>
      <c r="AN66" s="319"/>
      <c r="AO66" s="319"/>
      <c r="AP66" s="319"/>
      <c r="AQ66" s="322"/>
      <c r="AR66" s="760"/>
      <c r="AS66" s="760"/>
      <c r="AT66" s="760"/>
      <c r="AU66" s="760"/>
      <c r="AV66" s="62"/>
      <c r="AW66" s="319" t="s">
        <v>49</v>
      </c>
      <c r="AX66" s="319">
        <v>0</v>
      </c>
      <c r="AY66" s="319">
        <v>0</v>
      </c>
      <c r="AZ66" s="319">
        <v>0</v>
      </c>
      <c r="BA66" s="319">
        <v>0</v>
      </c>
      <c r="BB66" s="319">
        <v>0</v>
      </c>
      <c r="BC66" s="319">
        <v>0</v>
      </c>
      <c r="BD66" s="319">
        <v>0</v>
      </c>
      <c r="BE66" s="319">
        <v>0</v>
      </c>
      <c r="BF66" s="319">
        <v>0</v>
      </c>
      <c r="BG66" s="319"/>
      <c r="BH66" s="319"/>
      <c r="BI66" s="319"/>
      <c r="BJ66" s="319"/>
      <c r="BK66" s="319"/>
      <c r="BL66" s="319"/>
      <c r="BM66" s="319"/>
      <c r="BN66" s="319"/>
      <c r="BO66" s="322"/>
      <c r="BP66" s="760"/>
      <c r="BQ66" s="760"/>
      <c r="BR66" s="760"/>
      <c r="BS66" s="760"/>
      <c r="BT66" s="62"/>
      <c r="BU66" s="319" t="s">
        <v>49</v>
      </c>
      <c r="BV66" s="319">
        <v>708780.1</v>
      </c>
      <c r="BW66" s="319">
        <v>845973.6</v>
      </c>
      <c r="BX66" s="319">
        <v>1391585.16</v>
      </c>
      <c r="BY66" s="319">
        <v>753047.09</v>
      </c>
      <c r="BZ66" s="319">
        <v>792087.1</v>
      </c>
      <c r="CA66" s="319">
        <v>740058.28</v>
      </c>
      <c r="CB66" s="319">
        <v>768616.4</v>
      </c>
      <c r="CC66" s="319">
        <v>1055662.49</v>
      </c>
      <c r="CD66" s="319">
        <v>781958.25</v>
      </c>
      <c r="CE66" s="319"/>
      <c r="CF66" s="319"/>
      <c r="CG66" s="319"/>
      <c r="CH66" s="319"/>
      <c r="CI66" s="319"/>
      <c r="CJ66" s="319"/>
      <c r="CK66" s="319"/>
      <c r="CL66" s="319"/>
      <c r="CM66" s="322"/>
      <c r="CN66" s="760"/>
      <c r="CO66" s="760"/>
      <c r="CP66" s="760"/>
      <c r="CQ66" s="760"/>
      <c r="CR66" s="62"/>
      <c r="CS66" s="319" t="s">
        <v>49</v>
      </c>
      <c r="CT66" s="319">
        <v>8971.9</v>
      </c>
      <c r="CU66" s="319">
        <v>10574.67</v>
      </c>
      <c r="CV66" s="319">
        <v>16566.490000000002</v>
      </c>
      <c r="CW66" s="319">
        <v>38290.53</v>
      </c>
      <c r="CX66" s="319">
        <v>22631.06</v>
      </c>
      <c r="CY66" s="319">
        <v>10883.21</v>
      </c>
      <c r="CZ66" s="319">
        <v>0</v>
      </c>
      <c r="DA66" s="319">
        <v>0</v>
      </c>
      <c r="DB66" s="319">
        <v>0</v>
      </c>
      <c r="DC66" s="319"/>
      <c r="DD66" s="319"/>
      <c r="DE66" s="319"/>
      <c r="DF66" s="319"/>
      <c r="DG66" s="319"/>
      <c r="DH66" s="319"/>
      <c r="DI66" s="319"/>
      <c r="DJ66" s="319"/>
      <c r="DK66" s="322"/>
      <c r="DL66" s="760"/>
      <c r="DM66" s="760"/>
      <c r="DN66" s="760"/>
      <c r="DO66" s="760"/>
      <c r="DP66" s="62"/>
      <c r="DQ66" s="319" t="s">
        <v>49</v>
      </c>
      <c r="DR66" s="319">
        <v>0</v>
      </c>
      <c r="DS66" s="319">
        <v>0</v>
      </c>
      <c r="DT66" s="319">
        <v>33132.980000000003</v>
      </c>
      <c r="DU66" s="319">
        <v>255270.2</v>
      </c>
      <c r="DV66" s="319">
        <v>67893.179999999993</v>
      </c>
      <c r="DW66" s="319">
        <v>76182.47</v>
      </c>
      <c r="DX66" s="319">
        <v>750741.6</v>
      </c>
      <c r="DY66" s="319">
        <v>115689.04</v>
      </c>
      <c r="DZ66" s="319">
        <v>660320.30000000005</v>
      </c>
      <c r="EA66" s="319"/>
      <c r="EB66" s="319"/>
      <c r="EC66" s="319"/>
      <c r="ED66" s="319"/>
      <c r="EE66" s="319"/>
      <c r="EF66" s="319"/>
      <c r="EG66" s="319"/>
      <c r="EH66" s="319"/>
      <c r="EI66" s="322"/>
      <c r="EJ66" s="767"/>
      <c r="EK66" s="767"/>
      <c r="EL66" s="767"/>
      <c r="EM66" s="767"/>
      <c r="EO66" s="319" t="s">
        <v>49</v>
      </c>
      <c r="EP66" s="319">
        <v>964987</v>
      </c>
      <c r="EQ66" s="319">
        <v>1005097</v>
      </c>
      <c r="ER66" s="319">
        <v>1524416</v>
      </c>
      <c r="ES66" s="319">
        <v>1168993</v>
      </c>
      <c r="ET66" s="319">
        <v>1185746</v>
      </c>
      <c r="EU66" s="319">
        <v>1319315</v>
      </c>
      <c r="EV66" s="319">
        <v>1748095</v>
      </c>
      <c r="EW66" s="319">
        <v>1072918</v>
      </c>
      <c r="EX66" s="319">
        <v>1915409</v>
      </c>
      <c r="EY66" s="319"/>
      <c r="EZ66" s="319"/>
      <c r="FA66" s="319"/>
      <c r="FB66" s="319"/>
      <c r="FC66" s="319"/>
      <c r="FD66" s="319"/>
      <c r="FE66" s="319"/>
      <c r="FF66" s="319"/>
      <c r="FG66" s="322"/>
      <c r="FH66" s="760"/>
      <c r="FI66" s="760"/>
      <c r="FJ66" s="760"/>
      <c r="FK66" s="760"/>
      <c r="GZ66" s="62"/>
      <c r="HB66" s="62"/>
      <c r="HD66" s="62"/>
      <c r="HF66" s="62"/>
      <c r="HH66" s="62"/>
      <c r="HJ66" s="62"/>
      <c r="HL66" s="62"/>
      <c r="HN66" s="62"/>
    </row>
    <row r="67" spans="1:222" s="61" customFormat="1">
      <c r="A67" s="319" t="s">
        <v>50</v>
      </c>
      <c r="B67" s="319">
        <v>1022001</v>
      </c>
      <c r="C67" s="319">
        <v>965468</v>
      </c>
      <c r="D67" s="319">
        <v>839862</v>
      </c>
      <c r="E67" s="319">
        <v>1055888</v>
      </c>
      <c r="F67" s="319">
        <v>902487</v>
      </c>
      <c r="G67" s="319">
        <v>861392</v>
      </c>
      <c r="H67" s="319">
        <v>918469</v>
      </c>
      <c r="I67" s="319">
        <v>899890</v>
      </c>
      <c r="J67" s="319">
        <v>919008.40000000014</v>
      </c>
      <c r="K67" s="319">
        <v>1246220.3899999999</v>
      </c>
      <c r="L67" s="319">
        <v>901841.63</v>
      </c>
      <c r="M67" s="319">
        <v>931812.9</v>
      </c>
      <c r="N67" s="319">
        <v>939216.67</v>
      </c>
      <c r="O67" s="319">
        <v>1182713.55</v>
      </c>
      <c r="P67" s="319">
        <v>915695.38</v>
      </c>
      <c r="Q67" s="319">
        <v>2324247.12</v>
      </c>
      <c r="R67" s="319">
        <v>1091444.8799999999</v>
      </c>
      <c r="S67" s="322">
        <v>1536528.25</v>
      </c>
      <c r="T67" s="760">
        <v>1703206.76</v>
      </c>
      <c r="U67" s="760">
        <v>1411367.08</v>
      </c>
      <c r="V67" s="760">
        <v>1540932.96</v>
      </c>
      <c r="W67" s="760">
        <v>953000</v>
      </c>
      <c r="X67" s="42"/>
      <c r="Y67" s="319" t="s">
        <v>50</v>
      </c>
      <c r="Z67" s="319">
        <v>296380.28999999998</v>
      </c>
      <c r="AA67" s="319">
        <v>308949.76000000001</v>
      </c>
      <c r="AB67" s="319">
        <v>335944.8</v>
      </c>
      <c r="AC67" s="319">
        <v>316766.40000000002</v>
      </c>
      <c r="AD67" s="319">
        <v>379044.54</v>
      </c>
      <c r="AE67" s="319">
        <v>379012.48</v>
      </c>
      <c r="AF67" s="319">
        <v>349018.22</v>
      </c>
      <c r="AG67" s="319">
        <v>359956</v>
      </c>
      <c r="AH67" s="319">
        <v>392655.33</v>
      </c>
      <c r="AI67" s="319">
        <v>391093.19</v>
      </c>
      <c r="AJ67" s="319">
        <v>438214.42</v>
      </c>
      <c r="AK67" s="319">
        <v>460776.88</v>
      </c>
      <c r="AL67" s="319">
        <v>439179.46</v>
      </c>
      <c r="AM67" s="319">
        <v>484511.29</v>
      </c>
      <c r="AN67" s="319">
        <v>487075.71</v>
      </c>
      <c r="AO67" s="319">
        <v>482655.28</v>
      </c>
      <c r="AP67" s="319">
        <v>504911.01</v>
      </c>
      <c r="AQ67" s="322">
        <v>505596.81</v>
      </c>
      <c r="AR67" s="760">
        <v>513023.22</v>
      </c>
      <c r="AS67" s="760">
        <v>612683.43000000005</v>
      </c>
      <c r="AT67" s="760">
        <v>546382.26</v>
      </c>
      <c r="AU67" s="760">
        <v>525000</v>
      </c>
      <c r="AV67" s="62"/>
      <c r="AW67" s="319" t="s">
        <v>50</v>
      </c>
      <c r="AX67" s="319">
        <v>214620.21</v>
      </c>
      <c r="AY67" s="319">
        <v>144820.20000000001</v>
      </c>
      <c r="AZ67" s="319">
        <v>0</v>
      </c>
      <c r="BA67" s="319">
        <v>0</v>
      </c>
      <c r="BB67" s="319">
        <v>0</v>
      </c>
      <c r="BC67" s="319">
        <v>0</v>
      </c>
      <c r="BD67" s="319">
        <v>0</v>
      </c>
      <c r="BE67" s="319">
        <v>0</v>
      </c>
      <c r="BF67" s="319">
        <v>0</v>
      </c>
      <c r="BG67" s="319">
        <v>62.45</v>
      </c>
      <c r="BH67" s="319">
        <v>57.02</v>
      </c>
      <c r="BI67" s="319">
        <v>40.49</v>
      </c>
      <c r="BJ67" s="319">
        <v>35.69</v>
      </c>
      <c r="BK67" s="319">
        <v>46.33</v>
      </c>
      <c r="BL67" s="319">
        <v>6.56</v>
      </c>
      <c r="BM67" s="319">
        <v>0</v>
      </c>
      <c r="BN67" s="319">
        <v>0</v>
      </c>
      <c r="BO67" s="322">
        <v>0</v>
      </c>
      <c r="BP67" s="760">
        <v>0</v>
      </c>
      <c r="BQ67" s="760">
        <v>0</v>
      </c>
      <c r="BR67" s="760">
        <v>0</v>
      </c>
      <c r="BS67" s="760">
        <v>0</v>
      </c>
      <c r="BT67" s="62"/>
      <c r="BU67" s="319" t="s">
        <v>50</v>
      </c>
      <c r="BV67" s="319">
        <v>398580.39</v>
      </c>
      <c r="BW67" s="319">
        <v>492388.68</v>
      </c>
      <c r="BX67" s="319">
        <v>478721.34</v>
      </c>
      <c r="BY67" s="319">
        <v>728562.72</v>
      </c>
      <c r="BZ67" s="319">
        <v>505392.72</v>
      </c>
      <c r="CA67" s="319">
        <v>465151.68</v>
      </c>
      <c r="CB67" s="319">
        <v>551081.4</v>
      </c>
      <c r="CC67" s="319">
        <v>521936.2</v>
      </c>
      <c r="CD67" s="319">
        <v>425990.54000000004</v>
      </c>
      <c r="CE67" s="319">
        <v>720316.28</v>
      </c>
      <c r="CF67" s="319">
        <v>413432.44</v>
      </c>
      <c r="CG67" s="319">
        <v>412476.44</v>
      </c>
      <c r="CH67" s="319">
        <v>455893.88</v>
      </c>
      <c r="CI67" s="319">
        <v>637028.13</v>
      </c>
      <c r="CJ67" s="319">
        <v>373583.89999999997</v>
      </c>
      <c r="CK67" s="319">
        <v>1759330.85</v>
      </c>
      <c r="CL67" s="319">
        <v>523033.97</v>
      </c>
      <c r="CM67" s="322">
        <v>965584.83000000007</v>
      </c>
      <c r="CN67" s="760">
        <v>966881.16</v>
      </c>
      <c r="CO67" s="760">
        <v>687118.65000000014</v>
      </c>
      <c r="CP67" s="760">
        <v>909260.37000000011</v>
      </c>
      <c r="CQ67" s="760">
        <v>390500</v>
      </c>
      <c r="CR67" s="62"/>
      <c r="CS67" s="319" t="s">
        <v>50</v>
      </c>
      <c r="CT67" s="319">
        <v>10220.01</v>
      </c>
      <c r="CU67" s="319">
        <v>9654.68</v>
      </c>
      <c r="CV67" s="319">
        <v>16797.240000000002</v>
      </c>
      <c r="CW67" s="319">
        <v>10558.88</v>
      </c>
      <c r="CX67" s="319">
        <v>18049.740000000002</v>
      </c>
      <c r="CY67" s="319">
        <v>17227.84</v>
      </c>
      <c r="CZ67" s="319">
        <v>9184.69</v>
      </c>
      <c r="DA67" s="319">
        <v>0</v>
      </c>
      <c r="DB67" s="319">
        <v>2723.33</v>
      </c>
      <c r="DC67" s="319">
        <v>5273.97</v>
      </c>
      <c r="DD67" s="319">
        <v>11941.01</v>
      </c>
      <c r="DE67" s="319">
        <v>21682.94</v>
      </c>
      <c r="DF67" s="319">
        <v>22466.14</v>
      </c>
      <c r="DG67" s="319">
        <v>21495.13</v>
      </c>
      <c r="DH67" s="319">
        <v>19438.21</v>
      </c>
      <c r="DI67" s="319">
        <v>12566.34</v>
      </c>
      <c r="DJ67" s="319">
        <v>12750.78</v>
      </c>
      <c r="DK67" s="322">
        <v>5986.56</v>
      </c>
      <c r="DL67" s="760">
        <v>4083.75</v>
      </c>
      <c r="DM67" s="760">
        <v>5888.66</v>
      </c>
      <c r="DN67" s="760">
        <v>9638.9500000000007</v>
      </c>
      <c r="DO67" s="760">
        <v>2500</v>
      </c>
      <c r="DP67" s="62"/>
      <c r="DQ67" s="319" t="s">
        <v>50</v>
      </c>
      <c r="DR67" s="319">
        <v>102200.1</v>
      </c>
      <c r="DS67" s="319">
        <v>9654.68</v>
      </c>
      <c r="DT67" s="319">
        <v>8398.6200000000008</v>
      </c>
      <c r="DU67" s="319">
        <v>0</v>
      </c>
      <c r="DV67" s="319">
        <v>0</v>
      </c>
      <c r="DW67" s="319">
        <v>0</v>
      </c>
      <c r="DX67" s="319">
        <v>9184.69</v>
      </c>
      <c r="DY67" s="319">
        <v>17997.8</v>
      </c>
      <c r="DZ67" s="319">
        <v>1211.8</v>
      </c>
      <c r="EA67" s="319">
        <v>2292</v>
      </c>
      <c r="EB67" s="319">
        <v>4481.74</v>
      </c>
      <c r="EC67" s="319">
        <v>8835.1500000000015</v>
      </c>
      <c r="ED67" s="319">
        <v>2391.5</v>
      </c>
      <c r="EE67" s="319">
        <v>1591.86</v>
      </c>
      <c r="EF67" s="319">
        <v>2086</v>
      </c>
      <c r="EG67" s="319">
        <v>38225.65</v>
      </c>
      <c r="EH67" s="319">
        <v>9817.16</v>
      </c>
      <c r="EI67" s="322">
        <v>8863.5499999999993</v>
      </c>
      <c r="EJ67" s="767">
        <v>165535.59</v>
      </c>
      <c r="EK67" s="767">
        <v>52306.34</v>
      </c>
      <c r="EL67" s="767">
        <v>17450.2</v>
      </c>
      <c r="EM67" s="767">
        <v>0</v>
      </c>
      <c r="EO67" s="319" t="s">
        <v>50</v>
      </c>
      <c r="EP67" s="319">
        <v>1043044</v>
      </c>
      <c r="EQ67" s="319">
        <v>862868</v>
      </c>
      <c r="ER67" s="319">
        <v>775748</v>
      </c>
      <c r="ES67" s="319">
        <v>1203391</v>
      </c>
      <c r="ET67" s="319">
        <v>872953</v>
      </c>
      <c r="EU67" s="319">
        <v>902233</v>
      </c>
      <c r="EV67" s="319">
        <v>934738</v>
      </c>
      <c r="EW67" s="319">
        <v>910027</v>
      </c>
      <c r="EX67" s="319">
        <v>925553.08000000007</v>
      </c>
      <c r="EY67" s="319">
        <v>983423.77</v>
      </c>
      <c r="EZ67" s="319">
        <v>892143.40999999992</v>
      </c>
      <c r="FA67" s="319">
        <v>829314.25</v>
      </c>
      <c r="FB67" s="319">
        <v>956975.25</v>
      </c>
      <c r="FC67" s="319">
        <v>1072259.6600000001</v>
      </c>
      <c r="FD67" s="319">
        <v>1003393.78</v>
      </c>
      <c r="FE67" s="319">
        <v>1342609.3599999999</v>
      </c>
      <c r="FF67" s="319">
        <v>1867009.54</v>
      </c>
      <c r="FG67" s="322">
        <v>2046453.9300000002</v>
      </c>
      <c r="FH67" s="760">
        <v>1623677.3299999998</v>
      </c>
      <c r="FI67" s="760">
        <v>1260470.08</v>
      </c>
      <c r="FJ67" s="760">
        <v>1289298.8800000001</v>
      </c>
      <c r="FK67" s="760">
        <v>1098250</v>
      </c>
      <c r="GZ67" s="62"/>
      <c r="HB67" s="62"/>
      <c r="HD67" s="62"/>
      <c r="HF67" s="62"/>
      <c r="HH67" s="62"/>
      <c r="HJ67" s="62"/>
      <c r="HL67" s="62"/>
      <c r="HN67" s="62"/>
    </row>
    <row r="68" spans="1:222" s="61" customFormat="1">
      <c r="A68" s="319" t="s">
        <v>51</v>
      </c>
      <c r="B68" s="319">
        <v>1072774</v>
      </c>
      <c r="C68" s="319">
        <v>848819</v>
      </c>
      <c r="D68" s="319">
        <v>872228</v>
      </c>
      <c r="E68" s="319">
        <v>875208</v>
      </c>
      <c r="F68" s="319">
        <v>857553</v>
      </c>
      <c r="G68" s="319">
        <v>923789</v>
      </c>
      <c r="H68" s="319">
        <v>896727</v>
      </c>
      <c r="I68" s="319">
        <v>923708</v>
      </c>
      <c r="J68" s="319">
        <v>959037.27999999991</v>
      </c>
      <c r="K68" s="319">
        <v>979131.72</v>
      </c>
      <c r="L68" s="319">
        <v>984225.33</v>
      </c>
      <c r="M68" s="319">
        <v>1058914.54</v>
      </c>
      <c r="N68" s="319">
        <v>1009053.76</v>
      </c>
      <c r="O68" s="319">
        <v>964747.34</v>
      </c>
      <c r="P68" s="319">
        <v>963871.59</v>
      </c>
      <c r="Q68" s="319">
        <v>1010847.7899999999</v>
      </c>
      <c r="R68" s="319">
        <v>1110561.46</v>
      </c>
      <c r="S68" s="322">
        <v>1024377.7999999999</v>
      </c>
      <c r="T68" s="760">
        <v>1306928.42</v>
      </c>
      <c r="U68" s="760">
        <v>1260919.18</v>
      </c>
      <c r="V68" s="760">
        <v>1300995.2499999998</v>
      </c>
      <c r="W68" s="760">
        <v>1227000</v>
      </c>
      <c r="X68" s="42"/>
      <c r="Y68" s="319" t="s">
        <v>51</v>
      </c>
      <c r="Z68" s="319">
        <v>246738.02</v>
      </c>
      <c r="AA68" s="319">
        <v>263133.89</v>
      </c>
      <c r="AB68" s="319">
        <v>279112.96000000002</v>
      </c>
      <c r="AC68" s="319">
        <v>297570.71999999997</v>
      </c>
      <c r="AD68" s="319">
        <v>308719.08</v>
      </c>
      <c r="AE68" s="319">
        <v>351039.82</v>
      </c>
      <c r="AF68" s="319">
        <v>349723.53</v>
      </c>
      <c r="AG68" s="319">
        <v>360246.12</v>
      </c>
      <c r="AH68" s="319">
        <v>380243.52</v>
      </c>
      <c r="AI68" s="319">
        <v>386496.89</v>
      </c>
      <c r="AJ68" s="319">
        <v>389093.24</v>
      </c>
      <c r="AK68" s="319">
        <v>404391.83</v>
      </c>
      <c r="AL68" s="319">
        <v>409327.58</v>
      </c>
      <c r="AM68" s="319">
        <v>423394.48</v>
      </c>
      <c r="AN68" s="319">
        <v>425277.51</v>
      </c>
      <c r="AO68" s="319">
        <v>436432.6</v>
      </c>
      <c r="AP68" s="319">
        <v>473220.97000000003</v>
      </c>
      <c r="AQ68" s="322">
        <v>457095.44999999995</v>
      </c>
      <c r="AR68" s="760">
        <v>470474.4</v>
      </c>
      <c r="AS68" s="760">
        <v>492307.75</v>
      </c>
      <c r="AT68" s="760">
        <v>493062.19</v>
      </c>
      <c r="AU68" s="760">
        <v>491000</v>
      </c>
      <c r="AV68" s="62"/>
      <c r="AW68" s="319" t="s">
        <v>51</v>
      </c>
      <c r="AX68" s="319">
        <v>0</v>
      </c>
      <c r="AY68" s="319">
        <v>0</v>
      </c>
      <c r="AZ68" s="319">
        <v>0</v>
      </c>
      <c r="BA68" s="319">
        <v>0</v>
      </c>
      <c r="BB68" s="319">
        <v>0</v>
      </c>
      <c r="BC68" s="319">
        <v>0</v>
      </c>
      <c r="BD68" s="319">
        <v>0</v>
      </c>
      <c r="BE68" s="319">
        <v>0</v>
      </c>
      <c r="BF68" s="319">
        <v>0</v>
      </c>
      <c r="BG68" s="319">
        <v>0</v>
      </c>
      <c r="BH68" s="319">
        <v>0</v>
      </c>
      <c r="BI68" s="319">
        <v>0</v>
      </c>
      <c r="BJ68" s="319">
        <v>0</v>
      </c>
      <c r="BK68" s="319">
        <v>0</v>
      </c>
      <c r="BL68" s="319">
        <v>0</v>
      </c>
      <c r="BM68" s="319">
        <v>0</v>
      </c>
      <c r="BN68" s="319">
        <v>0</v>
      </c>
      <c r="BO68" s="322">
        <v>0</v>
      </c>
      <c r="BP68" s="760">
        <v>156933.07999999999</v>
      </c>
      <c r="BQ68" s="760">
        <v>158649.75</v>
      </c>
      <c r="BR68" s="760">
        <v>154711.70000000001</v>
      </c>
      <c r="BS68" s="760">
        <v>125000</v>
      </c>
      <c r="BT68" s="62"/>
      <c r="BU68" s="319" t="s">
        <v>51</v>
      </c>
      <c r="BV68" s="319">
        <v>804580.5</v>
      </c>
      <c r="BW68" s="319">
        <v>551732.35</v>
      </c>
      <c r="BX68" s="319">
        <v>584392.76</v>
      </c>
      <c r="BY68" s="319">
        <v>560133.12</v>
      </c>
      <c r="BZ68" s="319">
        <v>531682.86</v>
      </c>
      <c r="CA68" s="319">
        <v>535797.62</v>
      </c>
      <c r="CB68" s="319">
        <v>538036.19999999995</v>
      </c>
      <c r="CC68" s="319">
        <v>563461.88</v>
      </c>
      <c r="CD68" s="319">
        <v>547232.17999999993</v>
      </c>
      <c r="CE68" s="319">
        <v>544657.48</v>
      </c>
      <c r="CF68" s="319">
        <v>546982.72</v>
      </c>
      <c r="CG68" s="319">
        <v>550371.69999999995</v>
      </c>
      <c r="CH68" s="319">
        <v>501325.69999999995</v>
      </c>
      <c r="CI68" s="319">
        <v>481205.79</v>
      </c>
      <c r="CJ68" s="319">
        <v>497676.68</v>
      </c>
      <c r="CK68" s="319">
        <v>495002.37</v>
      </c>
      <c r="CL68" s="319">
        <v>504981.75</v>
      </c>
      <c r="CM68" s="322">
        <v>523245.31999999995</v>
      </c>
      <c r="CN68" s="760">
        <v>547780.6</v>
      </c>
      <c r="CO68" s="760">
        <v>570900.43999999994</v>
      </c>
      <c r="CP68" s="760">
        <v>575154.91999999993</v>
      </c>
      <c r="CQ68" s="760">
        <v>570000</v>
      </c>
      <c r="CR68" s="62"/>
      <c r="CS68" s="319" t="s">
        <v>51</v>
      </c>
      <c r="CT68" s="319">
        <v>10727.74</v>
      </c>
      <c r="CU68" s="319">
        <v>8488.19</v>
      </c>
      <c r="CV68" s="319">
        <v>8722.2800000000007</v>
      </c>
      <c r="CW68" s="319">
        <v>8752.08</v>
      </c>
      <c r="CX68" s="319">
        <v>8575.5300000000007</v>
      </c>
      <c r="CY68" s="319">
        <v>9237.89</v>
      </c>
      <c r="CZ68" s="319">
        <v>0</v>
      </c>
      <c r="DA68" s="319">
        <v>0</v>
      </c>
      <c r="DB68" s="319">
        <v>4257.72</v>
      </c>
      <c r="DC68" s="319">
        <v>12307.75</v>
      </c>
      <c r="DD68" s="319">
        <v>17967.259999999998</v>
      </c>
      <c r="DE68" s="319">
        <v>15464.03</v>
      </c>
      <c r="DF68" s="319">
        <v>10881.05</v>
      </c>
      <c r="DG68" s="319">
        <v>10034.450000000001</v>
      </c>
      <c r="DH68" s="319">
        <v>8411.67</v>
      </c>
      <c r="DI68" s="319">
        <v>5967.11</v>
      </c>
      <c r="DJ68" s="319">
        <v>9607.01</v>
      </c>
      <c r="DK68" s="322">
        <v>8042.03</v>
      </c>
      <c r="DL68" s="760">
        <v>11464.12</v>
      </c>
      <c r="DM68" s="760">
        <v>9096.57</v>
      </c>
      <c r="DN68" s="760">
        <v>9722.1200000000008</v>
      </c>
      <c r="DO68" s="760">
        <v>9000</v>
      </c>
      <c r="DP68" s="62"/>
      <c r="DQ68" s="319" t="s">
        <v>51</v>
      </c>
      <c r="DR68" s="319">
        <v>10727.74</v>
      </c>
      <c r="DS68" s="319">
        <v>25464.57</v>
      </c>
      <c r="DT68" s="319">
        <v>0</v>
      </c>
      <c r="DU68" s="319">
        <v>8752.08</v>
      </c>
      <c r="DV68" s="319">
        <v>8575.5300000000007</v>
      </c>
      <c r="DW68" s="319">
        <v>27713.67</v>
      </c>
      <c r="DX68" s="319">
        <v>8967.27</v>
      </c>
      <c r="DY68" s="319">
        <v>0</v>
      </c>
      <c r="DZ68" s="319">
        <v>11129.39</v>
      </c>
      <c r="EA68" s="319">
        <v>16913.759999999998</v>
      </c>
      <c r="EB68" s="319">
        <v>8711.48</v>
      </c>
      <c r="EC68" s="319">
        <v>66391.77</v>
      </c>
      <c r="ED68" s="319">
        <v>408.96</v>
      </c>
      <c r="EE68" s="319">
        <v>3806.6</v>
      </c>
      <c r="EF68" s="319">
        <v>1531.3</v>
      </c>
      <c r="EG68" s="319">
        <v>6312</v>
      </c>
      <c r="EH68" s="319">
        <v>43128.92</v>
      </c>
      <c r="EI68" s="322">
        <v>4631.3999999999996</v>
      </c>
      <c r="EJ68" s="767">
        <v>4099.3999999999996</v>
      </c>
      <c r="EK68" s="767">
        <v>2061.62</v>
      </c>
      <c r="EL68" s="767">
        <v>2864.09</v>
      </c>
      <c r="EM68" s="767">
        <v>2000</v>
      </c>
      <c r="EO68" s="319" t="s">
        <v>51</v>
      </c>
      <c r="EP68" s="319">
        <v>1031115</v>
      </c>
      <c r="EQ68" s="319">
        <v>747500</v>
      </c>
      <c r="ER68" s="319">
        <v>861156</v>
      </c>
      <c r="ES68" s="319">
        <v>956583</v>
      </c>
      <c r="ET68" s="319">
        <v>869121</v>
      </c>
      <c r="EU68" s="319">
        <v>839419</v>
      </c>
      <c r="EV68" s="319">
        <v>880018</v>
      </c>
      <c r="EW68" s="319">
        <v>923915</v>
      </c>
      <c r="EX68" s="319">
        <v>839310.25</v>
      </c>
      <c r="EY68" s="319">
        <v>1100576.6400000001</v>
      </c>
      <c r="EZ68" s="319">
        <v>894353.96</v>
      </c>
      <c r="FA68" s="319">
        <v>1235700.1399999999</v>
      </c>
      <c r="FB68" s="319">
        <v>1090963.8799999999</v>
      </c>
      <c r="FC68" s="319">
        <v>870437.01</v>
      </c>
      <c r="FD68" s="319">
        <v>1062493.05</v>
      </c>
      <c r="FE68" s="319">
        <v>1001374.24</v>
      </c>
      <c r="FF68" s="319">
        <v>1065083.47</v>
      </c>
      <c r="FG68" s="322">
        <v>1036620.97</v>
      </c>
      <c r="FH68" s="760">
        <v>1135853.3500000001</v>
      </c>
      <c r="FI68" s="760">
        <v>1202564.6000000001</v>
      </c>
      <c r="FJ68" s="760">
        <v>1223830.6600000001</v>
      </c>
      <c r="FK68" s="760">
        <v>1462000</v>
      </c>
      <c r="GZ68" s="62"/>
      <c r="HB68" s="62"/>
      <c r="HD68" s="62"/>
      <c r="HF68" s="62"/>
      <c r="HH68" s="62"/>
      <c r="HJ68" s="62"/>
      <c r="HL68" s="62"/>
      <c r="HN68" s="62"/>
    </row>
    <row r="69" spans="1:222" s="61" customFormat="1">
      <c r="A69" s="319" t="s">
        <v>52</v>
      </c>
      <c r="B69" s="319">
        <v>1127282</v>
      </c>
      <c r="C69" s="319">
        <v>980219</v>
      </c>
      <c r="D69" s="319">
        <v>915438</v>
      </c>
      <c r="E69" s="319">
        <v>1211172</v>
      </c>
      <c r="F69" s="319">
        <v>1433116</v>
      </c>
      <c r="G69" s="319">
        <v>1216279</v>
      </c>
      <c r="H69" s="319">
        <v>1331569</v>
      </c>
      <c r="I69" s="319">
        <v>1118995</v>
      </c>
      <c r="J69" s="319">
        <v>1285746.8800000001</v>
      </c>
      <c r="K69" s="319">
        <v>1483891.7999999998</v>
      </c>
      <c r="L69" s="319">
        <v>1526545</v>
      </c>
      <c r="M69" s="319">
        <v>1650377.87</v>
      </c>
      <c r="N69" s="319">
        <v>1297486.1900000002</v>
      </c>
      <c r="O69" s="319"/>
      <c r="P69" s="319">
        <v>1333204.6800000002</v>
      </c>
      <c r="Q69" s="319">
        <v>1420013.6900000002</v>
      </c>
      <c r="R69" s="319">
        <v>1596697.2399999998</v>
      </c>
      <c r="S69" s="322">
        <v>1183005.1000000001</v>
      </c>
      <c r="T69" s="760">
        <v>1651829.84</v>
      </c>
      <c r="U69" s="760">
        <v>1314932.8899999999</v>
      </c>
      <c r="V69" s="760">
        <v>1580640.29</v>
      </c>
      <c r="W69" s="760">
        <v>1453890.06</v>
      </c>
      <c r="X69" s="42"/>
      <c r="Y69" s="319" t="s">
        <v>52</v>
      </c>
      <c r="Z69" s="319">
        <v>135273.84</v>
      </c>
      <c r="AA69" s="319">
        <v>137230.66</v>
      </c>
      <c r="AB69" s="319">
        <v>164778.84</v>
      </c>
      <c r="AC69" s="319">
        <v>169564.08</v>
      </c>
      <c r="AD69" s="319">
        <v>157642.76</v>
      </c>
      <c r="AE69" s="319">
        <v>182441.85</v>
      </c>
      <c r="AF69" s="319">
        <v>173103.97</v>
      </c>
      <c r="AG69" s="319">
        <v>190229.15</v>
      </c>
      <c r="AH69" s="319">
        <v>195503.35</v>
      </c>
      <c r="AI69" s="319">
        <v>201328.96</v>
      </c>
      <c r="AJ69" s="319">
        <v>214957.21</v>
      </c>
      <c r="AK69" s="319">
        <v>215764.71</v>
      </c>
      <c r="AL69" s="319">
        <v>222209.84</v>
      </c>
      <c r="AM69" s="319"/>
      <c r="AN69" s="319">
        <v>234499.83</v>
      </c>
      <c r="AO69" s="319">
        <v>237364.47</v>
      </c>
      <c r="AP69" s="319">
        <v>253843.15</v>
      </c>
      <c r="AQ69" s="322">
        <v>251243.07</v>
      </c>
      <c r="AR69" s="760">
        <v>251983.69</v>
      </c>
      <c r="AS69" s="760">
        <v>282933.59000000003</v>
      </c>
      <c r="AT69" s="760">
        <v>279468.98</v>
      </c>
      <c r="AU69" s="760">
        <v>276000</v>
      </c>
      <c r="AV69" s="62"/>
      <c r="AW69" s="319" t="s">
        <v>52</v>
      </c>
      <c r="AX69" s="319">
        <v>0</v>
      </c>
      <c r="AY69" s="319">
        <v>0</v>
      </c>
      <c r="AZ69" s="319">
        <v>73235.039999999994</v>
      </c>
      <c r="BA69" s="319">
        <v>72670.320000000007</v>
      </c>
      <c r="BB69" s="319">
        <v>71655.8</v>
      </c>
      <c r="BC69" s="319">
        <v>85139.53</v>
      </c>
      <c r="BD69" s="319">
        <v>79894.14</v>
      </c>
      <c r="BE69" s="319">
        <v>78329.649999999994</v>
      </c>
      <c r="BF69" s="319">
        <v>86903.41</v>
      </c>
      <c r="BG69" s="319">
        <v>86347.81</v>
      </c>
      <c r="BH69" s="319">
        <v>92063.1</v>
      </c>
      <c r="BI69" s="319">
        <v>93014.09</v>
      </c>
      <c r="BJ69" s="319">
        <v>94780.09</v>
      </c>
      <c r="BK69" s="319"/>
      <c r="BL69" s="319">
        <v>87635.7</v>
      </c>
      <c r="BM69" s="319">
        <v>88027.69</v>
      </c>
      <c r="BN69" s="319">
        <v>86618.7</v>
      </c>
      <c r="BO69" s="322">
        <v>87527.65</v>
      </c>
      <c r="BP69" s="760">
        <v>98504.29</v>
      </c>
      <c r="BQ69" s="760">
        <v>98948.65</v>
      </c>
      <c r="BR69" s="760">
        <v>94582.61</v>
      </c>
      <c r="BS69" s="760">
        <v>94000</v>
      </c>
      <c r="BT69" s="62"/>
      <c r="BU69" s="319" t="s">
        <v>52</v>
      </c>
      <c r="BV69" s="319">
        <v>868007.14</v>
      </c>
      <c r="BW69" s="319">
        <v>646944.54</v>
      </c>
      <c r="BX69" s="319">
        <v>613343.46</v>
      </c>
      <c r="BY69" s="319">
        <v>872043.84</v>
      </c>
      <c r="BZ69" s="319">
        <v>1160823.96</v>
      </c>
      <c r="CA69" s="319">
        <v>802744.14</v>
      </c>
      <c r="CB69" s="319">
        <v>652468.81000000006</v>
      </c>
      <c r="CC69" s="319">
        <v>660207.05000000005</v>
      </c>
      <c r="CD69" s="319">
        <v>666446.78</v>
      </c>
      <c r="CE69" s="319">
        <v>1132550.5099999998</v>
      </c>
      <c r="CF69" s="319">
        <v>1169261.73</v>
      </c>
      <c r="CG69" s="319">
        <v>1298028.21</v>
      </c>
      <c r="CH69" s="319">
        <v>932097.89000000013</v>
      </c>
      <c r="CI69" s="319"/>
      <c r="CJ69" s="319">
        <v>936024.01</v>
      </c>
      <c r="CK69" s="319">
        <v>1052775.7100000002</v>
      </c>
      <c r="CL69" s="319">
        <v>1209458.2699999998</v>
      </c>
      <c r="CM69" s="322">
        <v>782979.74</v>
      </c>
      <c r="CN69" s="760">
        <v>1236260.9300000002</v>
      </c>
      <c r="CO69" s="760">
        <v>921954.45</v>
      </c>
      <c r="CP69" s="760">
        <v>1176075.7</v>
      </c>
      <c r="CQ69" s="760">
        <v>1054590.06</v>
      </c>
      <c r="CR69" s="62"/>
      <c r="CS69" s="319" t="s">
        <v>52</v>
      </c>
      <c r="CT69" s="319">
        <v>11272.82</v>
      </c>
      <c r="CU69" s="319">
        <v>9802.19</v>
      </c>
      <c r="CV69" s="319">
        <v>9154.3799999999992</v>
      </c>
      <c r="CW69" s="319">
        <v>12111.72</v>
      </c>
      <c r="CX69" s="319">
        <v>14331.16</v>
      </c>
      <c r="CY69" s="319">
        <v>12162.79</v>
      </c>
      <c r="CZ69" s="319">
        <v>13315.69</v>
      </c>
      <c r="DA69" s="319">
        <v>11189.95</v>
      </c>
      <c r="DB69" s="319">
        <v>8864.42</v>
      </c>
      <c r="DC69" s="319">
        <v>13804.16</v>
      </c>
      <c r="DD69" s="319">
        <v>20119.79</v>
      </c>
      <c r="DE69" s="319">
        <v>21161.48</v>
      </c>
      <c r="DF69" s="319">
        <v>11791.91</v>
      </c>
      <c r="DG69" s="319"/>
      <c r="DH69" s="319">
        <v>1329.98</v>
      </c>
      <c r="DI69" s="319">
        <v>1279.3699999999999</v>
      </c>
      <c r="DJ69" s="319">
        <v>558.08000000000004</v>
      </c>
      <c r="DK69" s="322">
        <v>423.51</v>
      </c>
      <c r="DL69" s="760">
        <v>482.65</v>
      </c>
      <c r="DM69" s="760">
        <v>600.37</v>
      </c>
      <c r="DN69" s="760">
        <v>1546.44</v>
      </c>
      <c r="DO69" s="760">
        <v>1000</v>
      </c>
      <c r="DP69" s="62"/>
      <c r="DQ69" s="319" t="s">
        <v>52</v>
      </c>
      <c r="DR69" s="319">
        <v>112728.2</v>
      </c>
      <c r="DS69" s="319">
        <v>186241.61</v>
      </c>
      <c r="DT69" s="319">
        <v>54926.28</v>
      </c>
      <c r="DU69" s="319">
        <v>84782.04</v>
      </c>
      <c r="DV69" s="319">
        <v>28662.32</v>
      </c>
      <c r="DW69" s="319">
        <v>133790.69</v>
      </c>
      <c r="DX69" s="319">
        <v>412786.39</v>
      </c>
      <c r="DY69" s="319">
        <v>179039.2</v>
      </c>
      <c r="DZ69" s="319">
        <v>328028.92000000004</v>
      </c>
      <c r="EA69" s="319">
        <v>49860.36</v>
      </c>
      <c r="EB69" s="319">
        <v>30143.17</v>
      </c>
      <c r="EC69" s="319">
        <v>22409.379999999997</v>
      </c>
      <c r="ED69" s="319">
        <v>36606.46</v>
      </c>
      <c r="EE69" s="319"/>
      <c r="EF69" s="319">
        <v>73715.16</v>
      </c>
      <c r="EG69" s="319">
        <v>40566.449999999997</v>
      </c>
      <c r="EH69" s="319">
        <v>40219.040000000001</v>
      </c>
      <c r="EI69" s="322">
        <v>60831.13</v>
      </c>
      <c r="EJ69" s="767">
        <v>15612.96</v>
      </c>
      <c r="EK69" s="767">
        <v>10495.83</v>
      </c>
      <c r="EL69" s="767">
        <v>28966.560000000001</v>
      </c>
      <c r="EM69" s="767">
        <v>15300</v>
      </c>
      <c r="EO69" s="319" t="s">
        <v>52</v>
      </c>
      <c r="EP69" s="319">
        <v>982800</v>
      </c>
      <c r="EQ69" s="319">
        <v>1006500</v>
      </c>
      <c r="ER69" s="319">
        <v>1025035</v>
      </c>
      <c r="ES69" s="319">
        <v>1074834</v>
      </c>
      <c r="ET69" s="319">
        <v>1401875</v>
      </c>
      <c r="EU69" s="319">
        <v>1107055</v>
      </c>
      <c r="EV69" s="319">
        <v>1283073</v>
      </c>
      <c r="EW69" s="319">
        <v>986503</v>
      </c>
      <c r="EX69" s="319">
        <v>1378612.22</v>
      </c>
      <c r="EY69" s="319">
        <v>1580738.6600000001</v>
      </c>
      <c r="EZ69" s="319">
        <v>1539251.7599999998</v>
      </c>
      <c r="FA69" s="319">
        <v>1624258.78</v>
      </c>
      <c r="FB69" s="319">
        <v>1074310.93</v>
      </c>
      <c r="FC69" s="319"/>
      <c r="FD69" s="319">
        <v>1333660.46</v>
      </c>
      <c r="FE69" s="319">
        <v>1519839.01</v>
      </c>
      <c r="FF69" s="319">
        <v>1579758.01</v>
      </c>
      <c r="FG69" s="322">
        <v>1225544.6200000001</v>
      </c>
      <c r="FH69" s="760">
        <v>1473593.1300000001</v>
      </c>
      <c r="FI69" s="760">
        <v>1348520.75</v>
      </c>
      <c r="FJ69" s="760">
        <v>1443719.92</v>
      </c>
      <c r="FK69" s="760">
        <v>1713258.1600000001</v>
      </c>
      <c r="GZ69" s="62"/>
      <c r="HB69" s="62"/>
      <c r="HD69" s="62"/>
      <c r="HF69" s="62"/>
      <c r="HH69" s="62"/>
      <c r="HJ69" s="62"/>
      <c r="HL69" s="62"/>
      <c r="HN69" s="62"/>
    </row>
    <row r="70" spans="1:222" s="61" customFormat="1">
      <c r="A70" s="319" t="s">
        <v>53</v>
      </c>
      <c r="B70" s="319">
        <v>1276039</v>
      </c>
      <c r="C70" s="319">
        <v>1353955</v>
      </c>
      <c r="D70" s="319">
        <v>1071499</v>
      </c>
      <c r="E70" s="319">
        <v>1315642</v>
      </c>
      <c r="F70" s="319">
        <v>1229046</v>
      </c>
      <c r="G70" s="319">
        <v>1254147</v>
      </c>
      <c r="H70" s="319">
        <v>1391384</v>
      </c>
      <c r="I70" s="319">
        <v>1613483</v>
      </c>
      <c r="J70" s="319">
        <v>1336001.95</v>
      </c>
      <c r="K70" s="319">
        <v>1419611.69</v>
      </c>
      <c r="L70" s="319">
        <v>1791605.63</v>
      </c>
      <c r="M70" s="319">
        <v>1523910.73</v>
      </c>
      <c r="N70" s="319">
        <v>1662608.26</v>
      </c>
      <c r="O70" s="319">
        <v>1697028.0899999999</v>
      </c>
      <c r="P70" s="319"/>
      <c r="Q70" s="319">
        <v>1608357.5299999998</v>
      </c>
      <c r="R70" s="319">
        <v>1623045.37</v>
      </c>
      <c r="S70" s="322">
        <v>1708579.6600000001</v>
      </c>
      <c r="T70" s="760">
        <v>2053969.38</v>
      </c>
      <c r="U70" s="760">
        <v>1687454.23</v>
      </c>
      <c r="V70" s="760">
        <v>1676375.42</v>
      </c>
      <c r="W70" s="760">
        <v>1559500</v>
      </c>
      <c r="X70" s="42"/>
      <c r="Y70" s="319" t="s">
        <v>53</v>
      </c>
      <c r="Z70" s="319">
        <v>484894.82</v>
      </c>
      <c r="AA70" s="319">
        <v>514502.9</v>
      </c>
      <c r="AB70" s="319">
        <v>546464.49</v>
      </c>
      <c r="AC70" s="319">
        <v>592038.9</v>
      </c>
      <c r="AD70" s="319">
        <v>639103.92000000004</v>
      </c>
      <c r="AE70" s="319">
        <v>677239.38</v>
      </c>
      <c r="AF70" s="319">
        <v>709605.84</v>
      </c>
      <c r="AG70" s="319">
        <v>726067.35</v>
      </c>
      <c r="AH70" s="319">
        <v>765195.72</v>
      </c>
      <c r="AI70" s="319">
        <v>774347.2</v>
      </c>
      <c r="AJ70" s="319">
        <v>832545.18</v>
      </c>
      <c r="AK70" s="319">
        <v>844513.4</v>
      </c>
      <c r="AL70" s="319">
        <v>885396.39</v>
      </c>
      <c r="AM70" s="319">
        <v>929403.32</v>
      </c>
      <c r="AN70" s="319"/>
      <c r="AO70" s="319">
        <v>913394.55</v>
      </c>
      <c r="AP70" s="319">
        <v>1031573.64</v>
      </c>
      <c r="AQ70" s="322">
        <v>1013637</v>
      </c>
      <c r="AR70" s="760">
        <v>1027997.49</v>
      </c>
      <c r="AS70" s="760">
        <v>1136893.29</v>
      </c>
      <c r="AT70" s="760">
        <v>1095397.3</v>
      </c>
      <c r="AU70" s="760">
        <v>1120000</v>
      </c>
      <c r="AV70" s="62"/>
      <c r="AW70" s="319" t="s">
        <v>53</v>
      </c>
      <c r="AX70" s="319">
        <v>0</v>
      </c>
      <c r="AY70" s="319">
        <v>0</v>
      </c>
      <c r="AZ70" s="319">
        <v>0</v>
      </c>
      <c r="BA70" s="319">
        <v>0</v>
      </c>
      <c r="BB70" s="319">
        <v>0</v>
      </c>
      <c r="BC70" s="319">
        <v>0</v>
      </c>
      <c r="BD70" s="319">
        <v>0</v>
      </c>
      <c r="BE70" s="319">
        <v>0</v>
      </c>
      <c r="BF70" s="319">
        <v>0</v>
      </c>
      <c r="BG70" s="319">
        <v>0</v>
      </c>
      <c r="BH70" s="319">
        <v>0</v>
      </c>
      <c r="BI70" s="319">
        <v>0</v>
      </c>
      <c r="BJ70" s="319">
        <v>0</v>
      </c>
      <c r="BK70" s="319">
        <v>0</v>
      </c>
      <c r="BL70" s="319"/>
      <c r="BM70" s="319">
        <v>0</v>
      </c>
      <c r="BN70" s="319">
        <v>0</v>
      </c>
      <c r="BO70" s="322">
        <v>0</v>
      </c>
      <c r="BP70" s="760">
        <v>0</v>
      </c>
      <c r="BQ70" s="760">
        <v>0</v>
      </c>
      <c r="BR70" s="760">
        <v>0</v>
      </c>
      <c r="BS70" s="760">
        <v>0</v>
      </c>
      <c r="BT70" s="62"/>
      <c r="BU70" s="319" t="s">
        <v>53</v>
      </c>
      <c r="BV70" s="319">
        <v>765623.4</v>
      </c>
      <c r="BW70" s="319">
        <v>758214.8</v>
      </c>
      <c r="BX70" s="319">
        <v>503604.53</v>
      </c>
      <c r="BY70" s="319">
        <v>697290.26</v>
      </c>
      <c r="BZ70" s="319">
        <v>553070.69999999995</v>
      </c>
      <c r="CA70" s="319">
        <v>539283.21</v>
      </c>
      <c r="CB70" s="319">
        <v>626122.80000000005</v>
      </c>
      <c r="CC70" s="319">
        <v>871280.82</v>
      </c>
      <c r="CD70" s="319">
        <v>538386.48</v>
      </c>
      <c r="CE70" s="319">
        <v>571340.59</v>
      </c>
      <c r="CF70" s="319">
        <v>883007.74</v>
      </c>
      <c r="CG70" s="319">
        <v>642558.03</v>
      </c>
      <c r="CH70" s="319">
        <v>587815.78</v>
      </c>
      <c r="CI70" s="319">
        <v>727989.77</v>
      </c>
      <c r="CJ70" s="319"/>
      <c r="CK70" s="319">
        <v>682804.80999999982</v>
      </c>
      <c r="CL70" s="319">
        <v>568078.56999999995</v>
      </c>
      <c r="CM70" s="322">
        <v>539053.28</v>
      </c>
      <c r="CN70" s="760">
        <v>1005420.73</v>
      </c>
      <c r="CO70" s="760">
        <v>540187.39</v>
      </c>
      <c r="CP70" s="760">
        <v>568954.6</v>
      </c>
      <c r="CQ70" s="760">
        <v>427000</v>
      </c>
      <c r="CR70" s="62"/>
      <c r="CS70" s="319" t="s">
        <v>53</v>
      </c>
      <c r="CT70" s="319">
        <v>12760.39</v>
      </c>
      <c r="CU70" s="319">
        <v>13539.55</v>
      </c>
      <c r="CV70" s="319">
        <v>10714.99</v>
      </c>
      <c r="CW70" s="319">
        <v>13156.42</v>
      </c>
      <c r="CX70" s="319">
        <v>12290.46</v>
      </c>
      <c r="CY70" s="319">
        <v>25082.94</v>
      </c>
      <c r="CZ70" s="319">
        <v>13913.84</v>
      </c>
      <c r="DA70" s="319">
        <v>16134.83</v>
      </c>
      <c r="DB70" s="319">
        <v>13253.76</v>
      </c>
      <c r="DC70" s="319">
        <v>25346.35</v>
      </c>
      <c r="DD70" s="319">
        <v>28737.55</v>
      </c>
      <c r="DE70" s="319">
        <v>35682.11</v>
      </c>
      <c r="DF70" s="319">
        <v>32477.77</v>
      </c>
      <c r="DG70" s="319">
        <v>17096.400000000001</v>
      </c>
      <c r="DH70" s="319"/>
      <c r="DI70" s="319">
        <v>9053.4699999999993</v>
      </c>
      <c r="DJ70" s="319">
        <v>5642.41</v>
      </c>
      <c r="DK70" s="322">
        <v>6715.95</v>
      </c>
      <c r="DL70" s="760">
        <v>8979.33</v>
      </c>
      <c r="DM70" s="760">
        <v>8678.91</v>
      </c>
      <c r="DN70" s="760">
        <v>8944.4500000000007</v>
      </c>
      <c r="DO70" s="760">
        <v>10000</v>
      </c>
      <c r="DP70" s="62"/>
      <c r="DQ70" s="319" t="s">
        <v>53</v>
      </c>
      <c r="DR70" s="319">
        <v>12760.39</v>
      </c>
      <c r="DS70" s="319">
        <v>67697.75</v>
      </c>
      <c r="DT70" s="319">
        <v>10714.99</v>
      </c>
      <c r="DU70" s="319">
        <v>13156.42</v>
      </c>
      <c r="DV70" s="319">
        <v>24580.92</v>
      </c>
      <c r="DW70" s="319">
        <v>12541.47</v>
      </c>
      <c r="DX70" s="319">
        <v>41741.519999999997</v>
      </c>
      <c r="DY70" s="319">
        <v>0</v>
      </c>
      <c r="DZ70" s="319">
        <v>19128.79</v>
      </c>
      <c r="EA70" s="319">
        <v>2737.03</v>
      </c>
      <c r="EB70" s="319">
        <v>47315.16</v>
      </c>
      <c r="EC70" s="319">
        <v>860.34</v>
      </c>
      <c r="ED70" s="319">
        <v>2193.9899999999998</v>
      </c>
      <c r="EE70" s="319">
        <v>22455.600000000002</v>
      </c>
      <c r="EF70" s="319"/>
      <c r="EG70" s="319">
        <v>2359.7000000000003</v>
      </c>
      <c r="EH70" s="319">
        <v>17551.75</v>
      </c>
      <c r="EI70" s="322">
        <v>148817.43</v>
      </c>
      <c r="EJ70" s="767">
        <v>10311.83</v>
      </c>
      <c r="EK70" s="767">
        <v>1354.6399999999999</v>
      </c>
      <c r="EL70" s="767">
        <v>2119.81</v>
      </c>
      <c r="EM70" s="767">
        <v>2000</v>
      </c>
      <c r="EO70" s="319" t="s">
        <v>53</v>
      </c>
      <c r="EP70" s="319">
        <v>1236853</v>
      </c>
      <c r="EQ70" s="319">
        <v>1402236</v>
      </c>
      <c r="ER70" s="319">
        <v>1052985</v>
      </c>
      <c r="ES70" s="319">
        <v>1269885</v>
      </c>
      <c r="ET70" s="319">
        <v>1176525</v>
      </c>
      <c r="EU70" s="319">
        <v>1011187</v>
      </c>
      <c r="EV70" s="319">
        <v>1196563</v>
      </c>
      <c r="EW70" s="319">
        <v>1552053</v>
      </c>
      <c r="EX70" s="319">
        <v>1289122.8399999999</v>
      </c>
      <c r="EY70" s="319">
        <v>1564338.7399999998</v>
      </c>
      <c r="EZ70" s="319">
        <v>1798799.0300000003</v>
      </c>
      <c r="FA70" s="319">
        <v>1503426.22</v>
      </c>
      <c r="FB70" s="319">
        <v>1579318.8500000003</v>
      </c>
      <c r="FC70" s="319">
        <v>1693123.41</v>
      </c>
      <c r="FD70" s="319"/>
      <c r="FE70" s="319">
        <v>1449165.2000000002</v>
      </c>
      <c r="FF70" s="319">
        <v>1475783.93</v>
      </c>
      <c r="FG70" s="322">
        <v>1818200.77</v>
      </c>
      <c r="FH70" s="760">
        <v>1879228.39</v>
      </c>
      <c r="FI70" s="760">
        <v>1887672.1399999997</v>
      </c>
      <c r="FJ70" s="760">
        <v>1985796.17</v>
      </c>
      <c r="FK70" s="760">
        <v>2210460</v>
      </c>
      <c r="GZ70" s="62"/>
      <c r="HB70" s="62"/>
      <c r="HD70" s="62"/>
      <c r="HF70" s="62"/>
      <c r="HH70" s="62"/>
      <c r="HJ70" s="62"/>
      <c r="HL70" s="62"/>
      <c r="HN70" s="62"/>
    </row>
    <row r="71" spans="1:222" s="61" customFormat="1">
      <c r="A71" s="319" t="s">
        <v>54</v>
      </c>
      <c r="B71" s="319">
        <v>1575132</v>
      </c>
      <c r="C71" s="319">
        <v>1576682</v>
      </c>
      <c r="D71" s="319">
        <v>1436729</v>
      </c>
      <c r="E71" s="319">
        <v>1702428</v>
      </c>
      <c r="F71" s="319">
        <v>1418462</v>
      </c>
      <c r="G71" s="319">
        <v>1471148</v>
      </c>
      <c r="H71" s="319">
        <v>1713648</v>
      </c>
      <c r="I71" s="319">
        <v>1601999</v>
      </c>
      <c r="J71" s="319">
        <v>1663595.9699999997</v>
      </c>
      <c r="K71" s="319">
        <v>2183208.21</v>
      </c>
      <c r="L71" s="319">
        <v>1759962.9100000001</v>
      </c>
      <c r="M71" s="319">
        <v>1788598.1999999997</v>
      </c>
      <c r="N71" s="319">
        <v>2030228.9299999997</v>
      </c>
      <c r="O71" s="319">
        <v>1707724.1699999997</v>
      </c>
      <c r="P71" s="319">
        <v>2076617.78</v>
      </c>
      <c r="Q71" s="319">
        <v>1962959.6000000003</v>
      </c>
      <c r="R71" s="319"/>
      <c r="S71" s="322">
        <v>2231571.29</v>
      </c>
      <c r="T71" s="760">
        <v>1870232.61</v>
      </c>
      <c r="U71" s="760">
        <v>2870928.82</v>
      </c>
      <c r="V71" s="760">
        <v>2074068.6400000001</v>
      </c>
      <c r="W71" s="760">
        <v>1900000</v>
      </c>
      <c r="X71" s="42"/>
      <c r="Y71" s="319" t="s">
        <v>54</v>
      </c>
      <c r="Z71" s="319">
        <v>220518.48</v>
      </c>
      <c r="AA71" s="319">
        <v>220735.48</v>
      </c>
      <c r="AB71" s="319">
        <v>258611.22</v>
      </c>
      <c r="AC71" s="319">
        <v>272388.47999999998</v>
      </c>
      <c r="AD71" s="319">
        <v>269507.78000000003</v>
      </c>
      <c r="AE71" s="319">
        <v>294229.59999999998</v>
      </c>
      <c r="AF71" s="319">
        <v>308456.64</v>
      </c>
      <c r="AG71" s="319">
        <v>320399.8</v>
      </c>
      <c r="AH71" s="319">
        <v>335862.95</v>
      </c>
      <c r="AI71" s="319">
        <v>328423.46000000002</v>
      </c>
      <c r="AJ71" s="319">
        <v>303631.98</v>
      </c>
      <c r="AK71" s="319">
        <v>327806.67</v>
      </c>
      <c r="AL71" s="319">
        <v>383262.66</v>
      </c>
      <c r="AM71" s="319">
        <v>439256.72</v>
      </c>
      <c r="AN71" s="319">
        <v>471181.81</v>
      </c>
      <c r="AO71" s="319">
        <v>446553.34</v>
      </c>
      <c r="AP71" s="319"/>
      <c r="AQ71" s="322">
        <v>464022.23</v>
      </c>
      <c r="AR71" s="760">
        <v>468751.98</v>
      </c>
      <c r="AS71" s="760">
        <v>498933.48</v>
      </c>
      <c r="AT71" s="760">
        <v>501566.78</v>
      </c>
      <c r="AU71" s="760">
        <v>500000</v>
      </c>
      <c r="AV71" s="62"/>
      <c r="AW71" s="319" t="s">
        <v>54</v>
      </c>
      <c r="AX71" s="319">
        <v>0</v>
      </c>
      <c r="AY71" s="319">
        <v>0</v>
      </c>
      <c r="AZ71" s="319">
        <v>0</v>
      </c>
      <c r="BA71" s="319">
        <v>170242.8</v>
      </c>
      <c r="BB71" s="319">
        <v>156030.82</v>
      </c>
      <c r="BC71" s="319">
        <v>191249.24</v>
      </c>
      <c r="BD71" s="319">
        <v>205637.76000000001</v>
      </c>
      <c r="BE71" s="319">
        <v>192239.88</v>
      </c>
      <c r="BF71" s="319">
        <v>191076.84</v>
      </c>
      <c r="BG71" s="319">
        <v>183370.71</v>
      </c>
      <c r="BH71" s="319">
        <v>175502.35</v>
      </c>
      <c r="BI71" s="319">
        <v>218491.22</v>
      </c>
      <c r="BJ71" s="319">
        <v>167596</v>
      </c>
      <c r="BK71" s="319">
        <v>145320.13</v>
      </c>
      <c r="BL71" s="319">
        <v>161394.29999999999</v>
      </c>
      <c r="BM71" s="319">
        <v>169374.14</v>
      </c>
      <c r="BN71" s="319"/>
      <c r="BO71" s="322">
        <v>205540.38</v>
      </c>
      <c r="BP71" s="760">
        <v>234460.84</v>
      </c>
      <c r="BQ71" s="760">
        <v>250846.81</v>
      </c>
      <c r="BR71" s="760">
        <v>258870</v>
      </c>
      <c r="BS71" s="760">
        <v>260000</v>
      </c>
      <c r="BT71" s="62"/>
      <c r="BU71" s="319" t="s">
        <v>54</v>
      </c>
      <c r="BV71" s="319">
        <v>1307359.56</v>
      </c>
      <c r="BW71" s="319">
        <v>1119444.22</v>
      </c>
      <c r="BX71" s="319">
        <v>1120648.6200000001</v>
      </c>
      <c r="BY71" s="319">
        <v>1208723.8799999999</v>
      </c>
      <c r="BZ71" s="319">
        <v>936184.92</v>
      </c>
      <c r="CA71" s="319">
        <v>941534.71999999997</v>
      </c>
      <c r="CB71" s="319">
        <v>976779.36</v>
      </c>
      <c r="CC71" s="319">
        <v>1057319.3400000001</v>
      </c>
      <c r="CD71" s="319">
        <v>1092353.0499999998</v>
      </c>
      <c r="CE71" s="319">
        <v>1614782.96</v>
      </c>
      <c r="CF71" s="319">
        <v>1194802.3400000001</v>
      </c>
      <c r="CG71" s="319">
        <v>1162016.2799999998</v>
      </c>
      <c r="CH71" s="319">
        <v>1172228.2999999998</v>
      </c>
      <c r="CI71" s="319">
        <v>1060648.17</v>
      </c>
      <c r="CJ71" s="319">
        <v>1403118.27</v>
      </c>
      <c r="CK71" s="319">
        <v>1164599.6200000001</v>
      </c>
      <c r="CL71" s="319"/>
      <c r="CM71" s="322">
        <v>1552526.0799999998</v>
      </c>
      <c r="CN71" s="760">
        <v>1161025.82</v>
      </c>
      <c r="CO71" s="760">
        <v>2070760.73</v>
      </c>
      <c r="CP71" s="760">
        <v>1138645.3900000001</v>
      </c>
      <c r="CQ71" s="760">
        <v>1130000</v>
      </c>
      <c r="CR71" s="62"/>
      <c r="CS71" s="319" t="s">
        <v>54</v>
      </c>
      <c r="CT71" s="319">
        <v>31502.639999999999</v>
      </c>
      <c r="CU71" s="319">
        <v>47300.46</v>
      </c>
      <c r="CV71" s="319">
        <v>57469.16</v>
      </c>
      <c r="CW71" s="319">
        <v>34048.559999999998</v>
      </c>
      <c r="CX71" s="319">
        <v>56738.48</v>
      </c>
      <c r="CY71" s="319">
        <v>44134.44</v>
      </c>
      <c r="CZ71" s="319">
        <v>17136.48</v>
      </c>
      <c r="DA71" s="319">
        <v>16019.99</v>
      </c>
      <c r="DB71" s="319">
        <v>23739.06</v>
      </c>
      <c r="DC71" s="319">
        <v>33523.06</v>
      </c>
      <c r="DD71" s="319">
        <v>50455.3</v>
      </c>
      <c r="DE71" s="319">
        <v>49803.45</v>
      </c>
      <c r="DF71" s="319">
        <v>55284.31</v>
      </c>
      <c r="DG71" s="319">
        <v>45234.28</v>
      </c>
      <c r="DH71" s="319">
        <v>31281.32</v>
      </c>
      <c r="DI71" s="319">
        <v>17220.36</v>
      </c>
      <c r="DJ71" s="319"/>
      <c r="DK71" s="322">
        <v>4980.62</v>
      </c>
      <c r="DL71" s="760">
        <v>1678.88</v>
      </c>
      <c r="DM71" s="760">
        <v>1654.69</v>
      </c>
      <c r="DN71" s="760">
        <v>1831.19</v>
      </c>
      <c r="DO71" s="760">
        <v>1500</v>
      </c>
      <c r="DP71" s="62"/>
      <c r="DQ71" s="319" t="s">
        <v>54</v>
      </c>
      <c r="DR71" s="319">
        <v>15751.32</v>
      </c>
      <c r="DS71" s="319">
        <v>189201.84</v>
      </c>
      <c r="DT71" s="319">
        <v>0</v>
      </c>
      <c r="DU71" s="319">
        <v>17024.28</v>
      </c>
      <c r="DV71" s="319">
        <v>0</v>
      </c>
      <c r="DW71" s="319">
        <v>0</v>
      </c>
      <c r="DX71" s="319">
        <v>205637.76000000001</v>
      </c>
      <c r="DY71" s="319">
        <v>16019.99</v>
      </c>
      <c r="DZ71" s="319">
        <v>20482.05</v>
      </c>
      <c r="EA71" s="319">
        <v>23082.880000000001</v>
      </c>
      <c r="EB71" s="319">
        <v>35570.18</v>
      </c>
      <c r="EC71" s="319">
        <v>30452.2</v>
      </c>
      <c r="ED71" s="319">
        <v>251851.88999999998</v>
      </c>
      <c r="EE71" s="319">
        <v>16933.150000000001</v>
      </c>
      <c r="EF71" s="319">
        <v>9432.2800000000007</v>
      </c>
      <c r="EG71" s="319">
        <v>165077.92000000001</v>
      </c>
      <c r="EH71" s="319"/>
      <c r="EI71" s="322">
        <v>3479.58</v>
      </c>
      <c r="EJ71" s="767">
        <v>4244.9799999999996</v>
      </c>
      <c r="EK71" s="767">
        <v>48620.94</v>
      </c>
      <c r="EL71" s="767">
        <v>171909.75</v>
      </c>
      <c r="EM71" s="767">
        <v>7500</v>
      </c>
      <c r="EO71" s="319" t="s">
        <v>54</v>
      </c>
      <c r="EP71" s="319">
        <v>1614308</v>
      </c>
      <c r="EQ71" s="319">
        <v>1288290</v>
      </c>
      <c r="ER71" s="319">
        <v>1654526</v>
      </c>
      <c r="ES71" s="319">
        <v>1247096</v>
      </c>
      <c r="ET71" s="319">
        <v>1453519</v>
      </c>
      <c r="EU71" s="319">
        <v>1678050</v>
      </c>
      <c r="EV71" s="319">
        <v>1666723</v>
      </c>
      <c r="EW71" s="319">
        <v>1649743</v>
      </c>
      <c r="EX71" s="319">
        <v>1398494.23</v>
      </c>
      <c r="EY71" s="319">
        <v>2378686.5099999998</v>
      </c>
      <c r="EZ71" s="319">
        <v>1694982.07</v>
      </c>
      <c r="FA71" s="319">
        <v>1802949.25</v>
      </c>
      <c r="FB71" s="319">
        <v>1943759.67</v>
      </c>
      <c r="FC71" s="319">
        <v>1663461.1</v>
      </c>
      <c r="FD71" s="319">
        <v>2342343.1799999997</v>
      </c>
      <c r="FE71" s="319">
        <v>2135968.2899999996</v>
      </c>
      <c r="FF71" s="319"/>
      <c r="FG71" s="322">
        <v>2319257.46</v>
      </c>
      <c r="FH71" s="760">
        <v>1888736.4</v>
      </c>
      <c r="FI71" s="760">
        <v>3050330.77</v>
      </c>
      <c r="FJ71" s="760">
        <v>1804999</v>
      </c>
      <c r="FK71" s="760">
        <v>2440129.2800000003</v>
      </c>
      <c r="GZ71" s="62"/>
      <c r="HB71" s="62"/>
      <c r="HD71" s="62"/>
      <c r="HF71" s="62"/>
      <c r="HH71" s="62"/>
      <c r="HJ71" s="62"/>
      <c r="HL71" s="62"/>
      <c r="HN71" s="62"/>
    </row>
    <row r="72" spans="1:222" s="61" customFormat="1">
      <c r="A72" s="625" t="s">
        <v>513</v>
      </c>
      <c r="B72" s="626">
        <v>1978252</v>
      </c>
      <c r="C72" s="626">
        <v>2148141</v>
      </c>
      <c r="D72" s="626"/>
      <c r="E72" s="626"/>
      <c r="F72" s="626"/>
      <c r="G72" s="626"/>
      <c r="H72" s="626"/>
      <c r="I72" s="626"/>
      <c r="J72" s="626"/>
      <c r="K72" s="626"/>
      <c r="L72" s="626"/>
      <c r="M72" s="626">
        <v>2691951.16</v>
      </c>
      <c r="N72" s="626"/>
      <c r="O72" s="338">
        <v>2551239.61</v>
      </c>
      <c r="P72" s="338"/>
      <c r="Q72" s="338">
        <v>2607089.67</v>
      </c>
      <c r="R72" s="338"/>
      <c r="S72" s="342">
        <v>2406841.3000000003</v>
      </c>
      <c r="T72" s="377">
        <v>3115938.94</v>
      </c>
      <c r="U72" s="377">
        <v>3290118.9899999998</v>
      </c>
      <c r="V72" s="377">
        <v>3521830.0400000005</v>
      </c>
      <c r="W72" s="377">
        <v>4261000</v>
      </c>
      <c r="X72" s="446"/>
      <c r="Y72" s="338" t="s">
        <v>513</v>
      </c>
      <c r="Z72" s="627"/>
      <c r="AA72" s="627"/>
      <c r="AB72" s="627"/>
      <c r="AC72" s="627"/>
      <c r="AD72" s="625"/>
      <c r="AE72" s="625"/>
      <c r="AF72" s="625"/>
      <c r="AG72" s="625"/>
      <c r="AH72" s="625"/>
      <c r="AI72" s="625"/>
      <c r="AJ72" s="625"/>
      <c r="AK72" s="625">
        <v>948844.86</v>
      </c>
      <c r="AL72" s="625"/>
      <c r="AM72" s="625">
        <v>967680.08</v>
      </c>
      <c r="AN72" s="338"/>
      <c r="AO72" s="338">
        <v>1008817.62</v>
      </c>
      <c r="AP72" s="338"/>
      <c r="AQ72" s="342">
        <v>1070933.8500000001</v>
      </c>
      <c r="AR72" s="377">
        <v>1106559.9099999999</v>
      </c>
      <c r="AS72" s="377">
        <v>1125842.31</v>
      </c>
      <c r="AT72" s="377">
        <v>536564.73</v>
      </c>
      <c r="AU72" s="377">
        <v>525000</v>
      </c>
      <c r="AV72" s="62"/>
      <c r="AW72" s="338" t="s">
        <v>513</v>
      </c>
      <c r="AX72" s="627"/>
      <c r="AY72" s="625"/>
      <c r="AZ72" s="625"/>
      <c r="BA72" s="625"/>
      <c r="BB72" s="625"/>
      <c r="BC72" s="625"/>
      <c r="BD72" s="625"/>
      <c r="BE72" s="625"/>
      <c r="BF72" s="625"/>
      <c r="BG72" s="625"/>
      <c r="BH72" s="625"/>
      <c r="BI72" s="625">
        <v>0</v>
      </c>
      <c r="BJ72" s="625"/>
      <c r="BK72" s="625">
        <v>0</v>
      </c>
      <c r="BL72" s="338"/>
      <c r="BM72" s="338">
        <v>0</v>
      </c>
      <c r="BN72" s="338"/>
      <c r="BO72" s="342">
        <v>0</v>
      </c>
      <c r="BP72" s="377">
        <v>0</v>
      </c>
      <c r="BQ72" s="377">
        <v>123347.84</v>
      </c>
      <c r="BR72" s="377">
        <v>1500373.33</v>
      </c>
      <c r="BS72" s="377">
        <v>1400000</v>
      </c>
      <c r="BT72" s="62"/>
      <c r="BU72" s="338" t="s">
        <v>513</v>
      </c>
      <c r="BV72" s="627"/>
      <c r="BW72" s="625"/>
      <c r="BX72" s="625"/>
      <c r="BY72" s="625"/>
      <c r="BZ72" s="625"/>
      <c r="CA72" s="625"/>
      <c r="CB72" s="625"/>
      <c r="CC72" s="625"/>
      <c r="CD72" s="625"/>
      <c r="CE72" s="625"/>
      <c r="CF72" s="625"/>
      <c r="CG72" s="625">
        <v>1580343.2</v>
      </c>
      <c r="CH72" s="625"/>
      <c r="CI72" s="625">
        <v>1547898.13</v>
      </c>
      <c r="CJ72" s="338"/>
      <c r="CK72" s="338">
        <v>1373225.98</v>
      </c>
      <c r="CL72" s="338"/>
      <c r="CM72" s="342">
        <v>1087612.83</v>
      </c>
      <c r="CN72" s="377">
        <v>1936259.06</v>
      </c>
      <c r="CO72" s="377">
        <v>1931476.2599999998</v>
      </c>
      <c r="CP72" s="377">
        <v>1281445.1700000002</v>
      </c>
      <c r="CQ72" s="377">
        <v>2331000</v>
      </c>
      <c r="CR72" s="62"/>
      <c r="CS72" s="338" t="s">
        <v>513</v>
      </c>
      <c r="CT72" s="627"/>
      <c r="CU72" s="625"/>
      <c r="CV72" s="625"/>
      <c r="CW72" s="625"/>
      <c r="CX72" s="625"/>
      <c r="CY72" s="625"/>
      <c r="CZ72" s="625"/>
      <c r="DA72" s="625"/>
      <c r="DB72" s="625"/>
      <c r="DC72" s="625"/>
      <c r="DD72" s="625"/>
      <c r="DE72" s="625">
        <v>77763.100000000006</v>
      </c>
      <c r="DF72" s="625"/>
      <c r="DG72" s="625">
        <v>25036.68</v>
      </c>
      <c r="DH72" s="338"/>
      <c r="DI72" s="338">
        <v>5305.07</v>
      </c>
      <c r="DJ72" s="338"/>
      <c r="DK72" s="342">
        <v>391.04</v>
      </c>
      <c r="DL72" s="377">
        <v>0</v>
      </c>
      <c r="DM72" s="377">
        <v>0</v>
      </c>
      <c r="DN72" s="377">
        <v>5.5</v>
      </c>
      <c r="DO72" s="377">
        <v>0</v>
      </c>
      <c r="DP72" s="62"/>
      <c r="DQ72" s="338" t="s">
        <v>513</v>
      </c>
      <c r="DR72" s="627"/>
      <c r="DS72" s="625"/>
      <c r="DT72" s="625"/>
      <c r="DU72" s="625"/>
      <c r="DV72" s="625"/>
      <c r="DW72" s="625"/>
      <c r="DX72" s="625"/>
      <c r="DY72" s="625"/>
      <c r="DZ72" s="625"/>
      <c r="EA72" s="625"/>
      <c r="EB72" s="625"/>
      <c r="EC72" s="625">
        <v>0</v>
      </c>
      <c r="ED72" s="625"/>
      <c r="EE72" s="625">
        <v>10624.72</v>
      </c>
      <c r="EF72" s="338"/>
      <c r="EG72" s="338">
        <v>19741</v>
      </c>
      <c r="EH72" s="338"/>
      <c r="EI72" s="342">
        <v>47903.58</v>
      </c>
      <c r="EJ72" s="769">
        <v>73119.97</v>
      </c>
      <c r="EK72" s="769">
        <v>109452.58</v>
      </c>
      <c r="EL72" s="769">
        <v>3441.31</v>
      </c>
      <c r="EM72" s="769">
        <v>5000</v>
      </c>
      <c r="EN72" s="634"/>
      <c r="EO72" s="628" t="s">
        <v>513</v>
      </c>
      <c r="EP72" s="626">
        <v>1819667</v>
      </c>
      <c r="EQ72" s="626">
        <v>2307618</v>
      </c>
      <c r="ER72" s="626"/>
      <c r="ES72" s="626"/>
      <c r="ET72" s="626"/>
      <c r="EU72" s="626"/>
      <c r="EV72" s="626"/>
      <c r="EW72" s="626"/>
      <c r="EX72" s="624"/>
      <c r="EY72" s="624"/>
      <c r="EZ72" s="624"/>
      <c r="FA72" s="624">
        <v>2676613.21</v>
      </c>
      <c r="FB72" s="624"/>
      <c r="FC72" s="338">
        <v>2481225.62</v>
      </c>
      <c r="FD72" s="338"/>
      <c r="FE72" s="338">
        <v>2603157.8199999998</v>
      </c>
      <c r="FF72" s="338"/>
      <c r="FG72" s="342">
        <v>2726742.8</v>
      </c>
      <c r="FH72" s="377">
        <v>3088487.55</v>
      </c>
      <c r="FI72" s="377">
        <v>3569515.1200000006</v>
      </c>
      <c r="FJ72" s="377">
        <v>3516599.6000000006</v>
      </c>
      <c r="FK72" s="377">
        <v>4373500</v>
      </c>
      <c r="GZ72" s="62"/>
      <c r="HB72" s="62"/>
      <c r="HD72" s="62"/>
      <c r="HF72" s="62"/>
      <c r="HH72" s="62"/>
      <c r="HJ72" s="62"/>
      <c r="HL72" s="62"/>
      <c r="HN72" s="62"/>
    </row>
    <row r="73" spans="1:222" s="61" customFormat="1">
      <c r="A73" s="319" t="s">
        <v>55</v>
      </c>
      <c r="B73" s="319">
        <v>2185691</v>
      </c>
      <c r="C73" s="319">
        <v>2361070</v>
      </c>
      <c r="D73" s="319">
        <v>2139763</v>
      </c>
      <c r="E73" s="319">
        <v>2433892</v>
      </c>
      <c r="F73" s="319">
        <v>2152704</v>
      </c>
      <c r="G73" s="319">
        <v>2047779</v>
      </c>
      <c r="H73" s="319">
        <v>2237197</v>
      </c>
      <c r="I73" s="319">
        <v>2717810</v>
      </c>
      <c r="J73" s="319">
        <v>3140193.2699999996</v>
      </c>
      <c r="K73" s="319">
        <v>4230415.09</v>
      </c>
      <c r="L73" s="319">
        <v>2991200.8999999994</v>
      </c>
      <c r="M73" s="319">
        <v>3924788.6</v>
      </c>
      <c r="N73" s="319">
        <v>2438094.3000000003</v>
      </c>
      <c r="O73" s="319">
        <v>2875873.7</v>
      </c>
      <c r="P73" s="319">
        <v>2645422.23</v>
      </c>
      <c r="Q73" s="319">
        <v>3022209.05</v>
      </c>
      <c r="R73" s="319">
        <v>2599152.44</v>
      </c>
      <c r="S73" s="322">
        <v>1773243.2200000002</v>
      </c>
      <c r="T73" s="760">
        <v>2691394.48</v>
      </c>
      <c r="U73" s="760"/>
      <c r="V73" s="760"/>
      <c r="W73" s="760"/>
      <c r="X73" s="42"/>
      <c r="Y73" s="319" t="s">
        <v>55</v>
      </c>
      <c r="Z73" s="319">
        <v>87427.64</v>
      </c>
      <c r="AA73" s="319">
        <v>94442.8</v>
      </c>
      <c r="AB73" s="319">
        <v>85590.52</v>
      </c>
      <c r="AC73" s="319">
        <v>97355.68</v>
      </c>
      <c r="AD73" s="319">
        <v>107635.2</v>
      </c>
      <c r="AE73" s="319">
        <v>102388.95</v>
      </c>
      <c r="AF73" s="319">
        <v>111859.85</v>
      </c>
      <c r="AG73" s="319">
        <v>135890.5</v>
      </c>
      <c r="AH73" s="319">
        <v>123576.34</v>
      </c>
      <c r="AI73" s="319">
        <v>122593.93</v>
      </c>
      <c r="AJ73" s="319">
        <v>125498.07</v>
      </c>
      <c r="AK73" s="319">
        <v>129729.68</v>
      </c>
      <c r="AL73" s="319">
        <v>167955.66</v>
      </c>
      <c r="AM73" s="319">
        <v>141115.66</v>
      </c>
      <c r="AN73" s="319">
        <v>234167.67999999999</v>
      </c>
      <c r="AO73" s="319">
        <v>148144.46</v>
      </c>
      <c r="AP73" s="319">
        <v>147487.47</v>
      </c>
      <c r="AQ73" s="322">
        <v>151760.81</v>
      </c>
      <c r="AR73" s="760">
        <v>156144.64000000001</v>
      </c>
      <c r="AS73" s="760"/>
      <c r="AT73" s="760"/>
      <c r="AU73" s="760"/>
      <c r="AV73" s="62"/>
      <c r="AW73" s="319" t="s">
        <v>55</v>
      </c>
      <c r="AX73" s="319">
        <v>240426.01</v>
      </c>
      <c r="AY73" s="319">
        <v>0</v>
      </c>
      <c r="AZ73" s="319">
        <v>0</v>
      </c>
      <c r="BA73" s="319">
        <v>0</v>
      </c>
      <c r="BB73" s="319">
        <v>0</v>
      </c>
      <c r="BC73" s="319">
        <v>0</v>
      </c>
      <c r="BD73" s="319">
        <v>0</v>
      </c>
      <c r="BE73" s="319">
        <v>0</v>
      </c>
      <c r="BF73" s="319">
        <v>0</v>
      </c>
      <c r="BG73" s="319">
        <v>0</v>
      </c>
      <c r="BH73" s="319">
        <v>0</v>
      </c>
      <c r="BI73" s="319">
        <v>0</v>
      </c>
      <c r="BJ73" s="319">
        <v>0</v>
      </c>
      <c r="BK73" s="319">
        <v>0</v>
      </c>
      <c r="BL73" s="319">
        <v>0</v>
      </c>
      <c r="BM73" s="319">
        <v>0</v>
      </c>
      <c r="BN73" s="319">
        <v>0</v>
      </c>
      <c r="BO73" s="322">
        <v>0</v>
      </c>
      <c r="BP73" s="760">
        <v>0</v>
      </c>
      <c r="BQ73" s="760"/>
      <c r="BR73" s="760"/>
      <c r="BS73" s="760"/>
      <c r="BT73" s="62"/>
      <c r="BU73" s="319" t="s">
        <v>55</v>
      </c>
      <c r="BV73" s="319">
        <v>1442556.06</v>
      </c>
      <c r="BW73" s="319">
        <v>1511084.8</v>
      </c>
      <c r="BX73" s="319">
        <v>1476436.47</v>
      </c>
      <c r="BY73" s="319">
        <v>1752402.24</v>
      </c>
      <c r="BZ73" s="319">
        <v>1808271.3600000001</v>
      </c>
      <c r="CA73" s="319">
        <v>1699656.57</v>
      </c>
      <c r="CB73" s="319">
        <v>1856873.51</v>
      </c>
      <c r="CC73" s="319">
        <v>2364494.7000000002</v>
      </c>
      <c r="CD73" s="319">
        <v>2465719.7599999998</v>
      </c>
      <c r="CE73" s="319">
        <v>3620396.95</v>
      </c>
      <c r="CF73" s="319">
        <v>2363161.2599999998</v>
      </c>
      <c r="CG73" s="319">
        <v>3543393.3</v>
      </c>
      <c r="CH73" s="319">
        <v>1787452.21</v>
      </c>
      <c r="CI73" s="319">
        <v>1922900.7699999998</v>
      </c>
      <c r="CJ73" s="319">
        <v>1897284.6199999999</v>
      </c>
      <c r="CK73" s="319">
        <v>2331974.2599999998</v>
      </c>
      <c r="CL73" s="319">
        <v>1985365.91</v>
      </c>
      <c r="CM73" s="322">
        <v>1165574.8</v>
      </c>
      <c r="CN73" s="760">
        <v>1732959.0699999998</v>
      </c>
      <c r="CO73" s="760"/>
      <c r="CP73" s="760"/>
      <c r="CQ73" s="760"/>
      <c r="CR73" s="62"/>
      <c r="CS73" s="319" t="s">
        <v>55</v>
      </c>
      <c r="CT73" s="319">
        <v>21856.91</v>
      </c>
      <c r="CU73" s="319">
        <v>47221.4</v>
      </c>
      <c r="CV73" s="319">
        <v>64192.89</v>
      </c>
      <c r="CW73" s="319">
        <v>97355.68</v>
      </c>
      <c r="CX73" s="319">
        <v>107635.2</v>
      </c>
      <c r="CY73" s="319">
        <v>61433.37</v>
      </c>
      <c r="CZ73" s="319">
        <v>22371.97</v>
      </c>
      <c r="DA73" s="319">
        <v>0</v>
      </c>
      <c r="DB73" s="319">
        <v>21587.66</v>
      </c>
      <c r="DC73" s="319">
        <v>41805.26</v>
      </c>
      <c r="DD73" s="319">
        <v>50906.66</v>
      </c>
      <c r="DE73" s="319">
        <v>38982.67</v>
      </c>
      <c r="DF73" s="319">
        <v>12112.2</v>
      </c>
      <c r="DG73" s="319">
        <v>1284.1500000000001</v>
      </c>
      <c r="DH73" s="319">
        <v>1277.72</v>
      </c>
      <c r="DI73" s="319">
        <v>875.01</v>
      </c>
      <c r="DJ73" s="319">
        <v>441.67</v>
      </c>
      <c r="DK73" s="322">
        <v>274.22000000000003</v>
      </c>
      <c r="DL73" s="760">
        <v>133.9</v>
      </c>
      <c r="DM73" s="760"/>
      <c r="DN73" s="760"/>
      <c r="DO73" s="760"/>
      <c r="DP73" s="62"/>
      <c r="DQ73" s="319" t="s">
        <v>55</v>
      </c>
      <c r="DR73" s="319">
        <v>393424.38</v>
      </c>
      <c r="DS73" s="319">
        <v>708321</v>
      </c>
      <c r="DT73" s="319">
        <v>513543.12</v>
      </c>
      <c r="DU73" s="319">
        <v>486778.4</v>
      </c>
      <c r="DV73" s="319">
        <v>129162.24000000001</v>
      </c>
      <c r="DW73" s="319">
        <v>184300.11</v>
      </c>
      <c r="DX73" s="319">
        <v>246091.67</v>
      </c>
      <c r="DY73" s="319">
        <v>217424.8</v>
      </c>
      <c r="DZ73" s="319">
        <v>278112.86</v>
      </c>
      <c r="EA73" s="319">
        <v>195618.95</v>
      </c>
      <c r="EB73" s="319">
        <v>199597.3</v>
      </c>
      <c r="EC73" s="319">
        <v>212086.38</v>
      </c>
      <c r="ED73" s="319">
        <v>218571.19000000003</v>
      </c>
      <c r="EE73" s="319">
        <v>302531.27999999997</v>
      </c>
      <c r="EF73" s="319">
        <v>258722.68</v>
      </c>
      <c r="EG73" s="319">
        <v>291215.32</v>
      </c>
      <c r="EH73" s="319">
        <v>215857.38999999998</v>
      </c>
      <c r="EI73" s="322">
        <v>205633.38999999998</v>
      </c>
      <c r="EJ73" s="767">
        <v>239630.87</v>
      </c>
      <c r="EK73" s="767"/>
      <c r="EL73" s="767"/>
      <c r="EM73" s="767"/>
      <c r="EO73" s="319" t="s">
        <v>55</v>
      </c>
      <c r="EP73" s="319">
        <v>1984063</v>
      </c>
      <c r="EQ73" s="319">
        <v>1753262</v>
      </c>
      <c r="ER73" s="319">
        <v>1660216</v>
      </c>
      <c r="ES73" s="319">
        <v>2336206</v>
      </c>
      <c r="ET73" s="319">
        <v>2268252</v>
      </c>
      <c r="EU73" s="319">
        <v>2296232</v>
      </c>
      <c r="EV73" s="319">
        <v>2896540</v>
      </c>
      <c r="EW73" s="319">
        <v>2397139</v>
      </c>
      <c r="EX73" s="319">
        <v>2765217.03</v>
      </c>
      <c r="EY73" s="319">
        <v>3927415.2699999996</v>
      </c>
      <c r="EZ73" s="319">
        <v>3684551.59</v>
      </c>
      <c r="FA73" s="319">
        <v>4600962.09</v>
      </c>
      <c r="FB73" s="319">
        <v>2570384.7799999998</v>
      </c>
      <c r="FC73" s="319">
        <v>2486669.71</v>
      </c>
      <c r="FD73" s="319">
        <v>2609661.2799999998</v>
      </c>
      <c r="FE73" s="319">
        <v>3031110.1999999997</v>
      </c>
      <c r="FF73" s="319">
        <v>2896018.2999999993</v>
      </c>
      <c r="FG73" s="322">
        <v>1964712.34</v>
      </c>
      <c r="FH73" s="760">
        <v>2554767.12</v>
      </c>
      <c r="FI73" s="760"/>
      <c r="FJ73" s="760"/>
      <c r="FK73" s="760"/>
      <c r="GZ73" s="62"/>
      <c r="HB73" s="62"/>
      <c r="HD73" s="62"/>
      <c r="HF73" s="62"/>
      <c r="HH73" s="62"/>
      <c r="HJ73" s="62"/>
      <c r="HL73" s="62"/>
      <c r="HN73" s="62"/>
    </row>
    <row r="74" spans="1:222" s="61" customFormat="1">
      <c r="A74" s="319" t="s">
        <v>56</v>
      </c>
      <c r="B74" s="319">
        <v>550246</v>
      </c>
      <c r="C74" s="319">
        <v>601494</v>
      </c>
      <c r="D74" s="319">
        <v>607822</v>
      </c>
      <c r="E74" s="319">
        <v>636638</v>
      </c>
      <c r="F74" s="319">
        <v>660245</v>
      </c>
      <c r="G74" s="319">
        <v>711420</v>
      </c>
      <c r="H74" s="319">
        <v>773991</v>
      </c>
      <c r="I74" s="319">
        <v>715824</v>
      </c>
      <c r="J74" s="319">
        <v>750495.22</v>
      </c>
      <c r="K74" s="319">
        <v>668933.96000000008</v>
      </c>
      <c r="L74" s="319">
        <v>746547.11</v>
      </c>
      <c r="M74" s="319">
        <v>782032.24000000011</v>
      </c>
      <c r="N74" s="319">
        <v>1051014.77</v>
      </c>
      <c r="O74" s="319">
        <v>926306.39</v>
      </c>
      <c r="P74" s="319">
        <v>960737.15999999992</v>
      </c>
      <c r="Q74" s="319">
        <v>928350.27</v>
      </c>
      <c r="R74" s="319">
        <v>778368.36999999988</v>
      </c>
      <c r="S74" s="322">
        <v>800248.8600000001</v>
      </c>
      <c r="T74" s="760">
        <v>773598.64</v>
      </c>
      <c r="U74" s="760">
        <v>820905.4</v>
      </c>
      <c r="V74" s="760">
        <v>1115594.7</v>
      </c>
      <c r="W74" s="760">
        <v>1486465.01</v>
      </c>
      <c r="X74" s="42"/>
      <c r="Y74" s="319" t="s">
        <v>56</v>
      </c>
      <c r="Z74" s="319">
        <v>77034.44</v>
      </c>
      <c r="AA74" s="319">
        <v>78194.22</v>
      </c>
      <c r="AB74" s="319">
        <v>85095.08</v>
      </c>
      <c r="AC74" s="319">
        <v>89129.32</v>
      </c>
      <c r="AD74" s="319">
        <v>92434.3</v>
      </c>
      <c r="AE74" s="319">
        <v>106713</v>
      </c>
      <c r="AF74" s="319">
        <v>116098.65</v>
      </c>
      <c r="AG74" s="319">
        <v>121690.08</v>
      </c>
      <c r="AH74" s="319">
        <v>114131.66</v>
      </c>
      <c r="AI74" s="319">
        <v>111426.53</v>
      </c>
      <c r="AJ74" s="319">
        <v>116078.49999999999</v>
      </c>
      <c r="AK74" s="319">
        <v>120146.40000000001</v>
      </c>
      <c r="AL74" s="319">
        <v>124015.57</v>
      </c>
      <c r="AM74" s="319">
        <v>129926.54</v>
      </c>
      <c r="AN74" s="319">
        <v>130055.67999999999</v>
      </c>
      <c r="AO74" s="319">
        <v>139556.66999999998</v>
      </c>
      <c r="AP74" s="319">
        <v>141404.43</v>
      </c>
      <c r="AQ74" s="322">
        <v>146615.69000000003</v>
      </c>
      <c r="AR74" s="760">
        <v>148072.49000000002</v>
      </c>
      <c r="AS74" s="760">
        <v>156305.96999999997</v>
      </c>
      <c r="AT74" s="760">
        <v>155341.25999999998</v>
      </c>
      <c r="AU74" s="760">
        <v>155700</v>
      </c>
      <c r="AV74" s="62"/>
      <c r="AW74" s="319" t="s">
        <v>56</v>
      </c>
      <c r="AX74" s="319">
        <v>0</v>
      </c>
      <c r="AY74" s="319">
        <v>0</v>
      </c>
      <c r="AZ74" s="319">
        <v>0</v>
      </c>
      <c r="BA74" s="319">
        <v>0</v>
      </c>
      <c r="BB74" s="319">
        <v>0</v>
      </c>
      <c r="BC74" s="319">
        <v>0</v>
      </c>
      <c r="BD74" s="319">
        <v>0</v>
      </c>
      <c r="BE74" s="319">
        <v>0</v>
      </c>
      <c r="BF74" s="319">
        <v>0</v>
      </c>
      <c r="BG74" s="319">
        <v>0</v>
      </c>
      <c r="BH74" s="319">
        <v>0</v>
      </c>
      <c r="BI74" s="319">
        <v>0</v>
      </c>
      <c r="BJ74" s="319">
        <v>0</v>
      </c>
      <c r="BK74" s="319">
        <v>0</v>
      </c>
      <c r="BL74" s="319">
        <v>0</v>
      </c>
      <c r="BM74" s="319">
        <v>0</v>
      </c>
      <c r="BN74" s="319">
        <v>0</v>
      </c>
      <c r="BO74" s="322">
        <v>0</v>
      </c>
      <c r="BP74" s="760">
        <v>0</v>
      </c>
      <c r="BQ74" s="760">
        <v>0</v>
      </c>
      <c r="BR74" s="760">
        <v>0</v>
      </c>
      <c r="BS74" s="760">
        <v>0</v>
      </c>
      <c r="BT74" s="62"/>
      <c r="BU74" s="319" t="s">
        <v>56</v>
      </c>
      <c r="BV74" s="319">
        <v>456704.18</v>
      </c>
      <c r="BW74" s="319">
        <v>493225.08</v>
      </c>
      <c r="BX74" s="319">
        <v>498414.04</v>
      </c>
      <c r="BY74" s="319">
        <v>515676.78</v>
      </c>
      <c r="BZ74" s="319">
        <v>521593.55</v>
      </c>
      <c r="CA74" s="319">
        <v>554907.6</v>
      </c>
      <c r="CB74" s="319">
        <v>634672.62</v>
      </c>
      <c r="CC74" s="319">
        <v>572659.19999999995</v>
      </c>
      <c r="CD74" s="319">
        <v>609965.97</v>
      </c>
      <c r="CE74" s="319">
        <v>530266.9800000001</v>
      </c>
      <c r="CF74" s="319">
        <v>583990.71</v>
      </c>
      <c r="CG74" s="319">
        <v>618520.15</v>
      </c>
      <c r="CH74" s="319">
        <v>607643.41999999993</v>
      </c>
      <c r="CI74" s="319">
        <v>609489.73</v>
      </c>
      <c r="CJ74" s="319">
        <v>604804.31999999995</v>
      </c>
      <c r="CK74" s="319">
        <v>602352.88</v>
      </c>
      <c r="CL74" s="319">
        <v>608058.17999999993</v>
      </c>
      <c r="CM74" s="322">
        <v>607474.41</v>
      </c>
      <c r="CN74" s="760">
        <v>604360.52</v>
      </c>
      <c r="CO74" s="760">
        <v>649120.64</v>
      </c>
      <c r="CP74" s="760">
        <v>661280.01</v>
      </c>
      <c r="CQ74" s="760">
        <v>612710</v>
      </c>
      <c r="CR74" s="62"/>
      <c r="CS74" s="319" t="s">
        <v>56</v>
      </c>
      <c r="CT74" s="319">
        <v>5502.46</v>
      </c>
      <c r="CU74" s="319">
        <v>6014.94</v>
      </c>
      <c r="CV74" s="319">
        <v>6078.22</v>
      </c>
      <c r="CW74" s="319">
        <v>12732.76</v>
      </c>
      <c r="CX74" s="319">
        <v>26409.8</v>
      </c>
      <c r="CY74" s="319">
        <v>28456.799999999999</v>
      </c>
      <c r="CZ74" s="319">
        <v>15479.82</v>
      </c>
      <c r="DA74" s="319">
        <v>14316.48</v>
      </c>
      <c r="DB74" s="319">
        <v>11666.05</v>
      </c>
      <c r="DC74" s="319">
        <v>13325.5</v>
      </c>
      <c r="DD74" s="319">
        <v>27729.08</v>
      </c>
      <c r="DE74" s="319">
        <v>29912.34</v>
      </c>
      <c r="DF74" s="319">
        <v>20869.89</v>
      </c>
      <c r="DG74" s="319">
        <v>12527.03</v>
      </c>
      <c r="DH74" s="319">
        <v>5905</v>
      </c>
      <c r="DI74" s="319">
        <v>7702.59</v>
      </c>
      <c r="DJ74" s="319">
        <v>8212.69</v>
      </c>
      <c r="DK74" s="322">
        <v>6213.52</v>
      </c>
      <c r="DL74" s="760">
        <v>5245.01</v>
      </c>
      <c r="DM74" s="760">
        <v>4376.9399999999996</v>
      </c>
      <c r="DN74" s="760">
        <v>4416.4399999999996</v>
      </c>
      <c r="DO74" s="760">
        <v>4000</v>
      </c>
      <c r="DP74" s="62"/>
      <c r="DQ74" s="319" t="s">
        <v>56</v>
      </c>
      <c r="DR74" s="319">
        <v>11004.92</v>
      </c>
      <c r="DS74" s="319">
        <v>24059.759999999998</v>
      </c>
      <c r="DT74" s="319">
        <v>18234.66</v>
      </c>
      <c r="DU74" s="319">
        <v>19099.14</v>
      </c>
      <c r="DV74" s="319">
        <v>19807.349999999999</v>
      </c>
      <c r="DW74" s="319">
        <v>21342.6</v>
      </c>
      <c r="DX74" s="319">
        <v>7739.91</v>
      </c>
      <c r="DY74" s="319">
        <v>7158.24</v>
      </c>
      <c r="DZ74" s="319">
        <v>2651.49</v>
      </c>
      <c r="EA74" s="319">
        <v>1692.8</v>
      </c>
      <c r="EB74" s="319">
        <v>5820.32</v>
      </c>
      <c r="EC74" s="319">
        <v>141.25</v>
      </c>
      <c r="ED74" s="319">
        <v>284953.66000000003</v>
      </c>
      <c r="EE74" s="319">
        <v>160265.18</v>
      </c>
      <c r="EF74" s="319">
        <v>204567.8</v>
      </c>
      <c r="EG74" s="319">
        <v>163764.42000000001</v>
      </c>
      <c r="EH74" s="319">
        <v>5126.9799999999996</v>
      </c>
      <c r="EI74" s="322">
        <v>24334.9</v>
      </c>
      <c r="EJ74" s="767">
        <v>218.7</v>
      </c>
      <c r="EK74" s="767">
        <v>11101.85</v>
      </c>
      <c r="EL74" s="767">
        <v>194556.99</v>
      </c>
      <c r="EM74" s="767">
        <v>714055.01</v>
      </c>
      <c r="EO74" s="319" t="s">
        <v>56</v>
      </c>
      <c r="EP74" s="319">
        <v>547858</v>
      </c>
      <c r="EQ74" s="319">
        <v>550507</v>
      </c>
      <c r="ER74" s="319">
        <v>477955</v>
      </c>
      <c r="ES74" s="319">
        <v>560152</v>
      </c>
      <c r="ET74" s="319">
        <v>551515</v>
      </c>
      <c r="EU74" s="319">
        <v>638026</v>
      </c>
      <c r="EV74" s="319">
        <v>710904</v>
      </c>
      <c r="EW74" s="319">
        <v>764601</v>
      </c>
      <c r="EX74" s="319">
        <v>697808.6399999999</v>
      </c>
      <c r="EY74" s="319">
        <v>798102.17999999993</v>
      </c>
      <c r="EZ74" s="319">
        <v>725585.52</v>
      </c>
      <c r="FA74" s="319">
        <v>897661.92999999993</v>
      </c>
      <c r="FB74" s="319">
        <v>850998.49</v>
      </c>
      <c r="FC74" s="319">
        <v>1241896.5900000001</v>
      </c>
      <c r="FD74" s="319">
        <v>715998.99</v>
      </c>
      <c r="FE74" s="319">
        <v>816502.02</v>
      </c>
      <c r="FF74" s="319">
        <v>757097.69</v>
      </c>
      <c r="FG74" s="322">
        <v>829997.56</v>
      </c>
      <c r="FH74" s="760">
        <v>875129.97</v>
      </c>
      <c r="FI74" s="760">
        <v>974483.07000000007</v>
      </c>
      <c r="FJ74" s="760">
        <v>965865.47999999986</v>
      </c>
      <c r="FK74" s="760">
        <v>1394033.2899999998</v>
      </c>
      <c r="GZ74" s="62"/>
      <c r="HB74" s="62"/>
      <c r="HD74" s="62"/>
      <c r="HF74" s="62"/>
      <c r="HH74" s="62"/>
      <c r="HJ74" s="62"/>
      <c r="HL74" s="62"/>
      <c r="HN74" s="62"/>
    </row>
    <row r="75" spans="1:222" s="61" customFormat="1">
      <c r="A75" s="319" t="s">
        <v>57</v>
      </c>
      <c r="B75" s="319">
        <v>653676</v>
      </c>
      <c r="C75" s="319">
        <v>759129</v>
      </c>
      <c r="D75" s="319">
        <v>863278</v>
      </c>
      <c r="E75" s="319">
        <v>787934</v>
      </c>
      <c r="F75" s="319">
        <v>929262</v>
      </c>
      <c r="G75" s="319">
        <v>1062664</v>
      </c>
      <c r="H75" s="319">
        <v>869581</v>
      </c>
      <c r="I75" s="319">
        <v>1020077</v>
      </c>
      <c r="J75" s="319">
        <v>1220286.25</v>
      </c>
      <c r="K75" s="319">
        <v>1190535.3900000001</v>
      </c>
      <c r="L75" s="319">
        <v>731541.56</v>
      </c>
      <c r="M75" s="319">
        <v>1300906.92</v>
      </c>
      <c r="N75" s="319">
        <v>1057402.95</v>
      </c>
      <c r="O75" s="319">
        <v>901435.66999999993</v>
      </c>
      <c r="P75" s="319">
        <v>863160.46</v>
      </c>
      <c r="Q75" s="319">
        <v>885071.42</v>
      </c>
      <c r="R75" s="319"/>
      <c r="S75" s="322">
        <v>0</v>
      </c>
      <c r="T75" s="760">
        <v>1456335.27</v>
      </c>
      <c r="U75" s="760">
        <v>1657674.52</v>
      </c>
      <c r="V75" s="760">
        <v>1385117.4300000002</v>
      </c>
      <c r="W75" s="760">
        <v>1543007.52</v>
      </c>
      <c r="X75" s="42"/>
      <c r="Y75" s="319" t="s">
        <v>57</v>
      </c>
      <c r="Z75" s="319">
        <v>156882.23999999999</v>
      </c>
      <c r="AA75" s="319">
        <v>159417.09</v>
      </c>
      <c r="AB75" s="319">
        <v>164022.82</v>
      </c>
      <c r="AC75" s="319">
        <v>173345.48</v>
      </c>
      <c r="AD75" s="319">
        <v>223022.88</v>
      </c>
      <c r="AE75" s="319">
        <v>233786.08</v>
      </c>
      <c r="AF75" s="319">
        <v>252178.49</v>
      </c>
      <c r="AG75" s="319">
        <v>255019.25</v>
      </c>
      <c r="AH75" s="319">
        <v>271770.74</v>
      </c>
      <c r="AI75" s="319">
        <v>285857.3</v>
      </c>
      <c r="AJ75" s="319">
        <v>37070.67</v>
      </c>
      <c r="AK75" s="319">
        <v>313242.59999999998</v>
      </c>
      <c r="AL75" s="319">
        <v>60466.42</v>
      </c>
      <c r="AM75" s="319">
        <v>340136.2</v>
      </c>
      <c r="AN75" s="319">
        <v>334691.17</v>
      </c>
      <c r="AO75" s="319">
        <v>325193.87</v>
      </c>
      <c r="AP75" s="319"/>
      <c r="AQ75" s="322">
        <v>0</v>
      </c>
      <c r="AR75" s="760">
        <v>368226.39</v>
      </c>
      <c r="AS75" s="760">
        <v>401321.4</v>
      </c>
      <c r="AT75" s="760">
        <v>448824.14</v>
      </c>
      <c r="AU75" s="760">
        <v>450000</v>
      </c>
      <c r="AV75" s="62"/>
      <c r="AW75" s="319" t="s">
        <v>57</v>
      </c>
      <c r="AX75" s="319">
        <v>0</v>
      </c>
      <c r="AY75" s="319">
        <v>0</v>
      </c>
      <c r="AZ75" s="319">
        <v>77695.02</v>
      </c>
      <c r="BA75" s="319">
        <v>0</v>
      </c>
      <c r="BB75" s="319">
        <v>83633.58</v>
      </c>
      <c r="BC75" s="319">
        <v>0</v>
      </c>
      <c r="BD75" s="319">
        <v>95653.91</v>
      </c>
      <c r="BE75" s="319">
        <v>91806.93</v>
      </c>
      <c r="BF75" s="319">
        <v>93206.47</v>
      </c>
      <c r="BG75" s="319">
        <v>90280.43</v>
      </c>
      <c r="BH75" s="319">
        <v>80561.34</v>
      </c>
      <c r="BI75" s="319">
        <v>99456.51</v>
      </c>
      <c r="BJ75" s="319">
        <v>3825.03</v>
      </c>
      <c r="BK75" s="319">
        <v>0</v>
      </c>
      <c r="BL75" s="319">
        <v>0</v>
      </c>
      <c r="BM75" s="319">
        <v>0</v>
      </c>
      <c r="BN75" s="319"/>
      <c r="BO75" s="322">
        <v>0</v>
      </c>
      <c r="BP75" s="760">
        <v>0</v>
      </c>
      <c r="BQ75" s="760">
        <v>0</v>
      </c>
      <c r="BR75" s="760">
        <v>0</v>
      </c>
      <c r="BS75" s="760">
        <v>0</v>
      </c>
      <c r="BT75" s="62"/>
      <c r="BU75" s="319" t="s">
        <v>57</v>
      </c>
      <c r="BV75" s="319">
        <v>477183.48</v>
      </c>
      <c r="BW75" s="319">
        <v>538981.59</v>
      </c>
      <c r="BX75" s="319">
        <v>612927.38</v>
      </c>
      <c r="BY75" s="319">
        <v>590950.5</v>
      </c>
      <c r="BZ75" s="319">
        <v>576142.43999999994</v>
      </c>
      <c r="CA75" s="319">
        <v>775744.72</v>
      </c>
      <c r="CB75" s="319">
        <v>513052.79</v>
      </c>
      <c r="CC75" s="319">
        <v>673250.82</v>
      </c>
      <c r="CD75" s="319">
        <v>714456.8</v>
      </c>
      <c r="CE75" s="319">
        <v>772607.9</v>
      </c>
      <c r="CF75" s="319">
        <v>580670.44000000006</v>
      </c>
      <c r="CG75" s="319">
        <v>689310.8</v>
      </c>
      <c r="CH75" s="319">
        <v>807436.57</v>
      </c>
      <c r="CI75" s="319">
        <v>519815.30999999994</v>
      </c>
      <c r="CJ75" s="319">
        <v>513834.54</v>
      </c>
      <c r="CK75" s="319">
        <v>533195.30000000005</v>
      </c>
      <c r="CL75" s="319"/>
      <c r="CM75" s="322">
        <v>0</v>
      </c>
      <c r="CN75" s="760">
        <v>578710.30999999994</v>
      </c>
      <c r="CO75" s="760">
        <v>1210509.75</v>
      </c>
      <c r="CP75" s="760">
        <v>927974.86</v>
      </c>
      <c r="CQ75" s="760">
        <v>960299.52000000002</v>
      </c>
      <c r="CR75" s="62"/>
      <c r="CS75" s="319" t="s">
        <v>57</v>
      </c>
      <c r="CT75" s="319">
        <v>13073.52</v>
      </c>
      <c r="CU75" s="319">
        <v>15182.58</v>
      </c>
      <c r="CV75" s="319">
        <v>8632.7800000000007</v>
      </c>
      <c r="CW75" s="319">
        <v>15758.68</v>
      </c>
      <c r="CX75" s="319">
        <v>9292.6200000000008</v>
      </c>
      <c r="CY75" s="319">
        <v>10626.64</v>
      </c>
      <c r="CZ75" s="319">
        <v>0</v>
      </c>
      <c r="DA75" s="319">
        <v>0</v>
      </c>
      <c r="DB75" s="319">
        <v>1038.6500000000001</v>
      </c>
      <c r="DC75" s="319">
        <v>3866.99</v>
      </c>
      <c r="DD75" s="319">
        <v>8137.46</v>
      </c>
      <c r="DE75" s="319">
        <v>10148.14</v>
      </c>
      <c r="DF75" s="319">
        <v>0</v>
      </c>
      <c r="DG75" s="319">
        <v>3565.22</v>
      </c>
      <c r="DH75" s="319">
        <v>0</v>
      </c>
      <c r="DI75" s="319">
        <v>1724.77</v>
      </c>
      <c r="DJ75" s="319"/>
      <c r="DK75" s="322">
        <v>0</v>
      </c>
      <c r="DL75" s="760">
        <v>1078.3900000000001</v>
      </c>
      <c r="DM75" s="760">
        <v>898.15</v>
      </c>
      <c r="DN75" s="760">
        <v>2560.71</v>
      </c>
      <c r="DO75" s="760">
        <v>2600</v>
      </c>
      <c r="DP75" s="62"/>
      <c r="DQ75" s="319" t="s">
        <v>57</v>
      </c>
      <c r="DR75" s="319">
        <v>6536.76</v>
      </c>
      <c r="DS75" s="319">
        <v>45547.74</v>
      </c>
      <c r="DT75" s="319">
        <v>0</v>
      </c>
      <c r="DU75" s="319">
        <v>7879.34</v>
      </c>
      <c r="DV75" s="319">
        <v>37170.480000000003</v>
      </c>
      <c r="DW75" s="319">
        <v>42506.559999999998</v>
      </c>
      <c r="DX75" s="319">
        <v>8695.81</v>
      </c>
      <c r="DY75" s="319">
        <v>0</v>
      </c>
      <c r="DZ75" s="319">
        <v>101682.31</v>
      </c>
      <c r="EA75" s="319">
        <v>37161.82</v>
      </c>
      <c r="EB75" s="319">
        <v>25101.65</v>
      </c>
      <c r="EC75" s="319">
        <v>188748.87</v>
      </c>
      <c r="ED75" s="319">
        <v>185674.93</v>
      </c>
      <c r="EE75" s="319">
        <v>37918.939999999995</v>
      </c>
      <c r="EF75" s="319">
        <v>11914.75</v>
      </c>
      <c r="EG75" s="319">
        <v>22237.480000000003</v>
      </c>
      <c r="EH75" s="319"/>
      <c r="EI75" s="322">
        <v>0</v>
      </c>
      <c r="EJ75" s="767">
        <v>499690.81</v>
      </c>
      <c r="EK75" s="767">
        <v>44945.22</v>
      </c>
      <c r="EL75" s="767">
        <v>5757.7200000000012</v>
      </c>
      <c r="EM75" s="767">
        <v>130108</v>
      </c>
      <c r="EO75" s="319" t="s">
        <v>57</v>
      </c>
      <c r="EP75" s="319">
        <v>701999</v>
      </c>
      <c r="EQ75" s="319">
        <v>793261</v>
      </c>
      <c r="ER75" s="319">
        <v>784055</v>
      </c>
      <c r="ES75" s="319">
        <v>803854</v>
      </c>
      <c r="ET75" s="319">
        <v>1049733</v>
      </c>
      <c r="EU75" s="319">
        <v>1020719</v>
      </c>
      <c r="EV75" s="319">
        <v>951971</v>
      </c>
      <c r="EW75" s="319">
        <v>1011649</v>
      </c>
      <c r="EX75" s="319">
        <v>1208318.32</v>
      </c>
      <c r="EY75" s="319">
        <v>1175251.45</v>
      </c>
      <c r="EZ75" s="319">
        <v>953766.7699999999</v>
      </c>
      <c r="FA75" s="319">
        <v>1311711.19</v>
      </c>
      <c r="FB75" s="319">
        <v>1151542.1499999999</v>
      </c>
      <c r="FC75" s="319">
        <v>890138.59000000008</v>
      </c>
      <c r="FD75" s="319">
        <v>814872.12</v>
      </c>
      <c r="FE75" s="319">
        <v>1053530.8</v>
      </c>
      <c r="FF75" s="319"/>
      <c r="FG75" s="322">
        <v>866642.65999999992</v>
      </c>
      <c r="FH75" s="760">
        <v>1230362.74</v>
      </c>
      <c r="FI75" s="760">
        <v>1635687.1500000004</v>
      </c>
      <c r="FJ75" s="760">
        <v>1416356.65</v>
      </c>
      <c r="FK75" s="760">
        <v>1691963.3199999998</v>
      </c>
      <c r="GZ75" s="62"/>
      <c r="HB75" s="62"/>
      <c r="HD75" s="62"/>
      <c r="HF75" s="62"/>
      <c r="HH75" s="62"/>
      <c r="HJ75" s="62"/>
      <c r="HL75" s="62"/>
      <c r="HN75" s="62"/>
    </row>
    <row r="76" spans="1:222" s="61" customFormat="1">
      <c r="A76" s="319" t="s">
        <v>58</v>
      </c>
      <c r="B76" s="319">
        <v>716411</v>
      </c>
      <c r="C76" s="319">
        <v>780719</v>
      </c>
      <c r="D76" s="319">
        <v>862217</v>
      </c>
      <c r="E76" s="319">
        <v>882638</v>
      </c>
      <c r="F76" s="319">
        <v>869181</v>
      </c>
      <c r="G76" s="319">
        <v>967233</v>
      </c>
      <c r="H76" s="319">
        <v>1211348</v>
      </c>
      <c r="I76" s="319">
        <v>1477253</v>
      </c>
      <c r="J76" s="319">
        <v>1606177</v>
      </c>
      <c r="K76" s="319">
        <v>0</v>
      </c>
      <c r="L76" s="319">
        <v>0</v>
      </c>
      <c r="M76" s="319">
        <v>0</v>
      </c>
      <c r="N76" s="319">
        <v>0</v>
      </c>
      <c r="O76" s="319">
        <v>0</v>
      </c>
      <c r="P76" s="319">
        <v>0</v>
      </c>
      <c r="Q76" s="319">
        <v>0</v>
      </c>
      <c r="R76" s="319">
        <v>0</v>
      </c>
      <c r="S76" s="319">
        <v>0</v>
      </c>
      <c r="T76" s="760">
        <v>0</v>
      </c>
      <c r="U76" s="760"/>
      <c r="V76" s="760"/>
      <c r="W76" s="760"/>
      <c r="X76" s="42"/>
      <c r="Y76" s="319" t="s">
        <v>58</v>
      </c>
      <c r="Z76" s="319">
        <v>128953.98</v>
      </c>
      <c r="AA76" s="319">
        <v>132722.23000000001</v>
      </c>
      <c r="AB76" s="319">
        <v>155199.06</v>
      </c>
      <c r="AC76" s="319">
        <v>150048.46</v>
      </c>
      <c r="AD76" s="319">
        <v>165144.39000000001</v>
      </c>
      <c r="AE76" s="319">
        <v>174101.94</v>
      </c>
      <c r="AF76" s="319">
        <v>181702.2</v>
      </c>
      <c r="AG76" s="319">
        <v>192042.89</v>
      </c>
      <c r="AH76" s="319">
        <v>192741.24</v>
      </c>
      <c r="AI76" s="319">
        <v>0</v>
      </c>
      <c r="AJ76" s="319">
        <v>0</v>
      </c>
      <c r="AK76" s="319">
        <v>0</v>
      </c>
      <c r="AL76" s="319">
        <v>0</v>
      </c>
      <c r="AM76" s="319">
        <v>0</v>
      </c>
      <c r="AN76" s="319">
        <v>0</v>
      </c>
      <c r="AO76" s="319">
        <v>0</v>
      </c>
      <c r="AP76" s="319">
        <v>0</v>
      </c>
      <c r="AQ76" s="319">
        <v>0</v>
      </c>
      <c r="AR76" s="760">
        <v>0</v>
      </c>
      <c r="AS76" s="760"/>
      <c r="AT76" s="760"/>
      <c r="AU76" s="760"/>
      <c r="AV76" s="62"/>
      <c r="AW76" s="319" t="s">
        <v>58</v>
      </c>
      <c r="AX76" s="319">
        <v>0</v>
      </c>
      <c r="AY76" s="319">
        <v>0</v>
      </c>
      <c r="AZ76" s="319">
        <v>0</v>
      </c>
      <c r="BA76" s="319">
        <v>0</v>
      </c>
      <c r="BB76" s="319">
        <v>0</v>
      </c>
      <c r="BC76" s="319">
        <v>0</v>
      </c>
      <c r="BD76" s="319">
        <v>0</v>
      </c>
      <c r="BE76" s="319">
        <v>0</v>
      </c>
      <c r="BF76" s="319">
        <v>0</v>
      </c>
      <c r="BG76" s="319">
        <v>0</v>
      </c>
      <c r="BH76" s="319">
        <v>0</v>
      </c>
      <c r="BI76" s="319">
        <v>0</v>
      </c>
      <c r="BJ76" s="319">
        <v>0</v>
      </c>
      <c r="BK76" s="319">
        <v>0</v>
      </c>
      <c r="BL76" s="319">
        <v>0</v>
      </c>
      <c r="BM76" s="319">
        <v>0</v>
      </c>
      <c r="BN76" s="319">
        <v>0</v>
      </c>
      <c r="BO76" s="319">
        <v>0</v>
      </c>
      <c r="BP76" s="760">
        <v>0</v>
      </c>
      <c r="BQ76" s="760"/>
      <c r="BR76" s="760"/>
      <c r="BS76" s="760"/>
      <c r="BT76" s="62"/>
      <c r="BU76" s="319" t="s">
        <v>58</v>
      </c>
      <c r="BV76" s="319">
        <v>573128.80000000005</v>
      </c>
      <c r="BW76" s="319">
        <v>640189.57999999996</v>
      </c>
      <c r="BX76" s="319">
        <v>681151.43</v>
      </c>
      <c r="BY76" s="319">
        <v>723763.16</v>
      </c>
      <c r="BZ76" s="319">
        <v>704036.61</v>
      </c>
      <c r="CA76" s="319">
        <v>735097.08</v>
      </c>
      <c r="CB76" s="319">
        <v>302837</v>
      </c>
      <c r="CC76" s="319">
        <v>576128.67000000004</v>
      </c>
      <c r="CD76" s="319">
        <v>626409.03</v>
      </c>
      <c r="CE76" s="319">
        <v>0</v>
      </c>
      <c r="CF76" s="319">
        <v>0</v>
      </c>
      <c r="CG76" s="319">
        <v>0</v>
      </c>
      <c r="CH76" s="319">
        <v>0</v>
      </c>
      <c r="CI76" s="319">
        <v>0</v>
      </c>
      <c r="CJ76" s="319">
        <v>0</v>
      </c>
      <c r="CK76" s="319">
        <v>0</v>
      </c>
      <c r="CL76" s="319">
        <v>0</v>
      </c>
      <c r="CM76" s="319">
        <v>0</v>
      </c>
      <c r="CN76" s="760">
        <v>0</v>
      </c>
      <c r="CO76" s="760"/>
      <c r="CP76" s="760"/>
      <c r="CQ76" s="760"/>
      <c r="CR76" s="62"/>
      <c r="CS76" s="319" t="s">
        <v>58</v>
      </c>
      <c r="CT76" s="319">
        <v>7164.11</v>
      </c>
      <c r="CU76" s="319">
        <v>7807.19</v>
      </c>
      <c r="CV76" s="319">
        <v>0</v>
      </c>
      <c r="CW76" s="319">
        <v>0</v>
      </c>
      <c r="CX76" s="319">
        <v>0</v>
      </c>
      <c r="CY76" s="319">
        <v>0</v>
      </c>
      <c r="CZ76" s="319">
        <v>0</v>
      </c>
      <c r="DA76" s="319">
        <v>0</v>
      </c>
      <c r="DB76" s="319"/>
      <c r="DC76" s="319">
        <v>0</v>
      </c>
      <c r="DD76" s="319">
        <v>0</v>
      </c>
      <c r="DE76" s="319">
        <v>0</v>
      </c>
      <c r="DF76" s="319">
        <v>0</v>
      </c>
      <c r="DG76" s="319">
        <v>0</v>
      </c>
      <c r="DH76" s="319">
        <v>0</v>
      </c>
      <c r="DI76" s="319">
        <v>0</v>
      </c>
      <c r="DJ76" s="319">
        <v>0</v>
      </c>
      <c r="DK76" s="319">
        <v>0</v>
      </c>
      <c r="DL76" s="760">
        <v>0</v>
      </c>
      <c r="DM76" s="760"/>
      <c r="DN76" s="760"/>
      <c r="DO76" s="760"/>
      <c r="DP76" s="62"/>
      <c r="DQ76" s="319" t="s">
        <v>58</v>
      </c>
      <c r="DR76" s="319">
        <v>7164.11</v>
      </c>
      <c r="DS76" s="319">
        <v>0</v>
      </c>
      <c r="DT76" s="319">
        <v>25866.51</v>
      </c>
      <c r="DU76" s="319">
        <v>8826.3799999999992</v>
      </c>
      <c r="DV76" s="319">
        <v>0</v>
      </c>
      <c r="DW76" s="319">
        <v>58033.98</v>
      </c>
      <c r="DX76" s="319">
        <v>726808.8</v>
      </c>
      <c r="DY76" s="319">
        <v>709081.44</v>
      </c>
      <c r="DZ76" s="319">
        <v>787026.73</v>
      </c>
      <c r="EA76" s="319">
        <v>0</v>
      </c>
      <c r="EB76" s="319">
        <v>0</v>
      </c>
      <c r="EC76" s="319">
        <v>0</v>
      </c>
      <c r="ED76" s="319">
        <v>0</v>
      </c>
      <c r="EE76" s="319">
        <v>0</v>
      </c>
      <c r="EF76" s="319">
        <v>0</v>
      </c>
      <c r="EG76" s="319">
        <v>0</v>
      </c>
      <c r="EH76" s="319">
        <v>0</v>
      </c>
      <c r="EI76" s="319">
        <v>0</v>
      </c>
      <c r="EJ76" s="767">
        <v>0</v>
      </c>
      <c r="EK76" s="767"/>
      <c r="EL76" s="767"/>
      <c r="EM76" s="767"/>
      <c r="EO76" s="319" t="s">
        <v>58</v>
      </c>
      <c r="EP76" s="319">
        <v>724554</v>
      </c>
      <c r="EQ76" s="319">
        <v>866772</v>
      </c>
      <c r="ER76" s="319">
        <v>813285</v>
      </c>
      <c r="ES76" s="319">
        <v>884414</v>
      </c>
      <c r="ET76" s="319">
        <v>869065</v>
      </c>
      <c r="EU76" s="319">
        <v>925239</v>
      </c>
      <c r="EV76" s="319">
        <v>1019900</v>
      </c>
      <c r="EW76" s="319">
        <v>1509348</v>
      </c>
      <c r="EX76" s="319">
        <v>1660142</v>
      </c>
      <c r="EY76" s="319">
        <v>0</v>
      </c>
      <c r="EZ76" s="319">
        <v>0</v>
      </c>
      <c r="FA76" s="319">
        <v>0</v>
      </c>
      <c r="FB76" s="319">
        <v>0</v>
      </c>
      <c r="FC76" s="319">
        <v>0</v>
      </c>
      <c r="FD76" s="319">
        <v>0</v>
      </c>
      <c r="FE76" s="319">
        <v>0</v>
      </c>
      <c r="FF76" s="319">
        <v>0</v>
      </c>
      <c r="FG76" s="319">
        <v>0</v>
      </c>
      <c r="FH76" s="760">
        <v>0</v>
      </c>
      <c r="FI76" s="760"/>
      <c r="FJ76" s="760"/>
      <c r="FK76" s="760"/>
      <c r="GZ76" s="62"/>
      <c r="HB76" s="62"/>
      <c r="HD76" s="62"/>
      <c r="HF76" s="62"/>
      <c r="HH76" s="62"/>
      <c r="HJ76" s="62"/>
      <c r="HL76" s="62"/>
      <c r="HN76" s="62"/>
    </row>
    <row r="77" spans="1:222" s="61" customFormat="1">
      <c r="A77" s="319" t="s">
        <v>59</v>
      </c>
      <c r="B77" s="319">
        <v>923789</v>
      </c>
      <c r="C77" s="319">
        <v>1024279</v>
      </c>
      <c r="D77" s="319">
        <v>1030768</v>
      </c>
      <c r="E77" s="319">
        <v>1048563</v>
      </c>
      <c r="F77" s="319">
        <v>1147765</v>
      </c>
      <c r="G77" s="319">
        <v>1107150</v>
      </c>
      <c r="H77" s="319">
        <v>1076593</v>
      </c>
      <c r="I77" s="319">
        <v>1627404</v>
      </c>
      <c r="J77" s="319">
        <v>1966016.94</v>
      </c>
      <c r="K77" s="319">
        <v>1232914.81</v>
      </c>
      <c r="L77" s="319">
        <v>1659033.3399999999</v>
      </c>
      <c r="M77" s="319">
        <v>1347403.7400000002</v>
      </c>
      <c r="N77" s="319">
        <v>1230352.8799999999</v>
      </c>
      <c r="O77" s="319">
        <v>3161367.82</v>
      </c>
      <c r="P77" s="319"/>
      <c r="Q77" s="319">
        <v>2166255.5100000002</v>
      </c>
      <c r="R77" s="319"/>
      <c r="S77" s="322">
        <v>1217649.71</v>
      </c>
      <c r="T77" s="760"/>
      <c r="U77" s="760"/>
      <c r="V77" s="760"/>
      <c r="W77" s="760"/>
      <c r="X77" s="42"/>
      <c r="Y77" s="319" t="s">
        <v>59</v>
      </c>
      <c r="Z77" s="319">
        <v>323326.15000000002</v>
      </c>
      <c r="AA77" s="319">
        <v>368740.44</v>
      </c>
      <c r="AB77" s="319">
        <v>381384.16</v>
      </c>
      <c r="AC77" s="319">
        <v>398453.94</v>
      </c>
      <c r="AD77" s="319">
        <v>390240.1</v>
      </c>
      <c r="AE77" s="319">
        <v>409645.5</v>
      </c>
      <c r="AF77" s="319">
        <v>409105.34</v>
      </c>
      <c r="AG77" s="319">
        <v>423125.04</v>
      </c>
      <c r="AH77" s="319">
        <v>439699.14</v>
      </c>
      <c r="AI77" s="319">
        <v>484400.39</v>
      </c>
      <c r="AJ77" s="319">
        <v>468273.48</v>
      </c>
      <c r="AK77" s="319">
        <v>599496.54</v>
      </c>
      <c r="AL77" s="319">
        <v>496642.5</v>
      </c>
      <c r="AM77" s="319">
        <v>522132.47999999998</v>
      </c>
      <c r="AN77" s="319"/>
      <c r="AO77" s="319">
        <v>537100.4</v>
      </c>
      <c r="AP77" s="319"/>
      <c r="AQ77" s="322">
        <v>565097.02</v>
      </c>
      <c r="AR77" s="760"/>
      <c r="AS77" s="760"/>
      <c r="AT77" s="760"/>
      <c r="AU77" s="760"/>
      <c r="AV77" s="62"/>
      <c r="AW77" s="319" t="s">
        <v>59</v>
      </c>
      <c r="AX77" s="319">
        <v>0</v>
      </c>
      <c r="AY77" s="319">
        <v>0</v>
      </c>
      <c r="AZ77" s="319">
        <v>0</v>
      </c>
      <c r="BA77" s="319">
        <v>157284.45000000001</v>
      </c>
      <c r="BB77" s="319">
        <v>137731.79999999999</v>
      </c>
      <c r="BC77" s="319">
        <v>0</v>
      </c>
      <c r="BD77" s="319">
        <v>0</v>
      </c>
      <c r="BE77" s="319">
        <v>0</v>
      </c>
      <c r="BF77" s="319">
        <v>0</v>
      </c>
      <c r="BG77" s="319">
        <v>0</v>
      </c>
      <c r="BH77" s="319">
        <v>0</v>
      </c>
      <c r="BI77" s="319">
        <v>0</v>
      </c>
      <c r="BJ77" s="319">
        <v>0</v>
      </c>
      <c r="BK77" s="319">
        <v>0</v>
      </c>
      <c r="BL77" s="319"/>
      <c r="BM77" s="319">
        <v>0</v>
      </c>
      <c r="BN77" s="319"/>
      <c r="BO77" s="322">
        <v>0</v>
      </c>
      <c r="BP77" s="760"/>
      <c r="BQ77" s="760"/>
      <c r="BR77" s="760"/>
      <c r="BS77" s="760"/>
      <c r="BT77" s="62"/>
      <c r="BU77" s="319" t="s">
        <v>59</v>
      </c>
      <c r="BV77" s="319">
        <v>563511.29</v>
      </c>
      <c r="BW77" s="319">
        <v>624810.18999999994</v>
      </c>
      <c r="BX77" s="319">
        <v>618460.80000000005</v>
      </c>
      <c r="BY77" s="319">
        <v>408939.57</v>
      </c>
      <c r="BZ77" s="319">
        <v>585360.15</v>
      </c>
      <c r="CA77" s="319">
        <v>664290</v>
      </c>
      <c r="CB77" s="319">
        <v>635189.87</v>
      </c>
      <c r="CC77" s="319">
        <v>1188004.92</v>
      </c>
      <c r="CD77" s="319">
        <v>1301462.1099999999</v>
      </c>
      <c r="CE77" s="319">
        <v>718418.15999999992</v>
      </c>
      <c r="CF77" s="319">
        <v>893940.75</v>
      </c>
      <c r="CG77" s="319">
        <v>656719.44000000006</v>
      </c>
      <c r="CH77" s="319">
        <v>588126.77</v>
      </c>
      <c r="CI77" s="319">
        <v>2501607.23</v>
      </c>
      <c r="CJ77" s="319"/>
      <c r="CK77" s="319">
        <v>1471844.79</v>
      </c>
      <c r="CL77" s="319"/>
      <c r="CM77" s="322">
        <v>562541.87</v>
      </c>
      <c r="CN77" s="760"/>
      <c r="CO77" s="760"/>
      <c r="CP77" s="760"/>
      <c r="CQ77" s="760"/>
      <c r="CR77" s="62"/>
      <c r="CS77" s="319" t="s">
        <v>59</v>
      </c>
      <c r="CT77" s="319">
        <v>9237.89</v>
      </c>
      <c r="CU77" s="319">
        <v>20485.580000000002</v>
      </c>
      <c r="CV77" s="319">
        <v>30923.040000000001</v>
      </c>
      <c r="CW77" s="319">
        <v>20971.259999999998</v>
      </c>
      <c r="CX77" s="319">
        <v>11477.65</v>
      </c>
      <c r="CY77" s="319">
        <v>11071.5</v>
      </c>
      <c r="CZ77" s="319">
        <v>10765.93</v>
      </c>
      <c r="DA77" s="319">
        <v>0</v>
      </c>
      <c r="DB77" s="319">
        <v>4820.57</v>
      </c>
      <c r="DC77" s="319">
        <v>1575.26</v>
      </c>
      <c r="DD77" s="319">
        <v>5483.06</v>
      </c>
      <c r="DE77" s="319">
        <v>963.16</v>
      </c>
      <c r="DF77" s="319">
        <v>1144.27</v>
      </c>
      <c r="DG77" s="319">
        <v>11.21</v>
      </c>
      <c r="DH77" s="319"/>
      <c r="DI77" s="319">
        <v>3424.07</v>
      </c>
      <c r="DJ77" s="319"/>
      <c r="DK77" s="322">
        <v>887.93</v>
      </c>
      <c r="DL77" s="760"/>
      <c r="DM77" s="760"/>
      <c r="DN77" s="760"/>
      <c r="DO77" s="760"/>
      <c r="DP77" s="62"/>
      <c r="DQ77" s="319" t="s">
        <v>59</v>
      </c>
      <c r="DR77" s="319">
        <v>27713.67</v>
      </c>
      <c r="DS77" s="319">
        <v>10242.790000000001</v>
      </c>
      <c r="DT77" s="319">
        <v>0</v>
      </c>
      <c r="DU77" s="319">
        <v>62913.78</v>
      </c>
      <c r="DV77" s="319">
        <v>22955.3</v>
      </c>
      <c r="DW77" s="319">
        <v>22143</v>
      </c>
      <c r="DX77" s="319">
        <v>21531.86</v>
      </c>
      <c r="DY77" s="319">
        <v>16274.04</v>
      </c>
      <c r="DZ77" s="319">
        <v>220035.12</v>
      </c>
      <c r="EA77" s="319">
        <v>28521</v>
      </c>
      <c r="EB77" s="319">
        <v>291336.05</v>
      </c>
      <c r="EC77" s="319">
        <v>85131.36</v>
      </c>
      <c r="ED77" s="319">
        <v>68519.34</v>
      </c>
      <c r="EE77" s="319">
        <v>92616.9</v>
      </c>
      <c r="EF77" s="319"/>
      <c r="EG77" s="319">
        <v>153886.25</v>
      </c>
      <c r="EH77" s="319"/>
      <c r="EI77" s="322">
        <v>89122.890000000014</v>
      </c>
      <c r="EJ77" s="767"/>
      <c r="EK77" s="767"/>
      <c r="EL77" s="767"/>
      <c r="EM77" s="767"/>
      <c r="EO77" s="319" t="s">
        <v>59</v>
      </c>
      <c r="EP77" s="319">
        <v>756626</v>
      </c>
      <c r="EQ77" s="319">
        <v>879983</v>
      </c>
      <c r="ER77" s="319">
        <v>923132</v>
      </c>
      <c r="ES77" s="319">
        <v>1330395</v>
      </c>
      <c r="ET77" s="319">
        <v>1273425</v>
      </c>
      <c r="EU77" s="319">
        <v>1069154</v>
      </c>
      <c r="EV77" s="319">
        <v>1124617</v>
      </c>
      <c r="EW77" s="319">
        <v>1576528</v>
      </c>
      <c r="EX77" s="319">
        <v>1786425.54</v>
      </c>
      <c r="EY77" s="319">
        <v>1429471.81</v>
      </c>
      <c r="EZ77" s="319">
        <v>1882685.4600000002</v>
      </c>
      <c r="FA77" s="319">
        <v>1312211.33</v>
      </c>
      <c r="FB77" s="319">
        <v>1464969.0899999999</v>
      </c>
      <c r="FC77" s="319">
        <v>2727031.1599999997</v>
      </c>
      <c r="FD77" s="319"/>
      <c r="FE77" s="319">
        <v>1796777.7699999996</v>
      </c>
      <c r="FF77" s="319"/>
      <c r="FG77" s="322">
        <v>1423822.57</v>
      </c>
      <c r="FH77" s="760"/>
      <c r="FI77" s="760"/>
      <c r="FJ77" s="760"/>
      <c r="FK77" s="760"/>
      <c r="GZ77" s="62"/>
      <c r="HB77" s="62"/>
      <c r="HD77" s="62"/>
      <c r="HF77" s="62"/>
      <c r="HH77" s="62"/>
      <c r="HJ77" s="62"/>
      <c r="HL77" s="62"/>
      <c r="HN77" s="62"/>
    </row>
    <row r="78" spans="1:222" s="61" customFormat="1">
      <c r="A78" s="319" t="s">
        <v>60</v>
      </c>
      <c r="B78" s="319">
        <v>985552</v>
      </c>
      <c r="C78" s="319">
        <v>1086548</v>
      </c>
      <c r="D78" s="319">
        <v>1101034</v>
      </c>
      <c r="E78" s="319">
        <v>1286621</v>
      </c>
      <c r="F78" s="319">
        <v>1265460</v>
      </c>
      <c r="G78" s="319">
        <v>1464021</v>
      </c>
      <c r="H78" s="319">
        <v>1545382</v>
      </c>
      <c r="I78" s="319">
        <v>1330565</v>
      </c>
      <c r="J78" s="319">
        <v>1365051.1099999999</v>
      </c>
      <c r="K78" s="319">
        <v>1550704.3800000001</v>
      </c>
      <c r="L78" s="319">
        <v>1955974.6300000001</v>
      </c>
      <c r="M78" s="319">
        <v>1541291.46</v>
      </c>
      <c r="N78" s="319">
        <v>1517099.18</v>
      </c>
      <c r="O78" s="319">
        <v>1518816.56</v>
      </c>
      <c r="P78" s="319">
        <v>1730976.77</v>
      </c>
      <c r="Q78" s="319">
        <v>1610968.9</v>
      </c>
      <c r="R78" s="319">
        <v>1512074.3800000001</v>
      </c>
      <c r="S78" s="322">
        <v>1663951.19</v>
      </c>
      <c r="T78" s="760">
        <v>1983978.39</v>
      </c>
      <c r="U78" s="760">
        <v>1955370.2999999998</v>
      </c>
      <c r="V78" s="760">
        <v>1966923.01</v>
      </c>
      <c r="W78" s="760">
        <v>1657825</v>
      </c>
      <c r="X78" s="42"/>
      <c r="Y78" s="319" t="s">
        <v>60</v>
      </c>
      <c r="Z78" s="319">
        <v>413931.84</v>
      </c>
      <c r="AA78" s="319">
        <v>434619.2</v>
      </c>
      <c r="AB78" s="319">
        <v>473444.62</v>
      </c>
      <c r="AC78" s="319">
        <v>604711.87</v>
      </c>
      <c r="AD78" s="319">
        <v>594766.19999999995</v>
      </c>
      <c r="AE78" s="319">
        <v>629529.03</v>
      </c>
      <c r="AF78" s="319">
        <v>695421.9</v>
      </c>
      <c r="AG78" s="319">
        <v>691893.8</v>
      </c>
      <c r="AH78" s="319">
        <v>715445.57</v>
      </c>
      <c r="AI78" s="319">
        <v>715335.23</v>
      </c>
      <c r="AJ78" s="319">
        <v>767329.77</v>
      </c>
      <c r="AK78" s="319">
        <v>798708.23</v>
      </c>
      <c r="AL78" s="319">
        <v>836329.05</v>
      </c>
      <c r="AM78" s="319">
        <v>889694.16</v>
      </c>
      <c r="AN78" s="319">
        <v>882516.4</v>
      </c>
      <c r="AO78" s="319">
        <v>944635.67999999993</v>
      </c>
      <c r="AP78" s="319">
        <v>899022.57000000007</v>
      </c>
      <c r="AQ78" s="322">
        <v>902315.96</v>
      </c>
      <c r="AR78" s="760">
        <v>985039.69000000006</v>
      </c>
      <c r="AS78" s="760">
        <v>1006148.2</v>
      </c>
      <c r="AT78" s="760">
        <v>1114306.51</v>
      </c>
      <c r="AU78" s="760">
        <v>986000</v>
      </c>
      <c r="AV78" s="62"/>
      <c r="AW78" s="319" t="s">
        <v>60</v>
      </c>
      <c r="AX78" s="319">
        <v>0</v>
      </c>
      <c r="AY78" s="319">
        <v>0</v>
      </c>
      <c r="AZ78" s="319">
        <v>0</v>
      </c>
      <c r="BA78" s="319">
        <v>0</v>
      </c>
      <c r="BB78" s="319">
        <v>0</v>
      </c>
      <c r="BC78" s="319">
        <v>0</v>
      </c>
      <c r="BD78" s="319">
        <v>0</v>
      </c>
      <c r="BE78" s="319">
        <v>0</v>
      </c>
      <c r="BF78" s="319">
        <v>0</v>
      </c>
      <c r="BG78" s="319">
        <v>0</v>
      </c>
      <c r="BH78" s="319">
        <v>0</v>
      </c>
      <c r="BI78" s="319">
        <v>0</v>
      </c>
      <c r="BJ78" s="319">
        <v>0</v>
      </c>
      <c r="BK78" s="319">
        <v>0</v>
      </c>
      <c r="BL78" s="319">
        <v>0</v>
      </c>
      <c r="BM78" s="319">
        <v>0</v>
      </c>
      <c r="BN78" s="319">
        <v>0</v>
      </c>
      <c r="BO78" s="322">
        <v>0</v>
      </c>
      <c r="BP78" s="760">
        <v>0</v>
      </c>
      <c r="BQ78" s="760">
        <v>0</v>
      </c>
      <c r="BR78" s="760">
        <v>0</v>
      </c>
      <c r="BS78" s="760">
        <v>0</v>
      </c>
      <c r="BT78" s="62"/>
      <c r="BU78" s="319" t="s">
        <v>60</v>
      </c>
      <c r="BV78" s="319">
        <v>532198.07999999996</v>
      </c>
      <c r="BW78" s="319">
        <v>575870.43999999994</v>
      </c>
      <c r="BX78" s="319">
        <v>583548.02</v>
      </c>
      <c r="BY78" s="319">
        <v>617578.07999999996</v>
      </c>
      <c r="BZ78" s="319">
        <v>620075.4</v>
      </c>
      <c r="CA78" s="319">
        <v>688089.87</v>
      </c>
      <c r="CB78" s="319">
        <v>834506.28</v>
      </c>
      <c r="CC78" s="319">
        <v>625365.55000000005</v>
      </c>
      <c r="CD78" s="319">
        <v>595913.47</v>
      </c>
      <c r="CE78" s="319">
        <v>602221.59000000008</v>
      </c>
      <c r="CF78" s="319">
        <v>787135.9800000001</v>
      </c>
      <c r="CG78" s="319">
        <v>616783.55000000005</v>
      </c>
      <c r="CH78" s="319">
        <v>597302.74999999988</v>
      </c>
      <c r="CI78" s="319">
        <v>574321.41999999993</v>
      </c>
      <c r="CJ78" s="319">
        <v>811994.0199999999</v>
      </c>
      <c r="CK78" s="319">
        <v>616139.76</v>
      </c>
      <c r="CL78" s="319">
        <v>578270.79</v>
      </c>
      <c r="CM78" s="322">
        <v>601447.79999999993</v>
      </c>
      <c r="CN78" s="760">
        <v>972204.35999999987</v>
      </c>
      <c r="CO78" s="760">
        <v>912056.26</v>
      </c>
      <c r="CP78" s="760">
        <v>699992.42</v>
      </c>
      <c r="CQ78" s="760">
        <v>552750</v>
      </c>
      <c r="CR78" s="62"/>
      <c r="CS78" s="319" t="s">
        <v>60</v>
      </c>
      <c r="CT78" s="319">
        <v>29566.560000000001</v>
      </c>
      <c r="CU78" s="319">
        <v>32596.44</v>
      </c>
      <c r="CV78" s="319">
        <v>33031.019999999997</v>
      </c>
      <c r="CW78" s="319">
        <v>25732.42</v>
      </c>
      <c r="CX78" s="319">
        <v>37963.800000000003</v>
      </c>
      <c r="CY78" s="319">
        <v>43920.63</v>
      </c>
      <c r="CZ78" s="319">
        <v>15453.82</v>
      </c>
      <c r="DA78" s="319">
        <v>13305.65</v>
      </c>
      <c r="DB78" s="319">
        <v>10091.31</v>
      </c>
      <c r="DC78" s="319">
        <v>9761.08</v>
      </c>
      <c r="DD78" s="319">
        <v>36521.46</v>
      </c>
      <c r="DE78" s="319">
        <v>26340.880000000001</v>
      </c>
      <c r="DF78" s="319">
        <v>19832.93</v>
      </c>
      <c r="DG78" s="319">
        <v>13364.08</v>
      </c>
      <c r="DH78" s="319">
        <v>4575.1499999999996</v>
      </c>
      <c r="DI78" s="319">
        <v>5407.75</v>
      </c>
      <c r="DJ78" s="319">
        <v>3686.1</v>
      </c>
      <c r="DK78" s="322">
        <v>2297.62</v>
      </c>
      <c r="DL78" s="760">
        <v>1017.07</v>
      </c>
      <c r="DM78" s="760">
        <v>1537.34</v>
      </c>
      <c r="DN78" s="760">
        <v>1756.94</v>
      </c>
      <c r="DO78" s="760">
        <v>1250</v>
      </c>
      <c r="DP78" s="62"/>
      <c r="DQ78" s="319" t="s">
        <v>60</v>
      </c>
      <c r="DR78" s="319">
        <v>9855.52</v>
      </c>
      <c r="DS78" s="319">
        <v>43461.919999999998</v>
      </c>
      <c r="DT78" s="319">
        <v>11010.34</v>
      </c>
      <c r="DU78" s="319">
        <v>38598.629999999997</v>
      </c>
      <c r="DV78" s="319">
        <v>12654.6</v>
      </c>
      <c r="DW78" s="319">
        <v>102481.47</v>
      </c>
      <c r="DX78" s="319">
        <v>0</v>
      </c>
      <c r="DY78" s="319">
        <v>0</v>
      </c>
      <c r="DZ78" s="319">
        <v>4474.63</v>
      </c>
      <c r="EA78" s="319">
        <v>1338.35</v>
      </c>
      <c r="EB78" s="319">
        <v>70993.59</v>
      </c>
      <c r="EC78" s="319">
        <v>27160.670000000002</v>
      </c>
      <c r="ED78" s="319">
        <v>5235.93</v>
      </c>
      <c r="EE78" s="319">
        <v>20964.400000000001</v>
      </c>
      <c r="EF78" s="319">
        <v>9887.7000000000007</v>
      </c>
      <c r="EG78" s="319">
        <v>17501.309999999998</v>
      </c>
      <c r="EH78" s="319">
        <v>16973.419999999998</v>
      </c>
      <c r="EI78" s="322">
        <v>36275.81</v>
      </c>
      <c r="EJ78" s="767">
        <v>11719.52</v>
      </c>
      <c r="EK78" s="767">
        <v>8692.25</v>
      </c>
      <c r="EL78" s="767">
        <v>32182.809999999998</v>
      </c>
      <c r="EM78" s="767">
        <v>7825</v>
      </c>
      <c r="EO78" s="319" t="s">
        <v>60</v>
      </c>
      <c r="EP78" s="319">
        <v>947406</v>
      </c>
      <c r="EQ78" s="319">
        <v>1166338</v>
      </c>
      <c r="ER78" s="319">
        <v>1055284</v>
      </c>
      <c r="ES78" s="319">
        <v>1165943</v>
      </c>
      <c r="ET78" s="319">
        <v>1434716</v>
      </c>
      <c r="EU78" s="319">
        <v>1763941</v>
      </c>
      <c r="EV78" s="319">
        <v>1150659</v>
      </c>
      <c r="EW78" s="319">
        <v>1387080</v>
      </c>
      <c r="EX78" s="319">
        <v>1346570.9400000002</v>
      </c>
      <c r="EY78" s="319">
        <v>1719226.48</v>
      </c>
      <c r="EZ78" s="319">
        <v>1735267.71</v>
      </c>
      <c r="FA78" s="319">
        <v>1594855.04</v>
      </c>
      <c r="FB78" s="319">
        <v>1659298.44</v>
      </c>
      <c r="FC78" s="319">
        <v>1351223.57</v>
      </c>
      <c r="FD78" s="319">
        <v>1705868.58</v>
      </c>
      <c r="FE78" s="319">
        <v>1589069.878</v>
      </c>
      <c r="FF78" s="319">
        <v>1725205.1600000001</v>
      </c>
      <c r="FG78" s="322">
        <v>1805568.23</v>
      </c>
      <c r="FH78" s="760">
        <v>1858316.4100000001</v>
      </c>
      <c r="FI78" s="760">
        <v>1919396.9500000002</v>
      </c>
      <c r="FJ78" s="760">
        <v>1471158.08</v>
      </c>
      <c r="FK78" s="760">
        <v>2209600</v>
      </c>
      <c r="GZ78" s="62"/>
      <c r="HB78" s="62"/>
      <c r="HD78" s="62"/>
      <c r="HF78" s="62"/>
      <c r="HH78" s="62"/>
      <c r="HJ78" s="62"/>
      <c r="HL78" s="62"/>
      <c r="HN78" s="62"/>
    </row>
    <row r="79" spans="1:222" s="61" customFormat="1">
      <c r="A79" s="319" t="s">
        <v>61</v>
      </c>
      <c r="B79" s="319">
        <v>2170425</v>
      </c>
      <c r="C79" s="319">
        <v>2325242</v>
      </c>
      <c r="D79" s="319">
        <v>2479550</v>
      </c>
      <c r="E79" s="319">
        <v>2321506</v>
      </c>
      <c r="F79" s="319">
        <v>2074329</v>
      </c>
      <c r="G79" s="319">
        <v>2656392</v>
      </c>
      <c r="H79" s="319">
        <v>2354003</v>
      </c>
      <c r="I79" s="319">
        <v>2503631</v>
      </c>
      <c r="J79" s="319">
        <v>2871520</v>
      </c>
      <c r="K79" s="319">
        <v>2815528</v>
      </c>
      <c r="L79" s="319">
        <v>2247150</v>
      </c>
      <c r="M79" s="319">
        <v>2896598</v>
      </c>
      <c r="N79" s="319">
        <v>2872658</v>
      </c>
      <c r="O79" s="319">
        <v>3109065</v>
      </c>
      <c r="P79" s="319">
        <v>2849328</v>
      </c>
      <c r="Q79" s="319">
        <v>3159746</v>
      </c>
      <c r="R79" s="319">
        <v>3066238</v>
      </c>
      <c r="S79" s="322">
        <v>2925654</v>
      </c>
      <c r="T79" s="760">
        <v>3934716</v>
      </c>
      <c r="U79" s="760">
        <v>3011427</v>
      </c>
      <c r="V79" s="760">
        <v>3974356</v>
      </c>
      <c r="W79" s="760">
        <v>3474516</v>
      </c>
      <c r="X79" s="42"/>
      <c r="Y79" s="319" t="s">
        <v>61</v>
      </c>
      <c r="Z79" s="319">
        <v>217042.5</v>
      </c>
      <c r="AA79" s="319">
        <v>209271.78</v>
      </c>
      <c r="AB79" s="319">
        <v>247955</v>
      </c>
      <c r="AC79" s="319">
        <v>255365.66</v>
      </c>
      <c r="AD79" s="319">
        <v>207432.9</v>
      </c>
      <c r="AE79" s="319">
        <v>239075.28</v>
      </c>
      <c r="AF79" s="319">
        <v>258940.33</v>
      </c>
      <c r="AG79" s="319">
        <v>275399.40999999997</v>
      </c>
      <c r="AH79" s="319">
        <v>342861</v>
      </c>
      <c r="AI79" s="319">
        <v>322769</v>
      </c>
      <c r="AJ79" s="319">
        <v>369155</v>
      </c>
      <c r="AK79" s="319">
        <v>409380</v>
      </c>
      <c r="AL79" s="319">
        <v>504549</v>
      </c>
      <c r="AM79" s="319">
        <v>513977</v>
      </c>
      <c r="AN79" s="319">
        <v>541298</v>
      </c>
      <c r="AO79" s="319">
        <v>495959</v>
      </c>
      <c r="AP79" s="319">
        <v>564048</v>
      </c>
      <c r="AQ79" s="322">
        <v>534905</v>
      </c>
      <c r="AR79" s="760">
        <v>641706</v>
      </c>
      <c r="AS79" s="760">
        <v>520702</v>
      </c>
      <c r="AT79" s="760">
        <v>579132</v>
      </c>
      <c r="AU79" s="760">
        <v>565000</v>
      </c>
      <c r="AV79" s="62"/>
      <c r="AW79" s="319" t="s">
        <v>61</v>
      </c>
      <c r="AX79" s="319">
        <v>694536</v>
      </c>
      <c r="AY79" s="319">
        <v>860339.54</v>
      </c>
      <c r="AZ79" s="319">
        <v>694274</v>
      </c>
      <c r="BA79" s="319">
        <v>673236.74</v>
      </c>
      <c r="BB79" s="319">
        <v>684528.57</v>
      </c>
      <c r="BC79" s="319">
        <v>717225.84</v>
      </c>
      <c r="BD79" s="319">
        <v>941601.2</v>
      </c>
      <c r="BE79" s="319">
        <v>951379.78</v>
      </c>
      <c r="BF79" s="319">
        <v>816139</v>
      </c>
      <c r="BG79" s="319">
        <v>831660</v>
      </c>
      <c r="BH79" s="319">
        <v>882841</v>
      </c>
      <c r="BI79" s="319">
        <v>877041</v>
      </c>
      <c r="BJ79" s="319">
        <v>850743</v>
      </c>
      <c r="BK79" s="319">
        <v>824111</v>
      </c>
      <c r="BL79" s="319">
        <v>847136</v>
      </c>
      <c r="BM79" s="319">
        <v>858866</v>
      </c>
      <c r="BN79" s="319">
        <v>874222</v>
      </c>
      <c r="BO79" s="322">
        <v>868947</v>
      </c>
      <c r="BP79" s="760">
        <v>922952</v>
      </c>
      <c r="BQ79" s="760">
        <v>976588</v>
      </c>
      <c r="BR79" s="760">
        <v>984835</v>
      </c>
      <c r="BS79" s="760">
        <v>980000</v>
      </c>
      <c r="BT79" s="62"/>
      <c r="BU79" s="319" t="s">
        <v>61</v>
      </c>
      <c r="BV79" s="319">
        <v>716240.25</v>
      </c>
      <c r="BW79" s="319">
        <v>883591.96</v>
      </c>
      <c r="BX79" s="319">
        <v>843047</v>
      </c>
      <c r="BY79" s="319">
        <v>858957.22</v>
      </c>
      <c r="BZ79" s="319">
        <v>850474.89</v>
      </c>
      <c r="CA79" s="319">
        <v>850045.43999999994</v>
      </c>
      <c r="CB79" s="319">
        <v>894521.14</v>
      </c>
      <c r="CC79" s="319">
        <v>976416.09</v>
      </c>
      <c r="CD79" s="319">
        <v>935547</v>
      </c>
      <c r="CE79" s="319">
        <v>1243328</v>
      </c>
      <c r="CF79" s="319">
        <v>846682</v>
      </c>
      <c r="CG79" s="319">
        <v>977635</v>
      </c>
      <c r="CH79" s="319">
        <v>1189218</v>
      </c>
      <c r="CI79" s="319">
        <v>1517429</v>
      </c>
      <c r="CJ79" s="319">
        <v>1398130</v>
      </c>
      <c r="CK79" s="319">
        <v>989896</v>
      </c>
      <c r="CL79" s="319">
        <v>1349489</v>
      </c>
      <c r="CM79" s="322">
        <v>1147452</v>
      </c>
      <c r="CN79" s="760">
        <v>1882534</v>
      </c>
      <c r="CO79" s="760">
        <v>1285316</v>
      </c>
      <c r="CP79" s="760">
        <v>2400297</v>
      </c>
      <c r="CQ79" s="760">
        <v>1822516</v>
      </c>
      <c r="CR79" s="62"/>
      <c r="CS79" s="319" t="s">
        <v>61</v>
      </c>
      <c r="CT79" s="319">
        <v>0</v>
      </c>
      <c r="CU79" s="319">
        <v>0</v>
      </c>
      <c r="CV79" s="319">
        <v>0</v>
      </c>
      <c r="CW79" s="319">
        <v>0</v>
      </c>
      <c r="CX79" s="319">
        <v>0</v>
      </c>
      <c r="CY79" s="319">
        <v>0</v>
      </c>
      <c r="CZ79" s="319">
        <v>0</v>
      </c>
      <c r="DA79" s="319">
        <v>0</v>
      </c>
      <c r="DB79" s="319">
        <v>6852</v>
      </c>
      <c r="DC79" s="319">
        <v>6519</v>
      </c>
      <c r="DD79" s="319">
        <v>9124</v>
      </c>
      <c r="DE79" s="319">
        <v>14248</v>
      </c>
      <c r="DF79" s="319">
        <v>18446</v>
      </c>
      <c r="DG79" s="319">
        <v>13425</v>
      </c>
      <c r="DH79" s="319">
        <v>16651</v>
      </c>
      <c r="DI79" s="319">
        <v>12497</v>
      </c>
      <c r="DJ79" s="319">
        <v>1039</v>
      </c>
      <c r="DK79" s="322">
        <v>1635</v>
      </c>
      <c r="DL79" s="760">
        <v>961</v>
      </c>
      <c r="DM79" s="760">
        <v>2976</v>
      </c>
      <c r="DN79" s="760">
        <v>3253</v>
      </c>
      <c r="DO79" s="760">
        <v>2000</v>
      </c>
      <c r="DP79" s="62"/>
      <c r="DQ79" s="319" t="s">
        <v>61</v>
      </c>
      <c r="DR79" s="319">
        <v>542606.25</v>
      </c>
      <c r="DS79" s="319">
        <v>372038.72</v>
      </c>
      <c r="DT79" s="319">
        <v>694274</v>
      </c>
      <c r="DU79" s="319">
        <v>533946.38</v>
      </c>
      <c r="DV79" s="319">
        <v>331892.64</v>
      </c>
      <c r="DW79" s="319">
        <v>850045.43999999994</v>
      </c>
      <c r="DX79" s="319">
        <v>258940.33</v>
      </c>
      <c r="DY79" s="319">
        <v>300435.71999999997</v>
      </c>
      <c r="DZ79" s="319">
        <v>523653</v>
      </c>
      <c r="EA79" s="319">
        <v>172026</v>
      </c>
      <c r="EB79" s="319">
        <v>57803</v>
      </c>
      <c r="EC79" s="319">
        <v>75463</v>
      </c>
      <c r="ED79" s="319">
        <v>20056</v>
      </c>
      <c r="EE79" s="319">
        <v>91885</v>
      </c>
      <c r="EF79" s="319">
        <v>46113</v>
      </c>
      <c r="EG79" s="319">
        <v>601528</v>
      </c>
      <c r="EH79" s="319">
        <v>82572</v>
      </c>
      <c r="EI79" s="322">
        <v>167715</v>
      </c>
      <c r="EJ79" s="767">
        <v>483903</v>
      </c>
      <c r="EK79" s="767">
        <v>26845</v>
      </c>
      <c r="EL79" s="767">
        <v>6839</v>
      </c>
      <c r="EM79" s="767">
        <v>5000</v>
      </c>
      <c r="EO79" s="319" t="s">
        <v>61</v>
      </c>
      <c r="EP79" s="319">
        <v>2221630</v>
      </c>
      <c r="EQ79" s="319">
        <v>2328325</v>
      </c>
      <c r="ER79" s="319">
        <v>2384088</v>
      </c>
      <c r="ES79" s="319">
        <v>2413162</v>
      </c>
      <c r="ET79" s="319">
        <v>2078301</v>
      </c>
      <c r="EU79" s="319">
        <v>2656301</v>
      </c>
      <c r="EV79" s="319">
        <v>2354197</v>
      </c>
      <c r="EW79" s="319">
        <v>2499413</v>
      </c>
      <c r="EX79" s="319">
        <v>2633671</v>
      </c>
      <c r="EY79" s="319">
        <v>3056990</v>
      </c>
      <c r="EZ79" s="319">
        <v>2134871</v>
      </c>
      <c r="FA79" s="319">
        <v>2962108</v>
      </c>
      <c r="FB79" s="319">
        <v>2872121</v>
      </c>
      <c r="FC79" s="319">
        <v>2688621</v>
      </c>
      <c r="FD79" s="319">
        <v>3021465</v>
      </c>
      <c r="FE79" s="319">
        <v>3387981</v>
      </c>
      <c r="FF79" s="319">
        <v>2917665</v>
      </c>
      <c r="FG79" s="322">
        <v>3142000</v>
      </c>
      <c r="FH79" s="760">
        <v>3265869</v>
      </c>
      <c r="FI79" s="760">
        <v>3128282</v>
      </c>
      <c r="FJ79" s="760">
        <v>3475395</v>
      </c>
      <c r="FK79" s="760">
        <v>4518597</v>
      </c>
      <c r="GZ79" s="62"/>
      <c r="HB79" s="62"/>
      <c r="HD79" s="62"/>
      <c r="HF79" s="62"/>
      <c r="HH79" s="62"/>
      <c r="HJ79" s="62"/>
      <c r="HL79" s="62"/>
      <c r="HN79" s="62"/>
    </row>
    <row r="80" spans="1:222" s="61" customFormat="1">
      <c r="A80" s="319" t="s">
        <v>62</v>
      </c>
      <c r="B80" s="319">
        <v>1066508</v>
      </c>
      <c r="C80" s="319">
        <v>1026418</v>
      </c>
      <c r="D80" s="319">
        <v>1930449</v>
      </c>
      <c r="E80" s="319">
        <v>1975254</v>
      </c>
      <c r="F80" s="319">
        <v>1855694</v>
      </c>
      <c r="G80" s="319">
        <v>1935269</v>
      </c>
      <c r="H80" s="319">
        <v>1816379</v>
      </c>
      <c r="I80" s="319">
        <v>2079281</v>
      </c>
      <c r="J80" s="319">
        <v>2144504.29</v>
      </c>
      <c r="K80" s="319">
        <v>1762994.1799999997</v>
      </c>
      <c r="L80" s="319">
        <v>1918574.08</v>
      </c>
      <c r="M80" s="319">
        <v>2020584.1</v>
      </c>
      <c r="N80" s="319">
        <v>2257653.19</v>
      </c>
      <c r="O80" s="319">
        <v>1687104.4700000002</v>
      </c>
      <c r="P80" s="319">
        <v>2491307.87</v>
      </c>
      <c r="Q80" s="319">
        <v>2713704.0300000003</v>
      </c>
      <c r="R80" s="319"/>
      <c r="S80" s="322"/>
      <c r="T80" s="760"/>
      <c r="U80" s="760"/>
      <c r="V80" s="760"/>
      <c r="W80" s="760"/>
      <c r="X80" s="42"/>
      <c r="Y80" s="319" t="s">
        <v>62</v>
      </c>
      <c r="Z80" s="319">
        <v>266627</v>
      </c>
      <c r="AA80" s="319">
        <v>307925.40000000002</v>
      </c>
      <c r="AB80" s="319">
        <v>308871.84000000003</v>
      </c>
      <c r="AC80" s="319">
        <v>316040.64</v>
      </c>
      <c r="AD80" s="319">
        <v>334024.92</v>
      </c>
      <c r="AE80" s="319">
        <v>348348.42</v>
      </c>
      <c r="AF80" s="319">
        <v>345112.01</v>
      </c>
      <c r="AG80" s="319">
        <v>374270.58</v>
      </c>
      <c r="AH80" s="319">
        <v>363703.43000000005</v>
      </c>
      <c r="AI80" s="319">
        <v>353627.89999999997</v>
      </c>
      <c r="AJ80" s="319">
        <v>389674.83999999997</v>
      </c>
      <c r="AK80" s="319">
        <v>396023.06</v>
      </c>
      <c r="AL80" s="319">
        <v>423403.83</v>
      </c>
      <c r="AM80" s="319">
        <v>0</v>
      </c>
      <c r="AN80" s="319">
        <v>480891.12</v>
      </c>
      <c r="AO80" s="319">
        <v>557923.82999999996</v>
      </c>
      <c r="AP80" s="319"/>
      <c r="AQ80" s="322"/>
      <c r="AR80" s="760"/>
      <c r="AS80" s="760"/>
      <c r="AT80" s="760"/>
      <c r="AU80" s="760"/>
      <c r="AV80" s="62"/>
      <c r="AW80" s="319" t="s">
        <v>62</v>
      </c>
      <c r="AX80" s="319">
        <v>0</v>
      </c>
      <c r="AY80" s="319">
        <v>41056.720000000001</v>
      </c>
      <c r="AZ80" s="319">
        <v>617743.68000000005</v>
      </c>
      <c r="BA80" s="319">
        <v>612328.74</v>
      </c>
      <c r="BB80" s="319">
        <v>649492.9</v>
      </c>
      <c r="BC80" s="319">
        <v>677344.15</v>
      </c>
      <c r="BD80" s="319">
        <v>672060.23</v>
      </c>
      <c r="BE80" s="319">
        <v>686162.73</v>
      </c>
      <c r="BF80" s="319">
        <v>683865.52</v>
      </c>
      <c r="BG80" s="319">
        <v>707280.97</v>
      </c>
      <c r="BH80" s="319">
        <v>717754.38</v>
      </c>
      <c r="BI80" s="319">
        <v>694216.82</v>
      </c>
      <c r="BJ80" s="319">
        <v>796185.26</v>
      </c>
      <c r="BK80" s="319">
        <v>760350.66</v>
      </c>
      <c r="BL80" s="319">
        <v>756370.38</v>
      </c>
      <c r="BM80" s="319">
        <v>811051.97</v>
      </c>
      <c r="BN80" s="319"/>
      <c r="BO80" s="322"/>
      <c r="BP80" s="760"/>
      <c r="BQ80" s="760"/>
      <c r="BR80" s="760"/>
      <c r="BS80" s="760"/>
      <c r="BT80" s="62"/>
      <c r="BU80" s="319" t="s">
        <v>62</v>
      </c>
      <c r="BV80" s="319">
        <v>789215.92</v>
      </c>
      <c r="BW80" s="319">
        <v>667171.69999999995</v>
      </c>
      <c r="BX80" s="319">
        <v>830093.07</v>
      </c>
      <c r="BY80" s="319">
        <v>1007379.54</v>
      </c>
      <c r="BZ80" s="319">
        <v>816505.36</v>
      </c>
      <c r="CA80" s="319">
        <v>851518.36</v>
      </c>
      <c r="CB80" s="319">
        <v>762879.18</v>
      </c>
      <c r="CC80" s="319">
        <v>998054.88</v>
      </c>
      <c r="CD80" s="319">
        <v>1058673.28</v>
      </c>
      <c r="CE80" s="319">
        <v>689858.86999999988</v>
      </c>
      <c r="CF80" s="319">
        <v>790027.56</v>
      </c>
      <c r="CG80" s="319">
        <v>908199.29999999993</v>
      </c>
      <c r="CH80" s="319">
        <v>1012226.6100000001</v>
      </c>
      <c r="CI80" s="319">
        <v>896838.77000000014</v>
      </c>
      <c r="CJ80" s="319">
        <v>1021703.9700000001</v>
      </c>
      <c r="CK80" s="319">
        <v>1278865.76</v>
      </c>
      <c r="CL80" s="319"/>
      <c r="CM80" s="322"/>
      <c r="CN80" s="760"/>
      <c r="CO80" s="760"/>
      <c r="CP80" s="760"/>
      <c r="CQ80" s="760"/>
      <c r="CR80" s="62"/>
      <c r="CS80" s="319" t="s">
        <v>62</v>
      </c>
      <c r="CT80" s="319">
        <v>0</v>
      </c>
      <c r="CU80" s="319">
        <v>0</v>
      </c>
      <c r="CV80" s="319">
        <v>19304.490000000002</v>
      </c>
      <c r="CW80" s="319">
        <v>19752.54</v>
      </c>
      <c r="CX80" s="319">
        <v>18556.939999999999</v>
      </c>
      <c r="CY80" s="319">
        <v>19352.689999999999</v>
      </c>
      <c r="CZ80" s="319">
        <v>0</v>
      </c>
      <c r="DA80" s="319">
        <v>0</v>
      </c>
      <c r="DB80" s="319">
        <v>4948.18</v>
      </c>
      <c r="DC80" s="319">
        <v>2724.7</v>
      </c>
      <c r="DD80" s="319">
        <v>6742.15</v>
      </c>
      <c r="DE80" s="319">
        <v>9369.3700000000008</v>
      </c>
      <c r="DF80" s="319">
        <v>8192.4599999999991</v>
      </c>
      <c r="DG80" s="319">
        <v>5202.4799999999996</v>
      </c>
      <c r="DH80" s="319">
        <v>4102.4399999999996</v>
      </c>
      <c r="DI80" s="319">
        <v>3080.62</v>
      </c>
      <c r="DJ80" s="319"/>
      <c r="DK80" s="322"/>
      <c r="DL80" s="760"/>
      <c r="DM80" s="760"/>
      <c r="DN80" s="760"/>
      <c r="DO80" s="760"/>
      <c r="DP80" s="62"/>
      <c r="DQ80" s="319" t="s">
        <v>62</v>
      </c>
      <c r="DR80" s="319">
        <v>10665.08</v>
      </c>
      <c r="DS80" s="319">
        <v>10264.18</v>
      </c>
      <c r="DT80" s="319">
        <v>154435.92000000001</v>
      </c>
      <c r="DU80" s="319">
        <v>19752.54</v>
      </c>
      <c r="DV80" s="319">
        <v>37113.879999999997</v>
      </c>
      <c r="DW80" s="319">
        <v>38705.379999999997</v>
      </c>
      <c r="DX80" s="319">
        <v>36327.58</v>
      </c>
      <c r="DY80" s="319">
        <v>20792.810000000001</v>
      </c>
      <c r="DZ80" s="319">
        <v>33313.879999999997</v>
      </c>
      <c r="EA80" s="319">
        <v>9501.74</v>
      </c>
      <c r="EB80" s="319">
        <v>14375.15</v>
      </c>
      <c r="EC80" s="319">
        <v>12775.55</v>
      </c>
      <c r="ED80" s="319">
        <v>17645.03</v>
      </c>
      <c r="EE80" s="319">
        <v>24712.559999999998</v>
      </c>
      <c r="EF80" s="319">
        <v>228239.96</v>
      </c>
      <c r="EG80" s="319">
        <v>62781.850000000006</v>
      </c>
      <c r="EH80" s="319"/>
      <c r="EI80" s="322"/>
      <c r="EJ80" s="767"/>
      <c r="EK80" s="767"/>
      <c r="EL80" s="767"/>
      <c r="EM80" s="767"/>
      <c r="EO80" s="319" t="s">
        <v>62</v>
      </c>
      <c r="EP80" s="319">
        <v>1141851</v>
      </c>
      <c r="EQ80" s="319">
        <v>1041684</v>
      </c>
      <c r="ER80" s="319">
        <v>1822162</v>
      </c>
      <c r="ES80" s="319">
        <v>1948723</v>
      </c>
      <c r="ET80" s="319">
        <v>1779626</v>
      </c>
      <c r="EU80" s="319">
        <v>1914413</v>
      </c>
      <c r="EV80" s="319">
        <v>1856696</v>
      </c>
      <c r="EW80" s="319">
        <v>1951046</v>
      </c>
      <c r="EX80" s="319">
        <v>2274689.2699999996</v>
      </c>
      <c r="EY80" s="319">
        <v>1661365.83</v>
      </c>
      <c r="EZ80" s="319">
        <v>1770964.99</v>
      </c>
      <c r="FA80" s="319">
        <v>2033558.4400000004</v>
      </c>
      <c r="FB80" s="319">
        <v>2303665.85</v>
      </c>
      <c r="FC80" s="319">
        <v>2423026.25</v>
      </c>
      <c r="FD80" s="319">
        <v>2151144.13</v>
      </c>
      <c r="FE80" s="319">
        <v>2949322.5700000003</v>
      </c>
      <c r="FF80" s="319"/>
      <c r="FG80" s="322"/>
      <c r="FH80" s="760"/>
      <c r="FI80" s="760"/>
      <c r="FJ80" s="760"/>
      <c r="FK80" s="760"/>
      <c r="GZ80" s="62"/>
      <c r="HB80" s="62"/>
      <c r="HD80" s="62"/>
      <c r="HF80" s="62"/>
      <c r="HH80" s="62"/>
      <c r="HJ80" s="62"/>
      <c r="HL80" s="62"/>
      <c r="HN80" s="62"/>
    </row>
    <row r="81" spans="1:222" s="61" customFormat="1">
      <c r="A81" s="319" t="s">
        <v>63</v>
      </c>
      <c r="B81" s="319">
        <v>1844171</v>
      </c>
      <c r="C81" s="319">
        <v>1915159</v>
      </c>
      <c r="D81" s="319">
        <v>2077684</v>
      </c>
      <c r="E81" s="319">
        <v>1829777</v>
      </c>
      <c r="F81" s="319">
        <v>2390130</v>
      </c>
      <c r="G81" s="319">
        <v>2720870</v>
      </c>
      <c r="H81" s="319">
        <v>2259488</v>
      </c>
      <c r="I81" s="319">
        <v>2424894</v>
      </c>
      <c r="J81" s="319">
        <v>2430011.77</v>
      </c>
      <c r="K81" s="319">
        <v>2925226.24</v>
      </c>
      <c r="L81" s="319">
        <v>2482571.48</v>
      </c>
      <c r="M81" s="319">
        <v>2410923.3000000003</v>
      </c>
      <c r="N81" s="319">
        <v>2833966.3400000003</v>
      </c>
      <c r="O81" s="319">
        <v>3046091.4099999997</v>
      </c>
      <c r="P81" s="319">
        <v>4083170.0400000005</v>
      </c>
      <c r="Q81" s="319">
        <v>3188060.72</v>
      </c>
      <c r="R81" s="319">
        <v>2724537.67</v>
      </c>
      <c r="S81" s="322">
        <v>3755482.12</v>
      </c>
      <c r="T81" s="760">
        <v>2537993.64</v>
      </c>
      <c r="U81" s="760">
        <v>2921544.5100000002</v>
      </c>
      <c r="V81" s="760">
        <v>3334580.62</v>
      </c>
      <c r="W81" s="760">
        <v>4182520</v>
      </c>
      <c r="X81" s="42"/>
      <c r="Y81" s="319" t="s">
        <v>63</v>
      </c>
      <c r="Z81" s="319">
        <v>165975.39000000001</v>
      </c>
      <c r="AA81" s="319">
        <v>191515.9</v>
      </c>
      <c r="AB81" s="319">
        <v>228545.24</v>
      </c>
      <c r="AC81" s="319">
        <v>237871.01</v>
      </c>
      <c r="AD81" s="319">
        <v>262914.3</v>
      </c>
      <c r="AE81" s="319">
        <v>299295.7</v>
      </c>
      <c r="AF81" s="319">
        <v>316328.32000000001</v>
      </c>
      <c r="AG81" s="319">
        <v>339485.16</v>
      </c>
      <c r="AH81" s="319">
        <v>359388.38</v>
      </c>
      <c r="AI81" s="319">
        <v>365769.58</v>
      </c>
      <c r="AJ81" s="319">
        <v>396454.08999999997</v>
      </c>
      <c r="AK81" s="319">
        <v>423905.62</v>
      </c>
      <c r="AL81" s="319">
        <v>444366.64</v>
      </c>
      <c r="AM81" s="319">
        <v>484396.1</v>
      </c>
      <c r="AN81" s="319">
        <v>486192.45</v>
      </c>
      <c r="AO81" s="319">
        <v>491208.14</v>
      </c>
      <c r="AP81" s="319">
        <v>507489.45</v>
      </c>
      <c r="AQ81" s="322">
        <v>507313.88</v>
      </c>
      <c r="AR81" s="760">
        <v>543305.33000000007</v>
      </c>
      <c r="AS81" s="760">
        <v>545868.98</v>
      </c>
      <c r="AT81" s="760">
        <v>568953.46000000008</v>
      </c>
      <c r="AU81" s="760">
        <v>568000</v>
      </c>
      <c r="AV81" s="62"/>
      <c r="AW81" s="319" t="s">
        <v>63</v>
      </c>
      <c r="AX81" s="319">
        <v>0</v>
      </c>
      <c r="AY81" s="319">
        <v>0</v>
      </c>
      <c r="AZ81" s="319">
        <v>0</v>
      </c>
      <c r="BA81" s="319">
        <v>0</v>
      </c>
      <c r="BB81" s="319">
        <v>0</v>
      </c>
      <c r="BC81" s="319">
        <v>0</v>
      </c>
      <c r="BD81" s="319">
        <v>0</v>
      </c>
      <c r="BE81" s="319">
        <v>0</v>
      </c>
      <c r="BF81" s="319">
        <v>0</v>
      </c>
      <c r="BG81" s="319">
        <v>0</v>
      </c>
      <c r="BH81" s="319">
        <v>0</v>
      </c>
      <c r="BI81" s="319">
        <v>0</v>
      </c>
      <c r="BJ81" s="319">
        <v>0</v>
      </c>
      <c r="BK81" s="319">
        <v>0</v>
      </c>
      <c r="BL81" s="319">
        <v>0</v>
      </c>
      <c r="BM81" s="319">
        <v>0</v>
      </c>
      <c r="BN81" s="319">
        <v>0</v>
      </c>
      <c r="BO81" s="322">
        <v>0</v>
      </c>
      <c r="BP81" s="760">
        <v>0</v>
      </c>
      <c r="BQ81" s="760">
        <v>0</v>
      </c>
      <c r="BR81" s="760">
        <v>0</v>
      </c>
      <c r="BS81" s="760">
        <v>0</v>
      </c>
      <c r="BT81" s="62"/>
      <c r="BU81" s="319" t="s">
        <v>63</v>
      </c>
      <c r="BV81" s="319">
        <v>737668.4</v>
      </c>
      <c r="BW81" s="319">
        <v>1053337.45</v>
      </c>
      <c r="BX81" s="319">
        <v>1018065.16</v>
      </c>
      <c r="BY81" s="319">
        <v>859995.19</v>
      </c>
      <c r="BZ81" s="319">
        <v>1099459.8</v>
      </c>
      <c r="CA81" s="319">
        <v>1115556.7</v>
      </c>
      <c r="CB81" s="319">
        <v>1129744</v>
      </c>
      <c r="CC81" s="319">
        <v>921459.72</v>
      </c>
      <c r="CD81" s="319">
        <v>955071.57000000007</v>
      </c>
      <c r="CE81" s="319">
        <v>1295821.8900000001</v>
      </c>
      <c r="CF81" s="319">
        <v>991415.71000000008</v>
      </c>
      <c r="CG81" s="319">
        <v>1322904.8</v>
      </c>
      <c r="CH81" s="319">
        <v>1193246.9300000002</v>
      </c>
      <c r="CI81" s="319">
        <v>1408499.9499999997</v>
      </c>
      <c r="CJ81" s="319">
        <v>2203632.1800000002</v>
      </c>
      <c r="CK81" s="319">
        <v>1349662.5</v>
      </c>
      <c r="CL81" s="319">
        <v>905400.24999999988</v>
      </c>
      <c r="CM81" s="322">
        <v>2199171.37</v>
      </c>
      <c r="CN81" s="760">
        <v>972813.27</v>
      </c>
      <c r="CO81" s="760">
        <v>1050961.53</v>
      </c>
      <c r="CP81" s="760">
        <v>1380778.53</v>
      </c>
      <c r="CQ81" s="760">
        <v>2112070</v>
      </c>
      <c r="CR81" s="62"/>
      <c r="CS81" s="319" t="s">
        <v>63</v>
      </c>
      <c r="CT81" s="319">
        <v>18441.71</v>
      </c>
      <c r="CU81" s="319">
        <v>19151.59</v>
      </c>
      <c r="CV81" s="319">
        <v>0</v>
      </c>
      <c r="CW81" s="319">
        <v>0</v>
      </c>
      <c r="CX81" s="319">
        <v>0</v>
      </c>
      <c r="CY81" s="319">
        <v>0</v>
      </c>
      <c r="CZ81" s="319">
        <v>0</v>
      </c>
      <c r="DA81" s="319">
        <v>0</v>
      </c>
      <c r="DB81" s="319">
        <v>1762.67</v>
      </c>
      <c r="DC81" s="319">
        <v>2109.7199999999998</v>
      </c>
      <c r="DD81" s="319">
        <v>3039.6</v>
      </c>
      <c r="DE81" s="319">
        <v>5681.57</v>
      </c>
      <c r="DF81" s="319">
        <v>4528.25</v>
      </c>
      <c r="DG81" s="319">
        <v>918.91</v>
      </c>
      <c r="DH81" s="319">
        <v>841.12</v>
      </c>
      <c r="DI81" s="319">
        <v>454.78</v>
      </c>
      <c r="DJ81" s="319">
        <v>672.7</v>
      </c>
      <c r="DK81" s="322">
        <v>672.37</v>
      </c>
      <c r="DL81" s="760">
        <v>396.48</v>
      </c>
      <c r="DM81" s="760">
        <v>375.47</v>
      </c>
      <c r="DN81" s="760">
        <v>492.58</v>
      </c>
      <c r="DO81" s="760">
        <v>450</v>
      </c>
      <c r="DP81" s="62"/>
      <c r="DQ81" s="319" t="s">
        <v>63</v>
      </c>
      <c r="DR81" s="319">
        <v>922085.5</v>
      </c>
      <c r="DS81" s="319">
        <v>651154.06000000006</v>
      </c>
      <c r="DT81" s="319">
        <v>831073.6</v>
      </c>
      <c r="DU81" s="319">
        <v>731910.8</v>
      </c>
      <c r="DV81" s="319">
        <v>1027755.9</v>
      </c>
      <c r="DW81" s="319">
        <v>1306017.6000000001</v>
      </c>
      <c r="DX81" s="319">
        <v>813415.68</v>
      </c>
      <c r="DY81" s="319">
        <v>1163949.1200000001</v>
      </c>
      <c r="DZ81" s="319">
        <v>4228.7999999999993</v>
      </c>
      <c r="EA81" s="319">
        <v>21527.65</v>
      </c>
      <c r="EB81" s="319">
        <v>10155.07</v>
      </c>
      <c r="EC81" s="319">
        <v>8431.31</v>
      </c>
      <c r="ED81" s="319">
        <v>5600.8</v>
      </c>
      <c r="EE81" s="319">
        <v>73292.240000000005</v>
      </c>
      <c r="EF81" s="319">
        <v>3020.03</v>
      </c>
      <c r="EG81" s="319">
        <v>3632.3</v>
      </c>
      <c r="EH81" s="319">
        <v>14080.21</v>
      </c>
      <c r="EI81" s="322">
        <v>19555.11</v>
      </c>
      <c r="EJ81" s="767">
        <v>11190.88</v>
      </c>
      <c r="EK81" s="767">
        <v>18837.079999999998</v>
      </c>
      <c r="EL81" s="767">
        <v>7316.42</v>
      </c>
      <c r="EM81" s="767">
        <v>2000</v>
      </c>
      <c r="EO81" s="319" t="s">
        <v>63</v>
      </c>
      <c r="EP81" s="319">
        <v>1883945</v>
      </c>
      <c r="EQ81" s="319">
        <v>1881331</v>
      </c>
      <c r="ER81" s="319">
        <v>2149817</v>
      </c>
      <c r="ES81" s="319">
        <v>1851276</v>
      </c>
      <c r="ET81" s="319">
        <v>2367159</v>
      </c>
      <c r="EU81" s="319">
        <v>2736362</v>
      </c>
      <c r="EV81" s="319">
        <v>2162941</v>
      </c>
      <c r="EW81" s="319">
        <v>2441478</v>
      </c>
      <c r="EX81" s="319">
        <v>2505874.8899999997</v>
      </c>
      <c r="EY81" s="319">
        <v>2920226.21</v>
      </c>
      <c r="EZ81" s="319">
        <v>2499771.14</v>
      </c>
      <c r="FA81" s="319">
        <v>2329721.8800000004</v>
      </c>
      <c r="FB81" s="319">
        <v>2915044.64</v>
      </c>
      <c r="FC81" s="319">
        <v>3046214.5300000003</v>
      </c>
      <c r="FD81" s="319">
        <v>4083170.04</v>
      </c>
      <c r="FE81" s="319">
        <v>3126713.0400000005</v>
      </c>
      <c r="FF81" s="319">
        <v>2785885.35</v>
      </c>
      <c r="FG81" s="322">
        <v>3755482.1199999996</v>
      </c>
      <c r="FH81" s="760">
        <v>2537993.64</v>
      </c>
      <c r="FI81" s="760">
        <v>2921544.51</v>
      </c>
      <c r="FJ81" s="760">
        <v>3322417.1500000004</v>
      </c>
      <c r="FK81" s="760">
        <v>4192200</v>
      </c>
      <c r="GZ81" s="62"/>
      <c r="HB81" s="62"/>
      <c r="HD81" s="62"/>
      <c r="HF81" s="62"/>
      <c r="HH81" s="62"/>
      <c r="HJ81" s="62"/>
      <c r="HL81" s="62"/>
      <c r="HN81" s="62"/>
    </row>
    <row r="82" spans="1:222" s="61" customFormat="1">
      <c r="A82" s="319" t="s">
        <v>64</v>
      </c>
      <c r="B82" s="319">
        <v>858793</v>
      </c>
      <c r="C82" s="319">
        <v>2229199</v>
      </c>
      <c r="D82" s="319">
        <v>1215442</v>
      </c>
      <c r="E82" s="319">
        <v>1017398</v>
      </c>
      <c r="F82" s="319">
        <v>1039184</v>
      </c>
      <c r="G82" s="319">
        <v>1034659</v>
      </c>
      <c r="H82" s="319">
        <v>1520114</v>
      </c>
      <c r="I82" s="319">
        <v>1159478</v>
      </c>
      <c r="J82" s="319">
        <v>1325699</v>
      </c>
      <c r="K82" s="319">
        <v>1375536</v>
      </c>
      <c r="L82" s="319">
        <v>1347678</v>
      </c>
      <c r="M82" s="319">
        <v>1690480</v>
      </c>
      <c r="N82" s="319">
        <v>1957648</v>
      </c>
      <c r="O82" s="319">
        <v>1902418</v>
      </c>
      <c r="P82" s="319">
        <v>1667830</v>
      </c>
      <c r="Q82" s="319">
        <v>1725592</v>
      </c>
      <c r="R82" s="319">
        <v>1807966</v>
      </c>
      <c r="S82" s="322">
        <v>1754098</v>
      </c>
      <c r="T82" s="760">
        <v>3739355</v>
      </c>
      <c r="U82" s="760">
        <v>2109706</v>
      </c>
      <c r="V82" s="760">
        <v>2642048</v>
      </c>
      <c r="W82" s="760">
        <v>2152012</v>
      </c>
      <c r="X82" s="42"/>
      <c r="Y82" s="319" t="s">
        <v>64</v>
      </c>
      <c r="Z82" s="319">
        <v>214698.25</v>
      </c>
      <c r="AA82" s="319">
        <v>267503.88</v>
      </c>
      <c r="AB82" s="319">
        <v>255242.82</v>
      </c>
      <c r="AC82" s="319">
        <v>295045.42</v>
      </c>
      <c r="AD82" s="319">
        <v>384498.08</v>
      </c>
      <c r="AE82" s="319">
        <v>362130.65</v>
      </c>
      <c r="AF82" s="319">
        <v>425631.92</v>
      </c>
      <c r="AG82" s="319">
        <v>417412.08</v>
      </c>
      <c r="AH82" s="319">
        <v>391603</v>
      </c>
      <c r="AI82" s="319">
        <v>389760</v>
      </c>
      <c r="AJ82" s="319">
        <v>436980</v>
      </c>
      <c r="AK82" s="319">
        <v>555846</v>
      </c>
      <c r="AL82" s="319">
        <v>688548</v>
      </c>
      <c r="AM82" s="319">
        <v>737236</v>
      </c>
      <c r="AN82" s="319">
        <v>734155</v>
      </c>
      <c r="AO82" s="319">
        <v>848981</v>
      </c>
      <c r="AP82" s="319">
        <v>851812</v>
      </c>
      <c r="AQ82" s="322">
        <v>861525</v>
      </c>
      <c r="AR82" s="760">
        <v>883086</v>
      </c>
      <c r="AS82" s="760">
        <v>963612</v>
      </c>
      <c r="AT82" s="760">
        <v>1067797</v>
      </c>
      <c r="AU82" s="760">
        <v>950000</v>
      </c>
      <c r="AV82" s="62"/>
      <c r="AW82" s="319" t="s">
        <v>64</v>
      </c>
      <c r="AX82" s="319">
        <v>0</v>
      </c>
      <c r="AY82" s="319">
        <v>0</v>
      </c>
      <c r="AZ82" s="319">
        <v>0</v>
      </c>
      <c r="BA82" s="319">
        <v>0</v>
      </c>
      <c r="BB82" s="319">
        <v>0</v>
      </c>
      <c r="BC82" s="319">
        <v>0</v>
      </c>
      <c r="BD82" s="319">
        <v>0</v>
      </c>
      <c r="BE82" s="319">
        <v>0</v>
      </c>
      <c r="BF82" s="319">
        <v>0</v>
      </c>
      <c r="BG82" s="319">
        <v>15</v>
      </c>
      <c r="BH82" s="319">
        <v>0</v>
      </c>
      <c r="BI82" s="319">
        <v>0</v>
      </c>
      <c r="BJ82" s="319">
        <v>0</v>
      </c>
      <c r="BK82" s="319">
        <v>39</v>
      </c>
      <c r="BL82" s="319">
        <v>31</v>
      </c>
      <c r="BM82" s="319">
        <v>6</v>
      </c>
      <c r="BN82" s="319">
        <v>40</v>
      </c>
      <c r="BO82" s="322">
        <v>6</v>
      </c>
      <c r="BP82" s="760">
        <v>0</v>
      </c>
      <c r="BQ82" s="760">
        <v>0</v>
      </c>
      <c r="BR82" s="760">
        <v>0</v>
      </c>
      <c r="BS82" s="760">
        <v>0</v>
      </c>
      <c r="BT82" s="62"/>
      <c r="BU82" s="319" t="s">
        <v>64</v>
      </c>
      <c r="BV82" s="319">
        <v>498099.94</v>
      </c>
      <c r="BW82" s="319">
        <v>557299.75</v>
      </c>
      <c r="BX82" s="319">
        <v>571257.74</v>
      </c>
      <c r="BY82" s="319">
        <v>620612.78</v>
      </c>
      <c r="BZ82" s="319">
        <v>602726.72</v>
      </c>
      <c r="CA82" s="319">
        <v>589755.63</v>
      </c>
      <c r="CB82" s="319">
        <v>1033677.52</v>
      </c>
      <c r="CC82" s="319">
        <v>649307.68000000005</v>
      </c>
      <c r="CD82" s="319">
        <v>688025</v>
      </c>
      <c r="CE82" s="319">
        <v>643018</v>
      </c>
      <c r="CF82" s="319">
        <v>697199</v>
      </c>
      <c r="CG82" s="319">
        <v>747207</v>
      </c>
      <c r="CH82" s="319">
        <v>782315</v>
      </c>
      <c r="CI82" s="319">
        <v>762284</v>
      </c>
      <c r="CJ82" s="319">
        <v>791565</v>
      </c>
      <c r="CK82" s="319">
        <v>805608</v>
      </c>
      <c r="CL82" s="319">
        <v>836326</v>
      </c>
      <c r="CM82" s="322">
        <v>852965</v>
      </c>
      <c r="CN82" s="760">
        <v>894881</v>
      </c>
      <c r="CO82" s="760">
        <v>843824</v>
      </c>
      <c r="CP82" s="760">
        <v>913723</v>
      </c>
      <c r="CQ82" s="760">
        <v>868340</v>
      </c>
      <c r="CR82" s="62"/>
      <c r="CS82" s="319" t="s">
        <v>64</v>
      </c>
      <c r="CT82" s="319">
        <v>8587.93</v>
      </c>
      <c r="CU82" s="319">
        <v>0</v>
      </c>
      <c r="CV82" s="319">
        <v>12154.42</v>
      </c>
      <c r="CW82" s="319">
        <v>10173.98</v>
      </c>
      <c r="CX82" s="319">
        <v>10391.84</v>
      </c>
      <c r="CY82" s="319">
        <v>10346.59</v>
      </c>
      <c r="CZ82" s="319">
        <v>15201.14</v>
      </c>
      <c r="DA82" s="319">
        <v>11594.78</v>
      </c>
      <c r="DB82" s="319">
        <v>4960</v>
      </c>
      <c r="DC82" s="319">
        <v>8867</v>
      </c>
      <c r="DD82" s="319">
        <v>13276</v>
      </c>
      <c r="DE82" s="319">
        <v>8638</v>
      </c>
      <c r="DF82" s="319">
        <v>30410</v>
      </c>
      <c r="DG82" s="319">
        <v>30655</v>
      </c>
      <c r="DH82" s="319">
        <v>21082</v>
      </c>
      <c r="DI82" s="319">
        <v>22967</v>
      </c>
      <c r="DJ82" s="319">
        <v>4019</v>
      </c>
      <c r="DK82" s="322">
        <v>2755</v>
      </c>
      <c r="DL82" s="760">
        <v>3514</v>
      </c>
      <c r="DM82" s="760">
        <v>3437</v>
      </c>
      <c r="DN82" s="760">
        <v>2642</v>
      </c>
      <c r="DO82" s="760">
        <v>2500</v>
      </c>
      <c r="DP82" s="62"/>
      <c r="DQ82" s="319" t="s">
        <v>64</v>
      </c>
      <c r="DR82" s="319">
        <v>137406.88</v>
      </c>
      <c r="DS82" s="319">
        <v>1404395.37</v>
      </c>
      <c r="DT82" s="319">
        <v>376787.02</v>
      </c>
      <c r="DU82" s="319">
        <v>91565.82</v>
      </c>
      <c r="DV82" s="319">
        <v>41567.360000000001</v>
      </c>
      <c r="DW82" s="319">
        <v>72426.13</v>
      </c>
      <c r="DX82" s="319">
        <v>45603.42</v>
      </c>
      <c r="DY82" s="319">
        <v>81163.460000000006</v>
      </c>
      <c r="DZ82" s="319">
        <v>87554</v>
      </c>
      <c r="EA82" s="319">
        <v>165934</v>
      </c>
      <c r="EB82" s="319">
        <v>6993</v>
      </c>
      <c r="EC82" s="319">
        <v>306477</v>
      </c>
      <c r="ED82" s="319">
        <v>407758</v>
      </c>
      <c r="EE82" s="319">
        <v>278449</v>
      </c>
      <c r="EF82" s="319">
        <v>54360</v>
      </c>
      <c r="EG82" s="319">
        <v>47518</v>
      </c>
      <c r="EH82" s="319">
        <v>113991</v>
      </c>
      <c r="EI82" s="322">
        <v>36447</v>
      </c>
      <c r="EJ82" s="767">
        <v>1957174</v>
      </c>
      <c r="EK82" s="767">
        <v>298533</v>
      </c>
      <c r="EL82" s="767">
        <v>657586</v>
      </c>
      <c r="EM82" s="767">
        <v>330872</v>
      </c>
      <c r="EO82" s="319" t="s">
        <v>64</v>
      </c>
      <c r="EP82" s="319">
        <v>917160</v>
      </c>
      <c r="EQ82" s="319">
        <v>2147272</v>
      </c>
      <c r="ER82" s="319">
        <v>1236865</v>
      </c>
      <c r="ES82" s="319">
        <v>986513</v>
      </c>
      <c r="ET82" s="319">
        <v>1081246</v>
      </c>
      <c r="EU82" s="319">
        <v>1044568</v>
      </c>
      <c r="EV82" s="319">
        <v>1204048</v>
      </c>
      <c r="EW82" s="319">
        <v>1510377</v>
      </c>
      <c r="EX82" s="319">
        <v>1218342</v>
      </c>
      <c r="EY82" s="319">
        <v>1352342</v>
      </c>
      <c r="EZ82" s="319">
        <v>1481478</v>
      </c>
      <c r="FA82" s="319">
        <v>1614145</v>
      </c>
      <c r="FB82" s="319">
        <v>1807911</v>
      </c>
      <c r="FC82" s="319">
        <v>1891513</v>
      </c>
      <c r="FD82" s="319">
        <v>1703221</v>
      </c>
      <c r="FE82" s="319">
        <v>1667736</v>
      </c>
      <c r="FF82" s="319">
        <v>1933208</v>
      </c>
      <c r="FG82" s="322">
        <v>1779635</v>
      </c>
      <c r="FH82" s="760">
        <v>3500920</v>
      </c>
      <c r="FI82" s="760">
        <v>2400083</v>
      </c>
      <c r="FJ82" s="760">
        <v>2707865</v>
      </c>
      <c r="FK82" s="760">
        <v>2170857</v>
      </c>
      <c r="GZ82" s="62"/>
      <c r="HB82" s="62"/>
      <c r="HD82" s="62"/>
      <c r="HF82" s="62"/>
      <c r="HH82" s="62"/>
      <c r="HJ82" s="62"/>
      <c r="HL82" s="62"/>
      <c r="HN82" s="62"/>
    </row>
    <row r="83" spans="1:222" s="61" customFormat="1">
      <c r="A83" s="319" t="s">
        <v>65</v>
      </c>
      <c r="B83" s="319">
        <v>789931</v>
      </c>
      <c r="C83" s="319">
        <v>698708</v>
      </c>
      <c r="D83" s="319">
        <v>808421</v>
      </c>
      <c r="E83" s="319">
        <v>731772</v>
      </c>
      <c r="F83" s="319">
        <v>990072</v>
      </c>
      <c r="G83" s="319">
        <v>599340</v>
      </c>
      <c r="H83" s="319">
        <v>566558</v>
      </c>
      <c r="I83" s="319">
        <v>1357441</v>
      </c>
      <c r="J83" s="319">
        <v>942238.29999999993</v>
      </c>
      <c r="K83" s="319">
        <v>778607.32</v>
      </c>
      <c r="L83" s="319">
        <v>1201026</v>
      </c>
      <c r="M83" s="319">
        <v>925619</v>
      </c>
      <c r="N83" s="319">
        <v>607438</v>
      </c>
      <c r="O83" s="319">
        <v>683187</v>
      </c>
      <c r="P83" s="319">
        <v>647707</v>
      </c>
      <c r="Q83" s="319">
        <v>1741320</v>
      </c>
      <c r="R83" s="319">
        <v>821452</v>
      </c>
      <c r="S83" s="322">
        <v>1160328</v>
      </c>
      <c r="T83" s="760">
        <v>987915</v>
      </c>
      <c r="U83" s="760">
        <v>1964093</v>
      </c>
      <c r="V83" s="760">
        <v>1274766</v>
      </c>
      <c r="W83" s="760">
        <v>1014600</v>
      </c>
      <c r="X83" s="42"/>
      <c r="Y83" s="319" t="s">
        <v>65</v>
      </c>
      <c r="Z83" s="319">
        <v>23697.93</v>
      </c>
      <c r="AA83" s="319">
        <v>27948.32</v>
      </c>
      <c r="AB83" s="319">
        <v>24252.63</v>
      </c>
      <c r="AC83" s="319">
        <v>29270.880000000001</v>
      </c>
      <c r="AD83" s="319">
        <v>29702.16</v>
      </c>
      <c r="AE83" s="319">
        <v>29967</v>
      </c>
      <c r="AF83" s="319">
        <v>28327.9</v>
      </c>
      <c r="AG83" s="319">
        <v>27148.82</v>
      </c>
      <c r="AH83" s="319">
        <v>30606.21</v>
      </c>
      <c r="AI83" s="319">
        <v>29480.959999999999</v>
      </c>
      <c r="AJ83" s="319">
        <v>35276</v>
      </c>
      <c r="AK83" s="319">
        <v>39378</v>
      </c>
      <c r="AL83" s="319">
        <v>38013</v>
      </c>
      <c r="AM83" s="319">
        <v>39864</v>
      </c>
      <c r="AN83" s="319">
        <v>40053</v>
      </c>
      <c r="AO83" s="319">
        <v>33556</v>
      </c>
      <c r="AP83" s="319">
        <v>42050</v>
      </c>
      <c r="AQ83" s="322">
        <v>45385</v>
      </c>
      <c r="AR83" s="760">
        <v>46826</v>
      </c>
      <c r="AS83" s="760">
        <v>45201</v>
      </c>
      <c r="AT83" s="760">
        <v>49945</v>
      </c>
      <c r="AU83" s="760">
        <v>45000</v>
      </c>
      <c r="AV83" s="62"/>
      <c r="AW83" s="319" t="s">
        <v>65</v>
      </c>
      <c r="AX83" s="319">
        <v>0</v>
      </c>
      <c r="AY83" s="319">
        <v>0</v>
      </c>
      <c r="AZ83" s="319">
        <v>0</v>
      </c>
      <c r="BA83" s="319">
        <v>0</v>
      </c>
      <c r="BB83" s="319">
        <v>0</v>
      </c>
      <c r="BC83" s="319">
        <v>0</v>
      </c>
      <c r="BD83" s="319">
        <v>0</v>
      </c>
      <c r="BE83" s="319">
        <v>81446.460000000006</v>
      </c>
      <c r="BF83" s="319">
        <v>80427.97</v>
      </c>
      <c r="BG83" s="319">
        <v>78173.59</v>
      </c>
      <c r="BH83" s="319">
        <v>70947</v>
      </c>
      <c r="BI83" s="319">
        <v>88092</v>
      </c>
      <c r="BJ83" s="319">
        <v>65820</v>
      </c>
      <c r="BK83" s="319">
        <v>56687</v>
      </c>
      <c r="BL83" s="319">
        <v>63317</v>
      </c>
      <c r="BM83" s="319">
        <v>66792</v>
      </c>
      <c r="BN83" s="319">
        <v>75140</v>
      </c>
      <c r="BO83" s="322">
        <v>81325</v>
      </c>
      <c r="BP83" s="760">
        <v>93625</v>
      </c>
      <c r="BQ83" s="760">
        <v>100715</v>
      </c>
      <c r="BR83" s="760">
        <v>104842</v>
      </c>
      <c r="BS83" s="760">
        <v>100000</v>
      </c>
      <c r="BT83" s="62"/>
      <c r="BU83" s="319" t="s">
        <v>65</v>
      </c>
      <c r="BV83" s="319">
        <v>742535.14</v>
      </c>
      <c r="BW83" s="319">
        <v>656785.52</v>
      </c>
      <c r="BX83" s="319">
        <v>751831.53</v>
      </c>
      <c r="BY83" s="319">
        <v>680547.96</v>
      </c>
      <c r="BZ83" s="319">
        <v>940568.4</v>
      </c>
      <c r="CA83" s="319">
        <v>551392.80000000005</v>
      </c>
      <c r="CB83" s="319">
        <v>509902.2</v>
      </c>
      <c r="CC83" s="319">
        <v>420806.71</v>
      </c>
      <c r="CD83" s="319">
        <v>431430.15</v>
      </c>
      <c r="CE83" s="319">
        <v>432739.16000000003</v>
      </c>
      <c r="CF83" s="319">
        <v>824232</v>
      </c>
      <c r="CG83" s="319">
        <v>704813</v>
      </c>
      <c r="CH83" s="319">
        <v>419179</v>
      </c>
      <c r="CI83" s="319">
        <v>524676</v>
      </c>
      <c r="CJ83" s="319">
        <v>384611</v>
      </c>
      <c r="CK83" s="319">
        <v>1567327</v>
      </c>
      <c r="CL83" s="319">
        <v>416942</v>
      </c>
      <c r="CM83" s="322">
        <v>962371</v>
      </c>
      <c r="CN83" s="760">
        <v>754405</v>
      </c>
      <c r="CO83" s="760">
        <v>1754692</v>
      </c>
      <c r="CP83" s="760">
        <v>1051491</v>
      </c>
      <c r="CQ83" s="760">
        <v>800000</v>
      </c>
      <c r="CR83" s="62"/>
      <c r="CS83" s="319" t="s">
        <v>65</v>
      </c>
      <c r="CT83" s="319">
        <v>15798.62</v>
      </c>
      <c r="CU83" s="319">
        <v>6987.08</v>
      </c>
      <c r="CV83" s="319">
        <v>16168.42</v>
      </c>
      <c r="CW83" s="319">
        <v>14635.44</v>
      </c>
      <c r="CX83" s="319">
        <v>9900.7199999999993</v>
      </c>
      <c r="CY83" s="319">
        <v>11986.8</v>
      </c>
      <c r="CZ83" s="319">
        <v>11331.16</v>
      </c>
      <c r="DA83" s="319">
        <v>0</v>
      </c>
      <c r="DB83" s="319">
        <v>4638.6000000000004</v>
      </c>
      <c r="DC83" s="319">
        <v>4892.3900000000003</v>
      </c>
      <c r="DD83" s="319">
        <v>17440</v>
      </c>
      <c r="DE83" s="319">
        <v>17962</v>
      </c>
      <c r="DF83" s="319">
        <v>13411</v>
      </c>
      <c r="DG83" s="319">
        <v>5904</v>
      </c>
      <c r="DH83" s="319">
        <v>5069</v>
      </c>
      <c r="DI83" s="319">
        <v>3230</v>
      </c>
      <c r="DJ83" s="319">
        <v>2612</v>
      </c>
      <c r="DK83" s="322">
        <v>255</v>
      </c>
      <c r="DL83" s="760">
        <v>145</v>
      </c>
      <c r="DM83" s="760">
        <v>225</v>
      </c>
      <c r="DN83" s="760">
        <v>1408</v>
      </c>
      <c r="DO83" s="760">
        <v>1200</v>
      </c>
      <c r="DP83" s="62"/>
      <c r="DQ83" s="319" t="s">
        <v>65</v>
      </c>
      <c r="DR83" s="319">
        <v>7899.31</v>
      </c>
      <c r="DS83" s="319">
        <v>6987.08</v>
      </c>
      <c r="DT83" s="319">
        <v>16168.42</v>
      </c>
      <c r="DU83" s="319">
        <v>7317.72</v>
      </c>
      <c r="DV83" s="319">
        <v>9900.7199999999993</v>
      </c>
      <c r="DW83" s="319">
        <v>5993.4</v>
      </c>
      <c r="DX83" s="319">
        <v>16996.740000000002</v>
      </c>
      <c r="DY83" s="319">
        <v>828039.01</v>
      </c>
      <c r="DZ83" s="319">
        <v>395135.37</v>
      </c>
      <c r="EA83" s="319">
        <v>83321.22</v>
      </c>
      <c r="EB83" s="319">
        <v>98131</v>
      </c>
      <c r="EC83" s="319">
        <v>75374</v>
      </c>
      <c r="ED83" s="319">
        <v>71015</v>
      </c>
      <c r="EE83" s="319">
        <v>56056</v>
      </c>
      <c r="EF83" s="319">
        <v>154657</v>
      </c>
      <c r="EG83" s="319">
        <v>70415</v>
      </c>
      <c r="EH83" s="319">
        <v>284708</v>
      </c>
      <c r="EI83" s="322">
        <v>70992</v>
      </c>
      <c r="EJ83" s="767">
        <v>92914</v>
      </c>
      <c r="EK83" s="767">
        <v>63260</v>
      </c>
      <c r="EL83" s="767">
        <v>67080</v>
      </c>
      <c r="EM83" s="767">
        <v>68400</v>
      </c>
      <c r="EO83" s="319" t="s">
        <v>65</v>
      </c>
      <c r="EP83" s="319">
        <v>803865</v>
      </c>
      <c r="EQ83" s="319">
        <v>775938</v>
      </c>
      <c r="ER83" s="319">
        <v>788764</v>
      </c>
      <c r="ES83" s="319">
        <v>744534</v>
      </c>
      <c r="ET83" s="319">
        <v>963652</v>
      </c>
      <c r="EU83" s="319">
        <v>625383</v>
      </c>
      <c r="EV83" s="319">
        <v>602366</v>
      </c>
      <c r="EW83" s="319">
        <v>1359822</v>
      </c>
      <c r="EX83" s="319">
        <v>794099.87</v>
      </c>
      <c r="EY83" s="319">
        <v>870832.76</v>
      </c>
      <c r="EZ83" s="319">
        <v>1131589</v>
      </c>
      <c r="FA83" s="319">
        <v>882057</v>
      </c>
      <c r="FB83" s="319">
        <v>616033</v>
      </c>
      <c r="FC83" s="319">
        <v>724182</v>
      </c>
      <c r="FD83" s="319">
        <v>664022</v>
      </c>
      <c r="FE83" s="319">
        <v>1611293</v>
      </c>
      <c r="FF83" s="319">
        <v>759212</v>
      </c>
      <c r="FG83" s="322">
        <v>1216495</v>
      </c>
      <c r="FH83" s="760">
        <v>948543</v>
      </c>
      <c r="FI83" s="760">
        <v>2179858</v>
      </c>
      <c r="FJ83" s="760">
        <v>964424</v>
      </c>
      <c r="FK83" s="760">
        <v>1133119</v>
      </c>
      <c r="GZ83" s="62"/>
      <c r="HB83" s="62"/>
      <c r="HD83" s="62"/>
      <c r="HF83" s="62"/>
      <c r="HH83" s="62"/>
      <c r="HJ83" s="62"/>
      <c r="HL83" s="62"/>
      <c r="HN83" s="62"/>
    </row>
    <row r="84" spans="1:222" s="61" customFormat="1">
      <c r="A84" s="319" t="s">
        <v>66</v>
      </c>
      <c r="B84" s="319">
        <v>1216980</v>
      </c>
      <c r="C84" s="319">
        <v>1168031</v>
      </c>
      <c r="D84" s="319">
        <v>1099316</v>
      </c>
      <c r="E84" s="319">
        <v>1032925</v>
      </c>
      <c r="F84" s="319">
        <v>1054965</v>
      </c>
      <c r="G84" s="319">
        <v>1172646</v>
      </c>
      <c r="H84" s="319">
        <v>1671153</v>
      </c>
      <c r="I84" s="319">
        <v>1494014</v>
      </c>
      <c r="J84" s="319">
        <v>1135533.7</v>
      </c>
      <c r="K84" s="319"/>
      <c r="L84" s="319">
        <v>1227933.46</v>
      </c>
      <c r="M84" s="319">
        <v>1301181.3599999999</v>
      </c>
      <c r="N84" s="319">
        <v>1702396.6799999997</v>
      </c>
      <c r="O84" s="319">
        <v>1491017.6400000001</v>
      </c>
      <c r="P84" s="319">
        <v>1460668.5999999996</v>
      </c>
      <c r="Q84" s="319">
        <v>1894814.3599999999</v>
      </c>
      <c r="R84" s="319"/>
      <c r="S84" s="322">
        <v>1419178.8599999999</v>
      </c>
      <c r="T84" s="760">
        <v>1622775.09</v>
      </c>
      <c r="U84" s="760"/>
      <c r="V84" s="760"/>
      <c r="W84" s="760"/>
      <c r="X84" s="42"/>
      <c r="Y84" s="319" t="s">
        <v>66</v>
      </c>
      <c r="Z84" s="319">
        <v>255565.8</v>
      </c>
      <c r="AA84" s="319">
        <v>256966.82</v>
      </c>
      <c r="AB84" s="319">
        <v>285822.15999999997</v>
      </c>
      <c r="AC84" s="319">
        <v>320206.75</v>
      </c>
      <c r="AD84" s="319">
        <v>305939.84999999998</v>
      </c>
      <c r="AE84" s="319">
        <v>328340.88</v>
      </c>
      <c r="AF84" s="319">
        <v>350942.13</v>
      </c>
      <c r="AG84" s="319">
        <v>373503.5</v>
      </c>
      <c r="AH84" s="319">
        <v>357826.13</v>
      </c>
      <c r="AI84" s="319"/>
      <c r="AJ84" s="319">
        <v>427147.9</v>
      </c>
      <c r="AK84" s="319">
        <v>437826.93</v>
      </c>
      <c r="AL84" s="319">
        <v>470396.9</v>
      </c>
      <c r="AM84" s="319">
        <v>514515.81</v>
      </c>
      <c r="AN84" s="319">
        <v>533844.30999999994</v>
      </c>
      <c r="AO84" s="319">
        <v>565357.16</v>
      </c>
      <c r="AP84" s="319"/>
      <c r="AQ84" s="322">
        <v>607115.86</v>
      </c>
      <c r="AR84" s="760">
        <v>602055.87</v>
      </c>
      <c r="AS84" s="760"/>
      <c r="AT84" s="760"/>
      <c r="AU84" s="760"/>
      <c r="AV84" s="62"/>
      <c r="AW84" s="319" t="s">
        <v>66</v>
      </c>
      <c r="AX84" s="319">
        <v>231226.2</v>
      </c>
      <c r="AY84" s="319">
        <v>105122.79</v>
      </c>
      <c r="AZ84" s="319">
        <v>109931.6</v>
      </c>
      <c r="BA84" s="319">
        <v>113621.75</v>
      </c>
      <c r="BB84" s="319">
        <v>116046.15</v>
      </c>
      <c r="BC84" s="319">
        <v>117264.6</v>
      </c>
      <c r="BD84" s="319">
        <v>116980.71</v>
      </c>
      <c r="BE84" s="319">
        <v>134461.26</v>
      </c>
      <c r="BF84" s="319">
        <v>132629.51</v>
      </c>
      <c r="BG84" s="319"/>
      <c r="BH84" s="319">
        <v>135390.75</v>
      </c>
      <c r="BI84" s="319">
        <v>150961.18</v>
      </c>
      <c r="BJ84" s="319">
        <v>174434.27000000002</v>
      </c>
      <c r="BK84" s="319">
        <v>160943.19</v>
      </c>
      <c r="BL84" s="319">
        <v>155330.29999999999</v>
      </c>
      <c r="BM84" s="319">
        <v>168871.72</v>
      </c>
      <c r="BN84" s="319"/>
      <c r="BO84" s="322">
        <v>167485.61000000002</v>
      </c>
      <c r="BP84" s="760">
        <v>183601.41</v>
      </c>
      <c r="BQ84" s="760"/>
      <c r="BR84" s="760"/>
      <c r="BS84" s="760"/>
      <c r="BT84" s="62"/>
      <c r="BU84" s="319" t="s">
        <v>66</v>
      </c>
      <c r="BV84" s="319">
        <v>669339</v>
      </c>
      <c r="BW84" s="319">
        <v>735859.53</v>
      </c>
      <c r="BX84" s="319">
        <v>637603.28</v>
      </c>
      <c r="BY84" s="319">
        <v>537121</v>
      </c>
      <c r="BZ84" s="319">
        <v>559131.44999999995</v>
      </c>
      <c r="CA84" s="319">
        <v>621502.38</v>
      </c>
      <c r="CB84" s="319">
        <v>1136384.04</v>
      </c>
      <c r="CC84" s="319">
        <v>911348.54</v>
      </c>
      <c r="CD84" s="319">
        <v>572773.21</v>
      </c>
      <c r="CE84" s="319"/>
      <c r="CF84" s="319">
        <v>568436.72</v>
      </c>
      <c r="CG84" s="319">
        <v>587179.75</v>
      </c>
      <c r="CH84" s="319">
        <v>956054.64999999991</v>
      </c>
      <c r="CI84" s="319">
        <v>724971.92</v>
      </c>
      <c r="CJ84" s="319">
        <v>696780.78999999992</v>
      </c>
      <c r="CK84" s="319">
        <v>1069870.68</v>
      </c>
      <c r="CL84" s="319"/>
      <c r="CM84" s="322">
        <v>552336.01</v>
      </c>
      <c r="CN84" s="760">
        <v>734476.99</v>
      </c>
      <c r="CO84" s="760"/>
      <c r="CP84" s="760"/>
      <c r="CQ84" s="760"/>
      <c r="CR84" s="62"/>
      <c r="CS84" s="319" t="s">
        <v>66</v>
      </c>
      <c r="CT84" s="319">
        <v>36509.4</v>
      </c>
      <c r="CU84" s="319">
        <v>35040.93</v>
      </c>
      <c r="CV84" s="319">
        <v>21986.32</v>
      </c>
      <c r="CW84" s="319">
        <v>20658.5</v>
      </c>
      <c r="CX84" s="319">
        <v>21099.3</v>
      </c>
      <c r="CY84" s="319">
        <v>23452.92</v>
      </c>
      <c r="CZ84" s="319">
        <v>16711.53</v>
      </c>
      <c r="DA84" s="319">
        <v>0</v>
      </c>
      <c r="DB84" s="319">
        <v>5026.01</v>
      </c>
      <c r="DC84" s="319"/>
      <c r="DD84" s="319">
        <v>20775.55</v>
      </c>
      <c r="DE84" s="319">
        <v>31925.43</v>
      </c>
      <c r="DF84" s="319">
        <v>9091.4599999999991</v>
      </c>
      <c r="DG84" s="319">
        <v>2806.82</v>
      </c>
      <c r="DH84" s="319">
        <v>1386.72</v>
      </c>
      <c r="DI84" s="319">
        <v>2215.75</v>
      </c>
      <c r="DJ84" s="319"/>
      <c r="DK84" s="322">
        <v>1061.08</v>
      </c>
      <c r="DL84" s="760">
        <v>161.6</v>
      </c>
      <c r="DM84" s="760"/>
      <c r="DN84" s="760"/>
      <c r="DO84" s="760"/>
      <c r="DP84" s="62"/>
      <c r="DQ84" s="319" t="s">
        <v>66</v>
      </c>
      <c r="DR84" s="319">
        <v>24339.599999999999</v>
      </c>
      <c r="DS84" s="319">
        <v>35040.93</v>
      </c>
      <c r="DT84" s="319">
        <v>43972.639999999999</v>
      </c>
      <c r="DU84" s="319">
        <v>41317</v>
      </c>
      <c r="DV84" s="319">
        <v>52748.25</v>
      </c>
      <c r="DW84" s="319">
        <v>82085.22</v>
      </c>
      <c r="DX84" s="319">
        <v>50134.59</v>
      </c>
      <c r="DY84" s="319">
        <v>74700.7</v>
      </c>
      <c r="DZ84" s="319">
        <v>61599.19</v>
      </c>
      <c r="EA84" s="319"/>
      <c r="EB84" s="319">
        <v>75502.89</v>
      </c>
      <c r="EC84" s="319">
        <v>92608.42</v>
      </c>
      <c r="ED84" s="319">
        <v>91739.75</v>
      </c>
      <c r="EE84" s="319">
        <v>87100.25</v>
      </c>
      <c r="EF84" s="319">
        <v>71174.929999999993</v>
      </c>
      <c r="EG84" s="319">
        <v>87554.02</v>
      </c>
      <c r="EH84" s="319"/>
      <c r="EI84" s="322">
        <v>91065.540000000008</v>
      </c>
      <c r="EJ84" s="767">
        <v>101705.97</v>
      </c>
      <c r="EK84" s="767"/>
      <c r="EL84" s="767"/>
      <c r="EM84" s="767"/>
      <c r="EO84" s="319" t="s">
        <v>66</v>
      </c>
      <c r="EP84" s="319">
        <v>1168575</v>
      </c>
      <c r="EQ84" s="319">
        <v>1527809</v>
      </c>
      <c r="ER84" s="319">
        <v>1231711</v>
      </c>
      <c r="ES84" s="319">
        <v>1160050</v>
      </c>
      <c r="ET84" s="319">
        <v>1110807</v>
      </c>
      <c r="EU84" s="319">
        <v>1174740</v>
      </c>
      <c r="EV84" s="319">
        <v>1708717</v>
      </c>
      <c r="EW84" s="319">
        <v>1342545</v>
      </c>
      <c r="EX84" s="319">
        <v>1217151.6800000002</v>
      </c>
      <c r="EY84" s="319"/>
      <c r="EZ84" s="319">
        <v>1065014.8</v>
      </c>
      <c r="FA84" s="319">
        <v>1325187.0999999999</v>
      </c>
      <c r="FB84" s="319">
        <v>1922806.2799999996</v>
      </c>
      <c r="FC84" s="319">
        <v>1268362.81</v>
      </c>
      <c r="FD84" s="319">
        <v>1466895.58</v>
      </c>
      <c r="FE84" s="319">
        <v>2016973.66</v>
      </c>
      <c r="FF84" s="319"/>
      <c r="FG84" s="322">
        <v>1544834.03</v>
      </c>
      <c r="FH84" s="760">
        <v>1484583.06</v>
      </c>
      <c r="FI84" s="760"/>
      <c r="FJ84" s="760"/>
      <c r="FK84" s="760"/>
      <c r="GZ84" s="62"/>
      <c r="HB84" s="62"/>
      <c r="HD84" s="62"/>
      <c r="HF84" s="62"/>
      <c r="HH84" s="62"/>
      <c r="HJ84" s="62"/>
      <c r="HL84" s="62"/>
      <c r="HN84" s="62"/>
    </row>
    <row r="85" spans="1:222" s="61" customFormat="1">
      <c r="A85" s="319" t="s">
        <v>67</v>
      </c>
      <c r="B85" s="319">
        <v>1482518</v>
      </c>
      <c r="C85" s="319">
        <v>1673901</v>
      </c>
      <c r="D85" s="319">
        <v>1498658</v>
      </c>
      <c r="E85" s="319">
        <v>1673287</v>
      </c>
      <c r="F85" s="319">
        <v>1625811</v>
      </c>
      <c r="G85" s="319">
        <v>1870242</v>
      </c>
      <c r="H85" s="319">
        <v>1656811</v>
      </c>
      <c r="I85" s="319">
        <v>1730468</v>
      </c>
      <c r="J85" s="319">
        <v>1343978</v>
      </c>
      <c r="K85" s="319">
        <v>1408213</v>
      </c>
      <c r="L85" s="319">
        <v>1175452</v>
      </c>
      <c r="M85" s="319">
        <v>1413107</v>
      </c>
      <c r="N85" s="319">
        <v>1160051</v>
      </c>
      <c r="O85" s="319">
        <v>1384526</v>
      </c>
      <c r="P85" s="319"/>
      <c r="Q85" s="319">
        <v>1450157</v>
      </c>
      <c r="R85" s="319"/>
      <c r="S85" s="322">
        <v>1439177</v>
      </c>
      <c r="T85" s="760"/>
      <c r="U85" s="760"/>
      <c r="V85" s="760"/>
      <c r="W85" s="760"/>
      <c r="X85" s="42"/>
      <c r="Y85" s="319" t="s">
        <v>67</v>
      </c>
      <c r="Z85" s="319">
        <v>281678.42</v>
      </c>
      <c r="AA85" s="319">
        <v>418475.25</v>
      </c>
      <c r="AB85" s="319">
        <v>389651.08</v>
      </c>
      <c r="AC85" s="319">
        <v>635849.06000000006</v>
      </c>
      <c r="AD85" s="319">
        <v>666582.51</v>
      </c>
      <c r="AE85" s="319">
        <v>579775.02</v>
      </c>
      <c r="AF85" s="319">
        <v>629588.18000000005</v>
      </c>
      <c r="AG85" s="319">
        <v>640273.16</v>
      </c>
      <c r="AH85" s="319">
        <v>424775</v>
      </c>
      <c r="AI85" s="319">
        <v>510933</v>
      </c>
      <c r="AJ85" s="319">
        <v>317357</v>
      </c>
      <c r="AK85" s="319">
        <v>415035</v>
      </c>
      <c r="AL85" s="319">
        <v>341151</v>
      </c>
      <c r="AM85" s="319">
        <v>480456</v>
      </c>
      <c r="AN85" s="319"/>
      <c r="AO85" s="319">
        <v>481277</v>
      </c>
      <c r="AP85" s="319"/>
      <c r="AQ85" s="322">
        <v>476621</v>
      </c>
      <c r="AR85" s="760"/>
      <c r="AS85" s="760"/>
      <c r="AT85" s="760"/>
      <c r="AU85" s="760"/>
      <c r="AV85" s="62"/>
      <c r="AW85" s="319" t="s">
        <v>67</v>
      </c>
      <c r="AX85" s="319">
        <v>0</v>
      </c>
      <c r="AY85" s="319">
        <v>0</v>
      </c>
      <c r="AZ85" s="319">
        <v>0</v>
      </c>
      <c r="BA85" s="319">
        <v>0</v>
      </c>
      <c r="BB85" s="319">
        <v>0</v>
      </c>
      <c r="BC85" s="319">
        <v>0</v>
      </c>
      <c r="BD85" s="319">
        <v>0</v>
      </c>
      <c r="BE85" s="319">
        <v>0</v>
      </c>
      <c r="BF85" s="319">
        <v>0</v>
      </c>
      <c r="BG85" s="319">
        <v>0</v>
      </c>
      <c r="BH85" s="319">
        <v>0</v>
      </c>
      <c r="BI85" s="319">
        <v>0</v>
      </c>
      <c r="BJ85" s="319">
        <v>0</v>
      </c>
      <c r="BK85" s="319">
        <v>0</v>
      </c>
      <c r="BL85" s="319"/>
      <c r="BM85" s="319">
        <v>0</v>
      </c>
      <c r="BN85" s="319"/>
      <c r="BO85" s="322">
        <v>0</v>
      </c>
      <c r="BP85" s="760"/>
      <c r="BQ85" s="760"/>
      <c r="BR85" s="760"/>
      <c r="BS85" s="760"/>
      <c r="BT85" s="62"/>
      <c r="BU85" s="319" t="s">
        <v>67</v>
      </c>
      <c r="BV85" s="319">
        <v>933986.34</v>
      </c>
      <c r="BW85" s="319">
        <v>1071296.6399999999</v>
      </c>
      <c r="BX85" s="319">
        <v>1004100.86</v>
      </c>
      <c r="BY85" s="319">
        <v>953773.59</v>
      </c>
      <c r="BZ85" s="319">
        <v>861679.83</v>
      </c>
      <c r="CA85" s="319">
        <v>1178252.46</v>
      </c>
      <c r="CB85" s="319">
        <v>911246.05</v>
      </c>
      <c r="CC85" s="319">
        <v>813319.96</v>
      </c>
      <c r="CD85" s="319">
        <v>799567</v>
      </c>
      <c r="CE85" s="319">
        <v>783236</v>
      </c>
      <c r="CF85" s="319">
        <v>750880</v>
      </c>
      <c r="CG85" s="319">
        <v>738376</v>
      </c>
      <c r="CH85" s="319">
        <v>663117</v>
      </c>
      <c r="CI85" s="319">
        <v>699221</v>
      </c>
      <c r="CJ85" s="319"/>
      <c r="CK85" s="319">
        <v>819160</v>
      </c>
      <c r="CL85" s="319"/>
      <c r="CM85" s="322">
        <v>825068</v>
      </c>
      <c r="CN85" s="760"/>
      <c r="CO85" s="760"/>
      <c r="CP85" s="760"/>
      <c r="CQ85" s="760"/>
      <c r="CR85" s="62"/>
      <c r="CS85" s="319" t="s">
        <v>67</v>
      </c>
      <c r="CT85" s="319">
        <v>88951.08</v>
      </c>
      <c r="CU85" s="319">
        <v>66956.039999999994</v>
      </c>
      <c r="CV85" s="319">
        <v>74932.899999999994</v>
      </c>
      <c r="CW85" s="319">
        <v>66931.48</v>
      </c>
      <c r="CX85" s="319">
        <v>81290.55</v>
      </c>
      <c r="CY85" s="319">
        <v>74809.679999999993</v>
      </c>
      <c r="CZ85" s="319">
        <v>16568.11</v>
      </c>
      <c r="DA85" s="319">
        <v>17304.68</v>
      </c>
      <c r="DB85" s="319">
        <v>9292</v>
      </c>
      <c r="DC85" s="319">
        <v>18373</v>
      </c>
      <c r="DD85" s="319">
        <v>28290</v>
      </c>
      <c r="DE85" s="319">
        <v>41257</v>
      </c>
      <c r="DF85" s="319">
        <v>16273</v>
      </c>
      <c r="DG85" s="319">
        <v>2644</v>
      </c>
      <c r="DH85" s="319"/>
      <c r="DI85" s="319">
        <v>2259</v>
      </c>
      <c r="DJ85" s="319"/>
      <c r="DK85" s="322">
        <v>8691</v>
      </c>
      <c r="DL85" s="760"/>
      <c r="DM85" s="760"/>
      <c r="DN85" s="760"/>
      <c r="DO85" s="760"/>
      <c r="DP85" s="62"/>
      <c r="DQ85" s="319" t="s">
        <v>67</v>
      </c>
      <c r="DR85" s="319">
        <v>177902.16</v>
      </c>
      <c r="DS85" s="319">
        <v>117173.07</v>
      </c>
      <c r="DT85" s="319">
        <v>29973.16</v>
      </c>
      <c r="DU85" s="319">
        <v>16732.87</v>
      </c>
      <c r="DV85" s="319">
        <v>16258.11</v>
      </c>
      <c r="DW85" s="319">
        <v>37404.839999999997</v>
      </c>
      <c r="DX85" s="319">
        <v>99408.66</v>
      </c>
      <c r="DY85" s="319">
        <v>259570.2</v>
      </c>
      <c r="DZ85" s="319">
        <v>24198</v>
      </c>
      <c r="EA85" s="319">
        <v>10765</v>
      </c>
      <c r="EB85" s="319">
        <v>12833</v>
      </c>
      <c r="EC85" s="319">
        <v>142767</v>
      </c>
      <c r="ED85" s="319">
        <v>132526</v>
      </c>
      <c r="EE85" s="319">
        <v>198240</v>
      </c>
      <c r="EF85" s="319"/>
      <c r="EG85" s="319">
        <v>142214</v>
      </c>
      <c r="EH85" s="319"/>
      <c r="EI85" s="322">
        <v>117118</v>
      </c>
      <c r="EJ85" s="767"/>
      <c r="EK85" s="767"/>
      <c r="EL85" s="767"/>
      <c r="EM85" s="767"/>
      <c r="EO85" s="319" t="s">
        <v>67</v>
      </c>
      <c r="EP85" s="319">
        <v>1586115</v>
      </c>
      <c r="EQ85" s="319">
        <v>1739523</v>
      </c>
      <c r="ER85" s="319">
        <v>1492712</v>
      </c>
      <c r="ES85" s="319">
        <v>1638934</v>
      </c>
      <c r="ET85" s="319">
        <v>1635216</v>
      </c>
      <c r="EU85" s="319">
        <v>2151275</v>
      </c>
      <c r="EV85" s="319">
        <v>1828284</v>
      </c>
      <c r="EW85" s="319">
        <v>1631008</v>
      </c>
      <c r="EX85" s="319">
        <v>1708491</v>
      </c>
      <c r="EY85" s="319">
        <v>1308661</v>
      </c>
      <c r="EZ85" s="319">
        <v>1322437</v>
      </c>
      <c r="FA85" s="319">
        <v>1258586</v>
      </c>
      <c r="FB85" s="319">
        <v>1402888</v>
      </c>
      <c r="FC85" s="319">
        <v>1100501</v>
      </c>
      <c r="FD85" s="319"/>
      <c r="FE85" s="319">
        <v>1292267</v>
      </c>
      <c r="FF85" s="319"/>
      <c r="FG85" s="322">
        <v>1421780</v>
      </c>
      <c r="FH85" s="760"/>
      <c r="FI85" s="760"/>
      <c r="FJ85" s="760"/>
      <c r="FK85" s="760"/>
      <c r="GZ85" s="62"/>
      <c r="HB85" s="62"/>
      <c r="HD85" s="62"/>
      <c r="HF85" s="62"/>
      <c r="HH85" s="62"/>
      <c r="HJ85" s="62"/>
      <c r="HL85" s="62"/>
      <c r="HN85" s="62"/>
    </row>
    <row r="86" spans="1:222" s="61" customFormat="1">
      <c r="A86" s="319" t="s">
        <v>68</v>
      </c>
      <c r="B86" s="319">
        <v>1058077</v>
      </c>
      <c r="C86" s="319">
        <v>1246548</v>
      </c>
      <c r="D86" s="319">
        <v>1200291</v>
      </c>
      <c r="E86" s="319">
        <v>1525879</v>
      </c>
      <c r="F86" s="319">
        <v>1588400</v>
      </c>
      <c r="G86" s="319">
        <v>1338006</v>
      </c>
      <c r="H86" s="319">
        <v>1384395</v>
      </c>
      <c r="I86" s="319">
        <v>1173731</v>
      </c>
      <c r="J86" s="319">
        <v>1284746.07</v>
      </c>
      <c r="K86" s="319">
        <v>1187611.8899999999</v>
      </c>
      <c r="L86" s="319"/>
      <c r="M86" s="319"/>
      <c r="N86" s="319"/>
      <c r="O86" s="319"/>
      <c r="P86" s="319"/>
      <c r="Q86" s="319">
        <v>1947866.28</v>
      </c>
      <c r="R86" s="319"/>
      <c r="S86" s="322"/>
      <c r="T86" s="760"/>
      <c r="U86" s="760"/>
      <c r="V86" s="760"/>
      <c r="W86" s="760"/>
      <c r="X86" s="42"/>
      <c r="Y86" s="319" t="s">
        <v>68</v>
      </c>
      <c r="Z86" s="319">
        <v>349165.41</v>
      </c>
      <c r="AA86" s="319">
        <v>373964.4</v>
      </c>
      <c r="AB86" s="319">
        <v>396096.03</v>
      </c>
      <c r="AC86" s="319">
        <v>411987.33</v>
      </c>
      <c r="AD86" s="319">
        <v>412984</v>
      </c>
      <c r="AE86" s="319">
        <v>481682.16</v>
      </c>
      <c r="AF86" s="319">
        <v>470694.3</v>
      </c>
      <c r="AG86" s="319">
        <v>258220.82</v>
      </c>
      <c r="AH86" s="319">
        <v>284241.27</v>
      </c>
      <c r="AI86" s="319">
        <v>278264.43</v>
      </c>
      <c r="AJ86" s="319"/>
      <c r="AK86" s="319"/>
      <c r="AL86" s="319"/>
      <c r="AM86" s="319"/>
      <c r="AN86" s="319"/>
      <c r="AO86" s="319">
        <v>0</v>
      </c>
      <c r="AP86" s="319"/>
      <c r="AQ86" s="322"/>
      <c r="AR86" s="760"/>
      <c r="AS86" s="760"/>
      <c r="AT86" s="760"/>
      <c r="AU86" s="760"/>
      <c r="AV86" s="62"/>
      <c r="AW86" s="319" t="s">
        <v>68</v>
      </c>
      <c r="AX86" s="319">
        <v>0</v>
      </c>
      <c r="AY86" s="319">
        <v>0</v>
      </c>
      <c r="AZ86" s="319">
        <v>0</v>
      </c>
      <c r="BA86" s="319">
        <v>0</v>
      </c>
      <c r="BB86" s="319">
        <v>0</v>
      </c>
      <c r="BC86" s="319">
        <v>0</v>
      </c>
      <c r="BD86" s="319">
        <v>0</v>
      </c>
      <c r="BE86" s="319">
        <v>223008.89</v>
      </c>
      <c r="BF86" s="319">
        <v>224671.12999999998</v>
      </c>
      <c r="BG86" s="319">
        <v>221304.86</v>
      </c>
      <c r="BH86" s="319"/>
      <c r="BI86" s="319"/>
      <c r="BJ86" s="319"/>
      <c r="BK86" s="319"/>
      <c r="BL86" s="319"/>
      <c r="BM86" s="319">
        <v>0</v>
      </c>
      <c r="BN86" s="319"/>
      <c r="BO86" s="322"/>
      <c r="BP86" s="760"/>
      <c r="BQ86" s="760"/>
      <c r="BR86" s="760"/>
      <c r="BS86" s="760"/>
      <c r="BT86" s="62"/>
      <c r="BU86" s="319" t="s">
        <v>68</v>
      </c>
      <c r="BV86" s="319">
        <v>645426.97</v>
      </c>
      <c r="BW86" s="319">
        <v>785325.24</v>
      </c>
      <c r="BX86" s="319">
        <v>732177.51</v>
      </c>
      <c r="BY86" s="319">
        <v>1068115.3</v>
      </c>
      <c r="BZ86" s="319">
        <v>1143648</v>
      </c>
      <c r="CA86" s="319">
        <v>776043.48</v>
      </c>
      <c r="CB86" s="319">
        <v>872168.85</v>
      </c>
      <c r="CC86" s="319">
        <v>598602.81000000006</v>
      </c>
      <c r="CD86" s="319">
        <v>726579.64</v>
      </c>
      <c r="CE86" s="319">
        <v>645317.23</v>
      </c>
      <c r="CF86" s="319"/>
      <c r="CG86" s="319"/>
      <c r="CH86" s="319"/>
      <c r="CI86" s="319"/>
      <c r="CJ86" s="319"/>
      <c r="CK86" s="319">
        <v>1960103.44</v>
      </c>
      <c r="CL86" s="319"/>
      <c r="CM86" s="322"/>
      <c r="CN86" s="760"/>
      <c r="CO86" s="760"/>
      <c r="CP86" s="760"/>
      <c r="CQ86" s="760"/>
      <c r="CR86" s="62"/>
      <c r="CS86" s="319" t="s">
        <v>68</v>
      </c>
      <c r="CT86" s="319">
        <v>21161.54</v>
      </c>
      <c r="CU86" s="319">
        <v>24930.959999999999</v>
      </c>
      <c r="CV86" s="319">
        <v>24005.82</v>
      </c>
      <c r="CW86" s="319">
        <v>15258.79</v>
      </c>
      <c r="CX86" s="319">
        <v>15884</v>
      </c>
      <c r="CY86" s="319">
        <v>13380.06</v>
      </c>
      <c r="CZ86" s="319">
        <v>0</v>
      </c>
      <c r="DA86" s="319">
        <v>0</v>
      </c>
      <c r="DB86" s="319">
        <v>0</v>
      </c>
      <c r="DC86" s="319">
        <v>7779.51</v>
      </c>
      <c r="DD86" s="319"/>
      <c r="DE86" s="319"/>
      <c r="DF86" s="319"/>
      <c r="DG86" s="319"/>
      <c r="DH86" s="319"/>
      <c r="DI86" s="319">
        <v>0</v>
      </c>
      <c r="DJ86" s="319"/>
      <c r="DK86" s="322"/>
      <c r="DL86" s="760"/>
      <c r="DM86" s="760"/>
      <c r="DN86" s="760"/>
      <c r="DO86" s="760"/>
      <c r="DP86" s="62"/>
      <c r="DQ86" s="319" t="s">
        <v>68</v>
      </c>
      <c r="DR86" s="319">
        <v>42323.08</v>
      </c>
      <c r="DS86" s="319">
        <v>62327.4</v>
      </c>
      <c r="DT86" s="319">
        <v>48011.64</v>
      </c>
      <c r="DU86" s="319">
        <v>30517.58</v>
      </c>
      <c r="DV86" s="319">
        <v>15884</v>
      </c>
      <c r="DW86" s="319">
        <v>66900.3</v>
      </c>
      <c r="DX86" s="319">
        <v>41531.85</v>
      </c>
      <c r="DY86" s="319">
        <v>93898.48</v>
      </c>
      <c r="DZ86" s="319">
        <v>49254.03</v>
      </c>
      <c r="EA86" s="319">
        <v>34945.86</v>
      </c>
      <c r="EB86" s="319"/>
      <c r="EC86" s="319"/>
      <c r="ED86" s="319"/>
      <c r="EE86" s="319"/>
      <c r="EF86" s="319"/>
      <c r="EG86" s="319">
        <v>0</v>
      </c>
      <c r="EH86" s="319"/>
      <c r="EI86" s="322"/>
      <c r="EJ86" s="767"/>
      <c r="EK86" s="767"/>
      <c r="EL86" s="767"/>
      <c r="EM86" s="767"/>
      <c r="EO86" s="319" t="s">
        <v>68</v>
      </c>
      <c r="EP86" s="319">
        <v>1015305</v>
      </c>
      <c r="EQ86" s="319">
        <v>1077828</v>
      </c>
      <c r="ER86" s="319">
        <v>1517159</v>
      </c>
      <c r="ES86" s="319">
        <v>1418525</v>
      </c>
      <c r="ET86" s="319">
        <v>1672691</v>
      </c>
      <c r="EU86" s="319">
        <v>1256671</v>
      </c>
      <c r="EV86" s="319">
        <v>1113641</v>
      </c>
      <c r="EW86" s="319">
        <v>1253210</v>
      </c>
      <c r="EX86" s="319">
        <v>1381937.99</v>
      </c>
      <c r="EY86" s="319">
        <v>1294776.5599999998</v>
      </c>
      <c r="EZ86" s="319"/>
      <c r="FA86" s="319"/>
      <c r="FB86" s="319"/>
      <c r="FC86" s="319"/>
      <c r="FD86" s="319"/>
      <c r="FE86" s="319">
        <v>1969103.8</v>
      </c>
      <c r="FF86" s="319"/>
      <c r="FG86" s="322"/>
      <c r="FH86" s="760"/>
      <c r="FI86" s="760"/>
      <c r="FJ86" s="760"/>
      <c r="FK86" s="760"/>
      <c r="GZ86" s="62"/>
      <c r="HB86" s="62"/>
      <c r="HD86" s="62"/>
      <c r="HF86" s="62"/>
      <c r="HH86" s="62"/>
      <c r="HJ86" s="62"/>
      <c r="HL86" s="62"/>
      <c r="HN86" s="62"/>
    </row>
    <row r="87" spans="1:222" s="61" customFormat="1">
      <c r="A87" s="319" t="s">
        <v>69</v>
      </c>
      <c r="B87" s="319">
        <v>853446</v>
      </c>
      <c r="C87" s="319">
        <v>910502</v>
      </c>
      <c r="D87" s="319">
        <v>942544</v>
      </c>
      <c r="E87" s="319">
        <v>984022</v>
      </c>
      <c r="F87" s="319">
        <v>938490</v>
      </c>
      <c r="G87" s="319">
        <v>1016267</v>
      </c>
      <c r="H87" s="319">
        <v>1828428</v>
      </c>
      <c r="I87" s="319">
        <v>2059704</v>
      </c>
      <c r="J87" s="319">
        <v>1659122.27</v>
      </c>
      <c r="K87" s="319">
        <v>1240625.0599999998</v>
      </c>
      <c r="L87" s="319">
        <v>1061765.8899999999</v>
      </c>
      <c r="M87" s="319">
        <v>1232994.02</v>
      </c>
      <c r="N87" s="319">
        <v>2195308.91</v>
      </c>
      <c r="O87" s="319">
        <v>1480615.82</v>
      </c>
      <c r="P87" s="319"/>
      <c r="Q87" s="319"/>
      <c r="R87" s="319"/>
      <c r="S87" s="322"/>
      <c r="T87" s="760"/>
      <c r="U87" s="760"/>
      <c r="V87" s="760"/>
      <c r="W87" s="760"/>
      <c r="X87" s="42"/>
      <c r="Y87" s="319" t="s">
        <v>69</v>
      </c>
      <c r="Z87" s="319">
        <v>162154.74</v>
      </c>
      <c r="AA87" s="319">
        <v>172995.38</v>
      </c>
      <c r="AB87" s="319">
        <v>179083.36</v>
      </c>
      <c r="AC87" s="319">
        <v>186964.18</v>
      </c>
      <c r="AD87" s="319">
        <v>234622.5</v>
      </c>
      <c r="AE87" s="319">
        <v>162602.72</v>
      </c>
      <c r="AF87" s="319">
        <v>146274.23999999999</v>
      </c>
      <c r="AG87" s="319">
        <v>144179.28</v>
      </c>
      <c r="AH87" s="319">
        <v>145904.6</v>
      </c>
      <c r="AI87" s="319">
        <v>154932.66999999998</v>
      </c>
      <c r="AJ87" s="319">
        <v>199688.65</v>
      </c>
      <c r="AK87" s="319">
        <v>292393.14999999997</v>
      </c>
      <c r="AL87" s="319">
        <v>321751.31</v>
      </c>
      <c r="AM87" s="319">
        <v>409153.3</v>
      </c>
      <c r="AN87" s="319"/>
      <c r="AO87" s="319"/>
      <c r="AP87" s="319"/>
      <c r="AQ87" s="322"/>
      <c r="AR87" s="760"/>
      <c r="AS87" s="760"/>
      <c r="AT87" s="760"/>
      <c r="AU87" s="760"/>
      <c r="AV87" s="62"/>
      <c r="AW87" s="319" t="s">
        <v>69</v>
      </c>
      <c r="AX87" s="319">
        <v>0</v>
      </c>
      <c r="AY87" s="319">
        <v>0</v>
      </c>
      <c r="AZ87" s="319">
        <v>0</v>
      </c>
      <c r="BA87" s="319">
        <v>0</v>
      </c>
      <c r="BB87" s="319">
        <v>0</v>
      </c>
      <c r="BC87" s="319">
        <v>0</v>
      </c>
      <c r="BD87" s="319">
        <v>585096.95999999996</v>
      </c>
      <c r="BE87" s="319">
        <v>576717.12</v>
      </c>
      <c r="BF87" s="319">
        <v>0</v>
      </c>
      <c r="BG87" s="319">
        <v>0</v>
      </c>
      <c r="BH87" s="319">
        <v>0</v>
      </c>
      <c r="BI87" s="319">
        <v>0</v>
      </c>
      <c r="BJ87" s="319">
        <v>0</v>
      </c>
      <c r="BK87" s="319">
        <v>0</v>
      </c>
      <c r="BL87" s="319"/>
      <c r="BM87" s="319"/>
      <c r="BN87" s="319"/>
      <c r="BO87" s="322"/>
      <c r="BP87" s="760"/>
      <c r="BQ87" s="760"/>
      <c r="BR87" s="760"/>
      <c r="BS87" s="760"/>
      <c r="BT87" s="62"/>
      <c r="BU87" s="319" t="s">
        <v>69</v>
      </c>
      <c r="BV87" s="319">
        <v>674222.34</v>
      </c>
      <c r="BW87" s="319">
        <v>719296.58</v>
      </c>
      <c r="BX87" s="319">
        <v>612653.6</v>
      </c>
      <c r="BY87" s="319">
        <v>757696.94</v>
      </c>
      <c r="BZ87" s="319">
        <v>563094</v>
      </c>
      <c r="CA87" s="319">
        <v>752037.58</v>
      </c>
      <c r="CB87" s="319">
        <v>1023919.68</v>
      </c>
      <c r="CC87" s="319">
        <v>1174031.28</v>
      </c>
      <c r="CD87" s="319">
        <v>1153267.94</v>
      </c>
      <c r="CE87" s="319">
        <v>693381.92999999993</v>
      </c>
      <c r="CF87" s="319">
        <v>670466.26</v>
      </c>
      <c r="CG87" s="319">
        <v>668491.21000000008</v>
      </c>
      <c r="CH87" s="319">
        <v>679688.59</v>
      </c>
      <c r="CI87" s="319">
        <v>666394.32000000007</v>
      </c>
      <c r="CJ87" s="319"/>
      <c r="CK87" s="319"/>
      <c r="CL87" s="319"/>
      <c r="CM87" s="322"/>
      <c r="CN87" s="760"/>
      <c r="CO87" s="760"/>
      <c r="CP87" s="760"/>
      <c r="CQ87" s="760"/>
      <c r="CR87" s="62"/>
      <c r="CS87" s="319" t="s">
        <v>69</v>
      </c>
      <c r="CT87" s="319">
        <v>8534.4599999999991</v>
      </c>
      <c r="CU87" s="319">
        <v>9105.02</v>
      </c>
      <c r="CV87" s="319">
        <v>18850.88</v>
      </c>
      <c r="CW87" s="319">
        <v>9840.2199999999993</v>
      </c>
      <c r="CX87" s="319">
        <v>9384.9</v>
      </c>
      <c r="CY87" s="319">
        <v>10162.67</v>
      </c>
      <c r="CZ87" s="319">
        <v>18284.28</v>
      </c>
      <c r="DA87" s="319">
        <v>20597.04</v>
      </c>
      <c r="DB87" s="319">
        <v>8317.14</v>
      </c>
      <c r="DC87" s="319">
        <v>6260.25</v>
      </c>
      <c r="DD87" s="319">
        <v>8647.14</v>
      </c>
      <c r="DE87" s="319">
        <v>12163.86</v>
      </c>
      <c r="DF87" s="319">
        <v>16275.2</v>
      </c>
      <c r="DG87" s="319">
        <v>26295.91</v>
      </c>
      <c r="DH87" s="319"/>
      <c r="DI87" s="319"/>
      <c r="DJ87" s="319"/>
      <c r="DK87" s="322"/>
      <c r="DL87" s="760"/>
      <c r="DM87" s="760"/>
      <c r="DN87" s="760"/>
      <c r="DO87" s="760"/>
      <c r="DP87" s="62"/>
      <c r="DQ87" s="319" t="s">
        <v>69</v>
      </c>
      <c r="DR87" s="319">
        <v>8534.4599999999991</v>
      </c>
      <c r="DS87" s="319">
        <v>9105.02</v>
      </c>
      <c r="DT87" s="319">
        <v>131956.16</v>
      </c>
      <c r="DU87" s="319">
        <v>29520.66</v>
      </c>
      <c r="DV87" s="319">
        <v>131388.6</v>
      </c>
      <c r="DW87" s="319">
        <v>91464.03</v>
      </c>
      <c r="DX87" s="319">
        <v>54852.84</v>
      </c>
      <c r="DY87" s="319">
        <v>144179.28</v>
      </c>
      <c r="DZ87" s="319">
        <v>347560.18999999994</v>
      </c>
      <c r="EA87" s="319">
        <v>356498.71</v>
      </c>
      <c r="EB87" s="319">
        <v>162455.65000000002</v>
      </c>
      <c r="EC87" s="319">
        <v>240463.94</v>
      </c>
      <c r="ED87" s="319">
        <v>1176829.05</v>
      </c>
      <c r="EE87" s="319">
        <v>354083.1</v>
      </c>
      <c r="EF87" s="319"/>
      <c r="EG87" s="319"/>
      <c r="EH87" s="319"/>
      <c r="EI87" s="322"/>
      <c r="EJ87" s="767"/>
      <c r="EK87" s="767"/>
      <c r="EL87" s="767"/>
      <c r="EM87" s="767"/>
      <c r="EO87" s="319" t="s">
        <v>69</v>
      </c>
      <c r="EP87" s="319">
        <v>784242</v>
      </c>
      <c r="EQ87" s="319">
        <v>962308</v>
      </c>
      <c r="ER87" s="319">
        <v>890890</v>
      </c>
      <c r="ES87" s="319">
        <v>1067690</v>
      </c>
      <c r="ET87" s="319">
        <v>921139</v>
      </c>
      <c r="EU87" s="319">
        <v>986243</v>
      </c>
      <c r="EV87" s="319">
        <v>1380126</v>
      </c>
      <c r="EW87" s="319">
        <v>2545749</v>
      </c>
      <c r="EX87" s="319">
        <v>1630359.71</v>
      </c>
      <c r="EY87" s="319">
        <v>1347762.5</v>
      </c>
      <c r="EZ87" s="319">
        <v>1073954.92</v>
      </c>
      <c r="FA87" s="319">
        <v>1265712.9200000002</v>
      </c>
      <c r="FB87" s="319">
        <v>1757323.85</v>
      </c>
      <c r="FC87" s="319">
        <v>1798923.81</v>
      </c>
      <c r="FD87" s="319"/>
      <c r="FE87" s="319"/>
      <c r="FF87" s="319"/>
      <c r="FG87" s="322"/>
      <c r="FH87" s="760"/>
      <c r="FI87" s="760"/>
      <c r="FJ87" s="760"/>
      <c r="FK87" s="760"/>
      <c r="GZ87" s="62"/>
      <c r="HB87" s="62"/>
      <c r="HD87" s="62"/>
      <c r="HF87" s="62"/>
      <c r="HH87" s="62"/>
      <c r="HJ87" s="62"/>
      <c r="HL87" s="62"/>
      <c r="HN87" s="62"/>
    </row>
    <row r="88" spans="1:222" s="61" customFormat="1">
      <c r="A88" s="320" t="s">
        <v>70</v>
      </c>
      <c r="B88" s="320">
        <v>367467</v>
      </c>
      <c r="C88" s="320">
        <v>409727</v>
      </c>
      <c r="D88" s="320">
        <v>456143</v>
      </c>
      <c r="E88" s="320">
        <v>636061</v>
      </c>
      <c r="F88" s="320">
        <v>441164</v>
      </c>
      <c r="G88" s="320">
        <v>426577</v>
      </c>
      <c r="H88" s="320">
        <v>489306</v>
      </c>
      <c r="I88" s="320">
        <v>446162</v>
      </c>
      <c r="J88" s="320">
        <v>450055</v>
      </c>
      <c r="K88" s="320">
        <v>465304</v>
      </c>
      <c r="L88" s="320">
        <v>560806</v>
      </c>
      <c r="M88" s="320">
        <v>550717</v>
      </c>
      <c r="N88" s="320">
        <v>739228</v>
      </c>
      <c r="O88" s="320">
        <v>543955</v>
      </c>
      <c r="P88" s="320">
        <v>1000871</v>
      </c>
      <c r="Q88" s="320">
        <v>1117373</v>
      </c>
      <c r="R88" s="320">
        <v>1195409</v>
      </c>
      <c r="S88" s="323">
        <v>883736</v>
      </c>
      <c r="T88" s="761">
        <v>813814</v>
      </c>
      <c r="U88" s="761">
        <v>673271</v>
      </c>
      <c r="V88" s="761">
        <v>958296</v>
      </c>
      <c r="W88" s="761">
        <v>578500</v>
      </c>
      <c r="X88" s="42"/>
      <c r="Y88" s="320" t="s">
        <v>70</v>
      </c>
      <c r="Z88" s="320">
        <v>0</v>
      </c>
      <c r="AA88" s="320">
        <v>0</v>
      </c>
      <c r="AB88" s="320">
        <v>0</v>
      </c>
      <c r="AC88" s="320">
        <v>0</v>
      </c>
      <c r="AD88" s="320">
        <v>0</v>
      </c>
      <c r="AE88" s="320">
        <v>0</v>
      </c>
      <c r="AF88" s="320">
        <v>0</v>
      </c>
      <c r="AG88" s="320">
        <v>0</v>
      </c>
      <c r="AH88" s="320">
        <v>0</v>
      </c>
      <c r="AI88" s="320">
        <v>0</v>
      </c>
      <c r="AJ88" s="320">
        <v>0</v>
      </c>
      <c r="AK88" s="320">
        <v>0</v>
      </c>
      <c r="AL88" s="320">
        <v>0</v>
      </c>
      <c r="AM88" s="320">
        <v>0</v>
      </c>
      <c r="AN88" s="320">
        <v>0</v>
      </c>
      <c r="AO88" s="320">
        <v>0</v>
      </c>
      <c r="AP88" s="320">
        <v>0</v>
      </c>
      <c r="AQ88" s="323">
        <v>0</v>
      </c>
      <c r="AR88" s="761">
        <v>0</v>
      </c>
      <c r="AS88" s="761">
        <v>0</v>
      </c>
      <c r="AT88" s="761">
        <v>0</v>
      </c>
      <c r="AU88" s="761">
        <v>0</v>
      </c>
      <c r="AV88" s="62"/>
      <c r="AW88" s="320" t="s">
        <v>70</v>
      </c>
      <c r="AX88" s="320">
        <v>0</v>
      </c>
      <c r="AY88" s="320">
        <v>0</v>
      </c>
      <c r="AZ88" s="320">
        <v>0</v>
      </c>
      <c r="BA88" s="320">
        <v>0</v>
      </c>
      <c r="BB88" s="320">
        <v>0</v>
      </c>
      <c r="BC88" s="320">
        <v>0</v>
      </c>
      <c r="BD88" s="320">
        <v>0</v>
      </c>
      <c r="BE88" s="320">
        <v>0</v>
      </c>
      <c r="BF88" s="320">
        <v>0</v>
      </c>
      <c r="BG88" s="320">
        <v>0</v>
      </c>
      <c r="BH88" s="320">
        <v>0</v>
      </c>
      <c r="BI88" s="320">
        <v>0</v>
      </c>
      <c r="BJ88" s="320">
        <v>0</v>
      </c>
      <c r="BK88" s="320">
        <v>0</v>
      </c>
      <c r="BL88" s="320">
        <v>0</v>
      </c>
      <c r="BM88" s="320">
        <v>0</v>
      </c>
      <c r="BN88" s="320">
        <v>0</v>
      </c>
      <c r="BO88" s="323">
        <v>0</v>
      </c>
      <c r="BP88" s="761">
        <v>0</v>
      </c>
      <c r="BQ88" s="761">
        <v>0</v>
      </c>
      <c r="BR88" s="761">
        <v>0</v>
      </c>
      <c r="BS88" s="761">
        <v>0</v>
      </c>
      <c r="BT88" s="62"/>
      <c r="BU88" s="320" t="s">
        <v>70</v>
      </c>
      <c r="BV88" s="320">
        <v>360117.66</v>
      </c>
      <c r="BW88" s="320">
        <v>389240.65</v>
      </c>
      <c r="BX88" s="320">
        <v>424212.99</v>
      </c>
      <c r="BY88" s="320">
        <v>400718.43</v>
      </c>
      <c r="BZ88" s="320">
        <v>401459.24</v>
      </c>
      <c r="CA88" s="320">
        <v>409513.92</v>
      </c>
      <c r="CB88" s="320">
        <v>464840.7</v>
      </c>
      <c r="CC88" s="320">
        <v>419392.28</v>
      </c>
      <c r="CD88" s="320">
        <v>426823</v>
      </c>
      <c r="CE88" s="320">
        <v>421544</v>
      </c>
      <c r="CF88" s="320">
        <v>427273</v>
      </c>
      <c r="CG88" s="320">
        <v>427809</v>
      </c>
      <c r="CH88" s="320">
        <v>576747</v>
      </c>
      <c r="CI88" s="320">
        <v>384574</v>
      </c>
      <c r="CJ88" s="320">
        <v>476608</v>
      </c>
      <c r="CK88" s="320">
        <v>862435</v>
      </c>
      <c r="CL88" s="320">
        <v>449374</v>
      </c>
      <c r="CM88" s="323">
        <v>460464</v>
      </c>
      <c r="CN88" s="761">
        <v>556951</v>
      </c>
      <c r="CO88" s="761">
        <v>517370</v>
      </c>
      <c r="CP88" s="761">
        <v>899824</v>
      </c>
      <c r="CQ88" s="761">
        <v>510000</v>
      </c>
      <c r="CR88" s="62"/>
      <c r="CS88" s="320" t="s">
        <v>70</v>
      </c>
      <c r="CT88" s="320">
        <v>3674.67</v>
      </c>
      <c r="CU88" s="320">
        <v>8194.5400000000009</v>
      </c>
      <c r="CV88" s="320">
        <v>9122.86</v>
      </c>
      <c r="CW88" s="320">
        <v>6360.61</v>
      </c>
      <c r="CX88" s="320">
        <v>8823.2800000000007</v>
      </c>
      <c r="CY88" s="320">
        <v>8531.5400000000009</v>
      </c>
      <c r="CZ88" s="320">
        <v>9786.1200000000008</v>
      </c>
      <c r="DA88" s="320">
        <v>4461.62</v>
      </c>
      <c r="DB88" s="320">
        <v>2171</v>
      </c>
      <c r="DC88" s="320">
        <v>2379</v>
      </c>
      <c r="DD88" s="320">
        <v>2469</v>
      </c>
      <c r="DE88" s="320">
        <v>3042</v>
      </c>
      <c r="DF88" s="320">
        <v>3250</v>
      </c>
      <c r="DG88" s="320">
        <v>5913</v>
      </c>
      <c r="DH88" s="320">
        <v>7889</v>
      </c>
      <c r="DI88" s="320">
        <v>4234</v>
      </c>
      <c r="DJ88" s="320">
        <v>8594</v>
      </c>
      <c r="DK88" s="323">
        <v>4514</v>
      </c>
      <c r="DL88" s="761">
        <v>1828</v>
      </c>
      <c r="DM88" s="761">
        <v>2140</v>
      </c>
      <c r="DN88" s="761">
        <v>2162</v>
      </c>
      <c r="DO88" s="761">
        <v>1000</v>
      </c>
      <c r="DP88" s="62"/>
      <c r="DQ88" s="320" t="s">
        <v>70</v>
      </c>
      <c r="DR88" s="320">
        <v>3674.67</v>
      </c>
      <c r="DS88" s="320">
        <v>12291.81</v>
      </c>
      <c r="DT88" s="320">
        <v>22807.15</v>
      </c>
      <c r="DU88" s="320">
        <v>228981.96</v>
      </c>
      <c r="DV88" s="320">
        <v>30881.48</v>
      </c>
      <c r="DW88" s="320">
        <v>8531.5400000000009</v>
      </c>
      <c r="DX88" s="320">
        <v>14679.18</v>
      </c>
      <c r="DY88" s="320">
        <v>22308.1</v>
      </c>
      <c r="DZ88" s="320">
        <v>21061</v>
      </c>
      <c r="EA88" s="320">
        <v>12771</v>
      </c>
      <c r="EB88" s="320">
        <v>108777</v>
      </c>
      <c r="EC88" s="320">
        <v>49170</v>
      </c>
      <c r="ED88" s="320">
        <v>134563</v>
      </c>
      <c r="EE88" s="320">
        <v>132444</v>
      </c>
      <c r="EF88" s="320">
        <v>498257</v>
      </c>
      <c r="EG88" s="320">
        <v>229359</v>
      </c>
      <c r="EH88" s="320">
        <v>725726</v>
      </c>
      <c r="EI88" s="323">
        <v>405710</v>
      </c>
      <c r="EJ88" s="770">
        <v>186397</v>
      </c>
      <c r="EK88" s="770">
        <v>126591</v>
      </c>
      <c r="EL88" s="770">
        <v>21397</v>
      </c>
      <c r="EM88" s="770">
        <v>41500</v>
      </c>
      <c r="EO88" s="320" t="s">
        <v>70</v>
      </c>
      <c r="EP88" s="320">
        <v>385794</v>
      </c>
      <c r="EQ88" s="320">
        <v>353890</v>
      </c>
      <c r="ER88" s="320">
        <v>483969</v>
      </c>
      <c r="ES88" s="320">
        <v>576832</v>
      </c>
      <c r="ET88" s="320">
        <v>459469</v>
      </c>
      <c r="EU88" s="320">
        <v>430052</v>
      </c>
      <c r="EV88" s="320">
        <v>520511</v>
      </c>
      <c r="EW88" s="320">
        <v>496845</v>
      </c>
      <c r="EX88" s="320">
        <v>447866</v>
      </c>
      <c r="EY88" s="320">
        <v>513911</v>
      </c>
      <c r="EZ88" s="320">
        <v>526800</v>
      </c>
      <c r="FA88" s="320">
        <v>574544</v>
      </c>
      <c r="FB88" s="320">
        <v>674560</v>
      </c>
      <c r="FC88" s="320">
        <v>582911</v>
      </c>
      <c r="FD88" s="320">
        <v>997032</v>
      </c>
      <c r="FE88" s="320">
        <v>1130353</v>
      </c>
      <c r="FF88" s="320">
        <v>958701</v>
      </c>
      <c r="FG88" s="323">
        <v>990660</v>
      </c>
      <c r="FH88" s="761">
        <v>915750</v>
      </c>
      <c r="FI88" s="761">
        <v>650811</v>
      </c>
      <c r="FJ88" s="761">
        <v>991825</v>
      </c>
      <c r="FK88" s="761">
        <v>576900</v>
      </c>
      <c r="GZ88" s="62"/>
      <c r="HB88" s="62"/>
      <c r="HD88" s="62"/>
      <c r="HF88" s="62"/>
      <c r="HH88" s="62"/>
      <c r="HJ88" s="62"/>
      <c r="HL88" s="62"/>
      <c r="HN88" s="62"/>
    </row>
    <row r="89" spans="1:222" s="61" customFormat="1">
      <c r="A89" s="320" t="s">
        <v>300</v>
      </c>
      <c r="B89" s="320">
        <v>958063</v>
      </c>
      <c r="C89" s="320">
        <v>875719</v>
      </c>
      <c r="D89" s="320">
        <v>823598</v>
      </c>
      <c r="E89" s="320">
        <v>964810</v>
      </c>
      <c r="F89" s="320">
        <v>1461023</v>
      </c>
      <c r="G89" s="320">
        <v>914519</v>
      </c>
      <c r="H89" s="320">
        <v>946035</v>
      </c>
      <c r="I89" s="320">
        <v>940301</v>
      </c>
      <c r="J89" s="320">
        <v>1198155.21</v>
      </c>
      <c r="K89" s="320">
        <v>996620.41999999993</v>
      </c>
      <c r="L89" s="320">
        <v>990336.23</v>
      </c>
      <c r="M89" s="320">
        <v>1123415.46</v>
      </c>
      <c r="N89" s="320">
        <v>1094588.1499999999</v>
      </c>
      <c r="O89" s="320">
        <v>1064679.8399999999</v>
      </c>
      <c r="P89" s="320">
        <v>959360.63</v>
      </c>
      <c r="Q89" s="320">
        <v>973209</v>
      </c>
      <c r="R89" s="320">
        <v>979108.77000000014</v>
      </c>
      <c r="S89" s="323">
        <v>985758.71999999997</v>
      </c>
      <c r="T89" s="761">
        <v>1010516.81</v>
      </c>
      <c r="U89" s="761">
        <v>1065834.5899999999</v>
      </c>
      <c r="V89" s="761">
        <v>1072612.1900000002</v>
      </c>
      <c r="W89" s="761">
        <v>1052550</v>
      </c>
      <c r="X89" s="42"/>
      <c r="Y89" s="320" t="s">
        <v>300</v>
      </c>
      <c r="Z89" s="320">
        <v>191612.6</v>
      </c>
      <c r="AA89" s="320">
        <v>192658.18</v>
      </c>
      <c r="AB89" s="320">
        <v>214135.48</v>
      </c>
      <c r="AC89" s="320">
        <v>231554.4</v>
      </c>
      <c r="AD89" s="320">
        <v>233763.68</v>
      </c>
      <c r="AE89" s="320">
        <v>237774.94</v>
      </c>
      <c r="AF89" s="320">
        <v>255429.45</v>
      </c>
      <c r="AG89" s="320">
        <v>272687.28999999998</v>
      </c>
      <c r="AH89" s="320">
        <v>277310.40999999997</v>
      </c>
      <c r="AI89" s="320">
        <v>284833.47000000003</v>
      </c>
      <c r="AJ89" s="320">
        <v>300082.18999999994</v>
      </c>
      <c r="AK89" s="320">
        <v>299651.55</v>
      </c>
      <c r="AL89" s="320">
        <v>322806.13</v>
      </c>
      <c r="AM89" s="320">
        <v>336217.87999999995</v>
      </c>
      <c r="AN89" s="320">
        <v>332370.79999999993</v>
      </c>
      <c r="AO89" s="320">
        <v>343837.92000000004</v>
      </c>
      <c r="AP89" s="320">
        <v>348457.39</v>
      </c>
      <c r="AQ89" s="323">
        <v>354971.08999999997</v>
      </c>
      <c r="AR89" s="761">
        <v>363033.61</v>
      </c>
      <c r="AS89" s="761">
        <v>394663.31</v>
      </c>
      <c r="AT89" s="761">
        <v>381942.91</v>
      </c>
      <c r="AU89" s="761">
        <v>370550</v>
      </c>
      <c r="AV89" s="62"/>
      <c r="AW89" s="320" t="s">
        <v>300</v>
      </c>
      <c r="AX89" s="320">
        <v>0</v>
      </c>
      <c r="AY89" s="320">
        <v>0</v>
      </c>
      <c r="AZ89" s="320">
        <v>0</v>
      </c>
      <c r="BA89" s="320">
        <v>0</v>
      </c>
      <c r="BB89" s="320">
        <v>0</v>
      </c>
      <c r="BC89" s="320">
        <v>0</v>
      </c>
      <c r="BD89" s="320">
        <v>0</v>
      </c>
      <c r="BE89" s="320">
        <v>0</v>
      </c>
      <c r="BF89" s="320">
        <v>0</v>
      </c>
      <c r="BG89" s="320">
        <v>0</v>
      </c>
      <c r="BH89" s="320">
        <v>0</v>
      </c>
      <c r="BI89" s="320">
        <v>0</v>
      </c>
      <c r="BJ89" s="320">
        <v>0</v>
      </c>
      <c r="BK89" s="320">
        <v>0</v>
      </c>
      <c r="BL89" s="320">
        <v>0</v>
      </c>
      <c r="BM89" s="320">
        <v>0</v>
      </c>
      <c r="BN89" s="320">
        <v>0</v>
      </c>
      <c r="BO89" s="323">
        <v>0</v>
      </c>
      <c r="BP89" s="761">
        <v>0</v>
      </c>
      <c r="BQ89" s="761">
        <v>0</v>
      </c>
      <c r="BR89" s="761">
        <v>0</v>
      </c>
      <c r="BS89" s="761">
        <v>0</v>
      </c>
      <c r="BT89" s="62"/>
      <c r="BU89" s="320" t="s">
        <v>300</v>
      </c>
      <c r="BV89" s="320">
        <v>747289.14</v>
      </c>
      <c r="BW89" s="320">
        <v>639274.87</v>
      </c>
      <c r="BX89" s="320">
        <v>584754.57999999996</v>
      </c>
      <c r="BY89" s="320">
        <v>675367</v>
      </c>
      <c r="BZ89" s="320">
        <v>1198038.8600000001</v>
      </c>
      <c r="CA89" s="320">
        <v>649308.49</v>
      </c>
      <c r="CB89" s="320">
        <v>624383.1</v>
      </c>
      <c r="CC89" s="320">
        <v>639404.68000000005</v>
      </c>
      <c r="CD89" s="320">
        <v>642951.97000000009</v>
      </c>
      <c r="CE89" s="320">
        <v>637445.52</v>
      </c>
      <c r="CF89" s="320">
        <v>636946.5</v>
      </c>
      <c r="CG89" s="320">
        <v>638325.74</v>
      </c>
      <c r="CH89" s="320">
        <v>585219.05000000005</v>
      </c>
      <c r="CI89" s="320">
        <v>555765.79999999993</v>
      </c>
      <c r="CJ89" s="320">
        <v>582590.42000000004</v>
      </c>
      <c r="CK89" s="320">
        <v>579284.6</v>
      </c>
      <c r="CL89" s="320">
        <v>590797.96000000008</v>
      </c>
      <c r="CM89" s="323">
        <v>596538.62</v>
      </c>
      <c r="CN89" s="761">
        <v>622551.21000000008</v>
      </c>
      <c r="CO89" s="761">
        <v>647313.89999999991</v>
      </c>
      <c r="CP89" s="761">
        <v>652244.7300000001</v>
      </c>
      <c r="CQ89" s="761">
        <v>650000</v>
      </c>
      <c r="CR89" s="62"/>
      <c r="CS89" s="320" t="s">
        <v>300</v>
      </c>
      <c r="CT89" s="320">
        <v>9580.6299999999992</v>
      </c>
      <c r="CU89" s="320">
        <v>8757.19</v>
      </c>
      <c r="CV89" s="320">
        <v>16471.96</v>
      </c>
      <c r="CW89" s="320">
        <v>19296.2</v>
      </c>
      <c r="CX89" s="320">
        <v>14610.23</v>
      </c>
      <c r="CY89" s="320">
        <v>18290.38</v>
      </c>
      <c r="CZ89" s="320">
        <v>18920.7</v>
      </c>
      <c r="DA89" s="320">
        <v>18806.02</v>
      </c>
      <c r="DB89" s="320">
        <v>16872.740000000002</v>
      </c>
      <c r="DC89" s="320">
        <v>14540.72</v>
      </c>
      <c r="DD89" s="320">
        <v>14405.32</v>
      </c>
      <c r="DE89" s="320">
        <v>14853.19</v>
      </c>
      <c r="DF89" s="320">
        <v>17556.37</v>
      </c>
      <c r="DG89" s="320">
        <v>19329.009999999998</v>
      </c>
      <c r="DH89" s="320">
        <v>16020.74</v>
      </c>
      <c r="DI89" s="320">
        <v>14171.17</v>
      </c>
      <c r="DJ89" s="320">
        <v>16419.53</v>
      </c>
      <c r="DK89" s="323">
        <v>15308.68</v>
      </c>
      <c r="DL89" s="761">
        <v>8980.27</v>
      </c>
      <c r="DM89" s="761">
        <v>8371.68</v>
      </c>
      <c r="DN89" s="761">
        <v>7339.79</v>
      </c>
      <c r="DO89" s="761">
        <v>6000</v>
      </c>
      <c r="DP89" s="62"/>
      <c r="DQ89" s="320" t="s">
        <v>300</v>
      </c>
      <c r="DR89" s="320">
        <v>9580.6299999999992</v>
      </c>
      <c r="DS89" s="320">
        <v>35028.76</v>
      </c>
      <c r="DT89" s="320">
        <v>8235.98</v>
      </c>
      <c r="DU89" s="320">
        <v>38592.400000000001</v>
      </c>
      <c r="DV89" s="320">
        <v>14610.23</v>
      </c>
      <c r="DW89" s="320">
        <v>9145.19</v>
      </c>
      <c r="DX89" s="320">
        <v>47301.75</v>
      </c>
      <c r="DY89" s="320">
        <v>9403.01</v>
      </c>
      <c r="DZ89" s="320">
        <v>252193.71000000002</v>
      </c>
      <c r="EA89" s="320">
        <v>54200.71</v>
      </c>
      <c r="EB89" s="320">
        <v>22492.22</v>
      </c>
      <c r="EC89" s="320">
        <v>158277.48000000001</v>
      </c>
      <c r="ED89" s="320">
        <v>161444.1</v>
      </c>
      <c r="EE89" s="320">
        <v>152234.65</v>
      </c>
      <c r="EF89" s="320">
        <v>15115.17</v>
      </c>
      <c r="EG89" s="320">
        <v>34295.31</v>
      </c>
      <c r="EH89" s="320">
        <v>18086.39</v>
      </c>
      <c r="EI89" s="323">
        <v>16840.330000000002</v>
      </c>
      <c r="EJ89" s="770">
        <v>13574.22</v>
      </c>
      <c r="EK89" s="770">
        <v>15485.7</v>
      </c>
      <c r="EL89" s="770">
        <v>31084.760000000002</v>
      </c>
      <c r="EM89" s="770">
        <v>26000</v>
      </c>
      <c r="EO89" s="320" t="s">
        <v>300</v>
      </c>
      <c r="EP89" s="320">
        <v>973869</v>
      </c>
      <c r="EQ89" s="320">
        <v>818329</v>
      </c>
      <c r="ER89" s="320">
        <v>757853</v>
      </c>
      <c r="ES89" s="320">
        <v>953222</v>
      </c>
      <c r="ET89" s="320">
        <v>1451492</v>
      </c>
      <c r="EU89" s="320">
        <v>936098</v>
      </c>
      <c r="EV89" s="320">
        <v>960354</v>
      </c>
      <c r="EW89" s="320">
        <v>946505</v>
      </c>
      <c r="EX89" s="320">
        <v>1171242.07</v>
      </c>
      <c r="EY89" s="320">
        <v>991678.68</v>
      </c>
      <c r="EZ89" s="320">
        <v>1046446.7999999999</v>
      </c>
      <c r="FA89" s="320">
        <v>1057102.77</v>
      </c>
      <c r="FB89" s="320">
        <v>1059090.1100000001</v>
      </c>
      <c r="FC89" s="320">
        <v>921728.35000000009</v>
      </c>
      <c r="FD89" s="320">
        <v>1021723.69</v>
      </c>
      <c r="FE89" s="320">
        <v>977076.75</v>
      </c>
      <c r="FF89" s="320">
        <v>893285.6399999999</v>
      </c>
      <c r="FG89" s="323">
        <v>975938.98</v>
      </c>
      <c r="FH89" s="761">
        <v>1080825.3700000001</v>
      </c>
      <c r="FI89" s="761">
        <v>1105327.7</v>
      </c>
      <c r="FJ89" s="761">
        <v>1180382.77</v>
      </c>
      <c r="FK89" s="761">
        <v>1289057</v>
      </c>
      <c r="GZ89" s="62"/>
      <c r="HB89" s="62"/>
      <c r="HD89" s="62"/>
      <c r="HF89" s="62"/>
      <c r="HH89" s="62"/>
      <c r="HJ89" s="62"/>
      <c r="HL89" s="62"/>
      <c r="HN89" s="62"/>
    </row>
    <row r="90" spans="1:222" s="61" customFormat="1">
      <c r="A90" s="319" t="s">
        <v>301</v>
      </c>
      <c r="B90" s="319">
        <v>882149</v>
      </c>
      <c r="C90" s="319">
        <v>972385</v>
      </c>
      <c r="D90" s="319">
        <v>1084155</v>
      </c>
      <c r="E90" s="319">
        <v>1022248</v>
      </c>
      <c r="F90" s="319">
        <v>1148569</v>
      </c>
      <c r="G90" s="319">
        <v>1242939</v>
      </c>
      <c r="H90" s="319">
        <v>1270811</v>
      </c>
      <c r="I90" s="319">
        <v>1380254</v>
      </c>
      <c r="J90" s="319">
        <v>1344142.9100000001</v>
      </c>
      <c r="K90" s="319">
        <v>1253588.67</v>
      </c>
      <c r="L90" s="319">
        <v>1448804.26</v>
      </c>
      <c r="M90" s="319">
        <v>1411974.32</v>
      </c>
      <c r="N90" s="319">
        <v>1403593.86</v>
      </c>
      <c r="O90" s="319">
        <v>1508065.22</v>
      </c>
      <c r="P90" s="319">
        <v>1682193.36</v>
      </c>
      <c r="Q90" s="319">
        <v>2380610.83</v>
      </c>
      <c r="R90" s="319">
        <v>2466402.8199999998</v>
      </c>
      <c r="S90" s="322"/>
      <c r="T90" s="760"/>
      <c r="U90" s="760"/>
      <c r="V90" s="760"/>
      <c r="W90" s="760"/>
      <c r="X90" s="42"/>
      <c r="Y90" s="319" t="s">
        <v>301</v>
      </c>
      <c r="Z90" s="319">
        <v>247001.72</v>
      </c>
      <c r="AA90" s="319">
        <v>262543.95</v>
      </c>
      <c r="AB90" s="319">
        <v>292721.84999999998</v>
      </c>
      <c r="AC90" s="319">
        <v>296451.92</v>
      </c>
      <c r="AD90" s="319">
        <v>321599.32</v>
      </c>
      <c r="AE90" s="319">
        <v>360452.31</v>
      </c>
      <c r="AF90" s="319">
        <v>317702.75</v>
      </c>
      <c r="AG90" s="319">
        <v>331260.96000000002</v>
      </c>
      <c r="AH90" s="319">
        <v>378591.48</v>
      </c>
      <c r="AI90" s="319">
        <v>364150.26</v>
      </c>
      <c r="AJ90" s="319">
        <v>400385.14999999997</v>
      </c>
      <c r="AK90" s="319">
        <v>414747.88</v>
      </c>
      <c r="AL90" s="319">
        <v>473511.55000000005</v>
      </c>
      <c r="AM90" s="319">
        <v>468176.25999999995</v>
      </c>
      <c r="AN90" s="319">
        <v>521388.69999999995</v>
      </c>
      <c r="AO90" s="319">
        <v>481952.52</v>
      </c>
      <c r="AP90" s="319">
        <v>450001.00999999995</v>
      </c>
      <c r="AQ90" s="322"/>
      <c r="AR90" s="760"/>
      <c r="AS90" s="760"/>
      <c r="AT90" s="760"/>
      <c r="AU90" s="760"/>
      <c r="AV90" s="62"/>
      <c r="AW90" s="319" t="s">
        <v>301</v>
      </c>
      <c r="AX90" s="319">
        <v>0</v>
      </c>
      <c r="AY90" s="319">
        <v>0</v>
      </c>
      <c r="AZ90" s="319">
        <v>0</v>
      </c>
      <c r="BA90" s="319">
        <v>0</v>
      </c>
      <c r="BB90" s="319">
        <v>0</v>
      </c>
      <c r="BC90" s="319">
        <v>0</v>
      </c>
      <c r="BD90" s="319">
        <v>0</v>
      </c>
      <c r="BE90" s="319">
        <v>0</v>
      </c>
      <c r="BF90" s="319">
        <v>0</v>
      </c>
      <c r="BG90" s="319">
        <v>0</v>
      </c>
      <c r="BH90" s="319">
        <v>0</v>
      </c>
      <c r="BI90" s="319">
        <v>0</v>
      </c>
      <c r="BJ90" s="319">
        <v>0</v>
      </c>
      <c r="BK90" s="319">
        <v>0</v>
      </c>
      <c r="BL90" s="319">
        <v>0</v>
      </c>
      <c r="BM90" s="319">
        <v>728964.36</v>
      </c>
      <c r="BN90" s="319">
        <v>870598.66</v>
      </c>
      <c r="BO90" s="322"/>
      <c r="BP90" s="760"/>
      <c r="BQ90" s="760"/>
      <c r="BR90" s="760"/>
      <c r="BS90" s="760"/>
      <c r="BT90" s="62"/>
      <c r="BU90" s="319" t="s">
        <v>301</v>
      </c>
      <c r="BV90" s="319">
        <v>564575.36</v>
      </c>
      <c r="BW90" s="319">
        <v>612602.55000000005</v>
      </c>
      <c r="BX90" s="319">
        <v>639651.44999999995</v>
      </c>
      <c r="BY90" s="319">
        <v>664461.19999999995</v>
      </c>
      <c r="BZ90" s="319">
        <v>700627.09</v>
      </c>
      <c r="CA90" s="319">
        <v>708475.23</v>
      </c>
      <c r="CB90" s="319">
        <v>762486.6</v>
      </c>
      <c r="CC90" s="319">
        <v>855757.48</v>
      </c>
      <c r="CD90" s="319">
        <v>765913.07000000007</v>
      </c>
      <c r="CE90" s="319">
        <v>763674.3</v>
      </c>
      <c r="CF90" s="319">
        <v>793834.68</v>
      </c>
      <c r="CG90" s="319">
        <v>797234.21000000008</v>
      </c>
      <c r="CH90" s="319">
        <v>767018.11</v>
      </c>
      <c r="CI90" s="319">
        <v>742650.28</v>
      </c>
      <c r="CJ90" s="319">
        <v>865178.78</v>
      </c>
      <c r="CK90" s="319">
        <v>831673.44000000006</v>
      </c>
      <c r="CL90" s="319">
        <v>822992.08999999985</v>
      </c>
      <c r="CM90" s="322"/>
      <c r="CN90" s="760"/>
      <c r="CO90" s="760"/>
      <c r="CP90" s="760"/>
      <c r="CQ90" s="760"/>
      <c r="CR90" s="62"/>
      <c r="CS90" s="319" t="s">
        <v>301</v>
      </c>
      <c r="CT90" s="319">
        <v>61750.43</v>
      </c>
      <c r="CU90" s="319">
        <v>68066.95</v>
      </c>
      <c r="CV90" s="319">
        <v>86732.4</v>
      </c>
      <c r="CW90" s="319">
        <v>61334.879999999997</v>
      </c>
      <c r="CX90" s="319">
        <v>91885.52</v>
      </c>
      <c r="CY90" s="319">
        <v>87005.73</v>
      </c>
      <c r="CZ90" s="319">
        <v>63540.55</v>
      </c>
      <c r="DA90" s="319">
        <v>41407.620000000003</v>
      </c>
      <c r="DB90" s="319">
        <v>18901.41</v>
      </c>
      <c r="DC90" s="319">
        <v>31833</v>
      </c>
      <c r="DD90" s="319">
        <v>41870.980000000003</v>
      </c>
      <c r="DE90" s="319">
        <v>34282.82</v>
      </c>
      <c r="DF90" s="319">
        <v>17694.89</v>
      </c>
      <c r="DG90" s="319">
        <v>6826.32</v>
      </c>
      <c r="DH90" s="319">
        <v>5989.88</v>
      </c>
      <c r="DI90" s="319">
        <v>4507.34</v>
      </c>
      <c r="DJ90" s="319">
        <v>2416.1799999999998</v>
      </c>
      <c r="DK90" s="322"/>
      <c r="DL90" s="760"/>
      <c r="DM90" s="760"/>
      <c r="DN90" s="760"/>
      <c r="DO90" s="760"/>
      <c r="DP90" s="62"/>
      <c r="DQ90" s="319" t="s">
        <v>301</v>
      </c>
      <c r="DR90" s="319">
        <v>8821.49</v>
      </c>
      <c r="DS90" s="319">
        <v>29171.55</v>
      </c>
      <c r="DT90" s="319">
        <v>65049.3</v>
      </c>
      <c r="DU90" s="319">
        <v>0</v>
      </c>
      <c r="DV90" s="319">
        <v>34457.07</v>
      </c>
      <c r="DW90" s="319">
        <v>87005.73</v>
      </c>
      <c r="DX90" s="319">
        <v>127081.1</v>
      </c>
      <c r="DY90" s="319">
        <v>151827.94</v>
      </c>
      <c r="DZ90" s="319">
        <v>180736.94999999998</v>
      </c>
      <c r="EA90" s="319">
        <v>93931.11</v>
      </c>
      <c r="EB90" s="319">
        <v>169346.55</v>
      </c>
      <c r="EC90" s="319">
        <v>165709.41</v>
      </c>
      <c r="ED90" s="319">
        <v>145369.31</v>
      </c>
      <c r="EE90" s="319">
        <v>290412.36</v>
      </c>
      <c r="EF90" s="319">
        <v>289636</v>
      </c>
      <c r="EG90" s="319">
        <v>333513.17000000004</v>
      </c>
      <c r="EH90" s="319">
        <v>320394.88</v>
      </c>
      <c r="EI90" s="322"/>
      <c r="EJ90" s="767"/>
      <c r="EK90" s="767"/>
      <c r="EL90" s="767"/>
      <c r="EM90" s="767"/>
      <c r="EO90" s="319" t="s">
        <v>301</v>
      </c>
      <c r="EP90" s="319">
        <v>800881</v>
      </c>
      <c r="EQ90" s="319">
        <v>784942</v>
      </c>
      <c r="ER90" s="319">
        <v>1074716</v>
      </c>
      <c r="ES90" s="319">
        <v>938293</v>
      </c>
      <c r="ET90" s="319">
        <v>962743</v>
      </c>
      <c r="EU90" s="319">
        <v>1219610</v>
      </c>
      <c r="EV90" s="319">
        <v>1197985</v>
      </c>
      <c r="EW90" s="319">
        <v>1426939</v>
      </c>
      <c r="EX90" s="319">
        <v>1885413.77</v>
      </c>
      <c r="EY90" s="319">
        <v>1600734.46</v>
      </c>
      <c r="EZ90" s="319">
        <v>1624183.8</v>
      </c>
      <c r="FA90" s="319">
        <v>1525126.9100000001</v>
      </c>
      <c r="FB90" s="319">
        <v>1788624.17</v>
      </c>
      <c r="FC90" s="319">
        <v>1141841.46</v>
      </c>
      <c r="FD90" s="319">
        <v>1430807</v>
      </c>
      <c r="FE90" s="319">
        <v>2683929.3299999996</v>
      </c>
      <c r="FF90" s="319">
        <v>2520023.5799999996</v>
      </c>
      <c r="FG90" s="322"/>
      <c r="FH90" s="760"/>
      <c r="FI90" s="760"/>
      <c r="FJ90" s="760"/>
      <c r="FK90" s="760"/>
      <c r="GZ90" s="62"/>
      <c r="HB90" s="62"/>
      <c r="HD90" s="62"/>
      <c r="HF90" s="62"/>
      <c r="HH90" s="62"/>
      <c r="HJ90" s="62"/>
      <c r="HL90" s="62"/>
      <c r="HN90" s="62"/>
    </row>
    <row r="91" spans="1:222" s="61" customFormat="1">
      <c r="A91" s="319" t="s">
        <v>73</v>
      </c>
      <c r="B91" s="319">
        <v>478454</v>
      </c>
      <c r="C91" s="319">
        <v>800280</v>
      </c>
      <c r="D91" s="319">
        <v>765724</v>
      </c>
      <c r="E91" s="319">
        <v>735977</v>
      </c>
      <c r="F91" s="319">
        <v>523363</v>
      </c>
      <c r="G91" s="319">
        <v>574779</v>
      </c>
      <c r="H91" s="319">
        <v>1122935</v>
      </c>
      <c r="I91" s="319">
        <v>813455</v>
      </c>
      <c r="J91" s="319">
        <v>656006.31999999995</v>
      </c>
      <c r="K91" s="319">
        <v>575065.44000000006</v>
      </c>
      <c r="L91" s="319">
        <v>768178.23</v>
      </c>
      <c r="M91" s="319">
        <v>708668.45000000007</v>
      </c>
      <c r="N91" s="319">
        <v>702048.38000000012</v>
      </c>
      <c r="O91" s="319">
        <v>726198.89999999991</v>
      </c>
      <c r="P91" s="319">
        <v>696513.86</v>
      </c>
      <c r="Q91" s="319">
        <v>1074178.22</v>
      </c>
      <c r="R91" s="319">
        <v>693061.25</v>
      </c>
      <c r="S91" s="322">
        <v>662985.47</v>
      </c>
      <c r="T91" s="760">
        <v>746414.37000000011</v>
      </c>
      <c r="U91" s="760">
        <v>1020368.24</v>
      </c>
      <c r="V91" s="760">
        <v>775123.54999999993</v>
      </c>
      <c r="W91" s="760">
        <v>819780</v>
      </c>
      <c r="X91" s="42"/>
      <c r="Y91" s="319" t="s">
        <v>73</v>
      </c>
      <c r="Z91" s="319">
        <v>167458.9</v>
      </c>
      <c r="AA91" s="319">
        <v>184064.4</v>
      </c>
      <c r="AB91" s="319">
        <v>191431</v>
      </c>
      <c r="AC91" s="319">
        <v>206073.56</v>
      </c>
      <c r="AD91" s="319">
        <v>198877.94</v>
      </c>
      <c r="AE91" s="319">
        <v>212668.23</v>
      </c>
      <c r="AF91" s="319">
        <v>213357.65</v>
      </c>
      <c r="AG91" s="319">
        <v>219632.85</v>
      </c>
      <c r="AH91" s="319">
        <v>236228.52</v>
      </c>
      <c r="AI91" s="319">
        <v>229427.03</v>
      </c>
      <c r="AJ91" s="319">
        <v>228004.69</v>
      </c>
      <c r="AK91" s="319">
        <v>246703.91</v>
      </c>
      <c r="AL91" s="319">
        <v>268881.94</v>
      </c>
      <c r="AM91" s="319">
        <v>273126.69</v>
      </c>
      <c r="AN91" s="319">
        <v>277012.76</v>
      </c>
      <c r="AO91" s="319">
        <v>264977.51999999996</v>
      </c>
      <c r="AP91" s="319">
        <v>322345.06999999995</v>
      </c>
      <c r="AQ91" s="322">
        <v>301708.26999999996</v>
      </c>
      <c r="AR91" s="760">
        <v>331219.15000000002</v>
      </c>
      <c r="AS91" s="760">
        <v>333666.97000000003</v>
      </c>
      <c r="AT91" s="760">
        <v>334524.37</v>
      </c>
      <c r="AU91" s="760">
        <v>335500</v>
      </c>
      <c r="AV91" s="62"/>
      <c r="AW91" s="319" t="s">
        <v>73</v>
      </c>
      <c r="AX91" s="319">
        <v>0</v>
      </c>
      <c r="AY91" s="319">
        <v>0</v>
      </c>
      <c r="AZ91" s="319">
        <v>0</v>
      </c>
      <c r="BA91" s="319">
        <v>0</v>
      </c>
      <c r="BB91" s="319">
        <v>0</v>
      </c>
      <c r="BC91" s="319">
        <v>0</v>
      </c>
      <c r="BD91" s="319">
        <v>0</v>
      </c>
      <c r="BE91" s="319">
        <v>0</v>
      </c>
      <c r="BF91" s="319">
        <v>0</v>
      </c>
      <c r="BG91" s="319">
        <v>0</v>
      </c>
      <c r="BH91" s="319">
        <v>0</v>
      </c>
      <c r="BI91" s="319">
        <v>0</v>
      </c>
      <c r="BJ91" s="319">
        <v>0</v>
      </c>
      <c r="BK91" s="319">
        <v>0</v>
      </c>
      <c r="BL91" s="319">
        <v>0</v>
      </c>
      <c r="BM91" s="319">
        <v>0</v>
      </c>
      <c r="BN91" s="319">
        <v>0</v>
      </c>
      <c r="BO91" s="322">
        <v>0</v>
      </c>
      <c r="BP91" s="760">
        <v>0</v>
      </c>
      <c r="BQ91" s="760">
        <v>0</v>
      </c>
      <c r="BR91" s="760">
        <v>0</v>
      </c>
      <c r="BS91" s="760">
        <v>0</v>
      </c>
      <c r="BT91" s="62"/>
      <c r="BU91" s="319" t="s">
        <v>73</v>
      </c>
      <c r="BV91" s="319">
        <v>296641.48</v>
      </c>
      <c r="BW91" s="319">
        <v>600210</v>
      </c>
      <c r="BX91" s="319">
        <v>551321.28</v>
      </c>
      <c r="BY91" s="319">
        <v>500464.36</v>
      </c>
      <c r="BZ91" s="319">
        <v>303550.53999999998</v>
      </c>
      <c r="CA91" s="319">
        <v>339119.61</v>
      </c>
      <c r="CB91" s="319">
        <v>898348</v>
      </c>
      <c r="CC91" s="319">
        <v>593822.15</v>
      </c>
      <c r="CD91" s="319">
        <v>352768.6</v>
      </c>
      <c r="CE91" s="319">
        <v>305816.45</v>
      </c>
      <c r="CF91" s="319">
        <v>456936.20000000007</v>
      </c>
      <c r="CG91" s="319">
        <v>321477.19</v>
      </c>
      <c r="CH91" s="319">
        <v>317962.36000000004</v>
      </c>
      <c r="CI91" s="319">
        <v>380062.83999999997</v>
      </c>
      <c r="CJ91" s="319">
        <v>377081.51</v>
      </c>
      <c r="CK91" s="319">
        <v>776379.21000000008</v>
      </c>
      <c r="CL91" s="319">
        <v>313939.8</v>
      </c>
      <c r="CM91" s="322">
        <v>299128.58</v>
      </c>
      <c r="CN91" s="760">
        <v>382493.51</v>
      </c>
      <c r="CO91" s="760">
        <v>660359.59</v>
      </c>
      <c r="CP91" s="760">
        <v>414647.14999999997</v>
      </c>
      <c r="CQ91" s="760">
        <v>455780</v>
      </c>
      <c r="CR91" s="62"/>
      <c r="CS91" s="319" t="s">
        <v>73</v>
      </c>
      <c r="CT91" s="319">
        <v>9569.08</v>
      </c>
      <c r="CU91" s="319">
        <v>8002.8</v>
      </c>
      <c r="CV91" s="319">
        <v>7657.24</v>
      </c>
      <c r="CW91" s="319">
        <v>14719.54</v>
      </c>
      <c r="CX91" s="319">
        <v>15700.89</v>
      </c>
      <c r="CY91" s="319">
        <v>17243.37</v>
      </c>
      <c r="CZ91" s="319">
        <v>0</v>
      </c>
      <c r="DA91" s="319">
        <v>0</v>
      </c>
      <c r="DB91" s="319">
        <v>2936.29</v>
      </c>
      <c r="DC91" s="319">
        <v>11660.78</v>
      </c>
      <c r="DD91" s="319">
        <v>24022.32</v>
      </c>
      <c r="DE91" s="319">
        <v>25493.31</v>
      </c>
      <c r="DF91" s="319">
        <v>17632.04</v>
      </c>
      <c r="DG91" s="319">
        <v>6948.09</v>
      </c>
      <c r="DH91" s="319">
        <v>10399.44</v>
      </c>
      <c r="DI91" s="319">
        <v>10058.959999999999</v>
      </c>
      <c r="DJ91" s="319">
        <v>8841.7800000000007</v>
      </c>
      <c r="DK91" s="322">
        <v>7566.21</v>
      </c>
      <c r="DL91" s="760">
        <v>4682.88</v>
      </c>
      <c r="DM91" s="760">
        <v>4557.07</v>
      </c>
      <c r="DN91" s="760">
        <v>5075.62</v>
      </c>
      <c r="DO91" s="760">
        <v>5500</v>
      </c>
      <c r="DP91" s="62"/>
      <c r="DQ91" s="319" t="s">
        <v>73</v>
      </c>
      <c r="DR91" s="319">
        <v>4784.54</v>
      </c>
      <c r="DS91" s="319">
        <v>8002.8</v>
      </c>
      <c r="DT91" s="319">
        <v>15314.48</v>
      </c>
      <c r="DU91" s="319">
        <v>14719.54</v>
      </c>
      <c r="DV91" s="319">
        <v>5233.63</v>
      </c>
      <c r="DW91" s="319">
        <v>5747.79</v>
      </c>
      <c r="DX91" s="319">
        <v>11229.35</v>
      </c>
      <c r="DY91" s="319">
        <v>0</v>
      </c>
      <c r="DZ91" s="319">
        <v>29692.66</v>
      </c>
      <c r="EA91" s="319">
        <v>10580.99</v>
      </c>
      <c r="EB91" s="319">
        <v>21346.54</v>
      </c>
      <c r="EC91" s="319">
        <v>4280.32</v>
      </c>
      <c r="ED91" s="319">
        <v>7922.92</v>
      </c>
      <c r="EE91" s="319">
        <v>6944.2599999999993</v>
      </c>
      <c r="EF91" s="319">
        <v>4026.04</v>
      </c>
      <c r="EG91" s="319">
        <v>8163.33</v>
      </c>
      <c r="EH91" s="319">
        <v>20944.330000000002</v>
      </c>
      <c r="EI91" s="322">
        <v>29835.520000000004</v>
      </c>
      <c r="EJ91" s="767">
        <v>9270.33</v>
      </c>
      <c r="EK91" s="767">
        <v>5145.5300000000007</v>
      </c>
      <c r="EL91" s="767">
        <v>8689.9699999999993</v>
      </c>
      <c r="EM91" s="767">
        <v>8000</v>
      </c>
      <c r="EO91" s="319" t="s">
        <v>73</v>
      </c>
      <c r="EP91" s="319">
        <v>611776</v>
      </c>
      <c r="EQ91" s="319">
        <v>809882</v>
      </c>
      <c r="ER91" s="319">
        <v>664160</v>
      </c>
      <c r="ES91" s="319">
        <v>625692</v>
      </c>
      <c r="ET91" s="319">
        <v>544469</v>
      </c>
      <c r="EU91" s="319">
        <v>678804</v>
      </c>
      <c r="EV91" s="319">
        <v>1054278</v>
      </c>
      <c r="EW91" s="319">
        <v>770471</v>
      </c>
      <c r="EX91" s="319">
        <v>511175.20000000007</v>
      </c>
      <c r="EY91" s="319">
        <v>547032.42999999993</v>
      </c>
      <c r="EZ91" s="319">
        <v>839158.8600000001</v>
      </c>
      <c r="FA91" s="319">
        <v>694882.87</v>
      </c>
      <c r="FB91" s="319">
        <v>757164.97</v>
      </c>
      <c r="FC91" s="319">
        <v>745063.45000000007</v>
      </c>
      <c r="FD91" s="319">
        <v>705023.84999999986</v>
      </c>
      <c r="FE91" s="319">
        <v>1145296.46</v>
      </c>
      <c r="FF91" s="319">
        <v>676930.99</v>
      </c>
      <c r="FG91" s="322">
        <v>636038.82999999996</v>
      </c>
      <c r="FH91" s="760">
        <v>693505.17999999993</v>
      </c>
      <c r="FI91" s="760">
        <v>1088292.5099999998</v>
      </c>
      <c r="FJ91" s="760">
        <v>835143.54000000015</v>
      </c>
      <c r="FK91" s="760">
        <v>1007684.11</v>
      </c>
      <c r="GZ91" s="62"/>
      <c r="HB91" s="62"/>
      <c r="HD91" s="62"/>
      <c r="HF91" s="62"/>
      <c r="HH91" s="62"/>
      <c r="HJ91" s="62"/>
      <c r="HL91" s="62"/>
      <c r="HN91" s="62"/>
    </row>
    <row r="92" spans="1:222" s="61" customFormat="1">
      <c r="A92" s="319" t="s">
        <v>74</v>
      </c>
      <c r="B92" s="319">
        <v>845510</v>
      </c>
      <c r="C92" s="319">
        <v>925464</v>
      </c>
      <c r="D92" s="319">
        <v>951208</v>
      </c>
      <c r="E92" s="319">
        <v>931594</v>
      </c>
      <c r="F92" s="319">
        <v>955338</v>
      </c>
      <c r="G92" s="319">
        <v>1021326</v>
      </c>
      <c r="H92" s="319">
        <v>924018</v>
      </c>
      <c r="I92" s="319">
        <v>857665</v>
      </c>
      <c r="J92" s="319">
        <v>833664.84000000008</v>
      </c>
      <c r="K92" s="319">
        <v>872565.31</v>
      </c>
      <c r="L92" s="319">
        <v>831161.89999999991</v>
      </c>
      <c r="M92" s="319">
        <v>833571.47000000009</v>
      </c>
      <c r="N92" s="319">
        <v>860436.84000000008</v>
      </c>
      <c r="O92" s="319">
        <v>916707.58</v>
      </c>
      <c r="P92" s="319">
        <v>960987.62</v>
      </c>
      <c r="Q92" s="319">
        <v>1052853.6200000001</v>
      </c>
      <c r="R92" s="319">
        <v>1122399.47</v>
      </c>
      <c r="S92" s="322">
        <v>993945.72</v>
      </c>
      <c r="T92" s="760">
        <v>1018365.29</v>
      </c>
      <c r="U92" s="760">
        <v>1033072.8300000001</v>
      </c>
      <c r="V92" s="760">
        <v>1107908.48</v>
      </c>
      <c r="W92" s="760">
        <v>958000</v>
      </c>
      <c r="X92" s="42"/>
      <c r="Y92" s="319" t="s">
        <v>74</v>
      </c>
      <c r="Z92" s="319">
        <v>236742.8</v>
      </c>
      <c r="AA92" s="319">
        <v>259129.92</v>
      </c>
      <c r="AB92" s="319">
        <v>266338.24</v>
      </c>
      <c r="AC92" s="319">
        <v>270162.26</v>
      </c>
      <c r="AD92" s="319">
        <v>267494.64</v>
      </c>
      <c r="AE92" s="319">
        <v>306397.8</v>
      </c>
      <c r="AF92" s="319">
        <v>295685.76000000001</v>
      </c>
      <c r="AG92" s="319">
        <v>291606.09999999998</v>
      </c>
      <c r="AH92" s="319">
        <v>314393.14</v>
      </c>
      <c r="AI92" s="319">
        <v>304824.94</v>
      </c>
      <c r="AJ92" s="319">
        <v>325987.13</v>
      </c>
      <c r="AK92" s="319">
        <v>334502.10000000003</v>
      </c>
      <c r="AL92" s="319">
        <v>350938.25</v>
      </c>
      <c r="AM92" s="319">
        <v>315509.61</v>
      </c>
      <c r="AN92" s="319">
        <v>375452.18000000005</v>
      </c>
      <c r="AO92" s="319">
        <v>382335.98</v>
      </c>
      <c r="AP92" s="319">
        <v>424818.30000000005</v>
      </c>
      <c r="AQ92" s="322">
        <v>416180.36</v>
      </c>
      <c r="AR92" s="760">
        <v>444159.35000000003</v>
      </c>
      <c r="AS92" s="760">
        <v>458233.65</v>
      </c>
      <c r="AT92" s="760">
        <v>468512.85</v>
      </c>
      <c r="AU92" s="760">
        <v>440000</v>
      </c>
      <c r="AV92" s="62"/>
      <c r="AW92" s="319" t="s">
        <v>74</v>
      </c>
      <c r="AX92" s="319">
        <v>135281.60000000001</v>
      </c>
      <c r="AY92" s="319">
        <v>138819.6</v>
      </c>
      <c r="AZ92" s="319">
        <v>133169.12</v>
      </c>
      <c r="BA92" s="319">
        <v>149055.04000000001</v>
      </c>
      <c r="BB92" s="319">
        <v>162407.46</v>
      </c>
      <c r="BC92" s="319">
        <v>163412.16</v>
      </c>
      <c r="BD92" s="319">
        <v>0</v>
      </c>
      <c r="BE92" s="319">
        <v>0</v>
      </c>
      <c r="BF92" s="319">
        <v>0</v>
      </c>
      <c r="BG92" s="319">
        <v>0</v>
      </c>
      <c r="BH92" s="319">
        <v>0</v>
      </c>
      <c r="BI92" s="319">
        <v>0</v>
      </c>
      <c r="BJ92" s="319">
        <v>0</v>
      </c>
      <c r="BK92" s="319">
        <v>0</v>
      </c>
      <c r="BL92" s="319">
        <v>0</v>
      </c>
      <c r="BM92" s="319">
        <v>0</v>
      </c>
      <c r="BN92" s="319">
        <v>0</v>
      </c>
      <c r="BO92" s="322">
        <v>0</v>
      </c>
      <c r="BP92" s="760">
        <v>0</v>
      </c>
      <c r="BQ92" s="760">
        <v>0</v>
      </c>
      <c r="BR92" s="760">
        <v>0</v>
      </c>
      <c r="BS92" s="760">
        <v>0</v>
      </c>
      <c r="BT92" s="62"/>
      <c r="BU92" s="319" t="s">
        <v>74</v>
      </c>
      <c r="BV92" s="319">
        <v>405844.8</v>
      </c>
      <c r="BW92" s="319">
        <v>434968.08</v>
      </c>
      <c r="BX92" s="319">
        <v>456579.84000000003</v>
      </c>
      <c r="BY92" s="319">
        <v>447165.12</v>
      </c>
      <c r="BZ92" s="319">
        <v>468115.62</v>
      </c>
      <c r="CA92" s="319">
        <v>510663</v>
      </c>
      <c r="CB92" s="319">
        <v>572891.16</v>
      </c>
      <c r="CC92" s="319">
        <v>480292.4</v>
      </c>
      <c r="CD92" s="319">
        <v>479793.02</v>
      </c>
      <c r="CE92" s="319">
        <v>479987.18000000005</v>
      </c>
      <c r="CF92" s="319">
        <v>475850.07999999996</v>
      </c>
      <c r="CG92" s="319">
        <v>477391.28</v>
      </c>
      <c r="CH92" s="319">
        <v>433970.66000000003</v>
      </c>
      <c r="CI92" s="319">
        <v>558845.21</v>
      </c>
      <c r="CJ92" s="319">
        <v>449170.24</v>
      </c>
      <c r="CK92" s="319">
        <v>432487.28</v>
      </c>
      <c r="CL92" s="319">
        <v>440081.52999999997</v>
      </c>
      <c r="CM92" s="322">
        <v>444748.49</v>
      </c>
      <c r="CN92" s="760">
        <v>462988.6</v>
      </c>
      <c r="CO92" s="760">
        <v>481262.08000000002</v>
      </c>
      <c r="CP92" s="760">
        <v>485478.22000000003</v>
      </c>
      <c r="CQ92" s="760">
        <v>452000</v>
      </c>
      <c r="CR92" s="62"/>
      <c r="CS92" s="319" t="s">
        <v>74</v>
      </c>
      <c r="CT92" s="319">
        <v>25365.3</v>
      </c>
      <c r="CU92" s="319">
        <v>27763.919999999998</v>
      </c>
      <c r="CV92" s="319">
        <v>28536.240000000002</v>
      </c>
      <c r="CW92" s="319">
        <v>27947.82</v>
      </c>
      <c r="CX92" s="319">
        <v>28660.14</v>
      </c>
      <c r="CY92" s="319">
        <v>20426.52</v>
      </c>
      <c r="CZ92" s="319">
        <v>9240.18</v>
      </c>
      <c r="DA92" s="319">
        <v>8576.65</v>
      </c>
      <c r="DB92" s="319">
        <v>3863.94</v>
      </c>
      <c r="DC92" s="319">
        <v>5808.06</v>
      </c>
      <c r="DD92" s="319">
        <v>6986.21</v>
      </c>
      <c r="DE92" s="319">
        <v>10697.18</v>
      </c>
      <c r="DF92" s="319">
        <v>13075.52</v>
      </c>
      <c r="DG92" s="319">
        <v>12118.9</v>
      </c>
      <c r="DH92" s="319">
        <v>5403.08</v>
      </c>
      <c r="DI92" s="319">
        <v>5058.29</v>
      </c>
      <c r="DJ92" s="319">
        <v>6040.27</v>
      </c>
      <c r="DK92" s="322">
        <v>7439.85</v>
      </c>
      <c r="DL92" s="760">
        <v>8074.35</v>
      </c>
      <c r="DM92" s="760">
        <v>7429.61</v>
      </c>
      <c r="DN92" s="760">
        <v>6457.42</v>
      </c>
      <c r="DO92" s="760">
        <v>6000</v>
      </c>
      <c r="DP92" s="62"/>
      <c r="DQ92" s="319" t="s">
        <v>74</v>
      </c>
      <c r="DR92" s="319">
        <v>42275.5</v>
      </c>
      <c r="DS92" s="319">
        <v>64782.48</v>
      </c>
      <c r="DT92" s="319">
        <v>66584.56</v>
      </c>
      <c r="DU92" s="319">
        <v>37263.760000000002</v>
      </c>
      <c r="DV92" s="319">
        <v>28660.14</v>
      </c>
      <c r="DW92" s="319">
        <v>20426.52</v>
      </c>
      <c r="DX92" s="319">
        <v>46200.9</v>
      </c>
      <c r="DY92" s="319">
        <v>77189.850000000006</v>
      </c>
      <c r="DZ92" s="319">
        <v>35614.740000000005</v>
      </c>
      <c r="EA92" s="319">
        <v>21945.13</v>
      </c>
      <c r="EB92" s="319">
        <v>22338.48</v>
      </c>
      <c r="EC92" s="319">
        <v>10980.91</v>
      </c>
      <c r="ED92" s="319">
        <v>62452.409999999996</v>
      </c>
      <c r="EE92" s="319">
        <v>30233.86</v>
      </c>
      <c r="EF92" s="319">
        <v>130962.12</v>
      </c>
      <c r="EG92" s="319">
        <v>144539.87000000002</v>
      </c>
      <c r="EH92" s="319">
        <v>54554.33</v>
      </c>
      <c r="EI92" s="322">
        <v>56790.46</v>
      </c>
      <c r="EJ92" s="767">
        <v>103142.98999999999</v>
      </c>
      <c r="EK92" s="767">
        <v>49622.67</v>
      </c>
      <c r="EL92" s="767">
        <v>82913.53</v>
      </c>
      <c r="EM92" s="767">
        <v>60000</v>
      </c>
      <c r="EO92" s="319" t="s">
        <v>74</v>
      </c>
      <c r="EP92" s="319">
        <v>784688</v>
      </c>
      <c r="EQ92" s="319">
        <v>865633</v>
      </c>
      <c r="ER92" s="319">
        <v>1037705</v>
      </c>
      <c r="ES92" s="319">
        <v>806629</v>
      </c>
      <c r="ET92" s="319">
        <v>1169041</v>
      </c>
      <c r="EU92" s="319">
        <v>1074246</v>
      </c>
      <c r="EV92" s="319">
        <v>892484</v>
      </c>
      <c r="EW92" s="319">
        <v>948380</v>
      </c>
      <c r="EX92" s="319">
        <v>809997.57000000007</v>
      </c>
      <c r="EY92" s="319">
        <v>926037.05</v>
      </c>
      <c r="EZ92" s="319">
        <v>817641.81</v>
      </c>
      <c r="FA92" s="319">
        <v>814776.53</v>
      </c>
      <c r="FB92" s="319">
        <v>893195</v>
      </c>
      <c r="FC92" s="319">
        <v>944569.64000000013</v>
      </c>
      <c r="FD92" s="319">
        <v>1065446.03</v>
      </c>
      <c r="FE92" s="319">
        <v>830551.16999999993</v>
      </c>
      <c r="FF92" s="319">
        <v>943574.19</v>
      </c>
      <c r="FG92" s="322">
        <v>835922.79</v>
      </c>
      <c r="FH92" s="760">
        <v>912759.8</v>
      </c>
      <c r="FI92" s="760">
        <v>939127.09000000008</v>
      </c>
      <c r="FJ92" s="760">
        <v>974110.96</v>
      </c>
      <c r="FK92" s="760">
        <v>1505413</v>
      </c>
      <c r="GZ92" s="62"/>
      <c r="HB92" s="62"/>
      <c r="HD92" s="62"/>
      <c r="HF92" s="62"/>
      <c r="HH92" s="62"/>
      <c r="HJ92" s="62"/>
      <c r="HL92" s="62"/>
      <c r="HN92" s="62"/>
    </row>
    <row r="93" spans="1:222" s="61" customFormat="1">
      <c r="A93" s="319" t="s">
        <v>75</v>
      </c>
      <c r="B93" s="319">
        <v>983376</v>
      </c>
      <c r="C93" s="319">
        <v>877290</v>
      </c>
      <c r="D93" s="319">
        <v>931085</v>
      </c>
      <c r="E93" s="319">
        <v>943337</v>
      </c>
      <c r="F93" s="319">
        <v>984219</v>
      </c>
      <c r="G93" s="319">
        <v>1058390</v>
      </c>
      <c r="H93" s="319">
        <v>1264449</v>
      </c>
      <c r="I93" s="319">
        <v>1228374</v>
      </c>
      <c r="J93" s="319">
        <v>1228726.8600000003</v>
      </c>
      <c r="K93" s="319">
        <v>1111607.3699999999</v>
      </c>
      <c r="L93" s="319">
        <v>1128172.3800000001</v>
      </c>
      <c r="M93" s="319">
        <v>1159034.1299999999</v>
      </c>
      <c r="N93" s="319">
        <v>1323137.73</v>
      </c>
      <c r="O93" s="319">
        <v>1401295.39</v>
      </c>
      <c r="P93" s="319">
        <v>1239401.71</v>
      </c>
      <c r="Q93" s="319">
        <v>1628726.42</v>
      </c>
      <c r="R93" s="319">
        <v>1374679.2</v>
      </c>
      <c r="S93" s="322">
        <v>1785588.44</v>
      </c>
      <c r="T93" s="760">
        <v>1349029.4500000002</v>
      </c>
      <c r="U93" s="760">
        <v>1897938</v>
      </c>
      <c r="V93" s="760">
        <v>1657426.13</v>
      </c>
      <c r="W93" s="760">
        <v>1290270</v>
      </c>
      <c r="X93" s="42"/>
      <c r="Y93" s="319" t="s">
        <v>75</v>
      </c>
      <c r="Z93" s="319">
        <v>304846.56</v>
      </c>
      <c r="AA93" s="319">
        <v>333370.2</v>
      </c>
      <c r="AB93" s="319">
        <v>353812.3</v>
      </c>
      <c r="AC93" s="319">
        <v>377334.8</v>
      </c>
      <c r="AD93" s="319">
        <v>383845.41</v>
      </c>
      <c r="AE93" s="319">
        <v>433939.9</v>
      </c>
      <c r="AF93" s="319">
        <v>429912.66</v>
      </c>
      <c r="AG93" s="319">
        <v>466782.12</v>
      </c>
      <c r="AH93" s="319">
        <v>466297.36</v>
      </c>
      <c r="AI93" s="319">
        <v>499389.36</v>
      </c>
      <c r="AJ93" s="319">
        <v>489041.85</v>
      </c>
      <c r="AK93" s="319">
        <v>520111.52</v>
      </c>
      <c r="AL93" s="319">
        <v>553680.86</v>
      </c>
      <c r="AM93" s="319">
        <v>564352.47</v>
      </c>
      <c r="AN93" s="319">
        <v>564731.56999999995</v>
      </c>
      <c r="AO93" s="319">
        <v>581249.82999999996</v>
      </c>
      <c r="AP93" s="319">
        <v>608679.13</v>
      </c>
      <c r="AQ93" s="322">
        <v>605098.14</v>
      </c>
      <c r="AR93" s="760">
        <v>644921.59</v>
      </c>
      <c r="AS93" s="760">
        <v>666516.85</v>
      </c>
      <c r="AT93" s="760">
        <v>648290.1</v>
      </c>
      <c r="AU93" s="760">
        <v>671800</v>
      </c>
      <c r="AV93" s="62"/>
      <c r="AW93" s="319" t="s">
        <v>75</v>
      </c>
      <c r="AX93" s="319">
        <v>0</v>
      </c>
      <c r="AY93" s="319">
        <v>0</v>
      </c>
      <c r="AZ93" s="319">
        <v>0</v>
      </c>
      <c r="BA93" s="319">
        <v>0</v>
      </c>
      <c r="BB93" s="319">
        <v>0</v>
      </c>
      <c r="BC93" s="319">
        <v>0</v>
      </c>
      <c r="BD93" s="319">
        <v>0</v>
      </c>
      <c r="BE93" s="319">
        <v>0</v>
      </c>
      <c r="BF93" s="319">
        <v>0</v>
      </c>
      <c r="BG93" s="319">
        <v>0</v>
      </c>
      <c r="BH93" s="319">
        <v>0</v>
      </c>
      <c r="BI93" s="319">
        <v>0</v>
      </c>
      <c r="BJ93" s="319">
        <v>0</v>
      </c>
      <c r="BK93" s="319">
        <v>0</v>
      </c>
      <c r="BL93" s="319">
        <v>0</v>
      </c>
      <c r="BM93" s="319">
        <v>0</v>
      </c>
      <c r="BN93" s="319">
        <v>0</v>
      </c>
      <c r="BO93" s="322">
        <v>0</v>
      </c>
      <c r="BP93" s="760">
        <v>0</v>
      </c>
      <c r="BQ93" s="760">
        <v>0</v>
      </c>
      <c r="BR93" s="760">
        <v>0</v>
      </c>
      <c r="BS93" s="760">
        <v>0</v>
      </c>
      <c r="BT93" s="62"/>
      <c r="BU93" s="319" t="s">
        <v>75</v>
      </c>
      <c r="BV93" s="319">
        <v>491688</v>
      </c>
      <c r="BW93" s="319">
        <v>526374</v>
      </c>
      <c r="BX93" s="319">
        <v>558651</v>
      </c>
      <c r="BY93" s="319">
        <v>556568.82999999996</v>
      </c>
      <c r="BZ93" s="319">
        <v>580689.21</v>
      </c>
      <c r="CA93" s="319">
        <v>529195</v>
      </c>
      <c r="CB93" s="319">
        <v>783958.38</v>
      </c>
      <c r="CC93" s="319">
        <v>737024.4</v>
      </c>
      <c r="CD93" s="319">
        <v>696891.70000000019</v>
      </c>
      <c r="CE93" s="319">
        <v>548410.74999999988</v>
      </c>
      <c r="CF93" s="319">
        <v>548521.26000000013</v>
      </c>
      <c r="CG93" s="319">
        <v>544550.87</v>
      </c>
      <c r="CH93" s="319">
        <v>697246.46</v>
      </c>
      <c r="CI93" s="319">
        <v>771153.67999999993</v>
      </c>
      <c r="CJ93" s="319">
        <v>603230.73</v>
      </c>
      <c r="CK93" s="319">
        <v>1003957.04</v>
      </c>
      <c r="CL93" s="319">
        <v>685589.30999999994</v>
      </c>
      <c r="CM93" s="322">
        <v>1006311.1499999999</v>
      </c>
      <c r="CN93" s="760">
        <v>612000.4800000001</v>
      </c>
      <c r="CO93" s="760">
        <v>1031308.2499999999</v>
      </c>
      <c r="CP93" s="760">
        <v>653127.37999999989</v>
      </c>
      <c r="CQ93" s="760">
        <v>558970</v>
      </c>
      <c r="CR93" s="62"/>
      <c r="CS93" s="319" t="s">
        <v>75</v>
      </c>
      <c r="CT93" s="319">
        <v>9833.76</v>
      </c>
      <c r="CU93" s="319">
        <v>17545.8</v>
      </c>
      <c r="CV93" s="319">
        <v>9310.85</v>
      </c>
      <c r="CW93" s="319">
        <v>9433.3700000000008</v>
      </c>
      <c r="CX93" s="319">
        <v>19684.38</v>
      </c>
      <c r="CY93" s="319">
        <v>21167.8</v>
      </c>
      <c r="CZ93" s="319">
        <v>12644.49</v>
      </c>
      <c r="DA93" s="319">
        <v>12283.74</v>
      </c>
      <c r="DB93" s="319">
        <v>7280.26</v>
      </c>
      <c r="DC93" s="319">
        <v>11193.41</v>
      </c>
      <c r="DD93" s="319">
        <v>12911.39</v>
      </c>
      <c r="DE93" s="319">
        <v>14643.06</v>
      </c>
      <c r="DF93" s="319">
        <v>7933.03</v>
      </c>
      <c r="DG93" s="319">
        <v>4886.71</v>
      </c>
      <c r="DH93" s="319">
        <v>3618.41</v>
      </c>
      <c r="DI93" s="319">
        <v>2579.4</v>
      </c>
      <c r="DJ93" s="319">
        <v>1500.7</v>
      </c>
      <c r="DK93" s="322">
        <v>1033.02</v>
      </c>
      <c r="DL93" s="760">
        <v>664.23</v>
      </c>
      <c r="DM93" s="760">
        <v>669.55</v>
      </c>
      <c r="DN93" s="760">
        <v>1153.68</v>
      </c>
      <c r="DO93" s="760">
        <v>1500</v>
      </c>
      <c r="DP93" s="62"/>
      <c r="DQ93" s="319" t="s">
        <v>75</v>
      </c>
      <c r="DR93" s="319">
        <v>177007.68</v>
      </c>
      <c r="DS93" s="319">
        <v>0</v>
      </c>
      <c r="DT93" s="319">
        <v>9310.85</v>
      </c>
      <c r="DU93" s="319">
        <v>0</v>
      </c>
      <c r="DV93" s="319">
        <v>0</v>
      </c>
      <c r="DW93" s="319">
        <v>74087.3</v>
      </c>
      <c r="DX93" s="319">
        <v>37933.47</v>
      </c>
      <c r="DY93" s="319">
        <v>12283.74</v>
      </c>
      <c r="DZ93" s="319">
        <v>5257.54</v>
      </c>
      <c r="EA93" s="319">
        <v>6613.85</v>
      </c>
      <c r="EB93" s="319">
        <v>31697.88</v>
      </c>
      <c r="EC93" s="319">
        <v>33728.68</v>
      </c>
      <c r="ED93" s="319">
        <v>18277.379999999997</v>
      </c>
      <c r="EE93" s="319">
        <v>14902.53</v>
      </c>
      <c r="EF93" s="319">
        <v>25071</v>
      </c>
      <c r="EG93" s="319">
        <v>3940.15</v>
      </c>
      <c r="EH93" s="319">
        <v>41910.06</v>
      </c>
      <c r="EI93" s="322">
        <v>71826.990000000005</v>
      </c>
      <c r="EJ93" s="767">
        <v>5343.4</v>
      </c>
      <c r="EK93" s="767">
        <v>24443.35</v>
      </c>
      <c r="EL93" s="767">
        <v>522.19000000000005</v>
      </c>
      <c r="EM93" s="767">
        <v>3000</v>
      </c>
      <c r="EO93" s="319" t="s">
        <v>75</v>
      </c>
      <c r="EP93" s="319">
        <v>909798</v>
      </c>
      <c r="EQ93" s="319">
        <v>884387</v>
      </c>
      <c r="ER93" s="319">
        <v>940815</v>
      </c>
      <c r="ES93" s="319">
        <v>870254</v>
      </c>
      <c r="ET93" s="319">
        <v>979583</v>
      </c>
      <c r="EU93" s="319">
        <v>962493</v>
      </c>
      <c r="EV93" s="319">
        <v>1169046</v>
      </c>
      <c r="EW93" s="319">
        <v>1198470</v>
      </c>
      <c r="EX93" s="319">
        <v>1378909.14</v>
      </c>
      <c r="EY93" s="319">
        <v>1326255.0900000003</v>
      </c>
      <c r="EZ93" s="319">
        <v>1133504.29</v>
      </c>
      <c r="FA93" s="319">
        <v>1085896.7600000002</v>
      </c>
      <c r="FB93" s="319">
        <v>1119657.26</v>
      </c>
      <c r="FC93" s="319">
        <v>1342787.6400000001</v>
      </c>
      <c r="FD93" s="319">
        <v>1330358.29</v>
      </c>
      <c r="FE93" s="319">
        <v>1385710.51</v>
      </c>
      <c r="FF93" s="319">
        <v>1630285.63</v>
      </c>
      <c r="FG93" s="322">
        <v>1845267.3599999999</v>
      </c>
      <c r="FH93" s="760">
        <v>1468900.79</v>
      </c>
      <c r="FI93" s="760">
        <v>1830258.2499999995</v>
      </c>
      <c r="FJ93" s="760">
        <v>1618901.56</v>
      </c>
      <c r="FK93" s="760">
        <v>1498125</v>
      </c>
      <c r="GZ93" s="62"/>
      <c r="HB93" s="62"/>
      <c r="HD93" s="62"/>
      <c r="HF93" s="62"/>
      <c r="HH93" s="62"/>
      <c r="HJ93" s="62"/>
      <c r="HL93" s="62"/>
      <c r="HN93" s="62"/>
    </row>
    <row r="94" spans="1:222" s="61" customFormat="1">
      <c r="A94" s="319" t="s">
        <v>76</v>
      </c>
      <c r="B94" s="319">
        <v>700710</v>
      </c>
      <c r="C94" s="319">
        <v>827708</v>
      </c>
      <c r="D94" s="319">
        <v>788195</v>
      </c>
      <c r="E94" s="319">
        <v>786556</v>
      </c>
      <c r="F94" s="319">
        <v>885392</v>
      </c>
      <c r="G94" s="319">
        <v>856670</v>
      </c>
      <c r="H94" s="319">
        <v>1137055</v>
      </c>
      <c r="I94" s="319">
        <v>1116729</v>
      </c>
      <c r="J94" s="319">
        <v>925216.3</v>
      </c>
      <c r="K94" s="319">
        <v>1270695.75</v>
      </c>
      <c r="L94" s="319">
        <v>1638515.8</v>
      </c>
      <c r="M94" s="319">
        <v>936486.3</v>
      </c>
      <c r="N94" s="319">
        <v>1410210.73</v>
      </c>
      <c r="O94" s="319">
        <v>1054073.68</v>
      </c>
      <c r="P94" s="319">
        <v>874303.46</v>
      </c>
      <c r="Q94" s="319">
        <v>958872.17</v>
      </c>
      <c r="R94" s="319">
        <v>1320825.1400000001</v>
      </c>
      <c r="S94" s="322">
        <v>1010638.79</v>
      </c>
      <c r="T94" s="760">
        <v>1149456.99</v>
      </c>
      <c r="U94" s="760">
        <v>1183572.24</v>
      </c>
      <c r="V94" s="760">
        <v>1950206.65</v>
      </c>
      <c r="W94" s="760">
        <v>1062696</v>
      </c>
      <c r="X94" s="42"/>
      <c r="Y94" s="319" t="s">
        <v>76</v>
      </c>
      <c r="Z94" s="319">
        <v>91092.3</v>
      </c>
      <c r="AA94" s="319">
        <v>115879.12</v>
      </c>
      <c r="AB94" s="319">
        <v>86701.45</v>
      </c>
      <c r="AC94" s="319">
        <v>94386.72</v>
      </c>
      <c r="AD94" s="319">
        <v>123954.88</v>
      </c>
      <c r="AE94" s="319">
        <v>128500.5</v>
      </c>
      <c r="AF94" s="319">
        <v>136446.6</v>
      </c>
      <c r="AG94" s="319">
        <v>134007.48000000001</v>
      </c>
      <c r="AH94" s="319">
        <v>151315.67000000001</v>
      </c>
      <c r="AI94" s="319">
        <v>130393.21</v>
      </c>
      <c r="AJ94" s="319">
        <v>122094.6</v>
      </c>
      <c r="AK94" s="319">
        <v>180652.78</v>
      </c>
      <c r="AL94" s="319">
        <v>152714.9</v>
      </c>
      <c r="AM94" s="319">
        <v>155550.34</v>
      </c>
      <c r="AN94" s="319">
        <v>166736.46</v>
      </c>
      <c r="AO94" s="319">
        <v>155789.14000000001</v>
      </c>
      <c r="AP94" s="319">
        <v>170195.01</v>
      </c>
      <c r="AQ94" s="322">
        <v>157740.04</v>
      </c>
      <c r="AR94" s="760">
        <v>169807.72999999998</v>
      </c>
      <c r="AS94" s="760">
        <v>180348.71</v>
      </c>
      <c r="AT94" s="760">
        <v>183130.8</v>
      </c>
      <c r="AU94" s="760">
        <v>175431</v>
      </c>
      <c r="AV94" s="62"/>
      <c r="AW94" s="319" t="s">
        <v>76</v>
      </c>
      <c r="AX94" s="319">
        <v>0</v>
      </c>
      <c r="AY94" s="319">
        <v>0</v>
      </c>
      <c r="AZ94" s="319">
        <v>0</v>
      </c>
      <c r="BA94" s="319">
        <v>0</v>
      </c>
      <c r="BB94" s="319">
        <v>0</v>
      </c>
      <c r="BC94" s="319">
        <v>0</v>
      </c>
      <c r="BD94" s="319">
        <v>0</v>
      </c>
      <c r="BE94" s="319">
        <v>0</v>
      </c>
      <c r="BF94" s="319">
        <v>0</v>
      </c>
      <c r="BG94" s="319">
        <v>0</v>
      </c>
      <c r="BH94" s="319">
        <v>0</v>
      </c>
      <c r="BI94" s="319">
        <v>0</v>
      </c>
      <c r="BJ94" s="319">
        <v>0</v>
      </c>
      <c r="BK94" s="319">
        <v>0</v>
      </c>
      <c r="BL94" s="319">
        <v>0</v>
      </c>
      <c r="BM94" s="319">
        <v>0</v>
      </c>
      <c r="BN94" s="319">
        <v>0</v>
      </c>
      <c r="BO94" s="322">
        <v>0</v>
      </c>
      <c r="BP94" s="760">
        <v>0</v>
      </c>
      <c r="BQ94" s="760">
        <v>0</v>
      </c>
      <c r="BR94" s="760">
        <v>0</v>
      </c>
      <c r="BS94" s="760">
        <v>0</v>
      </c>
      <c r="BT94" s="62"/>
      <c r="BU94" s="319" t="s">
        <v>76</v>
      </c>
      <c r="BV94" s="319">
        <v>588596.4</v>
      </c>
      <c r="BW94" s="319">
        <v>695274.72</v>
      </c>
      <c r="BX94" s="319">
        <v>449271.15</v>
      </c>
      <c r="BY94" s="319">
        <v>644975.92000000004</v>
      </c>
      <c r="BZ94" s="319">
        <v>646336.16</v>
      </c>
      <c r="CA94" s="319">
        <v>642502.5</v>
      </c>
      <c r="CB94" s="319">
        <v>682233</v>
      </c>
      <c r="CC94" s="319">
        <v>692371.98</v>
      </c>
      <c r="CD94" s="319">
        <v>749306.86</v>
      </c>
      <c r="CE94" s="319">
        <v>708891.76</v>
      </c>
      <c r="CF94" s="319">
        <v>1393940.3399999999</v>
      </c>
      <c r="CG94" s="319">
        <v>749169.17</v>
      </c>
      <c r="CH94" s="319">
        <v>1247907.83</v>
      </c>
      <c r="CI94" s="319">
        <v>854738.57</v>
      </c>
      <c r="CJ94" s="319">
        <v>701978.44</v>
      </c>
      <c r="CK94" s="319">
        <v>800394.22</v>
      </c>
      <c r="CL94" s="319">
        <v>1136224.55</v>
      </c>
      <c r="CM94" s="322">
        <v>851050.23</v>
      </c>
      <c r="CN94" s="760">
        <v>949351.63</v>
      </c>
      <c r="CO94" s="760">
        <v>926163.55999999994</v>
      </c>
      <c r="CP94" s="760">
        <v>1751924.92</v>
      </c>
      <c r="CQ94" s="760">
        <v>885749</v>
      </c>
      <c r="CR94" s="62"/>
      <c r="CS94" s="319" t="s">
        <v>76</v>
      </c>
      <c r="CT94" s="319">
        <v>7007.1</v>
      </c>
      <c r="CU94" s="319">
        <v>16554.16</v>
      </c>
      <c r="CV94" s="319">
        <v>15763.9</v>
      </c>
      <c r="CW94" s="319">
        <v>39327.800000000003</v>
      </c>
      <c r="CX94" s="319">
        <v>17707.84</v>
      </c>
      <c r="CY94" s="319">
        <v>51400.2</v>
      </c>
      <c r="CZ94" s="319">
        <v>68223.3</v>
      </c>
      <c r="DA94" s="319">
        <v>33501.870000000003</v>
      </c>
      <c r="DB94" s="319">
        <v>23983.279999999999</v>
      </c>
      <c r="DC94" s="319">
        <v>8503.42</v>
      </c>
      <c r="DD94" s="319">
        <v>17187.61</v>
      </c>
      <c r="DE94" s="319">
        <v>0</v>
      </c>
      <c r="DF94" s="319">
        <v>0</v>
      </c>
      <c r="DG94" s="319">
        <v>0</v>
      </c>
      <c r="DH94" s="319">
        <v>2236.79</v>
      </c>
      <c r="DI94" s="319">
        <v>1471.47</v>
      </c>
      <c r="DJ94" s="319">
        <v>1379.13</v>
      </c>
      <c r="DK94" s="322">
        <v>513.52</v>
      </c>
      <c r="DL94" s="760">
        <v>401.36</v>
      </c>
      <c r="DM94" s="760">
        <v>548.23</v>
      </c>
      <c r="DN94" s="760">
        <v>1516.15</v>
      </c>
      <c r="DO94" s="760">
        <v>1516</v>
      </c>
      <c r="DP94" s="62"/>
      <c r="DQ94" s="319" t="s">
        <v>76</v>
      </c>
      <c r="DR94" s="319">
        <v>14014.2</v>
      </c>
      <c r="DS94" s="319">
        <v>0</v>
      </c>
      <c r="DT94" s="319">
        <v>236458.5</v>
      </c>
      <c r="DU94" s="319">
        <v>7865.56</v>
      </c>
      <c r="DV94" s="319">
        <v>97393.12</v>
      </c>
      <c r="DW94" s="319">
        <v>34266.800000000003</v>
      </c>
      <c r="DX94" s="319">
        <v>250152.1</v>
      </c>
      <c r="DY94" s="319">
        <v>256847.67</v>
      </c>
      <c r="DZ94" s="319">
        <v>610.49</v>
      </c>
      <c r="EA94" s="319">
        <v>15067.15</v>
      </c>
      <c r="EB94" s="319">
        <v>5293.25</v>
      </c>
      <c r="EC94" s="319">
        <v>3614.35</v>
      </c>
      <c r="ED94" s="319">
        <v>9588</v>
      </c>
      <c r="EE94" s="319">
        <v>42900.99</v>
      </c>
      <c r="EF94" s="319">
        <v>3346.59</v>
      </c>
      <c r="EG94" s="319">
        <v>1217.3400000000001</v>
      </c>
      <c r="EH94" s="319">
        <v>11986.45</v>
      </c>
      <c r="EI94" s="322">
        <v>1335</v>
      </c>
      <c r="EJ94" s="767">
        <v>4896.2699999999995</v>
      </c>
      <c r="EK94" s="767">
        <v>74260.740000000005</v>
      </c>
      <c r="EL94" s="767">
        <v>10794.78</v>
      </c>
      <c r="EM94" s="767">
        <v>0</v>
      </c>
      <c r="EO94" s="319" t="s">
        <v>76</v>
      </c>
      <c r="EP94" s="319">
        <v>668592</v>
      </c>
      <c r="EQ94" s="319">
        <v>654579</v>
      </c>
      <c r="ER94" s="319">
        <v>587431</v>
      </c>
      <c r="ES94" s="319">
        <v>739763</v>
      </c>
      <c r="ET94" s="319">
        <v>745510</v>
      </c>
      <c r="EU94" s="319">
        <v>819033</v>
      </c>
      <c r="EV94" s="319">
        <v>892014</v>
      </c>
      <c r="EW94" s="319">
        <v>1065316</v>
      </c>
      <c r="EX94" s="319">
        <v>1628248.15</v>
      </c>
      <c r="EY94" s="319">
        <v>1590902.6</v>
      </c>
      <c r="EZ94" s="319">
        <v>995297.2</v>
      </c>
      <c r="FA94" s="319">
        <v>1166694.24</v>
      </c>
      <c r="FB94" s="319">
        <v>1413533.67</v>
      </c>
      <c r="FC94" s="319">
        <v>1117632.8700000001</v>
      </c>
      <c r="FD94" s="319">
        <v>1107237.69</v>
      </c>
      <c r="FE94" s="319">
        <v>1164903.7200000002</v>
      </c>
      <c r="FF94" s="319">
        <v>1303135.28</v>
      </c>
      <c r="FG94" s="322">
        <v>1157469.8800000001</v>
      </c>
      <c r="FH94" s="760">
        <v>1087453.83</v>
      </c>
      <c r="FI94" s="760">
        <v>1082070.2999999998</v>
      </c>
      <c r="FJ94" s="760">
        <v>1211793.48</v>
      </c>
      <c r="FK94" s="760">
        <v>950000</v>
      </c>
      <c r="GZ94" s="62"/>
      <c r="HB94" s="62"/>
      <c r="HD94" s="62"/>
      <c r="HF94" s="62"/>
      <c r="HH94" s="62"/>
      <c r="HJ94" s="62"/>
      <c r="HL94" s="62"/>
      <c r="HN94" s="62"/>
    </row>
    <row r="95" spans="1:222" s="61" customFormat="1">
      <c r="A95" s="319" t="s">
        <v>77</v>
      </c>
      <c r="B95" s="319">
        <v>1033029</v>
      </c>
      <c r="C95" s="319">
        <v>846280</v>
      </c>
      <c r="D95" s="319">
        <v>1029782</v>
      </c>
      <c r="E95" s="319">
        <v>869084</v>
      </c>
      <c r="F95" s="319">
        <v>882661</v>
      </c>
      <c r="G95" s="319">
        <v>1261628</v>
      </c>
      <c r="H95" s="319">
        <v>1062659</v>
      </c>
      <c r="I95" s="319">
        <v>1050335</v>
      </c>
      <c r="J95" s="319">
        <v>1005338.58</v>
      </c>
      <c r="K95" s="319">
        <v>1224746.1000000001</v>
      </c>
      <c r="L95" s="319">
        <v>1446413.65</v>
      </c>
      <c r="M95" s="319"/>
      <c r="N95" s="319">
        <v>1001420.8900000001</v>
      </c>
      <c r="O95" s="319">
        <v>1166915.69</v>
      </c>
      <c r="P95" s="319">
        <v>1240920.94</v>
      </c>
      <c r="Q95" s="319">
        <v>1075323.31</v>
      </c>
      <c r="R95" s="319">
        <v>1018387.11</v>
      </c>
      <c r="S95" s="322">
        <v>1443337.04</v>
      </c>
      <c r="T95" s="760">
        <v>1645074.4299999997</v>
      </c>
      <c r="U95" s="760">
        <v>1273976.21</v>
      </c>
      <c r="V95" s="760">
        <v>1330449.26</v>
      </c>
      <c r="W95" s="760">
        <v>1439300</v>
      </c>
      <c r="X95" s="42"/>
      <c r="Y95" s="319" t="s">
        <v>77</v>
      </c>
      <c r="Z95" s="319">
        <v>165284.64000000001</v>
      </c>
      <c r="AA95" s="319">
        <v>169256</v>
      </c>
      <c r="AB95" s="319">
        <v>175062.94</v>
      </c>
      <c r="AC95" s="319">
        <v>173816.8</v>
      </c>
      <c r="AD95" s="319">
        <v>185358.81</v>
      </c>
      <c r="AE95" s="319">
        <v>189244.2</v>
      </c>
      <c r="AF95" s="319">
        <v>201905.21</v>
      </c>
      <c r="AG95" s="319">
        <v>189060.3</v>
      </c>
      <c r="AH95" s="319">
        <v>198650.58</v>
      </c>
      <c r="AI95" s="319">
        <v>201603.20000000001</v>
      </c>
      <c r="AJ95" s="319">
        <v>204431.43</v>
      </c>
      <c r="AK95" s="319"/>
      <c r="AL95" s="319">
        <v>219560.95</v>
      </c>
      <c r="AM95" s="319">
        <v>244711.25</v>
      </c>
      <c r="AN95" s="319">
        <v>245251.96</v>
      </c>
      <c r="AO95" s="319">
        <v>241810.63</v>
      </c>
      <c r="AP95" s="319">
        <v>254590.52</v>
      </c>
      <c r="AQ95" s="322">
        <v>270521.46999999997</v>
      </c>
      <c r="AR95" s="760">
        <v>266967.69</v>
      </c>
      <c r="AS95" s="760">
        <v>377896.45</v>
      </c>
      <c r="AT95" s="760">
        <v>368003.2</v>
      </c>
      <c r="AU95" s="760">
        <v>370000</v>
      </c>
      <c r="AV95" s="62"/>
      <c r="AW95" s="319" t="s">
        <v>77</v>
      </c>
      <c r="AX95" s="319">
        <v>61981.74</v>
      </c>
      <c r="AY95" s="319">
        <v>101553.60000000001</v>
      </c>
      <c r="AZ95" s="319">
        <v>61786.92</v>
      </c>
      <c r="BA95" s="319">
        <v>78217.56</v>
      </c>
      <c r="BB95" s="319">
        <v>70612.88</v>
      </c>
      <c r="BC95" s="319">
        <v>75697.679999999993</v>
      </c>
      <c r="BD95" s="319">
        <v>74386.13</v>
      </c>
      <c r="BE95" s="319">
        <v>52516.75</v>
      </c>
      <c r="BF95" s="319">
        <v>42738.31</v>
      </c>
      <c r="BG95" s="319">
        <v>22603.66</v>
      </c>
      <c r="BH95" s="319">
        <v>71789.210000000006</v>
      </c>
      <c r="BI95" s="319"/>
      <c r="BJ95" s="319">
        <v>100071.62</v>
      </c>
      <c r="BK95" s="319">
        <v>96925.26</v>
      </c>
      <c r="BL95" s="319">
        <v>104808.56</v>
      </c>
      <c r="BM95" s="319">
        <v>105156.49</v>
      </c>
      <c r="BN95" s="319">
        <v>96434.02</v>
      </c>
      <c r="BO95" s="322">
        <v>100908.25</v>
      </c>
      <c r="BP95" s="760">
        <v>114049.37</v>
      </c>
      <c r="BQ95" s="760">
        <v>109399.22</v>
      </c>
      <c r="BR95" s="760">
        <v>105691.89</v>
      </c>
      <c r="BS95" s="760">
        <v>100000</v>
      </c>
      <c r="BT95" s="62"/>
      <c r="BU95" s="319" t="s">
        <v>77</v>
      </c>
      <c r="BV95" s="319">
        <v>764441.46</v>
      </c>
      <c r="BW95" s="319">
        <v>550082</v>
      </c>
      <c r="BX95" s="319">
        <v>772336.5</v>
      </c>
      <c r="BY95" s="319">
        <v>590977.12</v>
      </c>
      <c r="BZ95" s="319">
        <v>573729.65</v>
      </c>
      <c r="CA95" s="319">
        <v>971453.56</v>
      </c>
      <c r="CB95" s="319">
        <v>775741.07</v>
      </c>
      <c r="CC95" s="319">
        <v>766744.55</v>
      </c>
      <c r="CD95" s="319">
        <v>715759.2</v>
      </c>
      <c r="CE95" s="319">
        <v>934333.70000000007</v>
      </c>
      <c r="CF95" s="319">
        <v>1115487.04</v>
      </c>
      <c r="CG95" s="319"/>
      <c r="CH95" s="319">
        <v>620001.7300000001</v>
      </c>
      <c r="CI95" s="319">
        <v>756227.15999999992</v>
      </c>
      <c r="CJ95" s="319">
        <v>781426.32000000007</v>
      </c>
      <c r="CK95" s="319">
        <v>647097.44999999995</v>
      </c>
      <c r="CL95" s="319">
        <v>599143.23</v>
      </c>
      <c r="CM95" s="322">
        <v>921278.68</v>
      </c>
      <c r="CN95" s="760">
        <v>1091101.74</v>
      </c>
      <c r="CO95" s="760">
        <v>696263.64</v>
      </c>
      <c r="CP95" s="760">
        <v>757534.62999999989</v>
      </c>
      <c r="CQ95" s="760">
        <v>882300</v>
      </c>
      <c r="CR95" s="62"/>
      <c r="CS95" s="319" t="s">
        <v>77</v>
      </c>
      <c r="CT95" s="319">
        <v>10330.290000000001</v>
      </c>
      <c r="CU95" s="319">
        <v>8462.7999999999993</v>
      </c>
      <c r="CV95" s="319">
        <v>10297.82</v>
      </c>
      <c r="CW95" s="319">
        <v>8690.84</v>
      </c>
      <c r="CX95" s="319">
        <v>17653.22</v>
      </c>
      <c r="CY95" s="319">
        <v>12616.28</v>
      </c>
      <c r="CZ95" s="319">
        <v>10626.59</v>
      </c>
      <c r="DA95" s="319">
        <v>10503.35</v>
      </c>
      <c r="DB95" s="319">
        <v>6103.44</v>
      </c>
      <c r="DC95" s="319">
        <v>11780.48</v>
      </c>
      <c r="DD95" s="319">
        <v>8299.58</v>
      </c>
      <c r="DE95" s="319"/>
      <c r="DF95" s="319">
        <v>2888.41</v>
      </c>
      <c r="DG95" s="319">
        <v>919.43</v>
      </c>
      <c r="DH95" s="319">
        <v>883.25</v>
      </c>
      <c r="DI95" s="319">
        <v>456.92</v>
      </c>
      <c r="DJ95" s="319">
        <v>376.96</v>
      </c>
      <c r="DK95" s="322">
        <v>329.6</v>
      </c>
      <c r="DL95" s="760">
        <v>240.43</v>
      </c>
      <c r="DM95" s="760">
        <v>470.73</v>
      </c>
      <c r="DN95" s="760">
        <v>1840.61</v>
      </c>
      <c r="DO95" s="760">
        <v>2000</v>
      </c>
      <c r="DP95" s="62"/>
      <c r="DQ95" s="319" t="s">
        <v>77</v>
      </c>
      <c r="DR95" s="319">
        <v>30990.87</v>
      </c>
      <c r="DS95" s="319">
        <v>16925.599999999999</v>
      </c>
      <c r="DT95" s="319">
        <v>10297.82</v>
      </c>
      <c r="DU95" s="319">
        <v>17381.68</v>
      </c>
      <c r="DV95" s="319">
        <v>35306.44</v>
      </c>
      <c r="DW95" s="319">
        <v>12616.28</v>
      </c>
      <c r="DX95" s="319">
        <v>0</v>
      </c>
      <c r="DY95" s="319">
        <v>31510.05</v>
      </c>
      <c r="DZ95" s="319">
        <v>19601.88</v>
      </c>
      <c r="EA95" s="319">
        <v>36783.68</v>
      </c>
      <c r="EB95" s="319">
        <v>35205.519999999997</v>
      </c>
      <c r="EC95" s="319"/>
      <c r="ED95" s="319">
        <v>38815.840000000004</v>
      </c>
      <c r="EE95" s="319">
        <v>43420.85</v>
      </c>
      <c r="EF95" s="319">
        <v>54576.850000000006</v>
      </c>
      <c r="EG95" s="319">
        <v>57010.15</v>
      </c>
      <c r="EH95" s="319">
        <v>41063.379999999997</v>
      </c>
      <c r="EI95" s="322">
        <v>54270.750000000007</v>
      </c>
      <c r="EJ95" s="767">
        <v>139255.29999999999</v>
      </c>
      <c r="EK95" s="767">
        <v>50290.3</v>
      </c>
      <c r="EL95" s="767">
        <v>54067.75</v>
      </c>
      <c r="EM95" s="767">
        <v>47000</v>
      </c>
      <c r="EO95" s="319" t="s">
        <v>77</v>
      </c>
      <c r="EP95" s="319">
        <v>1184943</v>
      </c>
      <c r="EQ95" s="319">
        <v>864371</v>
      </c>
      <c r="ER95" s="319">
        <v>1053346</v>
      </c>
      <c r="ES95" s="319">
        <v>749529</v>
      </c>
      <c r="ET95" s="319">
        <v>899178</v>
      </c>
      <c r="EU95" s="319">
        <v>1176477</v>
      </c>
      <c r="EV95" s="319">
        <v>946838</v>
      </c>
      <c r="EW95" s="319">
        <v>1056060</v>
      </c>
      <c r="EX95" s="319">
        <v>1102852.2</v>
      </c>
      <c r="EY95" s="319">
        <v>1380606.36</v>
      </c>
      <c r="EZ95" s="319">
        <v>1459352.2499999998</v>
      </c>
      <c r="FA95" s="319"/>
      <c r="FB95" s="319">
        <v>967828.37000000011</v>
      </c>
      <c r="FC95" s="319">
        <v>1004526.45</v>
      </c>
      <c r="FD95" s="319">
        <v>1287882.33</v>
      </c>
      <c r="FE95" s="319">
        <v>1122356.17</v>
      </c>
      <c r="FF95" s="319">
        <v>1008288.26</v>
      </c>
      <c r="FG95" s="322">
        <v>1494000</v>
      </c>
      <c r="FH95" s="760">
        <v>1546065.2400000002</v>
      </c>
      <c r="FI95" s="760">
        <v>1236807.2</v>
      </c>
      <c r="FJ95" s="760">
        <v>1262161.8500000001</v>
      </c>
      <c r="FK95" s="760">
        <v>1478957.18</v>
      </c>
      <c r="GZ95" s="62"/>
      <c r="HB95" s="62"/>
      <c r="HD95" s="62"/>
      <c r="HF95" s="62"/>
      <c r="HH95" s="62"/>
      <c r="HJ95" s="62"/>
      <c r="HL95" s="62"/>
      <c r="HN95" s="62"/>
    </row>
    <row r="96" spans="1:222" s="61" customFormat="1">
      <c r="A96" s="319" t="s">
        <v>78</v>
      </c>
      <c r="B96" s="319">
        <v>1482416</v>
      </c>
      <c r="C96" s="319">
        <v>1401644</v>
      </c>
      <c r="D96" s="319">
        <v>1374741</v>
      </c>
      <c r="E96" s="319">
        <v>1671586</v>
      </c>
      <c r="F96" s="319">
        <v>1613072</v>
      </c>
      <c r="G96" s="319">
        <v>1313632</v>
      </c>
      <c r="H96" s="319">
        <v>1496032</v>
      </c>
      <c r="I96" s="319">
        <v>1691377</v>
      </c>
      <c r="J96" s="319">
        <v>1504063.8699999999</v>
      </c>
      <c r="K96" s="319">
        <v>1213430.1599999999</v>
      </c>
      <c r="L96" s="319">
        <v>1292386.25</v>
      </c>
      <c r="M96" s="319">
        <v>1884536.2799999998</v>
      </c>
      <c r="N96" s="319">
        <v>1718422.9200000002</v>
      </c>
      <c r="O96" s="319">
        <v>1121099.5899999999</v>
      </c>
      <c r="P96" s="319">
        <v>1784021.31</v>
      </c>
      <c r="Q96" s="319">
        <v>1064578.79</v>
      </c>
      <c r="R96" s="319">
        <v>1483944.0000000002</v>
      </c>
      <c r="S96" s="322">
        <v>1101748.99</v>
      </c>
      <c r="T96" s="760">
        <v>1681318.43</v>
      </c>
      <c r="U96" s="760"/>
      <c r="V96" s="760"/>
      <c r="W96" s="760"/>
      <c r="X96" s="42"/>
      <c r="Y96" s="319" t="s">
        <v>78</v>
      </c>
      <c r="Z96" s="319">
        <v>0</v>
      </c>
      <c r="AA96" s="319">
        <v>0</v>
      </c>
      <c r="AB96" s="319">
        <v>0</v>
      </c>
      <c r="AC96" s="319">
        <v>0</v>
      </c>
      <c r="AD96" s="319">
        <v>0</v>
      </c>
      <c r="AE96" s="319">
        <v>0</v>
      </c>
      <c r="AF96" s="319">
        <v>0</v>
      </c>
      <c r="AG96" s="319">
        <v>0</v>
      </c>
      <c r="AH96" s="319">
        <v>0</v>
      </c>
      <c r="AI96" s="319">
        <v>0</v>
      </c>
      <c r="AJ96" s="319">
        <v>0</v>
      </c>
      <c r="AK96" s="319">
        <v>0</v>
      </c>
      <c r="AL96" s="319">
        <v>0</v>
      </c>
      <c r="AM96" s="319">
        <v>0</v>
      </c>
      <c r="AN96" s="319">
        <v>0</v>
      </c>
      <c r="AO96" s="319">
        <v>0</v>
      </c>
      <c r="AP96" s="319">
        <v>0</v>
      </c>
      <c r="AQ96" s="322">
        <v>0</v>
      </c>
      <c r="AR96" s="760">
        <v>0</v>
      </c>
      <c r="AS96" s="760"/>
      <c r="AT96" s="760"/>
      <c r="AU96" s="760"/>
      <c r="AV96" s="62"/>
      <c r="AW96" s="319" t="s">
        <v>78</v>
      </c>
      <c r="AX96" s="319">
        <v>0</v>
      </c>
      <c r="AY96" s="319">
        <v>0</v>
      </c>
      <c r="AZ96" s="319">
        <v>0</v>
      </c>
      <c r="BA96" s="319">
        <v>0</v>
      </c>
      <c r="BB96" s="319">
        <v>0</v>
      </c>
      <c r="BC96" s="319">
        <v>0</v>
      </c>
      <c r="BD96" s="319">
        <v>0</v>
      </c>
      <c r="BE96" s="319">
        <v>0</v>
      </c>
      <c r="BF96" s="319">
        <v>0</v>
      </c>
      <c r="BG96" s="319">
        <v>0</v>
      </c>
      <c r="BH96" s="319">
        <v>0</v>
      </c>
      <c r="BI96" s="319">
        <v>0</v>
      </c>
      <c r="BJ96" s="319">
        <v>0</v>
      </c>
      <c r="BK96" s="319">
        <v>0</v>
      </c>
      <c r="BL96" s="319">
        <v>0</v>
      </c>
      <c r="BM96" s="319">
        <v>0</v>
      </c>
      <c r="BN96" s="319">
        <v>0</v>
      </c>
      <c r="BO96" s="322">
        <v>0</v>
      </c>
      <c r="BP96" s="760">
        <v>0</v>
      </c>
      <c r="BQ96" s="760"/>
      <c r="BR96" s="760"/>
      <c r="BS96" s="760"/>
      <c r="BT96" s="62"/>
      <c r="BU96" s="319" t="s">
        <v>78</v>
      </c>
      <c r="BV96" s="319">
        <v>1452767.68</v>
      </c>
      <c r="BW96" s="319">
        <v>1331561.8</v>
      </c>
      <c r="BX96" s="319">
        <v>1319751.3600000001</v>
      </c>
      <c r="BY96" s="319">
        <v>1621438.42</v>
      </c>
      <c r="BZ96" s="319">
        <v>1596941.28</v>
      </c>
      <c r="CA96" s="319">
        <v>1247950.3999999999</v>
      </c>
      <c r="CB96" s="319">
        <v>1481071.68</v>
      </c>
      <c r="CC96" s="319">
        <v>1640635.69</v>
      </c>
      <c r="CD96" s="319">
        <v>1478422.24</v>
      </c>
      <c r="CE96" s="319">
        <v>1194950.8999999999</v>
      </c>
      <c r="CF96" s="319">
        <v>1263798.03</v>
      </c>
      <c r="CG96" s="319">
        <v>1850471.89</v>
      </c>
      <c r="CH96" s="319">
        <v>1712910.6</v>
      </c>
      <c r="CI96" s="319">
        <v>1078677.93</v>
      </c>
      <c r="CJ96" s="319">
        <v>1756774.83</v>
      </c>
      <c r="CK96" s="319">
        <v>1041375.4400000001</v>
      </c>
      <c r="CL96" s="319">
        <v>1475341.4400000002</v>
      </c>
      <c r="CM96" s="322">
        <v>1094470.9099999999</v>
      </c>
      <c r="CN96" s="760">
        <v>1673171.1099999999</v>
      </c>
      <c r="CO96" s="760"/>
      <c r="CP96" s="760"/>
      <c r="CQ96" s="760"/>
      <c r="CR96" s="62"/>
      <c r="CS96" s="319" t="s">
        <v>78</v>
      </c>
      <c r="CT96" s="319">
        <v>29648.32</v>
      </c>
      <c r="CU96" s="319">
        <v>70082.2</v>
      </c>
      <c r="CV96" s="319">
        <v>54989.64</v>
      </c>
      <c r="CW96" s="319">
        <v>50147.58</v>
      </c>
      <c r="CX96" s="319">
        <v>16130.72</v>
      </c>
      <c r="CY96" s="319">
        <v>65681.600000000006</v>
      </c>
      <c r="CZ96" s="319">
        <v>14960.32</v>
      </c>
      <c r="DA96" s="319">
        <v>50741.31</v>
      </c>
      <c r="DB96" s="319">
        <v>25641.63</v>
      </c>
      <c r="DC96" s="319">
        <v>18479.259999999998</v>
      </c>
      <c r="DD96" s="319">
        <v>28588.22</v>
      </c>
      <c r="DE96" s="319">
        <v>34064.39</v>
      </c>
      <c r="DF96" s="319">
        <v>5512.32</v>
      </c>
      <c r="DG96" s="319">
        <v>42421.66</v>
      </c>
      <c r="DH96" s="319">
        <v>27246.48</v>
      </c>
      <c r="DI96" s="319">
        <v>23203.35</v>
      </c>
      <c r="DJ96" s="319">
        <v>8602.56</v>
      </c>
      <c r="DK96" s="322">
        <v>7278.08</v>
      </c>
      <c r="DL96" s="760">
        <v>8147.32</v>
      </c>
      <c r="DM96" s="760"/>
      <c r="DN96" s="760"/>
      <c r="DO96" s="760"/>
      <c r="DP96" s="62"/>
      <c r="DQ96" s="319" t="s">
        <v>78</v>
      </c>
      <c r="DR96" s="319">
        <v>0</v>
      </c>
      <c r="DS96" s="319">
        <v>0</v>
      </c>
      <c r="DT96" s="319">
        <v>0</v>
      </c>
      <c r="DU96" s="319">
        <v>0</v>
      </c>
      <c r="DV96" s="319">
        <v>0</v>
      </c>
      <c r="DW96" s="319">
        <v>0</v>
      </c>
      <c r="DX96" s="319">
        <v>0</v>
      </c>
      <c r="DY96" s="319">
        <v>0</v>
      </c>
      <c r="DZ96" s="319">
        <v>0</v>
      </c>
      <c r="EA96" s="319">
        <v>0</v>
      </c>
      <c r="EB96" s="319">
        <v>0</v>
      </c>
      <c r="EC96" s="319">
        <v>0</v>
      </c>
      <c r="ED96" s="319">
        <v>0</v>
      </c>
      <c r="EE96" s="319">
        <v>0</v>
      </c>
      <c r="EF96" s="319">
        <v>0</v>
      </c>
      <c r="EG96" s="319">
        <v>0</v>
      </c>
      <c r="EH96" s="319">
        <v>0</v>
      </c>
      <c r="EI96" s="322">
        <v>0</v>
      </c>
      <c r="EJ96" s="767">
        <v>0</v>
      </c>
      <c r="EK96" s="767"/>
      <c r="EL96" s="767"/>
      <c r="EM96" s="767"/>
      <c r="EO96" s="319" t="s">
        <v>78</v>
      </c>
      <c r="EP96" s="319">
        <v>1477057</v>
      </c>
      <c r="EQ96" s="319">
        <v>1266668</v>
      </c>
      <c r="ER96" s="319">
        <v>1358779</v>
      </c>
      <c r="ES96" s="319">
        <v>1582610</v>
      </c>
      <c r="ET96" s="319">
        <v>1700895</v>
      </c>
      <c r="EU96" s="319">
        <v>1331399</v>
      </c>
      <c r="EV96" s="319">
        <v>1508958</v>
      </c>
      <c r="EW96" s="319">
        <v>1613596</v>
      </c>
      <c r="EX96" s="319">
        <v>1543210.1900000002</v>
      </c>
      <c r="EY96" s="319">
        <v>1263552.5999999999</v>
      </c>
      <c r="EZ96" s="319">
        <v>1275095.32</v>
      </c>
      <c r="FA96" s="319">
        <v>1879290.17</v>
      </c>
      <c r="FB96" s="319">
        <v>1836583.6899999997</v>
      </c>
      <c r="FC96" s="319">
        <v>1178358.9099999999</v>
      </c>
      <c r="FD96" s="319">
        <v>1736728.3900000001</v>
      </c>
      <c r="FE96" s="319">
        <v>1090990.55</v>
      </c>
      <c r="FF96" s="319">
        <v>1461492.85</v>
      </c>
      <c r="FG96" s="322">
        <v>1088107.5299999998</v>
      </c>
      <c r="FH96" s="760">
        <v>1641482.44</v>
      </c>
      <c r="FI96" s="760"/>
      <c r="FJ96" s="760"/>
      <c r="FK96" s="760"/>
      <c r="GZ96" s="62"/>
      <c r="HB96" s="62"/>
      <c r="HD96" s="62"/>
      <c r="HF96" s="62"/>
      <c r="HH96" s="62"/>
      <c r="HJ96" s="62"/>
      <c r="HL96" s="62"/>
      <c r="HN96" s="62"/>
    </row>
    <row r="97" spans="1:222" s="61" customFormat="1">
      <c r="A97" s="319" t="s">
        <v>79</v>
      </c>
      <c r="B97" s="319">
        <v>3862498</v>
      </c>
      <c r="C97" s="319">
        <v>3720238</v>
      </c>
      <c r="D97" s="319">
        <v>4050451</v>
      </c>
      <c r="E97" s="319">
        <v>4040525</v>
      </c>
      <c r="F97" s="319">
        <v>4332624</v>
      </c>
      <c r="G97" s="319">
        <v>4183526</v>
      </c>
      <c r="H97" s="319">
        <v>4297642</v>
      </c>
      <c r="I97" s="319">
        <v>4390352</v>
      </c>
      <c r="J97" s="319">
        <v>3861147.22</v>
      </c>
      <c r="K97" s="319">
        <v>4453989.1500000004</v>
      </c>
      <c r="L97" s="319">
        <v>4609493.7700000005</v>
      </c>
      <c r="M97" s="319">
        <v>4804156.2700000005</v>
      </c>
      <c r="N97" s="319">
        <v>5219650.68</v>
      </c>
      <c r="O97" s="319"/>
      <c r="P97" s="319">
        <v>3625442.52</v>
      </c>
      <c r="Q97" s="319">
        <v>3860413.5999999996</v>
      </c>
      <c r="R97" s="319">
        <v>3755414.21</v>
      </c>
      <c r="S97" s="322">
        <v>3896933.3200000003</v>
      </c>
      <c r="T97" s="760">
        <v>4033069.8099999996</v>
      </c>
      <c r="U97" s="760">
        <v>4391565.5600000005</v>
      </c>
      <c r="V97" s="760">
        <v>4531889.93</v>
      </c>
      <c r="W97" s="760">
        <v>4359970</v>
      </c>
      <c r="X97" s="42"/>
      <c r="Y97" s="319" t="s">
        <v>79</v>
      </c>
      <c r="Z97" s="319">
        <v>0</v>
      </c>
      <c r="AA97" s="319">
        <v>0</v>
      </c>
      <c r="AB97" s="319">
        <v>0</v>
      </c>
      <c r="AC97" s="319">
        <v>0</v>
      </c>
      <c r="AD97" s="319">
        <v>0</v>
      </c>
      <c r="AE97" s="319">
        <v>0</v>
      </c>
      <c r="AF97" s="319">
        <v>0</v>
      </c>
      <c r="AG97" s="319">
        <v>0</v>
      </c>
      <c r="AH97" s="319">
        <v>4336.3999999999996</v>
      </c>
      <c r="AI97" s="319">
        <v>4256.74</v>
      </c>
      <c r="AJ97" s="319">
        <v>4966.05</v>
      </c>
      <c r="AK97" s="319">
        <v>5085.91</v>
      </c>
      <c r="AL97" s="319">
        <v>5256.93</v>
      </c>
      <c r="AM97" s="319"/>
      <c r="AN97" s="319">
        <v>5463.59</v>
      </c>
      <c r="AO97" s="319">
        <v>5490.79</v>
      </c>
      <c r="AP97" s="319">
        <v>6022.51</v>
      </c>
      <c r="AQ97" s="322">
        <v>7506.02</v>
      </c>
      <c r="AR97" s="760">
        <v>6762.88</v>
      </c>
      <c r="AS97" s="760">
        <v>6503.91</v>
      </c>
      <c r="AT97" s="760">
        <v>7481.08</v>
      </c>
      <c r="AU97" s="760">
        <v>7000</v>
      </c>
      <c r="AV97" s="62"/>
      <c r="AW97" s="319" t="s">
        <v>79</v>
      </c>
      <c r="AX97" s="319">
        <v>2278873.8199999998</v>
      </c>
      <c r="AY97" s="319">
        <v>2269345.1800000002</v>
      </c>
      <c r="AZ97" s="319">
        <v>2349261.58</v>
      </c>
      <c r="BA97" s="319">
        <v>2464720.25</v>
      </c>
      <c r="BB97" s="319">
        <v>2642900.64</v>
      </c>
      <c r="BC97" s="319">
        <v>2719291.9</v>
      </c>
      <c r="BD97" s="319">
        <v>1805009.64</v>
      </c>
      <c r="BE97" s="319">
        <v>1843947.84</v>
      </c>
      <c r="BF97" s="319">
        <v>1795996.27</v>
      </c>
      <c r="BG97" s="319">
        <v>1917883.25</v>
      </c>
      <c r="BH97" s="319">
        <v>2039806.44</v>
      </c>
      <c r="BI97" s="319">
        <v>2210988.25</v>
      </c>
      <c r="BJ97" s="319">
        <v>2046562.15</v>
      </c>
      <c r="BK97" s="319"/>
      <c r="BL97" s="319">
        <v>1858763.17</v>
      </c>
      <c r="BM97" s="319">
        <v>1938356.97</v>
      </c>
      <c r="BN97" s="319">
        <v>1874692.39</v>
      </c>
      <c r="BO97" s="322">
        <v>1952686.4</v>
      </c>
      <c r="BP97" s="760">
        <v>2089667.01</v>
      </c>
      <c r="BQ97" s="760">
        <v>2298842.4300000002</v>
      </c>
      <c r="BR97" s="760">
        <v>2348235.52</v>
      </c>
      <c r="BS97" s="760">
        <v>2344820</v>
      </c>
      <c r="BT97" s="62"/>
      <c r="BU97" s="319" t="s">
        <v>79</v>
      </c>
      <c r="BV97" s="319">
        <v>1158749.3999999999</v>
      </c>
      <c r="BW97" s="319">
        <v>1413690.44</v>
      </c>
      <c r="BX97" s="319">
        <v>1539171.38</v>
      </c>
      <c r="BY97" s="319">
        <v>1494994.25</v>
      </c>
      <c r="BZ97" s="319">
        <v>1646397.12</v>
      </c>
      <c r="CA97" s="319">
        <v>1422398.84</v>
      </c>
      <c r="CB97" s="319">
        <v>1547151.12</v>
      </c>
      <c r="CC97" s="319">
        <v>1097588</v>
      </c>
      <c r="CD97" s="319">
        <v>1124415.3900000001</v>
      </c>
      <c r="CE97" s="319">
        <v>1128163.0899999999</v>
      </c>
      <c r="CF97" s="319">
        <v>1188124.25</v>
      </c>
      <c r="CG97" s="319">
        <v>1314202.1400000001</v>
      </c>
      <c r="CH97" s="319">
        <v>1528307.41</v>
      </c>
      <c r="CI97" s="319"/>
      <c r="CJ97" s="319">
        <v>1205471.6900000002</v>
      </c>
      <c r="CK97" s="319">
        <v>1287096.3799999999</v>
      </c>
      <c r="CL97" s="319">
        <v>1282213.32</v>
      </c>
      <c r="CM97" s="322">
        <v>1249673.7100000002</v>
      </c>
      <c r="CN97" s="760">
        <v>1293097.69</v>
      </c>
      <c r="CO97" s="760">
        <v>1336211.82</v>
      </c>
      <c r="CP97" s="760">
        <v>1472757.2200000002</v>
      </c>
      <c r="CQ97" s="760">
        <v>1355000</v>
      </c>
      <c r="CR97" s="62"/>
      <c r="CS97" s="319" t="s">
        <v>79</v>
      </c>
      <c r="CT97" s="319">
        <v>0</v>
      </c>
      <c r="CU97" s="319">
        <v>37202.379999999997</v>
      </c>
      <c r="CV97" s="319">
        <v>40504.51</v>
      </c>
      <c r="CW97" s="319">
        <v>40405.25</v>
      </c>
      <c r="CX97" s="319">
        <v>43326.239999999998</v>
      </c>
      <c r="CY97" s="319">
        <v>41835.26</v>
      </c>
      <c r="CZ97" s="319">
        <v>42976.42</v>
      </c>
      <c r="DA97" s="319">
        <v>43903.519999999997</v>
      </c>
      <c r="DB97" s="319">
        <v>19485.080000000002</v>
      </c>
      <c r="DC97" s="319">
        <v>11568.82</v>
      </c>
      <c r="DD97" s="319">
        <v>21017.69</v>
      </c>
      <c r="DE97" s="319">
        <v>34491.199999999997</v>
      </c>
      <c r="DF97" s="319">
        <v>16343.23</v>
      </c>
      <c r="DG97" s="319"/>
      <c r="DH97" s="319">
        <v>14032.17</v>
      </c>
      <c r="DI97" s="319">
        <v>16591.310000000001</v>
      </c>
      <c r="DJ97" s="319">
        <v>14380.56</v>
      </c>
      <c r="DK97" s="322">
        <v>12649.18</v>
      </c>
      <c r="DL97" s="760">
        <v>4454.1899999999996</v>
      </c>
      <c r="DM97" s="760">
        <v>4387.51</v>
      </c>
      <c r="DN97" s="760">
        <v>4673.6000000000004</v>
      </c>
      <c r="DO97" s="760">
        <v>4400</v>
      </c>
      <c r="DP97" s="62"/>
      <c r="DQ97" s="319" t="s">
        <v>79</v>
      </c>
      <c r="DR97" s="319">
        <v>424874.78</v>
      </c>
      <c r="DS97" s="319">
        <v>0</v>
      </c>
      <c r="DT97" s="319">
        <v>121513.53</v>
      </c>
      <c r="DU97" s="319">
        <v>40405.25</v>
      </c>
      <c r="DV97" s="319">
        <v>0</v>
      </c>
      <c r="DW97" s="319">
        <v>0</v>
      </c>
      <c r="DX97" s="319">
        <v>902504.82</v>
      </c>
      <c r="DY97" s="319">
        <v>1404912.6399999999</v>
      </c>
      <c r="DZ97" s="319">
        <v>35744.79</v>
      </c>
      <c r="EA97" s="319">
        <v>19036.72</v>
      </c>
      <c r="EB97" s="319">
        <v>3527.8599999999997</v>
      </c>
      <c r="EC97" s="319">
        <v>64847.479999999996</v>
      </c>
      <c r="ED97" s="319">
        <v>40162.949999999997</v>
      </c>
      <c r="EE97" s="319"/>
      <c r="EF97" s="319">
        <v>2815.58</v>
      </c>
      <c r="EG97" s="319">
        <v>13826.25</v>
      </c>
      <c r="EH97" s="319">
        <v>2384.7399999999998</v>
      </c>
      <c r="EI97" s="322">
        <v>11433.05</v>
      </c>
      <c r="EJ97" s="767">
        <v>4275.24</v>
      </c>
      <c r="EK97" s="767">
        <v>7474.94</v>
      </c>
      <c r="EL97" s="767">
        <v>44486.76</v>
      </c>
      <c r="EM97" s="767">
        <v>5000</v>
      </c>
      <c r="EO97" s="319" t="s">
        <v>79</v>
      </c>
      <c r="EP97" s="319">
        <v>3790397</v>
      </c>
      <c r="EQ97" s="319">
        <v>3602913</v>
      </c>
      <c r="ER97" s="319">
        <v>3811226</v>
      </c>
      <c r="ES97" s="319">
        <v>4459494</v>
      </c>
      <c r="ET97" s="319">
        <v>4137553</v>
      </c>
      <c r="EU97" s="319">
        <v>4425629</v>
      </c>
      <c r="EV97" s="319">
        <v>4026435</v>
      </c>
      <c r="EW97" s="319">
        <v>4234721</v>
      </c>
      <c r="EX97" s="319">
        <v>4280866.5799999991</v>
      </c>
      <c r="EY97" s="319">
        <v>4573170.42</v>
      </c>
      <c r="EZ97" s="319">
        <v>4656710.3</v>
      </c>
      <c r="FA97" s="319">
        <v>4841278.5</v>
      </c>
      <c r="FB97" s="319">
        <v>5377533.9200000009</v>
      </c>
      <c r="FC97" s="319"/>
      <c r="FD97" s="319">
        <v>3271699.4499999997</v>
      </c>
      <c r="FE97" s="319">
        <v>4114964.2299999995</v>
      </c>
      <c r="FF97" s="319">
        <v>4104498.5199999996</v>
      </c>
      <c r="FG97" s="319">
        <v>3695306.8600000003</v>
      </c>
      <c r="FH97" s="760">
        <v>4166956.2800000003</v>
      </c>
      <c r="FI97" s="760">
        <v>4072996.26</v>
      </c>
      <c r="FJ97" s="760">
        <v>4475926.74</v>
      </c>
      <c r="FK97" s="760">
        <v>5071908</v>
      </c>
      <c r="GZ97" s="62"/>
      <c r="HB97" s="62"/>
      <c r="HD97" s="62"/>
      <c r="HF97" s="62"/>
      <c r="HH97" s="62"/>
      <c r="HJ97" s="62"/>
      <c r="HL97" s="62"/>
      <c r="HN97" s="62"/>
    </row>
    <row r="98" spans="1:222" s="61" customFormat="1">
      <c r="A98" s="319" t="s">
        <v>80</v>
      </c>
      <c r="B98" s="319">
        <v>1048811</v>
      </c>
      <c r="C98" s="319">
        <v>1399645</v>
      </c>
      <c r="D98" s="319">
        <v>1093076</v>
      </c>
      <c r="E98" s="319">
        <v>624283</v>
      </c>
      <c r="F98" s="319">
        <v>646529</v>
      </c>
      <c r="G98" s="319">
        <v>1043408</v>
      </c>
      <c r="H98" s="319">
        <v>821911</v>
      </c>
      <c r="I98" s="319">
        <v>920126</v>
      </c>
      <c r="J98" s="319">
        <v>616005.61</v>
      </c>
      <c r="K98" s="319">
        <v>608648.98</v>
      </c>
      <c r="L98" s="319">
        <v>606092.28</v>
      </c>
      <c r="M98" s="319">
        <v>685175.46000000008</v>
      </c>
      <c r="N98" s="319">
        <v>657507.39</v>
      </c>
      <c r="O98" s="319">
        <v>1121918.4099999999</v>
      </c>
      <c r="P98" s="319">
        <v>702612</v>
      </c>
      <c r="Q98" s="319"/>
      <c r="R98" s="319">
        <v>707641.8</v>
      </c>
      <c r="S98" s="322">
        <v>629017.02</v>
      </c>
      <c r="T98" s="760">
        <v>598419.28</v>
      </c>
      <c r="U98" s="760">
        <v>1413378.08</v>
      </c>
      <c r="V98" s="760">
        <v>1433435.3099999998</v>
      </c>
      <c r="W98" s="760">
        <v>1312500</v>
      </c>
      <c r="X98" s="42"/>
      <c r="Y98" s="319" t="s">
        <v>80</v>
      </c>
      <c r="Z98" s="319">
        <v>0</v>
      </c>
      <c r="AA98" s="319">
        <v>0</v>
      </c>
      <c r="AB98" s="319">
        <v>0</v>
      </c>
      <c r="AC98" s="319">
        <v>0</v>
      </c>
      <c r="AD98" s="319">
        <v>0</v>
      </c>
      <c r="AE98" s="319">
        <v>0</v>
      </c>
      <c r="AF98" s="319">
        <v>0</v>
      </c>
      <c r="AG98" s="319">
        <v>0</v>
      </c>
      <c r="AH98" s="319">
        <v>0</v>
      </c>
      <c r="AI98" s="319">
        <v>0</v>
      </c>
      <c r="AJ98" s="319">
        <v>0</v>
      </c>
      <c r="AK98" s="319">
        <v>0</v>
      </c>
      <c r="AL98" s="319">
        <v>0</v>
      </c>
      <c r="AM98" s="319">
        <v>0</v>
      </c>
      <c r="AN98" s="319">
        <v>0</v>
      </c>
      <c r="AO98" s="319"/>
      <c r="AP98" s="319">
        <v>0</v>
      </c>
      <c r="AQ98" s="322">
        <v>0</v>
      </c>
      <c r="AR98" s="760">
        <v>0</v>
      </c>
      <c r="AS98" s="760">
        <v>0</v>
      </c>
      <c r="AT98" s="760">
        <v>0</v>
      </c>
      <c r="AU98" s="760">
        <v>0</v>
      </c>
      <c r="AV98" s="62"/>
      <c r="AW98" s="319" t="s">
        <v>80</v>
      </c>
      <c r="AX98" s="319">
        <v>0</v>
      </c>
      <c r="AY98" s="319">
        <v>0</v>
      </c>
      <c r="AZ98" s="319">
        <v>0</v>
      </c>
      <c r="BA98" s="319">
        <v>0</v>
      </c>
      <c r="BB98" s="319">
        <v>0</v>
      </c>
      <c r="BC98" s="319">
        <v>0</v>
      </c>
      <c r="BD98" s="319">
        <v>0</v>
      </c>
      <c r="BE98" s="319">
        <v>0</v>
      </c>
      <c r="BF98" s="319">
        <v>0</v>
      </c>
      <c r="BG98" s="319">
        <v>0</v>
      </c>
      <c r="BH98" s="319">
        <v>0</v>
      </c>
      <c r="BI98" s="319">
        <v>0</v>
      </c>
      <c r="BJ98" s="319">
        <v>0</v>
      </c>
      <c r="BK98" s="319">
        <v>0</v>
      </c>
      <c r="BL98" s="319">
        <v>0</v>
      </c>
      <c r="BM98" s="319"/>
      <c r="BN98" s="319">
        <v>0</v>
      </c>
      <c r="BO98" s="322">
        <v>0</v>
      </c>
      <c r="BP98" s="760">
        <v>0</v>
      </c>
      <c r="BQ98" s="760">
        <v>0</v>
      </c>
      <c r="BR98" s="760">
        <v>0</v>
      </c>
      <c r="BS98" s="760">
        <v>0</v>
      </c>
      <c r="BT98" s="62"/>
      <c r="BU98" s="319" t="s">
        <v>80</v>
      </c>
      <c r="BV98" s="319">
        <v>1027834.78</v>
      </c>
      <c r="BW98" s="319">
        <v>1385648.55</v>
      </c>
      <c r="BX98" s="319">
        <v>1049352.96</v>
      </c>
      <c r="BY98" s="319">
        <v>586826.02</v>
      </c>
      <c r="BZ98" s="319">
        <v>607737.26</v>
      </c>
      <c r="CA98" s="319">
        <v>1012105.76</v>
      </c>
      <c r="CB98" s="319">
        <v>805472.78</v>
      </c>
      <c r="CC98" s="319">
        <v>901723.48</v>
      </c>
      <c r="CD98" s="319">
        <v>575247.82999999996</v>
      </c>
      <c r="CE98" s="319">
        <v>561409.84</v>
      </c>
      <c r="CF98" s="319">
        <v>555699.07000000007</v>
      </c>
      <c r="CG98" s="319">
        <v>637142.24000000011</v>
      </c>
      <c r="CH98" s="319">
        <v>599506.74</v>
      </c>
      <c r="CI98" s="319">
        <v>1021374.22</v>
      </c>
      <c r="CJ98" s="319">
        <v>515731.35</v>
      </c>
      <c r="CK98" s="319"/>
      <c r="CL98" s="319">
        <v>661411.38</v>
      </c>
      <c r="CM98" s="322">
        <v>539521.61</v>
      </c>
      <c r="CN98" s="760">
        <v>521900.72</v>
      </c>
      <c r="CO98" s="760">
        <v>624441.01</v>
      </c>
      <c r="CP98" s="760">
        <v>1147786.3599999999</v>
      </c>
      <c r="CQ98" s="760">
        <v>1139600</v>
      </c>
      <c r="CR98" s="62"/>
      <c r="CS98" s="319" t="s">
        <v>80</v>
      </c>
      <c r="CT98" s="319">
        <v>20976.22</v>
      </c>
      <c r="CU98" s="319">
        <v>13996.45</v>
      </c>
      <c r="CV98" s="319">
        <v>32792.28</v>
      </c>
      <c r="CW98" s="319">
        <v>31214.15</v>
      </c>
      <c r="CX98" s="319">
        <v>25861.16</v>
      </c>
      <c r="CY98" s="319">
        <v>20868.16</v>
      </c>
      <c r="CZ98" s="319">
        <v>8219.11</v>
      </c>
      <c r="DA98" s="319">
        <v>0</v>
      </c>
      <c r="DB98" s="319">
        <v>3985.35</v>
      </c>
      <c r="DC98" s="319">
        <v>9553.24</v>
      </c>
      <c r="DD98" s="319">
        <v>12078.63</v>
      </c>
      <c r="DE98" s="319">
        <v>988.02</v>
      </c>
      <c r="DF98" s="319">
        <v>5976.11</v>
      </c>
      <c r="DG98" s="319">
        <v>2025.37</v>
      </c>
      <c r="DH98" s="319">
        <v>3193.28</v>
      </c>
      <c r="DI98" s="319"/>
      <c r="DJ98" s="319">
        <v>3205.11</v>
      </c>
      <c r="DK98" s="322">
        <v>2910.03</v>
      </c>
      <c r="DL98" s="760">
        <v>1717.92</v>
      </c>
      <c r="DM98" s="760">
        <v>2640.52</v>
      </c>
      <c r="DN98" s="760">
        <v>5934.63</v>
      </c>
      <c r="DO98" s="760">
        <v>5000</v>
      </c>
      <c r="DP98" s="62"/>
      <c r="DQ98" s="319" t="s">
        <v>80</v>
      </c>
      <c r="DR98" s="319">
        <v>0</v>
      </c>
      <c r="DS98" s="319">
        <v>0</v>
      </c>
      <c r="DT98" s="319">
        <v>10930.76</v>
      </c>
      <c r="DU98" s="319">
        <v>6242.83</v>
      </c>
      <c r="DV98" s="319">
        <v>12930.58</v>
      </c>
      <c r="DW98" s="319">
        <v>10434.08</v>
      </c>
      <c r="DX98" s="319">
        <v>8219.11</v>
      </c>
      <c r="DY98" s="319">
        <v>18402.52</v>
      </c>
      <c r="DZ98" s="319">
        <v>257.73</v>
      </c>
      <c r="EA98" s="319">
        <v>414.9</v>
      </c>
      <c r="EB98" s="319">
        <v>380.93</v>
      </c>
      <c r="EC98" s="319">
        <v>878.29</v>
      </c>
      <c r="ED98" s="319">
        <v>500.95</v>
      </c>
      <c r="EE98" s="319">
        <v>19994.560000000001</v>
      </c>
      <c r="EF98" s="319">
        <v>90586.37</v>
      </c>
      <c r="EG98" s="319"/>
      <c r="EH98" s="319">
        <v>150.28</v>
      </c>
      <c r="EI98" s="322">
        <v>464.33</v>
      </c>
      <c r="EJ98" s="767">
        <v>331.39</v>
      </c>
      <c r="EK98" s="767">
        <v>8434.7000000000007</v>
      </c>
      <c r="EL98" s="767">
        <v>54.86</v>
      </c>
      <c r="EM98" s="767">
        <v>160000</v>
      </c>
      <c r="EO98" s="319" t="s">
        <v>80</v>
      </c>
      <c r="EP98" s="319">
        <v>889225</v>
      </c>
      <c r="EQ98" s="319">
        <v>1247933</v>
      </c>
      <c r="ER98" s="319">
        <v>1173930</v>
      </c>
      <c r="ES98" s="319">
        <v>645770</v>
      </c>
      <c r="ET98" s="319">
        <v>716488</v>
      </c>
      <c r="EU98" s="319">
        <v>1067430</v>
      </c>
      <c r="EV98" s="319">
        <v>877217</v>
      </c>
      <c r="EW98" s="319">
        <v>1063658</v>
      </c>
      <c r="EX98" s="319">
        <v>559595.21</v>
      </c>
      <c r="EY98" s="319">
        <v>594871.49</v>
      </c>
      <c r="EZ98" s="319">
        <v>697107.61999999988</v>
      </c>
      <c r="FA98" s="319">
        <v>648394.53999999992</v>
      </c>
      <c r="FB98" s="319">
        <v>637605.56999999995</v>
      </c>
      <c r="FC98" s="319">
        <v>922528.42000000016</v>
      </c>
      <c r="FD98" s="319">
        <v>655358.43999999994</v>
      </c>
      <c r="FE98" s="319"/>
      <c r="FF98" s="319">
        <v>627867.71</v>
      </c>
      <c r="FG98" s="322">
        <v>651882.79999999993</v>
      </c>
      <c r="FH98" s="760">
        <v>471646.75000000006</v>
      </c>
      <c r="FI98" s="760">
        <v>1056243.01</v>
      </c>
      <c r="FJ98" s="760">
        <v>1672705.75</v>
      </c>
      <c r="FK98" s="760">
        <v>1972160</v>
      </c>
      <c r="GZ98" s="62"/>
      <c r="HB98" s="62"/>
      <c r="HD98" s="62"/>
      <c r="HF98" s="62"/>
      <c r="HH98" s="62"/>
      <c r="HJ98" s="62"/>
      <c r="HL98" s="62"/>
      <c r="HN98" s="62"/>
    </row>
    <row r="99" spans="1:222" s="61" customFormat="1">
      <c r="A99" s="319" t="s">
        <v>81</v>
      </c>
      <c r="B99" s="319">
        <v>838846</v>
      </c>
      <c r="C99" s="319">
        <v>924211</v>
      </c>
      <c r="D99" s="319">
        <v>915552</v>
      </c>
      <c r="E99" s="319">
        <v>942033</v>
      </c>
      <c r="F99" s="319">
        <v>956186</v>
      </c>
      <c r="G99" s="319">
        <v>955912</v>
      </c>
      <c r="H99" s="319">
        <v>1378080</v>
      </c>
      <c r="I99" s="319">
        <v>963379</v>
      </c>
      <c r="J99" s="319">
        <v>975280.6</v>
      </c>
      <c r="K99" s="319">
        <v>972633.72</v>
      </c>
      <c r="L99" s="319">
        <v>974400.37000000011</v>
      </c>
      <c r="M99" s="319">
        <v>978326.49000000011</v>
      </c>
      <c r="N99" s="319">
        <v>895284.7699999999</v>
      </c>
      <c r="O99" s="319">
        <v>877592.2100000002</v>
      </c>
      <c r="P99" s="319">
        <v>914566.49</v>
      </c>
      <c r="Q99" s="319">
        <v>905515.24</v>
      </c>
      <c r="R99" s="319">
        <v>925637.1100000001</v>
      </c>
      <c r="S99" s="322">
        <v>931177.63000000012</v>
      </c>
      <c r="T99" s="760">
        <v>973447.00000000012</v>
      </c>
      <c r="U99" s="760"/>
      <c r="V99" s="760"/>
      <c r="W99" s="760"/>
      <c r="X99" s="42"/>
      <c r="Y99" s="319" t="s">
        <v>81</v>
      </c>
      <c r="Z99" s="319">
        <v>0</v>
      </c>
      <c r="AA99" s="319">
        <v>0</v>
      </c>
      <c r="AB99" s="319">
        <v>0</v>
      </c>
      <c r="AC99" s="319">
        <v>0</v>
      </c>
      <c r="AD99" s="319">
        <v>0</v>
      </c>
      <c r="AE99" s="319">
        <v>0</v>
      </c>
      <c r="AF99" s="319">
        <v>0</v>
      </c>
      <c r="AG99" s="319">
        <v>0</v>
      </c>
      <c r="AH99" s="319">
        <v>0</v>
      </c>
      <c r="AI99" s="319">
        <v>0</v>
      </c>
      <c r="AJ99" s="319">
        <v>0</v>
      </c>
      <c r="AK99" s="319">
        <v>0</v>
      </c>
      <c r="AL99" s="319">
        <v>0</v>
      </c>
      <c r="AM99" s="319">
        <v>0</v>
      </c>
      <c r="AN99" s="319">
        <v>0</v>
      </c>
      <c r="AO99" s="319">
        <v>0</v>
      </c>
      <c r="AP99" s="319">
        <v>0</v>
      </c>
      <c r="AQ99" s="322">
        <v>0</v>
      </c>
      <c r="AR99" s="760">
        <v>0</v>
      </c>
      <c r="AS99" s="760"/>
      <c r="AT99" s="760"/>
      <c r="AU99" s="760"/>
      <c r="AV99" s="62"/>
      <c r="AW99" s="319" t="s">
        <v>81</v>
      </c>
      <c r="AX99" s="319">
        <v>0</v>
      </c>
      <c r="AY99" s="319">
        <v>0</v>
      </c>
      <c r="AZ99" s="319">
        <v>0</v>
      </c>
      <c r="BA99" s="319">
        <v>0</v>
      </c>
      <c r="BB99" s="319">
        <v>0</v>
      </c>
      <c r="BC99" s="319">
        <v>0</v>
      </c>
      <c r="BD99" s="319">
        <v>0</v>
      </c>
      <c r="BE99" s="319">
        <v>0</v>
      </c>
      <c r="BF99" s="319">
        <v>0</v>
      </c>
      <c r="BG99" s="319">
        <v>0</v>
      </c>
      <c r="BH99" s="319">
        <v>0</v>
      </c>
      <c r="BI99" s="319">
        <v>0</v>
      </c>
      <c r="BJ99" s="319">
        <v>0</v>
      </c>
      <c r="BK99" s="319">
        <v>0</v>
      </c>
      <c r="BL99" s="319">
        <v>0</v>
      </c>
      <c r="BM99" s="319">
        <v>0</v>
      </c>
      <c r="BN99" s="319">
        <v>0</v>
      </c>
      <c r="BO99" s="322">
        <v>0</v>
      </c>
      <c r="BP99" s="760">
        <v>0</v>
      </c>
      <c r="BQ99" s="760"/>
      <c r="BR99" s="760"/>
      <c r="BS99" s="760"/>
      <c r="BT99" s="62"/>
      <c r="BU99" s="319" t="s">
        <v>81</v>
      </c>
      <c r="BV99" s="319">
        <v>830457.54</v>
      </c>
      <c r="BW99" s="319">
        <v>896484.67</v>
      </c>
      <c r="BX99" s="319">
        <v>906396.48</v>
      </c>
      <c r="BY99" s="319">
        <v>932612.67</v>
      </c>
      <c r="BZ99" s="319">
        <v>946624.14</v>
      </c>
      <c r="CA99" s="319">
        <v>946352.88</v>
      </c>
      <c r="CB99" s="319">
        <v>1378080</v>
      </c>
      <c r="CC99" s="319">
        <v>963379</v>
      </c>
      <c r="CD99" s="319">
        <v>973284.5</v>
      </c>
      <c r="CE99" s="319">
        <v>962779.96</v>
      </c>
      <c r="CF99" s="319">
        <v>971551.47000000009</v>
      </c>
      <c r="CG99" s="319">
        <v>974189.06</v>
      </c>
      <c r="CH99" s="319">
        <v>890946.30999999994</v>
      </c>
      <c r="CI99" s="319">
        <v>874074.91000000015</v>
      </c>
      <c r="CJ99" s="319">
        <v>912704.95</v>
      </c>
      <c r="CK99" s="319">
        <v>904605.44</v>
      </c>
      <c r="CL99" s="319">
        <v>921125.68</v>
      </c>
      <c r="CM99" s="322">
        <v>930722.08000000007</v>
      </c>
      <c r="CN99" s="760">
        <v>973030.35000000009</v>
      </c>
      <c r="CO99" s="760"/>
      <c r="CP99" s="760"/>
      <c r="CQ99" s="760"/>
      <c r="CR99" s="62"/>
      <c r="CS99" s="319" t="s">
        <v>81</v>
      </c>
      <c r="CT99" s="319">
        <v>8388.4599999999991</v>
      </c>
      <c r="CU99" s="319">
        <v>9242.11</v>
      </c>
      <c r="CV99" s="319">
        <v>9155.52</v>
      </c>
      <c r="CW99" s="319">
        <v>9420.33</v>
      </c>
      <c r="CX99" s="319">
        <v>9561.86</v>
      </c>
      <c r="CY99" s="319">
        <v>9559.1200000000008</v>
      </c>
      <c r="CZ99" s="319">
        <v>0</v>
      </c>
      <c r="DA99" s="319">
        <v>0</v>
      </c>
      <c r="DB99" s="319">
        <v>1976.1</v>
      </c>
      <c r="DC99" s="319">
        <v>2353.7600000000002</v>
      </c>
      <c r="DD99" s="319">
        <v>2558.9</v>
      </c>
      <c r="DE99" s="319">
        <v>3804.43</v>
      </c>
      <c r="DF99" s="319">
        <v>3938.57</v>
      </c>
      <c r="DG99" s="319">
        <v>3517.3</v>
      </c>
      <c r="DH99" s="319">
        <v>1861.54</v>
      </c>
      <c r="DI99" s="319">
        <v>909.8</v>
      </c>
      <c r="DJ99" s="319">
        <v>4511.43</v>
      </c>
      <c r="DK99" s="322">
        <v>455.55</v>
      </c>
      <c r="DL99" s="760">
        <v>396.65</v>
      </c>
      <c r="DM99" s="760"/>
      <c r="DN99" s="760"/>
      <c r="DO99" s="760"/>
      <c r="DP99" s="62"/>
      <c r="DQ99" s="319" t="s">
        <v>81</v>
      </c>
      <c r="DR99" s="319">
        <v>0</v>
      </c>
      <c r="DS99" s="319">
        <v>18484.22</v>
      </c>
      <c r="DT99" s="319">
        <v>0</v>
      </c>
      <c r="DU99" s="319">
        <v>0</v>
      </c>
      <c r="DV99" s="319">
        <v>0</v>
      </c>
      <c r="DW99" s="319">
        <v>0</v>
      </c>
      <c r="DX99" s="319">
        <v>0</v>
      </c>
      <c r="DY99" s="319">
        <v>0</v>
      </c>
      <c r="DZ99" s="319">
        <v>0</v>
      </c>
      <c r="EA99" s="319">
        <v>0</v>
      </c>
      <c r="EB99" s="319">
        <v>0</v>
      </c>
      <c r="EC99" s="319">
        <v>0</v>
      </c>
      <c r="ED99" s="319">
        <v>199.89</v>
      </c>
      <c r="EE99" s="319">
        <v>0</v>
      </c>
      <c r="EF99" s="319">
        <v>0</v>
      </c>
      <c r="EG99" s="319">
        <v>0</v>
      </c>
      <c r="EH99" s="319">
        <v>0</v>
      </c>
      <c r="EI99" s="322">
        <v>0</v>
      </c>
      <c r="EJ99" s="767">
        <v>20</v>
      </c>
      <c r="EK99" s="767"/>
      <c r="EL99" s="767"/>
      <c r="EM99" s="767"/>
      <c r="EO99" s="319" t="s">
        <v>81</v>
      </c>
      <c r="EP99" s="319">
        <v>816208</v>
      </c>
      <c r="EQ99" s="319">
        <v>897038</v>
      </c>
      <c r="ER99" s="319">
        <v>917478</v>
      </c>
      <c r="ES99" s="319">
        <v>958038</v>
      </c>
      <c r="ET99" s="319">
        <v>963025</v>
      </c>
      <c r="EU99" s="319">
        <v>943498</v>
      </c>
      <c r="EV99" s="319">
        <v>1378599</v>
      </c>
      <c r="EW99" s="319">
        <v>960977</v>
      </c>
      <c r="EX99" s="319">
        <v>978970.00999999989</v>
      </c>
      <c r="EY99" s="319">
        <v>971196.05999999994</v>
      </c>
      <c r="EZ99" s="319">
        <v>1047269.96</v>
      </c>
      <c r="FA99" s="319">
        <v>901592.18999999983</v>
      </c>
      <c r="FB99" s="319">
        <v>902561.01300000004</v>
      </c>
      <c r="FC99" s="319">
        <v>871572.84000000008</v>
      </c>
      <c r="FD99" s="319">
        <v>908874.75000000012</v>
      </c>
      <c r="FE99" s="319">
        <v>906751.7300000001</v>
      </c>
      <c r="FF99" s="319">
        <v>923172.74000000011</v>
      </c>
      <c r="FG99" s="322">
        <v>925113.25999999989</v>
      </c>
      <c r="FH99" s="760">
        <v>974641.96</v>
      </c>
      <c r="FI99" s="760"/>
      <c r="FJ99" s="760"/>
      <c r="FK99" s="760"/>
      <c r="GZ99" s="62"/>
      <c r="HB99" s="62"/>
      <c r="HD99" s="62"/>
      <c r="HF99" s="62"/>
      <c r="HH99" s="62"/>
      <c r="HJ99" s="62"/>
      <c r="HL99" s="62"/>
      <c r="HN99" s="62"/>
    </row>
    <row r="100" spans="1:222" s="61" customFormat="1">
      <c r="A100" s="319" t="s">
        <v>82</v>
      </c>
      <c r="B100" s="319">
        <v>1185608</v>
      </c>
      <c r="C100" s="319">
        <v>1345759</v>
      </c>
      <c r="D100" s="319">
        <v>1170197</v>
      </c>
      <c r="E100" s="319">
        <v>1428196</v>
      </c>
      <c r="F100" s="319">
        <v>1534278</v>
      </c>
      <c r="G100" s="319">
        <v>1107170</v>
      </c>
      <c r="H100" s="319">
        <v>1875981</v>
      </c>
      <c r="I100" s="319">
        <v>1200994</v>
      </c>
      <c r="J100" s="319">
        <v>1279286.2200000002</v>
      </c>
      <c r="K100" s="319">
        <v>1301906.1299999999</v>
      </c>
      <c r="L100" s="319">
        <v>1695398.2099999997</v>
      </c>
      <c r="M100" s="319">
        <v>1360843.6699999997</v>
      </c>
      <c r="N100" s="319">
        <v>1709919.98</v>
      </c>
      <c r="O100" s="319">
        <v>1099887.96</v>
      </c>
      <c r="P100" s="319">
        <v>1334311.3799999999</v>
      </c>
      <c r="Q100" s="319">
        <v>1173403.6299999999</v>
      </c>
      <c r="R100" s="319">
        <v>1457450.26</v>
      </c>
      <c r="S100" s="322">
        <v>1520873.03</v>
      </c>
      <c r="T100" s="760"/>
      <c r="U100" s="760">
        <v>1737783.64</v>
      </c>
      <c r="V100" s="760">
        <v>1345847.3599999999</v>
      </c>
      <c r="W100" s="760">
        <v>2081470.99</v>
      </c>
      <c r="X100" s="42"/>
      <c r="Y100" s="319" t="s">
        <v>82</v>
      </c>
      <c r="Z100" s="319">
        <v>71136.479999999996</v>
      </c>
      <c r="AA100" s="319">
        <v>67287.95</v>
      </c>
      <c r="AB100" s="319">
        <v>81913.789999999994</v>
      </c>
      <c r="AC100" s="319">
        <v>85691.76</v>
      </c>
      <c r="AD100" s="319">
        <v>92056.68</v>
      </c>
      <c r="AE100" s="319">
        <v>99645.3</v>
      </c>
      <c r="AF100" s="319">
        <v>112558.86</v>
      </c>
      <c r="AG100" s="319">
        <v>108089.46</v>
      </c>
      <c r="AH100" s="319">
        <v>99597.119999999995</v>
      </c>
      <c r="AI100" s="319">
        <v>110955.37</v>
      </c>
      <c r="AJ100" s="319">
        <v>99111.05</v>
      </c>
      <c r="AK100" s="319">
        <v>23547.99</v>
      </c>
      <c r="AL100" s="319">
        <v>107536.25</v>
      </c>
      <c r="AM100" s="319">
        <v>110913.72</v>
      </c>
      <c r="AN100" s="319">
        <v>109576.44</v>
      </c>
      <c r="AO100" s="319">
        <v>111399.4</v>
      </c>
      <c r="AP100" s="319">
        <v>115800.36</v>
      </c>
      <c r="AQ100" s="322">
        <v>118397.26</v>
      </c>
      <c r="AR100" s="760"/>
      <c r="AS100" s="760">
        <v>125063.76</v>
      </c>
      <c r="AT100" s="760">
        <v>129648.44</v>
      </c>
      <c r="AU100" s="760">
        <v>128000</v>
      </c>
      <c r="AV100" s="62"/>
      <c r="AW100" s="319" t="s">
        <v>82</v>
      </c>
      <c r="AX100" s="319">
        <v>0</v>
      </c>
      <c r="AY100" s="319">
        <v>0</v>
      </c>
      <c r="AZ100" s="319">
        <v>0</v>
      </c>
      <c r="BA100" s="319">
        <v>0</v>
      </c>
      <c r="BB100" s="319">
        <v>0</v>
      </c>
      <c r="BC100" s="319">
        <v>0</v>
      </c>
      <c r="BD100" s="319">
        <v>0</v>
      </c>
      <c r="BE100" s="319">
        <v>0</v>
      </c>
      <c r="BF100" s="319">
        <v>0</v>
      </c>
      <c r="BG100" s="319">
        <v>0</v>
      </c>
      <c r="BH100" s="319">
        <v>0</v>
      </c>
      <c r="BI100" s="319">
        <v>0</v>
      </c>
      <c r="BJ100" s="319">
        <v>0</v>
      </c>
      <c r="BK100" s="319">
        <v>0</v>
      </c>
      <c r="BL100" s="319">
        <v>0</v>
      </c>
      <c r="BM100" s="319">
        <v>0</v>
      </c>
      <c r="BN100" s="319">
        <v>0</v>
      </c>
      <c r="BO100" s="322">
        <v>0</v>
      </c>
      <c r="BP100" s="760"/>
      <c r="BQ100" s="760">
        <v>0</v>
      </c>
      <c r="BR100" s="760">
        <v>0</v>
      </c>
      <c r="BS100" s="760">
        <v>0</v>
      </c>
      <c r="BT100" s="62"/>
      <c r="BU100" s="319" t="s">
        <v>82</v>
      </c>
      <c r="BV100" s="319">
        <v>1090759.3600000001</v>
      </c>
      <c r="BW100" s="319">
        <v>1211183.1000000001</v>
      </c>
      <c r="BX100" s="319">
        <v>1029773.36</v>
      </c>
      <c r="BY100" s="319">
        <v>1299658.3600000001</v>
      </c>
      <c r="BZ100" s="319">
        <v>1380850.2</v>
      </c>
      <c r="CA100" s="319">
        <v>996453</v>
      </c>
      <c r="CB100" s="319">
        <v>1744662.33</v>
      </c>
      <c r="CC100" s="319">
        <v>1068884.6599999999</v>
      </c>
      <c r="CD100" s="319">
        <v>1168574.3</v>
      </c>
      <c r="CE100" s="319">
        <v>1131913.47</v>
      </c>
      <c r="CF100" s="319">
        <v>1461284.7199999997</v>
      </c>
      <c r="CG100" s="319">
        <v>1302832.2799999998</v>
      </c>
      <c r="CH100" s="319">
        <v>1402691.91</v>
      </c>
      <c r="CI100" s="319">
        <v>965387.25999999989</v>
      </c>
      <c r="CJ100" s="319">
        <v>1160470.55</v>
      </c>
      <c r="CK100" s="319">
        <v>1045157.1299999999</v>
      </c>
      <c r="CL100" s="319">
        <v>1303273.8899999999</v>
      </c>
      <c r="CM100" s="322">
        <v>1369606.77</v>
      </c>
      <c r="CN100" s="760"/>
      <c r="CO100" s="760">
        <v>1601308.43</v>
      </c>
      <c r="CP100" s="760">
        <v>1199793.28</v>
      </c>
      <c r="CQ100" s="760">
        <v>1941070.99</v>
      </c>
      <c r="CR100" s="62"/>
      <c r="CS100" s="319" t="s">
        <v>82</v>
      </c>
      <c r="CT100" s="319">
        <v>23712.16</v>
      </c>
      <c r="CU100" s="319">
        <v>40372.769999999997</v>
      </c>
      <c r="CV100" s="319">
        <v>23403.94</v>
      </c>
      <c r="CW100" s="319">
        <v>14281.96</v>
      </c>
      <c r="CX100" s="319">
        <v>30685.56</v>
      </c>
      <c r="CY100" s="319">
        <v>11071.7</v>
      </c>
      <c r="CZ100" s="319">
        <v>0</v>
      </c>
      <c r="DA100" s="319">
        <v>0</v>
      </c>
      <c r="DB100" s="319">
        <v>5272.33</v>
      </c>
      <c r="DC100" s="319">
        <v>20433.599999999999</v>
      </c>
      <c r="DD100" s="319">
        <v>33453.269999999997</v>
      </c>
      <c r="DE100" s="319">
        <v>25713.09</v>
      </c>
      <c r="DF100" s="319">
        <v>15108.5</v>
      </c>
      <c r="DG100" s="319">
        <v>2537.1</v>
      </c>
      <c r="DH100" s="319">
        <v>4647.99</v>
      </c>
      <c r="DI100" s="319">
        <v>6776.54</v>
      </c>
      <c r="DJ100" s="319">
        <v>5328.58</v>
      </c>
      <c r="DK100" s="322">
        <v>5230.6099999999997</v>
      </c>
      <c r="DL100" s="760"/>
      <c r="DM100" s="760">
        <v>2145.37</v>
      </c>
      <c r="DN100" s="760">
        <v>2209.3200000000002</v>
      </c>
      <c r="DO100" s="760">
        <v>2000</v>
      </c>
      <c r="DP100" s="62"/>
      <c r="DQ100" s="319" t="s">
        <v>82</v>
      </c>
      <c r="DR100" s="319">
        <v>0</v>
      </c>
      <c r="DS100" s="319">
        <v>26915.18</v>
      </c>
      <c r="DT100" s="319">
        <v>35105.910000000003</v>
      </c>
      <c r="DU100" s="319">
        <v>28563.919999999998</v>
      </c>
      <c r="DV100" s="319">
        <v>30685.56</v>
      </c>
      <c r="DW100" s="319">
        <v>0</v>
      </c>
      <c r="DX100" s="319">
        <v>18759.810000000001</v>
      </c>
      <c r="DY100" s="319">
        <v>24019.88</v>
      </c>
      <c r="DZ100" s="319">
        <v>5842.47</v>
      </c>
      <c r="EA100" s="319">
        <v>38603.69</v>
      </c>
      <c r="EB100" s="319">
        <v>14501.7</v>
      </c>
      <c r="EC100" s="319">
        <v>8750.3100000000013</v>
      </c>
      <c r="ED100" s="319">
        <v>184583.32</v>
      </c>
      <c r="EE100" s="319">
        <v>21049.88</v>
      </c>
      <c r="EF100" s="319">
        <v>59616.399999999994</v>
      </c>
      <c r="EG100" s="319">
        <v>10070.56</v>
      </c>
      <c r="EH100" s="319">
        <v>33047.43</v>
      </c>
      <c r="EI100" s="322">
        <v>27638.39</v>
      </c>
      <c r="EJ100" s="767"/>
      <c r="EK100" s="767">
        <v>4266.08</v>
      </c>
      <c r="EL100" s="767">
        <v>9016.73</v>
      </c>
      <c r="EM100" s="767">
        <v>5400</v>
      </c>
      <c r="EO100" s="319" t="s">
        <v>82</v>
      </c>
      <c r="EP100" s="319">
        <v>1016038</v>
      </c>
      <c r="EQ100" s="319">
        <v>1428878</v>
      </c>
      <c r="ER100" s="319">
        <v>1480123</v>
      </c>
      <c r="ES100" s="319">
        <v>1207826</v>
      </c>
      <c r="ET100" s="319">
        <v>1809944</v>
      </c>
      <c r="EU100" s="319">
        <v>1120506</v>
      </c>
      <c r="EV100" s="319">
        <v>1661070</v>
      </c>
      <c r="EW100" s="319">
        <v>1045084</v>
      </c>
      <c r="EX100" s="319">
        <v>1496794.69</v>
      </c>
      <c r="EY100" s="319">
        <v>1115746.42</v>
      </c>
      <c r="EZ100" s="319">
        <v>1792627.34</v>
      </c>
      <c r="FA100" s="319">
        <v>1640430.47</v>
      </c>
      <c r="FB100" s="319">
        <v>1952645.4999999998</v>
      </c>
      <c r="FC100" s="319">
        <v>921481.7</v>
      </c>
      <c r="FD100" s="319">
        <v>1058536.3800000001</v>
      </c>
      <c r="FE100" s="319">
        <v>1204132.55</v>
      </c>
      <c r="FF100" s="319">
        <v>1619050.6</v>
      </c>
      <c r="FG100" s="322">
        <v>1379780.2899999998</v>
      </c>
      <c r="FH100" s="760"/>
      <c r="FI100" s="760">
        <v>1628634.3900000001</v>
      </c>
      <c r="FJ100" s="760">
        <v>1331848.73</v>
      </c>
      <c r="FK100" s="760">
        <v>2313744.2199999997</v>
      </c>
      <c r="GZ100" s="62"/>
      <c r="HB100" s="62"/>
      <c r="HD100" s="62"/>
      <c r="HF100" s="62"/>
      <c r="HH100" s="62"/>
      <c r="HJ100" s="62"/>
      <c r="HL100" s="62"/>
      <c r="HN100" s="62"/>
    </row>
    <row r="101" spans="1:222" s="61" customFormat="1">
      <c r="A101" s="319" t="s">
        <v>83</v>
      </c>
      <c r="B101" s="319">
        <v>1224791</v>
      </c>
      <c r="C101" s="319">
        <v>1201808</v>
      </c>
      <c r="D101" s="319">
        <v>1466977</v>
      </c>
      <c r="E101" s="319">
        <v>1489068</v>
      </c>
      <c r="F101" s="319">
        <v>1387011</v>
      </c>
      <c r="G101" s="319">
        <v>1315734</v>
      </c>
      <c r="H101" s="319">
        <v>1344326</v>
      </c>
      <c r="I101" s="319">
        <v>1433983</v>
      </c>
      <c r="J101" s="319">
        <v>1566934.4500000002</v>
      </c>
      <c r="K101" s="319"/>
      <c r="L101" s="319"/>
      <c r="M101" s="319"/>
      <c r="N101" s="319"/>
      <c r="O101" s="319"/>
      <c r="P101" s="319"/>
      <c r="Q101" s="319"/>
      <c r="R101" s="319"/>
      <c r="S101" s="322"/>
      <c r="T101" s="760"/>
      <c r="U101" s="760"/>
      <c r="V101" s="760"/>
      <c r="W101" s="760"/>
      <c r="X101" s="42"/>
      <c r="Y101" s="319" t="s">
        <v>83</v>
      </c>
      <c r="Z101" s="319">
        <v>416428.94</v>
      </c>
      <c r="AA101" s="319">
        <v>432650.88</v>
      </c>
      <c r="AB101" s="319">
        <v>469432.64</v>
      </c>
      <c r="AC101" s="319">
        <v>521173.8</v>
      </c>
      <c r="AD101" s="319">
        <v>513194.07</v>
      </c>
      <c r="AE101" s="319">
        <v>565765.62</v>
      </c>
      <c r="AF101" s="319">
        <v>604946.69999999995</v>
      </c>
      <c r="AG101" s="319">
        <v>616612.68999999994</v>
      </c>
      <c r="AH101" s="319">
        <v>722034.14</v>
      </c>
      <c r="AI101" s="319"/>
      <c r="AJ101" s="319"/>
      <c r="AK101" s="319"/>
      <c r="AL101" s="319"/>
      <c r="AM101" s="319"/>
      <c r="AN101" s="319"/>
      <c r="AO101" s="319"/>
      <c r="AP101" s="319"/>
      <c r="AQ101" s="322"/>
      <c r="AR101" s="760"/>
      <c r="AS101" s="760"/>
      <c r="AT101" s="760"/>
      <c r="AU101" s="760"/>
      <c r="AV101" s="62"/>
      <c r="AW101" s="319" t="s">
        <v>83</v>
      </c>
      <c r="AX101" s="319">
        <v>0</v>
      </c>
      <c r="AY101" s="319">
        <v>0</v>
      </c>
      <c r="AZ101" s="319">
        <v>0</v>
      </c>
      <c r="BA101" s="319">
        <v>0</v>
      </c>
      <c r="BB101" s="319">
        <v>0</v>
      </c>
      <c r="BC101" s="319">
        <v>0</v>
      </c>
      <c r="BD101" s="319">
        <v>0</v>
      </c>
      <c r="BE101" s="319">
        <v>0</v>
      </c>
      <c r="BF101" s="319">
        <v>0</v>
      </c>
      <c r="BG101" s="319"/>
      <c r="BH101" s="319"/>
      <c r="BI101" s="319"/>
      <c r="BJ101" s="319"/>
      <c r="BK101" s="319"/>
      <c r="BL101" s="319"/>
      <c r="BM101" s="319"/>
      <c r="BN101" s="319"/>
      <c r="BO101" s="322"/>
      <c r="BP101" s="760"/>
      <c r="BQ101" s="760"/>
      <c r="BR101" s="760"/>
      <c r="BS101" s="760"/>
      <c r="BT101" s="62"/>
      <c r="BU101" s="319" t="s">
        <v>83</v>
      </c>
      <c r="BV101" s="319">
        <v>636891.31999999995</v>
      </c>
      <c r="BW101" s="319">
        <v>733102.88</v>
      </c>
      <c r="BX101" s="319">
        <v>953535.05</v>
      </c>
      <c r="BY101" s="319">
        <v>908331.48</v>
      </c>
      <c r="BZ101" s="319">
        <v>804466.38</v>
      </c>
      <c r="CA101" s="319">
        <v>697339.02</v>
      </c>
      <c r="CB101" s="319">
        <v>712492.78</v>
      </c>
      <c r="CC101" s="319">
        <v>731331.33</v>
      </c>
      <c r="CD101" s="319">
        <v>796148.66</v>
      </c>
      <c r="CE101" s="319"/>
      <c r="CF101" s="319"/>
      <c r="CG101" s="319"/>
      <c r="CH101" s="319"/>
      <c r="CI101" s="319"/>
      <c r="CJ101" s="319"/>
      <c r="CK101" s="319"/>
      <c r="CL101" s="319"/>
      <c r="CM101" s="322"/>
      <c r="CN101" s="760"/>
      <c r="CO101" s="760"/>
      <c r="CP101" s="760"/>
      <c r="CQ101" s="760"/>
      <c r="CR101" s="62"/>
      <c r="CS101" s="319" t="s">
        <v>83</v>
      </c>
      <c r="CT101" s="319">
        <v>24495.82</v>
      </c>
      <c r="CU101" s="319">
        <v>12018.08</v>
      </c>
      <c r="CV101" s="319">
        <v>29339.54</v>
      </c>
      <c r="CW101" s="319">
        <v>44672.04</v>
      </c>
      <c r="CX101" s="319">
        <v>55480.44</v>
      </c>
      <c r="CY101" s="319">
        <v>39472.019999999997</v>
      </c>
      <c r="CZ101" s="319">
        <v>13443.26</v>
      </c>
      <c r="DA101" s="319">
        <v>14339.83</v>
      </c>
      <c r="DB101" s="319">
        <v>12723.33</v>
      </c>
      <c r="DC101" s="319"/>
      <c r="DD101" s="319"/>
      <c r="DE101" s="319"/>
      <c r="DF101" s="319"/>
      <c r="DG101" s="319"/>
      <c r="DH101" s="319"/>
      <c r="DI101" s="319"/>
      <c r="DJ101" s="319"/>
      <c r="DK101" s="322"/>
      <c r="DL101" s="760"/>
      <c r="DM101" s="760"/>
      <c r="DN101" s="760"/>
      <c r="DO101" s="760"/>
      <c r="DP101" s="62"/>
      <c r="DQ101" s="319" t="s">
        <v>83</v>
      </c>
      <c r="DR101" s="319">
        <v>146974.92000000001</v>
      </c>
      <c r="DS101" s="319">
        <v>24036.16</v>
      </c>
      <c r="DT101" s="319">
        <v>14669.77</v>
      </c>
      <c r="DU101" s="319">
        <v>14890.68</v>
      </c>
      <c r="DV101" s="319">
        <v>13870.11</v>
      </c>
      <c r="DW101" s="319">
        <v>13157.34</v>
      </c>
      <c r="DX101" s="319">
        <v>13443.26</v>
      </c>
      <c r="DY101" s="319">
        <v>71699.149999999994</v>
      </c>
      <c r="DZ101" s="319">
        <v>36028.32</v>
      </c>
      <c r="EA101" s="319"/>
      <c r="EB101" s="319"/>
      <c r="EC101" s="319"/>
      <c r="ED101" s="319"/>
      <c r="EE101" s="319"/>
      <c r="EF101" s="319"/>
      <c r="EG101" s="319"/>
      <c r="EH101" s="319"/>
      <c r="EI101" s="322"/>
      <c r="EJ101" s="767"/>
      <c r="EK101" s="767"/>
      <c r="EL101" s="767"/>
      <c r="EM101" s="767"/>
      <c r="EO101" s="319" t="s">
        <v>83</v>
      </c>
      <c r="EP101" s="319">
        <v>1310317</v>
      </c>
      <c r="EQ101" s="319">
        <v>1184599</v>
      </c>
      <c r="ER101" s="319">
        <v>1027243</v>
      </c>
      <c r="ES101" s="319">
        <v>1131149</v>
      </c>
      <c r="ET101" s="319">
        <v>1595316</v>
      </c>
      <c r="EU101" s="319">
        <v>1508550</v>
      </c>
      <c r="EV101" s="319">
        <v>1300754</v>
      </c>
      <c r="EW101" s="319">
        <v>1325364</v>
      </c>
      <c r="EX101" s="319">
        <v>1426267.3299999998</v>
      </c>
      <c r="EY101" s="319"/>
      <c r="EZ101" s="319"/>
      <c r="FA101" s="319"/>
      <c r="FB101" s="319"/>
      <c r="FC101" s="319"/>
      <c r="FD101" s="319"/>
      <c r="FE101" s="319"/>
      <c r="FF101" s="319"/>
      <c r="FG101" s="322"/>
      <c r="FH101" s="760"/>
      <c r="FI101" s="760"/>
      <c r="FJ101" s="760"/>
      <c r="FK101" s="760"/>
      <c r="GZ101" s="62"/>
      <c r="HB101" s="62"/>
      <c r="HD101" s="62"/>
      <c r="HF101" s="62"/>
      <c r="HH101" s="62"/>
      <c r="HJ101" s="62"/>
      <c r="HL101" s="62"/>
      <c r="HN101" s="62"/>
    </row>
    <row r="102" spans="1:222" s="61" customFormat="1">
      <c r="A102" s="319" t="s">
        <v>84</v>
      </c>
      <c r="B102" s="319">
        <v>1326025</v>
      </c>
      <c r="C102" s="319">
        <v>1783590</v>
      </c>
      <c r="D102" s="319">
        <v>1484576</v>
      </c>
      <c r="E102" s="319">
        <v>1561218</v>
      </c>
      <c r="F102" s="319">
        <v>1729454</v>
      </c>
      <c r="G102" s="319">
        <v>1788431</v>
      </c>
      <c r="H102" s="319">
        <v>2033706</v>
      </c>
      <c r="I102" s="319">
        <v>1886249</v>
      </c>
      <c r="J102" s="319">
        <v>2251926</v>
      </c>
      <c r="K102" s="319">
        <v>1997579</v>
      </c>
      <c r="L102" s="319">
        <v>2440918.96</v>
      </c>
      <c r="M102" s="319">
        <v>2288466</v>
      </c>
      <c r="N102" s="319">
        <v>2357715.19</v>
      </c>
      <c r="O102" s="319">
        <v>2305232.7800000003</v>
      </c>
      <c r="P102" s="319">
        <v>2389028.33</v>
      </c>
      <c r="Q102" s="319">
        <v>2475957.8600000003</v>
      </c>
      <c r="R102" s="319">
        <v>2555292.3600000003</v>
      </c>
      <c r="S102" s="322">
        <v>2630334.23</v>
      </c>
      <c r="T102" s="760">
        <v>2696059.79</v>
      </c>
      <c r="U102" s="760">
        <v>3000327.91</v>
      </c>
      <c r="V102" s="760">
        <v>2825205.94</v>
      </c>
      <c r="W102" s="760">
        <v>3002836</v>
      </c>
      <c r="X102" s="42"/>
      <c r="Y102" s="319" t="s">
        <v>84</v>
      </c>
      <c r="Z102" s="319">
        <v>225424.25</v>
      </c>
      <c r="AA102" s="319">
        <v>338882.1</v>
      </c>
      <c r="AB102" s="319">
        <v>311760.96000000002</v>
      </c>
      <c r="AC102" s="319">
        <v>343467.96</v>
      </c>
      <c r="AD102" s="319">
        <v>397774.42</v>
      </c>
      <c r="AE102" s="319">
        <v>393454.82</v>
      </c>
      <c r="AF102" s="319">
        <v>427078.26</v>
      </c>
      <c r="AG102" s="319">
        <v>490424.74</v>
      </c>
      <c r="AH102" s="319">
        <v>383309</v>
      </c>
      <c r="AI102" s="319">
        <v>475799</v>
      </c>
      <c r="AJ102" s="319">
        <v>512298.25</v>
      </c>
      <c r="AK102" s="319">
        <v>580067</v>
      </c>
      <c r="AL102" s="319">
        <v>515304.08999999997</v>
      </c>
      <c r="AM102" s="319">
        <v>544751.8600000001</v>
      </c>
      <c r="AN102" s="319">
        <v>588716.59</v>
      </c>
      <c r="AO102" s="319">
        <v>579794.68000000005</v>
      </c>
      <c r="AP102" s="319">
        <v>631778.43000000005</v>
      </c>
      <c r="AQ102" s="322">
        <v>618436.69000000006</v>
      </c>
      <c r="AR102" s="760">
        <v>587793.69999999995</v>
      </c>
      <c r="AS102" s="760">
        <v>712113.72</v>
      </c>
      <c r="AT102" s="760">
        <v>615146.84</v>
      </c>
      <c r="AU102" s="760">
        <v>600000</v>
      </c>
      <c r="AV102" s="62"/>
      <c r="AW102" s="319" t="s">
        <v>84</v>
      </c>
      <c r="AX102" s="319">
        <v>490629.25</v>
      </c>
      <c r="AY102" s="319">
        <v>499405.2</v>
      </c>
      <c r="AZ102" s="319">
        <v>489910.08</v>
      </c>
      <c r="BA102" s="319">
        <v>515201.94</v>
      </c>
      <c r="BB102" s="319">
        <v>570719.81999999995</v>
      </c>
      <c r="BC102" s="319">
        <v>590182.23</v>
      </c>
      <c r="BD102" s="319">
        <v>610111.80000000005</v>
      </c>
      <c r="BE102" s="319">
        <v>641324.66</v>
      </c>
      <c r="BF102" s="319">
        <v>679124</v>
      </c>
      <c r="BG102" s="319">
        <v>711390</v>
      </c>
      <c r="BH102" s="319">
        <v>732383.26</v>
      </c>
      <c r="BI102" s="319">
        <v>758249</v>
      </c>
      <c r="BJ102" s="319">
        <v>747311.8</v>
      </c>
      <c r="BK102" s="319">
        <v>683651.6</v>
      </c>
      <c r="BL102" s="319">
        <v>691451.71</v>
      </c>
      <c r="BM102" s="319">
        <v>718734.72</v>
      </c>
      <c r="BN102" s="319">
        <v>716422.36</v>
      </c>
      <c r="BO102" s="322">
        <v>744688.6</v>
      </c>
      <c r="BP102" s="760">
        <v>796917.77</v>
      </c>
      <c r="BQ102" s="760">
        <v>860658.98</v>
      </c>
      <c r="BR102" s="760">
        <v>867933.85</v>
      </c>
      <c r="BS102" s="760">
        <v>850000</v>
      </c>
      <c r="BT102" s="62"/>
      <c r="BU102" s="319" t="s">
        <v>84</v>
      </c>
      <c r="BV102" s="319">
        <v>556930.5</v>
      </c>
      <c r="BW102" s="319">
        <v>891795</v>
      </c>
      <c r="BX102" s="319">
        <v>578984.64</v>
      </c>
      <c r="BY102" s="319">
        <v>608875.02</v>
      </c>
      <c r="BZ102" s="319">
        <v>674487.06</v>
      </c>
      <c r="CA102" s="319">
        <v>715372.4</v>
      </c>
      <c r="CB102" s="319">
        <v>996515.94</v>
      </c>
      <c r="CC102" s="319">
        <v>754499.6</v>
      </c>
      <c r="CD102" s="319">
        <v>1188382</v>
      </c>
      <c r="CE102" s="319">
        <v>622515</v>
      </c>
      <c r="CF102" s="319">
        <v>955368.03000000014</v>
      </c>
      <c r="CG102" s="319">
        <v>805445</v>
      </c>
      <c r="CH102" s="319">
        <v>981205.82999999984</v>
      </c>
      <c r="CI102" s="319">
        <v>964019.92</v>
      </c>
      <c r="CJ102" s="319">
        <v>1002879.6200000001</v>
      </c>
      <c r="CK102" s="319">
        <v>1083367.6000000001</v>
      </c>
      <c r="CL102" s="319">
        <v>1085954</v>
      </c>
      <c r="CM102" s="322">
        <v>746962.56</v>
      </c>
      <c r="CN102" s="760">
        <v>729402.65</v>
      </c>
      <c r="CO102" s="760">
        <v>756575.34</v>
      </c>
      <c r="CP102" s="760">
        <v>1004406.85</v>
      </c>
      <c r="CQ102" s="760">
        <v>727600</v>
      </c>
      <c r="CR102" s="62"/>
      <c r="CS102" s="319" t="s">
        <v>84</v>
      </c>
      <c r="CT102" s="319">
        <v>0</v>
      </c>
      <c r="CU102" s="319">
        <v>17835.900000000001</v>
      </c>
      <c r="CV102" s="319">
        <v>14845.76</v>
      </c>
      <c r="CW102" s="319">
        <v>15612.18</v>
      </c>
      <c r="CX102" s="319">
        <v>17294.54</v>
      </c>
      <c r="CY102" s="319">
        <v>17884.310000000001</v>
      </c>
      <c r="CZ102" s="319">
        <v>0</v>
      </c>
      <c r="DA102" s="319">
        <v>0</v>
      </c>
      <c r="DB102" s="319">
        <v>1111</v>
      </c>
      <c r="DC102" s="319">
        <v>4646</v>
      </c>
      <c r="DD102" s="319">
        <v>10689.2</v>
      </c>
      <c r="DE102" s="319">
        <v>16312</v>
      </c>
      <c r="DF102" s="319">
        <v>3861.99</v>
      </c>
      <c r="DG102" s="319">
        <v>68.87</v>
      </c>
      <c r="DH102" s="319">
        <v>544.23</v>
      </c>
      <c r="DI102" s="319">
        <v>571.02</v>
      </c>
      <c r="DJ102" s="319">
        <v>762.95</v>
      </c>
      <c r="DK102" s="322">
        <v>563.20000000000005</v>
      </c>
      <c r="DL102" s="760">
        <v>424.96</v>
      </c>
      <c r="DM102" s="760">
        <v>888.32</v>
      </c>
      <c r="DN102" s="760">
        <v>3207.69</v>
      </c>
      <c r="DO102" s="760">
        <v>400</v>
      </c>
      <c r="DP102" s="62"/>
      <c r="DQ102" s="319" t="s">
        <v>84</v>
      </c>
      <c r="DR102" s="319">
        <v>53041</v>
      </c>
      <c r="DS102" s="319">
        <v>35671.800000000003</v>
      </c>
      <c r="DT102" s="319">
        <v>89074.559999999998</v>
      </c>
      <c r="DU102" s="319">
        <v>78060.899999999994</v>
      </c>
      <c r="DV102" s="319">
        <v>69178.16</v>
      </c>
      <c r="DW102" s="319">
        <v>71537.240000000005</v>
      </c>
      <c r="DX102" s="319">
        <v>0</v>
      </c>
      <c r="DY102" s="319">
        <v>0</v>
      </c>
      <c r="DZ102" s="319">
        <v>0</v>
      </c>
      <c r="EA102" s="319">
        <v>183229</v>
      </c>
      <c r="EB102" s="319">
        <v>230180.22</v>
      </c>
      <c r="EC102" s="319">
        <v>128393</v>
      </c>
      <c r="ED102" s="319">
        <v>110031.48</v>
      </c>
      <c r="EE102" s="319">
        <v>112740.53000000001</v>
      </c>
      <c r="EF102" s="319">
        <v>105436.18000000001</v>
      </c>
      <c r="EG102" s="319">
        <v>93489.84</v>
      </c>
      <c r="EH102" s="319">
        <v>120374.61999999998</v>
      </c>
      <c r="EI102" s="322">
        <v>519683.17999999993</v>
      </c>
      <c r="EJ102" s="767">
        <v>581520.71000000008</v>
      </c>
      <c r="EK102" s="767">
        <v>670091.55000000005</v>
      </c>
      <c r="EL102" s="767">
        <v>334510.71000000002</v>
      </c>
      <c r="EM102" s="767">
        <v>824836</v>
      </c>
      <c r="EO102" s="319" t="s">
        <v>84</v>
      </c>
      <c r="EP102" s="319">
        <v>1287324</v>
      </c>
      <c r="EQ102" s="319">
        <v>1704698</v>
      </c>
      <c r="ER102" s="319">
        <v>1460088</v>
      </c>
      <c r="ES102" s="319">
        <v>1535984</v>
      </c>
      <c r="ET102" s="319">
        <v>1719488</v>
      </c>
      <c r="EU102" s="319">
        <v>1870992</v>
      </c>
      <c r="EV102" s="319">
        <v>1958152</v>
      </c>
      <c r="EW102" s="319">
        <v>1905774</v>
      </c>
      <c r="EX102" s="319">
        <v>2292052</v>
      </c>
      <c r="EY102" s="319">
        <v>2016299.97</v>
      </c>
      <c r="EZ102" s="319">
        <v>2165772.17</v>
      </c>
      <c r="FA102" s="319">
        <v>2585547.33</v>
      </c>
      <c r="FB102" s="319">
        <v>2344188.37</v>
      </c>
      <c r="FC102" s="319">
        <v>2089237.35</v>
      </c>
      <c r="FD102" s="319">
        <v>2259125.2599999998</v>
      </c>
      <c r="FE102" s="319">
        <v>2388245.31</v>
      </c>
      <c r="FF102" s="319">
        <v>2759753.6100000003</v>
      </c>
      <c r="FG102" s="322">
        <v>2610232.56</v>
      </c>
      <c r="FH102" s="760">
        <v>2720719.0300000003</v>
      </c>
      <c r="FI102" s="760">
        <v>2713106.88</v>
      </c>
      <c r="FJ102" s="760">
        <v>2797468.7399999998</v>
      </c>
      <c r="FK102" s="760">
        <v>3614023.34</v>
      </c>
      <c r="GZ102" s="62"/>
      <c r="HB102" s="62"/>
      <c r="HD102" s="62"/>
      <c r="HF102" s="62"/>
      <c r="HH102" s="62"/>
      <c r="HJ102" s="62"/>
      <c r="HL102" s="62"/>
      <c r="HN102" s="62"/>
    </row>
    <row r="103" spans="1:222" s="61" customFormat="1">
      <c r="A103" s="319" t="s">
        <v>85</v>
      </c>
      <c r="B103" s="319">
        <v>971596</v>
      </c>
      <c r="C103" s="319">
        <v>1200623</v>
      </c>
      <c r="D103" s="319">
        <v>1133019</v>
      </c>
      <c r="E103" s="319">
        <v>1496444</v>
      </c>
      <c r="F103" s="319">
        <v>1097461</v>
      </c>
      <c r="G103" s="319">
        <v>1122083</v>
      </c>
      <c r="H103" s="319">
        <v>1902340</v>
      </c>
      <c r="I103" s="319">
        <v>1467429</v>
      </c>
      <c r="J103" s="319">
        <v>1302833.7699999998</v>
      </c>
      <c r="K103" s="319">
        <v>1472241.06</v>
      </c>
      <c r="L103" s="319">
        <v>1954788.9199999997</v>
      </c>
      <c r="M103" s="319">
        <v>1429041.4</v>
      </c>
      <c r="N103" s="319">
        <v>2948079.0300000003</v>
      </c>
      <c r="O103" s="319">
        <v>1532287.71</v>
      </c>
      <c r="P103" s="319">
        <v>1941265.8</v>
      </c>
      <c r="Q103" s="319">
        <v>2010077.2800000003</v>
      </c>
      <c r="R103" s="319">
        <v>1890614.84</v>
      </c>
      <c r="S103" s="322">
        <v>1322243.72</v>
      </c>
      <c r="T103" s="760">
        <v>1489460.03</v>
      </c>
      <c r="U103" s="760">
        <v>2058095.0499999998</v>
      </c>
      <c r="V103" s="760">
        <v>1395393.1900000002</v>
      </c>
      <c r="W103" s="760">
        <v>1329606</v>
      </c>
      <c r="X103" s="42"/>
      <c r="Y103" s="319" t="s">
        <v>85</v>
      </c>
      <c r="Z103" s="319">
        <v>126307.48</v>
      </c>
      <c r="AA103" s="319">
        <v>120062.3</v>
      </c>
      <c r="AB103" s="319">
        <v>90641.52</v>
      </c>
      <c r="AC103" s="319">
        <v>119715.52</v>
      </c>
      <c r="AD103" s="319">
        <v>98771.49</v>
      </c>
      <c r="AE103" s="319">
        <v>100987.47</v>
      </c>
      <c r="AF103" s="319">
        <v>114140.4</v>
      </c>
      <c r="AG103" s="319">
        <v>102720.03</v>
      </c>
      <c r="AH103" s="319">
        <v>115920.57</v>
      </c>
      <c r="AI103" s="319">
        <v>114246.21</v>
      </c>
      <c r="AJ103" s="319">
        <v>110068.43</v>
      </c>
      <c r="AK103" s="319">
        <v>124304.46</v>
      </c>
      <c r="AL103" s="319">
        <v>124016.06</v>
      </c>
      <c r="AM103" s="319">
        <v>148940.72</v>
      </c>
      <c r="AN103" s="319">
        <v>122112.57</v>
      </c>
      <c r="AO103" s="319">
        <v>138496.23000000001</v>
      </c>
      <c r="AP103" s="319">
        <v>143406.68</v>
      </c>
      <c r="AQ103" s="322">
        <v>131584.67000000001</v>
      </c>
      <c r="AR103" s="760">
        <v>153430.72</v>
      </c>
      <c r="AS103" s="760">
        <v>156564.07</v>
      </c>
      <c r="AT103" s="760">
        <v>147821.72</v>
      </c>
      <c r="AU103" s="760">
        <v>147000</v>
      </c>
      <c r="AV103" s="62"/>
      <c r="AW103" s="319" t="s">
        <v>85</v>
      </c>
      <c r="AX103" s="319">
        <v>349774.56</v>
      </c>
      <c r="AY103" s="319">
        <v>336174.44</v>
      </c>
      <c r="AZ103" s="319">
        <v>373896.27</v>
      </c>
      <c r="BA103" s="319">
        <v>389075.44</v>
      </c>
      <c r="BB103" s="319">
        <v>384111.35</v>
      </c>
      <c r="BC103" s="319">
        <v>403949.88</v>
      </c>
      <c r="BD103" s="319">
        <v>399491.4</v>
      </c>
      <c r="BE103" s="319">
        <v>410880.12</v>
      </c>
      <c r="BF103" s="319">
        <v>427779.97</v>
      </c>
      <c r="BG103" s="319">
        <v>432725.36</v>
      </c>
      <c r="BH103" s="319">
        <v>434952.13</v>
      </c>
      <c r="BI103" s="319">
        <v>453868.3</v>
      </c>
      <c r="BJ103" s="319">
        <v>443787.12</v>
      </c>
      <c r="BK103" s="319">
        <v>444705.03</v>
      </c>
      <c r="BL103" s="319">
        <v>454224.79</v>
      </c>
      <c r="BM103" s="319">
        <v>453702.94</v>
      </c>
      <c r="BN103" s="319">
        <v>446769.85</v>
      </c>
      <c r="BO103" s="322">
        <v>451330.17</v>
      </c>
      <c r="BP103" s="760">
        <v>482559.56</v>
      </c>
      <c r="BQ103" s="760">
        <v>494509.23</v>
      </c>
      <c r="BR103" s="760">
        <v>525922.78</v>
      </c>
      <c r="BS103" s="760">
        <v>460000</v>
      </c>
      <c r="BT103" s="62"/>
      <c r="BU103" s="319" t="s">
        <v>85</v>
      </c>
      <c r="BV103" s="319">
        <v>485798</v>
      </c>
      <c r="BW103" s="319">
        <v>732380.03</v>
      </c>
      <c r="BX103" s="319">
        <v>589169.88</v>
      </c>
      <c r="BY103" s="319">
        <v>972688.6</v>
      </c>
      <c r="BZ103" s="319">
        <v>559705.11</v>
      </c>
      <c r="CA103" s="319">
        <v>594703.99</v>
      </c>
      <c r="CB103" s="319">
        <v>1369684.8</v>
      </c>
      <c r="CC103" s="319">
        <v>909805.98</v>
      </c>
      <c r="CD103" s="319">
        <v>690689.1399999999</v>
      </c>
      <c r="CE103" s="319">
        <v>802169.97</v>
      </c>
      <c r="CF103" s="319">
        <v>1321179.99</v>
      </c>
      <c r="CG103" s="319">
        <v>733137.94999999984</v>
      </c>
      <c r="CH103" s="319">
        <v>2246612.9</v>
      </c>
      <c r="CI103" s="319">
        <v>767885.6399999999</v>
      </c>
      <c r="CJ103" s="319">
        <v>1160928.73</v>
      </c>
      <c r="CK103" s="319">
        <v>1239142.2300000002</v>
      </c>
      <c r="CL103" s="319">
        <v>1013248.02</v>
      </c>
      <c r="CM103" s="322">
        <v>529728.53</v>
      </c>
      <c r="CN103" s="760">
        <v>619553.98</v>
      </c>
      <c r="CO103" s="760">
        <v>1163728.5799999998</v>
      </c>
      <c r="CP103" s="760">
        <v>579215.94000000006</v>
      </c>
      <c r="CQ103" s="760">
        <v>598680</v>
      </c>
      <c r="CR103" s="62"/>
      <c r="CS103" s="319" t="s">
        <v>85</v>
      </c>
      <c r="CT103" s="319">
        <v>0</v>
      </c>
      <c r="CU103" s="319">
        <v>0</v>
      </c>
      <c r="CV103" s="319">
        <v>0</v>
      </c>
      <c r="CW103" s="319">
        <v>0</v>
      </c>
      <c r="CX103" s="319">
        <v>10974.61</v>
      </c>
      <c r="CY103" s="319">
        <v>11220.83</v>
      </c>
      <c r="CZ103" s="319">
        <v>0</v>
      </c>
      <c r="DA103" s="319">
        <v>0</v>
      </c>
      <c r="DB103" s="319">
        <v>1190.29</v>
      </c>
      <c r="DC103" s="319">
        <v>1004.63</v>
      </c>
      <c r="DD103" s="319">
        <v>2592.12</v>
      </c>
      <c r="DE103" s="319">
        <v>4159.75</v>
      </c>
      <c r="DF103" s="319">
        <v>1969.35</v>
      </c>
      <c r="DG103" s="319">
        <v>3811.54</v>
      </c>
      <c r="DH103" s="319">
        <v>91.52</v>
      </c>
      <c r="DI103" s="319">
        <v>115.89</v>
      </c>
      <c r="DJ103" s="319">
        <v>1055.67</v>
      </c>
      <c r="DK103" s="322">
        <v>1253.49</v>
      </c>
      <c r="DL103" s="760">
        <v>527.72</v>
      </c>
      <c r="DM103" s="760">
        <v>475.78</v>
      </c>
      <c r="DN103" s="760">
        <v>871.19</v>
      </c>
      <c r="DO103" s="760">
        <v>900</v>
      </c>
      <c r="DP103" s="62"/>
      <c r="DQ103" s="319" t="s">
        <v>85</v>
      </c>
      <c r="DR103" s="319">
        <v>9715.9599999999991</v>
      </c>
      <c r="DS103" s="319">
        <v>12006.23</v>
      </c>
      <c r="DT103" s="319">
        <v>79311.33</v>
      </c>
      <c r="DU103" s="319">
        <v>14964.44</v>
      </c>
      <c r="DV103" s="319">
        <v>43898.44</v>
      </c>
      <c r="DW103" s="319">
        <v>11220.83</v>
      </c>
      <c r="DX103" s="319">
        <v>19023.400000000001</v>
      </c>
      <c r="DY103" s="319">
        <v>44022.87</v>
      </c>
      <c r="DZ103" s="319">
        <v>67253.799999999988</v>
      </c>
      <c r="EA103" s="319">
        <v>122094.89</v>
      </c>
      <c r="EB103" s="319">
        <v>85996.25</v>
      </c>
      <c r="EC103" s="319">
        <v>113570.94</v>
      </c>
      <c r="ED103" s="319">
        <v>131693.6</v>
      </c>
      <c r="EE103" s="319">
        <v>166944.78000000003</v>
      </c>
      <c r="EF103" s="319">
        <v>163908.19</v>
      </c>
      <c r="EG103" s="319">
        <v>10168.39</v>
      </c>
      <c r="EH103" s="319">
        <v>37046.57</v>
      </c>
      <c r="EI103" s="322">
        <v>6493.01</v>
      </c>
      <c r="EJ103" s="767">
        <v>68027.210000000006</v>
      </c>
      <c r="EK103" s="767">
        <v>5590.55</v>
      </c>
      <c r="EL103" s="767">
        <v>59321.23</v>
      </c>
      <c r="EM103" s="767">
        <v>8000</v>
      </c>
      <c r="EO103" s="319" t="s">
        <v>85</v>
      </c>
      <c r="EP103" s="319">
        <v>1033129</v>
      </c>
      <c r="EQ103" s="319">
        <v>1183590</v>
      </c>
      <c r="ER103" s="319">
        <v>1177298</v>
      </c>
      <c r="ES103" s="319">
        <v>1421716</v>
      </c>
      <c r="ET103" s="319">
        <v>1087180</v>
      </c>
      <c r="EU103" s="319">
        <v>1097806</v>
      </c>
      <c r="EV103" s="319">
        <v>1881061</v>
      </c>
      <c r="EW103" s="319">
        <v>1472490</v>
      </c>
      <c r="EX103" s="319">
        <v>1387657.24</v>
      </c>
      <c r="EY103" s="319">
        <v>1432826.94</v>
      </c>
      <c r="EZ103" s="319">
        <v>2005053.3900000001</v>
      </c>
      <c r="FA103" s="319">
        <v>1379225.3099999998</v>
      </c>
      <c r="FB103" s="319">
        <v>2762704.5700000003</v>
      </c>
      <c r="FC103" s="319">
        <v>1728890.05</v>
      </c>
      <c r="FD103" s="319">
        <v>1964650.39</v>
      </c>
      <c r="FE103" s="319">
        <v>1860486.0200000003</v>
      </c>
      <c r="FF103" s="319">
        <v>1916531.4300000002</v>
      </c>
      <c r="FG103" s="322">
        <v>1479983.9600000002</v>
      </c>
      <c r="FH103" s="760">
        <v>1443552.23</v>
      </c>
      <c r="FI103" s="760">
        <v>2050630.09</v>
      </c>
      <c r="FJ103" s="760">
        <v>1350386.76</v>
      </c>
      <c r="FK103" s="760">
        <v>1367456.55</v>
      </c>
      <c r="GZ103" s="62"/>
      <c r="HB103" s="62"/>
      <c r="HD103" s="62"/>
      <c r="HF103" s="62"/>
      <c r="HH103" s="62"/>
      <c r="HJ103" s="62"/>
      <c r="HL103" s="62"/>
      <c r="HN103" s="62"/>
    </row>
    <row r="104" spans="1:222" s="61" customFormat="1">
      <c r="A104" s="319" t="s">
        <v>86</v>
      </c>
      <c r="B104" s="319">
        <v>1309473</v>
      </c>
      <c r="C104" s="319">
        <v>1076601</v>
      </c>
      <c r="D104" s="319">
        <v>1224880</v>
      </c>
      <c r="E104" s="319">
        <v>1229095</v>
      </c>
      <c r="F104" s="319">
        <v>1248098</v>
      </c>
      <c r="G104" s="319">
        <v>1546273</v>
      </c>
      <c r="H104" s="319">
        <v>2753836</v>
      </c>
      <c r="I104" s="319">
        <v>2253029</v>
      </c>
      <c r="J104" s="319">
        <v>2763838.62</v>
      </c>
      <c r="K104" s="319"/>
      <c r="L104" s="319"/>
      <c r="M104" s="319"/>
      <c r="N104" s="319"/>
      <c r="O104" s="319">
        <v>2637660.3199999998</v>
      </c>
      <c r="P104" s="319"/>
      <c r="Q104" s="319"/>
      <c r="R104" s="319"/>
      <c r="S104" s="322"/>
      <c r="T104" s="760"/>
      <c r="U104" s="760"/>
      <c r="V104" s="760"/>
      <c r="W104" s="760"/>
      <c r="X104" s="42"/>
      <c r="Y104" s="319" t="s">
        <v>86</v>
      </c>
      <c r="Z104" s="319">
        <v>248799.87</v>
      </c>
      <c r="AA104" s="319">
        <v>269150.25</v>
      </c>
      <c r="AB104" s="319">
        <v>306220</v>
      </c>
      <c r="AC104" s="319">
        <v>331855.65000000002</v>
      </c>
      <c r="AD104" s="319">
        <v>336986.46</v>
      </c>
      <c r="AE104" s="319">
        <v>371105.52</v>
      </c>
      <c r="AF104" s="319">
        <v>385537.04</v>
      </c>
      <c r="AG104" s="319">
        <v>428075.51</v>
      </c>
      <c r="AH104" s="319">
        <v>455511.54</v>
      </c>
      <c r="AI104" s="319"/>
      <c r="AJ104" s="319"/>
      <c r="AK104" s="319"/>
      <c r="AL104" s="319"/>
      <c r="AM104" s="319">
        <v>577906.48</v>
      </c>
      <c r="AN104" s="319"/>
      <c r="AO104" s="319"/>
      <c r="AP104" s="319"/>
      <c r="AQ104" s="322"/>
      <c r="AR104" s="760"/>
      <c r="AS104" s="760"/>
      <c r="AT104" s="760"/>
      <c r="AU104" s="760"/>
      <c r="AV104" s="62"/>
      <c r="AW104" s="319" t="s">
        <v>86</v>
      </c>
      <c r="AX104" s="319">
        <v>0</v>
      </c>
      <c r="AY104" s="319">
        <v>0</v>
      </c>
      <c r="AZ104" s="319">
        <v>0</v>
      </c>
      <c r="BA104" s="319">
        <v>0</v>
      </c>
      <c r="BB104" s="319">
        <v>0</v>
      </c>
      <c r="BC104" s="319">
        <v>0</v>
      </c>
      <c r="BD104" s="319">
        <v>0</v>
      </c>
      <c r="BE104" s="319">
        <v>0</v>
      </c>
      <c r="BF104" s="319">
        <v>0</v>
      </c>
      <c r="BG104" s="319"/>
      <c r="BH104" s="319"/>
      <c r="BI104" s="319"/>
      <c r="BJ104" s="319"/>
      <c r="BK104" s="319">
        <v>0</v>
      </c>
      <c r="BL104" s="319"/>
      <c r="BM104" s="319"/>
      <c r="BN104" s="319"/>
      <c r="BO104" s="322"/>
      <c r="BP104" s="760"/>
      <c r="BQ104" s="760"/>
      <c r="BR104" s="760"/>
      <c r="BS104" s="760"/>
      <c r="BT104" s="62"/>
      <c r="BU104" s="319" t="s">
        <v>86</v>
      </c>
      <c r="BV104" s="319">
        <v>1021388.94</v>
      </c>
      <c r="BW104" s="319">
        <v>785918.73</v>
      </c>
      <c r="BX104" s="319">
        <v>845167.2</v>
      </c>
      <c r="BY104" s="319">
        <v>872657.45</v>
      </c>
      <c r="BZ104" s="319">
        <v>886149.58</v>
      </c>
      <c r="CA104" s="319">
        <v>1144242.02</v>
      </c>
      <c r="CB104" s="319">
        <v>2203068.7999999998</v>
      </c>
      <c r="CC104" s="319">
        <v>1802423.2</v>
      </c>
      <c r="CD104" s="319">
        <v>1222801.33</v>
      </c>
      <c r="CE104" s="319"/>
      <c r="CF104" s="319"/>
      <c r="CG104" s="319"/>
      <c r="CH104" s="319"/>
      <c r="CI104" s="319">
        <v>1541396.1199999999</v>
      </c>
      <c r="CJ104" s="319"/>
      <c r="CK104" s="319"/>
      <c r="CL104" s="319"/>
      <c r="CM104" s="322"/>
      <c r="CN104" s="760"/>
      <c r="CO104" s="760"/>
      <c r="CP104" s="760"/>
      <c r="CQ104" s="760"/>
      <c r="CR104" s="62"/>
      <c r="CS104" s="319" t="s">
        <v>86</v>
      </c>
      <c r="CT104" s="319">
        <v>0</v>
      </c>
      <c r="CU104" s="319">
        <v>10766.01</v>
      </c>
      <c r="CV104" s="319">
        <v>12248.8</v>
      </c>
      <c r="CW104" s="319">
        <v>12290.95</v>
      </c>
      <c r="CX104" s="319">
        <v>12480.98</v>
      </c>
      <c r="CY104" s="319">
        <v>15462.73</v>
      </c>
      <c r="CZ104" s="319">
        <v>27538.36</v>
      </c>
      <c r="DA104" s="319">
        <v>0</v>
      </c>
      <c r="DB104" s="319">
        <v>7946.04</v>
      </c>
      <c r="DC104" s="319"/>
      <c r="DD104" s="319"/>
      <c r="DE104" s="319"/>
      <c r="DF104" s="319"/>
      <c r="DG104" s="319">
        <v>2960.76</v>
      </c>
      <c r="DH104" s="319"/>
      <c r="DI104" s="319"/>
      <c r="DJ104" s="319"/>
      <c r="DK104" s="322"/>
      <c r="DL104" s="760"/>
      <c r="DM104" s="760"/>
      <c r="DN104" s="760"/>
      <c r="DO104" s="760"/>
      <c r="DP104" s="62"/>
      <c r="DQ104" s="319" t="s">
        <v>86</v>
      </c>
      <c r="DR104" s="319">
        <v>39284.19</v>
      </c>
      <c r="DS104" s="319">
        <v>10766.01</v>
      </c>
      <c r="DT104" s="319">
        <v>61244</v>
      </c>
      <c r="DU104" s="319">
        <v>12290.95</v>
      </c>
      <c r="DV104" s="319">
        <v>12480.98</v>
      </c>
      <c r="DW104" s="319">
        <v>15462.73</v>
      </c>
      <c r="DX104" s="319">
        <v>137691.79999999999</v>
      </c>
      <c r="DY104" s="319">
        <v>22530.29</v>
      </c>
      <c r="DZ104" s="319">
        <v>444220.12</v>
      </c>
      <c r="EA104" s="319"/>
      <c r="EB104" s="319"/>
      <c r="EC104" s="319"/>
      <c r="ED104" s="319"/>
      <c r="EE104" s="319">
        <v>416498.39</v>
      </c>
      <c r="EF104" s="319"/>
      <c r="EG104" s="319"/>
      <c r="EH104" s="319"/>
      <c r="EI104" s="322"/>
      <c r="EJ104" s="767"/>
      <c r="EK104" s="767"/>
      <c r="EL104" s="767"/>
      <c r="EM104" s="767"/>
      <c r="EO104" s="319" t="s">
        <v>86</v>
      </c>
      <c r="EP104" s="319">
        <v>1298899</v>
      </c>
      <c r="EQ104" s="319">
        <v>1044127</v>
      </c>
      <c r="ER104" s="319">
        <v>1178531</v>
      </c>
      <c r="ES104" s="319">
        <v>1252336</v>
      </c>
      <c r="ET104" s="319">
        <v>1157589</v>
      </c>
      <c r="EU104" s="319">
        <v>1511467</v>
      </c>
      <c r="EV104" s="319">
        <v>2605662</v>
      </c>
      <c r="EW104" s="319">
        <v>2385933</v>
      </c>
      <c r="EX104" s="319">
        <v>3945708.9699999997</v>
      </c>
      <c r="EY104" s="319"/>
      <c r="EZ104" s="319"/>
      <c r="FA104" s="319"/>
      <c r="FB104" s="319"/>
      <c r="FC104" s="319">
        <v>2740537.91</v>
      </c>
      <c r="FD104" s="319"/>
      <c r="FE104" s="319"/>
      <c r="FF104" s="319"/>
      <c r="FG104" s="322"/>
      <c r="FH104" s="760"/>
      <c r="FI104" s="760"/>
      <c r="FJ104" s="760"/>
      <c r="FK104" s="760"/>
      <c r="GZ104" s="62"/>
      <c r="HB104" s="62"/>
      <c r="HD104" s="62"/>
      <c r="HF104" s="62"/>
      <c r="HH104" s="62"/>
      <c r="HJ104" s="62"/>
      <c r="HL104" s="62"/>
      <c r="HN104" s="62"/>
    </row>
    <row r="105" spans="1:222" s="61" customFormat="1">
      <c r="A105" s="321" t="s">
        <v>87</v>
      </c>
      <c r="B105" s="321">
        <v>809894</v>
      </c>
      <c r="C105" s="321">
        <v>617473</v>
      </c>
      <c r="D105" s="321">
        <v>667307</v>
      </c>
      <c r="E105" s="321">
        <v>778271</v>
      </c>
      <c r="F105" s="321">
        <v>505825</v>
      </c>
      <c r="G105" s="321">
        <v>226830</v>
      </c>
      <c r="H105" s="321">
        <v>694673</v>
      </c>
      <c r="I105" s="321">
        <v>624145</v>
      </c>
      <c r="J105" s="321">
        <v>494920.33</v>
      </c>
      <c r="K105" s="321">
        <v>1029419.76</v>
      </c>
      <c r="L105" s="321">
        <v>605975.4</v>
      </c>
      <c r="M105" s="321">
        <v>697869.91999999993</v>
      </c>
      <c r="N105" s="321">
        <v>419982.61</v>
      </c>
      <c r="O105" s="321">
        <v>418932.09</v>
      </c>
      <c r="P105" s="321">
        <v>602508.52</v>
      </c>
      <c r="Q105" s="321">
        <v>499869.86</v>
      </c>
      <c r="R105" s="321">
        <v>1268957.46</v>
      </c>
      <c r="S105" s="324">
        <v>481463.63</v>
      </c>
      <c r="T105" s="760">
        <v>601524.93999999994</v>
      </c>
      <c r="U105" s="760">
        <v>612107.39</v>
      </c>
      <c r="V105" s="760">
        <v>662249.01</v>
      </c>
      <c r="W105" s="760">
        <v>551419.5</v>
      </c>
      <c r="X105" s="42"/>
      <c r="Y105" s="321" t="s">
        <v>87</v>
      </c>
      <c r="Z105" s="321">
        <v>145780.92000000001</v>
      </c>
      <c r="AA105" s="321">
        <v>160542.98000000001</v>
      </c>
      <c r="AB105" s="321">
        <v>153480.60999999999</v>
      </c>
      <c r="AC105" s="321">
        <v>186785.04</v>
      </c>
      <c r="AD105" s="321">
        <v>156805.75</v>
      </c>
      <c r="AE105" s="321">
        <v>181464</v>
      </c>
      <c r="AF105" s="321">
        <v>166721.51999999999</v>
      </c>
      <c r="AG105" s="321">
        <v>181002.05</v>
      </c>
      <c r="AH105" s="321">
        <v>186603.81</v>
      </c>
      <c r="AI105" s="321">
        <v>191488.3</v>
      </c>
      <c r="AJ105" s="321">
        <v>188570.3</v>
      </c>
      <c r="AK105" s="321">
        <v>197319.77</v>
      </c>
      <c r="AL105" s="321">
        <v>188061.99</v>
      </c>
      <c r="AM105" s="321">
        <v>208503.72</v>
      </c>
      <c r="AN105" s="321">
        <v>206490.69</v>
      </c>
      <c r="AO105" s="321">
        <v>204795.38999999998</v>
      </c>
      <c r="AP105" s="321">
        <v>224536.24</v>
      </c>
      <c r="AQ105" s="324">
        <v>218631.64</v>
      </c>
      <c r="AR105" s="760">
        <v>241256.06999999998</v>
      </c>
      <c r="AS105" s="760">
        <v>260993.96999999997</v>
      </c>
      <c r="AT105" s="760">
        <v>270452.5</v>
      </c>
      <c r="AU105" s="760">
        <v>239000</v>
      </c>
      <c r="AV105" s="62"/>
      <c r="AW105" s="321" t="s">
        <v>87</v>
      </c>
      <c r="AX105" s="321">
        <v>0</v>
      </c>
      <c r="AY105" s="321">
        <v>0</v>
      </c>
      <c r="AZ105" s="321">
        <v>0</v>
      </c>
      <c r="BA105" s="321">
        <v>0</v>
      </c>
      <c r="BB105" s="321">
        <v>0</v>
      </c>
      <c r="BC105" s="321">
        <v>0</v>
      </c>
      <c r="BD105" s="321">
        <v>0</v>
      </c>
      <c r="BE105" s="321">
        <v>0</v>
      </c>
      <c r="BF105" s="321">
        <v>0</v>
      </c>
      <c r="BG105" s="321">
        <v>0</v>
      </c>
      <c r="BH105" s="321">
        <v>16899.62</v>
      </c>
      <c r="BI105" s="321">
        <v>17963.509999999998</v>
      </c>
      <c r="BJ105" s="321">
        <v>17738.439999999999</v>
      </c>
      <c r="BK105" s="321">
        <v>15694</v>
      </c>
      <c r="BL105" s="321">
        <v>17249.98</v>
      </c>
      <c r="BM105" s="321">
        <v>0</v>
      </c>
      <c r="BN105" s="321">
        <v>0</v>
      </c>
      <c r="BO105" s="324">
        <v>0</v>
      </c>
      <c r="BP105" s="760">
        <v>0</v>
      </c>
      <c r="BQ105" s="760">
        <v>0</v>
      </c>
      <c r="BR105" s="760">
        <v>0</v>
      </c>
      <c r="BS105" s="760">
        <v>0</v>
      </c>
      <c r="BT105" s="62"/>
      <c r="BU105" s="321" t="s">
        <v>87</v>
      </c>
      <c r="BV105" s="321">
        <v>510233.22</v>
      </c>
      <c r="BW105" s="321">
        <v>302561.77</v>
      </c>
      <c r="BX105" s="321">
        <v>427076.48</v>
      </c>
      <c r="BY105" s="321">
        <v>544789.69999999995</v>
      </c>
      <c r="BZ105" s="321">
        <v>338902.75</v>
      </c>
      <c r="CA105" s="321">
        <v>40829.4</v>
      </c>
      <c r="CB105" s="321">
        <v>277869.2</v>
      </c>
      <c r="CC105" s="321">
        <v>268382.34999999998</v>
      </c>
      <c r="CD105" s="321">
        <v>245088.16999999998</v>
      </c>
      <c r="CE105" s="321">
        <v>831134.27</v>
      </c>
      <c r="CF105" s="321">
        <v>396871.33</v>
      </c>
      <c r="CG105" s="321">
        <v>228373.11</v>
      </c>
      <c r="CH105" s="321">
        <v>192413.25000000003</v>
      </c>
      <c r="CI105" s="321">
        <v>184708.67</v>
      </c>
      <c r="CJ105" s="321">
        <v>340979.52</v>
      </c>
      <c r="CK105" s="321">
        <v>226941.27000000002</v>
      </c>
      <c r="CL105" s="321">
        <v>934412.51</v>
      </c>
      <c r="CM105" s="324">
        <v>224226.29</v>
      </c>
      <c r="CN105" s="760">
        <v>251202.05</v>
      </c>
      <c r="CO105" s="760">
        <v>242774.09000000003</v>
      </c>
      <c r="CP105" s="760">
        <v>245083.65999999997</v>
      </c>
      <c r="CQ105" s="760">
        <v>226384.5</v>
      </c>
      <c r="CR105" s="62"/>
      <c r="CS105" s="321" t="s">
        <v>87</v>
      </c>
      <c r="CT105" s="321">
        <v>0</v>
      </c>
      <c r="CU105" s="321">
        <v>0</v>
      </c>
      <c r="CV105" s="321">
        <v>6673.07</v>
      </c>
      <c r="CW105" s="321">
        <v>0</v>
      </c>
      <c r="CX105" s="321">
        <v>5058.25</v>
      </c>
      <c r="CY105" s="321">
        <v>2268.3000000000002</v>
      </c>
      <c r="CZ105" s="321">
        <v>0</v>
      </c>
      <c r="DA105" s="321">
        <v>0</v>
      </c>
      <c r="DB105" s="321">
        <v>147.08000000000001</v>
      </c>
      <c r="DC105" s="321">
        <v>184.46</v>
      </c>
      <c r="DD105" s="321">
        <v>164.96</v>
      </c>
      <c r="DE105" s="321">
        <v>0</v>
      </c>
      <c r="DF105" s="321">
        <v>365.77</v>
      </c>
      <c r="DG105" s="321">
        <v>69.28</v>
      </c>
      <c r="DH105" s="321">
        <v>66</v>
      </c>
      <c r="DI105" s="321">
        <v>68.64</v>
      </c>
      <c r="DJ105" s="321">
        <v>28.18</v>
      </c>
      <c r="DK105" s="324">
        <v>0</v>
      </c>
      <c r="DL105" s="760">
        <v>0</v>
      </c>
      <c r="DM105" s="760">
        <v>34.81</v>
      </c>
      <c r="DN105" s="760">
        <v>35.340000000000003</v>
      </c>
      <c r="DO105" s="760">
        <v>35</v>
      </c>
      <c r="DP105" s="62"/>
      <c r="DQ105" s="321" t="s">
        <v>87</v>
      </c>
      <c r="DR105" s="321">
        <v>153879.85999999999</v>
      </c>
      <c r="DS105" s="321">
        <v>154368.25</v>
      </c>
      <c r="DT105" s="321">
        <v>80076.84</v>
      </c>
      <c r="DU105" s="321">
        <v>46696.26</v>
      </c>
      <c r="DV105" s="321">
        <v>5058.25</v>
      </c>
      <c r="DW105" s="321">
        <v>2268.3000000000002</v>
      </c>
      <c r="DX105" s="321">
        <v>250082.28</v>
      </c>
      <c r="DY105" s="321">
        <v>174760.6</v>
      </c>
      <c r="DZ105" s="321">
        <v>38918.94</v>
      </c>
      <c r="EA105" s="321">
        <v>6612.73</v>
      </c>
      <c r="EB105" s="321">
        <v>3469.19</v>
      </c>
      <c r="EC105" s="321">
        <v>250515.93999999997</v>
      </c>
      <c r="ED105" s="321">
        <v>21403.16</v>
      </c>
      <c r="EE105" s="321">
        <v>4145.3599999999997</v>
      </c>
      <c r="EF105" s="321">
        <v>33019.83</v>
      </c>
      <c r="EG105" s="321">
        <v>10313.42</v>
      </c>
      <c r="EH105" s="321">
        <v>9980.5299999999988</v>
      </c>
      <c r="EI105" s="324">
        <v>38605.700000000004</v>
      </c>
      <c r="EJ105" s="767">
        <v>55077.93</v>
      </c>
      <c r="EK105" s="767">
        <v>78739.8</v>
      </c>
      <c r="EL105" s="767">
        <v>137620.63</v>
      </c>
      <c r="EM105" s="767">
        <v>70400</v>
      </c>
      <c r="EO105" s="321" t="s">
        <v>87</v>
      </c>
      <c r="EP105" s="321">
        <v>953347</v>
      </c>
      <c r="EQ105" s="321">
        <v>555736</v>
      </c>
      <c r="ER105" s="321">
        <v>665121</v>
      </c>
      <c r="ES105" s="321">
        <v>804502</v>
      </c>
      <c r="ET105" s="321">
        <v>422737</v>
      </c>
      <c r="EU105" s="321">
        <v>218296</v>
      </c>
      <c r="EV105" s="321">
        <v>627297</v>
      </c>
      <c r="EW105" s="321">
        <v>647322</v>
      </c>
      <c r="EX105" s="321">
        <v>505346.4</v>
      </c>
      <c r="EY105" s="321">
        <v>1036128.43</v>
      </c>
      <c r="EZ105" s="321">
        <v>570755.69000000006</v>
      </c>
      <c r="FA105" s="321">
        <v>630866.77</v>
      </c>
      <c r="FB105" s="321">
        <v>591975.74</v>
      </c>
      <c r="FC105" s="321">
        <v>491649.49</v>
      </c>
      <c r="FD105" s="321">
        <v>568043.13</v>
      </c>
      <c r="FE105" s="321">
        <v>449731.58999999997</v>
      </c>
      <c r="FF105" s="321">
        <v>1204851.55</v>
      </c>
      <c r="FG105" s="324">
        <v>494628.81999999995</v>
      </c>
      <c r="FH105" s="760">
        <v>622693.66999999993</v>
      </c>
      <c r="FI105" s="760">
        <v>662484.34000000008</v>
      </c>
      <c r="FJ105" s="760">
        <v>631310.76</v>
      </c>
      <c r="FK105" s="760">
        <v>721610.74</v>
      </c>
      <c r="GZ105" s="62"/>
      <c r="HB105" s="62"/>
      <c r="HD105" s="62"/>
      <c r="HF105" s="62"/>
      <c r="HH105" s="62"/>
      <c r="HJ105" s="62"/>
      <c r="HL105" s="62"/>
      <c r="HN105" s="62"/>
    </row>
    <row r="106" spans="1:222" s="61" customFormat="1">
      <c r="A106" s="350" t="s">
        <v>88</v>
      </c>
      <c r="B106" s="351">
        <v>649080</v>
      </c>
      <c r="C106" s="351">
        <v>733626</v>
      </c>
      <c r="D106" s="351">
        <v>929062</v>
      </c>
      <c r="E106" s="351">
        <v>895862</v>
      </c>
      <c r="F106" s="351">
        <v>1183373</v>
      </c>
      <c r="G106" s="352">
        <v>1189425</v>
      </c>
      <c r="H106" s="351">
        <v>1393915</v>
      </c>
      <c r="I106" s="351">
        <v>1496673</v>
      </c>
      <c r="J106" s="351">
        <v>1662677.99</v>
      </c>
      <c r="K106" s="351">
        <v>1566236.0299999998</v>
      </c>
      <c r="L106" s="351">
        <v>1575903.46</v>
      </c>
      <c r="M106" s="351">
        <v>1553039.7200000002</v>
      </c>
      <c r="N106" s="351">
        <v>1533215.4300000002</v>
      </c>
      <c r="O106" s="350">
        <v>1710549.7599999998</v>
      </c>
      <c r="P106" s="321">
        <v>1404920.65</v>
      </c>
      <c r="Q106" s="321">
        <v>1508035.1400000001</v>
      </c>
      <c r="R106" s="350">
        <v>1489013.45</v>
      </c>
      <c r="S106" s="360">
        <v>1534448.3699999999</v>
      </c>
      <c r="T106" s="710">
        <v>1650197.96</v>
      </c>
      <c r="U106" s="710">
        <v>1614233.71</v>
      </c>
      <c r="V106" s="710">
        <v>2486029</v>
      </c>
      <c r="W106" s="710">
        <v>1790375</v>
      </c>
      <c r="X106" s="42"/>
      <c r="Y106" s="350" t="s">
        <v>88</v>
      </c>
      <c r="Z106" s="351">
        <v>19472.400000000001</v>
      </c>
      <c r="AA106" s="351">
        <v>22008.78</v>
      </c>
      <c r="AB106" s="351">
        <v>18581.240000000002</v>
      </c>
      <c r="AC106" s="351">
        <v>26875.86</v>
      </c>
      <c r="AD106" s="351">
        <v>23667.46</v>
      </c>
      <c r="AE106" s="352">
        <v>47577</v>
      </c>
      <c r="AF106" s="351">
        <v>13939.15</v>
      </c>
      <c r="AG106" s="351">
        <v>14966.73</v>
      </c>
      <c r="AH106" s="351">
        <v>9870.2199999999993</v>
      </c>
      <c r="AI106" s="351">
        <v>73.98</v>
      </c>
      <c r="AJ106" s="351">
        <v>0</v>
      </c>
      <c r="AK106" s="351">
        <v>0</v>
      </c>
      <c r="AL106" s="351">
        <v>0</v>
      </c>
      <c r="AM106" s="350">
        <v>0</v>
      </c>
      <c r="AN106" s="321">
        <v>0</v>
      </c>
      <c r="AO106" s="321">
        <v>0</v>
      </c>
      <c r="AP106" s="350">
        <v>0</v>
      </c>
      <c r="AQ106" s="360">
        <v>0</v>
      </c>
      <c r="AR106" s="710">
        <v>0</v>
      </c>
      <c r="AS106" s="710">
        <v>0</v>
      </c>
      <c r="AT106" s="710">
        <v>0</v>
      </c>
      <c r="AU106" s="710">
        <v>0</v>
      </c>
      <c r="AV106" s="62"/>
      <c r="AW106" s="350" t="s">
        <v>88</v>
      </c>
      <c r="AX106" s="351">
        <v>0</v>
      </c>
      <c r="AY106" s="351">
        <v>0</v>
      </c>
      <c r="AZ106" s="351">
        <v>0</v>
      </c>
      <c r="BA106" s="351">
        <v>0</v>
      </c>
      <c r="BB106" s="351">
        <v>0</v>
      </c>
      <c r="BC106" s="352">
        <v>0</v>
      </c>
      <c r="BD106" s="351">
        <v>404235.35</v>
      </c>
      <c r="BE106" s="351">
        <v>688469.58</v>
      </c>
      <c r="BF106" s="351">
        <v>734321.29</v>
      </c>
      <c r="BG106" s="351">
        <v>754683.59</v>
      </c>
      <c r="BH106" s="351">
        <v>772710.51</v>
      </c>
      <c r="BI106" s="351">
        <v>803353.06</v>
      </c>
      <c r="BJ106" s="351">
        <v>785689.11</v>
      </c>
      <c r="BK106" s="350">
        <v>720459.49</v>
      </c>
      <c r="BL106" s="321">
        <v>715428.55</v>
      </c>
      <c r="BM106" s="321">
        <v>737874.42</v>
      </c>
      <c r="BN106" s="350">
        <v>746809.47</v>
      </c>
      <c r="BO106" s="360">
        <v>740517.6</v>
      </c>
      <c r="BP106" s="710">
        <v>795855.11</v>
      </c>
      <c r="BQ106" s="710">
        <v>820055.19</v>
      </c>
      <c r="BR106" s="710">
        <v>822091.28</v>
      </c>
      <c r="BS106" s="710">
        <v>820000</v>
      </c>
      <c r="BT106" s="62"/>
      <c r="BU106" s="350" t="s">
        <v>88</v>
      </c>
      <c r="BV106" s="351">
        <v>577681.19999999995</v>
      </c>
      <c r="BW106" s="351">
        <v>601573.31999999995</v>
      </c>
      <c r="BX106" s="351">
        <v>891899.52</v>
      </c>
      <c r="BY106" s="351">
        <v>851068.9</v>
      </c>
      <c r="BZ106" s="351">
        <v>1136038.08</v>
      </c>
      <c r="CA106" s="352">
        <v>1046694</v>
      </c>
      <c r="CB106" s="351">
        <v>961801.35</v>
      </c>
      <c r="CC106" s="351">
        <v>793236.69</v>
      </c>
      <c r="CD106" s="351">
        <v>903562.6</v>
      </c>
      <c r="CE106" s="351">
        <v>772111.48</v>
      </c>
      <c r="CF106" s="351">
        <v>698497.65</v>
      </c>
      <c r="CG106" s="351">
        <v>722312.78</v>
      </c>
      <c r="CH106" s="351">
        <v>731796.08000000007</v>
      </c>
      <c r="CI106" s="350">
        <v>968479.2799999998</v>
      </c>
      <c r="CJ106" s="321">
        <v>669101.94999999995</v>
      </c>
      <c r="CK106" s="321">
        <v>731621.32000000007</v>
      </c>
      <c r="CL106" s="350">
        <v>687663.09</v>
      </c>
      <c r="CM106" s="360">
        <v>742193.17999999993</v>
      </c>
      <c r="CN106" s="710">
        <v>840129.13</v>
      </c>
      <c r="CO106" s="710">
        <v>751086.14</v>
      </c>
      <c r="CP106" s="710">
        <v>1645542.9300000002</v>
      </c>
      <c r="CQ106" s="710">
        <v>772500</v>
      </c>
      <c r="CR106" s="62"/>
      <c r="CS106" s="350" t="s">
        <v>88</v>
      </c>
      <c r="CT106" s="351">
        <v>6490.8</v>
      </c>
      <c r="CU106" s="351">
        <v>7336.26</v>
      </c>
      <c r="CV106" s="351">
        <v>9290.6200000000008</v>
      </c>
      <c r="CW106" s="351">
        <v>8958.6200000000008</v>
      </c>
      <c r="CX106" s="351">
        <v>11833.73</v>
      </c>
      <c r="CY106" s="352">
        <v>11894.25</v>
      </c>
      <c r="CZ106" s="351">
        <v>13939.15</v>
      </c>
      <c r="DA106" s="351">
        <v>0</v>
      </c>
      <c r="DB106" s="351">
        <v>9554.9500000000007</v>
      </c>
      <c r="DC106" s="351">
        <v>8755.85</v>
      </c>
      <c r="DD106" s="351">
        <v>3469.22</v>
      </c>
      <c r="DE106" s="351">
        <v>10041.52</v>
      </c>
      <c r="DF106" s="351">
        <v>4128.5200000000004</v>
      </c>
      <c r="DG106" s="350">
        <v>3199.04</v>
      </c>
      <c r="DH106" s="321">
        <v>5547.57</v>
      </c>
      <c r="DI106" s="321">
        <v>5339.52</v>
      </c>
      <c r="DJ106" s="350">
        <v>4669.05</v>
      </c>
      <c r="DK106" s="360">
        <v>2933.02</v>
      </c>
      <c r="DL106" s="710">
        <v>821.54</v>
      </c>
      <c r="DM106" s="710">
        <v>1029.04</v>
      </c>
      <c r="DN106" s="710">
        <v>962.75</v>
      </c>
      <c r="DO106" s="710">
        <v>875</v>
      </c>
      <c r="DP106" s="62"/>
      <c r="DQ106" s="350" t="s">
        <v>88</v>
      </c>
      <c r="DR106" s="351">
        <v>45435.6</v>
      </c>
      <c r="DS106" s="351">
        <v>102707.64</v>
      </c>
      <c r="DT106" s="351">
        <v>9290.6200000000008</v>
      </c>
      <c r="DU106" s="351">
        <v>8958.6200000000008</v>
      </c>
      <c r="DV106" s="351">
        <v>11833.73</v>
      </c>
      <c r="DW106" s="352">
        <v>83259.75</v>
      </c>
      <c r="DX106" s="351">
        <v>0</v>
      </c>
      <c r="DY106" s="351">
        <v>0</v>
      </c>
      <c r="DZ106" s="351">
        <v>5279.04</v>
      </c>
      <c r="EA106" s="351">
        <v>30611.13</v>
      </c>
      <c r="EB106" s="351">
        <v>11226.08</v>
      </c>
      <c r="EC106" s="351">
        <v>7189.51</v>
      </c>
      <c r="ED106" s="351">
        <v>11601.72</v>
      </c>
      <c r="EE106" s="350">
        <v>18411.95</v>
      </c>
      <c r="EF106" s="321">
        <v>14842.580000000002</v>
      </c>
      <c r="EG106" s="321">
        <v>33199.880000000005</v>
      </c>
      <c r="EH106" s="350">
        <v>49871.840000000004</v>
      </c>
      <c r="EI106" s="360">
        <v>48804.569999999992</v>
      </c>
      <c r="EJ106" s="771">
        <v>13392.18</v>
      </c>
      <c r="EK106" s="771">
        <v>42063.34</v>
      </c>
      <c r="EL106" s="771">
        <v>17432.04</v>
      </c>
      <c r="EM106" s="771">
        <v>197000</v>
      </c>
      <c r="EO106" s="350" t="s">
        <v>88</v>
      </c>
      <c r="EP106" s="351">
        <v>575750</v>
      </c>
      <c r="EQ106" s="351">
        <v>769370</v>
      </c>
      <c r="ER106" s="351">
        <v>928306</v>
      </c>
      <c r="ES106" s="351">
        <v>890164</v>
      </c>
      <c r="ET106" s="351">
        <v>1067422</v>
      </c>
      <c r="EU106" s="352">
        <v>1254523</v>
      </c>
      <c r="EV106" s="351">
        <v>1428110</v>
      </c>
      <c r="EW106" s="351">
        <v>1350533</v>
      </c>
      <c r="EX106" s="351">
        <v>1641164.08</v>
      </c>
      <c r="EY106" s="351">
        <v>1643030.94</v>
      </c>
      <c r="EZ106" s="351">
        <v>1677653.7499999998</v>
      </c>
      <c r="FA106" s="351">
        <v>1549515.94</v>
      </c>
      <c r="FB106" s="351">
        <v>1586356.62</v>
      </c>
      <c r="FC106" s="350">
        <v>1330213.98</v>
      </c>
      <c r="FD106" s="321">
        <v>1372628.13</v>
      </c>
      <c r="FE106" s="321">
        <v>1505244.44</v>
      </c>
      <c r="FF106" s="350">
        <v>1602171.6400000001</v>
      </c>
      <c r="FG106" s="360">
        <v>1595680.96</v>
      </c>
      <c r="FH106" s="710">
        <v>1645857.78</v>
      </c>
      <c r="FI106" s="710">
        <v>1735983.71</v>
      </c>
      <c r="FJ106" s="710">
        <v>2459932.1</v>
      </c>
      <c r="FK106" s="710">
        <v>1857152.5499999998</v>
      </c>
      <c r="GZ106" s="62"/>
      <c r="HB106" s="62"/>
      <c r="HD106" s="62"/>
      <c r="HF106" s="62"/>
      <c r="HH106" s="62"/>
      <c r="HJ106" s="62"/>
      <c r="HL106" s="62"/>
      <c r="HN106" s="62"/>
    </row>
    <row r="107" spans="1:222">
      <c r="U107" s="118"/>
      <c r="BK107" s="39"/>
      <c r="DK107" s="57"/>
      <c r="DL107" s="50"/>
      <c r="DM107" s="50"/>
      <c r="DN107" s="50"/>
      <c r="DO107" s="50"/>
      <c r="DP107" s="50"/>
      <c r="DQ107" s="50"/>
      <c r="DR107" s="50"/>
      <c r="DS107" s="50"/>
      <c r="DT107" s="50"/>
      <c r="DU107" s="765"/>
      <c r="DW107" s="6"/>
      <c r="DX107" s="6"/>
      <c r="DY107" s="6"/>
    </row>
    <row r="108" spans="1:222"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</row>
    <row r="122" spans="53:132">
      <c r="BA122" s="3"/>
      <c r="BD122" s="60"/>
      <c r="BE122" s="118"/>
      <c r="BF122" s="60"/>
      <c r="BT122" s="3"/>
      <c r="BW122" s="60"/>
      <c r="BX122" s="118"/>
      <c r="BY122" s="60"/>
      <c r="CM122" s="3"/>
      <c r="CP122" s="60"/>
      <c r="CQ122" s="118"/>
      <c r="CR122" s="60"/>
      <c r="DF122" s="3"/>
      <c r="DI122" s="60"/>
      <c r="DJ122" s="3"/>
      <c r="EB122" s="60"/>
    </row>
    <row r="123" spans="53:132">
      <c r="BA123" s="3"/>
      <c r="BD123" s="60"/>
      <c r="BE123" s="118"/>
      <c r="BF123" s="60"/>
      <c r="BT123" s="3"/>
      <c r="BW123" s="60"/>
      <c r="BX123" s="118"/>
      <c r="BY123" s="60"/>
      <c r="CM123" s="3"/>
      <c r="CP123" s="60"/>
      <c r="CQ123" s="118"/>
      <c r="CR123" s="60"/>
      <c r="DF123" s="3"/>
      <c r="DI123" s="60"/>
      <c r="DJ123" s="3"/>
      <c r="EB123" s="60"/>
    </row>
    <row r="124" spans="53:132">
      <c r="BA124" s="3"/>
      <c r="BD124" s="60"/>
      <c r="BE124" s="118"/>
      <c r="BF124" s="60"/>
      <c r="BT124" s="3"/>
      <c r="BW124" s="60"/>
      <c r="BX124" s="118"/>
      <c r="BY124" s="60"/>
      <c r="CM124" s="3"/>
      <c r="CP124" s="60"/>
      <c r="CQ124" s="118"/>
      <c r="CR124" s="60"/>
      <c r="DF124" s="3"/>
      <c r="DI124" s="60"/>
      <c r="DJ124" s="3"/>
      <c r="EB124" s="60"/>
    </row>
    <row r="125" spans="53:132">
      <c r="BA125" s="3"/>
      <c r="BD125" s="60"/>
      <c r="BE125" s="118"/>
      <c r="BF125" s="60"/>
      <c r="BT125" s="3"/>
      <c r="BW125" s="60"/>
      <c r="BX125" s="118"/>
      <c r="BY125" s="60"/>
      <c r="CM125" s="3"/>
      <c r="CP125" s="60"/>
      <c r="CQ125" s="118"/>
      <c r="CR125" s="60"/>
      <c r="DF125" s="3"/>
      <c r="DI125" s="60"/>
      <c r="DJ125" s="3"/>
      <c r="EB125" s="60"/>
    </row>
    <row r="126" spans="53:132">
      <c r="BA126" s="3"/>
      <c r="BD126" s="60"/>
      <c r="BE126" s="118"/>
      <c r="BF126" s="60"/>
      <c r="BT126" s="3"/>
      <c r="BW126" s="60"/>
      <c r="BX126" s="118"/>
      <c r="BY126" s="60"/>
      <c r="CM126" s="3"/>
      <c r="CP126" s="60"/>
      <c r="CQ126" s="118"/>
      <c r="CR126" s="60"/>
      <c r="DF126" s="3"/>
      <c r="DI126" s="60"/>
      <c r="DJ126" s="3"/>
      <c r="EB126" s="60"/>
    </row>
    <row r="127" spans="53:132">
      <c r="BA127" s="3"/>
      <c r="BD127" s="60"/>
      <c r="BE127" s="118"/>
      <c r="BF127" s="60"/>
      <c r="BT127" s="3"/>
      <c r="BW127" s="60"/>
      <c r="BX127" s="118"/>
      <c r="BY127" s="60"/>
      <c r="CM127" s="3"/>
      <c r="CP127" s="60"/>
      <c r="CQ127" s="118"/>
      <c r="CR127" s="60"/>
      <c r="DF127" s="3"/>
      <c r="DI127" s="60"/>
      <c r="DJ127" s="3"/>
      <c r="EB127" s="60"/>
    </row>
    <row r="128" spans="53:132">
      <c r="BA128" s="3"/>
      <c r="BD128" s="60"/>
      <c r="BE128" s="118"/>
      <c r="BF128" s="60"/>
      <c r="BT128" s="3"/>
      <c r="BW128" s="60"/>
      <c r="BX128" s="118"/>
      <c r="BY128" s="60"/>
      <c r="CM128" s="3"/>
      <c r="CP128" s="60"/>
      <c r="CQ128" s="118"/>
      <c r="CR128" s="60"/>
      <c r="DF128" s="3"/>
      <c r="DI128" s="60"/>
      <c r="DJ128" s="3"/>
      <c r="EB128" s="60"/>
    </row>
  </sheetData>
  <mergeCells count="42">
    <mergeCell ref="A1:D1"/>
    <mergeCell ref="A3:D3"/>
    <mergeCell ref="A15:B15"/>
    <mergeCell ref="Y3:AB3"/>
    <mergeCell ref="Y15:Z15"/>
    <mergeCell ref="A5:B5"/>
    <mergeCell ref="Y5:Z5"/>
    <mergeCell ref="BU3:BX3"/>
    <mergeCell ref="BA14:BD14"/>
    <mergeCell ref="AC14:AF14"/>
    <mergeCell ref="AC15:AF15"/>
    <mergeCell ref="AC11:AF11"/>
    <mergeCell ref="AC12:AF12"/>
    <mergeCell ref="AC13:AF13"/>
    <mergeCell ref="BA13:BD13"/>
    <mergeCell ref="AW3:AZ3"/>
    <mergeCell ref="BA6:BD6"/>
    <mergeCell ref="BA7:BD7"/>
    <mergeCell ref="BU15:BV15"/>
    <mergeCell ref="AC6:AF6"/>
    <mergeCell ref="AC7:AF7"/>
    <mergeCell ref="BY6:CB6"/>
    <mergeCell ref="BY7:CB7"/>
    <mergeCell ref="CW14:DA14"/>
    <mergeCell ref="CW15:DA15"/>
    <mergeCell ref="BA15:BD15"/>
    <mergeCell ref="DQ3:DT3"/>
    <mergeCell ref="DU6:DX6"/>
    <mergeCell ref="DU7:DX7"/>
    <mergeCell ref="DU13:DX13"/>
    <mergeCell ref="CS3:CW3"/>
    <mergeCell ref="CW6:DA6"/>
    <mergeCell ref="CW7:DA7"/>
    <mergeCell ref="CW13:DA13"/>
    <mergeCell ref="EO3:ES3"/>
    <mergeCell ref="EO15:EP15"/>
    <mergeCell ref="DU14:DX14"/>
    <mergeCell ref="DU15:DX15"/>
    <mergeCell ref="ET15:EX15"/>
    <mergeCell ref="ET13:EX13"/>
    <mergeCell ref="ET14:EX14"/>
    <mergeCell ref="EO5:EP5"/>
  </mergeCells>
  <phoneticPr fontId="3" type="noConversion"/>
  <pageMargins left="0.75" right="0.75" top="1" bottom="1" header="0.5" footer="0.5"/>
  <pageSetup orientation="portrait" r:id="rId1"/>
  <headerFooter alignWithMargins="0"/>
  <legacy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">
    <tabColor indexed="10"/>
  </sheetPr>
  <dimension ref="A1:CS124"/>
  <sheetViews>
    <sheetView zoomScaleNormal="100" workbookViewId="0">
      <selection activeCell="C6" sqref="C6"/>
    </sheetView>
  </sheetViews>
  <sheetFormatPr baseColWidth="10" defaultColWidth="9.1640625" defaultRowHeight="13"/>
  <cols>
    <col min="1" max="1" width="15.33203125" style="3" bestFit="1" customWidth="1"/>
    <col min="2" max="2" width="10.83203125" style="3" customWidth="1"/>
    <col min="3" max="3" width="10.5" style="3" customWidth="1"/>
    <col min="4" max="4" width="11" style="3" customWidth="1"/>
    <col min="5" max="5" width="11.5" style="3" customWidth="1"/>
    <col min="6" max="6" width="12" style="3" customWidth="1"/>
    <col min="7" max="7" width="11.1640625" style="3" customWidth="1"/>
    <col min="8" max="8" width="11" style="3" customWidth="1"/>
    <col min="9" max="9" width="11.5" style="3" customWidth="1"/>
    <col min="10" max="10" width="12.1640625" style="3" customWidth="1"/>
    <col min="11" max="11" width="11" style="3" customWidth="1"/>
    <col min="12" max="12" width="11.1640625" style="3" customWidth="1"/>
    <col min="13" max="13" width="11.5" style="3" customWidth="1"/>
    <col min="14" max="16" width="10.6640625" style="3" customWidth="1"/>
    <col min="17" max="17" width="10.83203125" style="3" customWidth="1"/>
    <col min="18" max="18" width="11.33203125" style="3" customWidth="1"/>
    <col min="19" max="19" width="10.83203125" style="741" bestFit="1" customWidth="1"/>
    <col min="20" max="23" width="10.83203125" style="741" customWidth="1"/>
    <col min="24" max="24" width="13.6640625" style="3" customWidth="1"/>
    <col min="25" max="25" width="13.6640625" style="486" customWidth="1"/>
    <col min="26" max="26" width="15.33203125" style="3" customWidth="1"/>
    <col min="27" max="44" width="10.5" style="3" bestFit="1" customWidth="1"/>
    <col min="45" max="45" width="10.5" style="3" customWidth="1"/>
    <col min="46" max="46" width="10.6640625" style="3" customWidth="1"/>
    <col min="47" max="47" width="12.1640625" style="3" customWidth="1"/>
    <col min="48" max="49" width="9.1640625" style="749"/>
    <col min="50" max="50" width="9.1640625" style="486"/>
    <col min="51" max="51" width="13.33203125" style="3" customWidth="1"/>
    <col min="52" max="52" width="11.5" style="3" customWidth="1"/>
    <col min="53" max="54" width="10.1640625" style="3" customWidth="1"/>
    <col min="55" max="71" width="9.1640625" style="3"/>
    <col min="72" max="73" width="9.1640625" style="486"/>
    <col min="74" max="74" width="9.1640625" style="3"/>
    <col min="75" max="75" width="12.6640625" style="3" customWidth="1"/>
    <col min="76" max="16384" width="9.1640625" style="3"/>
  </cols>
  <sheetData>
    <row r="1" spans="1:97">
      <c r="A1" s="1028" t="s">
        <v>267</v>
      </c>
      <c r="B1" s="1028"/>
      <c r="C1" s="1028"/>
      <c r="D1" s="110"/>
      <c r="E1" s="96" t="s">
        <v>429</v>
      </c>
      <c r="Z1" s="148"/>
    </row>
    <row r="2" spans="1:97">
      <c r="S2" s="742"/>
      <c r="T2" s="742"/>
      <c r="U2" s="742"/>
      <c r="V2" s="742"/>
      <c r="W2" s="1"/>
      <c r="Z2" s="148"/>
      <c r="AQ2" s="110"/>
      <c r="AR2" s="548"/>
    </row>
    <row r="3" spans="1:97">
      <c r="B3" s="358" t="s">
        <v>428</v>
      </c>
      <c r="C3" s="1030" t="s">
        <v>430</v>
      </c>
      <c r="D3" s="1030"/>
      <c r="E3" s="1030"/>
      <c r="F3" s="1030"/>
      <c r="G3" s="1030"/>
      <c r="H3" s="1030"/>
      <c r="I3" s="1030"/>
      <c r="J3" s="1030"/>
      <c r="K3" s="1030"/>
      <c r="S3" s="742"/>
      <c r="T3" s="742"/>
      <c r="U3" s="742"/>
      <c r="V3" s="742"/>
      <c r="W3" s="1"/>
      <c r="X3" s="111"/>
      <c r="Y3" s="892"/>
      <c r="Z3" s="148"/>
      <c r="AQ3" s="110"/>
      <c r="AR3" s="548"/>
      <c r="AV3" s="1"/>
      <c r="AW3" s="1"/>
      <c r="BU3" s="1"/>
      <c r="CS3" s="1"/>
    </row>
    <row r="4" spans="1:97">
      <c r="B4" s="1029" t="s">
        <v>427</v>
      </c>
      <c r="C4" s="1029"/>
      <c r="D4" s="1029"/>
      <c r="E4" s="1029"/>
      <c r="F4" s="1029"/>
      <c r="G4" s="1029"/>
      <c r="H4" s="1029"/>
      <c r="I4" s="1029"/>
      <c r="J4" s="1029"/>
      <c r="K4" s="1029"/>
      <c r="L4" s="43"/>
      <c r="M4" s="43"/>
      <c r="N4" s="43"/>
      <c r="O4" s="43"/>
      <c r="P4" s="43"/>
      <c r="S4" s="742"/>
      <c r="T4" s="742"/>
      <c r="U4" s="742"/>
      <c r="V4" s="742"/>
      <c r="W4" s="1"/>
      <c r="X4" s="111"/>
      <c r="Y4" s="892"/>
      <c r="Z4" s="148"/>
      <c r="AQ4" s="110"/>
      <c r="AR4" s="548"/>
      <c r="AV4" s="1"/>
      <c r="AW4" s="1"/>
      <c r="AY4" s="423" t="s">
        <v>620</v>
      </c>
      <c r="BU4" s="1"/>
      <c r="BW4" s="908" t="s">
        <v>620</v>
      </c>
      <c r="CS4" s="1"/>
    </row>
    <row r="5" spans="1:97">
      <c r="C5" s="111"/>
      <c r="E5" s="138"/>
      <c r="H5" s="43"/>
      <c r="I5" s="43"/>
      <c r="J5" s="43"/>
      <c r="K5" s="43"/>
      <c r="L5" s="43"/>
      <c r="M5" s="43"/>
      <c r="N5" s="43"/>
      <c r="O5" s="43"/>
      <c r="P5" s="43"/>
      <c r="S5" s="742"/>
      <c r="T5" s="742"/>
      <c r="U5" s="742"/>
      <c r="V5" s="742"/>
      <c r="W5" s="1"/>
      <c r="X5" s="111"/>
      <c r="Y5" s="892"/>
      <c r="Z5" s="148"/>
      <c r="AQ5" s="110"/>
      <c r="AR5" s="548"/>
      <c r="AV5" s="1"/>
      <c r="AW5" s="1"/>
      <c r="AY5" s="423" t="s">
        <v>449</v>
      </c>
      <c r="BU5" s="1"/>
      <c r="BW5" s="423" t="s">
        <v>451</v>
      </c>
      <c r="BX5" s="424"/>
      <c r="BY5" s="424"/>
      <c r="BZ5" s="550" t="s">
        <v>506</v>
      </c>
      <c r="CA5" s="424"/>
      <c r="CB5" s="424"/>
      <c r="CC5" s="424"/>
      <c r="CD5" s="424"/>
      <c r="CE5" s="424"/>
      <c r="CF5" s="424"/>
      <c r="CG5" s="424"/>
      <c r="CH5" s="424"/>
      <c r="CI5" s="424"/>
      <c r="CJ5" s="424"/>
      <c r="CK5" s="424"/>
      <c r="CL5" s="424"/>
      <c r="CM5" s="424"/>
      <c r="CN5" s="424"/>
      <c r="CO5" s="424"/>
      <c r="CP5" s="424"/>
      <c r="CS5" s="1"/>
    </row>
    <row r="6" spans="1:97">
      <c r="A6" s="4" t="s">
        <v>244</v>
      </c>
      <c r="C6" s="111"/>
      <c r="G6" s="740"/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2"/>
      <c r="T6" s="742"/>
      <c r="U6" s="742"/>
      <c r="V6" s="742"/>
      <c r="W6" s="742"/>
      <c r="Z6" s="4" t="s">
        <v>426</v>
      </c>
      <c r="AA6" s="4"/>
      <c r="AB6" s="4"/>
      <c r="AQ6" s="43"/>
      <c r="AR6" s="43"/>
      <c r="AV6" s="1"/>
      <c r="AW6" s="1"/>
      <c r="BU6" s="1"/>
      <c r="BW6" s="423"/>
      <c r="BX6" s="424"/>
      <c r="BY6" s="424"/>
      <c r="BZ6" s="424"/>
      <c r="CA6" s="424"/>
      <c r="CB6" s="424"/>
      <c r="CC6" s="424"/>
      <c r="CD6" s="424"/>
      <c r="CE6" s="424"/>
      <c r="CF6" s="424"/>
      <c r="CG6" s="424"/>
      <c r="CH6" s="424"/>
      <c r="CI6" s="424"/>
      <c r="CJ6" s="424"/>
      <c r="CK6" s="424"/>
      <c r="CL6" s="424"/>
      <c r="CM6" s="424"/>
      <c r="CN6" s="424"/>
      <c r="CO6" s="424"/>
      <c r="CP6" s="424"/>
      <c r="CS6" s="1"/>
    </row>
    <row r="7" spans="1:97">
      <c r="G7" s="969"/>
      <c r="H7" s="969"/>
      <c r="I7" s="969"/>
      <c r="J7" s="969"/>
      <c r="K7" s="969"/>
      <c r="L7" s="969"/>
      <c r="M7" s="969"/>
      <c r="N7" s="969"/>
      <c r="O7" s="969"/>
      <c r="P7" s="969"/>
      <c r="Q7" s="969"/>
      <c r="R7" s="969"/>
      <c r="S7" s="742"/>
      <c r="T7" s="742"/>
      <c r="U7" s="742"/>
      <c r="V7" s="742"/>
      <c r="W7" s="742"/>
      <c r="AQ7" s="43"/>
      <c r="AR7" s="43"/>
      <c r="AU7" s="410"/>
      <c r="AV7" s="750"/>
      <c r="AW7" s="750"/>
      <c r="AX7" s="663"/>
      <c r="BW7" s="424"/>
      <c r="BX7" s="424"/>
      <c r="BY7" s="424"/>
      <c r="BZ7" s="424"/>
      <c r="CA7" s="424"/>
      <c r="CB7" s="424"/>
      <c r="CC7" s="424"/>
      <c r="CD7" s="424"/>
      <c r="CE7" s="424"/>
      <c r="CF7" s="424"/>
      <c r="CG7" s="424"/>
      <c r="CH7" s="424"/>
      <c r="CI7" s="424"/>
      <c r="CJ7" s="424"/>
      <c r="CK7" s="424"/>
      <c r="CL7" s="424"/>
      <c r="CM7" s="424"/>
      <c r="CN7" s="424"/>
      <c r="CO7" s="424"/>
      <c r="CP7" s="424"/>
    </row>
    <row r="8" spans="1:97">
      <c r="A8" s="325" t="s">
        <v>0</v>
      </c>
      <c r="B8" s="326" t="s">
        <v>409</v>
      </c>
      <c r="C8" s="326" t="s">
        <v>410</v>
      </c>
      <c r="D8" s="326" t="s">
        <v>411</v>
      </c>
      <c r="E8" s="326" t="s">
        <v>412</v>
      </c>
      <c r="F8" s="326" t="s">
        <v>413</v>
      </c>
      <c r="G8" s="326" t="s">
        <v>414</v>
      </c>
      <c r="H8" s="326" t="s">
        <v>415</v>
      </c>
      <c r="I8" s="326" t="s">
        <v>416</v>
      </c>
      <c r="J8" s="326" t="s">
        <v>417</v>
      </c>
      <c r="K8" s="326" t="s">
        <v>418</v>
      </c>
      <c r="L8" s="326" t="s">
        <v>419</v>
      </c>
      <c r="M8" s="326" t="s">
        <v>420</v>
      </c>
      <c r="N8" s="326" t="s">
        <v>421</v>
      </c>
      <c r="O8" s="326" t="s">
        <v>422</v>
      </c>
      <c r="P8" s="326" t="s">
        <v>423</v>
      </c>
      <c r="Q8" s="326" t="s">
        <v>355</v>
      </c>
      <c r="R8" s="326" t="s">
        <v>399</v>
      </c>
      <c r="S8" s="743" t="s">
        <v>424</v>
      </c>
      <c r="T8" s="745" t="s">
        <v>446</v>
      </c>
      <c r="U8" s="745" t="s">
        <v>523</v>
      </c>
      <c r="V8" s="746" t="s">
        <v>524</v>
      </c>
      <c r="W8" s="747" t="s">
        <v>525</v>
      </c>
      <c r="X8" s="814" t="s">
        <v>607</v>
      </c>
      <c r="Y8" s="339"/>
      <c r="Z8" s="326" t="s">
        <v>230</v>
      </c>
      <c r="AA8" s="326" t="s">
        <v>409</v>
      </c>
      <c r="AB8" s="326" t="s">
        <v>410</v>
      </c>
      <c r="AC8" s="326" t="s">
        <v>411</v>
      </c>
      <c r="AD8" s="326" t="s">
        <v>412</v>
      </c>
      <c r="AE8" s="326" t="s">
        <v>413</v>
      </c>
      <c r="AF8" s="326" t="s">
        <v>414</v>
      </c>
      <c r="AG8" s="326" t="s">
        <v>415</v>
      </c>
      <c r="AH8" s="326" t="s">
        <v>416</v>
      </c>
      <c r="AI8" s="326" t="s">
        <v>417</v>
      </c>
      <c r="AJ8" s="326" t="s">
        <v>418</v>
      </c>
      <c r="AK8" s="326" t="s">
        <v>419</v>
      </c>
      <c r="AL8" s="326" t="s">
        <v>420</v>
      </c>
      <c r="AM8" s="326" t="s">
        <v>421</v>
      </c>
      <c r="AN8" s="326" t="s">
        <v>422</v>
      </c>
      <c r="AO8" s="326" t="s">
        <v>423</v>
      </c>
      <c r="AP8" s="325" t="s">
        <v>355</v>
      </c>
      <c r="AQ8" s="327" t="s">
        <v>399</v>
      </c>
      <c r="AR8" s="375" t="s">
        <v>424</v>
      </c>
      <c r="AS8" s="339" t="s">
        <v>446</v>
      </c>
      <c r="AT8" s="339" t="s">
        <v>523</v>
      </c>
      <c r="AU8" s="339" t="s">
        <v>524</v>
      </c>
      <c r="AV8" s="752" t="s">
        <v>525</v>
      </c>
      <c r="AW8" s="903" t="s">
        <v>607</v>
      </c>
      <c r="AX8" s="339"/>
      <c r="AY8" s="411" t="s">
        <v>230</v>
      </c>
      <c r="AZ8" s="411" t="s">
        <v>409</v>
      </c>
      <c r="BA8" s="411" t="s">
        <v>410</v>
      </c>
      <c r="BB8" s="411" t="s">
        <v>411</v>
      </c>
      <c r="BC8" s="411" t="s">
        <v>412</v>
      </c>
      <c r="BD8" s="411" t="s">
        <v>413</v>
      </c>
      <c r="BE8" s="411" t="s">
        <v>414</v>
      </c>
      <c r="BF8" s="411" t="s">
        <v>415</v>
      </c>
      <c r="BG8" s="411" t="s">
        <v>416</v>
      </c>
      <c r="BH8" s="411" t="s">
        <v>417</v>
      </c>
      <c r="BI8" s="411" t="s">
        <v>418</v>
      </c>
      <c r="BJ8" s="411" t="s">
        <v>419</v>
      </c>
      <c r="BK8" s="411" t="s">
        <v>420</v>
      </c>
      <c r="BL8" s="411" t="s">
        <v>421</v>
      </c>
      <c r="BM8" s="411" t="s">
        <v>422</v>
      </c>
      <c r="BN8" s="411" t="s">
        <v>423</v>
      </c>
      <c r="BO8" s="412" t="s">
        <v>355</v>
      </c>
      <c r="BP8" s="413" t="s">
        <v>399</v>
      </c>
      <c r="BQ8" s="412" t="s">
        <v>424</v>
      </c>
      <c r="BR8" s="703" t="s">
        <v>446</v>
      </c>
      <c r="BS8" s="703" t="s">
        <v>523</v>
      </c>
      <c r="BT8" s="703" t="s">
        <v>524</v>
      </c>
      <c r="BU8" s="703" t="s">
        <v>525</v>
      </c>
      <c r="BW8" s="411" t="s">
        <v>230</v>
      </c>
      <c r="BX8" s="411" t="s">
        <v>409</v>
      </c>
      <c r="BY8" s="411" t="s">
        <v>410</v>
      </c>
      <c r="BZ8" s="411" t="s">
        <v>411</v>
      </c>
      <c r="CA8" s="411" t="s">
        <v>412</v>
      </c>
      <c r="CB8" s="411" t="s">
        <v>413</v>
      </c>
      <c r="CC8" s="411" t="s">
        <v>414</v>
      </c>
      <c r="CD8" s="411" t="s">
        <v>415</v>
      </c>
      <c r="CE8" s="411" t="s">
        <v>416</v>
      </c>
      <c r="CF8" s="411" t="s">
        <v>417</v>
      </c>
      <c r="CG8" s="411" t="s">
        <v>418</v>
      </c>
      <c r="CH8" s="411" t="s">
        <v>419</v>
      </c>
      <c r="CI8" s="411" t="s">
        <v>420</v>
      </c>
      <c r="CJ8" s="411" t="s">
        <v>421</v>
      </c>
      <c r="CK8" s="411" t="s">
        <v>422</v>
      </c>
      <c r="CL8" s="411" t="s">
        <v>423</v>
      </c>
      <c r="CM8" s="412" t="s">
        <v>355</v>
      </c>
      <c r="CN8" s="413" t="s">
        <v>399</v>
      </c>
      <c r="CO8" s="412" t="s">
        <v>424</v>
      </c>
      <c r="CP8" s="703" t="s">
        <v>446</v>
      </c>
      <c r="CQ8" s="703" t="s">
        <v>523</v>
      </c>
      <c r="CR8" s="703" t="s">
        <v>524</v>
      </c>
      <c r="CS8" s="703" t="s">
        <v>525</v>
      </c>
    </row>
    <row r="9" spans="1:97">
      <c r="A9" s="319" t="s">
        <v>1</v>
      </c>
      <c r="B9" s="367">
        <v>24883</v>
      </c>
      <c r="C9" s="367">
        <v>24871</v>
      </c>
      <c r="D9" s="367">
        <v>24887</v>
      </c>
      <c r="E9" s="367">
        <v>24961</v>
      </c>
      <c r="F9" s="367">
        <v>24956</v>
      </c>
      <c r="G9" s="367">
        <v>24967</v>
      </c>
      <c r="H9" s="367">
        <v>25072</v>
      </c>
      <c r="I9" s="367">
        <v>24958</v>
      </c>
      <c r="J9" s="367">
        <v>24988</v>
      </c>
      <c r="K9" s="367">
        <v>24849</v>
      </c>
      <c r="L9" s="367">
        <v>25007</v>
      </c>
      <c r="M9" s="367">
        <v>24983</v>
      </c>
      <c r="N9" s="367">
        <v>25399</v>
      </c>
      <c r="O9" s="367">
        <v>25577</v>
      </c>
      <c r="P9" s="367">
        <v>25597</v>
      </c>
      <c r="Q9" s="367">
        <v>25556</v>
      </c>
      <c r="R9" s="367">
        <v>25581</v>
      </c>
      <c r="S9" s="611">
        <v>25572</v>
      </c>
      <c r="T9" s="748">
        <v>25564</v>
      </c>
      <c r="U9" s="748">
        <v>25430</v>
      </c>
      <c r="V9" s="748">
        <v>25359</v>
      </c>
      <c r="W9" s="892">
        <v>25377</v>
      </c>
      <c r="X9" s="742"/>
      <c r="Y9" s="742"/>
      <c r="Z9" s="367" t="s">
        <v>1</v>
      </c>
      <c r="AA9" s="367">
        <v>435948</v>
      </c>
      <c r="AB9" s="367">
        <v>458203</v>
      </c>
      <c r="AC9" s="367">
        <v>466894</v>
      </c>
      <c r="AD9" s="367">
        <v>484982</v>
      </c>
      <c r="AE9" s="367">
        <v>516293</v>
      </c>
      <c r="AF9" s="367">
        <v>537260</v>
      </c>
      <c r="AG9" s="367">
        <v>532194</v>
      </c>
      <c r="AH9" s="367">
        <v>540537</v>
      </c>
      <c r="AI9" s="367">
        <v>566933</v>
      </c>
      <c r="AJ9" s="367">
        <v>584257</v>
      </c>
      <c r="AK9" s="367">
        <v>609108</v>
      </c>
      <c r="AL9" s="367">
        <v>641385</v>
      </c>
      <c r="AM9" s="367">
        <v>690507</v>
      </c>
      <c r="AN9" s="367">
        <v>719412</v>
      </c>
      <c r="AO9" s="367">
        <v>704418</v>
      </c>
      <c r="AP9" s="367">
        <v>734222</v>
      </c>
      <c r="AQ9" s="415">
        <v>756135</v>
      </c>
      <c r="AR9" s="8">
        <v>795801</v>
      </c>
      <c r="AS9" s="684">
        <v>755798</v>
      </c>
      <c r="AT9" s="684">
        <v>766107</v>
      </c>
      <c r="AU9" s="683">
        <v>765262</v>
      </c>
      <c r="AV9" s="8">
        <v>813014</v>
      </c>
      <c r="AW9" s="684"/>
      <c r="AX9" s="684"/>
      <c r="AY9" s="367" t="s">
        <v>1</v>
      </c>
      <c r="AZ9" s="39">
        <f t="shared" ref="AZ9:AZ40" si="0">(AA9/B9)*1000</f>
        <v>17519.913193746735</v>
      </c>
      <c r="BA9" s="39">
        <f t="shared" ref="BA9:BA40" si="1">(AB9/C9)*1000</f>
        <v>18423.183627517992</v>
      </c>
      <c r="BB9" s="39">
        <f t="shared" ref="BB9:BB40" si="2">(AC9/D9)*1000</f>
        <v>18760.557720898461</v>
      </c>
      <c r="BC9" s="39">
        <f t="shared" ref="BC9:BC40" si="3">(AD9/E9)*1000</f>
        <v>19429.590160650616</v>
      </c>
      <c r="BD9" s="39">
        <f t="shared" ref="BD9:BD40" si="4">(AE9/F9)*1000</f>
        <v>20688.131110754926</v>
      </c>
      <c r="BE9" s="39">
        <f t="shared" ref="BE9:BE40" si="5">(AF9/G9)*1000</f>
        <v>21518.804822365521</v>
      </c>
      <c r="BF9" s="39">
        <f t="shared" ref="BF9:BF40" si="6">(AG9/H9)*1000</f>
        <v>21226.627313337587</v>
      </c>
      <c r="BG9" s="39">
        <f t="shared" ref="BG9:BG40" si="7">(AH9/I9)*1000</f>
        <v>21657.86521355878</v>
      </c>
      <c r="BH9" s="39">
        <f t="shared" ref="BH9:BH40" si="8">(AI9/J9)*1000</f>
        <v>22688.210340963666</v>
      </c>
      <c r="BI9" s="39">
        <f t="shared" ref="BI9:BI40" si="9">(AJ9/K9)*1000</f>
        <v>23512.294257314177</v>
      </c>
      <c r="BJ9" s="39">
        <f t="shared" ref="BJ9:BJ40" si="10">(AK9/L9)*1000</f>
        <v>24357.499900027993</v>
      </c>
      <c r="BK9" s="39">
        <f t="shared" ref="BK9:BK40" si="11">(AL9/M9)*1000</f>
        <v>25672.857543129328</v>
      </c>
      <c r="BL9" s="39">
        <f t="shared" ref="BL9:BL40" si="12">(AM9/N9)*1000</f>
        <v>27186.385290759477</v>
      </c>
      <c r="BM9" s="39">
        <f t="shared" ref="BM9:BM40" si="13">(AN9/O9)*1000</f>
        <v>28127.301872776323</v>
      </c>
      <c r="BN9" s="39">
        <f t="shared" ref="BN9:BN40" si="14">(AO9/P9)*1000</f>
        <v>27519.553072625698</v>
      </c>
      <c r="BO9" s="39">
        <f t="shared" ref="BO9:BO40" si="15">(AP9/Q9)*1000</f>
        <v>28729.926436061982</v>
      </c>
      <c r="BP9" s="39">
        <f t="shared" ref="BP9:BP40" si="16">(AQ9/R9)*1000</f>
        <v>29558.461358039171</v>
      </c>
      <c r="BQ9" s="39">
        <f t="shared" ref="BQ9:BQ40" si="17">(AR9/S9)*1000</f>
        <v>31120.0140778977</v>
      </c>
      <c r="BR9" s="39">
        <f t="shared" ref="BR9:BR40" si="18">(AS9/T9)*1000</f>
        <v>29564.935064935064</v>
      </c>
      <c r="BS9" s="39">
        <f t="shared" ref="BS9:BS40" si="19">(AT9/U9)*1000</f>
        <v>30126.11089264648</v>
      </c>
      <c r="BT9" s="39">
        <f t="shared" ref="BT9:BT40" si="20">(AU9/V9)*1000</f>
        <v>30177.136322410188</v>
      </c>
      <c r="BU9" s="39">
        <f t="shared" ref="BU9:BU40" si="21">(AV9/W9)*1000</f>
        <v>32037.435473066162</v>
      </c>
      <c r="BW9" s="367" t="s">
        <v>1</v>
      </c>
      <c r="BX9" s="39">
        <f>(AZ9/CPINormalized[1996])*100</f>
        <v>17519.913193746735</v>
      </c>
      <c r="BY9" s="39">
        <f>(BA9/CPINormalized[1997])*100</f>
        <v>18009.953340545624</v>
      </c>
      <c r="BZ9" s="39">
        <f>(BB9/CPINormalized[1998])*100</f>
        <v>18058.475499441527</v>
      </c>
      <c r="CA9" s="39">
        <f>(BC9/CPINormalized[1999])*100</f>
        <v>18298.335511441066</v>
      </c>
      <c r="CB9" s="39">
        <f>(BD9/CPINormalized[2000])*100</f>
        <v>18849.987057360329</v>
      </c>
      <c r="CC9" s="39">
        <f>(BE9/CPINormalized[2001])*100</f>
        <v>19064.373103496051</v>
      </c>
      <c r="CD9" s="39">
        <f>(BF9/CPINormalized[2002])*100</f>
        <v>18512.828379447845</v>
      </c>
      <c r="CE9" s="39">
        <f>(BG9/CPINormalized[2003])*100</f>
        <v>18468.038326127025</v>
      </c>
      <c r="CF9" s="39">
        <f>(BH9/CPINormalized[2004])*100</f>
        <v>18844.786672827948</v>
      </c>
      <c r="CG9" s="39">
        <f>(BI9/CPINormalized[2005])*100</f>
        <v>18889.293235906778</v>
      </c>
      <c r="CH9" s="39">
        <f>(BJ9/CPINormalized[2006])*100</f>
        <v>18956.804237670596</v>
      </c>
      <c r="CI9" s="39">
        <f>(BK9/CPINormalized[2007])*100</f>
        <v>19427.184788981449</v>
      </c>
      <c r="CJ9" s="39">
        <f>(BL9/CPINormalized[2008])*100</f>
        <v>19811.818005880839</v>
      </c>
      <c r="CK9" s="39">
        <f>(BM9/CPINormalized[2009])*100</f>
        <v>20570.68787126978</v>
      </c>
      <c r="CL9" s="39">
        <f>(BN9/CPINormalized[2010])*100</f>
        <v>19801.417420731243</v>
      </c>
      <c r="CM9" s="39">
        <f>(BO9/CPINormalized[2011])*100</f>
        <v>20039.768371950286</v>
      </c>
      <c r="CN9" s="39">
        <f>(BP9/CPINormalized[2012])*100</f>
        <v>20199.668053504647</v>
      </c>
      <c r="CO9" s="39">
        <f>(BQ9/CPINormalized[2014])*100</f>
        <v>20625.212087819978</v>
      </c>
      <c r="CP9" s="39">
        <f>(BR9/CPINormalized[2014])*100</f>
        <v>19594.562346615272</v>
      </c>
      <c r="CQ9" s="39">
        <f>(BS9/CPINormalized[2015])*100</f>
        <v>19942.817599818718</v>
      </c>
      <c r="CR9" s="39">
        <f>(BT9/CPINormalized[2016])*100</f>
        <v>19727.727478724195</v>
      </c>
      <c r="CS9" s="39">
        <f>(BU9/CPINormalized[2017])*100</f>
        <v>20506.990966563644</v>
      </c>
    </row>
    <row r="10" spans="1:97">
      <c r="A10" s="319" t="s">
        <v>2</v>
      </c>
      <c r="B10" s="367">
        <v>15727</v>
      </c>
      <c r="C10" s="367">
        <v>15948</v>
      </c>
      <c r="D10" s="367">
        <v>16212</v>
      </c>
      <c r="E10" s="367">
        <v>16308</v>
      </c>
      <c r="F10" s="367">
        <v>16522</v>
      </c>
      <c r="G10" s="367">
        <v>16580</v>
      </c>
      <c r="H10" s="367">
        <v>16501</v>
      </c>
      <c r="I10" s="367">
        <v>16608</v>
      </c>
      <c r="J10" s="367">
        <v>16580</v>
      </c>
      <c r="K10" s="367">
        <v>16511</v>
      </c>
      <c r="L10" s="367">
        <v>16861</v>
      </c>
      <c r="M10" s="367">
        <v>16834</v>
      </c>
      <c r="N10" s="367">
        <v>16924</v>
      </c>
      <c r="O10" s="367">
        <v>17036</v>
      </c>
      <c r="P10" s="367">
        <v>17358</v>
      </c>
      <c r="Q10" s="367">
        <v>17289</v>
      </c>
      <c r="R10" s="367">
        <v>17417</v>
      </c>
      <c r="S10" s="611">
        <v>17445</v>
      </c>
      <c r="T10" s="748">
        <v>17335</v>
      </c>
      <c r="U10" s="748">
        <v>17291</v>
      </c>
      <c r="V10" s="748">
        <v>17350</v>
      </c>
      <c r="W10" s="892">
        <v>17555</v>
      </c>
      <c r="X10" s="742"/>
      <c r="Y10" s="742"/>
      <c r="Z10" s="367" t="s">
        <v>2</v>
      </c>
      <c r="AA10" s="367">
        <v>328005</v>
      </c>
      <c r="AB10" s="367">
        <v>359773</v>
      </c>
      <c r="AC10" s="367">
        <v>380722</v>
      </c>
      <c r="AD10" s="367">
        <v>409227</v>
      </c>
      <c r="AE10" s="367">
        <v>436007</v>
      </c>
      <c r="AF10" s="367">
        <v>454533</v>
      </c>
      <c r="AG10" s="367">
        <v>455127</v>
      </c>
      <c r="AH10" s="367">
        <v>473110</v>
      </c>
      <c r="AI10" s="367">
        <v>521685</v>
      </c>
      <c r="AJ10" s="367">
        <v>541017</v>
      </c>
      <c r="AK10" s="367">
        <v>595894</v>
      </c>
      <c r="AL10" s="367">
        <v>654227</v>
      </c>
      <c r="AM10" s="367">
        <v>717043</v>
      </c>
      <c r="AN10" s="367">
        <v>737063</v>
      </c>
      <c r="AO10" s="367">
        <v>745156</v>
      </c>
      <c r="AP10" s="367">
        <v>788196</v>
      </c>
      <c r="AQ10" s="415">
        <v>818034</v>
      </c>
      <c r="AR10" s="8">
        <v>860394</v>
      </c>
      <c r="AS10" s="684">
        <v>684832</v>
      </c>
      <c r="AT10" s="684">
        <v>679765</v>
      </c>
      <c r="AU10" s="683">
        <v>711634</v>
      </c>
      <c r="AV10" s="8">
        <v>751037</v>
      </c>
      <c r="AW10" s="684"/>
      <c r="AX10" s="683"/>
      <c r="AY10" s="367" t="s">
        <v>2</v>
      </c>
      <c r="AZ10" s="39">
        <f t="shared" si="0"/>
        <v>20856.170916258663</v>
      </c>
      <c r="BA10" s="39">
        <f t="shared" si="1"/>
        <v>22559.129671432154</v>
      </c>
      <c r="BB10" s="39">
        <f t="shared" si="2"/>
        <v>23483.962496915865</v>
      </c>
      <c r="BC10" s="39">
        <f t="shared" si="3"/>
        <v>25093.635025754233</v>
      </c>
      <c r="BD10" s="39">
        <f t="shared" si="4"/>
        <v>26389.480692410121</v>
      </c>
      <c r="BE10" s="39">
        <f t="shared" si="5"/>
        <v>27414.53558504222</v>
      </c>
      <c r="BF10" s="39">
        <f t="shared" si="6"/>
        <v>27581.782922247137</v>
      </c>
      <c r="BG10" s="39">
        <f t="shared" si="7"/>
        <v>28486.873795761079</v>
      </c>
      <c r="BH10" s="39">
        <f t="shared" si="8"/>
        <v>31464.716525934862</v>
      </c>
      <c r="BI10" s="39">
        <f t="shared" si="9"/>
        <v>32767.064381321547</v>
      </c>
      <c r="BJ10" s="39">
        <f t="shared" si="10"/>
        <v>35341.557440246725</v>
      </c>
      <c r="BK10" s="39">
        <f t="shared" si="11"/>
        <v>38863.431151241537</v>
      </c>
      <c r="BL10" s="39">
        <f t="shared" si="12"/>
        <v>42368.411722996927</v>
      </c>
      <c r="BM10" s="39">
        <f t="shared" si="13"/>
        <v>43265.027001643582</v>
      </c>
      <c r="BN10" s="39">
        <f t="shared" si="14"/>
        <v>42928.678419172713</v>
      </c>
      <c r="BO10" s="39">
        <f t="shared" si="15"/>
        <v>45589.449939267746</v>
      </c>
      <c r="BP10" s="39">
        <f t="shared" si="16"/>
        <v>46967.560429465462</v>
      </c>
      <c r="BQ10" s="39">
        <f t="shared" si="17"/>
        <v>49320.378331900261</v>
      </c>
      <c r="BR10" s="39">
        <f t="shared" si="18"/>
        <v>39505.739832708394</v>
      </c>
      <c r="BS10" s="39">
        <f t="shared" si="19"/>
        <v>39313.226534035042</v>
      </c>
      <c r="BT10" s="39">
        <f t="shared" si="20"/>
        <v>41016.368876080691</v>
      </c>
      <c r="BU10" s="39">
        <f t="shared" si="21"/>
        <v>42781.94246653375</v>
      </c>
      <c r="BW10" s="367" t="s">
        <v>2</v>
      </c>
      <c r="BX10" s="39">
        <f>(AZ10/CPINormalized[1996])*100</f>
        <v>20856.170916258663</v>
      </c>
      <c r="BY10" s="39">
        <f>(BA10/CPINormalized[1997])*100</f>
        <v>22053.130501231804</v>
      </c>
      <c r="BZ10" s="39">
        <f>(BB10/CPINormalized[1998])*100</f>
        <v>22605.114820650917</v>
      </c>
      <c r="CA10" s="39">
        <f>(BC10/CPINormalized[1999])*100</f>
        <v>23632.601053666502</v>
      </c>
      <c r="CB10" s="39">
        <f>(BD10/CPINormalized[2000])*100</f>
        <v>24044.770735418981</v>
      </c>
      <c r="CC10" s="39">
        <f>(BE10/CPINormalized[2001])*100</f>
        <v>24287.637680932381</v>
      </c>
      <c r="CD10" s="39">
        <f>(BF10/CPINormalized[2002])*100</f>
        <v>24055.484938858121</v>
      </c>
      <c r="CE10" s="39">
        <f>(BG10/CPINormalized[2003])*100</f>
        <v>24291.252709537574</v>
      </c>
      <c r="CF10" s="39">
        <f>(BH10/CPINormalized[2004])*100</f>
        <v>26134.536913283115</v>
      </c>
      <c r="CG10" s="39">
        <f>(BI10/CPINormalized[2005])*100</f>
        <v>26324.385055961851</v>
      </c>
      <c r="CH10" s="39">
        <f>(BJ10/CPINormalized[2006])*100</f>
        <v>27505.408543525351</v>
      </c>
      <c r="CI10" s="39">
        <f>(BK10/CPINormalized[2007])*100</f>
        <v>29408.765940474179</v>
      </c>
      <c r="CJ10" s="39">
        <f>(BL10/CPINormalized[2008])*100</f>
        <v>30875.57441994872</v>
      </c>
      <c r="CK10" s="39">
        <f>(BM10/CPINormalized[2009])*100</f>
        <v>31641.54778223746</v>
      </c>
      <c r="CL10" s="39">
        <f>(BN10/CPINormalized[2010])*100</f>
        <v>30888.898466303148</v>
      </c>
      <c r="CM10" s="39">
        <f>(BO10/CPINormalized[2011])*100</f>
        <v>31799.664333313074</v>
      </c>
      <c r="CN10" s="39">
        <f>(BP10/CPINormalized[2012])*100</f>
        <v>32096.702141097459</v>
      </c>
      <c r="CO10" s="39">
        <f>(BQ10/CPINormalized[2013])*100</f>
        <v>33218.007444614894</v>
      </c>
      <c r="CP10" s="39">
        <f>(BR10/CPINormalized[2014])*100</f>
        <v>26182.965749830815</v>
      </c>
      <c r="CQ10" s="39">
        <f>(BS10/CPINormalized[2015])*100</f>
        <v>26024.484501913783</v>
      </c>
      <c r="CR10" s="39">
        <f>(BT10/CPINormalized[2016])*100</f>
        <v>26813.669087389364</v>
      </c>
      <c r="CS10" s="39">
        <f>(BU10/CPINormalized[2017])*100</f>
        <v>27384.492383318968</v>
      </c>
    </row>
    <row r="11" spans="1:97">
      <c r="A11" s="319" t="s">
        <v>3</v>
      </c>
      <c r="B11" s="367">
        <v>6952</v>
      </c>
      <c r="C11" s="367">
        <v>6733</v>
      </c>
      <c r="D11" s="367">
        <v>6629</v>
      </c>
      <c r="E11" s="367">
        <v>6548</v>
      </c>
      <c r="F11" s="367">
        <v>6389</v>
      </c>
      <c r="G11" s="367">
        <v>6344</v>
      </c>
      <c r="H11" s="367">
        <v>6189</v>
      </c>
      <c r="I11" s="367">
        <v>6193</v>
      </c>
      <c r="J11" s="367">
        <v>6153</v>
      </c>
      <c r="K11" s="367">
        <v>6053</v>
      </c>
      <c r="L11" s="367">
        <v>5908</v>
      </c>
      <c r="M11" s="367">
        <v>5909</v>
      </c>
      <c r="N11" s="367">
        <v>5798</v>
      </c>
      <c r="O11" s="367">
        <v>5781</v>
      </c>
      <c r="P11" s="367">
        <v>5646</v>
      </c>
      <c r="Q11" s="367">
        <v>5576</v>
      </c>
      <c r="R11" s="367">
        <v>5517</v>
      </c>
      <c r="S11" s="611">
        <v>5449</v>
      </c>
      <c r="T11" s="748">
        <v>5363</v>
      </c>
      <c r="U11" s="748">
        <v>5301</v>
      </c>
      <c r="V11" s="748">
        <v>5293</v>
      </c>
      <c r="W11" s="892">
        <v>5275</v>
      </c>
      <c r="X11" s="742"/>
      <c r="Y11" s="742"/>
      <c r="Z11" s="367" t="s">
        <v>3</v>
      </c>
      <c r="AA11" s="367">
        <v>153694</v>
      </c>
      <c r="AB11" s="367">
        <v>156417</v>
      </c>
      <c r="AC11" s="367">
        <v>154287</v>
      </c>
      <c r="AD11" s="367">
        <v>153616</v>
      </c>
      <c r="AE11" s="367">
        <v>168271</v>
      </c>
      <c r="AF11" s="367">
        <v>175287</v>
      </c>
      <c r="AG11" s="367">
        <v>162116</v>
      </c>
      <c r="AH11" s="367">
        <v>176580</v>
      </c>
      <c r="AI11" s="367">
        <v>195177</v>
      </c>
      <c r="AJ11" s="367">
        <v>186013</v>
      </c>
      <c r="AK11" s="367">
        <v>185238</v>
      </c>
      <c r="AL11" s="367">
        <v>201308</v>
      </c>
      <c r="AM11" s="367">
        <v>218605</v>
      </c>
      <c r="AN11" s="367">
        <v>228678</v>
      </c>
      <c r="AO11" s="367">
        <v>214225</v>
      </c>
      <c r="AP11" s="367">
        <v>234710</v>
      </c>
      <c r="AQ11" s="415">
        <v>217443</v>
      </c>
      <c r="AR11" s="8">
        <v>253928</v>
      </c>
      <c r="AS11" s="684">
        <v>269516</v>
      </c>
      <c r="AT11" s="684">
        <v>217125</v>
      </c>
      <c r="AU11" s="683">
        <v>248063</v>
      </c>
      <c r="AV11" s="8">
        <v>242517</v>
      </c>
      <c r="AW11" s="684"/>
      <c r="AX11" s="683"/>
      <c r="AY11" s="367" t="s">
        <v>3</v>
      </c>
      <c r="AZ11" s="39">
        <f t="shared" si="0"/>
        <v>22107.882623705409</v>
      </c>
      <c r="BA11" s="39">
        <f t="shared" si="1"/>
        <v>23231.397593940295</v>
      </c>
      <c r="BB11" s="39">
        <f t="shared" si="2"/>
        <v>23274.551214361138</v>
      </c>
      <c r="BC11" s="39">
        <f t="shared" si="3"/>
        <v>23459.987782529017</v>
      </c>
      <c r="BD11" s="39">
        <f t="shared" si="4"/>
        <v>26337.611519799655</v>
      </c>
      <c r="BE11" s="39">
        <f t="shared" si="5"/>
        <v>27630.359394703657</v>
      </c>
      <c r="BF11" s="39">
        <f t="shared" si="6"/>
        <v>26194.215543706578</v>
      </c>
      <c r="BG11" s="39">
        <f t="shared" si="7"/>
        <v>28512.837074115934</v>
      </c>
      <c r="BH11" s="39">
        <f t="shared" si="8"/>
        <v>31720.6240858118</v>
      </c>
      <c r="BI11" s="39">
        <f t="shared" si="9"/>
        <v>30730.712043614738</v>
      </c>
      <c r="BJ11" s="39">
        <f t="shared" si="10"/>
        <v>31353.75761679079</v>
      </c>
      <c r="BK11" s="39">
        <f t="shared" si="11"/>
        <v>34068.031815874092</v>
      </c>
      <c r="BL11" s="39">
        <f t="shared" si="12"/>
        <v>37703.518454639532</v>
      </c>
      <c r="BM11" s="39">
        <f t="shared" si="13"/>
        <v>39556.824078879086</v>
      </c>
      <c r="BN11" s="39">
        <f t="shared" si="14"/>
        <v>37942.791356712718</v>
      </c>
      <c r="BO11" s="39">
        <f t="shared" si="15"/>
        <v>42092.898134863703</v>
      </c>
      <c r="BP11" s="39">
        <f t="shared" si="16"/>
        <v>39413.268080478527</v>
      </c>
      <c r="BQ11" s="39">
        <f t="shared" si="17"/>
        <v>46600.844191594791</v>
      </c>
      <c r="BR11" s="39">
        <f t="shared" si="18"/>
        <v>50254.708185716947</v>
      </c>
      <c r="BS11" s="39">
        <f t="shared" si="19"/>
        <v>40959.252971137525</v>
      </c>
      <c r="BT11" s="39">
        <f t="shared" si="20"/>
        <v>46866.2384281126</v>
      </c>
      <c r="BU11" s="39">
        <f t="shared" si="21"/>
        <v>45974.78672985782</v>
      </c>
      <c r="BW11" s="367" t="s">
        <v>3</v>
      </c>
      <c r="BX11" s="39">
        <f>(AZ11/CPINormalized[1996])*100</f>
        <v>22107.882623705409</v>
      </c>
      <c r="BY11" s="39">
        <f>(BA11/CPINormalized[1997])*100</f>
        <v>22710.319517066866</v>
      </c>
      <c r="BZ11" s="39">
        <f>(BB11/CPINormalized[1998])*100</f>
        <v>22403.540402044557</v>
      </c>
      <c r="CA11" s="39">
        <f>(BC11/CPINormalized[1999])*100</f>
        <v>22094.070126523427</v>
      </c>
      <c r="CB11" s="39">
        <f>(BD11/CPINormalized[2000])*100</f>
        <v>23997.510147831399</v>
      </c>
      <c r="CC11" s="39">
        <f>(BE11/CPINormalized[2001])*100</f>
        <v>24478.844658548864</v>
      </c>
      <c r="CD11" s="39">
        <f>(BF11/CPINormalized[2002])*100</f>
        <v>22845.31639137055</v>
      </c>
      <c r="CE11" s="39">
        <f>(BG11/CPINormalized[2003])*100</f>
        <v>24313.392048526035</v>
      </c>
      <c r="CF11" s="39">
        <f>(BH11/CPINormalized[2004])*100</f>
        <v>26347.093271910388</v>
      </c>
      <c r="CG11" s="39">
        <f>(BI11/CPINormalized[2005])*100</f>
        <v>24688.421503549165</v>
      </c>
      <c r="CH11" s="39">
        <f>(BJ11/CPINormalized[2006])*100</f>
        <v>24401.808383305928</v>
      </c>
      <c r="CI11" s="39">
        <f>(BK11/CPINormalized[2007])*100</f>
        <v>25779.987614234669</v>
      </c>
      <c r="CJ11" s="39">
        <f>(BL11/CPINormalized[2008])*100</f>
        <v>27476.078111001443</v>
      </c>
      <c r="CK11" s="39">
        <f>(BM11/CPINormalized[2009])*100</f>
        <v>28929.581834257631</v>
      </c>
      <c r="CL11" s="39">
        <f>(BN11/CPINormalized[2010])*100</f>
        <v>27301.353614980671</v>
      </c>
      <c r="CM11" s="39">
        <f>(BO11/CPINormalized[2011])*100</f>
        <v>29360.740989157573</v>
      </c>
      <c r="CN11" s="39">
        <f>(BP11/CPINormalized[2012])*100</f>
        <v>26934.248115486815</v>
      </c>
      <c r="CO11" s="39">
        <f>(BQ11/CPINormalized[2013])*100</f>
        <v>31386.360803329473</v>
      </c>
      <c r="CP11" s="39">
        <f>(BR11/CPINormalized[2014])*100</f>
        <v>33306.990547863403</v>
      </c>
      <c r="CQ11" s="39">
        <f>(BS11/CPINormalized[2015])*100</f>
        <v>27114.117515500908</v>
      </c>
      <c r="CR11" s="39">
        <f>(BT11/CPINormalized[2016])*100</f>
        <v>30637.909766677079</v>
      </c>
      <c r="CS11" s="39">
        <f>(BU11/CPINormalized[2017])*100</f>
        <v>29428.214906636309</v>
      </c>
    </row>
    <row r="12" spans="1:97">
      <c r="A12" s="319" t="s">
        <v>4</v>
      </c>
      <c r="B12" s="367">
        <v>24993</v>
      </c>
      <c r="C12" s="367">
        <v>25233</v>
      </c>
      <c r="D12" s="367">
        <v>25650</v>
      </c>
      <c r="E12" s="367">
        <v>25810</v>
      </c>
      <c r="F12" s="367">
        <v>25862</v>
      </c>
      <c r="G12" s="367">
        <v>25784</v>
      </c>
      <c r="H12" s="367">
        <v>25800</v>
      </c>
      <c r="I12" s="367">
        <v>25728</v>
      </c>
      <c r="J12" s="367">
        <v>25555</v>
      </c>
      <c r="K12" s="367">
        <v>25725</v>
      </c>
      <c r="L12" s="367">
        <v>25869</v>
      </c>
      <c r="M12" s="367">
        <v>25658</v>
      </c>
      <c r="N12" s="367">
        <v>25774</v>
      </c>
      <c r="O12" s="367">
        <v>25628</v>
      </c>
      <c r="P12" s="367">
        <v>25468</v>
      </c>
      <c r="Q12" s="367">
        <v>25593</v>
      </c>
      <c r="R12" s="367">
        <v>25621</v>
      </c>
      <c r="S12" s="611">
        <v>25661</v>
      </c>
      <c r="T12" s="748">
        <v>25952</v>
      </c>
      <c r="U12" s="748">
        <v>26082</v>
      </c>
      <c r="V12" s="748">
        <v>26021</v>
      </c>
      <c r="W12" s="892">
        <v>25641</v>
      </c>
      <c r="X12" s="742"/>
      <c r="Y12" s="742"/>
      <c r="Z12" s="367" t="s">
        <v>4</v>
      </c>
      <c r="AA12" s="367">
        <v>497623</v>
      </c>
      <c r="AB12" s="367">
        <v>531513</v>
      </c>
      <c r="AC12" s="367">
        <v>568549</v>
      </c>
      <c r="AD12" s="367">
        <v>548680</v>
      </c>
      <c r="AE12" s="367">
        <v>605320</v>
      </c>
      <c r="AF12" s="367">
        <v>609788</v>
      </c>
      <c r="AG12" s="367">
        <v>587782</v>
      </c>
      <c r="AH12" s="367">
        <v>606148</v>
      </c>
      <c r="AI12" s="367">
        <v>661218</v>
      </c>
      <c r="AJ12" s="367">
        <v>647337</v>
      </c>
      <c r="AK12" s="367">
        <v>705313</v>
      </c>
      <c r="AL12" s="367">
        <v>754600</v>
      </c>
      <c r="AM12" s="367">
        <v>804928</v>
      </c>
      <c r="AN12" s="367">
        <v>786305</v>
      </c>
      <c r="AO12" s="367">
        <v>796035</v>
      </c>
      <c r="AP12" s="367">
        <v>814898</v>
      </c>
      <c r="AQ12" s="415">
        <v>823465</v>
      </c>
      <c r="AR12" s="8">
        <v>905764</v>
      </c>
      <c r="AS12" s="684">
        <v>967579</v>
      </c>
      <c r="AT12" s="684">
        <v>949663</v>
      </c>
      <c r="AU12" s="683">
        <v>944928</v>
      </c>
      <c r="AV12" s="8">
        <v>980213</v>
      </c>
      <c r="AW12" s="684"/>
      <c r="AX12" s="683"/>
      <c r="AY12" s="367" t="s">
        <v>4</v>
      </c>
      <c r="AZ12" s="39">
        <f t="shared" si="0"/>
        <v>19910.494938582804</v>
      </c>
      <c r="BA12" s="39">
        <f t="shared" si="1"/>
        <v>21064.201640708598</v>
      </c>
      <c r="BB12" s="39">
        <f t="shared" si="2"/>
        <v>22165.653021442493</v>
      </c>
      <c r="BC12" s="39">
        <f t="shared" si="3"/>
        <v>21258.426966292136</v>
      </c>
      <c r="BD12" s="39">
        <f t="shared" si="4"/>
        <v>23405.769082050883</v>
      </c>
      <c r="BE12" s="39">
        <f t="shared" si="5"/>
        <v>23649.860378529323</v>
      </c>
      <c r="BF12" s="39">
        <f t="shared" si="6"/>
        <v>22782.248062015504</v>
      </c>
      <c r="BG12" s="39">
        <f t="shared" si="7"/>
        <v>23559.856965174131</v>
      </c>
      <c r="BH12" s="39">
        <f t="shared" si="8"/>
        <v>25874.310311093719</v>
      </c>
      <c r="BI12" s="39">
        <f t="shared" si="9"/>
        <v>25163.731778425656</v>
      </c>
      <c r="BJ12" s="39">
        <f t="shared" si="10"/>
        <v>27264.795701418687</v>
      </c>
      <c r="BK12" s="39">
        <f t="shared" si="11"/>
        <v>29409.930625925637</v>
      </c>
      <c r="BL12" s="39">
        <f t="shared" si="12"/>
        <v>31230.232016761078</v>
      </c>
      <c r="BM12" s="39">
        <f t="shared" si="13"/>
        <v>30681.481192445761</v>
      </c>
      <c r="BN12" s="39">
        <f t="shared" si="14"/>
        <v>31256.282393591959</v>
      </c>
      <c r="BO12" s="39">
        <f t="shared" si="15"/>
        <v>31840.659555347167</v>
      </c>
      <c r="BP12" s="39">
        <f t="shared" si="16"/>
        <v>32140.236524725806</v>
      </c>
      <c r="BQ12" s="39">
        <f t="shared" si="17"/>
        <v>35297.299403764468</v>
      </c>
      <c r="BR12" s="39">
        <f t="shared" si="18"/>
        <v>37283.4078298397</v>
      </c>
      <c r="BS12" s="39">
        <f t="shared" si="19"/>
        <v>36410.666359941722</v>
      </c>
      <c r="BT12" s="39">
        <f t="shared" si="20"/>
        <v>36314.054033280809</v>
      </c>
      <c r="BU12" s="39">
        <f t="shared" si="21"/>
        <v>38228.345228345228</v>
      </c>
      <c r="BW12" s="367" t="s">
        <v>4</v>
      </c>
      <c r="BX12" s="39">
        <f>(AZ12/CPINormalized[1996])*100</f>
        <v>19910.494938582804</v>
      </c>
      <c r="BY12" s="39">
        <f>(BA12/CPINormalized[1997])*100</f>
        <v>20591.733566524479</v>
      </c>
      <c r="BZ12" s="39">
        <f>(BB12/CPINormalized[1998])*100</f>
        <v>21336.140853155386</v>
      </c>
      <c r="CA12" s="39">
        <f>(BC12/CPINormalized[1999])*100</f>
        <v>20020.691422636472</v>
      </c>
      <c r="CB12" s="39">
        <f>(BD12/CPINormalized[2000])*100</f>
        <v>21326.162421450546</v>
      </c>
      <c r="CC12" s="39">
        <f>(BE12/CPINormalized[2001])*100</f>
        <v>20952.360775783462</v>
      </c>
      <c r="CD12" s="39">
        <f>(BF12/CPINormalized[2002])*100</f>
        <v>19869.564874542702</v>
      </c>
      <c r="CE12" s="39">
        <f>(BG12/CPINormalized[2003])*100</f>
        <v>20089.899770846856</v>
      </c>
      <c r="CF12" s="39">
        <f>(BH12/CPINormalized[2004])*100</f>
        <v>21491.155573375356</v>
      </c>
      <c r="CG12" s="39">
        <f>(BI12/CPINormalized[2005])*100</f>
        <v>20216.024147644574</v>
      </c>
      <c r="CH12" s="39">
        <f>(BJ12/CPINormalized[2006])*100</f>
        <v>21219.476416431506</v>
      </c>
      <c r="CI12" s="39">
        <f>(BK12/CPINormalized[2007])*100</f>
        <v>22255.105647711185</v>
      </c>
      <c r="CJ12" s="39">
        <f>(BL12/CPINormalized[2008])*100</f>
        <v>22758.732592810196</v>
      </c>
      <c r="CK12" s="39">
        <f>(BM12/CPINormalized[2009])*100</f>
        <v>22438.66745174371</v>
      </c>
      <c r="CL12" s="39">
        <f>(BN12/CPINormalized[2010])*100</f>
        <v>22490.14339231472</v>
      </c>
      <c r="CM12" s="39">
        <f>(BO12/CPINormalized[2011])*100</f>
        <v>22209.574525689059</v>
      </c>
      <c r="CN12" s="39">
        <f>(BP12/CPINormalized[2012])*100</f>
        <v>21964.002154801427</v>
      </c>
      <c r="CO12" s="39">
        <f>(BQ12/CPINormalized[2013])*100</f>
        <v>23773.255478266998</v>
      </c>
      <c r="CP12" s="39">
        <f>(BR12/CPINormalized[2014])*100</f>
        <v>24710.085025099055</v>
      </c>
      <c r="CQ12" s="39">
        <f>(BS12/CPINormalized[2015])*100</f>
        <v>24103.054008256186</v>
      </c>
      <c r="CR12" s="39">
        <f>(BT12/CPINormalized[2016])*100</f>
        <v>23739.620418661783</v>
      </c>
      <c r="CS12" s="39">
        <f>(BU12/CPINormalized[2017])*100</f>
        <v>24469.759164194544</v>
      </c>
    </row>
    <row r="13" spans="1:97">
      <c r="A13" s="319" t="s">
        <v>5</v>
      </c>
      <c r="B13" s="367">
        <v>32695</v>
      </c>
      <c r="C13" s="367">
        <v>33175</v>
      </c>
      <c r="D13" s="367">
        <v>33679</v>
      </c>
      <c r="E13" s="367">
        <v>33769</v>
      </c>
      <c r="F13" s="367">
        <v>33971</v>
      </c>
      <c r="G13" s="367">
        <v>33981</v>
      </c>
      <c r="H13" s="367">
        <v>34111</v>
      </c>
      <c r="I13" s="367">
        <v>34555</v>
      </c>
      <c r="J13" s="367">
        <v>34849</v>
      </c>
      <c r="K13" s="367">
        <v>35241</v>
      </c>
      <c r="L13" s="367">
        <v>35756</v>
      </c>
      <c r="M13" s="367">
        <v>35844</v>
      </c>
      <c r="N13" s="367">
        <v>35935</v>
      </c>
      <c r="O13" s="367">
        <v>35640</v>
      </c>
      <c r="P13" s="367">
        <v>35755</v>
      </c>
      <c r="Q13" s="367">
        <v>35525</v>
      </c>
      <c r="R13" s="367">
        <v>35546</v>
      </c>
      <c r="S13" s="611">
        <v>35572</v>
      </c>
      <c r="T13" s="748">
        <v>35706</v>
      </c>
      <c r="U13" s="748">
        <v>35766</v>
      </c>
      <c r="V13" s="748">
        <v>35732</v>
      </c>
      <c r="W13" s="892">
        <v>35668</v>
      </c>
      <c r="X13" s="742"/>
      <c r="Y13" s="742"/>
      <c r="Z13" s="367" t="s">
        <v>5</v>
      </c>
      <c r="AA13" s="367">
        <v>555650</v>
      </c>
      <c r="AB13" s="367">
        <v>591649</v>
      </c>
      <c r="AC13" s="367">
        <v>632264</v>
      </c>
      <c r="AD13" s="367">
        <v>661368</v>
      </c>
      <c r="AE13" s="367">
        <v>717136</v>
      </c>
      <c r="AF13" s="367">
        <v>753810</v>
      </c>
      <c r="AG13" s="367">
        <v>765959</v>
      </c>
      <c r="AH13" s="367">
        <v>786133</v>
      </c>
      <c r="AI13" s="367">
        <v>866911</v>
      </c>
      <c r="AJ13" s="367">
        <v>902093</v>
      </c>
      <c r="AK13" s="367">
        <v>934564</v>
      </c>
      <c r="AL13" s="367">
        <v>977776</v>
      </c>
      <c r="AM13" s="367">
        <v>1017232</v>
      </c>
      <c r="AN13" s="367">
        <v>997093</v>
      </c>
      <c r="AO13" s="367">
        <v>1028573</v>
      </c>
      <c r="AP13" s="367">
        <v>1068446</v>
      </c>
      <c r="AQ13" s="415">
        <v>1076651</v>
      </c>
      <c r="AR13" s="8">
        <v>1163336</v>
      </c>
      <c r="AS13" s="684">
        <v>1144224</v>
      </c>
      <c r="AT13" s="684">
        <v>1173474</v>
      </c>
      <c r="AU13" s="683">
        <v>1149084</v>
      </c>
      <c r="AV13" s="8">
        <v>1186934</v>
      </c>
      <c r="AW13" s="684"/>
      <c r="AX13" s="683"/>
      <c r="AY13" s="367" t="s">
        <v>5</v>
      </c>
      <c r="AZ13" s="39">
        <f t="shared" si="0"/>
        <v>16994.953356782382</v>
      </c>
      <c r="BA13" s="39">
        <f t="shared" si="1"/>
        <v>17834.182366239638</v>
      </c>
      <c r="BB13" s="39">
        <f t="shared" si="2"/>
        <v>18773.241485792332</v>
      </c>
      <c r="BC13" s="39">
        <f t="shared" si="3"/>
        <v>19585.063223666675</v>
      </c>
      <c r="BD13" s="39">
        <f t="shared" si="4"/>
        <v>21110.241087986811</v>
      </c>
      <c r="BE13" s="39">
        <f t="shared" si="5"/>
        <v>22183.278891145052</v>
      </c>
      <c r="BF13" s="39">
        <f t="shared" si="6"/>
        <v>22454.897247222303</v>
      </c>
      <c r="BG13" s="39">
        <f t="shared" si="7"/>
        <v>22750.195340761107</v>
      </c>
      <c r="BH13" s="39">
        <f t="shared" si="8"/>
        <v>24876.208786478808</v>
      </c>
      <c r="BI13" s="39">
        <f t="shared" si="9"/>
        <v>25597.82639539173</v>
      </c>
      <c r="BJ13" s="39">
        <f t="shared" si="10"/>
        <v>26137.263676026399</v>
      </c>
      <c r="BK13" s="39">
        <f t="shared" si="11"/>
        <v>27278.65193616784</v>
      </c>
      <c r="BL13" s="39">
        <f t="shared" si="12"/>
        <v>28307.555308195355</v>
      </c>
      <c r="BM13" s="39">
        <f t="shared" si="13"/>
        <v>27976.795735129068</v>
      </c>
      <c r="BN13" s="39">
        <f t="shared" si="14"/>
        <v>28767.249335757235</v>
      </c>
      <c r="BO13" s="39">
        <f t="shared" si="15"/>
        <v>30075.89021815623</v>
      </c>
      <c r="BP13" s="39">
        <f t="shared" si="16"/>
        <v>30288.949530186237</v>
      </c>
      <c r="BQ13" s="39">
        <f t="shared" si="17"/>
        <v>32703.699538963228</v>
      </c>
      <c r="BR13" s="39">
        <f t="shared" si="18"/>
        <v>32045.706603932111</v>
      </c>
      <c r="BS13" s="39">
        <f t="shared" si="19"/>
        <v>32809.763462506293</v>
      </c>
      <c r="BT13" s="39">
        <f t="shared" si="20"/>
        <v>32158.401432889284</v>
      </c>
      <c r="BU13" s="39">
        <f t="shared" si="21"/>
        <v>33277.279354042839</v>
      </c>
      <c r="BW13" s="367" t="s">
        <v>5</v>
      </c>
      <c r="BX13" s="39">
        <f>(AZ13/CPINormalized[1996])*100</f>
        <v>16994.953356782382</v>
      </c>
      <c r="BY13" s="39">
        <f>(BA13/CPINormalized[1997])*100</f>
        <v>17434.163322510896</v>
      </c>
      <c r="BZ13" s="39">
        <f>(BB13/CPINormalized[1998])*100</f>
        <v>18070.684595833234</v>
      </c>
      <c r="CA13" s="39">
        <f>(BC13/CPINormalized[1999])*100</f>
        <v>18444.75642132834</v>
      </c>
      <c r="CB13" s="39">
        <f>(BD13/CPINormalized[2000])*100</f>
        <v>19234.592489576837</v>
      </c>
      <c r="CC13" s="39">
        <f>(BE13/CPINormalized[2001])*100</f>
        <v>19653.057357541831</v>
      </c>
      <c r="CD13" s="39">
        <f>(BF13/CPINormalized[2002])*100</f>
        <v>19584.065470201109</v>
      </c>
      <c r="CE13" s="39">
        <f>(BG13/CPINormalized[2003])*100</f>
        <v>19399.487222638141</v>
      </c>
      <c r="CF13" s="39">
        <f>(BH13/CPINormalized[2004])*100</f>
        <v>20662.13424350728</v>
      </c>
      <c r="CG13" s="39">
        <f>(BI13/CPINormalized[2005])*100</f>
        <v>20564.766827634216</v>
      </c>
      <c r="CH13" s="39">
        <f>(BJ13/CPINormalized[2006])*100</f>
        <v>20341.947771669358</v>
      </c>
      <c r="CI13" s="39">
        <f>(BK13/CPINormalized[2007])*100</f>
        <v>20642.322774858611</v>
      </c>
      <c r="CJ13" s="39">
        <f>(BL13/CPINormalized[2008])*100</f>
        <v>20628.859922322736</v>
      </c>
      <c r="CK13" s="39">
        <f>(BM13/CPINormalized[2009])*100</f>
        <v>20460.616354483143</v>
      </c>
      <c r="CL13" s="39">
        <f>(BN13/CPINormalized[2010])*100</f>
        <v>20699.184708424946</v>
      </c>
      <c r="CM13" s="39">
        <f>(BO13/CPINormalized[2011])*100</f>
        <v>20978.608312603472</v>
      </c>
      <c r="CN13" s="39">
        <f>(BP13/CPINormalized[2012])*100</f>
        <v>20698.869226923263</v>
      </c>
      <c r="CO13" s="39">
        <f>(BQ13/CPINormalized[2013])*100</f>
        <v>22026.427442246124</v>
      </c>
      <c r="CP13" s="39">
        <f>(BR13/CPINormalized[2014])*100</f>
        <v>21238.727384753267</v>
      </c>
      <c r="CQ13" s="39">
        <f>(BS13/CPINormalized[2015])*100</f>
        <v>21719.336112039382</v>
      </c>
      <c r="CR13" s="39">
        <f>(BT13/CPINormalized[2016])*100</f>
        <v>21022.941767616478</v>
      </c>
      <c r="CS13" s="39">
        <f>(BU13/CPINormalized[2017])*100</f>
        <v>21300.608398536722</v>
      </c>
    </row>
    <row r="14" spans="1:97">
      <c r="A14" s="319" t="s">
        <v>6</v>
      </c>
      <c r="B14" s="367">
        <v>12131</v>
      </c>
      <c r="C14" s="367">
        <v>12198</v>
      </c>
      <c r="D14" s="367">
        <v>12391</v>
      </c>
      <c r="E14" s="367">
        <v>12494</v>
      </c>
      <c r="F14" s="367">
        <v>12542</v>
      </c>
      <c r="G14" s="367">
        <v>12684</v>
      </c>
      <c r="H14" s="367">
        <v>12780</v>
      </c>
      <c r="I14" s="367">
        <v>12924</v>
      </c>
      <c r="J14" s="367">
        <v>12941</v>
      </c>
      <c r="K14" s="367">
        <v>12976</v>
      </c>
      <c r="L14" s="367">
        <v>12972</v>
      </c>
      <c r="M14" s="367">
        <v>12769</v>
      </c>
      <c r="N14" s="367">
        <v>12589</v>
      </c>
      <c r="O14" s="367">
        <v>12454</v>
      </c>
      <c r="P14" s="367">
        <v>12377</v>
      </c>
      <c r="Q14" s="367">
        <v>12384</v>
      </c>
      <c r="R14" s="367">
        <v>12337</v>
      </c>
      <c r="S14" s="611">
        <v>12275</v>
      </c>
      <c r="T14" s="748">
        <v>12024</v>
      </c>
      <c r="U14" s="748">
        <v>11877</v>
      </c>
      <c r="V14" s="748">
        <v>11908</v>
      </c>
      <c r="W14" s="892">
        <v>11850</v>
      </c>
      <c r="X14" s="742"/>
      <c r="Y14" s="742"/>
      <c r="Z14" s="367" t="s">
        <v>6</v>
      </c>
      <c r="AA14" s="367">
        <v>222046</v>
      </c>
      <c r="AB14" s="367">
        <v>236554</v>
      </c>
      <c r="AC14" s="367">
        <v>235532</v>
      </c>
      <c r="AD14" s="367">
        <v>243100</v>
      </c>
      <c r="AE14" s="367">
        <v>256944</v>
      </c>
      <c r="AF14" s="367">
        <v>277220</v>
      </c>
      <c r="AG14" s="367">
        <v>273307</v>
      </c>
      <c r="AH14" s="367">
        <v>293215</v>
      </c>
      <c r="AI14" s="367">
        <v>317422</v>
      </c>
      <c r="AJ14" s="367">
        <v>317638</v>
      </c>
      <c r="AK14" s="367">
        <v>318950</v>
      </c>
      <c r="AL14" s="367">
        <v>332546</v>
      </c>
      <c r="AM14" s="367">
        <v>372873</v>
      </c>
      <c r="AN14" s="367">
        <v>368184</v>
      </c>
      <c r="AO14" s="367">
        <v>364447</v>
      </c>
      <c r="AP14" s="367">
        <v>359349</v>
      </c>
      <c r="AQ14" s="415">
        <v>372581</v>
      </c>
      <c r="AR14" s="8">
        <v>414395</v>
      </c>
      <c r="AS14" s="684">
        <v>412096</v>
      </c>
      <c r="AT14" s="684">
        <v>390204</v>
      </c>
      <c r="AU14" s="683">
        <v>392083</v>
      </c>
      <c r="AV14" s="8">
        <v>409881</v>
      </c>
      <c r="AW14" s="684"/>
      <c r="AX14" s="683"/>
      <c r="AY14" s="367" t="s">
        <v>6</v>
      </c>
      <c r="AZ14" s="39">
        <f t="shared" si="0"/>
        <v>18304.014508284559</v>
      </c>
      <c r="BA14" s="39">
        <f t="shared" si="1"/>
        <v>19392.851287096244</v>
      </c>
      <c r="BB14" s="39">
        <f t="shared" si="2"/>
        <v>19008.312484868049</v>
      </c>
      <c r="BC14" s="39">
        <f t="shared" si="3"/>
        <v>19457.339522971026</v>
      </c>
      <c r="BD14" s="39">
        <f t="shared" si="4"/>
        <v>20486.684739276032</v>
      </c>
      <c r="BE14" s="39">
        <f t="shared" si="5"/>
        <v>21855.881425417847</v>
      </c>
      <c r="BF14" s="39">
        <f t="shared" si="6"/>
        <v>21385.524256651017</v>
      </c>
      <c r="BG14" s="39">
        <f t="shared" si="7"/>
        <v>22687.635406994737</v>
      </c>
      <c r="BH14" s="39">
        <f t="shared" si="8"/>
        <v>24528.398114519743</v>
      </c>
      <c r="BI14" s="39">
        <f t="shared" si="9"/>
        <v>24478.884093711469</v>
      </c>
      <c r="BJ14" s="39">
        <f t="shared" si="10"/>
        <v>24587.573234659267</v>
      </c>
      <c r="BK14" s="39">
        <f t="shared" si="11"/>
        <v>26043.229696922233</v>
      </c>
      <c r="BL14" s="39">
        <f t="shared" si="12"/>
        <v>29618.95305425371</v>
      </c>
      <c r="BM14" s="39">
        <f t="shared" si="13"/>
        <v>29563.513730528346</v>
      </c>
      <c r="BN14" s="39">
        <f t="shared" si="14"/>
        <v>29445.50375696857</v>
      </c>
      <c r="BO14" s="39">
        <f t="shared" si="15"/>
        <v>29017.199612403099</v>
      </c>
      <c r="BP14" s="39">
        <f t="shared" si="16"/>
        <v>30200.291805139012</v>
      </c>
      <c r="BQ14" s="39">
        <f t="shared" si="17"/>
        <v>33759.266802443992</v>
      </c>
      <c r="BR14" s="39">
        <f t="shared" si="18"/>
        <v>34272.787757817699</v>
      </c>
      <c r="BS14" s="39">
        <f t="shared" si="19"/>
        <v>32853.750947208893</v>
      </c>
      <c r="BT14" s="39">
        <f t="shared" si="20"/>
        <v>32926.016123614376</v>
      </c>
      <c r="BU14" s="39">
        <f t="shared" si="21"/>
        <v>34589.113924050638</v>
      </c>
      <c r="BW14" s="367" t="s">
        <v>6</v>
      </c>
      <c r="BX14" s="39">
        <f>(AZ14/CPINormalized[1996])*100</f>
        <v>18304.014508284559</v>
      </c>
      <c r="BY14" s="39">
        <f>(BA14/CPINormalized[1997])*100</f>
        <v>18957.871445142682</v>
      </c>
      <c r="BZ14" s="39">
        <f>(BB14/CPINormalized[1998])*100</f>
        <v>18296.958459360721</v>
      </c>
      <c r="CA14" s="39">
        <f>(BC14/CPINormalized[1999])*100</f>
        <v>18324.46921461077</v>
      </c>
      <c r="CB14" s="39">
        <f>(BD14/CPINormalized[2000])*100</f>
        <v>18666.439231082521</v>
      </c>
      <c r="CC14" s="39">
        <f>(BE14/CPINormalized[2001])*100</f>
        <v>19363.002798690344</v>
      </c>
      <c r="CD14" s="39">
        <f>(BF14/CPINormalized[2002])*100</f>
        <v>18651.410538457723</v>
      </c>
      <c r="CE14" s="39">
        <f>(BG14/CPINormalized[2003])*100</f>
        <v>19346.141279116709</v>
      </c>
      <c r="CF14" s="39">
        <f>(BH14/CPINormalized[2004])*100</f>
        <v>20373.243325400465</v>
      </c>
      <c r="CG14" s="39">
        <f>(BI14/CPINormalized[2005])*100</f>
        <v>19665.831614456372</v>
      </c>
      <c r="CH14" s="39">
        <f>(BJ14/CPINormalized[2006])*100</f>
        <v>19135.864288283923</v>
      </c>
      <c r="CI14" s="39">
        <f>(BK14/CPINormalized[2007])*100</f>
        <v>19707.453094149274</v>
      </c>
      <c r="CJ14" s="39">
        <f>(BL14/CPINormalized[2008])*100</f>
        <v>21584.528474811814</v>
      </c>
      <c r="CK14" s="39">
        <f>(BM14/CPINormalized[2009])*100</f>
        <v>21621.05046831035</v>
      </c>
      <c r="CL14" s="39">
        <f>(BN14/CPINormalized[2010])*100</f>
        <v>21187.215850370405</v>
      </c>
      <c r="CM14" s="39">
        <f>(BO14/CPINormalized[2011])*100</f>
        <v>20240.147858690783</v>
      </c>
      <c r="CN14" s="39">
        <f>(BP14/CPINormalized[2012])*100</f>
        <v>20638.282290592571</v>
      </c>
      <c r="CO14" s="39">
        <f>(BQ14/CPINormalized[2013])*100</f>
        <v>22737.367674306686</v>
      </c>
      <c r="CP14" s="39">
        <f>(BR14/CPINormalized[2014])*100</f>
        <v>22714.755673837517</v>
      </c>
      <c r="CQ14" s="39">
        <f>(BS14/CPINormalized[2015])*100</f>
        <v>21748.454851833732</v>
      </c>
      <c r="CR14" s="39">
        <f>(BT14/CPINormalized[2016])*100</f>
        <v>21524.755235451863</v>
      </c>
      <c r="CS14" s="39">
        <f>(BU14/CPINormalized[2017])*100</f>
        <v>22140.306685229869</v>
      </c>
    </row>
    <row r="15" spans="1:97">
      <c r="A15" s="319" t="s">
        <v>7</v>
      </c>
      <c r="B15" s="367">
        <v>15927</v>
      </c>
      <c r="C15" s="367">
        <v>16013</v>
      </c>
      <c r="D15" s="367">
        <v>16130</v>
      </c>
      <c r="E15" s="367">
        <v>16407</v>
      </c>
      <c r="F15" s="367">
        <v>16700</v>
      </c>
      <c r="G15" s="367">
        <v>16801</v>
      </c>
      <c r="H15" s="367">
        <v>17009</v>
      </c>
      <c r="I15" s="367">
        <v>17109</v>
      </c>
      <c r="J15" s="367">
        <v>17088</v>
      </c>
      <c r="K15" s="367">
        <v>17117</v>
      </c>
      <c r="L15" s="367">
        <v>17193</v>
      </c>
      <c r="M15" s="367">
        <v>17189</v>
      </c>
      <c r="N15" s="367">
        <v>17194</v>
      </c>
      <c r="O15" s="367">
        <v>17044</v>
      </c>
      <c r="P15" s="367">
        <v>17050</v>
      </c>
      <c r="Q15" s="367">
        <v>17017</v>
      </c>
      <c r="R15" s="367">
        <v>16709</v>
      </c>
      <c r="S15" s="611">
        <v>16550</v>
      </c>
      <c r="T15" s="748">
        <v>16551</v>
      </c>
      <c r="U15" s="748">
        <v>16410</v>
      </c>
      <c r="V15" s="748">
        <v>16417</v>
      </c>
      <c r="W15" s="892">
        <v>16334</v>
      </c>
      <c r="X15" s="742"/>
      <c r="Y15" s="742"/>
      <c r="Z15" s="367" t="s">
        <v>7</v>
      </c>
      <c r="AA15" s="367">
        <v>291506</v>
      </c>
      <c r="AB15" s="367">
        <v>311778</v>
      </c>
      <c r="AC15" s="367">
        <v>322205</v>
      </c>
      <c r="AD15" s="367">
        <v>340424</v>
      </c>
      <c r="AE15" s="367">
        <v>369355</v>
      </c>
      <c r="AF15" s="367">
        <v>422469</v>
      </c>
      <c r="AG15" s="367">
        <v>403662</v>
      </c>
      <c r="AH15" s="367">
        <v>424449</v>
      </c>
      <c r="AI15" s="367">
        <v>472212</v>
      </c>
      <c r="AJ15" s="367">
        <v>470711</v>
      </c>
      <c r="AK15" s="367">
        <v>486900</v>
      </c>
      <c r="AL15" s="367">
        <v>512706</v>
      </c>
      <c r="AM15" s="367">
        <v>563828</v>
      </c>
      <c r="AN15" s="367">
        <v>559590</v>
      </c>
      <c r="AO15" s="367">
        <v>545366</v>
      </c>
      <c r="AP15" s="367">
        <v>557168</v>
      </c>
      <c r="AQ15" s="415">
        <v>565474</v>
      </c>
      <c r="AR15" s="8">
        <v>589331</v>
      </c>
      <c r="AS15" s="684">
        <v>543240</v>
      </c>
      <c r="AT15" s="684">
        <v>554598</v>
      </c>
      <c r="AU15" s="683">
        <v>539413</v>
      </c>
      <c r="AV15" s="8">
        <v>604970</v>
      </c>
      <c r="AW15" s="684"/>
      <c r="AX15" s="683"/>
      <c r="AY15" s="367" t="s">
        <v>7</v>
      </c>
      <c r="AZ15" s="39">
        <f t="shared" si="0"/>
        <v>18302.630752809695</v>
      </c>
      <c r="BA15" s="39">
        <f t="shared" si="1"/>
        <v>19470.305376881286</v>
      </c>
      <c r="BB15" s="39">
        <f t="shared" si="2"/>
        <v>19975.511469311841</v>
      </c>
      <c r="BC15" s="39">
        <f t="shared" si="3"/>
        <v>20748.70482111294</v>
      </c>
      <c r="BD15" s="39">
        <f t="shared" si="4"/>
        <v>22117.065868263475</v>
      </c>
      <c r="BE15" s="39">
        <f t="shared" si="5"/>
        <v>25145.467531694543</v>
      </c>
      <c r="BF15" s="39">
        <f t="shared" si="6"/>
        <v>23732.259392086544</v>
      </c>
      <c r="BG15" s="39">
        <f t="shared" si="7"/>
        <v>24808.521830615464</v>
      </c>
      <c r="BH15" s="39">
        <f t="shared" si="8"/>
        <v>27634.129213483146</v>
      </c>
      <c r="BI15" s="39">
        <f t="shared" si="9"/>
        <v>27499.620260559677</v>
      </c>
      <c r="BJ15" s="39">
        <f t="shared" si="10"/>
        <v>28319.664979933696</v>
      </c>
      <c r="BK15" s="39">
        <f t="shared" si="11"/>
        <v>29827.564139856884</v>
      </c>
      <c r="BL15" s="39">
        <f t="shared" si="12"/>
        <v>32792.136791904159</v>
      </c>
      <c r="BM15" s="39">
        <f t="shared" si="13"/>
        <v>32832.081670969259</v>
      </c>
      <c r="BN15" s="39">
        <f t="shared" si="14"/>
        <v>31986.275659824045</v>
      </c>
      <c r="BO15" s="39">
        <f t="shared" si="15"/>
        <v>32741.846388905211</v>
      </c>
      <c r="BP15" s="39">
        <f t="shared" si="16"/>
        <v>33842.480100544621</v>
      </c>
      <c r="BQ15" s="39">
        <f t="shared" si="17"/>
        <v>35609.123867069487</v>
      </c>
      <c r="BR15" s="39">
        <f t="shared" si="18"/>
        <v>32822.185970636216</v>
      </c>
      <c r="BS15" s="39">
        <f t="shared" si="19"/>
        <v>33796.343692870199</v>
      </c>
      <c r="BT15" s="39">
        <f t="shared" si="20"/>
        <v>32856.977523299021</v>
      </c>
      <c r="BU15" s="39">
        <f t="shared" si="21"/>
        <v>37037.467858454751</v>
      </c>
      <c r="BW15" s="367" t="s">
        <v>7</v>
      </c>
      <c r="BX15" s="39">
        <f>(AZ15/CPINormalized[1996])*100</f>
        <v>18302.630752809695</v>
      </c>
      <c r="BY15" s="39">
        <f>(BA15/CPINormalized[1997])*100</f>
        <v>19033.588246932544</v>
      </c>
      <c r="BZ15" s="39">
        <f>(BB15/CPINormalized[1998])*100</f>
        <v>19227.961653589129</v>
      </c>
      <c r="CA15" s="39">
        <f>(BC15/CPINormalized[1999])*100</f>
        <v>19540.646977386677</v>
      </c>
      <c r="CB15" s="39">
        <f>(BD15/CPINormalized[2000])*100</f>
        <v>20151.960712720906</v>
      </c>
      <c r="CC15" s="39">
        <f>(BE15/CPINormalized[2001])*100</f>
        <v>22277.37919662831</v>
      </c>
      <c r="CD15" s="39">
        <f>(BF15/CPINormalized[2002])*100</f>
        <v>20698.118391430678</v>
      </c>
      <c r="CE15" s="39">
        <f>(BG15/CPINormalized[2003])*100</f>
        <v>21154.658017519385</v>
      </c>
      <c r="CF15" s="39">
        <f>(BH15/CPINormalized[2004])*100</f>
        <v>22952.857986212315</v>
      </c>
      <c r="CG15" s="39">
        <f>(BI15/CPINormalized[2005])*100</f>
        <v>22092.628872922753</v>
      </c>
      <c r="CH15" s="39">
        <f>(BJ15/CPINormalized[2006])*100</f>
        <v>22040.453548371017</v>
      </c>
      <c r="CI15" s="39">
        <f>(BK15/CPINormalized[2007])*100</f>
        <v>22571.137606194334</v>
      </c>
      <c r="CJ15" s="39">
        <f>(BL15/CPINormalized[2008])*100</f>
        <v>23896.955744461353</v>
      </c>
      <c r="CK15" s="39">
        <f>(BM15/CPINormalized[2009])*100</f>
        <v>24011.492722351282</v>
      </c>
      <c r="CL15" s="39">
        <f>(BN15/CPINormalized[2010])*100</f>
        <v>23015.402699427636</v>
      </c>
      <c r="CM15" s="39">
        <f>(BO15/CPINormalized[2011])*100</f>
        <v>22838.172564202865</v>
      </c>
      <c r="CN15" s="39">
        <f>(BP15/CPINormalized[2012])*100</f>
        <v>23127.281757256071</v>
      </c>
      <c r="CO15" s="39">
        <f>(BQ15/CPINormalized[2013])*100</f>
        <v>23983.273886353287</v>
      </c>
      <c r="CP15" s="39">
        <f>(BR15/CPINormalized[2014])*100</f>
        <v>21753.349633316535</v>
      </c>
      <c r="CQ15" s="39">
        <f>(BS15/CPINormalized[2015])*100</f>
        <v>22372.430354832501</v>
      </c>
      <c r="CR15" s="39">
        <f>(BT15/CPINormalized[2016])*100</f>
        <v>21479.6225668652</v>
      </c>
      <c r="CS15" s="39">
        <f>(BU15/CPINormalized[2017])*100</f>
        <v>23707.48493387545</v>
      </c>
    </row>
    <row r="16" spans="1:97">
      <c r="A16" s="319" t="s">
        <v>8</v>
      </c>
      <c r="B16" s="367">
        <v>15916</v>
      </c>
      <c r="C16" s="367">
        <v>16271</v>
      </c>
      <c r="D16" s="367">
        <v>16571</v>
      </c>
      <c r="E16" s="367">
        <v>16949</v>
      </c>
      <c r="F16" s="367">
        <v>17202</v>
      </c>
      <c r="G16" s="367">
        <v>17399</v>
      </c>
      <c r="H16" s="367">
        <v>17588</v>
      </c>
      <c r="I16" s="367">
        <v>17996</v>
      </c>
      <c r="J16" s="367">
        <v>18336</v>
      </c>
      <c r="K16" s="367">
        <v>18688</v>
      </c>
      <c r="L16" s="367">
        <v>18749</v>
      </c>
      <c r="M16" s="367">
        <v>19025</v>
      </c>
      <c r="N16" s="367">
        <v>19046</v>
      </c>
      <c r="O16" s="367">
        <v>18996</v>
      </c>
      <c r="P16" s="367">
        <v>19108</v>
      </c>
      <c r="Q16" s="367">
        <v>18994</v>
      </c>
      <c r="R16" s="367">
        <v>18962</v>
      </c>
      <c r="S16" s="611">
        <v>18932</v>
      </c>
      <c r="T16" s="748">
        <v>18794</v>
      </c>
      <c r="U16" s="748">
        <v>18687</v>
      </c>
      <c r="V16" s="748">
        <v>18839</v>
      </c>
      <c r="W16" s="892">
        <v>19074</v>
      </c>
      <c r="X16" s="742"/>
      <c r="Y16" s="742"/>
      <c r="Z16" s="367" t="s">
        <v>8</v>
      </c>
      <c r="AA16" s="367">
        <v>259221</v>
      </c>
      <c r="AB16" s="367">
        <v>282226</v>
      </c>
      <c r="AC16" s="367">
        <v>298396</v>
      </c>
      <c r="AD16" s="367">
        <v>317419</v>
      </c>
      <c r="AE16" s="367">
        <v>343231</v>
      </c>
      <c r="AF16" s="367">
        <v>374875</v>
      </c>
      <c r="AG16" s="367">
        <v>377206</v>
      </c>
      <c r="AH16" s="367">
        <v>385536</v>
      </c>
      <c r="AI16" s="367">
        <v>425553</v>
      </c>
      <c r="AJ16" s="367">
        <v>435868</v>
      </c>
      <c r="AK16" s="367">
        <v>456813</v>
      </c>
      <c r="AL16" s="367">
        <v>483123</v>
      </c>
      <c r="AM16" s="367">
        <v>511329</v>
      </c>
      <c r="AN16" s="367">
        <v>527850</v>
      </c>
      <c r="AO16" s="367">
        <v>542271</v>
      </c>
      <c r="AP16" s="367">
        <v>552352</v>
      </c>
      <c r="AQ16" s="415">
        <v>567852</v>
      </c>
      <c r="AR16" s="8">
        <v>598851</v>
      </c>
      <c r="AS16" s="684">
        <v>615415</v>
      </c>
      <c r="AT16" s="684">
        <v>640759</v>
      </c>
      <c r="AU16" s="683">
        <v>621016</v>
      </c>
      <c r="AV16" s="8">
        <v>643474</v>
      </c>
      <c r="AW16" s="684"/>
      <c r="AX16" s="683"/>
      <c r="AY16" s="367" t="s">
        <v>8</v>
      </c>
      <c r="AZ16" s="39">
        <f t="shared" si="0"/>
        <v>16286.818296054285</v>
      </c>
      <c r="BA16" s="39">
        <f t="shared" si="1"/>
        <v>17345.33833200172</v>
      </c>
      <c r="BB16" s="39">
        <f t="shared" si="2"/>
        <v>18007.1208738157</v>
      </c>
      <c r="BC16" s="39">
        <f t="shared" si="3"/>
        <v>18727.889551005959</v>
      </c>
      <c r="BD16" s="39">
        <f t="shared" si="4"/>
        <v>19952.970584815721</v>
      </c>
      <c r="BE16" s="39">
        <f t="shared" si="5"/>
        <v>21545.778493016842</v>
      </c>
      <c r="BF16" s="39">
        <f t="shared" si="6"/>
        <v>21446.781896747783</v>
      </c>
      <c r="BG16" s="39">
        <f t="shared" si="7"/>
        <v>21423.427428317402</v>
      </c>
      <c r="BH16" s="39">
        <f t="shared" si="8"/>
        <v>23208.606020942407</v>
      </c>
      <c r="BI16" s="39">
        <f t="shared" si="9"/>
        <v>23323.41609589041</v>
      </c>
      <c r="BJ16" s="39">
        <f t="shared" si="10"/>
        <v>24364.65944850392</v>
      </c>
      <c r="BK16" s="39">
        <f t="shared" si="11"/>
        <v>25394.113009198423</v>
      </c>
      <c r="BL16" s="39">
        <f t="shared" si="12"/>
        <v>26847.054499632472</v>
      </c>
      <c r="BM16" s="39">
        <f t="shared" si="13"/>
        <v>27787.428932406823</v>
      </c>
      <c r="BN16" s="39">
        <f t="shared" si="14"/>
        <v>28379.265229223362</v>
      </c>
      <c r="BO16" s="39">
        <f t="shared" si="15"/>
        <v>29080.341160366432</v>
      </c>
      <c r="BP16" s="39">
        <f t="shared" si="16"/>
        <v>29946.841050522096</v>
      </c>
      <c r="BQ16" s="39">
        <f t="shared" si="17"/>
        <v>31631.681808578069</v>
      </c>
      <c r="BR16" s="39">
        <f t="shared" si="18"/>
        <v>32745.29105033521</v>
      </c>
      <c r="BS16" s="39">
        <f t="shared" si="19"/>
        <v>34289.02445550383</v>
      </c>
      <c r="BT16" s="39">
        <f t="shared" si="20"/>
        <v>32964.382398216461</v>
      </c>
      <c r="BU16" s="39">
        <f t="shared" si="21"/>
        <v>33735.661109363537</v>
      </c>
      <c r="BW16" s="367" t="s">
        <v>8</v>
      </c>
      <c r="BX16" s="39">
        <f>(AZ16/CPINormalized[1996])*100</f>
        <v>16286.818296054287</v>
      </c>
      <c r="BY16" s="39">
        <f>(BA16/CPINormalized[1997])*100</f>
        <v>16956.284014274577</v>
      </c>
      <c r="BZ16" s="39">
        <f>(BB16/CPINormalized[1998])*100</f>
        <v>17333.234755225054</v>
      </c>
      <c r="CA16" s="39">
        <f>(BC16/CPINormalized[1999])*100</f>
        <v>17637.490219404772</v>
      </c>
      <c r="CB16" s="39">
        <f>(BD16/CPINormalized[2000])*100</f>
        <v>18180.145672227569</v>
      </c>
      <c r="CC16" s="39">
        <f>(BE16/CPINormalized[2001])*100</f>
        <v>19088.270161232875</v>
      </c>
      <c r="CD16" s="39">
        <f>(BF16/CPINormalized[2002])*100</f>
        <v>18704.836462477637</v>
      </c>
      <c r="CE16" s="39">
        <f>(BG16/CPINormalized[2003])*100</f>
        <v>18268.129149472828</v>
      </c>
      <c r="CF16" s="39">
        <f>(BH16/CPINormalized[2004])*100</f>
        <v>19277.026387961163</v>
      </c>
      <c r="CG16" s="39">
        <f>(BI16/CPINormalized[2005])*100</f>
        <v>18737.552408833617</v>
      </c>
      <c r="CH16" s="39">
        <f>(BJ16/CPINormalized[2006])*100</f>
        <v>18962.376326737427</v>
      </c>
      <c r="CI16" s="39">
        <f>(BK16/CPINormalized[2007])*100</f>
        <v>19216.253007799831</v>
      </c>
      <c r="CJ16" s="39">
        <f>(BL16/CPINormalized[2008])*100</f>
        <v>19564.53394050401</v>
      </c>
      <c r="CK16" s="39">
        <f>(BM16/CPINormalized[2009])*100</f>
        <v>20322.124386444437</v>
      </c>
      <c r="CL16" s="39">
        <f>(BN16/CPINormalized[2010])*100</f>
        <v>20420.014649746601</v>
      </c>
      <c r="CM16" s="39">
        <f>(BO16/CPINormalized[2011])*100</f>
        <v>20284.190505254726</v>
      </c>
      <c r="CN16" s="39">
        <f>(BP16/CPINormalized[2012])*100</f>
        <v>20465.07905619013</v>
      </c>
      <c r="CO16" s="39">
        <f>(BQ16/CPINormalized[2013])*100</f>
        <v>21304.407576359154</v>
      </c>
      <c r="CP16" s="39">
        <f>(BR16/CPINormalized[2014])*100</f>
        <v>21702.386480288573</v>
      </c>
      <c r="CQ16" s="39">
        <f>(BS16/CPINormalized[2015])*100</f>
        <v>22698.574098349702</v>
      </c>
      <c r="CR16" s="39">
        <f>(BT16/CPINormalized[2016])*100</f>
        <v>21549.836455937377</v>
      </c>
      <c r="CS16" s="39">
        <f>(BU16/CPINormalized[2017])*100</f>
        <v>21594.01610663813</v>
      </c>
    </row>
    <row r="17" spans="1:97">
      <c r="A17" s="319" t="s">
        <v>9</v>
      </c>
      <c r="B17" s="367">
        <v>11420</v>
      </c>
      <c r="C17" s="367">
        <v>11513</v>
      </c>
      <c r="D17" s="367">
        <v>11617</v>
      </c>
      <c r="E17" s="367">
        <v>11891</v>
      </c>
      <c r="F17" s="367">
        <v>12047</v>
      </c>
      <c r="G17" s="367">
        <v>12294</v>
      </c>
      <c r="H17" s="367">
        <v>12367</v>
      </c>
      <c r="I17" s="367">
        <v>12400</v>
      </c>
      <c r="J17" s="367">
        <v>12427</v>
      </c>
      <c r="K17" s="367">
        <v>12466</v>
      </c>
      <c r="L17" s="367">
        <v>12496</v>
      </c>
      <c r="M17" s="367">
        <v>12554</v>
      </c>
      <c r="N17" s="367">
        <v>12429</v>
      </c>
      <c r="O17" s="367">
        <v>12412</v>
      </c>
      <c r="P17" s="367">
        <v>12339</v>
      </c>
      <c r="Q17" s="367">
        <v>12383</v>
      </c>
      <c r="R17" s="367">
        <v>12382</v>
      </c>
      <c r="S17" s="611">
        <v>12490</v>
      </c>
      <c r="T17" s="748">
        <v>12368</v>
      </c>
      <c r="U17" s="748">
        <v>12161</v>
      </c>
      <c r="V17" s="748">
        <v>12052</v>
      </c>
      <c r="W17" s="892">
        <v>12306</v>
      </c>
      <c r="X17" s="742"/>
      <c r="Y17" s="742"/>
      <c r="Z17" s="367" t="s">
        <v>9</v>
      </c>
      <c r="AA17" s="367">
        <v>166526</v>
      </c>
      <c r="AB17" s="367">
        <v>182273</v>
      </c>
      <c r="AC17" s="367">
        <v>190749</v>
      </c>
      <c r="AD17" s="367">
        <v>200464</v>
      </c>
      <c r="AE17" s="367">
        <v>224451</v>
      </c>
      <c r="AF17" s="367">
        <v>235497</v>
      </c>
      <c r="AG17" s="367">
        <v>240162</v>
      </c>
      <c r="AH17" s="367">
        <v>250030</v>
      </c>
      <c r="AI17" s="367">
        <v>271657</v>
      </c>
      <c r="AJ17" s="367">
        <v>279976</v>
      </c>
      <c r="AK17" s="367">
        <v>285401</v>
      </c>
      <c r="AL17" s="367">
        <v>295609</v>
      </c>
      <c r="AM17" s="367">
        <v>317028</v>
      </c>
      <c r="AN17" s="367">
        <v>351247</v>
      </c>
      <c r="AO17" s="367">
        <v>333972</v>
      </c>
      <c r="AP17" s="367">
        <v>334384</v>
      </c>
      <c r="AQ17" s="415">
        <v>351967</v>
      </c>
      <c r="AR17" s="8">
        <v>370691</v>
      </c>
      <c r="AS17" s="684">
        <v>354537</v>
      </c>
      <c r="AT17" s="684">
        <v>357529</v>
      </c>
      <c r="AU17" s="683">
        <v>367076</v>
      </c>
      <c r="AV17" s="8">
        <v>387365</v>
      </c>
      <c r="AW17" s="684"/>
      <c r="AX17" s="683"/>
      <c r="AY17" s="367" t="s">
        <v>9</v>
      </c>
      <c r="AZ17" s="39">
        <f t="shared" si="0"/>
        <v>14581.961471103326</v>
      </c>
      <c r="BA17" s="39">
        <f t="shared" si="1"/>
        <v>15831.929123599408</v>
      </c>
      <c r="BB17" s="39">
        <f t="shared" si="2"/>
        <v>16419.815787208405</v>
      </c>
      <c r="BC17" s="39">
        <f t="shared" si="3"/>
        <v>16858.464384828865</v>
      </c>
      <c r="BD17" s="39">
        <f t="shared" si="4"/>
        <v>18631.27749647215</v>
      </c>
      <c r="BE17" s="39">
        <f t="shared" si="5"/>
        <v>19155.441678867737</v>
      </c>
      <c r="BF17" s="39">
        <f t="shared" si="6"/>
        <v>19419.584377779574</v>
      </c>
      <c r="BG17" s="39">
        <f t="shared" si="7"/>
        <v>20163.709677419356</v>
      </c>
      <c r="BH17" s="39">
        <f t="shared" si="8"/>
        <v>21860.223706445642</v>
      </c>
      <c r="BI17" s="39">
        <f t="shared" si="9"/>
        <v>22459.168939515483</v>
      </c>
      <c r="BJ17" s="39">
        <f t="shared" si="10"/>
        <v>22839.388604353393</v>
      </c>
      <c r="BK17" s="39">
        <f t="shared" si="11"/>
        <v>23546.996973076311</v>
      </c>
      <c r="BL17" s="39">
        <f t="shared" si="12"/>
        <v>25507.120444122618</v>
      </c>
      <c r="BM17" s="39">
        <f t="shared" si="13"/>
        <v>28298.98485336771</v>
      </c>
      <c r="BN17" s="39">
        <f t="shared" si="14"/>
        <v>27066.374908825677</v>
      </c>
      <c r="BO17" s="39">
        <f t="shared" si="15"/>
        <v>27003.472502624565</v>
      </c>
      <c r="BP17" s="39">
        <f t="shared" si="16"/>
        <v>28425.698594734291</v>
      </c>
      <c r="BQ17" s="39">
        <f t="shared" si="17"/>
        <v>29679.023218574857</v>
      </c>
      <c r="BR17" s="39">
        <f t="shared" si="18"/>
        <v>28665.669469598964</v>
      </c>
      <c r="BS17" s="39">
        <f t="shared" si="19"/>
        <v>29399.638187649041</v>
      </c>
      <c r="BT17" s="39">
        <f t="shared" si="20"/>
        <v>30457.683372054431</v>
      </c>
      <c r="BU17" s="39">
        <f t="shared" si="21"/>
        <v>31477.734438485291</v>
      </c>
      <c r="BW17" s="367" t="s">
        <v>9</v>
      </c>
      <c r="BX17" s="39">
        <f>(AZ17/CPINormalized[1996])*100</f>
        <v>14581.961471103326</v>
      </c>
      <c r="BY17" s="39">
        <f>(BA17/CPINormalized[1997])*100</f>
        <v>15476.820432976616</v>
      </c>
      <c r="BZ17" s="39">
        <f>(BB17/CPINormalized[1998])*100</f>
        <v>15805.331883515331</v>
      </c>
      <c r="CA17" s="39">
        <f>(BC17/CPINormalized[1999])*100</f>
        <v>15876.909135532109</v>
      </c>
      <c r="CB17" s="39">
        <f>(BD17/CPINormalized[2000])*100</f>
        <v>16975.885245043442</v>
      </c>
      <c r="CC17" s="39">
        <f>(BE17/CPINormalized[2001])*100</f>
        <v>16970.57481318096</v>
      </c>
      <c r="CD17" s="39">
        <f>(BF17/CPINormalized[2002])*100</f>
        <v>16936.813723588744</v>
      </c>
      <c r="CE17" s="39">
        <f>(BG17/CPINormalized[2003])*100</f>
        <v>17193.945915147269</v>
      </c>
      <c r="CF17" s="39">
        <f>(BH17/CPINormalized[2004])*100</f>
        <v>18157.062464485556</v>
      </c>
      <c r="CG17" s="39">
        <f>(BI17/CPINormalized[2005])*100</f>
        <v>18043.234032821194</v>
      </c>
      <c r="CH17" s="39">
        <f>(BJ17/CPINormalized[2006])*100</f>
        <v>17775.297976304799</v>
      </c>
      <c r="CI17" s="39">
        <f>(BK17/CPINormalized[2007])*100</f>
        <v>17818.501919898878</v>
      </c>
      <c r="CJ17" s="39">
        <f>(BL17/CPINormalized[2008])*100</f>
        <v>18588.06982570071</v>
      </c>
      <c r="CK17" s="39">
        <f>(BM17/CPINormalized[2009])*100</f>
        <v>20696.246910758488</v>
      </c>
      <c r="CL17" s="39">
        <f>(BN17/CPINormalized[2010])*100</f>
        <v>19475.337634345069</v>
      </c>
      <c r="CM17" s="39">
        <f>(BO17/CPINormalized[2011])*100</f>
        <v>18835.528012758103</v>
      </c>
      <c r="CN17" s="39">
        <f>(BP17/CPINormalized[2012])*100</f>
        <v>19425.560378380142</v>
      </c>
      <c r="CO17" s="39">
        <f>(BQ17/CPINormalized[2013])*100</f>
        <v>19989.263009887643</v>
      </c>
      <c r="CP17" s="39">
        <f>(BR17/CPINormalized[2014])*100</f>
        <v>18998.561857005603</v>
      </c>
      <c r="CQ17" s="39">
        <f>(BS17/CPINormalized[2015])*100</f>
        <v>19461.908772966224</v>
      </c>
      <c r="CR17" s="39">
        <f>(BT17/CPINormalized[2016])*100</f>
        <v>19911.129763195822</v>
      </c>
      <c r="CS17" s="39">
        <f>(BU17/CPINormalized[2017])*100</f>
        <v>20148.729330117258</v>
      </c>
    </row>
    <row r="18" spans="1:97">
      <c r="A18" s="319" t="s">
        <v>10</v>
      </c>
      <c r="B18" s="367">
        <v>40666</v>
      </c>
      <c r="C18" s="367">
        <v>40771</v>
      </c>
      <c r="D18" s="367">
        <v>40924</v>
      </c>
      <c r="E18" s="367">
        <v>40945</v>
      </c>
      <c r="F18" s="367">
        <v>40826</v>
      </c>
      <c r="G18" s="367">
        <v>40837</v>
      </c>
      <c r="H18" s="367">
        <v>41068</v>
      </c>
      <c r="I18" s="367">
        <v>41131</v>
      </c>
      <c r="J18" s="367">
        <v>41476</v>
      </c>
      <c r="K18" s="367">
        <v>41995</v>
      </c>
      <c r="L18" s="367">
        <v>42246</v>
      </c>
      <c r="M18" s="367">
        <v>42109</v>
      </c>
      <c r="N18" s="367">
        <v>42351</v>
      </c>
      <c r="O18" s="367">
        <v>42683</v>
      </c>
      <c r="P18" s="367">
        <v>42820</v>
      </c>
      <c r="Q18" s="367">
        <v>43055</v>
      </c>
      <c r="R18" s="367">
        <v>43053</v>
      </c>
      <c r="S18" s="611">
        <v>43083</v>
      </c>
      <c r="T18" s="748">
        <v>42865</v>
      </c>
      <c r="U18" s="748">
        <v>42859</v>
      </c>
      <c r="V18" s="748">
        <v>42739</v>
      </c>
      <c r="W18" s="892">
        <v>42666</v>
      </c>
      <c r="X18" s="742"/>
      <c r="Y18" s="742"/>
      <c r="Z18" s="367" t="s">
        <v>10</v>
      </c>
      <c r="AA18" s="367">
        <v>762059</v>
      </c>
      <c r="AB18" s="367">
        <v>809075</v>
      </c>
      <c r="AC18" s="367">
        <v>855749</v>
      </c>
      <c r="AD18" s="367">
        <v>891717</v>
      </c>
      <c r="AE18" s="367">
        <v>939606</v>
      </c>
      <c r="AF18" s="367">
        <v>967881</v>
      </c>
      <c r="AG18" s="367">
        <v>984961</v>
      </c>
      <c r="AH18" s="367">
        <v>1072029</v>
      </c>
      <c r="AI18" s="367">
        <v>1139337</v>
      </c>
      <c r="AJ18" s="367">
        <v>1172938</v>
      </c>
      <c r="AK18" s="367">
        <v>1204629</v>
      </c>
      <c r="AL18" s="367">
        <v>1268437</v>
      </c>
      <c r="AM18" s="367">
        <v>1403794</v>
      </c>
      <c r="AN18" s="367">
        <v>1420242</v>
      </c>
      <c r="AO18" s="367">
        <v>1440756</v>
      </c>
      <c r="AP18" s="367">
        <v>1506653</v>
      </c>
      <c r="AQ18" s="415">
        <v>1493377</v>
      </c>
      <c r="AR18" s="8">
        <v>1572056</v>
      </c>
      <c r="AS18" s="684">
        <v>1428409</v>
      </c>
      <c r="AT18" s="684">
        <v>1426477</v>
      </c>
      <c r="AU18" s="683">
        <v>1471419</v>
      </c>
      <c r="AV18" s="8">
        <v>1484303</v>
      </c>
      <c r="AW18" s="684"/>
      <c r="AX18" s="683"/>
      <c r="AY18" s="367" t="s">
        <v>10</v>
      </c>
      <c r="AZ18" s="39">
        <f t="shared" si="0"/>
        <v>18739.462942015442</v>
      </c>
      <c r="BA18" s="39">
        <f t="shared" si="1"/>
        <v>19844.374678080007</v>
      </c>
      <c r="BB18" s="39">
        <f t="shared" si="2"/>
        <v>20910.688104779591</v>
      </c>
      <c r="BC18" s="39">
        <f t="shared" si="3"/>
        <v>21778.410062278668</v>
      </c>
      <c r="BD18" s="39">
        <f t="shared" si="4"/>
        <v>23014.892470484494</v>
      </c>
      <c r="BE18" s="39">
        <f t="shared" si="5"/>
        <v>23701.079903029116</v>
      </c>
      <c r="BF18" s="39">
        <f t="shared" si="6"/>
        <v>23983.661244764779</v>
      </c>
      <c r="BG18" s="39">
        <f t="shared" si="7"/>
        <v>26063.771850915371</v>
      </c>
      <c r="BH18" s="39">
        <f t="shared" si="8"/>
        <v>27469.789757932296</v>
      </c>
      <c r="BI18" s="39">
        <f t="shared" si="9"/>
        <v>27930.420288129539</v>
      </c>
      <c r="BJ18" s="39">
        <f t="shared" si="10"/>
        <v>28514.628603891491</v>
      </c>
      <c r="BK18" s="39">
        <f t="shared" si="11"/>
        <v>30122.705359899312</v>
      </c>
      <c r="BL18" s="39">
        <f t="shared" si="12"/>
        <v>33146.655332813862</v>
      </c>
      <c r="BM18" s="39">
        <f t="shared" si="13"/>
        <v>33274.184101398685</v>
      </c>
      <c r="BN18" s="39">
        <f t="shared" si="14"/>
        <v>33646.800560485754</v>
      </c>
      <c r="BO18" s="39">
        <f t="shared" si="15"/>
        <v>34993.68249912902</v>
      </c>
      <c r="BP18" s="39">
        <f t="shared" si="16"/>
        <v>34686.943999256728</v>
      </c>
      <c r="BQ18" s="39">
        <f t="shared" si="17"/>
        <v>36489.009586147666</v>
      </c>
      <c r="BR18" s="39">
        <f t="shared" si="18"/>
        <v>33323.434037093197</v>
      </c>
      <c r="BS18" s="39">
        <f t="shared" si="19"/>
        <v>33283.021069087008</v>
      </c>
      <c r="BT18" s="39">
        <f t="shared" si="20"/>
        <v>34428.016565666017</v>
      </c>
      <c r="BU18" s="39">
        <f t="shared" si="21"/>
        <v>34788.895138986547</v>
      </c>
      <c r="BW18" s="367" t="s">
        <v>10</v>
      </c>
      <c r="BX18" s="39">
        <f>(AZ18/CPINormalized[1996])*100</f>
        <v>18739.462942015442</v>
      </c>
      <c r="BY18" s="39">
        <f>(BA18/CPINormalized[1997])*100</f>
        <v>19399.267208665126</v>
      </c>
      <c r="BZ18" s="39">
        <f>(BB18/CPINormalized[1998])*100</f>
        <v>20128.140881226493</v>
      </c>
      <c r="CA18" s="39">
        <f>(BC18/CPINormalized[1999])*100</f>
        <v>20510.399392386094</v>
      </c>
      <c r="CB18" s="39">
        <f>(BD18/CPINormalized[2000])*100</f>
        <v>20970.015264918802</v>
      </c>
      <c r="CC18" s="39">
        <f>(BE18/CPINormalized[2001])*100</f>
        <v>20997.738208838331</v>
      </c>
      <c r="CD18" s="39">
        <f>(BF18/CPINormalized[2002])*100</f>
        <v>20917.378817696466</v>
      </c>
      <c r="CE18" s="39">
        <f>(BG18/CPINormalized[2003])*100</f>
        <v>22225.031540264248</v>
      </c>
      <c r="CF18" s="39">
        <f>(BH18/CPINormalized[2004])*100</f>
        <v>22816.357930225397</v>
      </c>
      <c r="CG18" s="39">
        <f>(BI18/CPINormalized[2005])*100</f>
        <v>22438.724747606371</v>
      </c>
      <c r="CH18" s="39">
        <f>(BJ18/CPINormalized[2006])*100</f>
        <v>22192.18863070722</v>
      </c>
      <c r="CI18" s="39">
        <f>(BK18/CPINormalized[2007])*100</f>
        <v>22794.477100482305</v>
      </c>
      <c r="CJ18" s="39">
        <f>(BL18/CPINormalized[2008])*100</f>
        <v>24155.307737089104</v>
      </c>
      <c r="CK18" s="39">
        <f>(BM18/CPINormalized[2009])*100</f>
        <v>24334.820965658389</v>
      </c>
      <c r="CL18" s="39">
        <f>(BN18/CPINormalized[2010])*100</f>
        <v>24210.216678010303</v>
      </c>
      <c r="CM18" s="39">
        <f>(BO18/CPINormalized[2011])*100</f>
        <v>24408.878780973257</v>
      </c>
      <c r="CN18" s="39">
        <f>(BP18/CPINormalized[2012])*100</f>
        <v>23704.371688647701</v>
      </c>
      <c r="CO18" s="39">
        <f>(BQ18/CPINormalized[2013])*100</f>
        <v>24575.889988566858</v>
      </c>
      <c r="CP18" s="39">
        <f>(BR18/CPINormalized[2014])*100</f>
        <v>22085.558598691892</v>
      </c>
      <c r="CQ18" s="39">
        <f>(BS18/CPINormalized[2015])*100</f>
        <v>22032.622156806272</v>
      </c>
      <c r="CR18" s="39">
        <f>(BT18/CPINormalized[2016])*100</f>
        <v>22506.659385572078</v>
      </c>
      <c r="CS18" s="39">
        <f>(BU18/CPINormalized[2017])*100</f>
        <v>22268.185571585302</v>
      </c>
    </row>
    <row r="19" spans="1:97">
      <c r="A19" s="319" t="s">
        <v>11</v>
      </c>
      <c r="B19" s="367">
        <v>8599</v>
      </c>
      <c r="C19" s="367">
        <v>8725</v>
      </c>
      <c r="D19" s="367">
        <v>8811</v>
      </c>
      <c r="E19" s="367">
        <v>8920</v>
      </c>
      <c r="F19" s="367">
        <v>8975</v>
      </c>
      <c r="G19" s="367">
        <v>9006</v>
      </c>
      <c r="H19" s="367">
        <v>9041</v>
      </c>
      <c r="I19" s="367">
        <v>9152</v>
      </c>
      <c r="J19" s="367">
        <v>9230</v>
      </c>
      <c r="K19" s="367">
        <v>9273</v>
      </c>
      <c r="L19" s="367">
        <v>9343</v>
      </c>
      <c r="M19" s="367">
        <v>9395</v>
      </c>
      <c r="N19" s="367">
        <v>9359</v>
      </c>
      <c r="O19" s="367">
        <v>9365</v>
      </c>
      <c r="P19" s="367">
        <v>9435</v>
      </c>
      <c r="Q19" s="367">
        <v>9206</v>
      </c>
      <c r="R19" s="367">
        <v>9145</v>
      </c>
      <c r="S19" s="611">
        <v>9097</v>
      </c>
      <c r="T19" s="748">
        <v>9017</v>
      </c>
      <c r="U19" s="748">
        <v>9020</v>
      </c>
      <c r="V19" s="748">
        <v>9062</v>
      </c>
      <c r="W19" s="892">
        <v>9100</v>
      </c>
      <c r="X19" s="742"/>
      <c r="Y19" s="742"/>
      <c r="Z19" s="367" t="s">
        <v>11</v>
      </c>
      <c r="AA19" s="367">
        <v>164754</v>
      </c>
      <c r="AB19" s="367">
        <v>176595</v>
      </c>
      <c r="AC19" s="367">
        <v>188924</v>
      </c>
      <c r="AD19" s="367">
        <v>197945</v>
      </c>
      <c r="AE19" s="367">
        <v>227205</v>
      </c>
      <c r="AF19" s="367">
        <v>237955</v>
      </c>
      <c r="AG19" s="367">
        <v>219806</v>
      </c>
      <c r="AH19" s="367">
        <v>234810</v>
      </c>
      <c r="AI19" s="367">
        <v>261623</v>
      </c>
      <c r="AJ19" s="367">
        <v>270176</v>
      </c>
      <c r="AK19" s="367">
        <v>281023</v>
      </c>
      <c r="AL19" s="367">
        <v>297922</v>
      </c>
      <c r="AM19" s="367">
        <v>318314</v>
      </c>
      <c r="AN19" s="367">
        <v>316870</v>
      </c>
      <c r="AO19" s="367">
        <v>324791</v>
      </c>
      <c r="AP19" s="367">
        <v>346116</v>
      </c>
      <c r="AQ19" s="415">
        <v>341139</v>
      </c>
      <c r="AR19" s="8">
        <v>359815</v>
      </c>
      <c r="AS19" s="684">
        <v>308059</v>
      </c>
      <c r="AT19" s="684">
        <v>295974</v>
      </c>
      <c r="AU19" s="683">
        <v>305627</v>
      </c>
      <c r="AV19" s="8">
        <v>319600</v>
      </c>
      <c r="AW19" s="684"/>
      <c r="AX19" s="683"/>
      <c r="AY19" s="367" t="s">
        <v>11</v>
      </c>
      <c r="AZ19" s="39">
        <f t="shared" si="0"/>
        <v>19159.669729038262</v>
      </c>
      <c r="BA19" s="39">
        <f t="shared" si="1"/>
        <v>20240.114613180518</v>
      </c>
      <c r="BB19" s="39">
        <f t="shared" si="2"/>
        <v>21441.834071047557</v>
      </c>
      <c r="BC19" s="39">
        <f t="shared" si="3"/>
        <v>22191.143497757846</v>
      </c>
      <c r="BD19" s="39">
        <f t="shared" si="4"/>
        <v>25315.320334261836</v>
      </c>
      <c r="BE19" s="39">
        <f t="shared" si="5"/>
        <v>26421.829891183657</v>
      </c>
      <c r="BF19" s="39">
        <f t="shared" si="6"/>
        <v>24312.133613538324</v>
      </c>
      <c r="BG19" s="39">
        <f t="shared" si="7"/>
        <v>25656.687062937064</v>
      </c>
      <c r="BH19" s="39">
        <f t="shared" si="8"/>
        <v>28344.853737811485</v>
      </c>
      <c r="BI19" s="39">
        <f t="shared" si="9"/>
        <v>29135.770516553435</v>
      </c>
      <c r="BJ19" s="39">
        <f t="shared" si="10"/>
        <v>30078.454457882905</v>
      </c>
      <c r="BK19" s="39">
        <f t="shared" si="11"/>
        <v>31710.697179350718</v>
      </c>
      <c r="BL19" s="39">
        <f t="shared" si="12"/>
        <v>34011.539694411797</v>
      </c>
      <c r="BM19" s="39">
        <f t="shared" si="13"/>
        <v>33835.557928457019</v>
      </c>
      <c r="BN19" s="39">
        <f t="shared" si="14"/>
        <v>34424.059353471115</v>
      </c>
      <c r="BO19" s="39">
        <f t="shared" si="15"/>
        <v>37596.784705626764</v>
      </c>
      <c r="BP19" s="39">
        <f t="shared" si="16"/>
        <v>37303.335155822861</v>
      </c>
      <c r="BQ19" s="39">
        <f t="shared" si="17"/>
        <v>39553.149389908758</v>
      </c>
      <c r="BR19" s="39">
        <f t="shared" si="18"/>
        <v>34164.245314406122</v>
      </c>
      <c r="BS19" s="39">
        <f t="shared" si="19"/>
        <v>32813.082039911307</v>
      </c>
      <c r="BT19" s="39">
        <f t="shared" si="20"/>
        <v>33726.219377620837</v>
      </c>
      <c r="BU19" s="39">
        <f t="shared" si="21"/>
        <v>35120.879120879123</v>
      </c>
      <c r="BW19" s="367" t="s">
        <v>11</v>
      </c>
      <c r="BX19" s="39">
        <f>(AZ19/CPINormalized[1996])*100</f>
        <v>19159.669729038262</v>
      </c>
      <c r="BY19" s="39">
        <f>(BA19/CPINormalized[1997])*100</f>
        <v>19786.130734006376</v>
      </c>
      <c r="BZ19" s="39">
        <f>(BB19/CPINormalized[1998])*100</f>
        <v>20639.409605812038</v>
      </c>
      <c r="CA19" s="39">
        <f>(BC19/CPINormalized[1999])*100</f>
        <v>20899.102129641095</v>
      </c>
      <c r="CB19" s="39">
        <f>(BD19/CPINormalized[2000])*100</f>
        <v>23066.049712228123</v>
      </c>
      <c r="CC19" s="39">
        <f>(BE19/CPINormalized[2001])*100</f>
        <v>23408.159852776487</v>
      </c>
      <c r="CD19" s="39">
        <f>(BF19/CPINormalized[2002])*100</f>
        <v>21203.856386682397</v>
      </c>
      <c r="CE19" s="39">
        <f>(BG19/CPINormalized[2003])*100</f>
        <v>21877.903261819705</v>
      </c>
      <c r="CF19" s="39">
        <f>(BH19/CPINormalized[2004])*100</f>
        <v>23543.184496890539</v>
      </c>
      <c r="CG19" s="39">
        <f>(BI19/CPINormalized[2005])*100</f>
        <v>23407.07831053371</v>
      </c>
      <c r="CH19" s="39">
        <f>(BJ19/CPINormalized[2006])*100</f>
        <v>23409.27333552494</v>
      </c>
      <c r="CI19" s="39">
        <f>(BK19/CPINormalized[2007])*100</f>
        <v>23996.14350898577</v>
      </c>
      <c r="CJ19" s="39">
        <f>(BL19/CPINormalized[2008])*100</f>
        <v>24785.583935445451</v>
      </c>
      <c r="CK19" s="39">
        <f>(BM19/CPINormalized[2009])*100</f>
        <v>24745.377435943014</v>
      </c>
      <c r="CL19" s="39">
        <f>(BN19/CPINormalized[2010])*100</f>
        <v>24769.48541915663</v>
      </c>
      <c r="CM19" s="39">
        <f>(BO19/CPINormalized[2011])*100</f>
        <v>26224.600982101099</v>
      </c>
      <c r="CN19" s="39">
        <f>(BP19/CPINormalized[2012])*100</f>
        <v>25492.36167299061</v>
      </c>
      <c r="CO19" s="39">
        <f>(BQ19/CPINormalized[2013])*100</f>
        <v>26639.633663194003</v>
      </c>
      <c r="CP19" s="39">
        <f>(BR19/CPINormalized[2014])*100</f>
        <v>22642.81769494425</v>
      </c>
      <c r="CQ19" s="39">
        <f>(BS19/CPINormalized[2015])*100</f>
        <v>21721.532936717977</v>
      </c>
      <c r="CR19" s="39">
        <f>(BT19/CPINormalized[2016])*100</f>
        <v>22047.872855161346</v>
      </c>
      <c r="CS19" s="39">
        <f>(BU19/CPINormalized[2017])*100</f>
        <v>22480.686741456979</v>
      </c>
    </row>
    <row r="20" spans="1:97">
      <c r="A20" s="319" t="s">
        <v>12</v>
      </c>
      <c r="B20" s="367">
        <v>10381</v>
      </c>
      <c r="C20" s="367">
        <v>10377</v>
      </c>
      <c r="D20" s="367">
        <v>10373</v>
      </c>
      <c r="E20" s="367">
        <v>10306</v>
      </c>
      <c r="F20" s="367">
        <v>10267</v>
      </c>
      <c r="G20" s="367">
        <v>10136</v>
      </c>
      <c r="H20" s="367">
        <v>10097</v>
      </c>
      <c r="I20" s="367">
        <v>10000</v>
      </c>
      <c r="J20" s="367">
        <v>9922</v>
      </c>
      <c r="K20" s="367">
        <v>9912</v>
      </c>
      <c r="L20" s="367">
        <v>9743</v>
      </c>
      <c r="M20" s="367">
        <v>9622</v>
      </c>
      <c r="N20" s="367">
        <v>9451</v>
      </c>
      <c r="O20" s="367">
        <v>9314</v>
      </c>
      <c r="P20" s="367">
        <v>9280</v>
      </c>
      <c r="Q20" s="367">
        <v>9263</v>
      </c>
      <c r="R20" s="367">
        <v>9086</v>
      </c>
      <c r="S20" s="611">
        <v>9127</v>
      </c>
      <c r="T20" s="748">
        <v>8995</v>
      </c>
      <c r="U20" s="748">
        <v>8945</v>
      </c>
      <c r="V20" s="748">
        <v>8913</v>
      </c>
      <c r="W20" s="892">
        <v>8796</v>
      </c>
      <c r="X20" s="742"/>
      <c r="Y20" s="742"/>
      <c r="Z20" s="367" t="s">
        <v>12</v>
      </c>
      <c r="AA20" s="367">
        <v>209852</v>
      </c>
      <c r="AB20" s="367">
        <v>213954</v>
      </c>
      <c r="AC20" s="367">
        <v>206453</v>
      </c>
      <c r="AD20" s="367">
        <v>217415</v>
      </c>
      <c r="AE20" s="367">
        <v>233303</v>
      </c>
      <c r="AF20" s="367">
        <v>239564</v>
      </c>
      <c r="AG20" s="367">
        <v>234235</v>
      </c>
      <c r="AH20" s="367">
        <v>244029</v>
      </c>
      <c r="AI20" s="367">
        <v>272390</v>
      </c>
      <c r="AJ20" s="367">
        <v>266049</v>
      </c>
      <c r="AK20" s="367">
        <v>278696</v>
      </c>
      <c r="AL20" s="367">
        <v>301996</v>
      </c>
      <c r="AM20" s="367">
        <v>333228</v>
      </c>
      <c r="AN20" s="367">
        <v>331612</v>
      </c>
      <c r="AO20" s="367">
        <v>317478</v>
      </c>
      <c r="AP20" s="367">
        <v>343728</v>
      </c>
      <c r="AQ20" s="415">
        <v>328972</v>
      </c>
      <c r="AR20" s="8">
        <v>386009</v>
      </c>
      <c r="AS20" s="684">
        <v>422744</v>
      </c>
      <c r="AT20" s="684">
        <v>399267</v>
      </c>
      <c r="AU20" s="683">
        <v>427511</v>
      </c>
      <c r="AV20" s="8">
        <v>382698</v>
      </c>
      <c r="AW20" s="684"/>
      <c r="AX20" s="683"/>
      <c r="AY20" s="367" t="s">
        <v>12</v>
      </c>
      <c r="AZ20" s="39">
        <f t="shared" si="0"/>
        <v>20215.008188035834</v>
      </c>
      <c r="BA20" s="39">
        <f t="shared" si="1"/>
        <v>20618.097716102919</v>
      </c>
      <c r="BB20" s="39">
        <f t="shared" si="2"/>
        <v>19902.921045020725</v>
      </c>
      <c r="BC20" s="39">
        <f t="shared" si="3"/>
        <v>21095.963516398213</v>
      </c>
      <c r="BD20" s="39">
        <f t="shared" si="4"/>
        <v>22723.58040323366</v>
      </c>
      <c r="BE20" s="39">
        <f t="shared" si="5"/>
        <v>23634.964483030781</v>
      </c>
      <c r="BF20" s="39">
        <f t="shared" si="6"/>
        <v>23198.474794493413</v>
      </c>
      <c r="BG20" s="39">
        <f t="shared" si="7"/>
        <v>24402.899999999998</v>
      </c>
      <c r="BH20" s="39">
        <f t="shared" si="8"/>
        <v>27453.134448699861</v>
      </c>
      <c r="BI20" s="39">
        <f t="shared" si="9"/>
        <v>26841.101694915251</v>
      </c>
      <c r="BJ20" s="39">
        <f t="shared" si="10"/>
        <v>28604.741865955046</v>
      </c>
      <c r="BK20" s="39">
        <f t="shared" si="11"/>
        <v>31385.990438578257</v>
      </c>
      <c r="BL20" s="39">
        <f t="shared" si="12"/>
        <v>35258.491164956089</v>
      </c>
      <c r="BM20" s="39">
        <f t="shared" si="13"/>
        <v>35603.607472621858</v>
      </c>
      <c r="BN20" s="39">
        <f t="shared" si="14"/>
        <v>34210.991379310341</v>
      </c>
      <c r="BO20" s="39">
        <f t="shared" si="15"/>
        <v>37107.632516463345</v>
      </c>
      <c r="BP20" s="39">
        <f t="shared" si="16"/>
        <v>36206.471494607089</v>
      </c>
      <c r="BQ20" s="39">
        <f t="shared" si="17"/>
        <v>42293.086446806177</v>
      </c>
      <c r="BR20" s="39">
        <f t="shared" si="18"/>
        <v>46997.665369649803</v>
      </c>
      <c r="BS20" s="39">
        <f t="shared" si="19"/>
        <v>44635.77417551705</v>
      </c>
      <c r="BT20" s="39">
        <f t="shared" si="20"/>
        <v>47964.882755525636</v>
      </c>
      <c r="BU20" s="39">
        <f t="shared" si="21"/>
        <v>43508.185538881306</v>
      </c>
      <c r="BW20" s="367" t="s">
        <v>12</v>
      </c>
      <c r="BX20" s="39">
        <f>(AZ20/CPINormalized[1996])*100</f>
        <v>20215.008188035834</v>
      </c>
      <c r="BY20" s="39">
        <f>(BA20/CPINormalized[1997])*100</f>
        <v>20155.635711255749</v>
      </c>
      <c r="BZ20" s="39">
        <f>(BB20/CPINormalized[1998])*100</f>
        <v>19158.087803458602</v>
      </c>
      <c r="CA20" s="39">
        <f>(BC20/CPINormalized[1999])*100</f>
        <v>19867.687129188955</v>
      </c>
      <c r="CB20" s="39">
        <f>(BD20/CPINormalized[2000])*100</f>
        <v>20704.586325594435</v>
      </c>
      <c r="CC20" s="39">
        <f>(BE20/CPINormalized[2001])*100</f>
        <v>20939.163903938621</v>
      </c>
      <c r="CD20" s="39">
        <f>(BF20/CPINormalized[2002])*100</f>
        <v>20232.577516709374</v>
      </c>
      <c r="CE20" s="39">
        <f>(BG20/CPINormalized[2003])*100</f>
        <v>20808.777228260868</v>
      </c>
      <c r="CF20" s="39">
        <f>(BH20/CPINormalized[2004])*100</f>
        <v>22802.524060354732</v>
      </c>
      <c r="CG20" s="39">
        <f>(BI20/CPINormalized[2005])*100</f>
        <v>21563.588612044048</v>
      </c>
      <c r="CH20" s="39">
        <f>(BJ20/CPINormalized[2006])*100</f>
        <v>22262.321422462039</v>
      </c>
      <c r="CI20" s="39">
        <f>(BK20/CPINormalized[2007])*100</f>
        <v>23750.431170785119</v>
      </c>
      <c r="CJ20" s="39">
        <f>(BL20/CPINormalized[2008])*100</f>
        <v>25694.287881644061</v>
      </c>
      <c r="CK20" s="39">
        <f>(BM20/CPINormalized[2009])*100</f>
        <v>26038.426996063008</v>
      </c>
      <c r="CL20" s="39">
        <f>(BN20/CPINormalized[2010])*100</f>
        <v>24616.174502943246</v>
      </c>
      <c r="CM20" s="39">
        <f>(BO20/CPINormalized[2011])*100</f>
        <v>25883.406353869716</v>
      </c>
      <c r="CN20" s="39">
        <f>(BP20/CPINormalized[2012])*100</f>
        <v>24742.786734426212</v>
      </c>
      <c r="CO20" s="39">
        <f>(BQ20/CPINormalized[2013])*100</f>
        <v>28485.021971882747</v>
      </c>
      <c r="CP20" s="39">
        <f>(BR20/CPINormalized[2014])*100</f>
        <v>31148.341175393922</v>
      </c>
      <c r="CQ20" s="39">
        <f>(BS20/CPINormalized[2015])*100</f>
        <v>29547.893054669606</v>
      </c>
      <c r="CR20" s="39">
        <f>(BT20/CPINormalized[2016])*100</f>
        <v>31356.127547704738</v>
      </c>
      <c r="CS20" s="39">
        <f>(BU20/CPINormalized[2017])*100</f>
        <v>27849.356686726816</v>
      </c>
    </row>
    <row r="21" spans="1:97">
      <c r="A21" s="319" t="s">
        <v>13</v>
      </c>
      <c r="B21" s="367">
        <v>5895</v>
      </c>
      <c r="C21" s="367">
        <v>6002</v>
      </c>
      <c r="D21" s="367">
        <v>6013</v>
      </c>
      <c r="E21" s="367">
        <v>5911</v>
      </c>
      <c r="F21" s="367">
        <v>5974</v>
      </c>
      <c r="G21" s="367">
        <v>5915</v>
      </c>
      <c r="H21" s="367">
        <v>5944</v>
      </c>
      <c r="I21" s="367">
        <v>5994</v>
      </c>
      <c r="J21" s="367">
        <v>5982</v>
      </c>
      <c r="K21" s="367">
        <v>6008</v>
      </c>
      <c r="L21" s="367">
        <v>6030</v>
      </c>
      <c r="M21" s="367">
        <v>6117</v>
      </c>
      <c r="N21" s="367">
        <v>6122</v>
      </c>
      <c r="O21" s="367">
        <v>6138</v>
      </c>
      <c r="P21" s="367">
        <v>6301</v>
      </c>
      <c r="Q21" s="367">
        <v>6304</v>
      </c>
      <c r="R21" s="367">
        <v>6262</v>
      </c>
      <c r="S21" s="611">
        <v>6291</v>
      </c>
      <c r="T21" s="748">
        <v>6256</v>
      </c>
      <c r="U21" s="748">
        <v>6250</v>
      </c>
      <c r="V21" s="748">
        <v>6168</v>
      </c>
      <c r="W21" s="892">
        <v>6169</v>
      </c>
      <c r="X21" s="742"/>
      <c r="Y21" s="742"/>
      <c r="Z21" s="367" t="s">
        <v>13</v>
      </c>
      <c r="AA21" s="367">
        <v>92967</v>
      </c>
      <c r="AB21" s="367">
        <v>98380</v>
      </c>
      <c r="AC21" s="367">
        <v>98305</v>
      </c>
      <c r="AD21" s="367">
        <v>103154</v>
      </c>
      <c r="AE21" s="367">
        <v>110477</v>
      </c>
      <c r="AF21" s="367">
        <v>112672</v>
      </c>
      <c r="AG21" s="367">
        <v>119188</v>
      </c>
      <c r="AH21" s="367">
        <v>127196</v>
      </c>
      <c r="AI21" s="367">
        <v>137466</v>
      </c>
      <c r="AJ21" s="367">
        <v>140687</v>
      </c>
      <c r="AK21" s="367">
        <v>146019</v>
      </c>
      <c r="AL21" s="367">
        <v>148817</v>
      </c>
      <c r="AM21" s="367">
        <v>159979</v>
      </c>
      <c r="AN21" s="367">
        <v>166615</v>
      </c>
      <c r="AO21" s="367">
        <v>167118</v>
      </c>
      <c r="AP21" s="367">
        <v>169128</v>
      </c>
      <c r="AQ21" s="415">
        <v>174243</v>
      </c>
      <c r="AR21" s="8">
        <v>178862</v>
      </c>
      <c r="AS21" s="684">
        <v>179254</v>
      </c>
      <c r="AT21" s="684">
        <v>187448</v>
      </c>
      <c r="AU21" s="683">
        <v>190641</v>
      </c>
      <c r="AV21" s="8">
        <v>191795</v>
      </c>
      <c r="AW21" s="684"/>
      <c r="AX21" s="683"/>
      <c r="AY21" s="367" t="s">
        <v>13</v>
      </c>
      <c r="AZ21" s="39">
        <f t="shared" si="0"/>
        <v>15770.483460559797</v>
      </c>
      <c r="BA21" s="39">
        <f t="shared" si="1"/>
        <v>16391.202932355882</v>
      </c>
      <c r="BB21" s="39">
        <f t="shared" si="2"/>
        <v>16348.74438716115</v>
      </c>
      <c r="BC21" s="39">
        <f t="shared" si="3"/>
        <v>17451.19269159195</v>
      </c>
      <c r="BD21" s="39">
        <f t="shared" si="4"/>
        <v>18492.96953465015</v>
      </c>
      <c r="BE21" s="39">
        <f t="shared" si="5"/>
        <v>19048.520710059172</v>
      </c>
      <c r="BF21" s="39">
        <f t="shared" si="6"/>
        <v>20051.816958277253</v>
      </c>
      <c r="BG21" s="39">
        <f t="shared" si="7"/>
        <v>21220.553887220554</v>
      </c>
      <c r="BH21" s="39">
        <f t="shared" si="8"/>
        <v>22979.939819458377</v>
      </c>
      <c r="BI21" s="39">
        <f t="shared" si="9"/>
        <v>23416.611185086553</v>
      </c>
      <c r="BJ21" s="39">
        <f t="shared" si="10"/>
        <v>24215.422885572138</v>
      </c>
      <c r="BK21" s="39">
        <f t="shared" si="11"/>
        <v>24328.428968448585</v>
      </c>
      <c r="BL21" s="39">
        <f t="shared" si="12"/>
        <v>26131.819666775562</v>
      </c>
      <c r="BM21" s="39">
        <f t="shared" si="13"/>
        <v>27144.835451287065</v>
      </c>
      <c r="BN21" s="39">
        <f t="shared" si="14"/>
        <v>26522.456752896363</v>
      </c>
      <c r="BO21" s="39">
        <f t="shared" si="15"/>
        <v>26828.680203045686</v>
      </c>
      <c r="BP21" s="39">
        <f t="shared" si="16"/>
        <v>27825.455126157776</v>
      </c>
      <c r="BQ21" s="39">
        <f t="shared" si="17"/>
        <v>28431.409950723257</v>
      </c>
      <c r="BR21" s="39">
        <f t="shared" si="18"/>
        <v>28653.132992327366</v>
      </c>
      <c r="BS21" s="39">
        <f t="shared" si="19"/>
        <v>29991.68</v>
      </c>
      <c r="BT21" s="39">
        <f t="shared" si="20"/>
        <v>30908.07392996109</v>
      </c>
      <c r="BU21" s="39">
        <f t="shared" si="21"/>
        <v>31090.128059653103</v>
      </c>
      <c r="BW21" s="367" t="s">
        <v>13</v>
      </c>
      <c r="BX21" s="39">
        <f>(AZ21/CPINormalized[1996])*100</f>
        <v>15770.483460559797</v>
      </c>
      <c r="BY21" s="39">
        <f>(BA21/CPINormalized[1997])*100</f>
        <v>16023.549782471264</v>
      </c>
      <c r="BZ21" s="39">
        <f>(BB21/CPINormalized[1998])*100</f>
        <v>15736.92021070911</v>
      </c>
      <c r="CA21" s="39">
        <f>(BC21/CPINormalized[1999])*100</f>
        <v>16435.126850604905</v>
      </c>
      <c r="CB21" s="39">
        <f>(BD21/CPINormalized[2000])*100</f>
        <v>16849.865969724793</v>
      </c>
      <c r="CC21" s="39">
        <f>(BE21/CPINormalized[2001])*100</f>
        <v>16875.849234377663</v>
      </c>
      <c r="CD21" s="39">
        <f>(BF21/CPINormalized[2002])*100</f>
        <v>17488.216124256262</v>
      </c>
      <c r="CE21" s="39">
        <f>(BG21/CPINormalized[2003])*100</f>
        <v>18095.135352744048</v>
      </c>
      <c r="CF21" s="39">
        <f>(BH21/CPINormalized[2004])*100</f>
        <v>19087.096652583485</v>
      </c>
      <c r="CG21" s="39">
        <f>(BI21/CPINormalized[2005])*100</f>
        <v>18812.423425192421</v>
      </c>
      <c r="CH21" s="39">
        <f>(BJ21/CPINormalized[2006])*100</f>
        <v>18846.229418384268</v>
      </c>
      <c r="CI21" s="39">
        <f>(BK21/CPINormalized[2007])*100</f>
        <v>18409.827749079217</v>
      </c>
      <c r="CJ21" s="39">
        <f>(BL21/CPINormalized[2008])*100</f>
        <v>19043.313403515447</v>
      </c>
      <c r="CK21" s="39">
        <f>(BM21/CPINormalized[2009])*100</f>
        <v>19852.168541123167</v>
      </c>
      <c r="CL21" s="39">
        <f>(BN21/CPINormalized[2010])*100</f>
        <v>19083.966799947899</v>
      </c>
      <c r="CM21" s="39">
        <f>(BO21/CPINormalized[2011])*100</f>
        <v>18713.606461564548</v>
      </c>
      <c r="CN21" s="39">
        <f>(BP21/CPINormalized[2012])*100</f>
        <v>19015.365860145102</v>
      </c>
      <c r="CO21" s="39">
        <f>(BQ21/CPINormalized[2013])*100</f>
        <v>19148.976941102777</v>
      </c>
      <c r="CP21" s="39">
        <f>(BR21/CPINormalized[2014])*100</f>
        <v>18990.25313638891</v>
      </c>
      <c r="CQ21" s="39">
        <f>(BS21/CPINormalized[2015])*100</f>
        <v>19853.827328841395</v>
      </c>
      <c r="CR21" s="39">
        <f>(BT21/CPINormalized[2016])*100</f>
        <v>20205.564002761981</v>
      </c>
      <c r="CS21" s="39">
        <f>(BU21/CPINormalized[2017])*100</f>
        <v>19900.624561682325</v>
      </c>
    </row>
    <row r="22" spans="1:97">
      <c r="A22" s="319" t="s">
        <v>14</v>
      </c>
      <c r="B22" s="367">
        <v>13152</v>
      </c>
      <c r="C22" s="367">
        <v>13269</v>
      </c>
      <c r="D22" s="367">
        <v>13424</v>
      </c>
      <c r="E22" s="367">
        <v>13680</v>
      </c>
      <c r="F22" s="367">
        <v>13720</v>
      </c>
      <c r="G22" s="367">
        <v>13901</v>
      </c>
      <c r="H22" s="367">
        <v>13909</v>
      </c>
      <c r="I22" s="367">
        <v>13975</v>
      </c>
      <c r="J22" s="367">
        <v>14073</v>
      </c>
      <c r="K22" s="367">
        <v>14297</v>
      </c>
      <c r="L22" s="367">
        <v>14229</v>
      </c>
      <c r="M22" s="367">
        <v>14169</v>
      </c>
      <c r="N22" s="367">
        <v>14120</v>
      </c>
      <c r="O22" s="367">
        <v>13964</v>
      </c>
      <c r="P22" s="367">
        <v>13989</v>
      </c>
      <c r="Q22" s="367">
        <v>13832</v>
      </c>
      <c r="R22" s="367">
        <v>13799</v>
      </c>
      <c r="S22" s="611">
        <v>13913</v>
      </c>
      <c r="T22" s="748">
        <v>13938</v>
      </c>
      <c r="U22" s="748">
        <v>13944</v>
      </c>
      <c r="V22" s="748">
        <v>14016</v>
      </c>
      <c r="W22" s="892">
        <v>14073</v>
      </c>
      <c r="X22" s="742"/>
      <c r="Y22" s="742"/>
      <c r="Z22" s="367" t="s">
        <v>14</v>
      </c>
      <c r="AA22" s="367">
        <v>208916</v>
      </c>
      <c r="AB22" s="367">
        <v>223245</v>
      </c>
      <c r="AC22" s="367">
        <v>230206</v>
      </c>
      <c r="AD22" s="367">
        <v>231856</v>
      </c>
      <c r="AE22" s="367">
        <v>252945</v>
      </c>
      <c r="AF22" s="367">
        <v>276854</v>
      </c>
      <c r="AG22" s="367">
        <v>271941</v>
      </c>
      <c r="AH22" s="367">
        <v>281681</v>
      </c>
      <c r="AI22" s="367">
        <v>300251</v>
      </c>
      <c r="AJ22" s="367">
        <v>309148</v>
      </c>
      <c r="AK22" s="367">
        <v>320365</v>
      </c>
      <c r="AL22" s="367">
        <v>340111</v>
      </c>
      <c r="AM22" s="367">
        <v>356239</v>
      </c>
      <c r="AN22" s="367">
        <v>360728</v>
      </c>
      <c r="AO22" s="367">
        <v>367908</v>
      </c>
      <c r="AP22" s="367">
        <v>367830</v>
      </c>
      <c r="AQ22" s="415">
        <v>375182</v>
      </c>
      <c r="AR22" s="8">
        <v>399682</v>
      </c>
      <c r="AS22" s="684">
        <v>421009</v>
      </c>
      <c r="AT22" s="684">
        <v>429895</v>
      </c>
      <c r="AU22" s="683">
        <v>433002</v>
      </c>
      <c r="AV22" s="8">
        <v>425880</v>
      </c>
      <c r="AW22" s="684"/>
      <c r="AX22" s="683"/>
      <c r="AY22" s="367" t="s">
        <v>14</v>
      </c>
      <c r="AZ22" s="39">
        <f t="shared" si="0"/>
        <v>15884.732360097323</v>
      </c>
      <c r="BA22" s="39">
        <f t="shared" si="1"/>
        <v>16824.553470495139</v>
      </c>
      <c r="BB22" s="39">
        <f t="shared" si="2"/>
        <v>17148.8379022646</v>
      </c>
      <c r="BC22" s="39">
        <f t="shared" si="3"/>
        <v>16948.538011695906</v>
      </c>
      <c r="BD22" s="39">
        <f t="shared" si="4"/>
        <v>18436.224489795917</v>
      </c>
      <c r="BE22" s="39">
        <f t="shared" si="5"/>
        <v>19916.12114236386</v>
      </c>
      <c r="BF22" s="39">
        <f t="shared" si="6"/>
        <v>19551.441512689624</v>
      </c>
      <c r="BG22" s="39">
        <f t="shared" si="7"/>
        <v>20156.064400715564</v>
      </c>
      <c r="BH22" s="39">
        <f t="shared" si="8"/>
        <v>21335.251900802956</v>
      </c>
      <c r="BI22" s="39">
        <f t="shared" si="9"/>
        <v>21623.277610687557</v>
      </c>
      <c r="BJ22" s="39">
        <f t="shared" si="10"/>
        <v>22514.934289127836</v>
      </c>
      <c r="BK22" s="39">
        <f t="shared" si="11"/>
        <v>24003.881713600113</v>
      </c>
      <c r="BL22" s="39">
        <f t="shared" si="12"/>
        <v>25229.390934844192</v>
      </c>
      <c r="BM22" s="39">
        <f t="shared" si="13"/>
        <v>25832.712689773703</v>
      </c>
      <c r="BN22" s="39">
        <f t="shared" si="14"/>
        <v>26299.806991207377</v>
      </c>
      <c r="BO22" s="39">
        <f t="shared" si="15"/>
        <v>26592.683632157317</v>
      </c>
      <c r="BP22" s="39">
        <f t="shared" si="16"/>
        <v>27189.071671860278</v>
      </c>
      <c r="BQ22" s="39">
        <f t="shared" si="17"/>
        <v>28727.233522604758</v>
      </c>
      <c r="BR22" s="39">
        <f t="shared" si="18"/>
        <v>30205.840149232317</v>
      </c>
      <c r="BS22" s="39">
        <f t="shared" si="19"/>
        <v>30830.106138841078</v>
      </c>
      <c r="BT22" s="39">
        <f t="shared" si="20"/>
        <v>30893.407534246573</v>
      </c>
      <c r="BU22" s="39">
        <f t="shared" si="21"/>
        <v>30262.204220848431</v>
      </c>
      <c r="BW22" s="367" t="s">
        <v>14</v>
      </c>
      <c r="BX22" s="39">
        <f>(AZ22/CPINormalized[1996])*100</f>
        <v>15884.732360097323</v>
      </c>
      <c r="BY22" s="39">
        <f>(BA22/CPINormalized[1997])*100</f>
        <v>16447.180308540108</v>
      </c>
      <c r="BZ22" s="39">
        <f>(BB22/CPINormalized[1998])*100</f>
        <v>16507.071575860835</v>
      </c>
      <c r="CA22" s="39">
        <f>(BC22/CPINormalized[1999])*100</f>
        <v>15961.738379562352</v>
      </c>
      <c r="CB22" s="39">
        <f>(BD22/CPINormalized[2000])*100</f>
        <v>16798.162731991753</v>
      </c>
      <c r="CC22" s="39">
        <f>(BE22/CPINormalized[2001])*100</f>
        <v>17644.491288745849</v>
      </c>
      <c r="CD22" s="39">
        <f>(BF22/CPINormalized[2002])*100</f>
        <v>17051.813081384113</v>
      </c>
      <c r="CE22" s="39">
        <f>(BG22/CPINormalized[2003])*100</f>
        <v>17187.426654740611</v>
      </c>
      <c r="CF22" s="39">
        <f>(BH22/CPINormalized[2004])*100</f>
        <v>17721.021827612411</v>
      </c>
      <c r="CG22" s="39">
        <f>(BI22/CPINormalized[2005])*100</f>
        <v>17371.696144991693</v>
      </c>
      <c r="CH22" s="39">
        <f>(BJ22/CPINormalized[2006])*100</f>
        <v>17522.783680377765</v>
      </c>
      <c r="CI22" s="39">
        <f>(BK22/CPINormalized[2007])*100</f>
        <v>18164.236097191391</v>
      </c>
      <c r="CJ22" s="39">
        <f>(BL22/CPINormalized[2008])*100</f>
        <v>18385.67710471779</v>
      </c>
      <c r="CK22" s="39">
        <f>(BM22/CPINormalized[2009])*100</f>
        <v>18892.557558954839</v>
      </c>
      <c r="CL22" s="39">
        <f>(BN22/CPINormalized[2010])*100</f>
        <v>18923.761404962199</v>
      </c>
      <c r="CM22" s="39">
        <f>(BO22/CPINormalized[2011])*100</f>
        <v>18548.99355774447</v>
      </c>
      <c r="CN22" s="39">
        <f>(BP22/CPINormalized[2012])*100</f>
        <v>18580.473990238759</v>
      </c>
      <c r="CO22" s="39">
        <f>(BQ22/CPINormalized[2013])*100</f>
        <v>19348.218511127321</v>
      </c>
      <c r="CP22" s="39">
        <f>(BR22/CPINormalized[2014])*100</f>
        <v>20019.330897770309</v>
      </c>
      <c r="CQ22" s="39">
        <f>(BS22/CPINormalized[2015])*100</f>
        <v>20408.84684720575</v>
      </c>
      <c r="CR22" s="39">
        <f>(BT22/CPINormalized[2016])*100</f>
        <v>20195.976126210015</v>
      </c>
      <c r="CS22" s="39">
        <f>(BU22/CPINormalized[2017])*100</f>
        <v>19370.674943909587</v>
      </c>
    </row>
    <row r="23" spans="1:97">
      <c r="A23" s="319" t="s">
        <v>15</v>
      </c>
      <c r="B23" s="367">
        <v>8729</v>
      </c>
      <c r="C23" s="367">
        <v>8748</v>
      </c>
      <c r="D23" s="367">
        <v>8576</v>
      </c>
      <c r="E23" s="367">
        <v>8477</v>
      </c>
      <c r="F23" s="367">
        <v>8411</v>
      </c>
      <c r="G23" s="367">
        <v>8276</v>
      </c>
      <c r="H23" s="367">
        <v>8277</v>
      </c>
      <c r="I23" s="367">
        <v>8193</v>
      </c>
      <c r="J23" s="367">
        <v>8174</v>
      </c>
      <c r="K23" s="367">
        <v>8092</v>
      </c>
      <c r="L23" s="367">
        <v>8013</v>
      </c>
      <c r="M23" s="367">
        <v>7900</v>
      </c>
      <c r="N23" s="367">
        <v>7829</v>
      </c>
      <c r="O23" s="367">
        <v>7767</v>
      </c>
      <c r="P23" s="367">
        <v>7834</v>
      </c>
      <c r="Q23" s="367">
        <v>7717</v>
      </c>
      <c r="R23" s="367">
        <v>7649</v>
      </c>
      <c r="S23" s="611">
        <v>7628</v>
      </c>
      <c r="T23" s="748">
        <v>7674</v>
      </c>
      <c r="U23" s="748">
        <v>7592</v>
      </c>
      <c r="V23" s="748">
        <v>7516</v>
      </c>
      <c r="W23" s="892">
        <v>7480</v>
      </c>
      <c r="X23" s="742"/>
      <c r="Y23" s="742"/>
      <c r="Z23" s="367" t="s">
        <v>15</v>
      </c>
      <c r="AA23" s="367">
        <v>167830</v>
      </c>
      <c r="AB23" s="367">
        <v>179754</v>
      </c>
      <c r="AC23" s="367">
        <v>179129</v>
      </c>
      <c r="AD23" s="367">
        <v>184872</v>
      </c>
      <c r="AE23" s="367">
        <v>204843</v>
      </c>
      <c r="AF23" s="367">
        <v>223251</v>
      </c>
      <c r="AG23" s="367">
        <v>211901</v>
      </c>
      <c r="AH23" s="367">
        <v>222645</v>
      </c>
      <c r="AI23" s="367">
        <v>249226</v>
      </c>
      <c r="AJ23" s="367">
        <v>244905</v>
      </c>
      <c r="AK23" s="367">
        <v>253703</v>
      </c>
      <c r="AL23" s="367">
        <v>272543</v>
      </c>
      <c r="AM23" s="367">
        <v>282998</v>
      </c>
      <c r="AN23" s="367">
        <v>287480</v>
      </c>
      <c r="AO23" s="367">
        <v>280331</v>
      </c>
      <c r="AP23" s="367">
        <v>309114</v>
      </c>
      <c r="AQ23" s="415">
        <v>296790</v>
      </c>
      <c r="AR23" s="8">
        <v>322939</v>
      </c>
      <c r="AS23" s="684">
        <v>356992</v>
      </c>
      <c r="AT23" s="684">
        <v>308714</v>
      </c>
      <c r="AU23" s="683">
        <v>316897</v>
      </c>
      <c r="AV23" s="8">
        <v>311813</v>
      </c>
      <c r="AW23" s="684"/>
      <c r="AX23" s="683"/>
      <c r="AY23" s="367" t="s">
        <v>15</v>
      </c>
      <c r="AZ23" s="39">
        <f t="shared" si="0"/>
        <v>19226.715545881543</v>
      </c>
      <c r="BA23" s="39">
        <f t="shared" si="1"/>
        <v>20548.0109739369</v>
      </c>
      <c r="BB23" s="39">
        <f t="shared" si="2"/>
        <v>20887.243470149253</v>
      </c>
      <c r="BC23" s="39">
        <f t="shared" si="3"/>
        <v>21808.658723605047</v>
      </c>
      <c r="BD23" s="39">
        <f t="shared" si="4"/>
        <v>24354.179051242423</v>
      </c>
      <c r="BE23" s="39">
        <f t="shared" si="5"/>
        <v>26975.712904784919</v>
      </c>
      <c r="BF23" s="39">
        <f t="shared" si="6"/>
        <v>25601.184003866136</v>
      </c>
      <c r="BG23" s="39">
        <f t="shared" si="7"/>
        <v>27175.027462467959</v>
      </c>
      <c r="BH23" s="39">
        <f t="shared" si="8"/>
        <v>30490.090530951798</v>
      </c>
      <c r="BI23" s="39">
        <f t="shared" si="9"/>
        <v>30265.076618882849</v>
      </c>
      <c r="BJ23" s="39">
        <f t="shared" si="10"/>
        <v>31661.425184075877</v>
      </c>
      <c r="BK23" s="39">
        <f t="shared" si="11"/>
        <v>34499.113924050631</v>
      </c>
      <c r="BL23" s="39">
        <f t="shared" si="12"/>
        <v>36147.400689743263</v>
      </c>
      <c r="BM23" s="39">
        <f t="shared" si="13"/>
        <v>37013.00373374534</v>
      </c>
      <c r="BN23" s="39">
        <f t="shared" si="14"/>
        <v>35783.890732703599</v>
      </c>
      <c r="BO23" s="39">
        <f t="shared" si="15"/>
        <v>40056.239471297136</v>
      </c>
      <c r="BP23" s="39">
        <f t="shared" si="16"/>
        <v>38801.150477186558</v>
      </c>
      <c r="BQ23" s="39">
        <f t="shared" si="17"/>
        <v>42335.998951232308</v>
      </c>
      <c r="BR23" s="39">
        <f t="shared" si="18"/>
        <v>46519.676830857439</v>
      </c>
      <c r="BS23" s="39">
        <f t="shared" si="19"/>
        <v>40663.066385669124</v>
      </c>
      <c r="BT23" s="39">
        <f t="shared" si="20"/>
        <v>42162.985630654606</v>
      </c>
      <c r="BU23" s="39">
        <f t="shared" si="21"/>
        <v>41686.229946524065</v>
      </c>
      <c r="BW23" s="367" t="s">
        <v>15</v>
      </c>
      <c r="BX23" s="39">
        <f>(AZ23/CPINormalized[1996])*100</f>
        <v>19226.715545881543</v>
      </c>
      <c r="BY23" s="39">
        <f>(BA23/CPINormalized[1997])*100</f>
        <v>20087.121008166352</v>
      </c>
      <c r="BZ23" s="39">
        <f>(BB23/CPINormalized[1998])*100</f>
        <v>20105.573622493364</v>
      </c>
      <c r="CA23" s="39">
        <f>(BC23/CPINormalized[1999])*100</f>
        <v>20538.886877152654</v>
      </c>
      <c r="CB23" s="39">
        <f>(BD23/CPINormalized[2000])*100</f>
        <v>22190.305999651202</v>
      </c>
      <c r="CC23" s="39">
        <f>(BE23/CPINormalized[2001])*100</f>
        <v>23898.867051161797</v>
      </c>
      <c r="CD23" s="39">
        <f>(BF23/CPINormalized[2002])*100</f>
        <v>22328.103225161736</v>
      </c>
      <c r="CE23" s="39">
        <f>(BG23/CPINormalized[2003])*100</f>
        <v>23172.61852641969</v>
      </c>
      <c r="CF23" s="39">
        <f>(BH23/CPINormalized[2004])*100</f>
        <v>25325.014316073783</v>
      </c>
      <c r="CG23" s="39">
        <f>(BI23/CPINormalized[2005])*100</f>
        <v>24314.339587827541</v>
      </c>
      <c r="CH23" s="39">
        <f>(BJ23/CPINormalized[2006])*100</f>
        <v>24641.257992963816</v>
      </c>
      <c r="CI23" s="39">
        <f>(BK23/CPINormalized[2007])*100</f>
        <v>26106.196403447171</v>
      </c>
      <c r="CJ23" s="39">
        <f>(BL23/CPINormalized[2008])*100</f>
        <v>26342.072187664449</v>
      </c>
      <c r="CK23" s="39">
        <f>(BM23/CPINormalized[2009])*100</f>
        <v>27069.178210866397</v>
      </c>
      <c r="CL23" s="39">
        <f>(BN23/CPINormalized[2010])*100</f>
        <v>25747.938400966701</v>
      </c>
      <c r="CM23" s="39">
        <f>(BO23/CPINormalized[2011])*100</f>
        <v>27940.125869887044</v>
      </c>
      <c r="CN23" s="39">
        <f>(BP23/CPINormalized[2012])*100</f>
        <v>26515.939048366119</v>
      </c>
      <c r="CO23" s="39">
        <f>(BQ23/CPINormalized[2013])*100</f>
        <v>28513.924181064958</v>
      </c>
      <c r="CP23" s="39">
        <f>(BR23/CPINormalized[2014])*100</f>
        <v>30831.547777953223</v>
      </c>
      <c r="CQ23" s="39">
        <f>(BS23/CPINormalized[2015])*100</f>
        <v>26918.048561544048</v>
      </c>
      <c r="CR23" s="39">
        <f>(BT23/CPINormalized[2016])*100</f>
        <v>27563.247927975881</v>
      </c>
      <c r="CS23" s="39">
        <f>(BU23/CPINormalized[2017])*100</f>
        <v>26683.132664040575</v>
      </c>
    </row>
    <row r="24" spans="1:97">
      <c r="A24" s="319" t="s">
        <v>16</v>
      </c>
      <c r="B24" s="367">
        <v>7538</v>
      </c>
      <c r="C24" s="367">
        <v>7548</v>
      </c>
      <c r="D24" s="367">
        <v>7518</v>
      </c>
      <c r="E24" s="367">
        <v>7452</v>
      </c>
      <c r="F24" s="367">
        <v>7387</v>
      </c>
      <c r="G24" s="367">
        <v>7433</v>
      </c>
      <c r="H24" s="367">
        <v>7366</v>
      </c>
      <c r="I24" s="367">
        <v>7281</v>
      </c>
      <c r="J24" s="367">
        <v>7239</v>
      </c>
      <c r="K24" s="367">
        <v>7224</v>
      </c>
      <c r="L24" s="367">
        <v>7206</v>
      </c>
      <c r="M24" s="367">
        <v>7212</v>
      </c>
      <c r="N24" s="367">
        <v>7168</v>
      </c>
      <c r="O24" s="367">
        <v>7111</v>
      </c>
      <c r="P24" s="367">
        <v>7128</v>
      </c>
      <c r="Q24" s="367">
        <v>7033</v>
      </c>
      <c r="R24" s="367">
        <v>6969</v>
      </c>
      <c r="S24" s="611">
        <v>6910</v>
      </c>
      <c r="T24" s="748">
        <v>6884</v>
      </c>
      <c r="U24" s="748">
        <v>6810</v>
      </c>
      <c r="V24" s="748">
        <v>6723</v>
      </c>
      <c r="W24" s="892">
        <v>6723</v>
      </c>
      <c r="X24" s="742"/>
      <c r="Y24" s="742"/>
      <c r="Z24" s="367" t="s">
        <v>16</v>
      </c>
      <c r="AA24" s="367">
        <v>128619</v>
      </c>
      <c r="AB24" s="367">
        <v>138161</v>
      </c>
      <c r="AC24" s="367">
        <v>133199</v>
      </c>
      <c r="AD24" s="367">
        <v>136819</v>
      </c>
      <c r="AE24" s="367">
        <v>157031</v>
      </c>
      <c r="AF24" s="367">
        <v>158217</v>
      </c>
      <c r="AG24" s="367">
        <v>156260</v>
      </c>
      <c r="AH24" s="367">
        <v>168378</v>
      </c>
      <c r="AI24" s="367">
        <v>181278</v>
      </c>
      <c r="AJ24" s="367">
        <v>177524</v>
      </c>
      <c r="AK24" s="367">
        <v>184627</v>
      </c>
      <c r="AL24" s="367">
        <v>199008</v>
      </c>
      <c r="AM24" s="367">
        <v>211946</v>
      </c>
      <c r="AN24" s="367">
        <v>215399</v>
      </c>
      <c r="AO24" s="367">
        <v>206821</v>
      </c>
      <c r="AP24" s="367">
        <v>223773</v>
      </c>
      <c r="AQ24" s="415">
        <v>231110</v>
      </c>
      <c r="AR24" s="8">
        <v>250540</v>
      </c>
      <c r="AS24" s="684">
        <v>232520</v>
      </c>
      <c r="AT24" s="684">
        <v>220522</v>
      </c>
      <c r="AU24" s="683">
        <v>228108</v>
      </c>
      <c r="AV24" s="8">
        <v>230817</v>
      </c>
      <c r="AW24" s="684"/>
      <c r="AX24" s="683"/>
      <c r="AY24" s="367" t="s">
        <v>16</v>
      </c>
      <c r="AZ24" s="39">
        <f t="shared" si="0"/>
        <v>17062.748739718761</v>
      </c>
      <c r="BA24" s="39">
        <f t="shared" si="1"/>
        <v>18304.319024907261</v>
      </c>
      <c r="BB24" s="39">
        <f t="shared" si="2"/>
        <v>17717.345038574087</v>
      </c>
      <c r="BC24" s="39">
        <f t="shared" si="3"/>
        <v>18360.03757380569</v>
      </c>
      <c r="BD24" s="39">
        <f t="shared" si="4"/>
        <v>21257.750101529717</v>
      </c>
      <c r="BE24" s="39">
        <f t="shared" si="5"/>
        <v>21285.752724337413</v>
      </c>
      <c r="BF24" s="39">
        <f t="shared" si="6"/>
        <v>21213.684496334507</v>
      </c>
      <c r="BG24" s="39">
        <f t="shared" si="7"/>
        <v>23125.669550885868</v>
      </c>
      <c r="BH24" s="39">
        <f t="shared" si="8"/>
        <v>25041.856610029008</v>
      </c>
      <c r="BI24" s="39">
        <f t="shared" si="9"/>
        <v>24574.197120708748</v>
      </c>
      <c r="BJ24" s="39">
        <f t="shared" si="10"/>
        <v>25621.287815709133</v>
      </c>
      <c r="BK24" s="39">
        <f t="shared" si="11"/>
        <v>27594.009983361066</v>
      </c>
      <c r="BL24" s="39">
        <f t="shared" si="12"/>
        <v>29568.359375</v>
      </c>
      <c r="BM24" s="39">
        <f t="shared" si="13"/>
        <v>30290.957671213611</v>
      </c>
      <c r="BN24" s="39">
        <f t="shared" si="14"/>
        <v>29015.291806958474</v>
      </c>
      <c r="BO24" s="39">
        <f t="shared" si="15"/>
        <v>31817.574292620502</v>
      </c>
      <c r="BP24" s="39">
        <f t="shared" si="16"/>
        <v>33162.577127277938</v>
      </c>
      <c r="BQ24" s="39">
        <f t="shared" si="17"/>
        <v>36257.597684515196</v>
      </c>
      <c r="BR24" s="39">
        <f t="shared" si="18"/>
        <v>33776.873910517141</v>
      </c>
      <c r="BS24" s="39">
        <f t="shared" si="19"/>
        <v>32382.085168869311</v>
      </c>
      <c r="BT24" s="39">
        <f t="shared" si="20"/>
        <v>33929.495760821061</v>
      </c>
      <c r="BU24" s="39">
        <f t="shared" si="21"/>
        <v>34332.440874609551</v>
      </c>
      <c r="BW24" s="367" t="s">
        <v>16</v>
      </c>
      <c r="BX24" s="39">
        <f>(AZ24/CPINormalized[1996])*100</f>
        <v>17062.748739718761</v>
      </c>
      <c r="BY24" s="39">
        <f>(BA24/CPINormalized[1997])*100</f>
        <v>17893.754859862609</v>
      </c>
      <c r="BZ24" s="39">
        <f>(BB24/CPINormalized[1998])*100</f>
        <v>17054.303291731743</v>
      </c>
      <c r="CA24" s="39">
        <f>(BC24/CPINormalized[1999])*100</f>
        <v>17291.055794298394</v>
      </c>
      <c r="CB24" s="39">
        <f>(BD24/CPINormalized[2000])*100</f>
        <v>19368.995301568022</v>
      </c>
      <c r="CC24" s="39">
        <f>(BE24/CPINormalized[2001])*100</f>
        <v>18857.902893554718</v>
      </c>
      <c r="CD24" s="39">
        <f>(BF24/CPINormalized[2002])*100</f>
        <v>18501.540286130541</v>
      </c>
      <c r="CE24" s="39">
        <f>(BG24/CPINormalized[2003])*100</f>
        <v>19719.660611597788</v>
      </c>
      <c r="CF24" s="39">
        <f>(BH24/CPINormalized[2004])*100</f>
        <v>20799.721027599531</v>
      </c>
      <c r="CG24" s="39">
        <f>(BI24/CPINormalized[2005])*100</f>
        <v>19742.404138449576</v>
      </c>
      <c r="CH24" s="39">
        <f>(BJ24/CPINormalized[2006])*100</f>
        <v>19940.377273237911</v>
      </c>
      <c r="CI24" s="39">
        <f>(BK24/CPINormalized[2007])*100</f>
        <v>20880.960762360501</v>
      </c>
      <c r="CJ24" s="39">
        <f>(BL24/CPINormalized[2008])*100</f>
        <v>21547.658815425239</v>
      </c>
      <c r="CK24" s="39">
        <f>(BM24/CPINormalized[2009])*100</f>
        <v>22153.061050603934</v>
      </c>
      <c r="CL24" s="39">
        <f>(BN24/CPINormalized[2010])*100</f>
        <v>20877.661171954838</v>
      </c>
      <c r="CM24" s="39">
        <f>(BO24/CPINormalized[2011])*100</f>
        <v>22193.472036917374</v>
      </c>
      <c r="CN24" s="39">
        <f>(BP24/CPINormalized[2012])*100</f>
        <v>22662.649508566898</v>
      </c>
      <c r="CO24" s="39">
        <f>(BQ24/CPINormalized[2013])*100</f>
        <v>24420.030635269319</v>
      </c>
      <c r="CP24" s="39">
        <f>(BR24/CPINormalized[2014])*100</f>
        <v>22386.082034672127</v>
      </c>
      <c r="CQ24" s="39">
        <f>(BS24/CPINormalized[2015])*100</f>
        <v>21436.22256207612</v>
      </c>
      <c r="CR24" s="39">
        <f>(BT24/CPINormalized[2016])*100</f>
        <v>22180.760914776751</v>
      </c>
      <c r="CS24" s="39">
        <f>(BU24/CPINormalized[2017])*100</f>
        <v>21976.011640120098</v>
      </c>
    </row>
    <row r="25" spans="1:97">
      <c r="A25" s="319" t="s">
        <v>17</v>
      </c>
      <c r="B25" s="367">
        <v>17708</v>
      </c>
      <c r="C25" s="367">
        <v>18153</v>
      </c>
      <c r="D25" s="367">
        <v>18456</v>
      </c>
      <c r="E25" s="367">
        <v>18827</v>
      </c>
      <c r="F25" s="367">
        <v>19046</v>
      </c>
      <c r="G25" s="367">
        <v>19371</v>
      </c>
      <c r="H25" s="367">
        <v>19525</v>
      </c>
      <c r="I25" s="367">
        <v>20034</v>
      </c>
      <c r="J25" s="367">
        <v>20409</v>
      </c>
      <c r="K25" s="367">
        <v>20392</v>
      </c>
      <c r="L25" s="367">
        <v>20347</v>
      </c>
      <c r="M25" s="367">
        <v>20774</v>
      </c>
      <c r="N25" s="367">
        <v>20781</v>
      </c>
      <c r="O25" s="367">
        <v>20765</v>
      </c>
      <c r="P25" s="367">
        <v>20735</v>
      </c>
      <c r="Q25" s="367">
        <v>20646</v>
      </c>
      <c r="R25" s="367">
        <v>20508</v>
      </c>
      <c r="S25" s="611">
        <v>20571</v>
      </c>
      <c r="T25" s="748">
        <v>20271</v>
      </c>
      <c r="U25" s="748">
        <v>20635</v>
      </c>
      <c r="V25" s="748">
        <v>20610</v>
      </c>
      <c r="W25" s="892">
        <v>20554</v>
      </c>
      <c r="X25" s="742"/>
      <c r="Y25" s="742"/>
      <c r="Z25" s="367" t="s">
        <v>17</v>
      </c>
      <c r="AA25" s="367">
        <v>365982</v>
      </c>
      <c r="AB25" s="367">
        <v>401184</v>
      </c>
      <c r="AC25" s="367">
        <v>422483</v>
      </c>
      <c r="AD25" s="367">
        <v>439300</v>
      </c>
      <c r="AE25" s="367">
        <v>472857</v>
      </c>
      <c r="AF25" s="367">
        <v>501173</v>
      </c>
      <c r="AG25" s="367">
        <v>502767</v>
      </c>
      <c r="AH25" s="367">
        <v>521960</v>
      </c>
      <c r="AI25" s="367">
        <v>571851</v>
      </c>
      <c r="AJ25" s="367">
        <v>586115</v>
      </c>
      <c r="AK25" s="367">
        <v>613267</v>
      </c>
      <c r="AL25" s="367">
        <v>666112</v>
      </c>
      <c r="AM25" s="367">
        <v>716341</v>
      </c>
      <c r="AN25" s="367">
        <v>721216</v>
      </c>
      <c r="AO25" s="367">
        <v>715725</v>
      </c>
      <c r="AP25" s="367">
        <v>769945</v>
      </c>
      <c r="AQ25" s="415">
        <v>765804</v>
      </c>
      <c r="AR25" s="8">
        <v>803322</v>
      </c>
      <c r="AS25" s="684">
        <v>788505</v>
      </c>
      <c r="AT25" s="684">
        <v>789601</v>
      </c>
      <c r="AU25" s="683">
        <v>808616</v>
      </c>
      <c r="AV25" s="8">
        <v>854093</v>
      </c>
      <c r="AW25" s="684"/>
      <c r="AX25" s="683"/>
      <c r="AY25" s="367" t="s">
        <v>17</v>
      </c>
      <c r="AZ25" s="39">
        <f t="shared" si="0"/>
        <v>20667.607860853852</v>
      </c>
      <c r="BA25" s="39">
        <f t="shared" si="1"/>
        <v>22100.148735746156</v>
      </c>
      <c r="BB25" s="39">
        <f t="shared" si="2"/>
        <v>22891.363242306023</v>
      </c>
      <c r="BC25" s="39">
        <f t="shared" si="3"/>
        <v>23333.510384022946</v>
      </c>
      <c r="BD25" s="39">
        <f t="shared" si="4"/>
        <v>24827.102803738318</v>
      </c>
      <c r="BE25" s="39">
        <f t="shared" si="5"/>
        <v>25872.334933663722</v>
      </c>
      <c r="BF25" s="39">
        <f t="shared" si="6"/>
        <v>25749.910371318823</v>
      </c>
      <c r="BG25" s="39">
        <f t="shared" si="7"/>
        <v>26053.708695218131</v>
      </c>
      <c r="BH25" s="39">
        <f t="shared" si="8"/>
        <v>28019.550198441862</v>
      </c>
      <c r="BI25" s="39">
        <f t="shared" si="9"/>
        <v>28742.398979992155</v>
      </c>
      <c r="BJ25" s="39">
        <f t="shared" si="10"/>
        <v>30140.413820219197</v>
      </c>
      <c r="BK25" s="39">
        <f t="shared" si="11"/>
        <v>32064.696254934057</v>
      </c>
      <c r="BL25" s="39">
        <f t="shared" si="12"/>
        <v>34470.959049131416</v>
      </c>
      <c r="BM25" s="39">
        <f t="shared" si="13"/>
        <v>34732.289910907784</v>
      </c>
      <c r="BN25" s="39">
        <f t="shared" si="14"/>
        <v>34517.723655654692</v>
      </c>
      <c r="BO25" s="39">
        <f t="shared" si="15"/>
        <v>37292.695921728184</v>
      </c>
      <c r="BP25" s="39">
        <f t="shared" si="16"/>
        <v>37341.720304271505</v>
      </c>
      <c r="BQ25" s="39">
        <f t="shared" si="17"/>
        <v>39051.188566428464</v>
      </c>
      <c r="BR25" s="39">
        <f t="shared" si="18"/>
        <v>38898.179665532043</v>
      </c>
      <c r="BS25" s="39">
        <f t="shared" si="19"/>
        <v>38265.132057184397</v>
      </c>
      <c r="BT25" s="39">
        <f t="shared" si="20"/>
        <v>39234.158175642886</v>
      </c>
      <c r="BU25" s="39">
        <f t="shared" si="21"/>
        <v>41553.614868152188</v>
      </c>
      <c r="BW25" s="367" t="s">
        <v>17</v>
      </c>
      <c r="BX25" s="39">
        <f>(AZ25/CPINormalized[1996])*100</f>
        <v>20667.607860853852</v>
      </c>
      <c r="BY25" s="39">
        <f>(BA25/CPINormalized[1997])*100</f>
        <v>21604.444465037828</v>
      </c>
      <c r="BZ25" s="39">
        <f>(BB25/CPINormalized[1998])*100</f>
        <v>22034.692593360829</v>
      </c>
      <c r="CA25" s="39">
        <f>(BC25/CPINormalized[1999])*100</f>
        <v>21974.956658182477</v>
      </c>
      <c r="CB25" s="39">
        <f>(BD25/CPINormalized[2000])*100</f>
        <v>22621.210394346941</v>
      </c>
      <c r="CC25" s="39">
        <f>(BE25/CPINormalized[2001])*100</f>
        <v>22921.340209440077</v>
      </c>
      <c r="CD25" s="39">
        <f>(BF25/CPINormalized[2002])*100</f>
        <v>22457.815104279729</v>
      </c>
      <c r="CE25" s="39">
        <f>(BG25/CPINormalized[2003])*100</f>
        <v>22216.450512389809</v>
      </c>
      <c r="CF25" s="39">
        <f>(BH25/CPINormalized[2004])*100</f>
        <v>23272.987962602056</v>
      </c>
      <c r="CG25" s="39">
        <f>(BI25/CPINormalized[2005])*100</f>
        <v>23091.051715108904</v>
      </c>
      <c r="CH25" s="39">
        <f>(BJ25/CPINormalized[2006])*100</f>
        <v>23457.494684486075</v>
      </c>
      <c r="CI25" s="39">
        <f>(BK25/CPINormalized[2007])*100</f>
        <v>24264.021965637225</v>
      </c>
      <c r="CJ25" s="39">
        <f>(BL25/CPINormalized[2008])*100</f>
        <v>25120.381391846466</v>
      </c>
      <c r="CK25" s="39">
        <f>(BM25/CPINormalized[2009])*100</f>
        <v>25401.19553746641</v>
      </c>
      <c r="CL25" s="39">
        <f>(BN25/CPINormalized[2010])*100</f>
        <v>24836.880625033114</v>
      </c>
      <c r="CM25" s="39">
        <f>(BO25/CPINormalized[2011])*100</f>
        <v>26012.492231756842</v>
      </c>
      <c r="CN25" s="39">
        <f>(BP25/CPINormalized[2012])*100</f>
        <v>25518.593324477984</v>
      </c>
      <c r="CO25" s="39">
        <f>(BQ25/CPINormalized[2013])*100</f>
        <v>26301.555592116256</v>
      </c>
      <c r="CP25" s="39">
        <f>(BR25/CPINormalized[2014])*100</f>
        <v>25780.296995480108</v>
      </c>
      <c r="CQ25" s="39">
        <f>(BS25/CPINormalized[2015])*100</f>
        <v>25330.669191544202</v>
      </c>
      <c r="CR25" s="39">
        <f>(BT25/CPINormalized[2016])*100</f>
        <v>25648.582823660843</v>
      </c>
      <c r="CS25" s="39">
        <f>(BU25/CPINormalized[2017])*100</f>
        <v>26598.246462194344</v>
      </c>
    </row>
    <row r="26" spans="1:97">
      <c r="A26" s="319" t="s">
        <v>18</v>
      </c>
      <c r="B26" s="367">
        <v>16228</v>
      </c>
      <c r="C26" s="367">
        <v>16297</v>
      </c>
      <c r="D26" s="367">
        <v>16338</v>
      </c>
      <c r="E26" s="367">
        <v>16470</v>
      </c>
      <c r="F26" s="367">
        <v>16764</v>
      </c>
      <c r="G26" s="367">
        <v>16714</v>
      </c>
      <c r="H26" s="367">
        <v>16999</v>
      </c>
      <c r="I26" s="367">
        <v>17002</v>
      </c>
      <c r="J26" s="367">
        <v>17203</v>
      </c>
      <c r="K26" s="367">
        <v>17380</v>
      </c>
      <c r="L26" s="367">
        <v>17547</v>
      </c>
      <c r="M26" s="367">
        <v>17693</v>
      </c>
      <c r="N26" s="367">
        <v>17502</v>
      </c>
      <c r="O26" s="367">
        <v>17564</v>
      </c>
      <c r="P26" s="367">
        <v>17573</v>
      </c>
      <c r="Q26" s="367">
        <v>17549</v>
      </c>
      <c r="R26" s="367">
        <v>17520</v>
      </c>
      <c r="S26" s="611">
        <v>17647</v>
      </c>
      <c r="T26" s="748">
        <v>17572</v>
      </c>
      <c r="U26" s="748">
        <v>17616</v>
      </c>
      <c r="V26" s="748">
        <v>17712</v>
      </c>
      <c r="W26" s="892">
        <v>17644</v>
      </c>
      <c r="X26" s="742"/>
      <c r="Y26" s="742"/>
      <c r="Z26" s="367" t="s">
        <v>18</v>
      </c>
      <c r="AA26" s="367">
        <v>302441</v>
      </c>
      <c r="AB26" s="367">
        <v>318989</v>
      </c>
      <c r="AC26" s="367">
        <v>327807</v>
      </c>
      <c r="AD26" s="367">
        <v>327966</v>
      </c>
      <c r="AE26" s="367">
        <v>359774</v>
      </c>
      <c r="AF26" s="367">
        <v>359320</v>
      </c>
      <c r="AG26" s="367">
        <v>370991</v>
      </c>
      <c r="AH26" s="367">
        <v>386563</v>
      </c>
      <c r="AI26" s="367">
        <v>431398</v>
      </c>
      <c r="AJ26" s="367">
        <v>428255</v>
      </c>
      <c r="AK26" s="367">
        <v>451627</v>
      </c>
      <c r="AL26" s="367">
        <v>488989</v>
      </c>
      <c r="AM26" s="367">
        <v>523427</v>
      </c>
      <c r="AN26" s="367">
        <v>516110</v>
      </c>
      <c r="AO26" s="367">
        <v>525452</v>
      </c>
      <c r="AP26" s="367">
        <v>550959</v>
      </c>
      <c r="AQ26" s="415">
        <v>549821</v>
      </c>
      <c r="AR26" s="8">
        <v>582947</v>
      </c>
      <c r="AS26" s="684">
        <v>590922</v>
      </c>
      <c r="AT26" s="684">
        <v>588882</v>
      </c>
      <c r="AU26" s="683">
        <v>619698</v>
      </c>
      <c r="AV26" s="8">
        <v>650576</v>
      </c>
      <c r="AW26" s="684"/>
      <c r="AX26" s="683"/>
      <c r="AY26" s="367" t="s">
        <v>18</v>
      </c>
      <c r="AZ26" s="39">
        <f t="shared" si="0"/>
        <v>18636.985457234408</v>
      </c>
      <c r="BA26" s="39">
        <f t="shared" si="1"/>
        <v>19573.479781554888</v>
      </c>
      <c r="BB26" s="39">
        <f t="shared" si="2"/>
        <v>20064.083731178849</v>
      </c>
      <c r="BC26" s="39">
        <f t="shared" si="3"/>
        <v>19912.932604735881</v>
      </c>
      <c r="BD26" s="39">
        <f t="shared" si="4"/>
        <v>21461.107134335482</v>
      </c>
      <c r="BE26" s="39">
        <f t="shared" si="5"/>
        <v>21498.145267440472</v>
      </c>
      <c r="BF26" s="39">
        <f t="shared" si="6"/>
        <v>21824.283781398903</v>
      </c>
      <c r="BG26" s="39">
        <f t="shared" si="7"/>
        <v>22736.325138219032</v>
      </c>
      <c r="BH26" s="39">
        <f t="shared" si="8"/>
        <v>25076.905190955065</v>
      </c>
      <c r="BI26" s="39">
        <f t="shared" si="9"/>
        <v>24640.678941311849</v>
      </c>
      <c r="BJ26" s="39">
        <f t="shared" si="10"/>
        <v>25738.131874394483</v>
      </c>
      <c r="BK26" s="39">
        <f t="shared" si="11"/>
        <v>27637.427231108348</v>
      </c>
      <c r="BL26" s="39">
        <f t="shared" si="12"/>
        <v>29906.696377556851</v>
      </c>
      <c r="BM26" s="39">
        <f t="shared" si="13"/>
        <v>29384.536552038258</v>
      </c>
      <c r="BN26" s="39">
        <f t="shared" si="14"/>
        <v>29901.098275763958</v>
      </c>
      <c r="BO26" s="39">
        <f t="shared" si="15"/>
        <v>31395.464129010201</v>
      </c>
      <c r="BP26" s="39">
        <f t="shared" si="16"/>
        <v>31382.477168949772</v>
      </c>
      <c r="BQ26" s="39">
        <f t="shared" si="17"/>
        <v>33033.773445911487</v>
      </c>
      <c r="BR26" s="39">
        <f t="shared" si="18"/>
        <v>33628.61370361939</v>
      </c>
      <c r="BS26" s="39">
        <f t="shared" si="19"/>
        <v>33428.814713896456</v>
      </c>
      <c r="BT26" s="39">
        <f t="shared" si="20"/>
        <v>34987.466124661245</v>
      </c>
      <c r="BU26" s="39">
        <f t="shared" si="21"/>
        <v>36872.36454318749</v>
      </c>
      <c r="BW26" s="367" t="s">
        <v>18</v>
      </c>
      <c r="BX26" s="39">
        <f>(AZ26/CPINormalized[1996])*100</f>
        <v>18636.985457234408</v>
      </c>
      <c r="BY26" s="39">
        <f>(BA26/CPINormalized[1997])*100</f>
        <v>19134.448459351788</v>
      </c>
      <c r="BZ26" s="39">
        <f>(BB26/CPINormalized[1998])*100</f>
        <v>19313.219247987498</v>
      </c>
      <c r="CA26" s="39">
        <f>(BC26/CPINormalized[1999])*100</f>
        <v>18753.536168565784</v>
      </c>
      <c r="CB26" s="39">
        <f>(BD26/CPINormalized[2000])*100</f>
        <v>19554.284026580939</v>
      </c>
      <c r="CC26" s="39">
        <f>(BE26/CPINormalized[2001])*100</f>
        <v>19046.069974372727</v>
      </c>
      <c r="CD26" s="39">
        <f>(BF26/CPINormalized[2002])*100</f>
        <v>19034.075182331784</v>
      </c>
      <c r="CE26" s="39">
        <f>(BG26/CPINormalized[2003])*100</f>
        <v>19387.659859709598</v>
      </c>
      <c r="CF26" s="39">
        <f>(BH26/CPINormalized[2004])*100</f>
        <v>20828.83231583298</v>
      </c>
      <c r="CG26" s="39">
        <f>(BI26/CPINormalized[2005])*100</f>
        <v>19795.814264679102</v>
      </c>
      <c r="CH26" s="39">
        <f>(BJ26/CPINormalized[2006])*100</f>
        <v>20031.313943911184</v>
      </c>
      <c r="CI26" s="39">
        <f>(BK26/CPINormalized[2007])*100</f>
        <v>20913.815495948238</v>
      </c>
      <c r="CJ26" s="39">
        <f>(BL26/CPINormalized[2008])*100</f>
        <v>21794.21866689582</v>
      </c>
      <c r="CK26" s="39">
        <f>(BM26/CPINormalized[2009])*100</f>
        <v>21490.156872776271</v>
      </c>
      <c r="CL26" s="39">
        <f>(BN26/CPINormalized[2010])*100</f>
        <v>21515.034300672145</v>
      </c>
      <c r="CM26" s="39">
        <f>(BO26/CPINormalized[2011])*100</f>
        <v>21899.040725893246</v>
      </c>
      <c r="CN26" s="39">
        <f>(BP26/CPINormalized[2012])*100</f>
        <v>21446.164393704621</v>
      </c>
      <c r="CO26" s="39">
        <f>(BQ26/CPINormalized[2013])*100</f>
        <v>22248.737121715651</v>
      </c>
      <c r="CP26" s="39">
        <f>(BR26/CPINormalized[2014])*100</f>
        <v>22287.820568472405</v>
      </c>
      <c r="CQ26" s="39">
        <f>(BS26/CPINormalized[2015])*100</f>
        <v>22129.134317835236</v>
      </c>
      <c r="CR26" s="39">
        <f>(BT26/CPINormalized[2016])*100</f>
        <v>22872.388867655314</v>
      </c>
      <c r="CS26" s="39">
        <f>(BU26/CPINormalized[2017])*100</f>
        <v>23601.80318548514</v>
      </c>
    </row>
    <row r="27" spans="1:97">
      <c r="A27" s="319" t="s">
        <v>19</v>
      </c>
      <c r="B27" s="367">
        <v>21815</v>
      </c>
      <c r="C27" s="367">
        <v>22069</v>
      </c>
      <c r="D27" s="367">
        <v>22414</v>
      </c>
      <c r="E27" s="367">
        <v>22520</v>
      </c>
      <c r="F27" s="367">
        <v>22828</v>
      </c>
      <c r="G27" s="367">
        <v>22876</v>
      </c>
      <c r="H27" s="367">
        <v>23420</v>
      </c>
      <c r="I27" s="367">
        <v>23734</v>
      </c>
      <c r="J27" s="367">
        <v>23918</v>
      </c>
      <c r="K27" s="367">
        <v>24137</v>
      </c>
      <c r="L27" s="367">
        <v>24373</v>
      </c>
      <c r="M27" s="367">
        <v>24689</v>
      </c>
      <c r="N27" s="367">
        <v>24698</v>
      </c>
      <c r="O27" s="367">
        <v>24802</v>
      </c>
      <c r="P27" s="367">
        <v>24625</v>
      </c>
      <c r="Q27" s="367">
        <v>24808</v>
      </c>
      <c r="R27" s="367">
        <v>24832</v>
      </c>
      <c r="S27" s="611">
        <v>24543</v>
      </c>
      <c r="T27" s="748">
        <v>24621</v>
      </c>
      <c r="U27" s="748">
        <v>24487</v>
      </c>
      <c r="V27" s="748">
        <v>24302</v>
      </c>
      <c r="W27" s="892">
        <v>24102</v>
      </c>
      <c r="X27" s="742"/>
      <c r="Y27" s="742"/>
      <c r="Z27" s="367" t="s">
        <v>19</v>
      </c>
      <c r="AA27" s="367">
        <v>371303</v>
      </c>
      <c r="AB27" s="367">
        <v>400449</v>
      </c>
      <c r="AC27" s="367">
        <v>424209</v>
      </c>
      <c r="AD27" s="367">
        <v>455015</v>
      </c>
      <c r="AE27" s="367">
        <v>490085</v>
      </c>
      <c r="AF27" s="367">
        <v>538317</v>
      </c>
      <c r="AG27" s="367">
        <v>564394</v>
      </c>
      <c r="AH27" s="367">
        <v>583788</v>
      </c>
      <c r="AI27" s="367">
        <v>616266</v>
      </c>
      <c r="AJ27" s="367">
        <v>640490</v>
      </c>
      <c r="AK27" s="367">
        <v>665629</v>
      </c>
      <c r="AL27" s="367">
        <v>688440</v>
      </c>
      <c r="AM27" s="367">
        <v>710385</v>
      </c>
      <c r="AN27" s="367">
        <v>717512</v>
      </c>
      <c r="AO27" s="367">
        <v>739079</v>
      </c>
      <c r="AP27" s="367">
        <v>777037</v>
      </c>
      <c r="AQ27" s="415">
        <v>807719</v>
      </c>
      <c r="AR27" s="8">
        <v>834184</v>
      </c>
      <c r="AS27" s="684">
        <v>756877</v>
      </c>
      <c r="AT27" s="684">
        <v>799811</v>
      </c>
      <c r="AU27" s="683">
        <v>845962</v>
      </c>
      <c r="AV27" s="8">
        <v>850360</v>
      </c>
      <c r="AW27" s="684"/>
      <c r="AX27" s="683"/>
      <c r="AY27" s="367" t="s">
        <v>19</v>
      </c>
      <c r="AZ27" s="39">
        <f t="shared" si="0"/>
        <v>17020.536328214534</v>
      </c>
      <c r="BA27" s="39">
        <f t="shared" si="1"/>
        <v>18145.316960442247</v>
      </c>
      <c r="BB27" s="39">
        <f t="shared" si="2"/>
        <v>18926.072990095476</v>
      </c>
      <c r="BC27" s="39">
        <f t="shared" si="3"/>
        <v>20204.928952042628</v>
      </c>
      <c r="BD27" s="39">
        <f t="shared" si="4"/>
        <v>21468.591203784825</v>
      </c>
      <c r="BE27" s="39">
        <f t="shared" si="5"/>
        <v>23531.954887218046</v>
      </c>
      <c r="BF27" s="39">
        <f t="shared" si="6"/>
        <v>24098.804440649019</v>
      </c>
      <c r="BG27" s="39">
        <f t="shared" si="7"/>
        <v>24597.118058481501</v>
      </c>
      <c r="BH27" s="39">
        <f t="shared" si="8"/>
        <v>25765.783092231792</v>
      </c>
      <c r="BI27" s="39">
        <f t="shared" si="9"/>
        <v>26535.609230641752</v>
      </c>
      <c r="BJ27" s="39">
        <f t="shared" si="10"/>
        <v>27310.097238747792</v>
      </c>
      <c r="BK27" s="39">
        <f t="shared" si="11"/>
        <v>27884.482968123459</v>
      </c>
      <c r="BL27" s="39">
        <f t="shared" si="12"/>
        <v>28762.855291926469</v>
      </c>
      <c r="BM27" s="39">
        <f t="shared" si="13"/>
        <v>28929.602451415209</v>
      </c>
      <c r="BN27" s="39">
        <f t="shared" si="14"/>
        <v>30013.360406091368</v>
      </c>
      <c r="BO27" s="39">
        <f t="shared" si="15"/>
        <v>31322.033215091906</v>
      </c>
      <c r="BP27" s="39">
        <f t="shared" si="16"/>
        <v>32527.34375</v>
      </c>
      <c r="BQ27" s="39">
        <f t="shared" si="17"/>
        <v>33988.672941368204</v>
      </c>
      <c r="BR27" s="39">
        <f t="shared" si="18"/>
        <v>30741.115308070344</v>
      </c>
      <c r="BS27" s="39">
        <f t="shared" si="19"/>
        <v>32662.678155756119</v>
      </c>
      <c r="BT27" s="39">
        <f t="shared" si="20"/>
        <v>34810.385976462843</v>
      </c>
      <c r="BU27" s="39">
        <f t="shared" si="21"/>
        <v>35281.719359389266</v>
      </c>
      <c r="BW27" s="367" t="s">
        <v>19</v>
      </c>
      <c r="BX27" s="39">
        <f>(AZ27/CPINormalized[1996])*100</f>
        <v>17020.536328214534</v>
      </c>
      <c r="BY27" s="39">
        <f>(BA27/CPINormalized[1997])*100</f>
        <v>17738.319196843542</v>
      </c>
      <c r="BZ27" s="39">
        <f>(BB27/CPINormalized[1998])*100</f>
        <v>18217.796638932396</v>
      </c>
      <c r="CA27" s="39">
        <f>(BC27/CPINormalized[1999])*100</f>
        <v>19028.531528064155</v>
      </c>
      <c r="CB27" s="39">
        <f>(BD27/CPINormalized[2000])*100</f>
        <v>19561.103135155863</v>
      </c>
      <c r="CC27" s="39">
        <f>(BE27/CPINormalized[2001])*100</f>
        <v>20847.903567501475</v>
      </c>
      <c r="CD27" s="39">
        <f>(BF27/CPINormalized[2002])*100</f>
        <v>21017.801093595503</v>
      </c>
      <c r="CE27" s="39">
        <f>(BG27/CPINormalized[2003])*100</f>
        <v>20974.39034443341</v>
      </c>
      <c r="CF27" s="39">
        <f>(BH27/CPINormalized[2004])*100</f>
        <v>21401.013060726142</v>
      </c>
      <c r="CG27" s="39">
        <f>(BI27/CPINormalized[2005])*100</f>
        <v>21318.162254417261</v>
      </c>
      <c r="CH27" s="39">
        <f>(BJ27/CPINormalized[2006])*100</f>
        <v>21254.733416465915</v>
      </c>
      <c r="CI27" s="39">
        <f>(BK27/CPINormalized[2007])*100</f>
        <v>21100.767706005394</v>
      </c>
      <c r="CJ27" s="39">
        <f>(BL27/CPINormalized[2008])*100</f>
        <v>20960.655426553571</v>
      </c>
      <c r="CK27" s="39">
        <f>(BM27/CPINormalized[2009])*100</f>
        <v>21157.444285261034</v>
      </c>
      <c r="CL27" s="39">
        <f>(BN27/CPINormalized[2010])*100</f>
        <v>21595.811386596724</v>
      </c>
      <c r="CM27" s="39">
        <f>(BO27/CPINormalized[2011])*100</f>
        <v>21847.821015688343</v>
      </c>
      <c r="CN27" s="39">
        <f>(BP27/CPINormalized[2012])*100</f>
        <v>22228.543578556058</v>
      </c>
      <c r="CO27" s="39">
        <f>(BQ27/CPINormalized[2013])*100</f>
        <v>22891.876116625263</v>
      </c>
      <c r="CP27" s="39">
        <f>(BR27/CPINormalized[2014])*100</f>
        <v>20374.091780870836</v>
      </c>
      <c r="CQ27" s="39">
        <f>(BS27/CPINormalized[2015])*100</f>
        <v>21621.968899438165</v>
      </c>
      <c r="CR27" s="39">
        <f>(BT27/CPINormalized[2016])*100</f>
        <v>22756.626097184748</v>
      </c>
      <c r="CS27" s="39">
        <f>(BU27/CPINormalized[2017])*100</f>
        <v>22583.639717233091</v>
      </c>
    </row>
    <row r="28" spans="1:97">
      <c r="A28" s="319" t="s">
        <v>20</v>
      </c>
      <c r="B28" s="367">
        <v>7845</v>
      </c>
      <c r="C28" s="367">
        <v>7852</v>
      </c>
      <c r="D28" s="367">
        <v>7792</v>
      </c>
      <c r="E28" s="367">
        <v>7908</v>
      </c>
      <c r="F28" s="367">
        <v>7915</v>
      </c>
      <c r="G28" s="367">
        <v>7920</v>
      </c>
      <c r="H28" s="367">
        <v>7899</v>
      </c>
      <c r="I28" s="367">
        <v>7896</v>
      </c>
      <c r="J28" s="367">
        <v>7893</v>
      </c>
      <c r="K28" s="367">
        <v>7910</v>
      </c>
      <c r="L28" s="367">
        <v>7974</v>
      </c>
      <c r="M28" s="367">
        <v>7969</v>
      </c>
      <c r="N28" s="367">
        <v>7951</v>
      </c>
      <c r="O28" s="367">
        <v>7885</v>
      </c>
      <c r="P28" s="367">
        <v>7865</v>
      </c>
      <c r="Q28" s="367">
        <v>7785</v>
      </c>
      <c r="R28" s="367">
        <v>7568</v>
      </c>
      <c r="S28" s="611">
        <v>7578</v>
      </c>
      <c r="T28" s="748">
        <v>7616</v>
      </c>
      <c r="U28" s="748">
        <v>7596</v>
      </c>
      <c r="V28" s="748">
        <v>7631</v>
      </c>
      <c r="W28" s="892">
        <v>7588</v>
      </c>
      <c r="X28" s="742"/>
      <c r="Y28" s="742"/>
      <c r="Z28" s="367" t="s">
        <v>20</v>
      </c>
      <c r="AA28" s="367">
        <v>128488</v>
      </c>
      <c r="AB28" s="367">
        <v>141088</v>
      </c>
      <c r="AC28" s="367">
        <v>141900</v>
      </c>
      <c r="AD28" s="367">
        <v>146015</v>
      </c>
      <c r="AE28" s="367">
        <v>152834</v>
      </c>
      <c r="AF28" s="367">
        <v>161214</v>
      </c>
      <c r="AG28" s="367">
        <v>157392</v>
      </c>
      <c r="AH28" s="367">
        <v>177322</v>
      </c>
      <c r="AI28" s="367">
        <v>197307</v>
      </c>
      <c r="AJ28" s="367">
        <v>192514</v>
      </c>
      <c r="AK28" s="367">
        <v>195710</v>
      </c>
      <c r="AL28" s="367">
        <v>200790</v>
      </c>
      <c r="AM28" s="367">
        <v>212855</v>
      </c>
      <c r="AN28" s="367">
        <v>206703</v>
      </c>
      <c r="AO28" s="367">
        <v>202606</v>
      </c>
      <c r="AP28" s="367">
        <v>206396</v>
      </c>
      <c r="AQ28" s="415">
        <v>214568</v>
      </c>
      <c r="AR28" s="8">
        <v>226861</v>
      </c>
      <c r="AS28" s="684">
        <v>249149</v>
      </c>
      <c r="AT28" s="684">
        <v>243651</v>
      </c>
      <c r="AU28" s="683">
        <v>237454</v>
      </c>
      <c r="AV28" s="8">
        <v>256079</v>
      </c>
      <c r="AW28" s="684"/>
      <c r="AX28" s="683"/>
      <c r="AY28" s="367" t="s">
        <v>20</v>
      </c>
      <c r="AZ28" s="39">
        <f t="shared" si="0"/>
        <v>16378.330146590184</v>
      </c>
      <c r="BA28" s="39">
        <f t="shared" si="1"/>
        <v>17968.415690269998</v>
      </c>
      <c r="BB28" s="39">
        <f t="shared" si="2"/>
        <v>18210.985626283367</v>
      </c>
      <c r="BC28" s="39">
        <f t="shared" si="3"/>
        <v>18464.21345472939</v>
      </c>
      <c r="BD28" s="39">
        <f t="shared" si="4"/>
        <v>19309.412507896399</v>
      </c>
      <c r="BE28" s="39">
        <f t="shared" si="5"/>
        <v>20355.303030303032</v>
      </c>
      <c r="BF28" s="39">
        <f t="shared" si="6"/>
        <v>19925.560197493352</v>
      </c>
      <c r="BG28" s="39">
        <f t="shared" si="7"/>
        <v>22457.193515704155</v>
      </c>
      <c r="BH28" s="39">
        <f t="shared" si="8"/>
        <v>24997.719498289622</v>
      </c>
      <c r="BI28" s="39">
        <f t="shared" si="9"/>
        <v>24338.053097345131</v>
      </c>
      <c r="BJ28" s="39">
        <f t="shared" si="10"/>
        <v>24543.516428392275</v>
      </c>
      <c r="BK28" s="39">
        <f t="shared" si="11"/>
        <v>25196.385995733468</v>
      </c>
      <c r="BL28" s="39">
        <f t="shared" si="12"/>
        <v>26770.846434410767</v>
      </c>
      <c r="BM28" s="39">
        <f t="shared" si="13"/>
        <v>26214.711477488905</v>
      </c>
      <c r="BN28" s="39">
        <f t="shared" si="14"/>
        <v>25760.457724094089</v>
      </c>
      <c r="BO28" s="39">
        <f t="shared" si="15"/>
        <v>26512.010276172128</v>
      </c>
      <c r="BP28" s="39">
        <f t="shared" si="16"/>
        <v>28352.00845665962</v>
      </c>
      <c r="BQ28" s="39">
        <f t="shared" si="17"/>
        <v>29936.790709949855</v>
      </c>
      <c r="BR28" s="39">
        <f t="shared" si="18"/>
        <v>32713.891806722691</v>
      </c>
      <c r="BS28" s="39">
        <f t="shared" si="19"/>
        <v>32076.224328593995</v>
      </c>
      <c r="BT28" s="39">
        <f t="shared" si="20"/>
        <v>31117.022670685361</v>
      </c>
      <c r="BU28" s="39">
        <f t="shared" si="21"/>
        <v>33747.891407485506</v>
      </c>
      <c r="BW28" s="367" t="s">
        <v>20</v>
      </c>
      <c r="BX28" s="39">
        <f>(AZ28/CPINormalized[1996])*100</f>
        <v>16378.330146590184</v>
      </c>
      <c r="BY28" s="39">
        <f>(BA28/CPINormalized[1997])*100</f>
        <v>17565.385805628426</v>
      </c>
      <c r="BZ28" s="39">
        <f>(BB28/CPINormalized[1998])*100</f>
        <v>17529.470213275217</v>
      </c>
      <c r="CA28" s="39">
        <f>(BC28/CPINormalized[1999])*100</f>
        <v>17389.166212767355</v>
      </c>
      <c r="CB28" s="39">
        <f>(BD28/CPINormalized[2000])*100</f>
        <v>17593.767842560661</v>
      </c>
      <c r="CC28" s="39">
        <f>(BE28/CPINormalized[2001])*100</f>
        <v>18033.580155022843</v>
      </c>
      <c r="CD28" s="39">
        <f>(BF28/CPINormalized[2002])*100</f>
        <v>17378.101139448067</v>
      </c>
      <c r="CE28" s="39">
        <f>(BG28/CPINormalized[2003])*100</f>
        <v>19149.639470728165</v>
      </c>
      <c r="CF28" s="39">
        <f>(BH28/CPINormalized[2004])*100</f>
        <v>20763.060822030926</v>
      </c>
      <c r="CG28" s="39">
        <f>(BI28/CPINormalized[2005])*100</f>
        <v>19552.690890801081</v>
      </c>
      <c r="CH28" s="39">
        <f>(BJ28/CPINormalized[2006])*100</f>
        <v>19101.576029835058</v>
      </c>
      <c r="CI28" s="39">
        <f>(BK28/CPINormalized[2007])*100</f>
        <v>19066.628867911862</v>
      </c>
      <c r="CJ28" s="39">
        <f>(BL28/CPINormalized[2008])*100</f>
        <v>19508.99804256815</v>
      </c>
      <c r="CK28" s="39">
        <f>(BM28/CPINormalized[2009])*100</f>
        <v>19171.929461202537</v>
      </c>
      <c r="CL28" s="39">
        <f>(BN28/CPINormalized[2010])*100</f>
        <v>18535.678068525347</v>
      </c>
      <c r="CM28" s="39">
        <f>(BO28/CPINormalized[2011])*100</f>
        <v>18492.722081681732</v>
      </c>
      <c r="CN28" s="39">
        <f>(BP28/CPINormalized[2012])*100</f>
        <v>19375.201995042964</v>
      </c>
      <c r="CO28" s="39">
        <f>(BQ28/CPINormalized[2013])*100</f>
        <v>20162.873244380433</v>
      </c>
      <c r="CP28" s="39">
        <f>(BR28/CPINormalized[2014])*100</f>
        <v>21681.57620503342</v>
      </c>
      <c r="CQ28" s="39">
        <f>(BS28/CPINormalized[2015])*100</f>
        <v>21233.749465888093</v>
      </c>
      <c r="CR28" s="39">
        <f>(BT28/CPINormalized[2016])*100</f>
        <v>20342.16025795303</v>
      </c>
      <c r="CS28" s="39">
        <f>(BU28/CPINormalized[2017])*100</f>
        <v>21601.844655003573</v>
      </c>
    </row>
    <row r="29" spans="1:97">
      <c r="A29" s="319" t="s">
        <v>21</v>
      </c>
      <c r="B29" s="367">
        <v>14759</v>
      </c>
      <c r="C29" s="367">
        <v>15059</v>
      </c>
      <c r="D29" s="367">
        <v>15297</v>
      </c>
      <c r="E29" s="367">
        <v>15555</v>
      </c>
      <c r="F29" s="367">
        <v>15751</v>
      </c>
      <c r="G29" s="367">
        <v>15802</v>
      </c>
      <c r="H29" s="367">
        <v>15908</v>
      </c>
      <c r="I29" s="367">
        <v>16031</v>
      </c>
      <c r="J29" s="367">
        <v>16275</v>
      </c>
      <c r="K29" s="367">
        <v>16325</v>
      </c>
      <c r="L29" s="367">
        <v>16580</v>
      </c>
      <c r="M29" s="367">
        <v>16953</v>
      </c>
      <c r="N29" s="367">
        <v>16955</v>
      </c>
      <c r="O29" s="367">
        <v>16816</v>
      </c>
      <c r="P29" s="367">
        <v>16749</v>
      </c>
      <c r="Q29" s="367">
        <v>16806</v>
      </c>
      <c r="R29" s="367">
        <v>16799</v>
      </c>
      <c r="S29" s="611">
        <v>16535</v>
      </c>
      <c r="T29" s="748">
        <v>16395</v>
      </c>
      <c r="U29" s="748">
        <v>16413</v>
      </c>
      <c r="V29" s="748">
        <v>16448</v>
      </c>
      <c r="W29" s="892">
        <v>16673</v>
      </c>
      <c r="X29" s="742"/>
      <c r="Y29" s="742"/>
      <c r="Z29" s="367" t="s">
        <v>21</v>
      </c>
      <c r="AA29" s="367">
        <v>231452</v>
      </c>
      <c r="AB29" s="367">
        <v>255427</v>
      </c>
      <c r="AC29" s="367">
        <v>278199</v>
      </c>
      <c r="AD29" s="367">
        <v>296489</v>
      </c>
      <c r="AE29" s="367">
        <v>313228</v>
      </c>
      <c r="AF29" s="367">
        <v>346242</v>
      </c>
      <c r="AG29" s="367">
        <v>351992</v>
      </c>
      <c r="AH29" s="367">
        <v>371341</v>
      </c>
      <c r="AI29" s="367">
        <v>408572</v>
      </c>
      <c r="AJ29" s="367">
        <v>425255</v>
      </c>
      <c r="AK29" s="367">
        <v>436255</v>
      </c>
      <c r="AL29" s="367">
        <v>450287</v>
      </c>
      <c r="AM29" s="367">
        <v>465344</v>
      </c>
      <c r="AN29" s="367">
        <v>454150</v>
      </c>
      <c r="AO29" s="367">
        <v>466217</v>
      </c>
      <c r="AP29" s="367">
        <v>481778</v>
      </c>
      <c r="AQ29" s="415">
        <v>501659</v>
      </c>
      <c r="AR29" s="8">
        <v>520186</v>
      </c>
      <c r="AS29" s="684">
        <v>479250</v>
      </c>
      <c r="AT29" s="684">
        <v>488869</v>
      </c>
      <c r="AU29" s="683">
        <v>492597</v>
      </c>
      <c r="AV29" s="8">
        <v>538674</v>
      </c>
      <c r="AW29" s="684"/>
      <c r="AX29" s="683"/>
      <c r="AY29" s="367" t="s">
        <v>21</v>
      </c>
      <c r="AZ29" s="39">
        <f t="shared" si="0"/>
        <v>15682.092282674977</v>
      </c>
      <c r="BA29" s="39">
        <f t="shared" si="1"/>
        <v>16961.750448236933</v>
      </c>
      <c r="BB29" s="39">
        <f t="shared" si="2"/>
        <v>18186.507158266326</v>
      </c>
      <c r="BC29" s="39">
        <f t="shared" si="3"/>
        <v>19060.687881710059</v>
      </c>
      <c r="BD29" s="39">
        <f t="shared" si="4"/>
        <v>19886.229445749475</v>
      </c>
      <c r="BE29" s="39">
        <f t="shared" si="5"/>
        <v>21911.277053537528</v>
      </c>
      <c r="BF29" s="39">
        <f t="shared" si="6"/>
        <v>22126.728689967313</v>
      </c>
      <c r="BG29" s="39">
        <f t="shared" si="7"/>
        <v>23163.932381011789</v>
      </c>
      <c r="BH29" s="39">
        <f t="shared" si="8"/>
        <v>25104.270353302611</v>
      </c>
      <c r="BI29" s="39">
        <f t="shared" si="9"/>
        <v>26049.310872894333</v>
      </c>
      <c r="BJ29" s="39">
        <f t="shared" si="10"/>
        <v>26312.123039806997</v>
      </c>
      <c r="BK29" s="39">
        <f t="shared" si="11"/>
        <v>26560.903674865807</v>
      </c>
      <c r="BL29" s="39">
        <f t="shared" si="12"/>
        <v>27445.82718961958</v>
      </c>
      <c r="BM29" s="39">
        <f t="shared" si="13"/>
        <v>27007.017126546147</v>
      </c>
      <c r="BN29" s="39">
        <f t="shared" si="14"/>
        <v>27835.512567914502</v>
      </c>
      <c r="BO29" s="39">
        <f t="shared" si="15"/>
        <v>28667.023682018327</v>
      </c>
      <c r="BP29" s="39">
        <f t="shared" si="16"/>
        <v>29862.432287636166</v>
      </c>
      <c r="BQ29" s="39">
        <f t="shared" si="17"/>
        <v>31459.691563350469</v>
      </c>
      <c r="BR29" s="39">
        <f t="shared" si="18"/>
        <v>29231.473010064045</v>
      </c>
      <c r="BS29" s="39">
        <f t="shared" si="19"/>
        <v>29785.474928410404</v>
      </c>
      <c r="BT29" s="39">
        <f t="shared" si="20"/>
        <v>29948.747568093386</v>
      </c>
      <c r="BU29" s="39">
        <f t="shared" si="21"/>
        <v>32308.162898098723</v>
      </c>
      <c r="BW29" s="367" t="s">
        <v>21</v>
      </c>
      <c r="BX29" s="39">
        <f>(AZ29/CPINormalized[1996])*100</f>
        <v>15682.092282674977</v>
      </c>
      <c r="BY29" s="39">
        <f>(BA29/CPINormalized[1997])*100</f>
        <v>16581.299970893302</v>
      </c>
      <c r="BZ29" s="39">
        <f>(BB29/CPINormalized[1998])*100</f>
        <v>17505.907810625686</v>
      </c>
      <c r="CA29" s="39">
        <f>(BC29/CPINormalized[1999])*100</f>
        <v>17950.9119366165</v>
      </c>
      <c r="CB29" s="39">
        <f>(BD29/CPINormalized[2000])*100</f>
        <v>18119.334494994735</v>
      </c>
      <c r="CC29" s="39">
        <f>(BE29/CPINormalized[2001])*100</f>
        <v>19412.080009599311</v>
      </c>
      <c r="CD29" s="39">
        <f>(BF29/CPINormalized[2002])*100</f>
        <v>19297.85287079417</v>
      </c>
      <c r="CE29" s="39">
        <f>(BG29/CPINormalized[2003])*100</f>
        <v>19752.287992286685</v>
      </c>
      <c r="CF29" s="39">
        <f>(BH29/CPINormalized[2004])*100</f>
        <v>20851.561770424458</v>
      </c>
      <c r="CG29" s="39">
        <f>(BI29/CPINormalized[2005])*100</f>
        <v>20927.480163630928</v>
      </c>
      <c r="CH29" s="39">
        <f>(BJ29/CPINormalized[2006])*100</f>
        <v>20478.036234849791</v>
      </c>
      <c r="CI29" s="39">
        <f>(BK29/CPINormalized[2007])*100</f>
        <v>20099.187750607427</v>
      </c>
      <c r="CJ29" s="39">
        <f>(BL29/CPINormalized[2008])*100</f>
        <v>20000.883805851812</v>
      </c>
      <c r="CK29" s="39">
        <f>(BM29/CPINormalized[2009])*100</f>
        <v>19751.376159613916</v>
      </c>
      <c r="CL29" s="39">
        <f>(BN29/CPINormalized[2010])*100</f>
        <v>20028.76289533783</v>
      </c>
      <c r="CM29" s="39">
        <f>(BO29/CPINormalized[2011])*100</f>
        <v>19995.892289503714</v>
      </c>
      <c r="CN29" s="39">
        <f>(BP29/CPINormalized[2012])*100</f>
        <v>20407.395776588735</v>
      </c>
      <c r="CO29" s="39">
        <f>(BQ29/CPINormalized[2013])*100</f>
        <v>21188.569591339554</v>
      </c>
      <c r="CP29" s="39">
        <f>(BR29/CPINormalized[2014])*100</f>
        <v>19373.55583974997</v>
      </c>
      <c r="CQ29" s="39">
        <f>(BS29/CPINormalized[2015])*100</f>
        <v>19717.324142435322</v>
      </c>
      <c r="CR29" s="39">
        <f>(BT29/CPINormalized[2016])*100</f>
        <v>19578.422685312729</v>
      </c>
      <c r="CS29" s="39">
        <f>(BU29/CPINormalized[2017])*100</f>
        <v>20680.282142263746</v>
      </c>
    </row>
    <row r="30" spans="1:97">
      <c r="A30" s="319" t="s">
        <v>22</v>
      </c>
      <c r="B30" s="367">
        <v>7806</v>
      </c>
      <c r="C30" s="367">
        <v>7771</v>
      </c>
      <c r="D30" s="367">
        <v>7877</v>
      </c>
      <c r="E30" s="367">
        <v>8040</v>
      </c>
      <c r="F30" s="367">
        <v>7998</v>
      </c>
      <c r="G30" s="367">
        <v>7972</v>
      </c>
      <c r="H30" s="367">
        <v>8040</v>
      </c>
      <c r="I30" s="367">
        <v>8125</v>
      </c>
      <c r="J30" s="367">
        <v>8228</v>
      </c>
      <c r="K30" s="367">
        <v>8231</v>
      </c>
      <c r="L30" s="367">
        <v>8331</v>
      </c>
      <c r="M30" s="367">
        <v>8309</v>
      </c>
      <c r="N30" s="367">
        <v>8330</v>
      </c>
      <c r="O30" s="367">
        <v>8382</v>
      </c>
      <c r="P30" s="367">
        <v>8439</v>
      </c>
      <c r="Q30" s="367">
        <v>8315</v>
      </c>
      <c r="R30" s="367">
        <v>8239</v>
      </c>
      <c r="S30" s="611">
        <v>8294</v>
      </c>
      <c r="T30" s="748">
        <v>8292</v>
      </c>
      <c r="U30" s="748">
        <v>8252</v>
      </c>
      <c r="V30" s="748">
        <v>8209</v>
      </c>
      <c r="W30" s="892">
        <v>8361</v>
      </c>
      <c r="X30" s="742"/>
      <c r="Y30" s="742"/>
      <c r="Z30" s="367" t="s">
        <v>22</v>
      </c>
      <c r="AA30" s="367">
        <v>151304</v>
      </c>
      <c r="AB30" s="367">
        <v>165745</v>
      </c>
      <c r="AC30" s="367">
        <v>157968</v>
      </c>
      <c r="AD30" s="367">
        <v>155356</v>
      </c>
      <c r="AE30" s="367">
        <v>177166</v>
      </c>
      <c r="AF30" s="367">
        <v>173811</v>
      </c>
      <c r="AG30" s="367">
        <v>164748</v>
      </c>
      <c r="AH30" s="367">
        <v>172121</v>
      </c>
      <c r="AI30" s="367">
        <v>195414</v>
      </c>
      <c r="AJ30" s="367">
        <v>191929</v>
      </c>
      <c r="AK30" s="367">
        <v>199321</v>
      </c>
      <c r="AL30" s="367">
        <v>217776</v>
      </c>
      <c r="AM30" s="367">
        <v>233445</v>
      </c>
      <c r="AN30" s="367">
        <v>233084</v>
      </c>
      <c r="AO30" s="367">
        <v>232116</v>
      </c>
      <c r="AP30" s="367">
        <v>255334</v>
      </c>
      <c r="AQ30" s="415">
        <v>246662</v>
      </c>
      <c r="AR30" s="8">
        <v>279010</v>
      </c>
      <c r="AS30" s="684">
        <v>310882</v>
      </c>
      <c r="AT30" s="684">
        <v>281319</v>
      </c>
      <c r="AU30" s="683">
        <v>289787</v>
      </c>
      <c r="AV30" s="8">
        <v>284512</v>
      </c>
      <c r="AW30" s="684"/>
      <c r="AX30" s="683"/>
      <c r="AY30" s="367" t="s">
        <v>22</v>
      </c>
      <c r="AZ30" s="39">
        <f t="shared" si="0"/>
        <v>19383.038688188575</v>
      </c>
      <c r="BA30" s="39">
        <f t="shared" si="1"/>
        <v>21328.657830395059</v>
      </c>
      <c r="BB30" s="39">
        <f t="shared" si="2"/>
        <v>20054.335406880793</v>
      </c>
      <c r="BC30" s="39">
        <f t="shared" si="3"/>
        <v>19322.885572139301</v>
      </c>
      <c r="BD30" s="39">
        <f t="shared" si="4"/>
        <v>22151.287821955488</v>
      </c>
      <c r="BE30" s="39">
        <f t="shared" si="5"/>
        <v>21802.684395383843</v>
      </c>
      <c r="BF30" s="39">
        <f t="shared" si="6"/>
        <v>20491.044776119401</v>
      </c>
      <c r="BG30" s="39">
        <f t="shared" si="7"/>
        <v>21184.123076923075</v>
      </c>
      <c r="BH30" s="39">
        <f t="shared" si="8"/>
        <v>23749.878463782206</v>
      </c>
      <c r="BI30" s="39">
        <f t="shared" si="9"/>
        <v>23317.822864779493</v>
      </c>
      <c r="BJ30" s="39">
        <f t="shared" si="10"/>
        <v>23925.219061337175</v>
      </c>
      <c r="BK30" s="39">
        <f t="shared" si="11"/>
        <v>26209.652184378385</v>
      </c>
      <c r="BL30" s="39">
        <f t="shared" si="12"/>
        <v>28024.609843937575</v>
      </c>
      <c r="BM30" s="39">
        <f t="shared" si="13"/>
        <v>27807.683130517777</v>
      </c>
      <c r="BN30" s="39">
        <f t="shared" si="14"/>
        <v>27505.15463917526</v>
      </c>
      <c r="BO30" s="39">
        <f t="shared" si="15"/>
        <v>30707.636800962118</v>
      </c>
      <c r="BP30" s="39">
        <f t="shared" si="16"/>
        <v>29938.342031799977</v>
      </c>
      <c r="BQ30" s="39">
        <f t="shared" si="17"/>
        <v>33639.980708946227</v>
      </c>
      <c r="BR30" s="39">
        <f t="shared" si="18"/>
        <v>37491.799324650266</v>
      </c>
      <c r="BS30" s="39">
        <f t="shared" si="19"/>
        <v>34091.008240426563</v>
      </c>
      <c r="BT30" s="39">
        <f t="shared" si="20"/>
        <v>35301.132902911442</v>
      </c>
      <c r="BU30" s="39">
        <f t="shared" si="21"/>
        <v>34028.46549455807</v>
      </c>
      <c r="BW30" s="367" t="s">
        <v>22</v>
      </c>
      <c r="BX30" s="39">
        <f>(AZ30/CPINormalized[1996])*100</f>
        <v>19383.038688188575</v>
      </c>
      <c r="BY30" s="39">
        <f>(BA30/CPINormalized[1997])*100</f>
        <v>20850.258028591805</v>
      </c>
      <c r="BZ30" s="39">
        <f>(BB30/CPINormalized[1998])*100</f>
        <v>19303.835738279737</v>
      </c>
      <c r="CA30" s="39">
        <f>(BC30/CPINormalized[1999])*100</f>
        <v>18197.843615057962</v>
      </c>
      <c r="CB30" s="39">
        <f>(BD30/CPINormalized[2000])*100</f>
        <v>20183.142039865372</v>
      </c>
      <c r="CC30" s="39">
        <f>(BE30/CPINormalized[2001])*100</f>
        <v>19315.873414092181</v>
      </c>
      <c r="CD30" s="39">
        <f>(BF30/CPINormalized[2002])*100</f>
        <v>17871.28919051214</v>
      </c>
      <c r="CE30" s="39">
        <f>(BG30/CPINormalized[2003])*100</f>
        <v>18064.070167224079</v>
      </c>
      <c r="CF30" s="39">
        <f>(BH30/CPINormalized[2004])*100</f>
        <v>19726.606304750814</v>
      </c>
      <c r="CG30" s="39">
        <f>(BI30/CPINormalized[2005])*100</f>
        <v>18733.058922088596</v>
      </c>
      <c r="CH30" s="39">
        <f>(BJ30/CPINormalized[2006])*100</f>
        <v>18620.371382558544</v>
      </c>
      <c r="CI30" s="39">
        <f>(BK30/CPINormalized[2007])*100</f>
        <v>19833.388448693309</v>
      </c>
      <c r="CJ30" s="39">
        <f>(BL30/CPINormalized[2008])*100</f>
        <v>20422.666124084692</v>
      </c>
      <c r="CK30" s="39">
        <f>(BM30/CPINormalized[2009])*100</f>
        <v>20336.937139879083</v>
      </c>
      <c r="CL30" s="39">
        <f>(BN30/CPINormalized[2010])*100</f>
        <v>19791.057172866596</v>
      </c>
      <c r="CM30" s="39">
        <f>(BO30/CPINormalized[2011])*100</f>
        <v>21419.265730135532</v>
      </c>
      <c r="CN30" s="39">
        <f>(BP30/CPINormalized[2012])*100</f>
        <v>20459.270994840528</v>
      </c>
      <c r="CO30" s="39">
        <f>(BQ30/CPINormalized[2013])*100</f>
        <v>22657.026718380057</v>
      </c>
      <c r="CP30" s="39">
        <f>(BR30/CPINormalized[2014])*100</f>
        <v>24848.19931923167</v>
      </c>
      <c r="CQ30" s="39">
        <f>(BS30/CPINormalized[2015])*100</f>
        <v>22567.491753430884</v>
      </c>
      <c r="CR30" s="39">
        <f>(BT30/CPINormalized[2016])*100</f>
        <v>23077.442543204175</v>
      </c>
      <c r="CS30" s="39">
        <f>(BU30/CPINormalized[2017])*100</f>
        <v>21781.438626371415</v>
      </c>
    </row>
    <row r="31" spans="1:97">
      <c r="A31" s="319" t="s">
        <v>23</v>
      </c>
      <c r="B31" s="367">
        <v>11190</v>
      </c>
      <c r="C31" s="367">
        <v>11218</v>
      </c>
      <c r="D31" s="367">
        <v>11406</v>
      </c>
      <c r="E31" s="367">
        <v>11500</v>
      </c>
      <c r="F31" s="367">
        <v>13137</v>
      </c>
      <c r="G31" s="367">
        <v>13111</v>
      </c>
      <c r="H31" s="367">
        <v>13180</v>
      </c>
      <c r="I31" s="367">
        <v>13284</v>
      </c>
      <c r="J31" s="367">
        <v>12734</v>
      </c>
      <c r="K31" s="367">
        <v>12727</v>
      </c>
      <c r="L31" s="367">
        <v>12882</v>
      </c>
      <c r="M31" s="367">
        <v>12921</v>
      </c>
      <c r="N31" s="367">
        <v>12833</v>
      </c>
      <c r="O31" s="367">
        <v>12825</v>
      </c>
      <c r="P31" s="367">
        <v>12863</v>
      </c>
      <c r="Q31" s="367">
        <v>12929</v>
      </c>
      <c r="R31" s="367">
        <v>12940</v>
      </c>
      <c r="S31" s="611">
        <v>12840</v>
      </c>
      <c r="T31" s="748">
        <v>12659</v>
      </c>
      <c r="U31" s="748">
        <v>12645</v>
      </c>
      <c r="V31" s="748">
        <v>12613</v>
      </c>
      <c r="W31" s="892">
        <v>12588</v>
      </c>
      <c r="X31" s="742"/>
      <c r="Y31" s="742"/>
      <c r="Z31" s="367" t="s">
        <v>23</v>
      </c>
      <c r="AA31" s="367">
        <v>157007</v>
      </c>
      <c r="AB31" s="367">
        <v>170896</v>
      </c>
      <c r="AC31" s="367">
        <v>173156</v>
      </c>
      <c r="AD31" s="367">
        <v>175563</v>
      </c>
      <c r="AE31" s="367">
        <v>194373</v>
      </c>
      <c r="AF31" s="367">
        <v>196760</v>
      </c>
      <c r="AG31" s="367">
        <v>193662</v>
      </c>
      <c r="AH31" s="367">
        <v>203733</v>
      </c>
      <c r="AI31" s="367">
        <v>235503</v>
      </c>
      <c r="AJ31" s="367">
        <v>239144</v>
      </c>
      <c r="AK31" s="367">
        <v>252425</v>
      </c>
      <c r="AL31" s="367">
        <v>278136</v>
      </c>
      <c r="AM31" s="367">
        <v>297004</v>
      </c>
      <c r="AN31" s="367">
        <v>302727</v>
      </c>
      <c r="AO31" s="367">
        <v>307211</v>
      </c>
      <c r="AP31" s="367">
        <v>327424</v>
      </c>
      <c r="AQ31" s="415">
        <v>324005</v>
      </c>
      <c r="AR31" s="8">
        <v>340617</v>
      </c>
      <c r="AS31" s="684">
        <v>315839</v>
      </c>
      <c r="AT31" s="684">
        <v>308092</v>
      </c>
      <c r="AU31" s="683">
        <v>320244</v>
      </c>
      <c r="AV31" s="8">
        <v>342847</v>
      </c>
      <c r="AW31" s="684"/>
      <c r="AX31" s="683"/>
      <c r="AY31" s="367" t="s">
        <v>23</v>
      </c>
      <c r="AZ31" s="39">
        <f t="shared" si="0"/>
        <v>14031.009830205541</v>
      </c>
      <c r="BA31" s="39">
        <f t="shared" si="1"/>
        <v>15234.088072740238</v>
      </c>
      <c r="BB31" s="39">
        <f t="shared" si="2"/>
        <v>15181.132737155884</v>
      </c>
      <c r="BC31" s="39">
        <f t="shared" si="3"/>
        <v>15266.347826086956</v>
      </c>
      <c r="BD31" s="39">
        <f t="shared" si="4"/>
        <v>14795.843799954328</v>
      </c>
      <c r="BE31" s="39">
        <f t="shared" si="5"/>
        <v>15007.245824117153</v>
      </c>
      <c r="BF31" s="39">
        <f t="shared" si="6"/>
        <v>14693.626707132018</v>
      </c>
      <c r="BG31" s="39">
        <f t="shared" si="7"/>
        <v>15336.720867208673</v>
      </c>
      <c r="BH31" s="39">
        <f t="shared" si="8"/>
        <v>18494.031726087636</v>
      </c>
      <c r="BI31" s="39">
        <f t="shared" si="9"/>
        <v>18790.28836332207</v>
      </c>
      <c r="BJ31" s="39">
        <f t="shared" si="10"/>
        <v>19595.171557211615</v>
      </c>
      <c r="BK31" s="39">
        <f t="shared" si="11"/>
        <v>21525.888089157186</v>
      </c>
      <c r="BL31" s="39">
        <f t="shared" si="12"/>
        <v>23143.769968051118</v>
      </c>
      <c r="BM31" s="39">
        <f t="shared" si="13"/>
        <v>23604.444444444442</v>
      </c>
      <c r="BN31" s="39">
        <f t="shared" si="14"/>
        <v>23883.30871491876</v>
      </c>
      <c r="BO31" s="39">
        <f t="shared" si="15"/>
        <v>25324.7737644056</v>
      </c>
      <c r="BP31" s="39">
        <f t="shared" si="16"/>
        <v>25039.026275115921</v>
      </c>
      <c r="BQ31" s="39">
        <f t="shared" si="17"/>
        <v>26527.803738317758</v>
      </c>
      <c r="BR31" s="39">
        <f t="shared" si="18"/>
        <v>24949.759064697057</v>
      </c>
      <c r="BS31" s="39">
        <f t="shared" si="19"/>
        <v>24364.729141953339</v>
      </c>
      <c r="BT31" s="39">
        <f t="shared" si="20"/>
        <v>25389.994450170459</v>
      </c>
      <c r="BU31" s="39">
        <f t="shared" si="21"/>
        <v>27236.018430251032</v>
      </c>
      <c r="BW31" s="367" t="s">
        <v>23</v>
      </c>
      <c r="BX31" s="39">
        <f>(AZ31/CPINormalized[1996])*100</f>
        <v>14031.009830205543</v>
      </c>
      <c r="BY31" s="39">
        <f>(BA31/CPINormalized[1997])*100</f>
        <v>14892.388901015223</v>
      </c>
      <c r="BZ31" s="39">
        <f>(BB31/CPINormalized[1998])*100</f>
        <v>14613.004456808336</v>
      </c>
      <c r="CA31" s="39">
        <f>(BC31/CPINormalized[1999])*100</f>
        <v>14377.490839814185</v>
      </c>
      <c r="CB31" s="39">
        <f>(BD31/CPINormalized[2000])*100</f>
        <v>13481.230500655252</v>
      </c>
      <c r="CC31" s="39">
        <f>(BE31/CPINormalized[2001])*100</f>
        <v>13295.521568627788</v>
      </c>
      <c r="CD31" s="39">
        <f>(BF31/CPINormalized[2002])*100</f>
        <v>12815.064093101799</v>
      </c>
      <c r="CE31" s="39">
        <f>(BG31/CPINormalized[2003])*100</f>
        <v>13077.888609049134</v>
      </c>
      <c r="CF31" s="39">
        <f>(BH31/CPINormalized[2004])*100</f>
        <v>15361.109464389361</v>
      </c>
      <c r="CG31" s="39">
        <f>(BI31/CPINormalized[2005])*100</f>
        <v>15095.730897108206</v>
      </c>
      <c r="CH31" s="39">
        <f>(BJ31/CPINormalized[2006])*100</f>
        <v>15250.408816103683</v>
      </c>
      <c r="CI31" s="39">
        <f>(BK31/CPINormalized[2007])*100</f>
        <v>16289.086828470656</v>
      </c>
      <c r="CJ31" s="39">
        <f>(BL31/CPINormalized[2008])*100</f>
        <v>16865.80079231233</v>
      </c>
      <c r="CK31" s="39">
        <f>(BM31/CPINormalized[2009])*100</f>
        <v>17262.930558986714</v>
      </c>
      <c r="CL31" s="39">
        <f>(BN31/CPINormalized[2010])*100</f>
        <v>17184.994393049277</v>
      </c>
      <c r="CM31" s="39">
        <f>(BO31/CPINormalized[2011])*100</f>
        <v>17664.597973829521</v>
      </c>
      <c r="CN31" s="39">
        <f>(BP31/CPINormalized[2012])*100</f>
        <v>17111.175477432716</v>
      </c>
      <c r="CO31" s="39">
        <f>(BQ31/CPINormalized[2013])*100</f>
        <v>17866.869879600341</v>
      </c>
      <c r="CP31" s="39">
        <f>(BR31/CPINormalized[2014])*100</f>
        <v>16535.791756433195</v>
      </c>
      <c r="CQ31" s="39">
        <f>(BS31/CPINormalized[2015])*100</f>
        <v>16128.910594482588</v>
      </c>
      <c r="CR31" s="39">
        <f>(BT31/CPINormalized[2016])*100</f>
        <v>16598.224756910193</v>
      </c>
      <c r="CS31" s="39">
        <f>(BU31/CPINormalized[2017])*100</f>
        <v>17433.629616948379</v>
      </c>
    </row>
    <row r="32" spans="1:97">
      <c r="A32" s="319" t="s">
        <v>24</v>
      </c>
      <c r="B32" s="367">
        <v>14468</v>
      </c>
      <c r="C32" s="367">
        <v>14573</v>
      </c>
      <c r="D32" s="367">
        <v>14665</v>
      </c>
      <c r="E32" s="367">
        <v>14833</v>
      </c>
      <c r="F32" s="367">
        <v>14947</v>
      </c>
      <c r="G32" s="367">
        <v>15088</v>
      </c>
      <c r="H32" s="367">
        <v>14935</v>
      </c>
      <c r="I32" s="367">
        <v>15050</v>
      </c>
      <c r="J32" s="367">
        <v>15157</v>
      </c>
      <c r="K32" s="367">
        <v>15257</v>
      </c>
      <c r="L32" s="367">
        <v>15419</v>
      </c>
      <c r="M32" s="367">
        <v>15344</v>
      </c>
      <c r="N32" s="367">
        <v>15495</v>
      </c>
      <c r="O32" s="367">
        <v>15544</v>
      </c>
      <c r="P32" s="367">
        <v>15706</v>
      </c>
      <c r="Q32" s="367">
        <v>15585</v>
      </c>
      <c r="R32" s="367">
        <v>15647</v>
      </c>
      <c r="S32" s="611">
        <v>15730</v>
      </c>
      <c r="T32" s="748">
        <v>15577</v>
      </c>
      <c r="U32" s="748">
        <v>15616</v>
      </c>
      <c r="V32" s="748">
        <v>15387</v>
      </c>
      <c r="W32" s="892">
        <v>15480</v>
      </c>
      <c r="X32" s="742"/>
      <c r="Y32" s="742"/>
      <c r="Z32" s="367" t="s">
        <v>24</v>
      </c>
      <c r="AA32" s="367">
        <v>244049</v>
      </c>
      <c r="AB32" s="367">
        <v>259952</v>
      </c>
      <c r="AC32" s="367">
        <v>271369</v>
      </c>
      <c r="AD32" s="367">
        <v>276606</v>
      </c>
      <c r="AE32" s="367">
        <v>296701</v>
      </c>
      <c r="AF32" s="367">
        <v>316546</v>
      </c>
      <c r="AG32" s="367">
        <v>317790</v>
      </c>
      <c r="AH32" s="367">
        <v>324979</v>
      </c>
      <c r="AI32" s="367">
        <v>347304</v>
      </c>
      <c r="AJ32" s="367">
        <v>368363</v>
      </c>
      <c r="AK32" s="367">
        <v>393821</v>
      </c>
      <c r="AL32" s="367">
        <v>407148</v>
      </c>
      <c r="AM32" s="367">
        <v>420705</v>
      </c>
      <c r="AN32" s="367">
        <v>436047</v>
      </c>
      <c r="AO32" s="367">
        <v>434078</v>
      </c>
      <c r="AP32" s="367">
        <v>441390</v>
      </c>
      <c r="AQ32" s="415">
        <v>454710</v>
      </c>
      <c r="AR32" s="8">
        <v>477297</v>
      </c>
      <c r="AS32" s="684">
        <v>466507</v>
      </c>
      <c r="AT32" s="684">
        <v>484007</v>
      </c>
      <c r="AU32" s="683">
        <v>485549</v>
      </c>
      <c r="AV32" s="8">
        <v>486913</v>
      </c>
      <c r="AW32" s="684"/>
      <c r="AX32" s="683"/>
      <c r="AY32" s="367" t="s">
        <v>24</v>
      </c>
      <c r="AZ32" s="39">
        <f t="shared" si="0"/>
        <v>16868.191871716892</v>
      </c>
      <c r="BA32" s="39">
        <f t="shared" si="1"/>
        <v>17837.919440060385</v>
      </c>
      <c r="BB32" s="39">
        <f t="shared" si="2"/>
        <v>18504.534606205252</v>
      </c>
      <c r="BC32" s="39">
        <f t="shared" si="3"/>
        <v>18648.01456212499</v>
      </c>
      <c r="BD32" s="39">
        <f t="shared" si="4"/>
        <v>19850.204054325281</v>
      </c>
      <c r="BE32" s="39">
        <f t="shared" si="5"/>
        <v>20979.984093319192</v>
      </c>
      <c r="BF32" s="39">
        <f t="shared" si="6"/>
        <v>21278.205557415469</v>
      </c>
      <c r="BG32" s="39">
        <f t="shared" si="7"/>
        <v>21593.289036544851</v>
      </c>
      <c r="BH32" s="39">
        <f t="shared" si="8"/>
        <v>22913.769215543973</v>
      </c>
      <c r="BI32" s="39">
        <f t="shared" si="9"/>
        <v>24143.868388280789</v>
      </c>
      <c r="BJ32" s="39">
        <f t="shared" si="10"/>
        <v>25541.280238666579</v>
      </c>
      <c r="BK32" s="39">
        <f t="shared" si="11"/>
        <v>26534.671532846714</v>
      </c>
      <c r="BL32" s="39">
        <f t="shared" si="12"/>
        <v>27151.016456921589</v>
      </c>
      <c r="BM32" s="39">
        <f t="shared" si="13"/>
        <v>28052.431806484819</v>
      </c>
      <c r="BN32" s="39">
        <f t="shared" si="14"/>
        <v>27637.718069527567</v>
      </c>
      <c r="BO32" s="39">
        <f t="shared" si="15"/>
        <v>28321.462945139559</v>
      </c>
      <c r="BP32" s="39">
        <f t="shared" si="16"/>
        <v>29060.522783920242</v>
      </c>
      <c r="BQ32" s="39">
        <f t="shared" si="17"/>
        <v>30343.102352193262</v>
      </c>
      <c r="BR32" s="39">
        <f t="shared" si="18"/>
        <v>29948.449637285739</v>
      </c>
      <c r="BS32" s="39">
        <f t="shared" si="19"/>
        <v>30994.300717213115</v>
      </c>
      <c r="BT32" s="39">
        <f t="shared" si="20"/>
        <v>31555.793851952949</v>
      </c>
      <c r="BU32" s="39">
        <f t="shared" si="21"/>
        <v>31454.328165374674</v>
      </c>
      <c r="BW32" s="367" t="s">
        <v>24</v>
      </c>
      <c r="BX32" s="39">
        <f>(AZ32/CPINormalized[1996])*100</f>
        <v>16868.191871716892</v>
      </c>
      <c r="BY32" s="39">
        <f>(BA32/CPINormalized[1997])*100</f>
        <v>17437.816574115102</v>
      </c>
      <c r="BZ32" s="39">
        <f>(BB32/CPINormalized[1998])*100</f>
        <v>17812.033617874873</v>
      </c>
      <c r="CA32" s="39">
        <f>(BC32/CPINormalized[1999])*100</f>
        <v>17562.26581511051</v>
      </c>
      <c r="CB32" s="39">
        <f>(BD32/CPINormalized[2000])*100</f>
        <v>18086.509965874779</v>
      </c>
      <c r="CC32" s="39">
        <f>(BE32/CPINormalized[2001])*100</f>
        <v>18587.010187700627</v>
      </c>
      <c r="CD32" s="39">
        <f>(BF32/CPINormalized[2002])*100</f>
        <v>18557.812406661964</v>
      </c>
      <c r="CE32" s="39">
        <f>(BG32/CPINormalized[2003])*100</f>
        <v>18412.973096923302</v>
      </c>
      <c r="CF32" s="39">
        <f>(BH32/CPINormalized[2004])*100</f>
        <v>19032.135468072258</v>
      </c>
      <c r="CG32" s="39">
        <f>(BI32/CPINormalized[2005])*100</f>
        <v>19396.686892581954</v>
      </c>
      <c r="CH32" s="39">
        <f>(BJ32/CPINormalized[2006])*100</f>
        <v>19878.109471462234</v>
      </c>
      <c r="CI32" s="39">
        <f>(BK32/CPINormalized[2007])*100</f>
        <v>20079.337343633462</v>
      </c>
      <c r="CJ32" s="39">
        <f>(BL32/CPINormalized[2008])*100</f>
        <v>19786.043306832686</v>
      </c>
      <c r="CK32" s="39">
        <f>(BM32/CPINormalized[2009])*100</f>
        <v>20515.932218859536</v>
      </c>
      <c r="CL32" s="39">
        <f>(BN32/CPINormalized[2010])*100</f>
        <v>19886.441854885328</v>
      </c>
      <c r="CM32" s="39">
        <f>(BO32/CPINormalized[2011])*100</f>
        <v>19754.855921349332</v>
      </c>
      <c r="CN32" s="39">
        <f>(BP32/CPINormalized[2012])*100</f>
        <v>19859.386677339502</v>
      </c>
      <c r="CO32" s="39">
        <f>(BQ32/CPINormalized[2013])*100</f>
        <v>20436.53017105785</v>
      </c>
      <c r="CP32" s="39">
        <f>(BR32/CPINormalized[2014])*100</f>
        <v>19848.741839391278</v>
      </c>
      <c r="CQ32" s="39">
        <f>(BS32/CPINormalized[2015])*100</f>
        <v>20517.540018356231</v>
      </c>
      <c r="CR32" s="39">
        <f>(BT32/CPINormalized[2016])*100</f>
        <v>20628.998551589815</v>
      </c>
      <c r="CS32" s="39">
        <f>(BU32/CPINormalized[2017])*100</f>
        <v>20133.74709998077</v>
      </c>
    </row>
    <row r="33" spans="1:97">
      <c r="A33" s="319" t="s">
        <v>25</v>
      </c>
      <c r="B33" s="367">
        <v>12641</v>
      </c>
      <c r="C33" s="367">
        <v>12747</v>
      </c>
      <c r="D33" s="367">
        <v>12962</v>
      </c>
      <c r="E33" s="367">
        <v>12966</v>
      </c>
      <c r="F33" s="367">
        <v>13097</v>
      </c>
      <c r="G33" s="367">
        <v>13070</v>
      </c>
      <c r="H33" s="367">
        <v>13270</v>
      </c>
      <c r="I33" s="367">
        <v>13239</v>
      </c>
      <c r="J33" s="367">
        <v>13372</v>
      </c>
      <c r="K33" s="367">
        <v>13474</v>
      </c>
      <c r="L33" s="367">
        <v>13573</v>
      </c>
      <c r="M33" s="367">
        <v>13637</v>
      </c>
      <c r="N33" s="367">
        <v>13800</v>
      </c>
      <c r="O33" s="367">
        <v>13793</v>
      </c>
      <c r="P33" s="367">
        <v>13643</v>
      </c>
      <c r="Q33" s="367">
        <v>13630</v>
      </c>
      <c r="R33" s="367">
        <v>13585</v>
      </c>
      <c r="S33" s="611">
        <v>13515</v>
      </c>
      <c r="T33" s="748">
        <v>13546</v>
      </c>
      <c r="U33" s="748">
        <v>13372</v>
      </c>
      <c r="V33" s="748">
        <v>13358</v>
      </c>
      <c r="W33" s="892">
        <v>13300</v>
      </c>
      <c r="X33" s="742"/>
      <c r="Y33" s="742"/>
      <c r="Z33" s="367" t="s">
        <v>25</v>
      </c>
      <c r="AA33" s="367">
        <v>175647</v>
      </c>
      <c r="AB33" s="367">
        <v>193965</v>
      </c>
      <c r="AC33" s="367">
        <v>203028</v>
      </c>
      <c r="AD33" s="367">
        <v>208800</v>
      </c>
      <c r="AE33" s="367">
        <v>226206</v>
      </c>
      <c r="AF33" s="367">
        <v>241408</v>
      </c>
      <c r="AG33" s="367">
        <v>246406</v>
      </c>
      <c r="AH33" s="367">
        <v>260565</v>
      </c>
      <c r="AI33" s="367">
        <v>280708</v>
      </c>
      <c r="AJ33" s="367">
        <v>299030</v>
      </c>
      <c r="AK33" s="367">
        <v>315151</v>
      </c>
      <c r="AL33" s="367">
        <v>324002</v>
      </c>
      <c r="AM33" s="367">
        <v>336022</v>
      </c>
      <c r="AN33" s="367">
        <v>334578</v>
      </c>
      <c r="AO33" s="367">
        <v>331165</v>
      </c>
      <c r="AP33" s="367">
        <v>349349</v>
      </c>
      <c r="AQ33" s="415">
        <v>360162</v>
      </c>
      <c r="AR33" s="8">
        <v>373998</v>
      </c>
      <c r="AS33" s="684">
        <v>312714</v>
      </c>
      <c r="AT33" s="684">
        <v>317733</v>
      </c>
      <c r="AU33" s="683">
        <v>320230</v>
      </c>
      <c r="AV33" s="8">
        <v>351956</v>
      </c>
      <c r="AW33" s="684"/>
      <c r="AX33" s="683"/>
      <c r="AY33" s="367" t="s">
        <v>25</v>
      </c>
      <c r="AZ33" s="39">
        <f t="shared" si="0"/>
        <v>13895.024127837987</v>
      </c>
      <c r="BA33" s="39">
        <f t="shared" si="1"/>
        <v>15216.521534478701</v>
      </c>
      <c r="BB33" s="39">
        <f t="shared" si="2"/>
        <v>15663.32356117883</v>
      </c>
      <c r="BC33" s="39">
        <f t="shared" si="3"/>
        <v>16103.655714946783</v>
      </c>
      <c r="BD33" s="39">
        <f t="shared" si="4"/>
        <v>17271.58891349164</v>
      </c>
      <c r="BE33" s="39">
        <f t="shared" si="5"/>
        <v>18470.390206579952</v>
      </c>
      <c r="BF33" s="39">
        <f t="shared" si="6"/>
        <v>18568.651092690277</v>
      </c>
      <c r="BG33" s="39">
        <f t="shared" si="7"/>
        <v>19681.622479039201</v>
      </c>
      <c r="BH33" s="39">
        <f t="shared" si="8"/>
        <v>20992.222554591684</v>
      </c>
      <c r="BI33" s="39">
        <f t="shared" si="9"/>
        <v>22193.112661421997</v>
      </c>
      <c r="BJ33" s="39">
        <f t="shared" si="10"/>
        <v>23218.964119944008</v>
      </c>
      <c r="BK33" s="39">
        <f t="shared" si="11"/>
        <v>23759.03791156413</v>
      </c>
      <c r="BL33" s="39">
        <f t="shared" si="12"/>
        <v>24349.420289855072</v>
      </c>
      <c r="BM33" s="39">
        <f t="shared" si="13"/>
        <v>24257.086928151959</v>
      </c>
      <c r="BN33" s="39">
        <f t="shared" si="14"/>
        <v>24273.62017151653</v>
      </c>
      <c r="BO33" s="39">
        <f t="shared" si="15"/>
        <v>25630.887747615554</v>
      </c>
      <c r="BP33" s="39">
        <f t="shared" si="16"/>
        <v>26511.740890688259</v>
      </c>
      <c r="BQ33" s="39">
        <f t="shared" si="17"/>
        <v>27672.807991120975</v>
      </c>
      <c r="BR33" s="39">
        <f t="shared" si="18"/>
        <v>23085.338845415619</v>
      </c>
      <c r="BS33" s="39">
        <f t="shared" si="19"/>
        <v>23761.067903081068</v>
      </c>
      <c r="BT33" s="39">
        <f t="shared" si="20"/>
        <v>23972.900134750715</v>
      </c>
      <c r="BU33" s="39">
        <f t="shared" si="21"/>
        <v>26462.857142857141</v>
      </c>
      <c r="BW33" s="367" t="s">
        <v>25</v>
      </c>
      <c r="BX33" s="39">
        <f>(AZ33/CPINormalized[1996])*100</f>
        <v>13895.024127837987</v>
      </c>
      <c r="BY33" s="39">
        <f>(BA33/CPINormalized[1997])*100</f>
        <v>14875.216378565159</v>
      </c>
      <c r="BZ33" s="39">
        <f>(BB33/CPINormalized[1998])*100</f>
        <v>15077.150102754347</v>
      </c>
      <c r="CA33" s="39">
        <f>(BC33/CPINormalized[1999])*100</f>
        <v>15166.047909214589</v>
      </c>
      <c r="CB33" s="39">
        <f>(BD33/CPINormalized[2000])*100</f>
        <v>15737.005229540297</v>
      </c>
      <c r="CC33" s="39">
        <f>(BE33/CPINormalized[2001])*100</f>
        <v>16363.66021125011</v>
      </c>
      <c r="CD33" s="39">
        <f>(BF33/CPINormalized[2002])*100</f>
        <v>16194.671242040604</v>
      </c>
      <c r="CE33" s="39">
        <f>(BG33/CPINormalized[2003])*100</f>
        <v>16782.86177696332</v>
      </c>
      <c r="CF33" s="39">
        <f>(BH33/CPINormalized[2004])*100</f>
        <v>17436.102270065832</v>
      </c>
      <c r="CG33" s="39">
        <f>(BI33/CPINormalized[2005])*100</f>
        <v>17829.489895428116</v>
      </c>
      <c r="CH33" s="39">
        <f>(BJ33/CPINormalized[2006])*100</f>
        <v>18070.711658825472</v>
      </c>
      <c r="CI33" s="39">
        <f>(BK33/CPINormalized[2007])*100</f>
        <v>17978.957704297307</v>
      </c>
      <c r="CJ33" s="39">
        <f>(BL33/CPINormalized[2008])*100</f>
        <v>17744.40692177193</v>
      </c>
      <c r="CK33" s="39">
        <f>(BM33/CPINormalized[2009])*100</f>
        <v>17740.235665768803</v>
      </c>
      <c r="CL33" s="39">
        <f>(BN33/CPINormalized[2010])*100</f>
        <v>17465.83907304061</v>
      </c>
      <c r="CM33" s="39">
        <f>(BO33/CPINormalized[2011])*100</f>
        <v>17878.119346137755</v>
      </c>
      <c r="CN33" s="39">
        <f>(BP33/CPINormalized[2012])*100</f>
        <v>18117.59952676894</v>
      </c>
      <c r="CO33" s="39">
        <f>(BQ33/CPINormalized[2013])*100</f>
        <v>18638.04725252678</v>
      </c>
      <c r="CP33" s="39">
        <f>(BR33/CPINormalized[2014])*100</f>
        <v>15300.121928416935</v>
      </c>
      <c r="CQ33" s="39">
        <f>(BS33/CPINormalized[2015])*100</f>
        <v>15729.300235820298</v>
      </c>
      <c r="CR33" s="39">
        <f>(BT33/CPINormalized[2016])*100</f>
        <v>15671.826368157539</v>
      </c>
      <c r="CS33" s="39">
        <f>(BU33/CPINormalized[2017])*100</f>
        <v>16938.733215218203</v>
      </c>
    </row>
    <row r="34" spans="1:97">
      <c r="A34" s="319" t="s">
        <v>26</v>
      </c>
      <c r="B34" s="367">
        <v>33549</v>
      </c>
      <c r="C34" s="367">
        <v>33443</v>
      </c>
      <c r="D34" s="367">
        <v>33362</v>
      </c>
      <c r="E34" s="367">
        <v>33264</v>
      </c>
      <c r="F34" s="367">
        <v>33148</v>
      </c>
      <c r="G34" s="367">
        <v>33006</v>
      </c>
      <c r="H34" s="367">
        <v>32871</v>
      </c>
      <c r="I34" s="367">
        <v>32723</v>
      </c>
      <c r="J34" s="367">
        <v>32420</v>
      </c>
      <c r="K34" s="367">
        <v>32581</v>
      </c>
      <c r="L34" s="367">
        <v>32388</v>
      </c>
      <c r="M34" s="367">
        <v>32255</v>
      </c>
      <c r="N34" s="367">
        <v>32158</v>
      </c>
      <c r="O34" s="367">
        <v>31977</v>
      </c>
      <c r="P34" s="367">
        <v>31919</v>
      </c>
      <c r="Q34" s="367">
        <v>31970</v>
      </c>
      <c r="R34" s="367">
        <v>31826</v>
      </c>
      <c r="S34" s="611">
        <v>31712</v>
      </c>
      <c r="T34" s="748">
        <v>31358</v>
      </c>
      <c r="U34" s="748">
        <v>30877</v>
      </c>
      <c r="V34" s="748">
        <v>30535</v>
      </c>
      <c r="W34" s="892">
        <v>30119</v>
      </c>
      <c r="X34" s="742"/>
      <c r="Y34" s="742"/>
      <c r="Z34" s="367" t="s">
        <v>26</v>
      </c>
      <c r="AA34" s="367">
        <v>597113</v>
      </c>
      <c r="AB34" s="367">
        <v>623586</v>
      </c>
      <c r="AC34" s="367">
        <v>607622</v>
      </c>
      <c r="AD34" s="367">
        <v>626997</v>
      </c>
      <c r="AE34" s="367">
        <v>666178</v>
      </c>
      <c r="AF34" s="367">
        <v>695587</v>
      </c>
      <c r="AG34" s="367">
        <v>698901</v>
      </c>
      <c r="AH34" s="367">
        <v>783167</v>
      </c>
      <c r="AI34" s="367">
        <v>821679</v>
      </c>
      <c r="AJ34" s="367">
        <v>826308</v>
      </c>
      <c r="AK34" s="367">
        <v>859873</v>
      </c>
      <c r="AL34" s="367">
        <v>893634</v>
      </c>
      <c r="AM34" s="367">
        <v>949781</v>
      </c>
      <c r="AN34" s="367">
        <v>940287</v>
      </c>
      <c r="AO34" s="367">
        <v>972923</v>
      </c>
      <c r="AP34" s="367">
        <v>1021052</v>
      </c>
      <c r="AQ34" s="415">
        <v>1005258</v>
      </c>
      <c r="AR34" s="8">
        <v>1085642</v>
      </c>
      <c r="AS34" s="684">
        <v>979638</v>
      </c>
      <c r="AT34" s="684">
        <v>983414</v>
      </c>
      <c r="AU34" s="683">
        <v>979513</v>
      </c>
      <c r="AV34" s="8">
        <v>987617</v>
      </c>
      <c r="AW34" s="684"/>
      <c r="AX34" s="683"/>
      <c r="AY34" s="367" t="s">
        <v>26</v>
      </c>
      <c r="AZ34" s="39">
        <f t="shared" si="0"/>
        <v>17798.23541685296</v>
      </c>
      <c r="BA34" s="39">
        <f t="shared" si="1"/>
        <v>18646.233890500254</v>
      </c>
      <c r="BB34" s="39">
        <f t="shared" si="2"/>
        <v>18212.99682273245</v>
      </c>
      <c r="BC34" s="39">
        <f t="shared" si="3"/>
        <v>18849.116161616163</v>
      </c>
      <c r="BD34" s="39">
        <f t="shared" si="4"/>
        <v>20097.079763484977</v>
      </c>
      <c r="BE34" s="39">
        <f t="shared" si="5"/>
        <v>21074.562200811975</v>
      </c>
      <c r="BF34" s="39">
        <f t="shared" si="6"/>
        <v>21261.933010860637</v>
      </c>
      <c r="BG34" s="39">
        <f t="shared" si="7"/>
        <v>23933.227393576384</v>
      </c>
      <c r="BH34" s="39">
        <f t="shared" si="8"/>
        <v>25344.818013571872</v>
      </c>
      <c r="BI34" s="39">
        <f t="shared" si="9"/>
        <v>25361.652496853996</v>
      </c>
      <c r="BJ34" s="39">
        <f t="shared" si="10"/>
        <v>26549.123132024208</v>
      </c>
      <c r="BK34" s="39">
        <f t="shared" si="11"/>
        <v>27705.286002170204</v>
      </c>
      <c r="BL34" s="39">
        <f t="shared" si="12"/>
        <v>29534.828036569441</v>
      </c>
      <c r="BM34" s="39">
        <f t="shared" si="13"/>
        <v>29405.103668261563</v>
      </c>
      <c r="BN34" s="39">
        <f t="shared" si="14"/>
        <v>30480.998778157213</v>
      </c>
      <c r="BO34" s="39">
        <f t="shared" si="15"/>
        <v>31937.816703159209</v>
      </c>
      <c r="BP34" s="39">
        <f t="shared" si="16"/>
        <v>31586.061710551119</v>
      </c>
      <c r="BQ34" s="39">
        <f t="shared" si="17"/>
        <v>34234.422300706356</v>
      </c>
      <c r="BR34" s="39">
        <f t="shared" si="18"/>
        <v>31240.449008227566</v>
      </c>
      <c r="BS34" s="39">
        <f t="shared" si="19"/>
        <v>31849.402467856333</v>
      </c>
      <c r="BT34" s="39">
        <f t="shared" si="20"/>
        <v>32078.369084656948</v>
      </c>
      <c r="BU34" s="39">
        <f t="shared" si="21"/>
        <v>32790.497692486468</v>
      </c>
      <c r="BW34" s="367" t="s">
        <v>26</v>
      </c>
      <c r="BX34" s="39">
        <f>(AZ34/CPINormalized[1996])*100</f>
        <v>17798.23541685296</v>
      </c>
      <c r="BY34" s="39">
        <f>(BA34/CPINormalized[1997])*100</f>
        <v>18228.000606975012</v>
      </c>
      <c r="BZ34" s="39">
        <f>(BB34/CPINormalized[1998])*100</f>
        <v>17531.406144090317</v>
      </c>
      <c r="CA34" s="39">
        <f>(BC34/CPINormalized[1999])*100</f>
        <v>17751.658617992653</v>
      </c>
      <c r="CB34" s="39">
        <f>(BD34/CPINormalized[2000])*100</f>
        <v>18311.450725265931</v>
      </c>
      <c r="CC34" s="39">
        <f>(BE34/CPINormalized[2001])*100</f>
        <v>18670.800730137769</v>
      </c>
      <c r="CD34" s="39">
        <f>(BF34/CPINormalized[2002])*100</f>
        <v>18543.62028573671</v>
      </c>
      <c r="CE34" s="39">
        <f>(BG34/CPINormalized[2003])*100</f>
        <v>20408.279228544212</v>
      </c>
      <c r="CF34" s="39">
        <f>(BH34/CPINormalized[2004])*100</f>
        <v>21051.360224083786</v>
      </c>
      <c r="CG34" s="39">
        <f>(BI34/CPINormalized[2005])*100</f>
        <v>20375.029578885773</v>
      </c>
      <c r="CH34" s="39">
        <f>(BJ34/CPINormalized[2006])*100</f>
        <v>20662.487199477175</v>
      </c>
      <c r="CI34" s="39">
        <f>(BK34/CPINormalized[2007])*100</f>
        <v>20965.165638126884</v>
      </c>
      <c r="CJ34" s="39">
        <f>(BL34/CPINormalized[2008])*100</f>
        <v>21523.223173563518</v>
      </c>
      <c r="CK34" s="39">
        <f>(BM34/CPINormalized[2009])*100</f>
        <v>21505.198476487691</v>
      </c>
      <c r="CL34" s="39">
        <f>(BN34/CPINormalized[2010])*100</f>
        <v>21932.295870294176</v>
      </c>
      <c r="CM34" s="39">
        <f>(BO34/CPINormalized[2011])*100</f>
        <v>22277.3438164377</v>
      </c>
      <c r="CN34" s="39">
        <f>(BP34/CPINormalized[2012])*100</f>
        <v>21585.290044101632</v>
      </c>
      <c r="CO34" s="39">
        <f>(BQ34/CPINormalized[2013])*100</f>
        <v>23057.39196066582</v>
      </c>
      <c r="CP34" s="39">
        <f>(BR34/CPINormalized[2014])*100</f>
        <v>20705.031973974834</v>
      </c>
      <c r="CQ34" s="39">
        <f>(BS34/CPINormalized[2015])*100</f>
        <v>21083.59842208221</v>
      </c>
      <c r="CR34" s="39">
        <f>(BT34/CPINormalized[2016])*100</f>
        <v>20970.622145948553</v>
      </c>
      <c r="CS34" s="39">
        <f>(BU34/CPINormalized[2017])*100</f>
        <v>20989.022062463802</v>
      </c>
    </row>
    <row r="35" spans="1:97">
      <c r="A35" s="319" t="s">
        <v>27</v>
      </c>
      <c r="B35" s="367">
        <v>14764</v>
      </c>
      <c r="C35" s="367">
        <v>15075</v>
      </c>
      <c r="D35" s="367">
        <v>15013</v>
      </c>
      <c r="E35" s="367">
        <v>15184</v>
      </c>
      <c r="F35" s="367">
        <v>15374</v>
      </c>
      <c r="G35" s="367">
        <v>15395</v>
      </c>
      <c r="H35" s="367">
        <v>15407</v>
      </c>
      <c r="I35" s="367">
        <v>15460</v>
      </c>
      <c r="J35" s="367">
        <v>15464</v>
      </c>
      <c r="K35" s="367">
        <v>15516</v>
      </c>
      <c r="L35" s="367">
        <v>15479</v>
      </c>
      <c r="M35" s="367">
        <v>15450</v>
      </c>
      <c r="N35" s="367">
        <v>15309</v>
      </c>
      <c r="O35" s="367">
        <v>15204</v>
      </c>
      <c r="P35" s="367">
        <v>15230</v>
      </c>
      <c r="Q35" s="367">
        <v>15083</v>
      </c>
      <c r="R35" s="367">
        <v>14972</v>
      </c>
      <c r="S35" s="611">
        <v>14901</v>
      </c>
      <c r="T35" s="748">
        <v>14870</v>
      </c>
      <c r="U35" s="748">
        <v>14826</v>
      </c>
      <c r="V35" s="748">
        <v>14808</v>
      </c>
      <c r="W35" s="892">
        <v>14726</v>
      </c>
      <c r="X35" s="742"/>
      <c r="Y35" s="742"/>
      <c r="Z35" s="367" t="s">
        <v>27</v>
      </c>
      <c r="AA35" s="367">
        <v>288584</v>
      </c>
      <c r="AB35" s="367">
        <v>303079</v>
      </c>
      <c r="AC35" s="367">
        <v>321004</v>
      </c>
      <c r="AD35" s="367">
        <v>335023</v>
      </c>
      <c r="AE35" s="367">
        <v>356181</v>
      </c>
      <c r="AF35" s="367">
        <v>365046</v>
      </c>
      <c r="AG35" s="367">
        <v>363306</v>
      </c>
      <c r="AH35" s="367">
        <v>373294</v>
      </c>
      <c r="AI35" s="367">
        <v>407392</v>
      </c>
      <c r="AJ35" s="367">
        <v>411548</v>
      </c>
      <c r="AK35" s="367">
        <v>436849</v>
      </c>
      <c r="AL35" s="367">
        <v>462902</v>
      </c>
      <c r="AM35" s="367">
        <v>477913</v>
      </c>
      <c r="AN35" s="367">
        <v>470798</v>
      </c>
      <c r="AO35" s="367">
        <v>475038</v>
      </c>
      <c r="AP35" s="367">
        <v>485444</v>
      </c>
      <c r="AQ35" s="415">
        <v>499689</v>
      </c>
      <c r="AR35" s="8">
        <v>520396</v>
      </c>
      <c r="AS35" s="684">
        <v>530428</v>
      </c>
      <c r="AT35" s="684">
        <v>548270</v>
      </c>
      <c r="AU35" s="683">
        <v>552354</v>
      </c>
      <c r="AV35" s="8">
        <v>551810</v>
      </c>
      <c r="AW35" s="684"/>
      <c r="AX35" s="683"/>
      <c r="AY35" s="367" t="s">
        <v>27</v>
      </c>
      <c r="AZ35" s="39">
        <f t="shared" si="0"/>
        <v>19546.464372798699</v>
      </c>
      <c r="BA35" s="39">
        <f t="shared" si="1"/>
        <v>20104.74295190713</v>
      </c>
      <c r="BB35" s="39">
        <f t="shared" si="2"/>
        <v>21381.735828948244</v>
      </c>
      <c r="BC35" s="39">
        <f t="shared" si="3"/>
        <v>22064.212328767124</v>
      </c>
      <c r="BD35" s="39">
        <f t="shared" si="4"/>
        <v>23167.750748016133</v>
      </c>
      <c r="BE35" s="39">
        <f t="shared" si="5"/>
        <v>23711.984410522899</v>
      </c>
      <c r="BF35" s="39">
        <f t="shared" si="6"/>
        <v>23580.580255727917</v>
      </c>
      <c r="BG35" s="39">
        <f t="shared" si="7"/>
        <v>24145.795601552392</v>
      </c>
      <c r="BH35" s="39">
        <f t="shared" si="8"/>
        <v>26344.542162441801</v>
      </c>
      <c r="BI35" s="39">
        <f t="shared" si="9"/>
        <v>26524.104150554267</v>
      </c>
      <c r="BJ35" s="39">
        <f t="shared" si="10"/>
        <v>28222.042767620645</v>
      </c>
      <c r="BK35" s="39">
        <f t="shared" si="11"/>
        <v>29961.294498381878</v>
      </c>
      <c r="BL35" s="39">
        <f t="shared" si="12"/>
        <v>31217.780390619897</v>
      </c>
      <c r="BM35" s="39">
        <f t="shared" si="13"/>
        <v>30965.403841094449</v>
      </c>
      <c r="BN35" s="39">
        <f t="shared" si="14"/>
        <v>31190.938936309914</v>
      </c>
      <c r="BO35" s="39">
        <f t="shared" si="15"/>
        <v>32184.843863952792</v>
      </c>
      <c r="BP35" s="39">
        <f t="shared" si="16"/>
        <v>33374.899812984237</v>
      </c>
      <c r="BQ35" s="39">
        <f t="shared" si="17"/>
        <v>34923.562177035099</v>
      </c>
      <c r="BR35" s="39">
        <f t="shared" si="18"/>
        <v>35671.015467383993</v>
      </c>
      <c r="BS35" s="39">
        <f t="shared" si="19"/>
        <v>36980.304869823289</v>
      </c>
      <c r="BT35" s="39">
        <f t="shared" si="20"/>
        <v>37301.053484602919</v>
      </c>
      <c r="BU35" s="39">
        <f t="shared" si="21"/>
        <v>37471.81855222056</v>
      </c>
      <c r="BW35" s="367" t="s">
        <v>27</v>
      </c>
      <c r="BX35" s="39">
        <f>(AZ35/CPINormalized[1996])*100</f>
        <v>19546.464372798699</v>
      </c>
      <c r="BY35" s="39">
        <f>(BA35/CPINormalized[1997])*100</f>
        <v>19653.795446443793</v>
      </c>
      <c r="BZ35" s="39">
        <f>(BB35/CPINormalized[1998])*100</f>
        <v>20581.560439030553</v>
      </c>
      <c r="CA35" s="39">
        <f>(BC35/CPINormalized[1999])*100</f>
        <v>20779.561310825702</v>
      </c>
      <c r="CB35" s="39">
        <f>(BD35/CPINormalized[2000])*100</f>
        <v>21109.292057861392</v>
      </c>
      <c r="CC35" s="39">
        <f>(BE35/CPINormalized[2001])*100</f>
        <v>21007.398949808259</v>
      </c>
      <c r="CD35" s="39">
        <f>(BF35/CPINormalized[2002])*100</f>
        <v>20565.831251382489</v>
      </c>
      <c r="CE35" s="39">
        <f>(BG35/CPINormalized[2003])*100</f>
        <v>20589.539836323751</v>
      </c>
      <c r="CF35" s="39">
        <f>(BH35/CPINormalized[2004])*100</f>
        <v>21881.729302737527</v>
      </c>
      <c r="CG35" s="39">
        <f>(BI35/CPINormalized[2005])*100</f>
        <v>21308.919309892288</v>
      </c>
      <c r="CH35" s="39">
        <f>(BJ35/CPINormalized[2006])*100</f>
        <v>21964.4767373</v>
      </c>
      <c r="CI35" s="39">
        <f>(BK35/CPINormalized[2007])*100</f>
        <v>22672.334147428483</v>
      </c>
      <c r="CJ35" s="39">
        <f>(BL35/CPINormalized[2008])*100</f>
        <v>22749.658589468156</v>
      </c>
      <c r="CK35" s="39">
        <f>(BM35/CPINormalized[2009])*100</f>
        <v>22646.312117106696</v>
      </c>
      <c r="CL35" s="39">
        <f>(BN35/CPINormalized[2010])*100</f>
        <v>22443.126165329206</v>
      </c>
      <c r="CM35" s="39">
        <f>(BO35/CPINormalized[2011])*100</f>
        <v>22449.650804236673</v>
      </c>
      <c r="CN35" s="39">
        <f>(BP35/CPINormalized[2012])*100</f>
        <v>22807.746633872081</v>
      </c>
      <c r="CO35" s="39">
        <f>(BQ35/CPINormalized[2013])*100</f>
        <v>23521.537904320572</v>
      </c>
      <c r="CP35" s="39">
        <f>(BR35/CPINormalized[2014])*100</f>
        <v>23641.45008293014</v>
      </c>
      <c r="CQ35" s="39">
        <f>(BS35/CPINormalized[2015])*100</f>
        <v>24480.142074514799</v>
      </c>
      <c r="CR35" s="39">
        <f>(BT35/CPINormalized[2016])*100</f>
        <v>24384.852490694844</v>
      </c>
      <c r="CS35" s="39">
        <f>(BU35/CPINormalized[2017])*100</f>
        <v>23985.510488101361</v>
      </c>
    </row>
    <row r="36" spans="1:97">
      <c r="A36" s="319" t="s">
        <v>28</v>
      </c>
      <c r="B36" s="367">
        <v>6853</v>
      </c>
      <c r="C36" s="367">
        <v>6849</v>
      </c>
      <c r="D36" s="367">
        <v>6872</v>
      </c>
      <c r="E36" s="367">
        <v>6821</v>
      </c>
      <c r="F36" s="367">
        <v>6873</v>
      </c>
      <c r="G36" s="367">
        <v>6875</v>
      </c>
      <c r="H36" s="367">
        <v>6780</v>
      </c>
      <c r="I36" s="367">
        <v>6725</v>
      </c>
      <c r="J36" s="367">
        <v>6771</v>
      </c>
      <c r="K36" s="367">
        <v>6780</v>
      </c>
      <c r="L36" s="367">
        <v>6776</v>
      </c>
      <c r="M36" s="367">
        <v>6758</v>
      </c>
      <c r="N36" s="367">
        <v>6806</v>
      </c>
      <c r="O36" s="367">
        <v>6740</v>
      </c>
      <c r="P36" s="367">
        <v>6727</v>
      </c>
      <c r="Q36" s="367">
        <v>6817</v>
      </c>
      <c r="R36" s="367">
        <v>6777</v>
      </c>
      <c r="S36" s="611">
        <v>6775</v>
      </c>
      <c r="T36" s="748">
        <v>6798</v>
      </c>
      <c r="U36" s="748">
        <v>6685</v>
      </c>
      <c r="V36" s="748">
        <v>6661</v>
      </c>
      <c r="W36" s="892">
        <v>6665</v>
      </c>
      <c r="X36" s="742"/>
      <c r="Y36" s="742"/>
      <c r="Z36" s="367" t="s">
        <v>28</v>
      </c>
      <c r="AA36" s="367">
        <v>140410</v>
      </c>
      <c r="AB36" s="367">
        <v>148810</v>
      </c>
      <c r="AC36" s="367">
        <v>140328</v>
      </c>
      <c r="AD36" s="367">
        <v>137485</v>
      </c>
      <c r="AE36" s="367">
        <v>156479</v>
      </c>
      <c r="AF36" s="367">
        <v>160067</v>
      </c>
      <c r="AG36" s="367">
        <v>150487</v>
      </c>
      <c r="AH36" s="367">
        <v>158372</v>
      </c>
      <c r="AI36" s="367">
        <v>174165</v>
      </c>
      <c r="AJ36" s="367">
        <v>182643</v>
      </c>
      <c r="AK36" s="367">
        <v>190054</v>
      </c>
      <c r="AL36" s="367">
        <v>210558</v>
      </c>
      <c r="AM36" s="367">
        <v>224373</v>
      </c>
      <c r="AN36" s="367">
        <v>228948</v>
      </c>
      <c r="AO36" s="367">
        <v>227364</v>
      </c>
      <c r="AP36" s="367">
        <v>250737</v>
      </c>
      <c r="AQ36" s="415">
        <v>245655</v>
      </c>
      <c r="AR36" s="8">
        <v>264755</v>
      </c>
      <c r="AS36" s="684">
        <v>288496</v>
      </c>
      <c r="AT36" s="684">
        <v>256650</v>
      </c>
      <c r="AU36" s="683">
        <v>254263</v>
      </c>
      <c r="AV36" s="8">
        <v>275175</v>
      </c>
      <c r="AW36" s="684"/>
      <c r="AX36" s="683"/>
      <c r="AY36" s="367" t="s">
        <v>28</v>
      </c>
      <c r="AZ36" s="39">
        <f t="shared" si="0"/>
        <v>20488.837005690941</v>
      </c>
      <c r="BA36" s="39">
        <f t="shared" si="1"/>
        <v>21727.259453934879</v>
      </c>
      <c r="BB36" s="39">
        <f t="shared" si="2"/>
        <v>20420.256111757859</v>
      </c>
      <c r="BC36" s="39">
        <f t="shared" si="3"/>
        <v>20156.13546400821</v>
      </c>
      <c r="BD36" s="39">
        <f t="shared" si="4"/>
        <v>22767.20500509239</v>
      </c>
      <c r="BE36" s="39">
        <f t="shared" si="5"/>
        <v>23282.472727272725</v>
      </c>
      <c r="BF36" s="39">
        <f t="shared" si="6"/>
        <v>22195.722713864307</v>
      </c>
      <c r="BG36" s="39">
        <f t="shared" si="7"/>
        <v>23549.739776951672</v>
      </c>
      <c r="BH36" s="39">
        <f t="shared" si="8"/>
        <v>25722.197607443508</v>
      </c>
      <c r="BI36" s="39">
        <f t="shared" si="9"/>
        <v>26938.495575221241</v>
      </c>
      <c r="BJ36" s="39">
        <f t="shared" si="10"/>
        <v>28048.110979929163</v>
      </c>
      <c r="BK36" s="39">
        <f t="shared" si="11"/>
        <v>31156.85113939035</v>
      </c>
      <c r="BL36" s="39">
        <f t="shared" si="12"/>
        <v>32966.940934469581</v>
      </c>
      <c r="BM36" s="39">
        <f t="shared" si="13"/>
        <v>33968.54599406528</v>
      </c>
      <c r="BN36" s="39">
        <f t="shared" si="14"/>
        <v>33798.721569793372</v>
      </c>
      <c r="BO36" s="39">
        <f t="shared" si="15"/>
        <v>36781.135396802114</v>
      </c>
      <c r="BP36" s="39">
        <f t="shared" si="16"/>
        <v>36248.339973439579</v>
      </c>
      <c r="BQ36" s="39">
        <f t="shared" si="17"/>
        <v>39078.228782287821</v>
      </c>
      <c r="BR36" s="39">
        <f t="shared" si="18"/>
        <v>42438.364224771998</v>
      </c>
      <c r="BS36" s="39">
        <f t="shared" si="19"/>
        <v>38391.922213911741</v>
      </c>
      <c r="BT36" s="39">
        <f t="shared" si="20"/>
        <v>38171.896111694943</v>
      </c>
      <c r="BU36" s="39">
        <f t="shared" si="21"/>
        <v>41286.571642910727</v>
      </c>
      <c r="BW36" s="367" t="s">
        <v>28</v>
      </c>
      <c r="BX36" s="39">
        <f>(AZ36/CPINormalized[1996])*100</f>
        <v>20488.837005690941</v>
      </c>
      <c r="BY36" s="39">
        <f>(BA36/CPINormalized[1997])*100</f>
        <v>21239.919054968115</v>
      </c>
      <c r="BZ36" s="39">
        <f>(BB36/CPINormalized[1998])*100</f>
        <v>19656.06247812766</v>
      </c>
      <c r="CA36" s="39">
        <f>(BC36/CPINormalized[1999])*100</f>
        <v>18982.578957400288</v>
      </c>
      <c r="CB36" s="39">
        <f>(BD36/CPINormalized[2000])*100</f>
        <v>20744.334873977914</v>
      </c>
      <c r="CC36" s="39">
        <f>(BE36/CPINormalized[2001])*100</f>
        <v>20626.877306093116</v>
      </c>
      <c r="CD36" s="39">
        <f>(BF36/CPINormalized[2002])*100</f>
        <v>19358.02609119127</v>
      </c>
      <c r="CE36" s="39">
        <f>(BG36/CPINormalized[2003])*100</f>
        <v>20081.272668498466</v>
      </c>
      <c r="CF36" s="39">
        <f>(BH36/CPINormalized[2004])*100</f>
        <v>21364.811035510251</v>
      </c>
      <c r="CG36" s="39">
        <f>(BI36/CPINormalized[2005])*100</f>
        <v>21641.832850753774</v>
      </c>
      <c r="CH36" s="39">
        <f>(BJ36/CPINormalized[2006])*100</f>
        <v>21829.110182296059</v>
      </c>
      <c r="CI36" s="39">
        <f>(BK36/CPINormalized[2007])*100</f>
        <v>23577.036701538258</v>
      </c>
      <c r="CJ36" s="39">
        <f>(BL36/CPINormalized[2008])*100</f>
        <v>24024.342589830507</v>
      </c>
      <c r="CK36" s="39">
        <f>(BM36/CPINormalized[2009])*100</f>
        <v>24842.637244246176</v>
      </c>
      <c r="CL36" s="39">
        <f>(BN36/CPINormalized[2010])*100</f>
        <v>24319.529911126407</v>
      </c>
      <c r="CM36" s="39">
        <f>(BO36/CPINormalized[2011])*100</f>
        <v>25655.667286501019</v>
      </c>
      <c r="CN36" s="39">
        <f>(BP36/CPINormalized[2012])*100</f>
        <v>24771.398825024477</v>
      </c>
      <c r="CO36" s="39">
        <f>(BQ36/CPINormalized[2013])*100</f>
        <v>26319.767579171086</v>
      </c>
      <c r="CP36" s="39">
        <f>(BR36/CPINormalized[2014])*100</f>
        <v>28126.602404647911</v>
      </c>
      <c r="CQ36" s="39">
        <f>(BS36/CPINormalized[2015])*100</f>
        <v>25414.601464716678</v>
      </c>
      <c r="CR36" s="39">
        <f>(BT36/CPINormalized[2016])*100</f>
        <v>24954.149253667336</v>
      </c>
      <c r="CS36" s="39">
        <f>(BU36/CPINormalized[2017])*100</f>
        <v>26427.313523060922</v>
      </c>
    </row>
    <row r="37" spans="1:97">
      <c r="A37" s="319" t="s">
        <v>29</v>
      </c>
      <c r="B37" s="367">
        <v>10530</v>
      </c>
      <c r="C37" s="367">
        <v>10522</v>
      </c>
      <c r="D37" s="367">
        <v>10537</v>
      </c>
      <c r="E37" s="367">
        <v>10503</v>
      </c>
      <c r="F37" s="367">
        <v>10513</v>
      </c>
      <c r="G37" s="367">
        <v>10427</v>
      </c>
      <c r="H37" s="367">
        <v>10253</v>
      </c>
      <c r="I37" s="367">
        <v>10304</v>
      </c>
      <c r="J37" s="367">
        <v>10209</v>
      </c>
      <c r="K37" s="367">
        <v>10280</v>
      </c>
      <c r="L37" s="367">
        <v>10187</v>
      </c>
      <c r="M37" s="367">
        <v>10199</v>
      </c>
      <c r="N37" s="367">
        <v>10196</v>
      </c>
      <c r="O37" s="367">
        <v>10215</v>
      </c>
      <c r="P37" s="367">
        <v>10267</v>
      </c>
      <c r="Q37" s="367">
        <v>10265</v>
      </c>
      <c r="R37" s="367">
        <v>10338</v>
      </c>
      <c r="S37" s="611">
        <v>10355</v>
      </c>
      <c r="T37" s="748">
        <v>10209</v>
      </c>
      <c r="U37" s="748">
        <v>10062</v>
      </c>
      <c r="V37" s="748">
        <v>10165</v>
      </c>
      <c r="W37" s="892">
        <v>9949</v>
      </c>
      <c r="X37" s="742"/>
      <c r="Y37" s="742"/>
      <c r="Z37" s="367" t="s">
        <v>29</v>
      </c>
      <c r="AA37" s="367">
        <v>196587</v>
      </c>
      <c r="AB37" s="367">
        <v>205497</v>
      </c>
      <c r="AC37" s="367">
        <v>202907</v>
      </c>
      <c r="AD37" s="367">
        <v>207980</v>
      </c>
      <c r="AE37" s="367">
        <v>225848</v>
      </c>
      <c r="AF37" s="367">
        <v>232240</v>
      </c>
      <c r="AG37" s="367">
        <v>230565</v>
      </c>
      <c r="AH37" s="367">
        <v>231501</v>
      </c>
      <c r="AI37" s="367">
        <v>251496</v>
      </c>
      <c r="AJ37" s="367">
        <v>254887</v>
      </c>
      <c r="AK37" s="367">
        <v>264578</v>
      </c>
      <c r="AL37" s="367">
        <v>285088</v>
      </c>
      <c r="AM37" s="367">
        <v>299630</v>
      </c>
      <c r="AN37" s="367">
        <v>307882</v>
      </c>
      <c r="AO37" s="367">
        <v>315316</v>
      </c>
      <c r="AP37" s="367">
        <v>329809</v>
      </c>
      <c r="AQ37" s="415">
        <v>329681</v>
      </c>
      <c r="AR37" s="8">
        <v>351036</v>
      </c>
      <c r="AS37" s="684">
        <v>340171</v>
      </c>
      <c r="AT37" s="684">
        <v>330712</v>
      </c>
      <c r="AU37" s="683">
        <v>341924</v>
      </c>
      <c r="AV37" s="8">
        <v>333373</v>
      </c>
      <c r="AW37" s="684"/>
      <c r="AX37" s="683"/>
      <c r="AY37" s="367" t="s">
        <v>29</v>
      </c>
      <c r="AZ37" s="39">
        <f t="shared" si="0"/>
        <v>18669.23076923077</v>
      </c>
      <c r="BA37" s="39">
        <f t="shared" si="1"/>
        <v>19530.222391180385</v>
      </c>
      <c r="BB37" s="39">
        <f t="shared" si="2"/>
        <v>19256.619531175857</v>
      </c>
      <c r="BC37" s="39">
        <f t="shared" si="3"/>
        <v>19801.961344377796</v>
      </c>
      <c r="BD37" s="39">
        <f t="shared" si="4"/>
        <v>21482.735660610673</v>
      </c>
      <c r="BE37" s="39">
        <f t="shared" si="5"/>
        <v>22272.945238323584</v>
      </c>
      <c r="BF37" s="39">
        <f t="shared" si="6"/>
        <v>22487.564615234565</v>
      </c>
      <c r="BG37" s="39">
        <f t="shared" si="7"/>
        <v>22467.100155279502</v>
      </c>
      <c r="BH37" s="39">
        <f t="shared" si="8"/>
        <v>24634.734058183956</v>
      </c>
      <c r="BI37" s="39">
        <f t="shared" si="9"/>
        <v>24794.455252918287</v>
      </c>
      <c r="BJ37" s="39">
        <f t="shared" si="10"/>
        <v>25972.121331108276</v>
      </c>
      <c r="BK37" s="39">
        <f t="shared" si="11"/>
        <v>27952.544367094812</v>
      </c>
      <c r="BL37" s="39">
        <f t="shared" si="12"/>
        <v>29387.014515496274</v>
      </c>
      <c r="BM37" s="39">
        <f t="shared" si="13"/>
        <v>30140.186000978953</v>
      </c>
      <c r="BN37" s="39">
        <f t="shared" si="14"/>
        <v>30711.600272718417</v>
      </c>
      <c r="BO37" s="39">
        <f t="shared" si="15"/>
        <v>32129.469069654162</v>
      </c>
      <c r="BP37" s="39">
        <f t="shared" si="16"/>
        <v>31890.210872509189</v>
      </c>
      <c r="BQ37" s="39">
        <f t="shared" si="17"/>
        <v>33900.144857556734</v>
      </c>
      <c r="BR37" s="39">
        <f t="shared" si="18"/>
        <v>33320.69742384171</v>
      </c>
      <c r="BS37" s="39">
        <f t="shared" si="19"/>
        <v>32867.421983701053</v>
      </c>
      <c r="BT37" s="39">
        <f t="shared" si="20"/>
        <v>33637.383177570096</v>
      </c>
      <c r="BU37" s="39">
        <f t="shared" si="21"/>
        <v>33508.191778068147</v>
      </c>
      <c r="BW37" s="367" t="s">
        <v>29</v>
      </c>
      <c r="BX37" s="39">
        <f>(AZ37/CPINormalized[1996])*100</f>
        <v>18669.23076923077</v>
      </c>
      <c r="BY37" s="39">
        <f>(BA37/CPINormalized[1997])*100</f>
        <v>19092.161328200636</v>
      </c>
      <c r="BZ37" s="39">
        <f>(BB37/CPINormalized[1998])*100</f>
        <v>18535.973033383387</v>
      </c>
      <c r="CA37" s="39">
        <f>(BC37/CPINormalized[1999])*100</f>
        <v>18649.026020005262</v>
      </c>
      <c r="CB37" s="39">
        <f>(BD37/CPINormalized[2000])*100</f>
        <v>19573.990854528543</v>
      </c>
      <c r="CC37" s="39">
        <f>(BE37/CPINormalized[2001])*100</f>
        <v>19732.496374325074</v>
      </c>
      <c r="CD37" s="39">
        <f>(BF37/CPINormalized[2002])*100</f>
        <v>19612.556354254048</v>
      </c>
      <c r="CE37" s="39">
        <f>(BG37/CPINormalized[2003])*100</f>
        <v>19158.087034583445</v>
      </c>
      <c r="CF37" s="39">
        <f>(BH37/CPINormalized[2004])*100</f>
        <v>20461.565768814522</v>
      </c>
      <c r="CG37" s="39">
        <f>(BI37/CPINormalized[2005])*100</f>
        <v>19919.354988135579</v>
      </c>
      <c r="CH37" s="39">
        <f>(BJ37/CPINormalized[2006])*100</f>
        <v>20213.421809776231</v>
      </c>
      <c r="CI37" s="39">
        <f>(BK37/CPINormalized[2007])*100</f>
        <v>21152.2711809338</v>
      </c>
      <c r="CJ37" s="39">
        <f>(BL37/CPINormalized[2008])*100</f>
        <v>21415.505485206275</v>
      </c>
      <c r="CK37" s="39">
        <f>(BM37/CPINormalized[2009])*100</f>
        <v>22042.795338583077</v>
      </c>
      <c r="CL37" s="39">
        <f>(BN37/CPINormalized[2010])*100</f>
        <v>22098.222854631465</v>
      </c>
      <c r="CM37" s="39">
        <f>(BO37/CPINormalized[2011])*100</f>
        <v>22411.025642635286</v>
      </c>
      <c r="CN37" s="39">
        <f>(BP37/CPINormalized[2012])*100</f>
        <v>21793.139567657217</v>
      </c>
      <c r="CO37" s="39">
        <f>(BQ37/CPINormalized[2013])*100</f>
        <v>22832.251137122523</v>
      </c>
      <c r="CP37" s="39">
        <f>(BR37/CPINormalized[2014])*100</f>
        <v>22083.744871083254</v>
      </c>
      <c r="CQ37" s="39">
        <f>(BS37/CPINormalized[2015])*100</f>
        <v>21757.504774943129</v>
      </c>
      <c r="CR37" s="39">
        <f>(BT37/CPINormalized[2016])*100</f>
        <v>21989.79788323152</v>
      </c>
      <c r="CS37" s="39">
        <f>(BU37/CPINormalized[2017])*100</f>
        <v>21448.414205201094</v>
      </c>
    </row>
    <row r="38" spans="1:97">
      <c r="A38" s="319" t="s">
        <v>30</v>
      </c>
      <c r="B38" s="367">
        <v>8540</v>
      </c>
      <c r="C38" s="367">
        <v>8680</v>
      </c>
      <c r="D38" s="367">
        <v>8762</v>
      </c>
      <c r="E38" s="367">
        <v>8759</v>
      </c>
      <c r="F38" s="367">
        <v>8873</v>
      </c>
      <c r="G38" s="367">
        <v>8779</v>
      </c>
      <c r="H38" s="367">
        <v>8771</v>
      </c>
      <c r="I38" s="367">
        <v>8791</v>
      </c>
      <c r="J38" s="367">
        <v>8753</v>
      </c>
      <c r="K38" s="367">
        <v>8893</v>
      </c>
      <c r="L38" s="367">
        <v>8870</v>
      </c>
      <c r="M38" s="367">
        <v>8951</v>
      </c>
      <c r="N38" s="367">
        <v>8956</v>
      </c>
      <c r="O38" s="367">
        <v>8987</v>
      </c>
      <c r="P38" s="367">
        <v>8940</v>
      </c>
      <c r="Q38" s="367">
        <v>8896</v>
      </c>
      <c r="R38" s="367">
        <v>8728</v>
      </c>
      <c r="S38" s="611">
        <v>8741</v>
      </c>
      <c r="T38" s="748">
        <v>8624</v>
      </c>
      <c r="U38" s="748">
        <v>8613</v>
      </c>
      <c r="V38" s="748">
        <v>8556</v>
      </c>
      <c r="W38" s="892">
        <v>8524</v>
      </c>
      <c r="X38" s="742"/>
      <c r="Y38" s="742"/>
      <c r="Z38" s="367" t="s">
        <v>30</v>
      </c>
      <c r="AA38" s="367">
        <v>150085</v>
      </c>
      <c r="AB38" s="367">
        <v>165483</v>
      </c>
      <c r="AC38" s="367">
        <v>164579</v>
      </c>
      <c r="AD38" s="367">
        <v>165163</v>
      </c>
      <c r="AE38" s="367">
        <v>188027</v>
      </c>
      <c r="AF38" s="367">
        <v>187777</v>
      </c>
      <c r="AG38" s="367">
        <v>187995</v>
      </c>
      <c r="AH38" s="367">
        <v>191095</v>
      </c>
      <c r="AI38" s="367">
        <v>215088</v>
      </c>
      <c r="AJ38" s="367">
        <v>220531</v>
      </c>
      <c r="AK38" s="367">
        <v>222297</v>
      </c>
      <c r="AL38" s="367">
        <v>242011</v>
      </c>
      <c r="AM38" s="367">
        <v>254374</v>
      </c>
      <c r="AN38" s="367">
        <v>255905</v>
      </c>
      <c r="AO38" s="367">
        <v>264263</v>
      </c>
      <c r="AP38" s="367">
        <v>282679</v>
      </c>
      <c r="AQ38" s="415">
        <v>269366</v>
      </c>
      <c r="AR38" s="8">
        <v>313056</v>
      </c>
      <c r="AS38" s="684">
        <v>310412</v>
      </c>
      <c r="AT38" s="684">
        <v>295887</v>
      </c>
      <c r="AU38" s="683">
        <v>302412</v>
      </c>
      <c r="AV38" s="8">
        <v>314801</v>
      </c>
      <c r="AW38" s="684"/>
      <c r="AX38" s="683"/>
      <c r="AY38" s="367" t="s">
        <v>30</v>
      </c>
      <c r="AZ38" s="39">
        <f t="shared" si="0"/>
        <v>17574.355971896955</v>
      </c>
      <c r="BA38" s="39">
        <f t="shared" si="1"/>
        <v>19064.861751152072</v>
      </c>
      <c r="BB38" s="39">
        <f t="shared" si="2"/>
        <v>18783.26866012326</v>
      </c>
      <c r="BC38" s="39">
        <f t="shared" si="3"/>
        <v>18856.376298664229</v>
      </c>
      <c r="BD38" s="39">
        <f t="shared" si="4"/>
        <v>21190.916262819792</v>
      </c>
      <c r="BE38" s="39">
        <f t="shared" si="5"/>
        <v>21389.338193416104</v>
      </c>
      <c r="BF38" s="39">
        <f t="shared" si="6"/>
        <v>21433.701972409075</v>
      </c>
      <c r="BG38" s="39">
        <f t="shared" si="7"/>
        <v>21737.572517347289</v>
      </c>
      <c r="BH38" s="39">
        <f t="shared" si="8"/>
        <v>24573.060664914887</v>
      </c>
      <c r="BI38" s="39">
        <f t="shared" si="9"/>
        <v>24798.268300910826</v>
      </c>
      <c r="BJ38" s="39">
        <f t="shared" si="10"/>
        <v>25061.668545659526</v>
      </c>
      <c r="BK38" s="39">
        <f t="shared" si="11"/>
        <v>27037.314266562393</v>
      </c>
      <c r="BL38" s="39">
        <f t="shared" si="12"/>
        <v>28402.635104957571</v>
      </c>
      <c r="BM38" s="39">
        <f t="shared" si="13"/>
        <v>28475.019472571494</v>
      </c>
      <c r="BN38" s="39">
        <f t="shared" si="14"/>
        <v>29559.619686800892</v>
      </c>
      <c r="BO38" s="39">
        <f t="shared" si="15"/>
        <v>31775.966726618706</v>
      </c>
      <c r="BP38" s="39">
        <f t="shared" si="16"/>
        <v>30862.282309807517</v>
      </c>
      <c r="BQ38" s="39">
        <f t="shared" si="17"/>
        <v>35814.666514128818</v>
      </c>
      <c r="BR38" s="39">
        <f t="shared" si="18"/>
        <v>35993.970315398888</v>
      </c>
      <c r="BS38" s="39">
        <f t="shared" si="19"/>
        <v>34353.535353535357</v>
      </c>
      <c r="BT38" s="39">
        <f t="shared" si="20"/>
        <v>35345.021037868166</v>
      </c>
      <c r="BU38" s="39">
        <f t="shared" si="21"/>
        <v>36931.135617081185</v>
      </c>
      <c r="BW38" s="367" t="s">
        <v>30</v>
      </c>
      <c r="BX38" s="39">
        <f>(AZ38/CPINormalized[1996])*100</f>
        <v>17574.355971896955</v>
      </c>
      <c r="BY38" s="39">
        <f>(BA38/CPINormalized[1997])*100</f>
        <v>18637.238683836509</v>
      </c>
      <c r="BZ38" s="39">
        <f>(BB38/CPINormalized[1998])*100</f>
        <v>18080.336520081841</v>
      </c>
      <c r="CA38" s="39">
        <f>(BC38/CPINormalized[1999])*100</f>
        <v>17758.496045980897</v>
      </c>
      <c r="CB38" s="39">
        <f>(BD38/CPINormalized[2000])*100</f>
        <v>19308.099661070999</v>
      </c>
      <c r="CC38" s="39">
        <f>(BE38/CPINormalized[2001])*100</f>
        <v>18949.673419237643</v>
      </c>
      <c r="CD38" s="39">
        <f>(BF38/CPINormalized[2002])*100</f>
        <v>18693.428790833706</v>
      </c>
      <c r="CE38" s="39">
        <f>(BG38/CPINormalized[2003])*100</f>
        <v>18536.006130281468</v>
      </c>
      <c r="CF38" s="39">
        <f>(BH38/CPINormalized[2004])*100</f>
        <v>20410.339959370809</v>
      </c>
      <c r="CG38" s="39">
        <f>(BI38/CPINormalized[2005])*100</f>
        <v>19922.418312406087</v>
      </c>
      <c r="CH38" s="39">
        <f>(BJ38/CPINormalized[2006])*100</f>
        <v>19504.840252053473</v>
      </c>
      <c r="CI38" s="39">
        <f>(BK38/CPINormalized[2007])*100</f>
        <v>20459.697545232702</v>
      </c>
      <c r="CJ38" s="39">
        <f>(BL38/CPINormalized[2008])*100</f>
        <v>20698.148413946128</v>
      </c>
      <c r="CK38" s="39">
        <f>(BM38/CPINormalized[2009])*100</f>
        <v>20824.988487983275</v>
      </c>
      <c r="CL38" s="39">
        <f>(BN38/CPINormalized[2010])*100</f>
        <v>21269.326819069687</v>
      </c>
      <c r="CM38" s="39">
        <f>(BO38/CPINormalized[2011])*100</f>
        <v>22164.449825981599</v>
      </c>
      <c r="CN38" s="39">
        <f>(BP38/CPINormalized[2012])*100</f>
        <v>21090.673512412341</v>
      </c>
      <c r="CO38" s="39">
        <f>(BQ38/CPINormalized[2013])*100</f>
        <v>24121.709912416507</v>
      </c>
      <c r="CP38" s="39">
        <f>(BR38/CPINormalized[2014])*100</f>
        <v>23855.492795713733</v>
      </c>
      <c r="CQ38" s="39">
        <f>(BS38/CPINormalized[2015])*100</f>
        <v>22741.278882821476</v>
      </c>
      <c r="CR38" s="39">
        <f>(BT38/CPINormalized[2016])*100</f>
        <v>23106.133574610387</v>
      </c>
      <c r="CS38" s="39">
        <f>(BU38/CPINormalized[2017])*100</f>
        <v>23639.422235313468</v>
      </c>
    </row>
    <row r="39" spans="1:97">
      <c r="A39" s="319" t="s">
        <v>31</v>
      </c>
      <c r="B39" s="367">
        <v>21411</v>
      </c>
      <c r="C39" s="367">
        <v>21464</v>
      </c>
      <c r="D39" s="367">
        <v>21696</v>
      </c>
      <c r="E39" s="367">
        <v>21747</v>
      </c>
      <c r="F39" s="367">
        <v>22108</v>
      </c>
      <c r="G39" s="367">
        <v>22307</v>
      </c>
      <c r="H39" s="367">
        <v>22179</v>
      </c>
      <c r="I39" s="367">
        <v>22410</v>
      </c>
      <c r="J39" s="367">
        <v>22442</v>
      </c>
      <c r="K39" s="367">
        <v>22354</v>
      </c>
      <c r="L39" s="367">
        <v>22556</v>
      </c>
      <c r="M39" s="367">
        <v>22474</v>
      </c>
      <c r="N39" s="367">
        <v>22291</v>
      </c>
      <c r="O39" s="367">
        <v>22277</v>
      </c>
      <c r="P39" s="367">
        <v>22257</v>
      </c>
      <c r="Q39" s="367">
        <v>22194</v>
      </c>
      <c r="R39" s="367">
        <v>22153</v>
      </c>
      <c r="S39" s="611">
        <v>22059</v>
      </c>
      <c r="T39" s="748">
        <v>22060</v>
      </c>
      <c r="U39" s="748">
        <v>21743</v>
      </c>
      <c r="V39" s="748">
        <v>21594</v>
      </c>
      <c r="W39" s="892">
        <v>21718</v>
      </c>
      <c r="X39" s="742"/>
      <c r="Y39" s="742"/>
      <c r="Z39" s="367" t="s">
        <v>31</v>
      </c>
      <c r="AA39" s="367">
        <v>399464</v>
      </c>
      <c r="AB39" s="367">
        <v>421036</v>
      </c>
      <c r="AC39" s="367">
        <v>440930</v>
      </c>
      <c r="AD39" s="367">
        <v>463354</v>
      </c>
      <c r="AE39" s="367">
        <v>499410</v>
      </c>
      <c r="AF39" s="367">
        <v>521399</v>
      </c>
      <c r="AG39" s="367">
        <v>518706</v>
      </c>
      <c r="AH39" s="367">
        <v>558207</v>
      </c>
      <c r="AI39" s="367">
        <v>583203</v>
      </c>
      <c r="AJ39" s="367">
        <v>597800</v>
      </c>
      <c r="AK39" s="367">
        <v>622739</v>
      </c>
      <c r="AL39" s="367">
        <v>663715</v>
      </c>
      <c r="AM39" s="367">
        <v>701304</v>
      </c>
      <c r="AN39" s="367">
        <v>707209</v>
      </c>
      <c r="AO39" s="367">
        <v>713006</v>
      </c>
      <c r="AP39" s="367">
        <v>725173</v>
      </c>
      <c r="AQ39" s="415">
        <v>748558</v>
      </c>
      <c r="AR39" s="8">
        <v>786610</v>
      </c>
      <c r="AS39" s="684">
        <v>869239</v>
      </c>
      <c r="AT39" s="684">
        <v>853520</v>
      </c>
      <c r="AU39" s="683">
        <v>852136</v>
      </c>
      <c r="AV39" s="8">
        <v>875398</v>
      </c>
      <c r="AW39" s="684"/>
      <c r="AX39" s="683"/>
      <c r="AY39" s="367" t="s">
        <v>31</v>
      </c>
      <c r="AZ39" s="39">
        <f t="shared" si="0"/>
        <v>18656.952034001213</v>
      </c>
      <c r="BA39" s="39">
        <f t="shared" si="1"/>
        <v>19615.91502049944</v>
      </c>
      <c r="BB39" s="39">
        <f t="shared" si="2"/>
        <v>20323.101032448376</v>
      </c>
      <c r="BC39" s="39">
        <f t="shared" si="3"/>
        <v>21306.571021290292</v>
      </c>
      <c r="BD39" s="39">
        <f t="shared" si="4"/>
        <v>22589.560340148364</v>
      </c>
      <c r="BE39" s="39">
        <f t="shared" si="5"/>
        <v>23373.784013986638</v>
      </c>
      <c r="BF39" s="39">
        <f t="shared" si="6"/>
        <v>23387.258217232516</v>
      </c>
      <c r="BG39" s="39">
        <f t="shared" si="7"/>
        <v>24908.835341365459</v>
      </c>
      <c r="BH39" s="39">
        <f t="shared" si="8"/>
        <v>25987.122359860976</v>
      </c>
      <c r="BI39" s="39">
        <f t="shared" si="9"/>
        <v>26742.417464435897</v>
      </c>
      <c r="BJ39" s="39">
        <f t="shared" si="10"/>
        <v>27608.5742152864</v>
      </c>
      <c r="BK39" s="39">
        <f t="shared" si="11"/>
        <v>29532.570970899706</v>
      </c>
      <c r="BL39" s="39">
        <f t="shared" si="12"/>
        <v>31461.307254048719</v>
      </c>
      <c r="BM39" s="39">
        <f t="shared" si="13"/>
        <v>31746.150738429769</v>
      </c>
      <c r="BN39" s="39">
        <f t="shared" si="14"/>
        <v>32035.135013703552</v>
      </c>
      <c r="BO39" s="39">
        <f t="shared" si="15"/>
        <v>32674.281337298369</v>
      </c>
      <c r="BP39" s="39">
        <f t="shared" si="16"/>
        <v>33790.366993183765</v>
      </c>
      <c r="BQ39" s="39">
        <f t="shared" si="17"/>
        <v>35659.368058388864</v>
      </c>
      <c r="BR39" s="39">
        <f t="shared" si="18"/>
        <v>39403.399818676335</v>
      </c>
      <c r="BS39" s="39">
        <f t="shared" si="19"/>
        <v>39254.932621993285</v>
      </c>
      <c r="BT39" s="39">
        <f t="shared" si="20"/>
        <v>39461.70232471983</v>
      </c>
      <c r="BU39" s="39">
        <f t="shared" si="21"/>
        <v>40307.486877244686</v>
      </c>
      <c r="BW39" s="367" t="s">
        <v>31</v>
      </c>
      <c r="BX39" s="39">
        <f>(AZ39/CPINormalized[1996])*100</f>
        <v>18656.952034001213</v>
      </c>
      <c r="BY39" s="39">
        <f>(BA39/CPINormalized[1997])*100</f>
        <v>19175.931879852724</v>
      </c>
      <c r="BZ39" s="39">
        <f>(BB39/CPINormalized[1998])*100</f>
        <v>19562.54326374939</v>
      </c>
      <c r="CA39" s="39">
        <f>(BC39/CPINormalized[1999])*100</f>
        <v>20066.032372391637</v>
      </c>
      <c r="CB39" s="39">
        <f>(BD39/CPINormalized[2000])*100</f>
        <v>20582.473968462713</v>
      </c>
      <c r="CC39" s="39">
        <f>(BE39/CPINormalized[2001])*100</f>
        <v>20707.773640849824</v>
      </c>
      <c r="CD39" s="39">
        <f>(BF39/CPINormalized[2002])*100</f>
        <v>20397.225204467937</v>
      </c>
      <c r="CE39" s="39">
        <f>(BG39/CPINormalized[2003])*100</f>
        <v>21240.197092718699</v>
      </c>
      <c r="CF39" s="39">
        <f>(BH39/CPINormalized[2004])*100</f>
        <v>21584.857058031695</v>
      </c>
      <c r="CG39" s="39">
        <f>(BI39/CPINormalized[2005])*100</f>
        <v>21484.307732565241</v>
      </c>
      <c r="CH39" s="39">
        <f>(BJ39/CPINormalized[2006])*100</f>
        <v>21487.030230051765</v>
      </c>
      <c r="CI39" s="39">
        <f>(BK39/CPINormalized[2007])*100</f>
        <v>22347.910145239093</v>
      </c>
      <c r="CJ39" s="39">
        <f>(BL39/CPINormalized[2008])*100</f>
        <v>22927.126459734627</v>
      </c>
      <c r="CK39" s="39">
        <f>(BM39/CPINormalized[2009])*100</f>
        <v>23217.305410533525</v>
      </c>
      <c r="CL39" s="39">
        <f>(BN39/CPINormalized[2010])*100</f>
        <v>23050.558955727367</v>
      </c>
      <c r="CM39" s="39">
        <f>(BO39/CPINormalized[2011])*100</f>
        <v>22791.044424586729</v>
      </c>
      <c r="CN39" s="39">
        <f>(BP39/CPINormalized[2012])*100</f>
        <v>23091.668690081326</v>
      </c>
      <c r="CO39" s="39">
        <f>(BQ39/CPINormalized[2013])*100</f>
        <v>24017.114095567907</v>
      </c>
      <c r="CP39" s="39">
        <f>(BR39/CPINormalized[2014])*100</f>
        <v>26115.138515267296</v>
      </c>
      <c r="CQ39" s="39">
        <f>(BS39/CPINormalized[2015])*100</f>
        <v>25985.895224354146</v>
      </c>
      <c r="CR39" s="39">
        <f>(BT39/CPINormalized[2016])*100</f>
        <v>25797.33547250097</v>
      </c>
      <c r="CS39" s="39">
        <f>(BU39/CPINormalized[2017])*100</f>
        <v>25800.606605090121</v>
      </c>
    </row>
    <row r="40" spans="1:97">
      <c r="A40" s="319" t="s">
        <v>32</v>
      </c>
      <c r="B40" s="367">
        <v>8622</v>
      </c>
      <c r="C40" s="367">
        <v>8730</v>
      </c>
      <c r="D40" s="367">
        <v>8762</v>
      </c>
      <c r="E40" s="367">
        <v>8930</v>
      </c>
      <c r="F40" s="367">
        <v>8940</v>
      </c>
      <c r="G40" s="367">
        <v>9036</v>
      </c>
      <c r="H40" s="367">
        <v>8929</v>
      </c>
      <c r="I40" s="367">
        <v>9171</v>
      </c>
      <c r="J40" s="367">
        <v>9316</v>
      </c>
      <c r="K40" s="367">
        <v>9476</v>
      </c>
      <c r="L40" s="367">
        <v>9518</v>
      </c>
      <c r="M40" s="367">
        <v>9594</v>
      </c>
      <c r="N40" s="367">
        <v>9592</v>
      </c>
      <c r="O40" s="367">
        <v>9561</v>
      </c>
      <c r="P40" s="367">
        <v>9638</v>
      </c>
      <c r="Q40" s="367">
        <v>9586</v>
      </c>
      <c r="R40" s="367">
        <v>9391</v>
      </c>
      <c r="S40" s="611">
        <v>9305</v>
      </c>
      <c r="T40" s="748">
        <v>9218</v>
      </c>
      <c r="U40" s="748">
        <v>9193</v>
      </c>
      <c r="V40" s="748">
        <v>9269</v>
      </c>
      <c r="W40" s="892">
        <v>9475</v>
      </c>
      <c r="X40" s="742"/>
      <c r="Y40" s="742"/>
      <c r="Z40" s="367" t="s">
        <v>32</v>
      </c>
      <c r="AA40" s="367">
        <v>122859</v>
      </c>
      <c r="AB40" s="367">
        <v>133584</v>
      </c>
      <c r="AC40" s="367">
        <v>135480</v>
      </c>
      <c r="AD40" s="367">
        <v>141981</v>
      </c>
      <c r="AE40" s="367">
        <v>153405</v>
      </c>
      <c r="AF40" s="367">
        <v>159748</v>
      </c>
      <c r="AG40" s="367">
        <v>157449</v>
      </c>
      <c r="AH40" s="367">
        <v>163949</v>
      </c>
      <c r="AI40" s="367">
        <v>179296</v>
      </c>
      <c r="AJ40" s="367">
        <v>183054</v>
      </c>
      <c r="AK40" s="367">
        <v>189188</v>
      </c>
      <c r="AL40" s="367">
        <v>198250</v>
      </c>
      <c r="AM40" s="367">
        <v>209614</v>
      </c>
      <c r="AN40" s="367">
        <v>215278</v>
      </c>
      <c r="AO40" s="367">
        <v>215369</v>
      </c>
      <c r="AP40" s="367">
        <v>219674</v>
      </c>
      <c r="AQ40" s="415">
        <v>226605</v>
      </c>
      <c r="AR40" s="8">
        <v>238392</v>
      </c>
      <c r="AS40" s="684">
        <v>231614</v>
      </c>
      <c r="AT40" s="684">
        <v>242835</v>
      </c>
      <c r="AU40" s="683">
        <v>247928</v>
      </c>
      <c r="AV40" s="8">
        <v>249625</v>
      </c>
      <c r="AW40" s="684"/>
      <c r="AX40" s="683"/>
      <c r="AY40" s="367" t="s">
        <v>32</v>
      </c>
      <c r="AZ40" s="39">
        <f t="shared" si="0"/>
        <v>14249.478079331942</v>
      </c>
      <c r="BA40" s="39">
        <f t="shared" si="1"/>
        <v>15301.718213058421</v>
      </c>
      <c r="BB40" s="39">
        <f t="shared" si="2"/>
        <v>15462.223236703949</v>
      </c>
      <c r="BC40" s="39">
        <f t="shared" si="3"/>
        <v>15899.328107502801</v>
      </c>
      <c r="BD40" s="39">
        <f t="shared" si="4"/>
        <v>17159.395973154365</v>
      </c>
      <c r="BE40" s="39">
        <f t="shared" si="5"/>
        <v>17679.061531651172</v>
      </c>
      <c r="BF40" s="39">
        <f t="shared" si="6"/>
        <v>17633.441594803451</v>
      </c>
      <c r="BG40" s="39">
        <f t="shared" si="7"/>
        <v>17876.894558935775</v>
      </c>
      <c r="BH40" s="39">
        <f t="shared" si="8"/>
        <v>19246.028338342636</v>
      </c>
      <c r="BI40" s="39">
        <f t="shared" si="9"/>
        <v>19317.644575770366</v>
      </c>
      <c r="BJ40" s="39">
        <f t="shared" si="10"/>
        <v>19876.864887581425</v>
      </c>
      <c r="BK40" s="39">
        <f t="shared" si="11"/>
        <v>20663.956639566397</v>
      </c>
      <c r="BL40" s="39">
        <f t="shared" si="12"/>
        <v>21853.002502085074</v>
      </c>
      <c r="BM40" s="39">
        <f t="shared" si="13"/>
        <v>22516.263989122475</v>
      </c>
      <c r="BN40" s="39">
        <f t="shared" si="14"/>
        <v>22345.818634571486</v>
      </c>
      <c r="BO40" s="39">
        <f t="shared" si="15"/>
        <v>22916.127686209056</v>
      </c>
      <c r="BP40" s="39">
        <f t="shared" si="16"/>
        <v>24130.018102438506</v>
      </c>
      <c r="BQ40" s="39">
        <f t="shared" si="17"/>
        <v>25619.774314884471</v>
      </c>
      <c r="BR40" s="39">
        <f t="shared" si="18"/>
        <v>25126.274679973965</v>
      </c>
      <c r="BS40" s="39">
        <f t="shared" si="19"/>
        <v>26415.20722288698</v>
      </c>
      <c r="BT40" s="39">
        <f t="shared" si="20"/>
        <v>26748.085014564676</v>
      </c>
      <c r="BU40" s="39">
        <f t="shared" si="21"/>
        <v>26345.646437994725</v>
      </c>
      <c r="BW40" s="367" t="s">
        <v>32</v>
      </c>
      <c r="BX40" s="39">
        <f>(AZ40/CPINormalized[1996])*100</f>
        <v>14249.478079331942</v>
      </c>
      <c r="BY40" s="39">
        <f>(BA40/CPINormalized[1997])*100</f>
        <v>14958.502103606643</v>
      </c>
      <c r="BZ40" s="39">
        <f>(BB40/CPINormalized[1998])*100</f>
        <v>14883.575618643252</v>
      </c>
      <c r="CA40" s="39">
        <f>(BC40/CPINormalized[1999])*100</f>
        <v>14973.616927174007</v>
      </c>
      <c r="CB40" s="39">
        <f>(BD40/CPINormalized[2000])*100</f>
        <v>15634.780651497798</v>
      </c>
      <c r="CC40" s="39">
        <f>(BE40/CPINormalized[2001])*100</f>
        <v>15662.590368808973</v>
      </c>
      <c r="CD40" s="39">
        <f>(BF40/CPINormalized[2002])*100</f>
        <v>15379.027160781889</v>
      </c>
      <c r="CE40" s="39">
        <f>(BG40/CPINormalized[2003])*100</f>
        <v>15243.938892918604</v>
      </c>
      <c r="CF40" s="39">
        <f>(BH40/CPINormalized[2004])*100</f>
        <v>15985.716497014082</v>
      </c>
      <c r="CG40" s="39">
        <f>(BI40/CPINormalized[2005])*100</f>
        <v>15519.398023237944</v>
      </c>
      <c r="CH40" s="39">
        <f>(BJ40/CPINormalized[2006])*100</f>
        <v>15469.643357448043</v>
      </c>
      <c r="CI40" s="39">
        <f>(BK40/CPINormalized[2007])*100</f>
        <v>15636.8453894916</v>
      </c>
      <c r="CJ40" s="39">
        <f>(BL40/CPINormalized[2008])*100</f>
        <v>15925.166358932058</v>
      </c>
      <c r="CK40" s="39">
        <f>(BM40/CPINormalized[2009])*100</f>
        <v>16467.098075825226</v>
      </c>
      <c r="CL40" s="39">
        <f>(BN40/CPINormalized[2010])*100</f>
        <v>16078.708881040953</v>
      </c>
      <c r="CM40" s="39">
        <f>(BO40/CPINormalized[2011])*100</f>
        <v>15984.513285673898</v>
      </c>
      <c r="CN40" s="39">
        <f>(BP40/CPINormalized[2012])*100</f>
        <v>16489.97726540154</v>
      </c>
      <c r="CO40" s="39">
        <f>(BQ40/CPINormalized[2013])*100</f>
        <v>17255.298574438089</v>
      </c>
      <c r="CP40" s="39">
        <f>(BR40/CPINormalized[2014])*100</f>
        <v>16652.779878378937</v>
      </c>
      <c r="CQ40" s="39">
        <f>(BS40/CPINormalized[2015])*100</f>
        <v>17486.281630730991</v>
      </c>
      <c r="CR40" s="39">
        <f>(BT40/CPINormalized[2016])*100</f>
        <v>17486.050568463408</v>
      </c>
      <c r="CS40" s="39">
        <f>(BU40/CPINormalized[2017])*100</f>
        <v>16863.707270403771</v>
      </c>
    </row>
    <row r="41" spans="1:97">
      <c r="A41" s="319" t="s">
        <v>33</v>
      </c>
      <c r="B41" s="367">
        <v>5585</v>
      </c>
      <c r="C41" s="367">
        <v>5533</v>
      </c>
      <c r="D41" s="367">
        <v>5424</v>
      </c>
      <c r="E41" s="367">
        <v>5438</v>
      </c>
      <c r="F41" s="367">
        <v>5326</v>
      </c>
      <c r="G41" s="367">
        <v>5310</v>
      </c>
      <c r="H41" s="367">
        <v>5148</v>
      </c>
      <c r="I41" s="367">
        <v>5154</v>
      </c>
      <c r="J41" s="367">
        <v>5116</v>
      </c>
      <c r="K41" s="367">
        <v>5047</v>
      </c>
      <c r="L41" s="367">
        <v>4976</v>
      </c>
      <c r="M41" s="367">
        <v>4997</v>
      </c>
      <c r="N41" s="367">
        <v>4926</v>
      </c>
      <c r="O41" s="367">
        <v>4911</v>
      </c>
      <c r="P41" s="367">
        <v>4893</v>
      </c>
      <c r="Q41" s="367">
        <v>4816</v>
      </c>
      <c r="R41" s="367">
        <v>4655</v>
      </c>
      <c r="S41" s="611">
        <v>4568</v>
      </c>
      <c r="T41" s="748">
        <v>4518</v>
      </c>
      <c r="U41" s="748">
        <v>4471</v>
      </c>
      <c r="V41" s="748">
        <v>4448</v>
      </c>
      <c r="W41" s="892">
        <v>4413</v>
      </c>
      <c r="X41" s="742"/>
      <c r="Y41" s="742"/>
      <c r="Z41" s="367" t="s">
        <v>33</v>
      </c>
      <c r="AA41" s="367">
        <v>126748</v>
      </c>
      <c r="AB41" s="367">
        <v>124623</v>
      </c>
      <c r="AC41" s="367">
        <v>122588</v>
      </c>
      <c r="AD41" s="367">
        <v>120635</v>
      </c>
      <c r="AE41" s="367">
        <v>134246</v>
      </c>
      <c r="AF41" s="367">
        <v>131968</v>
      </c>
      <c r="AG41" s="367">
        <v>123194</v>
      </c>
      <c r="AH41" s="367">
        <v>129682</v>
      </c>
      <c r="AI41" s="367">
        <v>143844</v>
      </c>
      <c r="AJ41" s="367">
        <v>138721</v>
      </c>
      <c r="AK41" s="367">
        <v>145066</v>
      </c>
      <c r="AL41" s="367">
        <v>154802</v>
      </c>
      <c r="AM41" s="367">
        <v>173466</v>
      </c>
      <c r="AN41" s="367">
        <v>180087</v>
      </c>
      <c r="AO41" s="367">
        <v>165793</v>
      </c>
      <c r="AP41" s="367">
        <v>178329</v>
      </c>
      <c r="AQ41" s="415">
        <v>186534</v>
      </c>
      <c r="AR41" s="8">
        <v>223158</v>
      </c>
      <c r="AS41" s="684">
        <v>203758</v>
      </c>
      <c r="AT41" s="684">
        <v>164383</v>
      </c>
      <c r="AU41" s="683">
        <v>210453</v>
      </c>
      <c r="AV41" s="8">
        <v>203853</v>
      </c>
      <c r="AW41" s="684"/>
      <c r="AX41" s="683"/>
      <c r="AY41" s="367" t="s">
        <v>33</v>
      </c>
      <c r="AZ41" s="39">
        <f t="shared" ref="AZ41:AZ72" si="22">(AA41/B41)*1000</f>
        <v>22694.35989256938</v>
      </c>
      <c r="BA41" s="39">
        <f t="shared" ref="BA41:BA72" si="23">(AB41/C41)*1000</f>
        <v>22523.585758178204</v>
      </c>
      <c r="BB41" s="39">
        <f t="shared" ref="BB41:BB72" si="24">(AC41/D41)*1000</f>
        <v>22601.03244837758</v>
      </c>
      <c r="BC41" s="39">
        <f t="shared" ref="BC41:BC72" si="25">(AD41/E41)*1000</f>
        <v>22183.707245310776</v>
      </c>
      <c r="BD41" s="39">
        <f t="shared" ref="BD41:BD72" si="26">(AE41/F41)*1000</f>
        <v>25205.782951558394</v>
      </c>
      <c r="BE41" s="39">
        <f t="shared" ref="BE41:BE72" si="27">(AF41/G41)*1000</f>
        <v>24852.730696798491</v>
      </c>
      <c r="BF41" s="39">
        <f t="shared" ref="BF41:BF72" si="28">(AG41/H41)*1000</f>
        <v>23930.458430458428</v>
      </c>
      <c r="BG41" s="39">
        <f t="shared" ref="BG41:BG72" si="29">(AH41/I41)*1000</f>
        <v>25161.428017074119</v>
      </c>
      <c r="BH41" s="39">
        <f t="shared" ref="BH41:BH72" si="30">(AI41/J41)*1000</f>
        <v>28116.497263487097</v>
      </c>
      <c r="BI41" s="39">
        <f t="shared" ref="BI41:BI72" si="31">(AJ41/K41)*1000</f>
        <v>27485.833168218742</v>
      </c>
      <c r="BJ41" s="39">
        <f t="shared" ref="BJ41:BJ72" si="32">(AK41/L41)*1000</f>
        <v>29153.13504823151</v>
      </c>
      <c r="BK41" s="39">
        <f t="shared" ref="BK41:BK72" si="33">(AL41/M41)*1000</f>
        <v>30978.987392435462</v>
      </c>
      <c r="BL41" s="39">
        <f t="shared" ref="BL41:BL72" si="34">(AM41/N41)*1000</f>
        <v>35214.372716199752</v>
      </c>
      <c r="BM41" s="39">
        <f t="shared" ref="BM41:BM72" si="35">(AN41/O41)*1000</f>
        <v>36670.12828344533</v>
      </c>
      <c r="BN41" s="39">
        <f t="shared" ref="BN41:BN72" si="36">(AO41/P41)*1000</f>
        <v>33883.711424483954</v>
      </c>
      <c r="BO41" s="39">
        <f t="shared" ref="BO41:BO72" si="37">(AP41/Q41)*1000</f>
        <v>37028.446843853824</v>
      </c>
      <c r="BP41" s="39">
        <f t="shared" ref="BP41:BP72" si="38">(AQ41/R41)*1000</f>
        <v>40071.750805585398</v>
      </c>
      <c r="BQ41" s="39">
        <f t="shared" ref="BQ41:BQ72" si="39">(AR41/S41)*1000</f>
        <v>48852.451838879162</v>
      </c>
      <c r="BR41" s="39">
        <f t="shared" ref="BR41:BR72" si="40">(AS41/T41)*1000</f>
        <v>45099.158919876056</v>
      </c>
      <c r="BS41" s="39">
        <f t="shared" ref="BS41:BS72" si="41">(AT41/U41)*1000</f>
        <v>36766.495191232389</v>
      </c>
      <c r="BT41" s="39">
        <f t="shared" ref="BT41:BT72" si="42">(AU41/V41)*1000</f>
        <v>47314.073741007189</v>
      </c>
      <c r="BU41" s="39">
        <f t="shared" ref="BU41:BU72" si="43">(AV41/W41)*1000</f>
        <v>46193.745751189665</v>
      </c>
      <c r="BW41" s="367" t="s">
        <v>33</v>
      </c>
      <c r="BX41" s="39">
        <f>(AZ41/CPINormalized[1996])*100</f>
        <v>22694.35989256938</v>
      </c>
      <c r="BY41" s="39">
        <f>(BA41/CPINormalized[1997])*100</f>
        <v>22018.38383463028</v>
      </c>
      <c r="BZ41" s="39">
        <f>(BB41/CPINormalized[1998])*100</f>
        <v>21755.226939573269</v>
      </c>
      <c r="CA41" s="39">
        <f>(BC41/CPINormalized[1999])*100</f>
        <v>20892.098840271676</v>
      </c>
      <c r="CB41" s="39">
        <f>(BD41/CPINormalized[2000])*100</f>
        <v>22966.244745061049</v>
      </c>
      <c r="CC41" s="39">
        <f>(BE41/CPINormalized[2001])*100</f>
        <v>22018.031882143892</v>
      </c>
      <c r="CD41" s="39">
        <f>(BF41/CPINormalized[2002])*100</f>
        <v>20870.977919616049</v>
      </c>
      <c r="CE41" s="39">
        <f>(BG41/CPINormalized[2003])*100</f>
        <v>21455.587260211574</v>
      </c>
      <c r="CF41" s="39">
        <f>(BH41/CPINormalized[2004])*100</f>
        <v>23353.512020334176</v>
      </c>
      <c r="CG41" s="39">
        <f>(BI41/CPINormalized[2005])*100</f>
        <v>22081.552606725654</v>
      </c>
      <c r="CH41" s="39">
        <f>(BJ41/CPINormalized[2006])*100</f>
        <v>22689.121473549229</v>
      </c>
      <c r="CI41" s="39">
        <f>(BK41/CPINormalized[2007])*100</f>
        <v>23442.44350818032</v>
      </c>
      <c r="CJ41" s="39">
        <f>(BL41/CPINormalized[2008])*100</f>
        <v>25662.136984490422</v>
      </c>
      <c r="CK41" s="39">
        <f>(BM41/CPINormalized[2009])*100</f>
        <v>26818.418863284991</v>
      </c>
      <c r="CL41" s="39">
        <f>(BN41/CPINormalized[2010])*100</f>
        <v>24380.683505620262</v>
      </c>
      <c r="CM41" s="39">
        <f>(BO41/CPINormalized[2011])*100</f>
        <v>25828.172570344253</v>
      </c>
      <c r="CN41" s="39">
        <f>(BP41/CPINormalized[2012])*100</f>
        <v>27384.242190111014</v>
      </c>
      <c r="CO41" s="39">
        <f>(BQ41/CPINormalized[2013])*100</f>
        <v>32902.85200067026</v>
      </c>
      <c r="CP41" s="39">
        <f>(BR41/CPINormalized[2014])*100</f>
        <v>29890.080235065874</v>
      </c>
      <c r="CQ41" s="39">
        <f>(BS41/CPINormalized[2015])*100</f>
        <v>24338.604806846608</v>
      </c>
      <c r="CR41" s="39">
        <f>(BT41/CPINormalized[2016])*100</f>
        <v>30930.673563537846</v>
      </c>
      <c r="CS41" s="39">
        <f>(BU41/CPINormalized[2017])*100</f>
        <v>29568.369404216945</v>
      </c>
    </row>
    <row r="42" spans="1:97">
      <c r="A42" s="319" t="s">
        <v>34</v>
      </c>
      <c r="B42" s="367">
        <v>10107</v>
      </c>
      <c r="C42" s="367">
        <v>10169</v>
      </c>
      <c r="D42" s="367">
        <v>10210</v>
      </c>
      <c r="E42" s="367">
        <v>10227</v>
      </c>
      <c r="F42" s="367">
        <v>10182</v>
      </c>
      <c r="G42" s="367">
        <v>10155</v>
      </c>
      <c r="H42" s="367">
        <v>10072</v>
      </c>
      <c r="I42" s="367">
        <v>10056</v>
      </c>
      <c r="J42" s="367">
        <v>10012</v>
      </c>
      <c r="K42" s="367">
        <v>10091</v>
      </c>
      <c r="L42" s="367">
        <v>10089</v>
      </c>
      <c r="M42" s="367">
        <v>10079</v>
      </c>
      <c r="N42" s="367">
        <v>10138</v>
      </c>
      <c r="O42" s="367">
        <v>10172</v>
      </c>
      <c r="P42" s="367">
        <v>10129</v>
      </c>
      <c r="Q42" s="367">
        <v>10193</v>
      </c>
      <c r="R42" s="367">
        <v>10169</v>
      </c>
      <c r="S42" s="611">
        <v>10257</v>
      </c>
      <c r="T42" s="748">
        <v>10136</v>
      </c>
      <c r="U42" s="748">
        <v>10123</v>
      </c>
      <c r="V42" s="748">
        <v>10058</v>
      </c>
      <c r="W42" s="892">
        <v>10139</v>
      </c>
      <c r="X42" s="742"/>
      <c r="Y42" s="742"/>
      <c r="Z42" s="367" t="s">
        <v>34</v>
      </c>
      <c r="AA42" s="367">
        <v>198598</v>
      </c>
      <c r="AB42" s="367">
        <v>205774</v>
      </c>
      <c r="AC42" s="367">
        <v>214305</v>
      </c>
      <c r="AD42" s="367">
        <v>219166</v>
      </c>
      <c r="AE42" s="367">
        <v>232443</v>
      </c>
      <c r="AF42" s="367">
        <v>241970</v>
      </c>
      <c r="AG42" s="367">
        <v>246160</v>
      </c>
      <c r="AH42" s="367">
        <v>254318</v>
      </c>
      <c r="AI42" s="367">
        <v>288438</v>
      </c>
      <c r="AJ42" s="367">
        <v>282328</v>
      </c>
      <c r="AK42" s="367">
        <v>304933</v>
      </c>
      <c r="AL42" s="367">
        <v>324065</v>
      </c>
      <c r="AM42" s="367">
        <v>344236</v>
      </c>
      <c r="AN42" s="367">
        <v>344033</v>
      </c>
      <c r="AO42" s="367">
        <v>352068</v>
      </c>
      <c r="AP42" s="367">
        <v>372345</v>
      </c>
      <c r="AQ42" s="415">
        <v>375808</v>
      </c>
      <c r="AR42" s="8">
        <v>411040</v>
      </c>
      <c r="AS42" s="684">
        <v>358788</v>
      </c>
      <c r="AT42" s="684">
        <v>356076</v>
      </c>
      <c r="AU42" s="683">
        <v>368350</v>
      </c>
      <c r="AV42" s="8">
        <v>379904</v>
      </c>
      <c r="AW42" s="684"/>
      <c r="AX42" s="683"/>
      <c r="AY42" s="367" t="s">
        <v>34</v>
      </c>
      <c r="AZ42" s="39">
        <f t="shared" si="22"/>
        <v>19649.549816958544</v>
      </c>
      <c r="BA42" s="39">
        <f t="shared" si="23"/>
        <v>20235.421378699972</v>
      </c>
      <c r="BB42" s="39">
        <f t="shared" si="24"/>
        <v>20989.715964740451</v>
      </c>
      <c r="BC42" s="39">
        <f t="shared" si="25"/>
        <v>21430.135914735503</v>
      </c>
      <c r="BD42" s="39">
        <f t="shared" si="26"/>
        <v>22828.815556865055</v>
      </c>
      <c r="BE42" s="39">
        <f t="shared" si="27"/>
        <v>23827.671097981292</v>
      </c>
      <c r="BF42" s="39">
        <f t="shared" si="28"/>
        <v>24440.031771247021</v>
      </c>
      <c r="BG42" s="39">
        <f t="shared" si="29"/>
        <v>25290.175019888622</v>
      </c>
      <c r="BH42" s="39">
        <f t="shared" si="30"/>
        <v>28809.228925289652</v>
      </c>
      <c r="BI42" s="39">
        <f t="shared" si="31"/>
        <v>27978.198394609059</v>
      </c>
      <c r="BJ42" s="39">
        <f t="shared" si="32"/>
        <v>30224.303697095849</v>
      </c>
      <c r="BK42" s="39">
        <f t="shared" si="33"/>
        <v>32152.495287230879</v>
      </c>
      <c r="BL42" s="39">
        <f t="shared" si="34"/>
        <v>33955.020714144805</v>
      </c>
      <c r="BM42" s="39">
        <f t="shared" si="35"/>
        <v>33821.569012976805</v>
      </c>
      <c r="BN42" s="39">
        <f t="shared" si="36"/>
        <v>34758.416428077791</v>
      </c>
      <c r="BO42" s="39">
        <f t="shared" si="37"/>
        <v>36529.48101638379</v>
      </c>
      <c r="BP42" s="39">
        <f t="shared" si="38"/>
        <v>36956.239551578328</v>
      </c>
      <c r="BQ42" s="39">
        <f t="shared" si="39"/>
        <v>40074.09573949498</v>
      </c>
      <c r="BR42" s="39">
        <f t="shared" si="40"/>
        <v>35397.395422257301</v>
      </c>
      <c r="BS42" s="39">
        <f t="shared" si="41"/>
        <v>35174.948137903782</v>
      </c>
      <c r="BT42" s="39">
        <f t="shared" si="42"/>
        <v>36622.588983893416</v>
      </c>
      <c r="BU42" s="39">
        <f t="shared" si="43"/>
        <v>37469.572936186996</v>
      </c>
      <c r="BW42" s="367" t="s">
        <v>34</v>
      </c>
      <c r="BX42" s="39">
        <f>(AZ42/CPINormalized[1996])*100</f>
        <v>19649.549816958544</v>
      </c>
      <c r="BY42" s="39">
        <f>(BA42/CPINormalized[1997])*100</f>
        <v>19781.542768336607</v>
      </c>
      <c r="BZ42" s="39">
        <f>(BB42/CPINormalized[1998])*100</f>
        <v>20204.211256857532</v>
      </c>
      <c r="CA42" s="39">
        <f>(BC42/CPINormalized[1999])*100</f>
        <v>20182.402911296522</v>
      </c>
      <c r="CB42" s="39">
        <f>(BD42/CPINormalized[2000])*100</f>
        <v>20800.471317492033</v>
      </c>
      <c r="CC42" s="39">
        <f>(BE42/CPINormalized[2001])*100</f>
        <v>21109.890430679079</v>
      </c>
      <c r="CD42" s="39">
        <f>(BF42/CPINormalized[2002])*100</f>
        <v>21315.4029177802</v>
      </c>
      <c r="CE42" s="39">
        <f>(BG42/CPINormalized[2003])*100</f>
        <v>21565.372068589808</v>
      </c>
      <c r="CF42" s="39">
        <f>(BH42/CPINormalized[2004])*100</f>
        <v>23928.893691783731</v>
      </c>
      <c r="CG42" s="39">
        <f>(BI42/CPINormalized[2005])*100</f>
        <v>22477.108694900977</v>
      </c>
      <c r="CH42" s="39">
        <f>(BJ42/CPINormalized[2006])*100</f>
        <v>23522.783978543346</v>
      </c>
      <c r="CI42" s="39">
        <f>(BK42/CPINormalized[2007])*100</f>
        <v>24330.461317854195</v>
      </c>
      <c r="CJ42" s="39">
        <f>(BL42/CPINormalized[2008])*100</f>
        <v>24744.396269672605</v>
      </c>
      <c r="CK42" s="39">
        <f>(BM42/CPINormalized[2009])*100</f>
        <v>24735.146749213702</v>
      </c>
      <c r="CL42" s="39">
        <f>(BN42/CPINormalized[2010])*100</f>
        <v>25010.068686784154</v>
      </c>
      <c r="CM42" s="39">
        <f>(BO42/CPINormalized[2011])*100</f>
        <v>25480.132709181678</v>
      </c>
      <c r="CN42" s="39">
        <f>(BP42/CPINormalized[2012])*100</f>
        <v>25255.163399926128</v>
      </c>
      <c r="CO42" s="39">
        <f>(BQ42/CPINormalized[2013])*100</f>
        <v>26990.498768127862</v>
      </c>
      <c r="CP42" s="39">
        <f>(BR42/CPINormalized[2014])*100</f>
        <v>23460.104680961798</v>
      </c>
      <c r="CQ42" s="39">
        <f>(BS42/CPINormalized[2015])*100</f>
        <v>23285.035937663139</v>
      </c>
      <c r="CR42" s="39">
        <f>(BT42/CPINormalized[2016])*100</f>
        <v>23941.319259741911</v>
      </c>
      <c r="CS42" s="39">
        <f>(BU42/CPINormalized[2017])*100</f>
        <v>23984.073081297895</v>
      </c>
    </row>
    <row r="43" spans="1:97">
      <c r="A43" s="319" t="s">
        <v>35</v>
      </c>
      <c r="B43" s="367">
        <v>35833</v>
      </c>
      <c r="C43" s="367">
        <v>36393</v>
      </c>
      <c r="D43" s="367">
        <v>36703</v>
      </c>
      <c r="E43" s="367">
        <v>37128</v>
      </c>
      <c r="F43" s="367">
        <v>37285</v>
      </c>
      <c r="G43" s="367">
        <v>37259</v>
      </c>
      <c r="H43" s="367">
        <v>37429</v>
      </c>
      <c r="I43" s="367">
        <v>37717</v>
      </c>
      <c r="J43" s="367">
        <v>38036</v>
      </c>
      <c r="K43" s="367">
        <v>38704</v>
      </c>
      <c r="L43" s="367">
        <v>39067</v>
      </c>
      <c r="M43" s="367">
        <v>39391</v>
      </c>
      <c r="N43" s="367">
        <v>39910</v>
      </c>
      <c r="O43" s="367">
        <v>39917</v>
      </c>
      <c r="P43" s="367">
        <v>40584</v>
      </c>
      <c r="Q43" s="367">
        <v>40610</v>
      </c>
      <c r="R43" s="367">
        <v>40629</v>
      </c>
      <c r="S43" s="611">
        <v>40393</v>
      </c>
      <c r="T43" s="748">
        <v>40168</v>
      </c>
      <c r="U43" s="748">
        <v>40135</v>
      </c>
      <c r="V43" s="748">
        <v>40210</v>
      </c>
      <c r="W43" s="892">
        <v>40103</v>
      </c>
      <c r="X43" s="742"/>
      <c r="Y43" s="742"/>
      <c r="Z43" s="367" t="s">
        <v>35</v>
      </c>
      <c r="AA43" s="367">
        <v>578797</v>
      </c>
      <c r="AB43" s="367">
        <v>625237</v>
      </c>
      <c r="AC43" s="367">
        <v>651968</v>
      </c>
      <c r="AD43" s="367">
        <v>674723</v>
      </c>
      <c r="AE43" s="367">
        <v>711461</v>
      </c>
      <c r="AF43" s="367">
        <v>759862</v>
      </c>
      <c r="AG43" s="367">
        <v>765717</v>
      </c>
      <c r="AH43" s="367">
        <v>808692</v>
      </c>
      <c r="AI43" s="367">
        <v>881294</v>
      </c>
      <c r="AJ43" s="367">
        <v>925953</v>
      </c>
      <c r="AK43" s="367">
        <v>984357</v>
      </c>
      <c r="AL43" s="367">
        <v>1007611</v>
      </c>
      <c r="AM43" s="367">
        <v>1055047</v>
      </c>
      <c r="AN43" s="367">
        <v>1053993</v>
      </c>
      <c r="AO43" s="367">
        <v>1091164</v>
      </c>
      <c r="AP43" s="367">
        <v>1123449</v>
      </c>
      <c r="AQ43" s="415">
        <v>1163550</v>
      </c>
      <c r="AR43" s="8">
        <v>1203303</v>
      </c>
      <c r="AS43" s="684">
        <v>1230345</v>
      </c>
      <c r="AT43" s="684">
        <v>1270792</v>
      </c>
      <c r="AU43" s="683">
        <v>1263513</v>
      </c>
      <c r="AV43" s="8">
        <v>1280529</v>
      </c>
      <c r="AW43" s="684"/>
      <c r="AX43" s="683"/>
      <c r="AY43" s="367" t="s">
        <v>35</v>
      </c>
      <c r="AZ43" s="39">
        <f t="shared" si="22"/>
        <v>16152.624675578376</v>
      </c>
      <c r="BA43" s="39">
        <f t="shared" si="23"/>
        <v>17180.144533289367</v>
      </c>
      <c r="BB43" s="39">
        <f t="shared" si="24"/>
        <v>17763.343595891343</v>
      </c>
      <c r="BC43" s="39">
        <f t="shared" si="25"/>
        <v>18172.888386123683</v>
      </c>
      <c r="BD43" s="39">
        <f t="shared" si="26"/>
        <v>19081.695051629344</v>
      </c>
      <c r="BE43" s="39">
        <f t="shared" si="27"/>
        <v>20394.052443704877</v>
      </c>
      <c r="BF43" s="39">
        <f t="shared" si="28"/>
        <v>20457.853536028215</v>
      </c>
      <c r="BG43" s="39">
        <f t="shared" si="29"/>
        <v>21441.047803377787</v>
      </c>
      <c r="BH43" s="39">
        <f t="shared" si="30"/>
        <v>23169.996845094123</v>
      </c>
      <c r="BI43" s="39">
        <f t="shared" si="31"/>
        <v>23923.961347664324</v>
      </c>
      <c r="BJ43" s="39">
        <f t="shared" si="32"/>
        <v>25196.63654746973</v>
      </c>
      <c r="BK43" s="39">
        <f t="shared" si="33"/>
        <v>25579.726333426417</v>
      </c>
      <c r="BL43" s="39">
        <f t="shared" si="34"/>
        <v>26435.655224254569</v>
      </c>
      <c r="BM43" s="39">
        <f t="shared" si="35"/>
        <v>26404.614575243631</v>
      </c>
      <c r="BN43" s="39">
        <f t="shared" si="36"/>
        <v>26886.556278336291</v>
      </c>
      <c r="BO43" s="39">
        <f t="shared" si="37"/>
        <v>27664.343757695151</v>
      </c>
      <c r="BP43" s="39">
        <f t="shared" si="38"/>
        <v>28638.410987225874</v>
      </c>
      <c r="BQ43" s="39">
        <f t="shared" si="39"/>
        <v>29789.889337261407</v>
      </c>
      <c r="BR43" s="39">
        <f t="shared" si="40"/>
        <v>30629.979087831111</v>
      </c>
      <c r="BS43" s="39">
        <f t="shared" si="41"/>
        <v>31662.937585648437</v>
      </c>
      <c r="BT43" s="39">
        <f t="shared" si="42"/>
        <v>31422.855011191245</v>
      </c>
      <c r="BU43" s="39">
        <f t="shared" si="43"/>
        <v>31931.002668129564</v>
      </c>
      <c r="BW43" s="367" t="s">
        <v>35</v>
      </c>
      <c r="BX43" s="39">
        <f>(AZ43/CPINormalized[1996])*100</f>
        <v>16152.624675578374</v>
      </c>
      <c r="BY43" s="39">
        <f>(BA43/CPINormalized[1997])*100</f>
        <v>16794.79549702867</v>
      </c>
      <c r="BZ43" s="39">
        <f>(BB43/CPINormalized[1998])*100</f>
        <v>17098.580430646332</v>
      </c>
      <c r="CA43" s="39">
        <f>(BC43/CPINormalized[1999])*100</f>
        <v>17114.803047916001</v>
      </c>
      <c r="CB43" s="39">
        <f>(BD43/CPINormalized[2000])*100</f>
        <v>17386.283121954963</v>
      </c>
      <c r="CC43" s="39">
        <f>(BE43/CPINormalized[2001])*100</f>
        <v>18067.909816020863</v>
      </c>
      <c r="CD43" s="39">
        <f>(BF43/CPINormalized[2002])*100</f>
        <v>17842.341410799483</v>
      </c>
      <c r="CE43" s="39">
        <f>(BG43/CPINormalized[2003])*100</f>
        <v>18283.154349728124</v>
      </c>
      <c r="CF43" s="39">
        <f>(BH43/CPINormalized[2004])*100</f>
        <v>19244.95767599401</v>
      </c>
      <c r="CG43" s="39">
        <f>(BI43/CPINormalized[2005])*100</f>
        <v>19220.018102655056</v>
      </c>
      <c r="CH43" s="39">
        <f>(BJ43/CPINormalized[2006])*100</f>
        <v>19609.882312986116</v>
      </c>
      <c r="CI43" s="39">
        <f>(BK43/CPINormalized[2007])*100</f>
        <v>19356.710467317789</v>
      </c>
      <c r="CJ43" s="39">
        <f>(BL43/CPINormalized[2008])*100</f>
        <v>19264.73065719262</v>
      </c>
      <c r="CK43" s="39">
        <f>(BM43/CPINormalized[2009])*100</f>
        <v>19310.813644526239</v>
      </c>
      <c r="CL43" s="39">
        <f>(BN43/CPINormalized[2010])*100</f>
        <v>19345.950948705671</v>
      </c>
      <c r="CM43" s="39">
        <f>(BO43/CPINormalized[2011])*100</f>
        <v>19296.500542735448</v>
      </c>
      <c r="CN43" s="39">
        <f>(BP43/CPINormalized[2012])*100</f>
        <v>19570.923821596989</v>
      </c>
      <c r="CO43" s="39">
        <f>(BQ43/CPINormalized[2013])*100</f>
        <v>20063.932987702945</v>
      </c>
      <c r="CP43" s="39">
        <f>(BR43/CPINormalized[2014])*100</f>
        <v>20300.434741149224</v>
      </c>
      <c r="CQ43" s="39">
        <f>(BS43/CPINormalized[2015])*100</f>
        <v>20960.162803462368</v>
      </c>
      <c r="CR43" s="39">
        <f>(BT43/CPINormalized[2016])*100</f>
        <v>20542.092319206964</v>
      </c>
      <c r="CS43" s="39">
        <f>(BU43/CPINormalized[2017])*100</f>
        <v>20438.863897803232</v>
      </c>
    </row>
    <row r="44" spans="1:97">
      <c r="A44" s="319" t="s">
        <v>36</v>
      </c>
      <c r="B44" s="367">
        <v>10920</v>
      </c>
      <c r="C44" s="367">
        <v>10965</v>
      </c>
      <c r="D44" s="367">
        <v>10871</v>
      </c>
      <c r="E44" s="367">
        <v>10862</v>
      </c>
      <c r="F44" s="367">
        <v>10628</v>
      </c>
      <c r="G44" s="367">
        <v>10616</v>
      </c>
      <c r="H44" s="367">
        <v>10608</v>
      </c>
      <c r="I44" s="367">
        <v>10508</v>
      </c>
      <c r="J44" s="367">
        <v>10617</v>
      </c>
      <c r="K44" s="367">
        <v>10630</v>
      </c>
      <c r="L44" s="367">
        <v>10710</v>
      </c>
      <c r="M44" s="367">
        <v>10681</v>
      </c>
      <c r="N44" s="367">
        <v>10667</v>
      </c>
      <c r="O44" s="367">
        <v>10715</v>
      </c>
      <c r="P44" s="367">
        <v>10588</v>
      </c>
      <c r="Q44" s="367">
        <v>10469</v>
      </c>
      <c r="R44" s="367">
        <v>10374</v>
      </c>
      <c r="S44" s="611">
        <v>10344</v>
      </c>
      <c r="T44" s="748">
        <v>10230</v>
      </c>
      <c r="U44" s="748">
        <v>10099</v>
      </c>
      <c r="V44" s="748">
        <v>10022</v>
      </c>
      <c r="W44" s="892">
        <v>10226</v>
      </c>
      <c r="X44" s="742"/>
      <c r="Y44" s="742"/>
      <c r="Z44" s="367" t="s">
        <v>36</v>
      </c>
      <c r="AA44" s="367">
        <v>177382</v>
      </c>
      <c r="AB44" s="367">
        <v>187487</v>
      </c>
      <c r="AC44" s="367">
        <v>192883</v>
      </c>
      <c r="AD44" s="367">
        <v>197880</v>
      </c>
      <c r="AE44" s="367">
        <v>203604</v>
      </c>
      <c r="AF44" s="367">
        <v>203527</v>
      </c>
      <c r="AG44" s="367">
        <v>207014</v>
      </c>
      <c r="AH44" s="367">
        <v>212117</v>
      </c>
      <c r="AI44" s="367">
        <v>222395</v>
      </c>
      <c r="AJ44" s="367">
        <v>229782</v>
      </c>
      <c r="AK44" s="367">
        <v>240643</v>
      </c>
      <c r="AL44" s="367">
        <v>266389</v>
      </c>
      <c r="AM44" s="367">
        <v>276788</v>
      </c>
      <c r="AN44" s="367">
        <v>279990</v>
      </c>
      <c r="AO44" s="367">
        <v>285798</v>
      </c>
      <c r="AP44" s="367">
        <v>297676</v>
      </c>
      <c r="AQ44" s="415">
        <v>310061</v>
      </c>
      <c r="AR44" s="8">
        <v>321173</v>
      </c>
      <c r="AS44" s="684">
        <v>308345</v>
      </c>
      <c r="AT44" s="684">
        <v>317991</v>
      </c>
      <c r="AU44" s="683">
        <v>319169</v>
      </c>
      <c r="AV44" s="8">
        <v>336379</v>
      </c>
      <c r="AW44" s="684"/>
      <c r="AX44" s="683"/>
      <c r="AY44" s="367" t="s">
        <v>36</v>
      </c>
      <c r="AZ44" s="39">
        <f t="shared" si="22"/>
        <v>16243.772893772892</v>
      </c>
      <c r="BA44" s="39">
        <f t="shared" si="23"/>
        <v>17098.677610579118</v>
      </c>
      <c r="BB44" s="39">
        <f t="shared" si="24"/>
        <v>17742.893938000183</v>
      </c>
      <c r="BC44" s="39">
        <f t="shared" si="25"/>
        <v>18217.639477076045</v>
      </c>
      <c r="BD44" s="39">
        <f t="shared" si="26"/>
        <v>19157.320286036884</v>
      </c>
      <c r="BE44" s="39">
        <f t="shared" si="27"/>
        <v>19171.721929163527</v>
      </c>
      <c r="BF44" s="39">
        <f t="shared" si="28"/>
        <v>19514.894419306183</v>
      </c>
      <c r="BG44" s="39">
        <f t="shared" si="29"/>
        <v>20186.239055957365</v>
      </c>
      <c r="BH44" s="39">
        <f t="shared" si="30"/>
        <v>20947.06602618442</v>
      </c>
      <c r="BI44" s="39">
        <f t="shared" si="31"/>
        <v>21616.368767638756</v>
      </c>
      <c r="BJ44" s="39">
        <f t="shared" si="32"/>
        <v>22469.000933706815</v>
      </c>
      <c r="BK44" s="39">
        <f t="shared" si="33"/>
        <v>24940.455013575509</v>
      </c>
      <c r="BL44" s="39">
        <f t="shared" si="34"/>
        <v>25948.064122996158</v>
      </c>
      <c r="BM44" s="39">
        <f t="shared" si="35"/>
        <v>26130.657956136256</v>
      </c>
      <c r="BN44" s="39">
        <f t="shared" si="36"/>
        <v>26992.633169625991</v>
      </c>
      <c r="BO44" s="39">
        <f t="shared" si="37"/>
        <v>28434.043366128572</v>
      </c>
      <c r="BP44" s="39">
        <f t="shared" si="38"/>
        <v>29888.278388278388</v>
      </c>
      <c r="BQ44" s="39">
        <f t="shared" si="39"/>
        <v>31049.207269914928</v>
      </c>
      <c r="BR44" s="39">
        <f t="shared" si="40"/>
        <v>30141.251221896382</v>
      </c>
      <c r="BS44" s="39">
        <f t="shared" si="41"/>
        <v>31487.374987622537</v>
      </c>
      <c r="BT44" s="39">
        <f t="shared" si="42"/>
        <v>31846.836958690878</v>
      </c>
      <c r="BU44" s="39">
        <f t="shared" si="43"/>
        <v>32894.484646978293</v>
      </c>
      <c r="BW44" s="367" t="s">
        <v>36</v>
      </c>
      <c r="BX44" s="39">
        <f>(AZ44/CPINormalized[1996])*100</f>
        <v>16243.77289377289</v>
      </c>
      <c r="BY44" s="39">
        <f>(BA44/CPINormalized[1997])*100</f>
        <v>16715.15586978108</v>
      </c>
      <c r="BZ44" s="39">
        <f>(BB44/CPINormalized[1998])*100</f>
        <v>17078.896066700792</v>
      </c>
      <c r="CA44" s="39">
        <f>(BC44/CPINormalized[1999])*100</f>
        <v>17156.948583152651</v>
      </c>
      <c r="CB44" s="39">
        <f>(BD44/CPINormalized[2000])*100</f>
        <v>17455.189041110265</v>
      </c>
      <c r="CC44" s="39">
        <f>(BE44/CPINormalized[2001])*100</f>
        <v>16984.99814051811</v>
      </c>
      <c r="CD44" s="39">
        <f>(BF44/CPINormalized[2002])*100</f>
        <v>17019.938490212007</v>
      </c>
      <c r="CE44" s="39">
        <f>(BG44/CPINormalized[2003])*100</f>
        <v>17213.157108041905</v>
      </c>
      <c r="CF44" s="39">
        <f>(BH44/CPINormalized[2004])*100</f>
        <v>17398.595338847728</v>
      </c>
      <c r="CG44" s="39">
        <f>(BI44/CPINormalized[2005])*100</f>
        <v>17366.145722695957</v>
      </c>
      <c r="CH44" s="39">
        <f>(BJ44/CPINormalized[2006])*100</f>
        <v>17487.034952870035</v>
      </c>
      <c r="CI44" s="39">
        <f>(BK44/CPINormalized[2007])*100</f>
        <v>18872.960575426096</v>
      </c>
      <c r="CJ44" s="39">
        <f>(BL44/CPINormalized[2008])*100</f>
        <v>18909.403310209789</v>
      </c>
      <c r="CK44" s="39">
        <f>(BM44/CPINormalized[2009])*100</f>
        <v>19110.457558918872</v>
      </c>
      <c r="CL44" s="39">
        <f>(BN44/CPINormalized[2010])*100</f>
        <v>19422.277508136984</v>
      </c>
      <c r="CM44" s="39">
        <f>(BO44/CPINormalized[2011])*100</f>
        <v>19833.383291228172</v>
      </c>
      <c r="CN44" s="39">
        <f>(BP44/CPINormalized[2012])*100</f>
        <v>20425.058490730935</v>
      </c>
      <c r="CO44" s="39">
        <f>(BQ44/CPINormalized[2013])*100</f>
        <v>20912.102322100869</v>
      </c>
      <c r="CP44" s="39">
        <f>(BR44/CPINormalized[2014])*100</f>
        <v>19976.523708753815</v>
      </c>
      <c r="CQ44" s="39">
        <f>(BS44/CPINormalized[2015])*100</f>
        <v>20843.944255298044</v>
      </c>
      <c r="CR44" s="39">
        <f>(BT44/CPINormalized[2016])*100</f>
        <v>20819.262433256525</v>
      </c>
      <c r="CS44" s="39">
        <f>(BU44/CPINormalized[2017])*100</f>
        <v>21055.583555445883</v>
      </c>
    </row>
    <row r="45" spans="1:97">
      <c r="A45" s="319" t="s">
        <v>37</v>
      </c>
      <c r="B45" s="367">
        <v>4361</v>
      </c>
      <c r="C45" s="367">
        <v>4399</v>
      </c>
      <c r="D45" s="367">
        <v>4418</v>
      </c>
      <c r="E45" s="367">
        <v>4378</v>
      </c>
      <c r="F45" s="367">
        <v>4356</v>
      </c>
      <c r="G45" s="367">
        <v>4296</v>
      </c>
      <c r="H45" s="367">
        <v>4282</v>
      </c>
      <c r="I45" s="367">
        <v>4254</v>
      </c>
      <c r="J45" s="367">
        <v>4236</v>
      </c>
      <c r="K45" s="367">
        <v>4188</v>
      </c>
      <c r="L45" s="367">
        <v>4158</v>
      </c>
      <c r="M45" s="367">
        <v>4152</v>
      </c>
      <c r="N45" s="367">
        <v>4117</v>
      </c>
      <c r="O45" s="367">
        <v>4111</v>
      </c>
      <c r="P45" s="367">
        <v>4127</v>
      </c>
      <c r="Q45" s="367">
        <v>4117</v>
      </c>
      <c r="R45" s="367">
        <v>4082</v>
      </c>
      <c r="S45" s="611">
        <v>4067</v>
      </c>
      <c r="T45" s="748">
        <v>3992</v>
      </c>
      <c r="U45" s="748">
        <v>3899</v>
      </c>
      <c r="V45" s="748">
        <v>3934</v>
      </c>
      <c r="W45" s="892">
        <v>3977</v>
      </c>
      <c r="X45" s="742"/>
      <c r="Y45" s="742"/>
      <c r="Z45" s="367" t="s">
        <v>37</v>
      </c>
      <c r="AA45" s="367">
        <v>80805</v>
      </c>
      <c r="AB45" s="367">
        <v>84472</v>
      </c>
      <c r="AC45" s="367">
        <v>79877</v>
      </c>
      <c r="AD45" s="367">
        <v>75923</v>
      </c>
      <c r="AE45" s="367">
        <v>93523</v>
      </c>
      <c r="AF45" s="367">
        <v>99158</v>
      </c>
      <c r="AG45" s="367">
        <v>89845</v>
      </c>
      <c r="AH45" s="367">
        <v>98448</v>
      </c>
      <c r="AI45" s="367">
        <v>113422</v>
      </c>
      <c r="AJ45" s="367">
        <v>100808</v>
      </c>
      <c r="AK45" s="367">
        <v>109432</v>
      </c>
      <c r="AL45" s="367">
        <v>116893</v>
      </c>
      <c r="AM45" s="367">
        <v>126247</v>
      </c>
      <c r="AN45" s="367">
        <v>126887</v>
      </c>
      <c r="AO45" s="367">
        <v>123834</v>
      </c>
      <c r="AP45" s="367">
        <v>131849</v>
      </c>
      <c r="AQ45" s="415">
        <v>134417</v>
      </c>
      <c r="AR45" s="8">
        <v>159588</v>
      </c>
      <c r="AS45" s="684">
        <v>175165</v>
      </c>
      <c r="AT45" s="684">
        <v>136175</v>
      </c>
      <c r="AU45" s="683">
        <v>141392</v>
      </c>
      <c r="AV45" s="8">
        <v>127921</v>
      </c>
      <c r="AW45" s="684"/>
      <c r="AX45" s="683"/>
      <c r="AY45" s="367" t="s">
        <v>37</v>
      </c>
      <c r="AZ45" s="39">
        <f t="shared" si="22"/>
        <v>18529.007108461359</v>
      </c>
      <c r="BA45" s="39">
        <f t="shared" si="23"/>
        <v>19202.546033189359</v>
      </c>
      <c r="BB45" s="39">
        <f t="shared" si="24"/>
        <v>18079.900407424171</v>
      </c>
      <c r="BC45" s="39">
        <f t="shared" si="25"/>
        <v>17341.936957514845</v>
      </c>
      <c r="BD45" s="39">
        <f t="shared" si="26"/>
        <v>21469.926538108357</v>
      </c>
      <c r="BE45" s="39">
        <f t="shared" si="27"/>
        <v>23081.47113594041</v>
      </c>
      <c r="BF45" s="39">
        <f t="shared" si="28"/>
        <v>20982.017748715552</v>
      </c>
      <c r="BG45" s="39">
        <f t="shared" si="29"/>
        <v>23142.454160789846</v>
      </c>
      <c r="BH45" s="39">
        <f t="shared" si="30"/>
        <v>26775.731822474034</v>
      </c>
      <c r="BI45" s="39">
        <f t="shared" si="31"/>
        <v>24070.678127984716</v>
      </c>
      <c r="BJ45" s="39">
        <f t="shared" si="32"/>
        <v>26318.422318422319</v>
      </c>
      <c r="BK45" s="39">
        <f t="shared" si="33"/>
        <v>28153.420038535645</v>
      </c>
      <c r="BL45" s="39">
        <f t="shared" si="34"/>
        <v>30664.804469273742</v>
      </c>
      <c r="BM45" s="39">
        <f t="shared" si="35"/>
        <v>30865.239601070301</v>
      </c>
      <c r="BN45" s="39">
        <f t="shared" si="36"/>
        <v>30005.81536224861</v>
      </c>
      <c r="BO45" s="39">
        <f t="shared" si="37"/>
        <v>32025.504007772652</v>
      </c>
      <c r="BP45" s="39">
        <f t="shared" si="38"/>
        <v>32929.20137187653</v>
      </c>
      <c r="BQ45" s="39">
        <f t="shared" si="39"/>
        <v>39239.734447996067</v>
      </c>
      <c r="BR45" s="39">
        <f t="shared" si="40"/>
        <v>43879.008016032065</v>
      </c>
      <c r="BS45" s="39">
        <f t="shared" si="41"/>
        <v>34925.621954347269</v>
      </c>
      <c r="BT45" s="39">
        <f t="shared" si="42"/>
        <v>35941.026944585668</v>
      </c>
      <c r="BU45" s="39">
        <f t="shared" si="43"/>
        <v>32165.199899421674</v>
      </c>
      <c r="BW45" s="367" t="s">
        <v>37</v>
      </c>
      <c r="BX45" s="39">
        <f>(AZ45/CPINormalized[1996])*100</f>
        <v>18529.007108461359</v>
      </c>
      <c r="BY45" s="39">
        <f>(BA45/CPINormalized[1997])*100</f>
        <v>18771.834720295392</v>
      </c>
      <c r="BZ45" s="39">
        <f>(BB45/CPINormalized[1998])*100</f>
        <v>17403.290637575785</v>
      </c>
      <c r="CA45" s="39">
        <f>(BC45/CPINormalized[1999])*100</f>
        <v>16332.232344742371</v>
      </c>
      <c r="CB45" s="39">
        <f>(BD45/CPINormalized[2000])*100</f>
        <v>19562.319824792114</v>
      </c>
      <c r="CC45" s="39">
        <f>(BE45/CPINormalized[2001])*100</f>
        <v>20448.801926759177</v>
      </c>
      <c r="CD45" s="39">
        <f>(BF45/CPINormalized[2002])*100</f>
        <v>18299.491855327797</v>
      </c>
      <c r="CE45" s="39">
        <f>(BG45/CPINormalized[2003])*100</f>
        <v>19733.973140369166</v>
      </c>
      <c r="CF45" s="39">
        <f>(BH45/CPINormalized[2004])*100</f>
        <v>22239.874658264565</v>
      </c>
      <c r="CG45" s="39">
        <f>(BI45/CPINormalized[2005])*100</f>
        <v>19337.887343987721</v>
      </c>
      <c r="CH45" s="39">
        <f>(BJ45/CPINormalized[2006])*100</f>
        <v>20482.938798414987</v>
      </c>
      <c r="CI45" s="39">
        <f>(BK45/CPINormalized[2007])*100</f>
        <v>21304.277975741734</v>
      </c>
      <c r="CJ45" s="39">
        <f>(BL45/CPINormalized[2008])*100</f>
        <v>22346.682680822149</v>
      </c>
      <c r="CK45" s="39">
        <f>(BM45/CPINormalized[2009])*100</f>
        <v>22573.057763499677</v>
      </c>
      <c r="CL45" s="39">
        <f>(BN45/CPINormalized[2010])*100</f>
        <v>21590.382426242832</v>
      </c>
      <c r="CM45" s="39">
        <f>(BO45/CPINormalized[2011])*100</f>
        <v>22338.507679057566</v>
      </c>
      <c r="CN45" s="39">
        <f>(BP45/CPINormalized[2012])*100</f>
        <v>22503.165131699552</v>
      </c>
      <c r="CO45" s="39">
        <f>(BQ45/CPINormalized[2013])*100</f>
        <v>26428.544044139402</v>
      </c>
      <c r="CP45" s="39">
        <f>(BR45/CPINormalized[2014])*100</f>
        <v>29081.408648095061</v>
      </c>
      <c r="CQ45" s="39">
        <f>(BS45/CPINormalized[2015])*100</f>
        <v>23119.98753100869</v>
      </c>
      <c r="CR45" s="39">
        <f>(BT45/CPINormalized[2016])*100</f>
        <v>23495.761071991612</v>
      </c>
      <c r="CS45" s="39">
        <f>(BU45/CPINormalized[2017])*100</f>
        <v>20588.772292017216</v>
      </c>
    </row>
    <row r="46" spans="1:97">
      <c r="A46" s="319" t="s">
        <v>38</v>
      </c>
      <c r="B46" s="367">
        <v>30323</v>
      </c>
      <c r="C46" s="367">
        <v>31061</v>
      </c>
      <c r="D46" s="367">
        <v>31665</v>
      </c>
      <c r="E46" s="367">
        <v>32142</v>
      </c>
      <c r="F46" s="367">
        <v>32598</v>
      </c>
      <c r="G46" s="367">
        <v>32889</v>
      </c>
      <c r="H46" s="367">
        <v>32862</v>
      </c>
      <c r="I46" s="367">
        <v>33155</v>
      </c>
      <c r="J46" s="367">
        <v>33513</v>
      </c>
      <c r="K46" s="367">
        <v>34236</v>
      </c>
      <c r="L46" s="367">
        <v>34937</v>
      </c>
      <c r="M46" s="367">
        <v>35333</v>
      </c>
      <c r="N46" s="367">
        <v>35518</v>
      </c>
      <c r="O46" s="367">
        <v>35355</v>
      </c>
      <c r="P46" s="367">
        <v>35648</v>
      </c>
      <c r="Q46" s="367">
        <v>35596</v>
      </c>
      <c r="R46" s="367">
        <v>35417</v>
      </c>
      <c r="S46" s="611">
        <v>35667</v>
      </c>
      <c r="T46" s="748">
        <v>35493</v>
      </c>
      <c r="U46" s="748">
        <v>35487</v>
      </c>
      <c r="V46" s="748">
        <v>35490</v>
      </c>
      <c r="W46" s="892">
        <v>35443</v>
      </c>
      <c r="X46" s="742"/>
      <c r="Y46" s="742"/>
      <c r="Z46" s="367" t="s">
        <v>38</v>
      </c>
      <c r="AA46" s="367">
        <v>528300</v>
      </c>
      <c r="AB46" s="367">
        <v>569442</v>
      </c>
      <c r="AC46" s="367">
        <v>591706</v>
      </c>
      <c r="AD46" s="367">
        <v>614590</v>
      </c>
      <c r="AE46" s="367">
        <v>664693</v>
      </c>
      <c r="AF46" s="367">
        <v>683827</v>
      </c>
      <c r="AG46" s="367">
        <v>701809</v>
      </c>
      <c r="AH46" s="367">
        <v>728702</v>
      </c>
      <c r="AI46" s="367">
        <v>789007</v>
      </c>
      <c r="AJ46" s="367">
        <v>845459</v>
      </c>
      <c r="AK46" s="367">
        <v>874624</v>
      </c>
      <c r="AL46" s="367">
        <v>924079</v>
      </c>
      <c r="AM46" s="367">
        <v>942880</v>
      </c>
      <c r="AN46" s="367">
        <v>939122</v>
      </c>
      <c r="AO46" s="367">
        <v>959457</v>
      </c>
      <c r="AP46" s="367">
        <v>998419</v>
      </c>
      <c r="AQ46" s="415">
        <v>1033050</v>
      </c>
      <c r="AR46" s="8">
        <v>1073090</v>
      </c>
      <c r="AS46" s="684">
        <v>1108291</v>
      </c>
      <c r="AT46" s="684">
        <v>1139785</v>
      </c>
      <c r="AU46" s="683">
        <v>1158407</v>
      </c>
      <c r="AV46" s="8">
        <v>1216308</v>
      </c>
      <c r="AW46" s="684"/>
      <c r="AX46" s="683"/>
      <c r="AY46" s="367" t="s">
        <v>38</v>
      </c>
      <c r="AZ46" s="39">
        <f t="shared" si="22"/>
        <v>17422.418626125385</v>
      </c>
      <c r="BA46" s="39">
        <f t="shared" si="23"/>
        <v>18333.022117768262</v>
      </c>
      <c r="BB46" s="39">
        <f t="shared" si="24"/>
        <v>18686.436128217272</v>
      </c>
      <c r="BC46" s="39">
        <f t="shared" si="25"/>
        <v>19121.087673449067</v>
      </c>
      <c r="BD46" s="39">
        <f t="shared" si="26"/>
        <v>20390.606785692373</v>
      </c>
      <c r="BE46" s="39">
        <f t="shared" si="27"/>
        <v>20791.966919030678</v>
      </c>
      <c r="BF46" s="39">
        <f t="shared" si="28"/>
        <v>21356.247337350131</v>
      </c>
      <c r="BG46" s="39">
        <f t="shared" si="29"/>
        <v>21978.645754788115</v>
      </c>
      <c r="BH46" s="39">
        <f t="shared" si="30"/>
        <v>23543.311550741502</v>
      </c>
      <c r="BI46" s="39">
        <f t="shared" si="31"/>
        <v>24695.02862483935</v>
      </c>
      <c r="BJ46" s="39">
        <f t="shared" si="32"/>
        <v>25034.318916907578</v>
      </c>
      <c r="BK46" s="39">
        <f t="shared" si="33"/>
        <v>26153.425975716749</v>
      </c>
      <c r="BL46" s="39">
        <f t="shared" si="34"/>
        <v>26546.539782645417</v>
      </c>
      <c r="BM46" s="39">
        <f t="shared" si="35"/>
        <v>26562.636119360766</v>
      </c>
      <c r="BN46" s="39">
        <f t="shared" si="36"/>
        <v>26914.749775583485</v>
      </c>
      <c r="BO46" s="39">
        <f t="shared" si="37"/>
        <v>28048.62905944488</v>
      </c>
      <c r="BP46" s="39">
        <f t="shared" si="38"/>
        <v>29168.196064037045</v>
      </c>
      <c r="BQ46" s="39">
        <f t="shared" si="39"/>
        <v>30086.354333137075</v>
      </c>
      <c r="BR46" s="39">
        <f t="shared" si="40"/>
        <v>31225.621953624657</v>
      </c>
      <c r="BS46" s="39">
        <f t="shared" si="41"/>
        <v>32118.381379096569</v>
      </c>
      <c r="BT46" s="39">
        <f t="shared" si="42"/>
        <v>32640.377571146801</v>
      </c>
      <c r="BU46" s="39">
        <f t="shared" si="43"/>
        <v>34317.298197105207</v>
      </c>
      <c r="BW46" s="367" t="s">
        <v>38</v>
      </c>
      <c r="BX46" s="39">
        <f>(AZ46/CPINormalized[1996])*100</f>
        <v>17422.418626125385</v>
      </c>
      <c r="BY46" s="39">
        <f>(BA46/CPINormalized[1997])*100</f>
        <v>17921.814145033273</v>
      </c>
      <c r="BZ46" s="39">
        <f>(BB46/CPINormalized[1998])*100</f>
        <v>17987.127782314663</v>
      </c>
      <c r="CA46" s="39">
        <f>(BC46/CPINormalized[1999])*100</f>
        <v>18007.795053806476</v>
      </c>
      <c r="CB46" s="39">
        <f>(BD46/CPINormalized[2000])*100</f>
        <v>18578.897820413091</v>
      </c>
      <c r="CC46" s="39">
        <f>(BE46/CPINormalized[2001])*100</f>
        <v>18420.438224708716</v>
      </c>
      <c r="CD46" s="39">
        <f>(BF46/CPINormalized[2002])*100</f>
        <v>18625.876638300364</v>
      </c>
      <c r="CE46" s="39">
        <f>(BG46/CPINormalized[2003])*100</f>
        <v>18741.573472425302</v>
      </c>
      <c r="CF46" s="39">
        <f>(BH46/CPINormalized[2004])*100</f>
        <v>19555.032198577777</v>
      </c>
      <c r="CG46" s="39">
        <f>(BI46/CPINormalized[2005])*100</f>
        <v>19839.477681706572</v>
      </c>
      <c r="CH46" s="39">
        <f>(BJ46/CPINormalized[2006])*100</f>
        <v>19483.554752295629</v>
      </c>
      <c r="CI46" s="39">
        <f>(BK46/CPINormalized[2007])*100</f>
        <v>19790.840908209422</v>
      </c>
      <c r="CJ46" s="39">
        <f>(BL46/CPINormalized[2008])*100</f>
        <v>19345.536717542564</v>
      </c>
      <c r="CK46" s="39">
        <f>(BM46/CPINormalized[2009])*100</f>
        <v>19426.381496560985</v>
      </c>
      <c r="CL46" s="39">
        <f>(BN46/CPINormalized[2010])*100</f>
        <v>19366.237295873758</v>
      </c>
      <c r="CM46" s="39">
        <f>(BO46/CPINormalized[2011])*100</f>
        <v>19564.548163843981</v>
      </c>
      <c r="CN46" s="39">
        <f>(BP46/CPINormalized[2012])*100</f>
        <v>19932.96846802361</v>
      </c>
      <c r="CO46" s="39">
        <f>(BQ46/CPINormalized[2013])*100</f>
        <v>20263.606566315702</v>
      </c>
      <c r="CP46" s="39">
        <f>(BR46/CPINormalized[2014])*100</f>
        <v>20695.205142114886</v>
      </c>
      <c r="CQ46" s="39">
        <f>(BS46/CPINormalized[2015])*100</f>
        <v>21261.656498817603</v>
      </c>
      <c r="CR46" s="39">
        <f>(BT46/CPINormalized[2016])*100</f>
        <v>21338.024478089945</v>
      </c>
      <c r="CS46" s="39">
        <f>(BU46/CPINormalized[2017])*100</f>
        <v>21966.318893300449</v>
      </c>
    </row>
    <row r="47" spans="1:97">
      <c r="A47" s="319" t="s">
        <v>39</v>
      </c>
      <c r="B47" s="367">
        <v>33130</v>
      </c>
      <c r="C47" s="367">
        <v>33705</v>
      </c>
      <c r="D47" s="367">
        <v>34171</v>
      </c>
      <c r="E47" s="367">
        <v>34723</v>
      </c>
      <c r="F47" s="367">
        <v>35352</v>
      </c>
      <c r="G47" s="367">
        <v>35665</v>
      </c>
      <c r="H47" s="367">
        <v>36234</v>
      </c>
      <c r="I47" s="367">
        <v>36441</v>
      </c>
      <c r="J47" s="367">
        <v>36798</v>
      </c>
      <c r="K47" s="367">
        <v>37399</v>
      </c>
      <c r="L47" s="367">
        <v>37779</v>
      </c>
      <c r="M47" s="367">
        <v>38323</v>
      </c>
      <c r="N47" s="367">
        <v>38508</v>
      </c>
      <c r="O47" s="367">
        <v>38652</v>
      </c>
      <c r="P47" s="367">
        <v>38602</v>
      </c>
      <c r="Q47" s="367">
        <v>38565</v>
      </c>
      <c r="R47" s="367">
        <v>38467</v>
      </c>
      <c r="S47" s="611">
        <v>38185</v>
      </c>
      <c r="T47" s="748">
        <v>37997</v>
      </c>
      <c r="U47" s="748">
        <v>38144</v>
      </c>
      <c r="V47" s="748">
        <v>38381</v>
      </c>
      <c r="W47" s="892">
        <v>38434</v>
      </c>
      <c r="X47" s="742"/>
      <c r="Y47" s="742"/>
      <c r="Z47" s="367" t="s">
        <v>39</v>
      </c>
      <c r="AA47" s="367">
        <v>565123</v>
      </c>
      <c r="AB47" s="367">
        <v>589788</v>
      </c>
      <c r="AC47" s="367">
        <v>610491</v>
      </c>
      <c r="AD47" s="367">
        <v>628612</v>
      </c>
      <c r="AE47" s="367">
        <v>674455</v>
      </c>
      <c r="AF47" s="367">
        <v>706344</v>
      </c>
      <c r="AG47" s="367">
        <v>717257</v>
      </c>
      <c r="AH47" s="367">
        <v>748236</v>
      </c>
      <c r="AI47" s="367">
        <v>822763</v>
      </c>
      <c r="AJ47" s="367">
        <v>864485</v>
      </c>
      <c r="AK47" s="367">
        <v>911281</v>
      </c>
      <c r="AL47" s="367">
        <v>971605</v>
      </c>
      <c r="AM47" s="367">
        <v>1003310</v>
      </c>
      <c r="AN47" s="367">
        <v>996027</v>
      </c>
      <c r="AO47" s="367">
        <v>1022660</v>
      </c>
      <c r="AP47" s="367">
        <v>1051186</v>
      </c>
      <c r="AQ47" s="415">
        <v>1065961</v>
      </c>
      <c r="AR47" s="8">
        <v>1136137</v>
      </c>
      <c r="AS47" s="684">
        <v>1158843</v>
      </c>
      <c r="AT47" s="684">
        <v>1198872</v>
      </c>
      <c r="AU47" s="683">
        <v>1186220</v>
      </c>
      <c r="AV47" s="8">
        <v>1245205</v>
      </c>
      <c r="AW47" s="684"/>
      <c r="AX47" s="683"/>
      <c r="AY47" s="367" t="s">
        <v>39</v>
      </c>
      <c r="AZ47" s="39">
        <f t="shared" si="22"/>
        <v>17057.742227588289</v>
      </c>
      <c r="BA47" s="39">
        <f t="shared" si="23"/>
        <v>17498.531375166887</v>
      </c>
      <c r="BB47" s="39">
        <f t="shared" si="24"/>
        <v>17865.763366597406</v>
      </c>
      <c r="BC47" s="39">
        <f t="shared" si="25"/>
        <v>18103.620078910233</v>
      </c>
      <c r="BD47" s="39">
        <f t="shared" si="26"/>
        <v>19078.269970581579</v>
      </c>
      <c r="BE47" s="39">
        <f t="shared" si="27"/>
        <v>19804.962848731251</v>
      </c>
      <c r="BF47" s="39">
        <f t="shared" si="28"/>
        <v>19795.137163989621</v>
      </c>
      <c r="BG47" s="39">
        <f t="shared" si="29"/>
        <v>20532.806454268546</v>
      </c>
      <c r="BH47" s="39">
        <f t="shared" si="30"/>
        <v>22358.905375292135</v>
      </c>
      <c r="BI47" s="39">
        <f t="shared" si="31"/>
        <v>23115.190245728496</v>
      </c>
      <c r="BJ47" s="39">
        <f t="shared" si="32"/>
        <v>24121.363720585508</v>
      </c>
      <c r="BK47" s="39">
        <f t="shared" si="33"/>
        <v>25353.051692195288</v>
      </c>
      <c r="BL47" s="39">
        <f t="shared" si="34"/>
        <v>26054.586060039474</v>
      </c>
      <c r="BM47" s="39">
        <f t="shared" si="35"/>
        <v>25769.093449239368</v>
      </c>
      <c r="BN47" s="39">
        <f t="shared" si="36"/>
        <v>26492.409719703643</v>
      </c>
      <c r="BO47" s="39">
        <f t="shared" si="37"/>
        <v>27257.51328925191</v>
      </c>
      <c r="BP47" s="39">
        <f t="shared" si="38"/>
        <v>27711.051030753635</v>
      </c>
      <c r="BQ47" s="39">
        <f t="shared" si="39"/>
        <v>29753.4895901532</v>
      </c>
      <c r="BR47" s="39">
        <f t="shared" si="40"/>
        <v>30498.276179698398</v>
      </c>
      <c r="BS47" s="39">
        <f t="shared" si="41"/>
        <v>31430.159395973154</v>
      </c>
      <c r="BT47" s="39">
        <f t="shared" si="42"/>
        <v>30906.43808134233</v>
      </c>
      <c r="BU47" s="39">
        <f t="shared" si="43"/>
        <v>32398.52734557943</v>
      </c>
      <c r="BW47" s="367" t="s">
        <v>39</v>
      </c>
      <c r="BX47" s="39">
        <f>(AZ47/CPINormalized[1996])*100</f>
        <v>17057.742227588289</v>
      </c>
      <c r="BY47" s="39">
        <f>(BA47/CPINormalized[1997])*100</f>
        <v>17106.040951798655</v>
      </c>
      <c r="BZ47" s="39">
        <f>(BB47/CPINormalized[1998])*100</f>
        <v>17197.167314227812</v>
      </c>
      <c r="CA47" s="39">
        <f>(BC47/CPINormalized[1999])*100</f>
        <v>17049.567769393852</v>
      </c>
      <c r="CB47" s="39">
        <f>(BD47/CPINormalized[2000])*100</f>
        <v>17383.162359954997</v>
      </c>
      <c r="CC47" s="39">
        <f>(BE47/CPINormalized[2001])*100</f>
        <v>17546.011693765857</v>
      </c>
      <c r="CD47" s="39">
        <f>(BF47/CPINormalized[2002])*100</f>
        <v>17264.352534908125</v>
      </c>
      <c r="CE47" s="39">
        <f>(BG47/CPINormalized[2003])*100</f>
        <v>17508.681155840954</v>
      </c>
      <c r="CF47" s="39">
        <f>(BH47/CPINormalized[2004])*100</f>
        <v>18571.266561055247</v>
      </c>
      <c r="CG47" s="39">
        <f>(BI47/CPINormalized[2005])*100</f>
        <v>18570.268046875579</v>
      </c>
      <c r="CH47" s="39">
        <f>(BJ47/CPINormalized[2006])*100</f>
        <v>18773.025633729496</v>
      </c>
      <c r="CI47" s="39">
        <f>(BK47/CPINormalized[2007])*100</f>
        <v>19185.18105596281</v>
      </c>
      <c r="CJ47" s="39">
        <f>(BL47/CPINormalized[2008])*100</f>
        <v>18987.030152019219</v>
      </c>
      <c r="CK47" s="39">
        <f>(BM47/CPINormalized[2009])*100</f>
        <v>18846.030112221466</v>
      </c>
      <c r="CL47" s="39">
        <f>(BN47/CPINormalized[2010])*100</f>
        <v>19062.346759646611</v>
      </c>
      <c r="CM47" s="39">
        <f>(BO47/CPINormalized[2011])*100</f>
        <v>19012.727161957799</v>
      </c>
      <c r="CN47" s="39">
        <f>(BP47/CPINormalized[2012])*100</f>
        <v>18937.184363377288</v>
      </c>
      <c r="CO47" s="39">
        <f>(BQ47/CPINormalized[2013])*100</f>
        <v>20039.417217319238</v>
      </c>
      <c r="CP47" s="39">
        <f>(BR47/CPINormalized[2014])*100</f>
        <v>20213.146849632838</v>
      </c>
      <c r="CQ47" s="39">
        <f>(BS47/CPINormalized[2015])*100</f>
        <v>20806.068801934834</v>
      </c>
      <c r="CR47" s="39">
        <f>(BT47/CPINormalized[2016])*100</f>
        <v>20204.494597918441</v>
      </c>
      <c r="CS47" s="39">
        <f>(BU47/CPINormalized[2017])*100</f>
        <v>20738.123941422211</v>
      </c>
    </row>
    <row r="48" spans="1:97">
      <c r="A48" s="319" t="s">
        <v>40</v>
      </c>
      <c r="B48" s="367">
        <v>10251</v>
      </c>
      <c r="C48" s="367">
        <v>10247</v>
      </c>
      <c r="D48" s="367">
        <v>10326</v>
      </c>
      <c r="E48" s="367">
        <v>10402</v>
      </c>
      <c r="F48" s="367">
        <v>10500</v>
      </c>
      <c r="G48" s="367">
        <v>10420</v>
      </c>
      <c r="H48" s="367">
        <v>10408</v>
      </c>
      <c r="I48" s="367">
        <v>10354</v>
      </c>
      <c r="J48" s="367">
        <v>10319</v>
      </c>
      <c r="K48" s="367">
        <v>10272</v>
      </c>
      <c r="L48" s="367">
        <v>10286</v>
      </c>
      <c r="M48" s="367">
        <v>10286</v>
      </c>
      <c r="N48" s="367">
        <v>10196</v>
      </c>
      <c r="O48" s="367">
        <v>10204</v>
      </c>
      <c r="P48" s="367">
        <v>10192</v>
      </c>
      <c r="Q48" s="367">
        <v>10248</v>
      </c>
      <c r="R48" s="367">
        <v>10174</v>
      </c>
      <c r="S48" s="611">
        <v>10152</v>
      </c>
      <c r="T48" s="748">
        <v>10116</v>
      </c>
      <c r="U48" s="748">
        <v>10186</v>
      </c>
      <c r="V48" s="748">
        <v>10134</v>
      </c>
      <c r="W48" s="892">
        <v>9967</v>
      </c>
      <c r="X48" s="742"/>
      <c r="Y48" s="742"/>
      <c r="Z48" s="367" t="s">
        <v>40</v>
      </c>
      <c r="AA48" s="367">
        <v>173761</v>
      </c>
      <c r="AB48" s="367">
        <v>185411</v>
      </c>
      <c r="AC48" s="367">
        <v>177355</v>
      </c>
      <c r="AD48" s="367">
        <v>177947</v>
      </c>
      <c r="AE48" s="367">
        <v>201181</v>
      </c>
      <c r="AF48" s="367">
        <v>205270</v>
      </c>
      <c r="AG48" s="367">
        <v>202272</v>
      </c>
      <c r="AH48" s="367">
        <v>216308</v>
      </c>
      <c r="AI48" s="367">
        <v>236558</v>
      </c>
      <c r="AJ48" s="367">
        <v>226682</v>
      </c>
      <c r="AK48" s="367">
        <v>236832</v>
      </c>
      <c r="AL48" s="367">
        <v>259432</v>
      </c>
      <c r="AM48" s="367">
        <v>281049</v>
      </c>
      <c r="AN48" s="367">
        <v>282489</v>
      </c>
      <c r="AO48" s="367">
        <v>279255</v>
      </c>
      <c r="AP48" s="367">
        <v>297978</v>
      </c>
      <c r="AQ48" s="415">
        <v>303005</v>
      </c>
      <c r="AR48" s="8">
        <v>345128</v>
      </c>
      <c r="AS48" s="684">
        <v>350303</v>
      </c>
      <c r="AT48" s="684">
        <v>317466</v>
      </c>
      <c r="AU48" s="683">
        <v>322131</v>
      </c>
      <c r="AV48" s="8">
        <v>327010</v>
      </c>
      <c r="AW48" s="684"/>
      <c r="AX48" s="683"/>
      <c r="AY48" s="367" t="s">
        <v>40</v>
      </c>
      <c r="AZ48" s="39">
        <f t="shared" si="22"/>
        <v>16950.638962052482</v>
      </c>
      <c r="BA48" s="39">
        <f t="shared" si="23"/>
        <v>18094.173904557432</v>
      </c>
      <c r="BB48" s="39">
        <f t="shared" si="24"/>
        <v>17175.576215378656</v>
      </c>
      <c r="BC48" s="39">
        <f t="shared" si="25"/>
        <v>17106.99865410498</v>
      </c>
      <c r="BD48" s="39">
        <f t="shared" si="26"/>
        <v>19160.095238095237</v>
      </c>
      <c r="BE48" s="39">
        <f t="shared" si="27"/>
        <v>19699.616122840693</v>
      </c>
      <c r="BF48" s="39">
        <f t="shared" si="28"/>
        <v>19434.281322059953</v>
      </c>
      <c r="BG48" s="39">
        <f t="shared" si="29"/>
        <v>20891.249758547419</v>
      </c>
      <c r="BH48" s="39">
        <f t="shared" si="30"/>
        <v>22924.508188777982</v>
      </c>
      <c r="BI48" s="39">
        <f t="shared" si="31"/>
        <v>22067.95171339564</v>
      </c>
      <c r="BJ48" s="39">
        <f t="shared" si="32"/>
        <v>23024.693758506706</v>
      </c>
      <c r="BK48" s="39">
        <f t="shared" si="33"/>
        <v>25221.85494847365</v>
      </c>
      <c r="BL48" s="39">
        <f t="shared" si="34"/>
        <v>27564.633189486074</v>
      </c>
      <c r="BM48" s="39">
        <f t="shared" si="35"/>
        <v>27684.143473147786</v>
      </c>
      <c r="BN48" s="39">
        <f t="shared" si="36"/>
        <v>27399.430926216643</v>
      </c>
      <c r="BO48" s="39">
        <f t="shared" si="37"/>
        <v>29076.697892271663</v>
      </c>
      <c r="BP48" s="39">
        <f t="shared" si="38"/>
        <v>29782.288185571062</v>
      </c>
      <c r="BQ48" s="39">
        <f t="shared" si="39"/>
        <v>33996.059889676915</v>
      </c>
      <c r="BR48" s="39">
        <f t="shared" si="40"/>
        <v>34628.608145512058</v>
      </c>
      <c r="BS48" s="39">
        <f t="shared" si="41"/>
        <v>31166.895739249951</v>
      </c>
      <c r="BT48" s="39">
        <f t="shared" si="42"/>
        <v>31787.152161042039</v>
      </c>
      <c r="BU48" s="39">
        <f t="shared" si="43"/>
        <v>32809.27059295676</v>
      </c>
      <c r="BW48" s="367" t="s">
        <v>40</v>
      </c>
      <c r="BX48" s="39">
        <f>(AZ48/CPINormalized[1996])*100</f>
        <v>16950.638962052482</v>
      </c>
      <c r="BY48" s="39">
        <f>(BA48/CPINormalized[1997])*100</f>
        <v>17688.323274922499</v>
      </c>
      <c r="BZ48" s="39">
        <f>(BB48/CPINormalized[1998])*100</f>
        <v>16532.809252717248</v>
      </c>
      <c r="CA48" s="39">
        <f>(BC48/CPINormalized[1999])*100</f>
        <v>16110.972922143286</v>
      </c>
      <c r="CB48" s="39">
        <f>(BD48/CPINormalized[2000])*100</f>
        <v>17457.717438194792</v>
      </c>
      <c r="CC48" s="39">
        <f>(BE48/CPINormalized[2001])*100</f>
        <v>17452.680799964455</v>
      </c>
      <c r="CD48" s="39">
        <f>(BF48/CPINormalized[2002])*100</f>
        <v>16949.631681107319</v>
      </c>
      <c r="CE48" s="39">
        <f>(BG48/CPINormalized[2003])*100</f>
        <v>17814.331995196142</v>
      </c>
      <c r="CF48" s="39">
        <f>(BH48/CPINormalized[2004])*100</f>
        <v>19041.055239911413</v>
      </c>
      <c r="CG48" s="39">
        <f>(BI48/CPINormalized[2005])*100</f>
        <v>17728.938166061322</v>
      </c>
      <c r="CH48" s="39">
        <f>(BJ48/CPINormalized[2006])*100</f>
        <v>17919.516124552094</v>
      </c>
      <c r="CI48" s="39">
        <f>(BK48/CPINormalized[2007])*100</f>
        <v>19085.90175369928</v>
      </c>
      <c r="CJ48" s="39">
        <f>(BL48/CPINormalized[2008])*100</f>
        <v>20087.462540839493</v>
      </c>
      <c r="CK48" s="39">
        <f>(BM48/CPINormalized[2009])*100</f>
        <v>20246.587352936265</v>
      </c>
      <c r="CL48" s="39">
        <f>(BN48/CPINormalized[2010])*100</f>
        <v>19714.984739348565</v>
      </c>
      <c r="CM48" s="39">
        <f>(BO48/CPINormalized[2011])*100</f>
        <v>20281.649244005817</v>
      </c>
      <c r="CN48" s="39">
        <f>(BP48/CPINormalized[2012])*100</f>
        <v>20352.626881870168</v>
      </c>
      <c r="CO48" s="39">
        <f>(BQ48/CPINormalized[2013])*100</f>
        <v>22896.85133604188</v>
      </c>
      <c r="CP48" s="39">
        <f>(BR48/CPINormalized[2014])*100</f>
        <v>22950.580469513905</v>
      </c>
      <c r="CQ48" s="39">
        <f>(BS48/CPINormalized[2015])*100</f>
        <v>20631.794096998601</v>
      </c>
      <c r="CR48" s="39">
        <f>(BT48/CPINormalized[2016])*100</f>
        <v>20780.244634812716</v>
      </c>
      <c r="CS48" s="39">
        <f>(BU48/CPINormalized[2017])*100</f>
        <v>21001.038495573252</v>
      </c>
    </row>
    <row r="49" spans="1:97">
      <c r="A49" s="319" t="s">
        <v>41</v>
      </c>
      <c r="B49" s="367">
        <v>14006</v>
      </c>
      <c r="C49" s="367">
        <v>13965</v>
      </c>
      <c r="D49" s="367">
        <v>13797</v>
      </c>
      <c r="E49" s="367">
        <v>13854</v>
      </c>
      <c r="F49" s="367">
        <v>13722</v>
      </c>
      <c r="G49" s="367">
        <v>13617</v>
      </c>
      <c r="H49" s="367">
        <v>13495</v>
      </c>
      <c r="I49" s="367">
        <v>13365</v>
      </c>
      <c r="J49" s="367">
        <v>13256</v>
      </c>
      <c r="K49" s="367">
        <v>13074</v>
      </c>
      <c r="L49" s="367">
        <v>12928</v>
      </c>
      <c r="M49" s="367">
        <v>12875</v>
      </c>
      <c r="N49" s="367">
        <v>12788</v>
      </c>
      <c r="O49" s="367">
        <v>12775</v>
      </c>
      <c r="P49" s="367">
        <v>12735</v>
      </c>
      <c r="Q49" s="367">
        <v>12560</v>
      </c>
      <c r="R49" s="367">
        <v>12484</v>
      </c>
      <c r="S49" s="611">
        <v>12368</v>
      </c>
      <c r="T49" s="748">
        <v>12323</v>
      </c>
      <c r="U49" s="748">
        <v>12293</v>
      </c>
      <c r="V49" s="748">
        <v>12164</v>
      </c>
      <c r="W49" s="892">
        <v>12194</v>
      </c>
      <c r="X49" s="742"/>
      <c r="Y49" s="742"/>
      <c r="Z49" s="367" t="s">
        <v>41</v>
      </c>
      <c r="AA49" s="367">
        <v>265135</v>
      </c>
      <c r="AB49" s="367">
        <v>284364</v>
      </c>
      <c r="AC49" s="367">
        <v>282727</v>
      </c>
      <c r="AD49" s="367">
        <v>288776</v>
      </c>
      <c r="AE49" s="367">
        <v>300564</v>
      </c>
      <c r="AF49" s="367">
        <v>300859</v>
      </c>
      <c r="AG49" s="367">
        <v>294555</v>
      </c>
      <c r="AH49" s="367">
        <v>301752</v>
      </c>
      <c r="AI49" s="367">
        <v>321406</v>
      </c>
      <c r="AJ49" s="367">
        <v>317111</v>
      </c>
      <c r="AK49" s="367">
        <v>330071</v>
      </c>
      <c r="AL49" s="367">
        <v>343231</v>
      </c>
      <c r="AM49" s="367">
        <v>373136</v>
      </c>
      <c r="AN49" s="367">
        <v>387859</v>
      </c>
      <c r="AO49" s="367">
        <v>390847</v>
      </c>
      <c r="AP49" s="367">
        <v>411494</v>
      </c>
      <c r="AQ49" s="415">
        <v>419362</v>
      </c>
      <c r="AR49" s="8">
        <v>434949</v>
      </c>
      <c r="AS49" s="684">
        <v>461493</v>
      </c>
      <c r="AT49" s="684">
        <v>454188</v>
      </c>
      <c r="AU49" s="683">
        <v>467354</v>
      </c>
      <c r="AV49" s="8">
        <v>452270</v>
      </c>
      <c r="AW49" s="684"/>
      <c r="AX49" s="683"/>
      <c r="AY49" s="367" t="s">
        <v>41</v>
      </c>
      <c r="AZ49" s="39">
        <f t="shared" si="22"/>
        <v>18930.101385120663</v>
      </c>
      <c r="BA49" s="39">
        <f t="shared" si="23"/>
        <v>20362.620837808809</v>
      </c>
      <c r="BB49" s="39">
        <f t="shared" si="24"/>
        <v>20491.918533014425</v>
      </c>
      <c r="BC49" s="39">
        <f t="shared" si="25"/>
        <v>20844.232712573987</v>
      </c>
      <c r="BD49" s="39">
        <f t="shared" si="26"/>
        <v>21903.804110188019</v>
      </c>
      <c r="BE49" s="39">
        <f t="shared" si="27"/>
        <v>22094.367334948958</v>
      </c>
      <c r="BF49" s="39">
        <f t="shared" si="28"/>
        <v>21826.972952945536</v>
      </c>
      <c r="BG49" s="39">
        <f t="shared" si="29"/>
        <v>22577.777777777781</v>
      </c>
      <c r="BH49" s="39">
        <f t="shared" si="30"/>
        <v>24246.077248038622</v>
      </c>
      <c r="BI49" s="39">
        <f t="shared" si="31"/>
        <v>24255.086431084597</v>
      </c>
      <c r="BJ49" s="39">
        <f t="shared" si="32"/>
        <v>25531.482054455446</v>
      </c>
      <c r="BK49" s="39">
        <f t="shared" si="33"/>
        <v>26658.718446601943</v>
      </c>
      <c r="BL49" s="39">
        <f t="shared" si="34"/>
        <v>29178.60494213325</v>
      </c>
      <c r="BM49" s="39">
        <f t="shared" si="35"/>
        <v>30360.78277886497</v>
      </c>
      <c r="BN49" s="39">
        <f t="shared" si="36"/>
        <v>30690.77345897134</v>
      </c>
      <c r="BO49" s="39">
        <f t="shared" si="37"/>
        <v>32762.261146496818</v>
      </c>
      <c r="BP49" s="39">
        <f t="shared" si="38"/>
        <v>33591.957705863504</v>
      </c>
      <c r="BQ49" s="39">
        <f t="shared" si="39"/>
        <v>35167.286545924966</v>
      </c>
      <c r="BR49" s="39">
        <f t="shared" si="40"/>
        <v>37449.728150612675</v>
      </c>
      <c r="BS49" s="39">
        <f t="shared" si="41"/>
        <v>36946.880338403971</v>
      </c>
      <c r="BT49" s="39">
        <f t="shared" si="42"/>
        <v>38421.078592568236</v>
      </c>
      <c r="BU49" s="39">
        <f t="shared" si="43"/>
        <v>37089.552238805969</v>
      </c>
      <c r="BW49" s="367" t="s">
        <v>41</v>
      </c>
      <c r="BX49" s="39">
        <f>(AZ49/CPINormalized[1996])*100</f>
        <v>18930.101385120663</v>
      </c>
      <c r="BY49" s="39">
        <f>(BA49/CPINormalized[1997])*100</f>
        <v>19905.889155465429</v>
      </c>
      <c r="BZ49" s="39">
        <f>(BB49/CPINormalized[1998])*100</f>
        <v>19725.043054171554</v>
      </c>
      <c r="CA49" s="39">
        <f>(BC49/CPINormalized[1999])*100</f>
        <v>19630.612920785468</v>
      </c>
      <c r="CB49" s="39">
        <f>(BD49/CPINormalized[2000])*100</f>
        <v>19957.647299004071</v>
      </c>
      <c r="CC49" s="39">
        <f>(BE49/CPINormalized[2001])*100</f>
        <v>19574.287040392384</v>
      </c>
      <c r="CD49" s="39">
        <f>(BF49/CPINormalized[2002])*100</f>
        <v>19036.420546510031</v>
      </c>
      <c r="CE49" s="39">
        <f>(BG49/CPINormalized[2003])*100</f>
        <v>19252.463768115944</v>
      </c>
      <c r="CF49" s="39">
        <f>(BH49/CPINormalized[2004])*100</f>
        <v>20138.748121848916</v>
      </c>
      <c r="CG49" s="39">
        <f>(BI49/CPINormalized[2005])*100</f>
        <v>19486.037178889776</v>
      </c>
      <c r="CH49" s="39">
        <f>(BJ49/CPINormalized[2006])*100</f>
        <v>19870.48380130982</v>
      </c>
      <c r="CI49" s="39">
        <f>(BK49/CPINormalized[2007])*100</f>
        <v>20173.206220986798</v>
      </c>
      <c r="CJ49" s="39">
        <f>(BL49/CPINormalized[2008])*100</f>
        <v>21263.629003872255</v>
      </c>
      <c r="CK49" s="39">
        <f>(BM49/CPINormalized[2009])*100</f>
        <v>22204.127110959478</v>
      </c>
      <c r="CL49" s="39">
        <f>(BN49/CPINormalized[2010])*100</f>
        <v>22083.237130427977</v>
      </c>
      <c r="CM49" s="39">
        <f>(BO49/CPINormalized[2011])*100</f>
        <v>22852.412315718266</v>
      </c>
      <c r="CN49" s="39">
        <f>(BP49/CPINormalized[2012])*100</f>
        <v>22956.079706133361</v>
      </c>
      <c r="CO49" s="39">
        <f>(BQ49/CPINormalized[2013])*100</f>
        <v>23685.689887213637</v>
      </c>
      <c r="CP49" s="39">
        <f>(BR49/CPINormalized[2014])*100</f>
        <v>24820.316077111762</v>
      </c>
      <c r="CQ49" s="39">
        <f>(BS49/CPINormalized[2015])*100</f>
        <v>24458.015775643027</v>
      </c>
      <c r="CR49" s="39">
        <f>(BT49/CPINormalized[2016])*100</f>
        <v>25117.04754933796</v>
      </c>
      <c r="CS49" s="39">
        <f>(BU49/CPINormalized[2017])*100</f>
        <v>23740.823866957639</v>
      </c>
    </row>
    <row r="50" spans="1:97">
      <c r="A50" s="319" t="s">
        <v>42</v>
      </c>
      <c r="B50" s="367">
        <v>14742</v>
      </c>
      <c r="C50" s="367">
        <v>14730</v>
      </c>
      <c r="D50" s="367">
        <v>14686</v>
      </c>
      <c r="E50" s="367">
        <v>14675</v>
      </c>
      <c r="F50" s="367">
        <v>14519</v>
      </c>
      <c r="G50" s="367">
        <v>14596</v>
      </c>
      <c r="H50" s="367">
        <v>14556</v>
      </c>
      <c r="I50" s="367">
        <v>14589</v>
      </c>
      <c r="J50" s="367">
        <v>14604</v>
      </c>
      <c r="K50" s="367">
        <v>14624</v>
      </c>
      <c r="L50" s="367">
        <v>14717</v>
      </c>
      <c r="M50" s="367">
        <v>14852</v>
      </c>
      <c r="N50" s="367">
        <v>14929</v>
      </c>
      <c r="O50" s="367">
        <v>15110</v>
      </c>
      <c r="P50" s="367">
        <v>15145</v>
      </c>
      <c r="Q50" s="367">
        <v>15118</v>
      </c>
      <c r="R50" s="367">
        <v>15037</v>
      </c>
      <c r="S50" s="611">
        <v>14871</v>
      </c>
      <c r="T50" s="748">
        <v>15073</v>
      </c>
      <c r="U50" s="748">
        <v>15010</v>
      </c>
      <c r="V50" s="748">
        <v>15235</v>
      </c>
      <c r="W50" s="892">
        <v>15173</v>
      </c>
      <c r="X50" s="742"/>
      <c r="Y50" s="742"/>
      <c r="Z50" s="367" t="s">
        <v>42</v>
      </c>
      <c r="AA50" s="367">
        <v>313234</v>
      </c>
      <c r="AB50" s="367">
        <v>331207</v>
      </c>
      <c r="AC50" s="367">
        <v>331616</v>
      </c>
      <c r="AD50" s="367">
        <v>337347</v>
      </c>
      <c r="AE50" s="367">
        <v>367669</v>
      </c>
      <c r="AF50" s="367">
        <v>370502</v>
      </c>
      <c r="AG50" s="367">
        <v>355354</v>
      </c>
      <c r="AH50" s="367">
        <v>357382</v>
      </c>
      <c r="AI50" s="367">
        <v>399468</v>
      </c>
      <c r="AJ50" s="367">
        <v>396212</v>
      </c>
      <c r="AK50" s="367">
        <v>410170</v>
      </c>
      <c r="AL50" s="367">
        <v>446435</v>
      </c>
      <c r="AM50" s="367">
        <v>468772</v>
      </c>
      <c r="AN50" s="367">
        <v>474854</v>
      </c>
      <c r="AO50" s="367">
        <v>476350</v>
      </c>
      <c r="AP50" s="367">
        <v>501961</v>
      </c>
      <c r="AQ50" s="415">
        <v>502132</v>
      </c>
      <c r="AR50" s="8">
        <v>543533</v>
      </c>
      <c r="AS50" s="684">
        <v>518324</v>
      </c>
      <c r="AT50" s="684">
        <v>510593</v>
      </c>
      <c r="AU50" s="683">
        <v>527444</v>
      </c>
      <c r="AV50" s="8">
        <v>576728</v>
      </c>
      <c r="AW50" s="684"/>
      <c r="AX50" s="683"/>
      <c r="AY50" s="367" t="s">
        <v>42</v>
      </c>
      <c r="AZ50" s="39">
        <f t="shared" si="22"/>
        <v>21247.727581060914</v>
      </c>
      <c r="BA50" s="39">
        <f t="shared" si="23"/>
        <v>22485.200271554651</v>
      </c>
      <c r="BB50" s="39">
        <f t="shared" si="24"/>
        <v>22580.41672341005</v>
      </c>
      <c r="BC50" s="39">
        <f t="shared" si="25"/>
        <v>22987.870528109026</v>
      </c>
      <c r="BD50" s="39">
        <f t="shared" si="26"/>
        <v>25323.300502789447</v>
      </c>
      <c r="BE50" s="39">
        <f t="shared" si="27"/>
        <v>25383.803781858041</v>
      </c>
      <c r="BF50" s="39">
        <f t="shared" si="28"/>
        <v>24412.888156086836</v>
      </c>
      <c r="BG50" s="39">
        <f t="shared" si="29"/>
        <v>24496.675577489888</v>
      </c>
      <c r="BH50" s="39">
        <f t="shared" si="30"/>
        <v>27353.327855382086</v>
      </c>
      <c r="BI50" s="39">
        <f t="shared" si="31"/>
        <v>27093.27133479212</v>
      </c>
      <c r="BJ50" s="39">
        <f t="shared" si="32"/>
        <v>27870.489909628322</v>
      </c>
      <c r="BK50" s="39">
        <f t="shared" si="33"/>
        <v>30058.914624293026</v>
      </c>
      <c r="BL50" s="39">
        <f t="shared" si="34"/>
        <v>31400.09377721214</v>
      </c>
      <c r="BM50" s="39">
        <f t="shared" si="35"/>
        <v>31426.4725347452</v>
      </c>
      <c r="BN50" s="39">
        <f t="shared" si="36"/>
        <v>31452.624628590293</v>
      </c>
      <c r="BO50" s="39">
        <f t="shared" si="37"/>
        <v>33202.870750099224</v>
      </c>
      <c r="BP50" s="39">
        <f t="shared" si="38"/>
        <v>33393.09702733258</v>
      </c>
      <c r="BQ50" s="39">
        <f t="shared" si="39"/>
        <v>36549.862147804452</v>
      </c>
      <c r="BR50" s="39">
        <f t="shared" si="40"/>
        <v>34387.580441849663</v>
      </c>
      <c r="BS50" s="39">
        <f t="shared" si="41"/>
        <v>34016.85542971352</v>
      </c>
      <c r="BT50" s="39">
        <f t="shared" si="42"/>
        <v>34620.544798162126</v>
      </c>
      <c r="BU50" s="39">
        <f t="shared" si="43"/>
        <v>38010.149607856059</v>
      </c>
      <c r="BW50" s="367" t="s">
        <v>42</v>
      </c>
      <c r="BX50" s="39">
        <f>(AZ50/CPINormalized[1996])*100</f>
        <v>21247.727581060914</v>
      </c>
      <c r="BY50" s="39">
        <f>(BA50/CPINormalized[1997])*100</f>
        <v>21980.859330884265</v>
      </c>
      <c r="BZ50" s="39">
        <f>(BB50/CPINormalized[1998])*100</f>
        <v>21735.382723331517</v>
      </c>
      <c r="CA50" s="39">
        <f>(BC50/CPINormalized[1999])*100</f>
        <v>21649.441091598477</v>
      </c>
      <c r="CB50" s="39">
        <f>(BD50/CPINormalized[2000])*100</f>
        <v>23073.320841391782</v>
      </c>
      <c r="CC50" s="39">
        <f>(BE50/CPINormalized[2001])*100</f>
        <v>22488.530849088238</v>
      </c>
      <c r="CD50" s="39">
        <f>(BF50/CPINormalized[2002])*100</f>
        <v>21291.72958137868</v>
      </c>
      <c r="CE50" s="39">
        <f>(BG50/CPINormalized[2003])*100</f>
        <v>20888.741294066109</v>
      </c>
      <c r="CF50" s="39">
        <f>(BH50/CPINormalized[2004])*100</f>
        <v>22719.624883586286</v>
      </c>
      <c r="CG50" s="39">
        <f>(BI50/CPINormalized[2005])*100</f>
        <v>21766.176510132529</v>
      </c>
      <c r="CH50" s="39">
        <f>(BJ50/CPINormalized[2006])*100</f>
        <v>21690.872355261326</v>
      </c>
      <c r="CI50" s="39">
        <f>(BK50/CPINormalized[2007])*100</f>
        <v>22746.205325267314</v>
      </c>
      <c r="CJ50" s="39">
        <f>(BL50/CPINormalized[2008])*100</f>
        <v>22882.51772453048</v>
      </c>
      <c r="CK50" s="39">
        <f>(BM50/CPINormalized[2009])*100</f>
        <v>22983.511192482052</v>
      </c>
      <c r="CL50" s="39">
        <f>(BN50/CPINormalized[2010])*100</f>
        <v>22631.419471263423</v>
      </c>
      <c r="CM50" s="39">
        <f>(BO50/CPINormalized[2011])*100</f>
        <v>23159.747401253535</v>
      </c>
      <c r="CN50" s="39">
        <f>(BP50/CPINormalized[2012])*100</f>
        <v>22820.182250357073</v>
      </c>
      <c r="CO50" s="39">
        <f>(BQ50/CPINormalized[2013])*100</f>
        <v>24616.875092787592</v>
      </c>
      <c r="CP50" s="39">
        <f>(BR50/CPINormalized[2014])*100</f>
        <v>22790.836084609917</v>
      </c>
      <c r="CQ50" s="39">
        <f>(BS50/CPINormalized[2015])*100</f>
        <v>22518.404236498023</v>
      </c>
      <c r="CR50" s="39">
        <f>(BT50/CPINormalized[2016])*100</f>
        <v>22632.521046601294</v>
      </c>
      <c r="CS50" s="39">
        <f>(BU50/CPINormalized[2017])*100</f>
        <v>24330.093315407212</v>
      </c>
    </row>
    <row r="51" spans="1:97">
      <c r="A51" s="319" t="s">
        <v>43</v>
      </c>
      <c r="B51" s="367">
        <v>15409</v>
      </c>
      <c r="C51" s="367">
        <v>15533</v>
      </c>
      <c r="D51" s="367">
        <v>15605</v>
      </c>
      <c r="E51" s="367">
        <v>15755</v>
      </c>
      <c r="F51" s="367">
        <v>15734</v>
      </c>
      <c r="G51" s="367">
        <v>15613</v>
      </c>
      <c r="H51" s="367">
        <v>15441</v>
      </c>
      <c r="I51" s="367">
        <v>15568</v>
      </c>
      <c r="J51" s="367">
        <v>15497</v>
      </c>
      <c r="K51" s="367">
        <v>15595</v>
      </c>
      <c r="L51" s="367">
        <v>15562</v>
      </c>
      <c r="M51" s="367">
        <v>15533</v>
      </c>
      <c r="N51" s="367">
        <v>15512</v>
      </c>
      <c r="O51" s="367">
        <v>15509</v>
      </c>
      <c r="P51" s="367">
        <v>23083</v>
      </c>
      <c r="Q51" s="367">
        <v>22871</v>
      </c>
      <c r="R51" s="367">
        <v>22876</v>
      </c>
      <c r="S51" s="611">
        <v>15544</v>
      </c>
      <c r="T51" s="748">
        <v>15463</v>
      </c>
      <c r="U51" s="748">
        <v>15321</v>
      </c>
      <c r="V51" s="748">
        <v>15170</v>
      </c>
      <c r="W51" s="892">
        <v>15251</v>
      </c>
      <c r="X51" s="742"/>
      <c r="Y51" s="742"/>
      <c r="Z51" s="367" t="s">
        <v>43</v>
      </c>
      <c r="AA51" s="367">
        <v>283533</v>
      </c>
      <c r="AB51" s="367">
        <v>298843</v>
      </c>
      <c r="AC51" s="367">
        <v>303192</v>
      </c>
      <c r="AD51" s="367">
        <v>320663</v>
      </c>
      <c r="AE51" s="367">
        <v>349520</v>
      </c>
      <c r="AF51" s="367">
        <v>357179</v>
      </c>
      <c r="AG51" s="367">
        <v>357311</v>
      </c>
      <c r="AH51" s="367">
        <v>372734</v>
      </c>
      <c r="AI51" s="367">
        <v>407370</v>
      </c>
      <c r="AJ51" s="367">
        <v>406880</v>
      </c>
      <c r="AK51" s="367">
        <v>416934</v>
      </c>
      <c r="AL51" s="367">
        <v>443278</v>
      </c>
      <c r="AM51" s="367">
        <v>460882</v>
      </c>
      <c r="AN51" s="367">
        <v>478087</v>
      </c>
      <c r="AO51" s="367">
        <v>479010</v>
      </c>
      <c r="AP51" s="367">
        <v>493540</v>
      </c>
      <c r="AQ51" s="415">
        <v>505576</v>
      </c>
      <c r="AR51" s="8">
        <v>552343</v>
      </c>
      <c r="AS51" s="684">
        <v>519670</v>
      </c>
      <c r="AT51" s="684">
        <v>555572</v>
      </c>
      <c r="AU51" s="683">
        <v>571580</v>
      </c>
      <c r="AV51" s="8">
        <v>619670</v>
      </c>
      <c r="AW51" s="684"/>
      <c r="AX51" s="683"/>
      <c r="AY51" s="367" t="s">
        <v>43</v>
      </c>
      <c r="AZ51" s="39">
        <f t="shared" si="22"/>
        <v>18400.48023882147</v>
      </c>
      <c r="BA51" s="39">
        <f t="shared" si="23"/>
        <v>19239.232601557971</v>
      </c>
      <c r="BB51" s="39">
        <f t="shared" si="24"/>
        <v>19429.157321371356</v>
      </c>
      <c r="BC51" s="39">
        <f t="shared" si="25"/>
        <v>20353.094255791813</v>
      </c>
      <c r="BD51" s="39">
        <f t="shared" si="26"/>
        <v>22214.312952840981</v>
      </c>
      <c r="BE51" s="39">
        <f t="shared" si="27"/>
        <v>22877.025555626722</v>
      </c>
      <c r="BF51" s="39">
        <f t="shared" si="28"/>
        <v>23140.405414157114</v>
      </c>
      <c r="BG51" s="39">
        <f t="shared" si="29"/>
        <v>23942.317574511817</v>
      </c>
      <c r="BH51" s="39">
        <f t="shared" si="30"/>
        <v>26287.023294831259</v>
      </c>
      <c r="BI51" s="39">
        <f t="shared" si="31"/>
        <v>26090.413594100675</v>
      </c>
      <c r="BJ51" s="39">
        <f t="shared" si="32"/>
        <v>26791.800539776377</v>
      </c>
      <c r="BK51" s="39">
        <f t="shared" si="33"/>
        <v>28537.822700057939</v>
      </c>
      <c r="BL51" s="39">
        <f t="shared" si="34"/>
        <v>29711.320268179476</v>
      </c>
      <c r="BM51" s="39">
        <f t="shared" si="35"/>
        <v>30826.423367077179</v>
      </c>
      <c r="BN51" s="39">
        <f t="shared" si="36"/>
        <v>20751.635402677293</v>
      </c>
      <c r="BO51" s="39">
        <f t="shared" si="37"/>
        <v>21579.292553889205</v>
      </c>
      <c r="BP51" s="39">
        <f t="shared" si="38"/>
        <v>22100.716908550447</v>
      </c>
      <c r="BQ51" s="39">
        <f t="shared" si="39"/>
        <v>35534.161091096241</v>
      </c>
      <c r="BR51" s="39">
        <f t="shared" si="40"/>
        <v>33607.320701028264</v>
      </c>
      <c r="BS51" s="39">
        <f t="shared" si="41"/>
        <v>36262.123882253116</v>
      </c>
      <c r="BT51" s="39">
        <f t="shared" si="42"/>
        <v>37678.312458800261</v>
      </c>
      <c r="BU51" s="39">
        <f t="shared" si="43"/>
        <v>40631.434004327588</v>
      </c>
      <c r="BW51" s="367" t="s">
        <v>43</v>
      </c>
      <c r="BX51" s="39">
        <f>(AZ51/CPINormalized[1996])*100</f>
        <v>18400.48023882147</v>
      </c>
      <c r="BY51" s="39">
        <f>(BA51/CPINormalized[1997])*100</f>
        <v>18807.698412364145</v>
      </c>
      <c r="BZ51" s="39">
        <f>(BB51/CPINormalized[1998])*100</f>
        <v>18702.053887872185</v>
      </c>
      <c r="CA51" s="39">
        <f>(BC51/CPINormalized[1999])*100</f>
        <v>19168.070160466603</v>
      </c>
      <c r="CB51" s="39">
        <f>(BD51/CPINormalized[2000])*100</f>
        <v>20240.567376891697</v>
      </c>
      <c r="CC51" s="39">
        <f>(BE51/CPINormalized[2001])*100</f>
        <v>20267.67537932147</v>
      </c>
      <c r="CD51" s="39">
        <f>(BF51/CPINormalized[2002])*100</f>
        <v>20181.932237249868</v>
      </c>
      <c r="CE51" s="39">
        <f>(BG51/CPINormalized[2003])*100</f>
        <v>20416.03058391796</v>
      </c>
      <c r="CF51" s="39">
        <f>(BH51/CPINormalized[2004])*100</f>
        <v>21833.954234828081</v>
      </c>
      <c r="CG51" s="39">
        <f>(BI51/CPINormalized[2005])*100</f>
        <v>20960.501243801307</v>
      </c>
      <c r="CH51" s="39">
        <f>(BJ51/CPINormalized[2006])*100</f>
        <v>20851.356670093817</v>
      </c>
      <c r="CI51" s="39">
        <f>(BK51/CPINormalized[2007])*100</f>
        <v>21595.163457664585</v>
      </c>
      <c r="CJ51" s="39">
        <f>(BL51/CPINormalized[2008])*100</f>
        <v>21651.840197662645</v>
      </c>
      <c r="CK51" s="39">
        <f>(BM51/CPINormalized[2009])*100</f>
        <v>22544.669806580725</v>
      </c>
      <c r="CL51" s="39">
        <f>(BN51/CPINormalized[2010])*100</f>
        <v>14931.630382470865</v>
      </c>
      <c r="CM51" s="39">
        <f>(BO51/CPINormalized[2011])*100</f>
        <v>15052.040783079932</v>
      </c>
      <c r="CN51" s="39">
        <f>(BP51/CPINormalized[2012])*100</f>
        <v>15103.192953437652</v>
      </c>
      <c r="CO51" s="39">
        <f>(BQ51/CPINormalized[2013])*100</f>
        <v>23932.785343187799</v>
      </c>
      <c r="CP51" s="39">
        <f>(BR51/CPINormalized[2014])*100</f>
        <v>22273.708341744965</v>
      </c>
      <c r="CQ51" s="39">
        <f>(BS51/CPINormalized[2015])*100</f>
        <v>24004.722180795106</v>
      </c>
      <c r="CR51" s="39">
        <f>(BT51/CPINormalized[2016])*100</f>
        <v>24631.478351822072</v>
      </c>
      <c r="CS51" s="39">
        <f>(BU51/CPINormalized[2017])*100</f>
        <v>26007.963427215236</v>
      </c>
    </row>
    <row r="52" spans="1:97">
      <c r="A52" s="319" t="s">
        <v>44</v>
      </c>
      <c r="B52" s="367">
        <v>11485</v>
      </c>
      <c r="C52" s="367">
        <v>11545</v>
      </c>
      <c r="D52" s="367">
        <v>11629</v>
      </c>
      <c r="E52" s="367">
        <v>11757</v>
      </c>
      <c r="F52" s="367">
        <v>11853</v>
      </c>
      <c r="G52" s="367">
        <v>11855</v>
      </c>
      <c r="H52" s="367">
        <v>11877</v>
      </c>
      <c r="I52" s="367">
        <v>11835</v>
      </c>
      <c r="J52" s="367">
        <v>11937</v>
      </c>
      <c r="K52" s="367">
        <v>12007</v>
      </c>
      <c r="L52" s="367">
        <v>12130</v>
      </c>
      <c r="M52" s="367">
        <v>12310</v>
      </c>
      <c r="N52" s="367">
        <v>12396</v>
      </c>
      <c r="O52" s="367">
        <v>12313</v>
      </c>
      <c r="P52" s="367">
        <v>15584</v>
      </c>
      <c r="Q52" s="367">
        <v>15481</v>
      </c>
      <c r="R52" s="367">
        <v>15573</v>
      </c>
      <c r="S52" s="611">
        <v>12431</v>
      </c>
      <c r="T52" s="748">
        <v>12346</v>
      </c>
      <c r="U52" s="748">
        <v>12369</v>
      </c>
      <c r="V52" s="748">
        <v>12443</v>
      </c>
      <c r="W52" s="892">
        <v>12243</v>
      </c>
      <c r="X52" s="742"/>
      <c r="Y52" s="742"/>
      <c r="Z52" s="367" t="s">
        <v>44</v>
      </c>
      <c r="AA52" s="367">
        <v>180968</v>
      </c>
      <c r="AB52" s="367">
        <v>193269</v>
      </c>
      <c r="AC52" s="367">
        <v>197403</v>
      </c>
      <c r="AD52" s="367">
        <v>202887</v>
      </c>
      <c r="AE52" s="367">
        <v>213261</v>
      </c>
      <c r="AF52" s="367">
        <v>224228</v>
      </c>
      <c r="AG52" s="367">
        <v>227706</v>
      </c>
      <c r="AH52" s="367">
        <v>237595</v>
      </c>
      <c r="AI52" s="367">
        <v>257932</v>
      </c>
      <c r="AJ52" s="367">
        <v>272013</v>
      </c>
      <c r="AK52" s="367">
        <v>286339</v>
      </c>
      <c r="AL52" s="367">
        <v>301648</v>
      </c>
      <c r="AM52" s="367">
        <v>313471</v>
      </c>
      <c r="AN52" s="367">
        <v>327481</v>
      </c>
      <c r="AO52" s="367">
        <v>328518</v>
      </c>
      <c r="AP52" s="367">
        <v>349530</v>
      </c>
      <c r="AQ52" s="415">
        <v>364524</v>
      </c>
      <c r="AR52" s="8">
        <v>378973</v>
      </c>
      <c r="AS52" s="684">
        <v>398566</v>
      </c>
      <c r="AT52" s="684">
        <v>412151</v>
      </c>
      <c r="AU52" s="683">
        <v>414666</v>
      </c>
      <c r="AV52" s="8">
        <v>433796</v>
      </c>
      <c r="AW52" s="684"/>
      <c r="AX52" s="683"/>
      <c r="AY52" s="367" t="s">
        <v>44</v>
      </c>
      <c r="AZ52" s="39">
        <f t="shared" si="22"/>
        <v>15756.900304745321</v>
      </c>
      <c r="BA52" s="39">
        <f t="shared" si="23"/>
        <v>16740.493720225208</v>
      </c>
      <c r="BB52" s="39">
        <f t="shared" si="24"/>
        <v>16975.062344139653</v>
      </c>
      <c r="BC52" s="39">
        <f t="shared" si="25"/>
        <v>17256.69813727992</v>
      </c>
      <c r="BD52" s="39">
        <f t="shared" si="26"/>
        <v>17992.153885092383</v>
      </c>
      <c r="BE52" s="39">
        <f t="shared" si="27"/>
        <v>18914.213412062421</v>
      </c>
      <c r="BF52" s="39">
        <f t="shared" si="28"/>
        <v>19172.013134629957</v>
      </c>
      <c r="BG52" s="39">
        <f t="shared" si="29"/>
        <v>20075.62315166878</v>
      </c>
      <c r="BH52" s="39">
        <f t="shared" si="30"/>
        <v>21607.774147608277</v>
      </c>
      <c r="BI52" s="39">
        <f t="shared" si="31"/>
        <v>22654.534854668109</v>
      </c>
      <c r="BJ52" s="39">
        <f t="shared" si="32"/>
        <v>23605.853256389117</v>
      </c>
      <c r="BK52" s="39">
        <f t="shared" si="33"/>
        <v>24504.305442729488</v>
      </c>
      <c r="BL52" s="39">
        <f t="shared" si="34"/>
        <v>25288.07679896741</v>
      </c>
      <c r="BM52" s="39">
        <f t="shared" si="35"/>
        <v>26596.361569073339</v>
      </c>
      <c r="BN52" s="39">
        <f t="shared" si="36"/>
        <v>21080.467145790553</v>
      </c>
      <c r="BO52" s="39">
        <f t="shared" si="37"/>
        <v>22577.998837284413</v>
      </c>
      <c r="BP52" s="39">
        <f t="shared" si="38"/>
        <v>23407.435946831054</v>
      </c>
      <c r="BQ52" s="39">
        <f t="shared" si="39"/>
        <v>30486.123401174485</v>
      </c>
      <c r="BR52" s="39">
        <f t="shared" si="40"/>
        <v>32283.006641827313</v>
      </c>
      <c r="BS52" s="39">
        <f t="shared" si="41"/>
        <v>33321.287088689467</v>
      </c>
      <c r="BT52" s="39">
        <f t="shared" si="42"/>
        <v>33325.243108575101</v>
      </c>
      <c r="BU52" s="39">
        <f t="shared" si="43"/>
        <v>35432.16531895777</v>
      </c>
      <c r="BW52" s="367" t="s">
        <v>44</v>
      </c>
      <c r="BX52" s="39">
        <f>(AZ52/CPINormalized[1996])*100</f>
        <v>15756.900304745321</v>
      </c>
      <c r="BY52" s="39">
        <f>(BA52/CPINormalized[1997])*100</f>
        <v>16365.006010612677</v>
      </c>
      <c r="BZ52" s="39">
        <f>(BB52/CPINormalized[1998])*100</f>
        <v>16339.799274819092</v>
      </c>
      <c r="CA52" s="39">
        <f>(BC52/CPINormalized[1999])*100</f>
        <v>16251.956408998916</v>
      </c>
      <c r="CB52" s="39">
        <f>(BD52/CPINormalized[2000])*100</f>
        <v>16393.547877880344</v>
      </c>
      <c r="CC52" s="39">
        <f>(BE52/CPINormalized[2001])*100</f>
        <v>16756.861007072806</v>
      </c>
      <c r="CD52" s="39">
        <f>(BF52/CPINormalized[2002])*100</f>
        <v>16720.894168001338</v>
      </c>
      <c r="CE52" s="39">
        <f>(BG52/CPINormalized[2003])*100</f>
        <v>17118.833002700172</v>
      </c>
      <c r="CF52" s="39">
        <f>(BH52/CPINormalized[2004])*100</f>
        <v>17947.378315297719</v>
      </c>
      <c r="CG52" s="39">
        <f>(BI52/CPINormalized[2005])*100</f>
        <v>18200.186987698034</v>
      </c>
      <c r="CH52" s="39">
        <f>(BJ52/CPINormalized[2006])*100</f>
        <v>18371.817340909984</v>
      </c>
      <c r="CI52" s="39">
        <f>(BK52/CPINormalized[2007])*100</f>
        <v>18542.917131908907</v>
      </c>
      <c r="CJ52" s="39">
        <f>(BL52/CPINormalized[2008])*100</f>
        <v>18428.443866355727</v>
      </c>
      <c r="CK52" s="39">
        <f>(BM52/CPINormalized[2009])*100</f>
        <v>19451.046347192358</v>
      </c>
      <c r="CL52" s="39">
        <f>(BN52/CPINormalized[2010])*100</f>
        <v>15168.237953436446</v>
      </c>
      <c r="CM52" s="39">
        <f>(BO52/CPINormalized[2011])*100</f>
        <v>15748.66082613475</v>
      </c>
      <c r="CN52" s="39">
        <f>(BP52/CPINormalized[2012])*100</f>
        <v>15996.178907366013</v>
      </c>
      <c r="CO52" s="39">
        <f>(BQ52/CPINormalized[2013])*100</f>
        <v>20532.856972077581</v>
      </c>
      <c r="CP52" s="39">
        <f>(BR52/CPINormalized[2014])*100</f>
        <v>21396.001208530626</v>
      </c>
      <c r="CQ52" s="39">
        <f>(BS52/CPINormalized[2015])*100</f>
        <v>22057.953413533112</v>
      </c>
      <c r="CR52" s="39">
        <f>(BT52/CPINormalized[2016])*100</f>
        <v>21785.742264748249</v>
      </c>
      <c r="CS52" s="39">
        <f>(BU52/CPINormalized[2017])*100</f>
        <v>22679.939370693839</v>
      </c>
    </row>
    <row r="53" spans="1:97">
      <c r="A53" s="319" t="s">
        <v>45</v>
      </c>
      <c r="B53" s="367">
        <v>8451</v>
      </c>
      <c r="C53" s="367">
        <v>8567</v>
      </c>
      <c r="D53" s="367">
        <v>8695</v>
      </c>
      <c r="E53" s="367">
        <v>8776</v>
      </c>
      <c r="F53" s="367">
        <v>8918</v>
      </c>
      <c r="G53" s="367">
        <v>8822</v>
      </c>
      <c r="H53" s="367">
        <v>8824</v>
      </c>
      <c r="I53" s="367">
        <v>8850</v>
      </c>
      <c r="J53" s="367">
        <v>9077</v>
      </c>
      <c r="K53" s="367">
        <v>9170</v>
      </c>
      <c r="L53" s="367">
        <v>9235</v>
      </c>
      <c r="M53" s="367">
        <v>9281</v>
      </c>
      <c r="N53" s="367">
        <v>9191</v>
      </c>
      <c r="O53" s="367">
        <v>9122</v>
      </c>
      <c r="P53" s="367">
        <v>12190</v>
      </c>
      <c r="Q53" s="367">
        <v>12322</v>
      </c>
      <c r="R53" s="367">
        <v>12448</v>
      </c>
      <c r="S53" s="611">
        <v>9018</v>
      </c>
      <c r="T53" s="748">
        <v>8998</v>
      </c>
      <c r="U53" s="748">
        <v>8958</v>
      </c>
      <c r="V53" s="748">
        <v>8858</v>
      </c>
      <c r="W53" s="892">
        <v>8867</v>
      </c>
      <c r="X53" s="742"/>
      <c r="Y53" s="742"/>
      <c r="Z53" s="367" t="s">
        <v>45</v>
      </c>
      <c r="AA53" s="367">
        <v>145712</v>
      </c>
      <c r="AB53" s="367">
        <v>159895</v>
      </c>
      <c r="AC53" s="367">
        <v>163800</v>
      </c>
      <c r="AD53" s="367">
        <v>172348</v>
      </c>
      <c r="AE53" s="367">
        <v>180019</v>
      </c>
      <c r="AF53" s="367">
        <v>191395</v>
      </c>
      <c r="AG53" s="367">
        <v>190686</v>
      </c>
      <c r="AH53" s="367">
        <v>198200</v>
      </c>
      <c r="AI53" s="367">
        <v>217440</v>
      </c>
      <c r="AJ53" s="367">
        <v>224773</v>
      </c>
      <c r="AK53" s="367">
        <v>230649</v>
      </c>
      <c r="AL53" s="367">
        <v>242637</v>
      </c>
      <c r="AM53" s="367">
        <v>267321</v>
      </c>
      <c r="AN53" s="367">
        <v>274297</v>
      </c>
      <c r="AO53" s="367">
        <v>286250</v>
      </c>
      <c r="AP53" s="367">
        <v>300608</v>
      </c>
      <c r="AQ53" s="415">
        <v>312570</v>
      </c>
      <c r="AR53" s="8">
        <v>325134</v>
      </c>
      <c r="AS53" s="684">
        <v>295354</v>
      </c>
      <c r="AT53" s="684">
        <v>299450</v>
      </c>
      <c r="AU53" s="683">
        <v>298291</v>
      </c>
      <c r="AV53" s="8">
        <v>283345</v>
      </c>
      <c r="AW53" s="684"/>
      <c r="AX53" s="683"/>
      <c r="AY53" s="367" t="s">
        <v>45</v>
      </c>
      <c r="AZ53" s="39">
        <f t="shared" si="22"/>
        <v>17241.983197254762</v>
      </c>
      <c r="BA53" s="39">
        <f t="shared" si="23"/>
        <v>18664.05976421151</v>
      </c>
      <c r="BB53" s="39">
        <f t="shared" si="24"/>
        <v>18838.412880966072</v>
      </c>
      <c r="BC53" s="39">
        <f t="shared" si="25"/>
        <v>19638.55970829535</v>
      </c>
      <c r="BD53" s="39">
        <f t="shared" si="26"/>
        <v>20186.02825745683</v>
      </c>
      <c r="BE53" s="39">
        <f t="shared" si="27"/>
        <v>21695.193833597823</v>
      </c>
      <c r="BF53" s="39">
        <f t="shared" si="28"/>
        <v>21609.927470534905</v>
      </c>
      <c r="BG53" s="39">
        <f t="shared" si="29"/>
        <v>22395.4802259887</v>
      </c>
      <c r="BH53" s="39">
        <f t="shared" si="30"/>
        <v>23955.05122837942</v>
      </c>
      <c r="BI53" s="39">
        <f t="shared" si="31"/>
        <v>24511.777535441655</v>
      </c>
      <c r="BJ53" s="39">
        <f t="shared" si="32"/>
        <v>24975.527883053601</v>
      </c>
      <c r="BK53" s="39">
        <f t="shared" si="33"/>
        <v>26143.411270337248</v>
      </c>
      <c r="BL53" s="39">
        <f t="shared" si="34"/>
        <v>29085.083233598085</v>
      </c>
      <c r="BM53" s="39">
        <f t="shared" si="35"/>
        <v>30069.831177373384</v>
      </c>
      <c r="BN53" s="39">
        <f t="shared" si="36"/>
        <v>23482.362592288762</v>
      </c>
      <c r="BO53" s="39">
        <f t="shared" si="37"/>
        <v>24396.039603960395</v>
      </c>
      <c r="BP53" s="39">
        <f t="shared" si="38"/>
        <v>25110.057840616966</v>
      </c>
      <c r="BQ53" s="39">
        <f t="shared" si="39"/>
        <v>36053.892215568863</v>
      </c>
      <c r="BR53" s="39">
        <f t="shared" si="40"/>
        <v>32824.40542342743</v>
      </c>
      <c r="BS53" s="39">
        <f t="shared" si="41"/>
        <v>33428.220584952003</v>
      </c>
      <c r="BT53" s="39">
        <f t="shared" si="42"/>
        <v>33674.7572815534</v>
      </c>
      <c r="BU53" s="39">
        <f t="shared" si="43"/>
        <v>31955.00169166573</v>
      </c>
      <c r="BW53" s="367" t="s">
        <v>45</v>
      </c>
      <c r="BX53" s="39">
        <f>(AZ53/CPINormalized[1996])*100</f>
        <v>17241.983197254762</v>
      </c>
      <c r="BY53" s="39">
        <f>(BA53/CPINormalized[1997])*100</f>
        <v>18245.426648004894</v>
      </c>
      <c r="BZ53" s="39">
        <f>(BB53/CPINormalized[1998])*100</f>
        <v>18133.41706149434</v>
      </c>
      <c r="CA53" s="39">
        <f>(BC53/CPINormalized[1999])*100</f>
        <v>18495.138164655105</v>
      </c>
      <c r="CB53" s="39">
        <f>(BD53/CPINormalized[2000])*100</f>
        <v>18392.496130052132</v>
      </c>
      <c r="CC53" s="39">
        <f>(BE53/CPINormalized[2001])*100</f>
        <v>19220.643210002814</v>
      </c>
      <c r="CD53" s="39">
        <f>(BF53/CPINormalized[2002])*100</f>
        <v>18847.124069632722</v>
      </c>
      <c r="CE53" s="39">
        <f>(BG53/CPINormalized[2003])*100</f>
        <v>19097.01547531319</v>
      </c>
      <c r="CF53" s="39">
        <f>(BH53/CPINormalized[2004])*100</f>
        <v>19897.022433736005</v>
      </c>
      <c r="CG53" s="39">
        <f>(BI53/CPINormalized[2005])*100</f>
        <v>19692.257528473096</v>
      </c>
      <c r="CH53" s="39">
        <f>(BJ53/CPINormalized[2006])*100</f>
        <v>19437.799230412253</v>
      </c>
      <c r="CI53" s="39">
        <f>(BK53/CPINormalized[2007])*100</f>
        <v>19783.262572541571</v>
      </c>
      <c r="CJ53" s="39">
        <f>(BL53/CPINormalized[2008])*100</f>
        <v>21195.475954127625</v>
      </c>
      <c r="CK53" s="39">
        <f>(BM53/CPINormalized[2009])*100</f>
        <v>21991.341874501293</v>
      </c>
      <c r="CL53" s="39">
        <f>(BN53/CPINormalized[2010])*100</f>
        <v>16896.497646155607</v>
      </c>
      <c r="CM53" s="39">
        <f>(BO53/CPINormalized[2011])*100</f>
        <v>17016.785056665969</v>
      </c>
      <c r="CN53" s="39">
        <f>(BP53/CPINormalized[2012])*100</f>
        <v>17159.717044839159</v>
      </c>
      <c r="CO53" s="39">
        <f>(BQ53/CPINormalized[2013])*100</f>
        <v>24282.831975955884</v>
      </c>
      <c r="CP53" s="39">
        <f>(BR53/CPINormalized[2014])*100</f>
        <v>21754.820605804631</v>
      </c>
      <c r="CQ53" s="39">
        <f>(BS53/CPINormalized[2015])*100</f>
        <v>22128.741017644177</v>
      </c>
      <c r="CR53" s="39">
        <f>(BT53/CPINormalized[2016])*100</f>
        <v>22014.230491092876</v>
      </c>
      <c r="CS53" s="39">
        <f>(BU53/CPINormalized[2017])*100</f>
        <v>20454.225544314428</v>
      </c>
    </row>
    <row r="54" spans="1:97">
      <c r="A54" s="319" t="s">
        <v>46</v>
      </c>
      <c r="B54" s="367">
        <v>28258</v>
      </c>
      <c r="C54" s="367">
        <v>28307</v>
      </c>
      <c r="D54" s="367">
        <v>28440</v>
      </c>
      <c r="E54" s="367">
        <v>28309</v>
      </c>
      <c r="F54" s="367">
        <v>28285</v>
      </c>
      <c r="G54" s="367">
        <v>28115</v>
      </c>
      <c r="H54" s="367">
        <v>28067</v>
      </c>
      <c r="I54" s="367">
        <v>28282</v>
      </c>
      <c r="J54" s="367">
        <v>28193</v>
      </c>
      <c r="K54" s="367">
        <v>28309</v>
      </c>
      <c r="L54" s="367">
        <v>28468</v>
      </c>
      <c r="M54" s="367">
        <v>28365</v>
      </c>
      <c r="N54" s="367">
        <v>28550</v>
      </c>
      <c r="O54" s="367">
        <v>28720</v>
      </c>
      <c r="P54" s="367">
        <v>9185</v>
      </c>
      <c r="Q54" s="367">
        <v>9187</v>
      </c>
      <c r="R54" s="367">
        <v>9014</v>
      </c>
      <c r="S54" s="611">
        <v>28904</v>
      </c>
      <c r="T54" s="748">
        <v>28870</v>
      </c>
      <c r="U54" s="748">
        <v>28862</v>
      </c>
      <c r="V54" s="748">
        <v>28894</v>
      </c>
      <c r="W54" s="892">
        <v>28634</v>
      </c>
      <c r="X54" s="742"/>
      <c r="Y54" s="742"/>
      <c r="Z54" s="367" t="s">
        <v>46</v>
      </c>
      <c r="AA54" s="367">
        <v>557206</v>
      </c>
      <c r="AB54" s="367">
        <v>579222</v>
      </c>
      <c r="AC54" s="367">
        <v>597544</v>
      </c>
      <c r="AD54" s="367">
        <v>616165</v>
      </c>
      <c r="AE54" s="367">
        <v>656030</v>
      </c>
      <c r="AF54" s="367">
        <v>680934</v>
      </c>
      <c r="AG54" s="367">
        <v>669858</v>
      </c>
      <c r="AH54" s="367">
        <v>693144</v>
      </c>
      <c r="AI54" s="367">
        <v>740461</v>
      </c>
      <c r="AJ54" s="367">
        <v>743495</v>
      </c>
      <c r="AK54" s="367">
        <v>788836</v>
      </c>
      <c r="AL54" s="367">
        <v>832702</v>
      </c>
      <c r="AM54" s="367">
        <v>895937</v>
      </c>
      <c r="AN54" s="367">
        <v>900587</v>
      </c>
      <c r="AO54" s="367">
        <v>942177</v>
      </c>
      <c r="AP54" s="367">
        <v>973496</v>
      </c>
      <c r="AQ54" s="415">
        <v>1007156</v>
      </c>
      <c r="AR54" s="8">
        <v>1085867</v>
      </c>
      <c r="AS54" s="684">
        <v>1054401</v>
      </c>
      <c r="AT54" s="684">
        <v>1053444</v>
      </c>
      <c r="AU54" s="683">
        <v>1075886</v>
      </c>
      <c r="AV54" s="8">
        <v>1114325</v>
      </c>
      <c r="AW54" s="684"/>
      <c r="AX54" s="683"/>
      <c r="AY54" s="367" t="s">
        <v>46</v>
      </c>
      <c r="AZ54" s="39">
        <f t="shared" si="22"/>
        <v>19718.522188406823</v>
      </c>
      <c r="BA54" s="39">
        <f t="shared" si="23"/>
        <v>20462.147172077577</v>
      </c>
      <c r="BB54" s="39">
        <f t="shared" si="24"/>
        <v>21010.689170182839</v>
      </c>
      <c r="BC54" s="39">
        <f t="shared" si="25"/>
        <v>21765.692889187187</v>
      </c>
      <c r="BD54" s="39">
        <f t="shared" si="26"/>
        <v>23193.565494078131</v>
      </c>
      <c r="BE54" s="39">
        <f t="shared" si="27"/>
        <v>24219.598079317089</v>
      </c>
      <c r="BF54" s="39">
        <f t="shared" si="28"/>
        <v>23866.391135497204</v>
      </c>
      <c r="BG54" s="39">
        <f t="shared" si="29"/>
        <v>24508.309171911464</v>
      </c>
      <c r="BH54" s="39">
        <f t="shared" si="30"/>
        <v>26264.001702550278</v>
      </c>
      <c r="BI54" s="39">
        <f t="shared" si="31"/>
        <v>26263.555759652409</v>
      </c>
      <c r="BJ54" s="39">
        <f t="shared" si="32"/>
        <v>27709.568638471264</v>
      </c>
      <c r="BK54" s="39">
        <f t="shared" si="33"/>
        <v>29356.671954873964</v>
      </c>
      <c r="BL54" s="39">
        <f t="shared" si="34"/>
        <v>31381.330998248686</v>
      </c>
      <c r="BM54" s="39">
        <f t="shared" si="35"/>
        <v>31357.486072423399</v>
      </c>
      <c r="BN54" s="39">
        <f t="shared" si="36"/>
        <v>102577.78987479587</v>
      </c>
      <c r="BO54" s="39">
        <f t="shared" si="37"/>
        <v>105964.51507565039</v>
      </c>
      <c r="BP54" s="39">
        <f t="shared" si="38"/>
        <v>111732.41624140226</v>
      </c>
      <c r="BQ54" s="39">
        <f t="shared" si="39"/>
        <v>37568.052864655416</v>
      </c>
      <c r="BR54" s="39">
        <f t="shared" si="40"/>
        <v>36522.376169033596</v>
      </c>
      <c r="BS54" s="39">
        <f t="shared" si="41"/>
        <v>36499.341694962233</v>
      </c>
      <c r="BT54" s="39">
        <f t="shared" si="42"/>
        <v>37235.619851872361</v>
      </c>
      <c r="BU54" s="39">
        <f t="shared" si="43"/>
        <v>38916.14863449047</v>
      </c>
      <c r="BW54" s="367" t="s">
        <v>46</v>
      </c>
      <c r="BX54" s="39">
        <f>(AZ54/CPINormalized[1996])*100</f>
        <v>19718.522188406823</v>
      </c>
      <c r="BY54" s="39">
        <f>(BA54/CPINormalized[1997])*100</f>
        <v>20003.183123358078</v>
      </c>
      <c r="BZ54" s="39">
        <f>(BB54/CPINormalized[1998])*100</f>
        <v>20224.399575470477</v>
      </c>
      <c r="CA54" s="39">
        <f>(BC54/CPINormalized[1999])*100</f>
        <v>20498.422654942795</v>
      </c>
      <c r="CB54" s="39">
        <f>(BD54/CPINormalized[2000])*100</f>
        <v>21132.813159238442</v>
      </c>
      <c r="CC54" s="39">
        <f>(BE54/CPINormalized[2001])*100</f>
        <v>21457.114278062403</v>
      </c>
      <c r="CD54" s="39">
        <f>(BF54/CPINormalized[2002])*100</f>
        <v>20815.101551748256</v>
      </c>
      <c r="CE54" s="39">
        <f>(BG54/CPINormalized[2003])*100</f>
        <v>20898.661462352764</v>
      </c>
      <c r="CF54" s="39">
        <f>(BH54/CPINormalized[2004])*100</f>
        <v>21814.832541715929</v>
      </c>
      <c r="CG54" s="39">
        <f>(BI54/CPINormalized[2005])*100</f>
        <v>21099.600095696173</v>
      </c>
      <c r="CH54" s="39">
        <f>(BJ54/CPINormalized[2006])*100</f>
        <v>21565.631544524513</v>
      </c>
      <c r="CI54" s="39">
        <f>(BK54/CPINormalized[2007])*100</f>
        <v>22214.803704602662</v>
      </c>
      <c r="CJ54" s="39">
        <f>(BL54/CPINormalized[2008])*100</f>
        <v>22868.844528990398</v>
      </c>
      <c r="CK54" s="39">
        <f>(BM54/CPINormalized[2009])*100</f>
        <v>22933.0584689971</v>
      </c>
      <c r="CL54" s="39">
        <f>(BN54/CPINormalized[2010])*100</f>
        <v>73808.816227737232</v>
      </c>
      <c r="CM54" s="39">
        <f>(BO54/CPINormalized[2011])*100</f>
        <v>73912.627047197457</v>
      </c>
      <c r="CN54" s="39">
        <f>(BP54/CPINormalized[2012])*100</f>
        <v>76355.724053224447</v>
      </c>
      <c r="CO54" s="39">
        <f>(BQ54/CPINormalized[2013])*100</f>
        <v>25302.641665476611</v>
      </c>
      <c r="CP54" s="39">
        <f>(BR54/CPINormalized[2014])*100</f>
        <v>24205.700953472951</v>
      </c>
      <c r="CQ54" s="39">
        <f>(BS54/CPINormalized[2015])*100</f>
        <v>24161.755114357093</v>
      </c>
      <c r="CR54" s="39">
        <f>(BT54/CPINormalized[2016])*100</f>
        <v>24342.076500930278</v>
      </c>
      <c r="CS54" s="39">
        <f>(BU54/CPINormalized[2017])*100</f>
        <v>24910.018443013847</v>
      </c>
    </row>
    <row r="55" spans="1:97">
      <c r="A55" s="319" t="s">
        <v>47</v>
      </c>
      <c r="B55" s="367">
        <v>19943</v>
      </c>
      <c r="C55" s="367">
        <v>20701</v>
      </c>
      <c r="D55" s="367">
        <v>21196</v>
      </c>
      <c r="E55" s="367">
        <v>21561</v>
      </c>
      <c r="F55" s="367">
        <v>21665</v>
      </c>
      <c r="G55" s="367">
        <v>21688</v>
      </c>
      <c r="H55" s="367">
        <v>21712</v>
      </c>
      <c r="I55" s="367">
        <v>22105</v>
      </c>
      <c r="J55" s="367">
        <v>22410</v>
      </c>
      <c r="K55" s="367">
        <v>22718</v>
      </c>
      <c r="L55" s="367">
        <v>22977</v>
      </c>
      <c r="M55" s="367">
        <v>22996</v>
      </c>
      <c r="N55" s="367">
        <v>22943</v>
      </c>
      <c r="O55" s="367">
        <v>23076</v>
      </c>
      <c r="P55" s="367">
        <v>28776</v>
      </c>
      <c r="Q55" s="367">
        <v>28726</v>
      </c>
      <c r="R55" s="367">
        <v>28745</v>
      </c>
      <c r="S55" s="611">
        <v>22558</v>
      </c>
      <c r="T55" s="748">
        <v>22796</v>
      </c>
      <c r="U55" s="748">
        <v>22648</v>
      </c>
      <c r="V55" s="748">
        <v>22620</v>
      </c>
      <c r="W55" s="892">
        <v>22828</v>
      </c>
      <c r="X55" s="742"/>
      <c r="Y55" s="742"/>
      <c r="Z55" s="367" t="s">
        <v>47</v>
      </c>
      <c r="AA55" s="367">
        <v>320351</v>
      </c>
      <c r="AB55" s="367">
        <v>343443</v>
      </c>
      <c r="AC55" s="367">
        <v>361595</v>
      </c>
      <c r="AD55" s="367">
        <v>381717</v>
      </c>
      <c r="AE55" s="367">
        <v>396251</v>
      </c>
      <c r="AF55" s="367">
        <v>446754</v>
      </c>
      <c r="AG55" s="367">
        <v>445685</v>
      </c>
      <c r="AH55" s="367">
        <v>462214</v>
      </c>
      <c r="AI55" s="367">
        <v>507237</v>
      </c>
      <c r="AJ55" s="367">
        <v>524690</v>
      </c>
      <c r="AK55" s="367">
        <v>530439</v>
      </c>
      <c r="AL55" s="367">
        <v>549125</v>
      </c>
      <c r="AM55" s="367">
        <v>582136</v>
      </c>
      <c r="AN55" s="367">
        <v>558494</v>
      </c>
      <c r="AO55" s="367">
        <v>569408</v>
      </c>
      <c r="AP55" s="367">
        <v>576844</v>
      </c>
      <c r="AQ55" s="415">
        <v>585189</v>
      </c>
      <c r="AR55" s="8">
        <v>601724</v>
      </c>
      <c r="AS55" s="684">
        <v>599156</v>
      </c>
      <c r="AT55" s="684">
        <v>611088</v>
      </c>
      <c r="AU55" s="683">
        <v>594561</v>
      </c>
      <c r="AV55" s="8">
        <v>618495</v>
      </c>
      <c r="AW55" s="684"/>
      <c r="AX55" s="683"/>
      <c r="AY55" s="367" t="s">
        <v>47</v>
      </c>
      <c r="AZ55" s="39">
        <f t="shared" si="22"/>
        <v>16063.330491901919</v>
      </c>
      <c r="BA55" s="39">
        <f t="shared" si="23"/>
        <v>16590.64779479252</v>
      </c>
      <c r="BB55" s="39">
        <f t="shared" si="24"/>
        <v>17059.586714474426</v>
      </c>
      <c r="BC55" s="39">
        <f t="shared" si="25"/>
        <v>17704.048977320163</v>
      </c>
      <c r="BD55" s="39">
        <f t="shared" si="26"/>
        <v>18289.914608816063</v>
      </c>
      <c r="BE55" s="39">
        <f t="shared" si="27"/>
        <v>20599.133161195132</v>
      </c>
      <c r="BF55" s="39">
        <f t="shared" si="28"/>
        <v>20527.127855563744</v>
      </c>
      <c r="BG55" s="39">
        <f t="shared" si="29"/>
        <v>20909.929880117619</v>
      </c>
      <c r="BH55" s="39">
        <f t="shared" si="30"/>
        <v>22634.404283801876</v>
      </c>
      <c r="BI55" s="39">
        <f t="shared" si="31"/>
        <v>23095.783079496436</v>
      </c>
      <c r="BJ55" s="39">
        <f t="shared" si="32"/>
        <v>23085.650868259563</v>
      </c>
      <c r="BK55" s="39">
        <f t="shared" si="33"/>
        <v>23879.152896155854</v>
      </c>
      <c r="BL55" s="39">
        <f t="shared" si="34"/>
        <v>25373.142134855945</v>
      </c>
      <c r="BM55" s="39">
        <f t="shared" si="35"/>
        <v>24202.374761657135</v>
      </c>
      <c r="BN55" s="39">
        <f t="shared" si="36"/>
        <v>19787.600778426466</v>
      </c>
      <c r="BO55" s="39">
        <f t="shared" si="37"/>
        <v>20080.902318457145</v>
      </c>
      <c r="BP55" s="39">
        <f t="shared" si="38"/>
        <v>20357.940511393284</v>
      </c>
      <c r="BQ55" s="39">
        <f t="shared" si="39"/>
        <v>26674.527883677631</v>
      </c>
      <c r="BR55" s="39">
        <f t="shared" si="40"/>
        <v>26283.383049657838</v>
      </c>
      <c r="BS55" s="39">
        <f t="shared" si="41"/>
        <v>26981.985164252914</v>
      </c>
      <c r="BT55" s="39">
        <f t="shared" si="42"/>
        <v>26284.748010610081</v>
      </c>
      <c r="BU55" s="39">
        <f t="shared" si="43"/>
        <v>27093.700718415981</v>
      </c>
      <c r="BW55" s="367" t="s">
        <v>47</v>
      </c>
      <c r="BX55" s="39">
        <f>(AZ55/CPINormalized[1996])*100</f>
        <v>16063.330491901919</v>
      </c>
      <c r="BY55" s="39">
        <f>(BA55/CPINormalized[1997])*100</f>
        <v>16218.521115283153</v>
      </c>
      <c r="BZ55" s="39">
        <f>(BB55/CPINormalized[1998])*100</f>
        <v>16421.160463196553</v>
      </c>
      <c r="CA55" s="39">
        <f>(BC55/CPINormalized[1999])*100</f>
        <v>16673.261011653864</v>
      </c>
      <c r="CB55" s="39">
        <f>(BD55/CPINormalized[2000])*100</f>
        <v>16664.852509426488</v>
      </c>
      <c r="CC55" s="39">
        <f>(BE55/CPINormalized[2001])*100</f>
        <v>18249.599056982024</v>
      </c>
      <c r="CD55" s="39">
        <f>(BF55/CPINormalized[2002])*100</f>
        <v>17902.759091372714</v>
      </c>
      <c r="CE55" s="39">
        <f>(BG55/CPINormalized[2003])*100</f>
        <v>17830.26085973073</v>
      </c>
      <c r="CF55" s="39">
        <f>(BH55/CPINormalized[2004])*100</f>
        <v>18800.095458594573</v>
      </c>
      <c r="CG55" s="39">
        <f>(BI55/CPINormalized[2005])*100</f>
        <v>18554.676728996368</v>
      </c>
      <c r="CH55" s="39">
        <f>(BJ55/CPINormalized[2006])*100</f>
        <v>17966.957446577013</v>
      </c>
      <c r="CI55" s="39">
        <f>(BK55/CPINormalized[2007])*100</f>
        <v>18069.851209146502</v>
      </c>
      <c r="CJ55" s="39">
        <f>(BL55/CPINormalized[2008])*100</f>
        <v>18490.43441549304</v>
      </c>
      <c r="CK55" s="39">
        <f>(BM55/CPINormalized[2009])*100</f>
        <v>17700.222339754931</v>
      </c>
      <c r="CL55" s="39">
        <f>(BN55/CPINormalized[2010])*100</f>
        <v>14237.968971893057</v>
      </c>
      <c r="CM55" s="39">
        <f>(BO55/CPINormalized[2011])*100</f>
        <v>14006.879970862883</v>
      </c>
      <c r="CN55" s="39">
        <f>(BP55/CPINormalized[2012])*100</f>
        <v>13912.214022307231</v>
      </c>
      <c r="CO55" s="39">
        <f>(BQ55/CPINormalized[2013])*100</f>
        <v>17965.690771039379</v>
      </c>
      <c r="CP55" s="39">
        <f>(BR55/CPINormalized[2014])*100</f>
        <v>17419.669169417899</v>
      </c>
      <c r="CQ55" s="39">
        <f>(BS55/CPINormalized[2015])*100</f>
        <v>17861.47606404301</v>
      </c>
      <c r="CR55" s="39">
        <f>(BT55/CPINormalized[2016])*100</f>
        <v>17183.152836645273</v>
      </c>
      <c r="CS55" s="39">
        <f>(BU55/CPINormalized[2017])*100</f>
        <v>17342.53281135553</v>
      </c>
    </row>
    <row r="56" spans="1:97">
      <c r="A56" s="319" t="s">
        <v>48</v>
      </c>
      <c r="B56" s="367">
        <v>3854</v>
      </c>
      <c r="C56" s="367">
        <v>3823</v>
      </c>
      <c r="D56" s="367">
        <v>3778</v>
      </c>
      <c r="E56" s="367">
        <v>3742</v>
      </c>
      <c r="F56" s="367">
        <v>3747</v>
      </c>
      <c r="G56" s="367">
        <v>3750</v>
      </c>
      <c r="H56" s="367">
        <v>3699</v>
      </c>
      <c r="I56" s="367">
        <v>3717</v>
      </c>
      <c r="J56" s="367">
        <v>3701</v>
      </c>
      <c r="K56" s="367">
        <v>3684</v>
      </c>
      <c r="L56" s="367">
        <v>3668</v>
      </c>
      <c r="M56" s="367">
        <v>3684</v>
      </c>
      <c r="N56" s="367">
        <v>3748</v>
      </c>
      <c r="O56" s="367">
        <v>3776</v>
      </c>
      <c r="P56" s="367">
        <v>3777</v>
      </c>
      <c r="Q56" s="367">
        <v>3783</v>
      </c>
      <c r="R56" s="367">
        <v>3729</v>
      </c>
      <c r="S56" s="611">
        <v>3695</v>
      </c>
      <c r="T56" s="748">
        <v>3709</v>
      </c>
      <c r="U56" s="748">
        <v>3702</v>
      </c>
      <c r="V56" s="748">
        <v>3699</v>
      </c>
      <c r="W56" s="892">
        <v>3678</v>
      </c>
      <c r="X56" s="742"/>
      <c r="Y56" s="742"/>
      <c r="Z56" s="367" t="s">
        <v>48</v>
      </c>
      <c r="AA56" s="367">
        <v>68589</v>
      </c>
      <c r="AB56" s="367">
        <v>81273</v>
      </c>
      <c r="AC56" s="367">
        <v>75974</v>
      </c>
      <c r="AD56" s="367">
        <v>73323</v>
      </c>
      <c r="AE56" s="367">
        <v>76859</v>
      </c>
      <c r="AF56" s="367">
        <v>80143</v>
      </c>
      <c r="AG56" s="367">
        <v>72207</v>
      </c>
      <c r="AH56" s="367">
        <v>77458</v>
      </c>
      <c r="AI56" s="367">
        <v>88958</v>
      </c>
      <c r="AJ56" s="367">
        <v>91182</v>
      </c>
      <c r="AK56" s="367">
        <v>94097</v>
      </c>
      <c r="AL56" s="367">
        <v>97685</v>
      </c>
      <c r="AM56" s="367">
        <v>101311</v>
      </c>
      <c r="AN56" s="367">
        <v>102126</v>
      </c>
      <c r="AO56" s="367">
        <v>101460</v>
      </c>
      <c r="AP56" s="367">
        <v>108387</v>
      </c>
      <c r="AQ56" s="415">
        <v>108778</v>
      </c>
      <c r="AR56" s="8">
        <v>116027</v>
      </c>
      <c r="AS56" s="684">
        <v>142939</v>
      </c>
      <c r="AT56" s="684">
        <v>121912</v>
      </c>
      <c r="AU56" s="683">
        <v>110947</v>
      </c>
      <c r="AV56" s="8">
        <v>124647</v>
      </c>
      <c r="AW56" s="684"/>
      <c r="AX56" s="683"/>
      <c r="AY56" s="367" t="s">
        <v>48</v>
      </c>
      <c r="AZ56" s="39">
        <f t="shared" si="22"/>
        <v>17796.834457706278</v>
      </c>
      <c r="BA56" s="39">
        <f t="shared" si="23"/>
        <v>21258.958932775309</v>
      </c>
      <c r="BB56" s="39">
        <f t="shared" si="24"/>
        <v>20109.58178930651</v>
      </c>
      <c r="BC56" s="39">
        <f t="shared" si="25"/>
        <v>19594.601817210048</v>
      </c>
      <c r="BD56" s="39">
        <f t="shared" si="26"/>
        <v>20512.143047771551</v>
      </c>
      <c r="BE56" s="39">
        <f t="shared" si="27"/>
        <v>21371.466666666667</v>
      </c>
      <c r="BF56" s="39">
        <f t="shared" si="28"/>
        <v>19520.681265206811</v>
      </c>
      <c r="BG56" s="39">
        <f t="shared" si="29"/>
        <v>20838.848533763787</v>
      </c>
      <c r="BH56" s="39">
        <f t="shared" si="30"/>
        <v>24036.206430694405</v>
      </c>
      <c r="BI56" s="39">
        <f t="shared" si="31"/>
        <v>24750.814332247559</v>
      </c>
      <c r="BJ56" s="39">
        <f t="shared" si="32"/>
        <v>25653.489640130862</v>
      </c>
      <c r="BK56" s="39">
        <f t="shared" si="33"/>
        <v>26516.015200868624</v>
      </c>
      <c r="BL56" s="39">
        <f t="shared" si="34"/>
        <v>27030.68303094984</v>
      </c>
      <c r="BM56" s="39">
        <f t="shared" si="35"/>
        <v>27046.080508474577</v>
      </c>
      <c r="BN56" s="39">
        <f t="shared" si="36"/>
        <v>26862.589356632248</v>
      </c>
      <c r="BO56" s="39">
        <f t="shared" si="37"/>
        <v>28651.07057890563</v>
      </c>
      <c r="BP56" s="39">
        <f t="shared" si="38"/>
        <v>29170.823277017967</v>
      </c>
      <c r="BQ56" s="39">
        <f t="shared" si="39"/>
        <v>31401.082543978348</v>
      </c>
      <c r="BR56" s="39">
        <f t="shared" si="40"/>
        <v>38538.420059315176</v>
      </c>
      <c r="BS56" s="39">
        <f t="shared" si="41"/>
        <v>32931.388438681795</v>
      </c>
      <c r="BT56" s="39">
        <f t="shared" si="42"/>
        <v>29993.782103271154</v>
      </c>
      <c r="BU56" s="39">
        <f t="shared" si="43"/>
        <v>33889.885807504077</v>
      </c>
      <c r="BW56" s="367" t="s">
        <v>48</v>
      </c>
      <c r="BX56" s="39">
        <f>(AZ56/CPINormalized[1996])*100</f>
        <v>17796.834457706278</v>
      </c>
      <c r="BY56" s="39">
        <f>(BA56/CPINormalized[1997])*100</f>
        <v>20782.122470731749</v>
      </c>
      <c r="BZ56" s="39">
        <f>(BB56/CPINormalized[1998])*100</f>
        <v>19357.014618050256</v>
      </c>
      <c r="CA56" s="39">
        <f>(BC56/CPINormalized[1999])*100</f>
        <v>18453.739646580172</v>
      </c>
      <c r="CB56" s="39">
        <f>(BD56/CPINormalized[2000])*100</f>
        <v>18689.635564432967</v>
      </c>
      <c r="CC56" s="39">
        <f>(BE56/CPINormalized[2001])*100</f>
        <v>18933.840316205533</v>
      </c>
      <c r="CD56" s="39">
        <f>(BF56/CPINormalized[2002])*100</f>
        <v>17024.985494780147</v>
      </c>
      <c r="CE56" s="39">
        <f>(BG56/CPINormalized[2003])*100</f>
        <v>17769.648559497491</v>
      </c>
      <c r="CF56" s="39">
        <f>(BH56/CPINormalized[2004])*100</f>
        <v>19964.429798708061</v>
      </c>
      <c r="CG56" s="39">
        <f>(BI56/CPINormalized[2005])*100</f>
        <v>19884.294770761095</v>
      </c>
      <c r="CH56" s="39">
        <f>(BJ56/CPINormalized[2006])*100</f>
        <v>19965.439109804229</v>
      </c>
      <c r="CI56" s="39">
        <f>(BK56/CPINormalized[2007])*100</f>
        <v>20065.219709544072</v>
      </c>
      <c r="CJ56" s="39">
        <f>(BL56/CPINormalized[2008])*100</f>
        <v>19698.351474693944</v>
      </c>
      <c r="CK56" s="39">
        <f>(BM56/CPINormalized[2009])*100</f>
        <v>19779.94486629188</v>
      </c>
      <c r="CL56" s="39">
        <f>(BN56/CPINormalized[2010])*100</f>
        <v>19328.705791427888</v>
      </c>
      <c r="CM56" s="39">
        <f>(BO56/CPINormalized[2011])*100</f>
        <v>19984.764642104274</v>
      </c>
      <c r="CN56" s="39">
        <f>(BP56/CPINormalized[2012])*100</f>
        <v>19934.763853428743</v>
      </c>
      <c r="CO56" s="39">
        <f>(BQ56/CPINormalized[2013])*100</f>
        <v>21149.095546174631</v>
      </c>
      <c r="CP56" s="39">
        <f>(BR56/CPINormalized[2014])*100</f>
        <v>25541.861429214619</v>
      </c>
      <c r="CQ56" s="39">
        <f>(BS56/CPINormalized[2015])*100</f>
        <v>21799.849150184054</v>
      </c>
      <c r="CR56" s="39">
        <f>(BT56/CPINormalized[2016])*100</f>
        <v>19607.863154004859</v>
      </c>
      <c r="CS56" s="39">
        <f>(BU56/CPINormalized[2017])*100</f>
        <v>21692.734510433216</v>
      </c>
    </row>
    <row r="57" spans="1:97">
      <c r="A57" s="319" t="s">
        <v>49</v>
      </c>
      <c r="B57" s="367">
        <v>22745</v>
      </c>
      <c r="C57" s="367">
        <v>23076</v>
      </c>
      <c r="D57" s="367">
        <v>23089</v>
      </c>
      <c r="E57" s="367">
        <v>23321</v>
      </c>
      <c r="F57" s="367">
        <v>23617</v>
      </c>
      <c r="G57" s="367">
        <v>23911</v>
      </c>
      <c r="H57" s="367">
        <v>24082</v>
      </c>
      <c r="I57" s="367">
        <v>24056</v>
      </c>
      <c r="J57" s="367">
        <v>24488</v>
      </c>
      <c r="K57" s="367">
        <v>24582</v>
      </c>
      <c r="L57" s="367">
        <v>24759</v>
      </c>
      <c r="M57" s="367">
        <v>24843</v>
      </c>
      <c r="N57" s="367">
        <v>24867</v>
      </c>
      <c r="O57" s="367">
        <v>24840</v>
      </c>
      <c r="P57" s="367">
        <v>24728</v>
      </c>
      <c r="Q57" s="367">
        <v>24860</v>
      </c>
      <c r="R57" s="367">
        <v>24817</v>
      </c>
      <c r="S57" s="611">
        <v>25092</v>
      </c>
      <c r="T57" s="748">
        <v>25053</v>
      </c>
      <c r="U57" s="748">
        <v>25076</v>
      </c>
      <c r="V57" s="748">
        <v>25206</v>
      </c>
      <c r="W57" s="892">
        <v>25228</v>
      </c>
      <c r="X57" s="742"/>
      <c r="Y57" s="742"/>
      <c r="Z57" s="367" t="s">
        <v>49</v>
      </c>
      <c r="AA57" s="367">
        <v>372142</v>
      </c>
      <c r="AB57" s="367">
        <v>397778</v>
      </c>
      <c r="AC57" s="367">
        <v>406004</v>
      </c>
      <c r="AD57" s="367">
        <v>426135</v>
      </c>
      <c r="AE57" s="367">
        <v>453253</v>
      </c>
      <c r="AF57" s="367">
        <v>479069</v>
      </c>
      <c r="AG57" s="367">
        <v>485003</v>
      </c>
      <c r="AH57" s="367">
        <v>507941</v>
      </c>
      <c r="AI57" s="367">
        <v>550135</v>
      </c>
      <c r="AJ57" s="367">
        <v>578474</v>
      </c>
      <c r="AK57" s="367">
        <v>605674</v>
      </c>
      <c r="AL57" s="367">
        <v>627849</v>
      </c>
      <c r="AM57" s="367">
        <v>656168</v>
      </c>
      <c r="AN57" s="367">
        <v>645806</v>
      </c>
      <c r="AO57" s="367">
        <v>660530</v>
      </c>
      <c r="AP57" s="367">
        <v>671678</v>
      </c>
      <c r="AQ57" s="415">
        <v>692941</v>
      </c>
      <c r="AR57" s="8">
        <v>724366</v>
      </c>
      <c r="AS57" s="684">
        <v>736299</v>
      </c>
      <c r="AT57" s="684">
        <v>755050</v>
      </c>
      <c r="AU57" s="683">
        <v>776205</v>
      </c>
      <c r="AV57" s="8">
        <v>873774</v>
      </c>
      <c r="AW57" s="684"/>
      <c r="AX57" s="683"/>
      <c r="AY57" s="367" t="s">
        <v>49</v>
      </c>
      <c r="AZ57" s="39">
        <f t="shared" si="22"/>
        <v>16361.486040888107</v>
      </c>
      <c r="BA57" s="39">
        <f t="shared" si="23"/>
        <v>17237.736176113711</v>
      </c>
      <c r="BB57" s="39">
        <f t="shared" si="24"/>
        <v>17584.30421412794</v>
      </c>
      <c r="BC57" s="39">
        <f t="shared" si="25"/>
        <v>18272.586938810513</v>
      </c>
      <c r="BD57" s="39">
        <f t="shared" si="26"/>
        <v>19191.810983613501</v>
      </c>
      <c r="BE57" s="39">
        <f t="shared" si="27"/>
        <v>20035.50667057003</v>
      </c>
      <c r="BF57" s="39">
        <f t="shared" si="28"/>
        <v>20139.647869778259</v>
      </c>
      <c r="BG57" s="39">
        <f t="shared" si="29"/>
        <v>21114.940139674094</v>
      </c>
      <c r="BH57" s="39">
        <f t="shared" si="30"/>
        <v>22465.493302842209</v>
      </c>
      <c r="BI57" s="39">
        <f t="shared" si="31"/>
        <v>23532.422097469695</v>
      </c>
      <c r="BJ57" s="39">
        <f t="shared" si="32"/>
        <v>24462.781210872814</v>
      </c>
      <c r="BK57" s="39">
        <f t="shared" si="33"/>
        <v>25272.672382562494</v>
      </c>
      <c r="BL57" s="39">
        <f t="shared" si="34"/>
        <v>26387.099368641171</v>
      </c>
      <c r="BM57" s="39">
        <f t="shared" si="35"/>
        <v>25998.631239935588</v>
      </c>
      <c r="BN57" s="39">
        <f t="shared" si="36"/>
        <v>26711.824652216113</v>
      </c>
      <c r="BO57" s="39">
        <f t="shared" si="37"/>
        <v>27018.423169750604</v>
      </c>
      <c r="BP57" s="39">
        <f t="shared" si="38"/>
        <v>27922.029254140307</v>
      </c>
      <c r="BQ57" s="39">
        <f t="shared" si="39"/>
        <v>28868.404272278018</v>
      </c>
      <c r="BR57" s="39">
        <f t="shared" si="40"/>
        <v>29389.65393366064</v>
      </c>
      <c r="BS57" s="39">
        <f t="shared" si="41"/>
        <v>30110.464188865848</v>
      </c>
      <c r="BT57" s="39">
        <f t="shared" si="42"/>
        <v>30794.453701499642</v>
      </c>
      <c r="BU57" s="39">
        <f t="shared" si="43"/>
        <v>34635.087997463139</v>
      </c>
      <c r="BW57" s="367" t="s">
        <v>49</v>
      </c>
      <c r="BX57" s="39">
        <f>(AZ57/CPINormalized[1996])*100</f>
        <v>16361.486040888107</v>
      </c>
      <c r="BY57" s="39">
        <f>(BA57/CPINormalized[1997])*100</f>
        <v>16851.095364686858</v>
      </c>
      <c r="BZ57" s="39">
        <f>(BB57/CPINormalized[1998])*100</f>
        <v>16926.241295685115</v>
      </c>
      <c r="CA57" s="39">
        <f>(BC57/CPINormalized[1999])*100</f>
        <v>17208.696822925387</v>
      </c>
      <c r="CB57" s="39">
        <f>(BD57/CPINormalized[2000])*100</f>
        <v>17486.615234198369</v>
      </c>
      <c r="CC57" s="39">
        <f>(BE57/CPINormalized[2001])*100</f>
        <v>17750.259721131777</v>
      </c>
      <c r="CD57" s="39">
        <f>(BF57/CPINormalized[2002])*100</f>
        <v>17564.81795868932</v>
      </c>
      <c r="CE57" s="39">
        <f>(BG57/CPINormalized[2003])*100</f>
        <v>18005.076673450356</v>
      </c>
      <c r="CF57" s="39">
        <f>(BH57/CPINormalized[2004])*100</f>
        <v>18659.798301831357</v>
      </c>
      <c r="CG57" s="39">
        <f>(BI57/CPINormalized[2005])*100</f>
        <v>18905.463528381948</v>
      </c>
      <c r="CH57" s="39">
        <f>(BJ57/CPINormalized[2006])*100</f>
        <v>19038.741924533453</v>
      </c>
      <c r="CI57" s="39">
        <f>(BK57/CPINormalized[2007])*100</f>
        <v>19124.356362068731</v>
      </c>
      <c r="CJ57" s="39">
        <f>(BL57/CPINormalized[2008])*100</f>
        <v>19229.346042274377</v>
      </c>
      <c r="CK57" s="39">
        <f>(BM57/CPINormalized[2009])*100</f>
        <v>19013.900826178673</v>
      </c>
      <c r="CL57" s="39">
        <f>(BN57/CPINormalized[2010])*100</f>
        <v>19220.22456585789</v>
      </c>
      <c r="CM57" s="39">
        <f>(BO57/CPINormalized[2011])*100</f>
        <v>18845.956438562767</v>
      </c>
      <c r="CN57" s="39">
        <f>(BP57/CPINormalized[2012])*100</f>
        <v>19081.362709716341</v>
      </c>
      <c r="CO57" s="39">
        <f>(BQ57/CPINormalized[2013])*100</f>
        <v>19443.299108077546</v>
      </c>
      <c r="CP57" s="39">
        <f>(BR57/CPINormalized[2014])*100</f>
        <v>19478.392395712337</v>
      </c>
      <c r="CQ57" s="39">
        <f>(BS57/CPINormalized[2015])*100</f>
        <v>19932.459828759336</v>
      </c>
      <c r="CR57" s="39">
        <f>(BT57/CPINormalized[2016])*100</f>
        <v>20131.286944819498</v>
      </c>
      <c r="CS57" s="39">
        <f>(BU57/CPINormalized[2017])*100</f>
        <v>22169.73444354588</v>
      </c>
    </row>
    <row r="58" spans="1:97">
      <c r="A58" s="319" t="s">
        <v>50</v>
      </c>
      <c r="B58" s="367">
        <v>13805</v>
      </c>
      <c r="C58" s="367">
        <v>13690</v>
      </c>
      <c r="D58" s="367">
        <v>13704</v>
      </c>
      <c r="E58" s="367">
        <v>13578</v>
      </c>
      <c r="F58" s="367">
        <v>13395</v>
      </c>
      <c r="G58" s="367">
        <v>13424</v>
      </c>
      <c r="H58" s="367">
        <v>13526</v>
      </c>
      <c r="I58" s="367">
        <v>13626</v>
      </c>
      <c r="J58" s="367">
        <v>13669</v>
      </c>
      <c r="K58" s="367">
        <v>13872</v>
      </c>
      <c r="L58" s="367">
        <v>14033</v>
      </c>
      <c r="M58" s="367">
        <v>14058</v>
      </c>
      <c r="N58" s="367">
        <v>14087</v>
      </c>
      <c r="O58" s="367">
        <v>14146</v>
      </c>
      <c r="P58" s="367">
        <v>14333</v>
      </c>
      <c r="Q58" s="367">
        <v>14269</v>
      </c>
      <c r="R58" s="367">
        <v>14322</v>
      </c>
      <c r="S58" s="611">
        <v>14282</v>
      </c>
      <c r="T58" s="748">
        <v>14205</v>
      </c>
      <c r="U58" s="748">
        <v>14023</v>
      </c>
      <c r="V58" s="748">
        <v>13799</v>
      </c>
      <c r="W58" s="892">
        <v>13586</v>
      </c>
      <c r="X58" s="742"/>
      <c r="Y58" s="742"/>
      <c r="Z58" s="367" t="s">
        <v>50</v>
      </c>
      <c r="AA58" s="367">
        <v>232765</v>
      </c>
      <c r="AB58" s="367">
        <v>238555</v>
      </c>
      <c r="AC58" s="367">
        <v>230596</v>
      </c>
      <c r="AD58" s="367">
        <v>236861</v>
      </c>
      <c r="AE58" s="367">
        <v>261386</v>
      </c>
      <c r="AF58" s="367">
        <v>278870</v>
      </c>
      <c r="AG58" s="367">
        <v>271291</v>
      </c>
      <c r="AH58" s="367">
        <v>316802</v>
      </c>
      <c r="AI58" s="367">
        <v>331553</v>
      </c>
      <c r="AJ58" s="367">
        <v>322508</v>
      </c>
      <c r="AK58" s="367">
        <v>339571</v>
      </c>
      <c r="AL58" s="367">
        <v>357601</v>
      </c>
      <c r="AM58" s="367">
        <v>396428</v>
      </c>
      <c r="AN58" s="367">
        <v>391878</v>
      </c>
      <c r="AO58" s="367">
        <v>391650</v>
      </c>
      <c r="AP58" s="367">
        <v>406705</v>
      </c>
      <c r="AQ58" s="415">
        <v>415350</v>
      </c>
      <c r="AR58" s="8">
        <v>473462</v>
      </c>
      <c r="AS58" s="684">
        <v>417102</v>
      </c>
      <c r="AT58" s="684">
        <v>388905</v>
      </c>
      <c r="AU58" s="683">
        <v>427062</v>
      </c>
      <c r="AV58" s="8">
        <v>436010</v>
      </c>
      <c r="AW58" s="684"/>
      <c r="AX58" s="683"/>
      <c r="AY58" s="367" t="s">
        <v>50</v>
      </c>
      <c r="AZ58" s="39">
        <f t="shared" si="22"/>
        <v>16860.919956537487</v>
      </c>
      <c r="BA58" s="39">
        <f t="shared" si="23"/>
        <v>17425.493060628196</v>
      </c>
      <c r="BB58" s="39">
        <f t="shared" si="24"/>
        <v>16826.911850554585</v>
      </c>
      <c r="BC58" s="39">
        <f t="shared" si="25"/>
        <v>17444.468993960818</v>
      </c>
      <c r="BD58" s="39">
        <f t="shared" si="26"/>
        <v>19513.699141470701</v>
      </c>
      <c r="BE58" s="39">
        <f t="shared" si="27"/>
        <v>20773.986889153755</v>
      </c>
      <c r="BF58" s="39">
        <f t="shared" si="28"/>
        <v>20057.00133077037</v>
      </c>
      <c r="BG58" s="39">
        <f t="shared" si="29"/>
        <v>23249.816527227358</v>
      </c>
      <c r="BH58" s="39">
        <f t="shared" si="30"/>
        <v>24255.834369741751</v>
      </c>
      <c r="BI58" s="39">
        <f t="shared" si="31"/>
        <v>23248.846597462514</v>
      </c>
      <c r="BJ58" s="39">
        <f t="shared" si="32"/>
        <v>24198.033207439606</v>
      </c>
      <c r="BK58" s="39">
        <f t="shared" si="33"/>
        <v>25437.544458671218</v>
      </c>
      <c r="BL58" s="39">
        <f t="shared" si="34"/>
        <v>28141.406970966138</v>
      </c>
      <c r="BM58" s="39">
        <f t="shared" si="35"/>
        <v>27702.38936801923</v>
      </c>
      <c r="BN58" s="39">
        <f t="shared" si="36"/>
        <v>27325.054071024908</v>
      </c>
      <c r="BO58" s="39">
        <f t="shared" si="37"/>
        <v>28502.698156843508</v>
      </c>
      <c r="BP58" s="39">
        <f t="shared" si="38"/>
        <v>29000.837871805616</v>
      </c>
      <c r="BQ58" s="39">
        <f t="shared" si="39"/>
        <v>33150.959249404841</v>
      </c>
      <c r="BR58" s="39">
        <f t="shared" si="40"/>
        <v>29363.041182682155</v>
      </c>
      <c r="BS58" s="39">
        <f t="shared" si="41"/>
        <v>27733.366611994581</v>
      </c>
      <c r="BT58" s="39">
        <f t="shared" si="42"/>
        <v>30948.764403217625</v>
      </c>
      <c r="BU58" s="39">
        <f t="shared" si="43"/>
        <v>32092.595318710439</v>
      </c>
      <c r="BW58" s="367" t="s">
        <v>50</v>
      </c>
      <c r="BX58" s="39">
        <f>(AZ58/CPINormalized[1996])*100</f>
        <v>16860.919956537487</v>
      </c>
      <c r="BY58" s="39">
        <f>(BA58/CPINormalized[1997])*100</f>
        <v>17034.640879829058</v>
      </c>
      <c r="BZ58" s="39">
        <f>(BB58/CPINormalized[1998])*100</f>
        <v>16197.193063509292</v>
      </c>
      <c r="CA58" s="39">
        <f>(BC58/CPINormalized[1999])*100</f>
        <v>16428.79462876622</v>
      </c>
      <c r="CB58" s="39">
        <f>(BD58/CPINormalized[2000])*100</f>
        <v>17779.903573151878</v>
      </c>
      <c r="CC58" s="39">
        <f>(BE58/CPINormalized[2001])*100</f>
        <v>18404.508994399912</v>
      </c>
      <c r="CD58" s="39">
        <f>(BF58/CPINormalized[2002])*100</f>
        <v>17492.737680922019</v>
      </c>
      <c r="CE58" s="39">
        <f>(BG58/CPINormalized[2003])*100</f>
        <v>19825.522897402025</v>
      </c>
      <c r="CF58" s="39">
        <f>(BH58/CPINormalized[2004])*100</f>
        <v>20146.852369573746</v>
      </c>
      <c r="CG58" s="39">
        <f>(BI58/CPINormalized[2005])*100</f>
        <v>18677.644808714122</v>
      </c>
      <c r="CH58" s="39">
        <f>(BJ58/CPINormalized[2006])*100</f>
        <v>18832.695487337671</v>
      </c>
      <c r="CI58" s="39">
        <f>(BK58/CPINormalized[2007])*100</f>
        <v>19249.118488128377</v>
      </c>
      <c r="CJ58" s="39">
        <f>(BL58/CPINormalized[2008])*100</f>
        <v>20507.780912224112</v>
      </c>
      <c r="CK58" s="39">
        <f>(BM58/CPINormalized[2009])*100</f>
        <v>20259.931349101636</v>
      </c>
      <c r="CL58" s="39">
        <f>(BN58/CPINormalized[2010])*100</f>
        <v>19661.467621821037</v>
      </c>
      <c r="CM58" s="39">
        <f>(BO58/CPINormalized[2011])*100</f>
        <v>19881.271548325309</v>
      </c>
      <c r="CN58" s="39">
        <f>(BP58/CPINormalized[2012])*100</f>
        <v>19818.599188507978</v>
      </c>
      <c r="CO58" s="39">
        <f>(BQ58/CPINormalized[2013])*100</f>
        <v>22327.663501125186</v>
      </c>
      <c r="CP58" s="39">
        <f>(BR58/CPINormalized[2014])*100</f>
        <v>19460.754433473703</v>
      </c>
      <c r="CQ58" s="39">
        <f>(BS58/CPINormalized[2015])*100</f>
        <v>18358.873926435448</v>
      </c>
      <c r="CR58" s="39">
        <f>(BT58/CPINormalized[2016])*100</f>
        <v>20232.164623801993</v>
      </c>
      <c r="CS58" s="39">
        <f>(BU58/CPINormalized[2017])*100</f>
        <v>20542.298488518554</v>
      </c>
    </row>
    <row r="59" spans="1:97">
      <c r="A59" s="319" t="s">
        <v>51</v>
      </c>
      <c r="B59" s="367">
        <v>13874</v>
      </c>
      <c r="C59" s="367">
        <v>14261</v>
      </c>
      <c r="D59" s="367">
        <v>14395</v>
      </c>
      <c r="E59" s="367">
        <v>14644</v>
      </c>
      <c r="F59" s="367">
        <v>14847</v>
      </c>
      <c r="G59" s="367">
        <v>14805</v>
      </c>
      <c r="H59" s="367">
        <v>15006</v>
      </c>
      <c r="I59" s="367">
        <v>15105</v>
      </c>
      <c r="J59" s="367">
        <v>15082</v>
      </c>
      <c r="K59" s="367">
        <v>15312</v>
      </c>
      <c r="L59" s="367">
        <v>15340</v>
      </c>
      <c r="M59" s="367">
        <v>15416</v>
      </c>
      <c r="N59" s="367">
        <v>15424</v>
      </c>
      <c r="O59" s="367">
        <v>15545</v>
      </c>
      <c r="P59" s="367">
        <v>15637</v>
      </c>
      <c r="Q59" s="367">
        <v>15705</v>
      </c>
      <c r="R59" s="367">
        <v>15625</v>
      </c>
      <c r="S59" s="611">
        <v>15748</v>
      </c>
      <c r="T59" s="748">
        <v>15835</v>
      </c>
      <c r="U59" s="748">
        <v>15913</v>
      </c>
      <c r="V59" s="748">
        <v>16018</v>
      </c>
      <c r="W59" s="892">
        <v>16063</v>
      </c>
      <c r="X59" s="742"/>
      <c r="Y59" s="742"/>
      <c r="Z59" s="367" t="s">
        <v>51</v>
      </c>
      <c r="AA59" s="367">
        <v>259868</v>
      </c>
      <c r="AB59" s="367">
        <v>279313</v>
      </c>
      <c r="AC59" s="367">
        <v>285986</v>
      </c>
      <c r="AD59" s="367">
        <v>295873</v>
      </c>
      <c r="AE59" s="367">
        <v>314945</v>
      </c>
      <c r="AF59" s="367">
        <v>333888</v>
      </c>
      <c r="AG59" s="367">
        <v>322423</v>
      </c>
      <c r="AH59" s="367">
        <v>345161</v>
      </c>
      <c r="AI59" s="367">
        <v>393964</v>
      </c>
      <c r="AJ59" s="367">
        <v>406590</v>
      </c>
      <c r="AK59" s="367">
        <v>422902</v>
      </c>
      <c r="AL59" s="367">
        <v>454840</v>
      </c>
      <c r="AM59" s="367">
        <v>482888</v>
      </c>
      <c r="AN59" s="367">
        <v>469696</v>
      </c>
      <c r="AO59" s="367">
        <v>488653</v>
      </c>
      <c r="AP59" s="367">
        <v>504645</v>
      </c>
      <c r="AQ59" s="415">
        <v>499620</v>
      </c>
      <c r="AR59" s="8">
        <v>535702</v>
      </c>
      <c r="AS59" s="684">
        <v>533000</v>
      </c>
      <c r="AT59" s="684">
        <v>529228</v>
      </c>
      <c r="AU59" s="683">
        <v>525434</v>
      </c>
      <c r="AV59" s="8">
        <v>568231</v>
      </c>
      <c r="AW59" s="684"/>
      <c r="AX59" s="683"/>
      <c r="AY59" s="367" t="s">
        <v>51</v>
      </c>
      <c r="AZ59" s="39">
        <f t="shared" si="22"/>
        <v>18730.575176589304</v>
      </c>
      <c r="BA59" s="39">
        <f t="shared" si="23"/>
        <v>19585.793422621133</v>
      </c>
      <c r="BB59" s="39">
        <f t="shared" si="24"/>
        <v>19867.03716568253</v>
      </c>
      <c r="BC59" s="39">
        <f t="shared" si="25"/>
        <v>20204.384048074295</v>
      </c>
      <c r="BD59" s="39">
        <f t="shared" si="26"/>
        <v>21212.702902943354</v>
      </c>
      <c r="BE59" s="39">
        <f t="shared" si="27"/>
        <v>22552.380952380954</v>
      </c>
      <c r="BF59" s="39">
        <f t="shared" si="28"/>
        <v>21486.272157803545</v>
      </c>
      <c r="BG59" s="39">
        <f t="shared" si="29"/>
        <v>22850.777888116518</v>
      </c>
      <c r="BH59" s="39">
        <f t="shared" si="30"/>
        <v>26121.469301153691</v>
      </c>
      <c r="BI59" s="39">
        <f t="shared" si="31"/>
        <v>26553.683385579938</v>
      </c>
      <c r="BJ59" s="39">
        <f t="shared" si="32"/>
        <v>27568.578878748369</v>
      </c>
      <c r="BK59" s="39">
        <f t="shared" si="33"/>
        <v>29504.411001556826</v>
      </c>
      <c r="BL59" s="39">
        <f t="shared" si="34"/>
        <v>31307.572614107885</v>
      </c>
      <c r="BM59" s="39">
        <f t="shared" si="35"/>
        <v>30215.24605982631</v>
      </c>
      <c r="BN59" s="39">
        <f t="shared" si="36"/>
        <v>31249.792159621411</v>
      </c>
      <c r="BO59" s="39">
        <f t="shared" si="37"/>
        <v>32132.760267430753</v>
      </c>
      <c r="BP59" s="39">
        <f t="shared" si="38"/>
        <v>31975.68</v>
      </c>
      <c r="BQ59" s="39">
        <f t="shared" si="39"/>
        <v>34017.145034290064</v>
      </c>
      <c r="BR59" s="39">
        <f t="shared" si="40"/>
        <v>33659.614777391849</v>
      </c>
      <c r="BS59" s="39">
        <f t="shared" si="41"/>
        <v>33257.588135486709</v>
      </c>
      <c r="BT59" s="39">
        <f t="shared" si="42"/>
        <v>32802.721937819952</v>
      </c>
      <c r="BU59" s="39">
        <f t="shared" si="43"/>
        <v>35375.147855319679</v>
      </c>
      <c r="BW59" s="367" t="s">
        <v>51</v>
      </c>
      <c r="BX59" s="39">
        <f>(AZ59/CPINormalized[1996])*100</f>
        <v>18730.575176589304</v>
      </c>
      <c r="BY59" s="39">
        <f>(BA59/CPINormalized[1997])*100</f>
        <v>19146.485906599723</v>
      </c>
      <c r="BZ59" s="39">
        <f>(BB59/CPINormalized[1998])*100</f>
        <v>19123.546817764352</v>
      </c>
      <c r="CA59" s="39">
        <f>(BC59/CPINormalized[1999])*100</f>
        <v>19028.018350197221</v>
      </c>
      <c r="CB59" s="39">
        <f>(BD59/CPINormalized[2000])*100</f>
        <v>19327.950554424002</v>
      </c>
      <c r="CC59" s="39">
        <f>(BE59/CPINormalized[2001])*100</f>
        <v>19980.059691860937</v>
      </c>
      <c r="CD59" s="39">
        <f>(BF59/CPINormalized[2002])*100</f>
        <v>18739.277940852564</v>
      </c>
      <c r="CE59" s="39">
        <f>(BG59/CPINormalized[2003])*100</f>
        <v>19485.255710029793</v>
      </c>
      <c r="CF59" s="39">
        <f>(BH59/CPINormalized[2004])*100</f>
        <v>21696.445385659154</v>
      </c>
      <c r="CG59" s="39">
        <f>(BI59/CPINormalized[2005])*100</f>
        <v>21332.682658461301</v>
      </c>
      <c r="CH59" s="39">
        <f>(BJ59/CPINormalized[2006])*100</f>
        <v>21455.90290712113</v>
      </c>
      <c r="CI59" s="39">
        <f>(BK59/CPINormalized[2007])*100</f>
        <v>22326.600911268655</v>
      </c>
      <c r="CJ59" s="39">
        <f>(BL59/CPINormalized[2008])*100</f>
        <v>22815.093812689687</v>
      </c>
      <c r="CK59" s="39">
        <f>(BM59/CPINormalized[2009])*100</f>
        <v>22097.689940601147</v>
      </c>
      <c r="CL59" s="39">
        <f>(BN59/CPINormalized[2010])*100</f>
        <v>22485.473409787392</v>
      </c>
      <c r="CM59" s="39">
        <f>(BO59/CPINormalized[2011])*100</f>
        <v>22413.321326937017</v>
      </c>
      <c r="CN59" s="39">
        <f>(BP59/CPINormalized[2012])*100</f>
        <v>21851.547479463748</v>
      </c>
      <c r="CO59" s="39">
        <f>(BQ59/CPINormalized[2013])*100</f>
        <v>22911.052494151758</v>
      </c>
      <c r="CP59" s="39">
        <f>(BR59/CPINormalized[2014])*100</f>
        <v>22308.366951257023</v>
      </c>
      <c r="CQ59" s="39">
        <f>(BS59/CPINormalized[2015])*100</f>
        <v>22015.78611853945</v>
      </c>
      <c r="CR59" s="39">
        <f>(BT59/CPINormalized[2016])*100</f>
        <v>21444.154012357765</v>
      </c>
      <c r="CS59" s="39">
        <f>(BU59/CPINormalized[2017])*100</f>
        <v>22643.442797403954</v>
      </c>
    </row>
    <row r="60" spans="1:97">
      <c r="A60" s="319" t="s">
        <v>52</v>
      </c>
      <c r="B60" s="367">
        <v>9039</v>
      </c>
      <c r="C60" s="367">
        <v>9106</v>
      </c>
      <c r="D60" s="367">
        <v>9161</v>
      </c>
      <c r="E60" s="367">
        <v>9238</v>
      </c>
      <c r="F60" s="367">
        <v>9329</v>
      </c>
      <c r="G60" s="367">
        <v>9291</v>
      </c>
      <c r="H60" s="367">
        <v>9259</v>
      </c>
      <c r="I60" s="367">
        <v>9274</v>
      </c>
      <c r="J60" s="367">
        <v>9254</v>
      </c>
      <c r="K60" s="367">
        <v>9209</v>
      </c>
      <c r="L60" s="367">
        <v>9219</v>
      </c>
      <c r="M60" s="367">
        <v>9216</v>
      </c>
      <c r="N60" s="367">
        <v>9157</v>
      </c>
      <c r="O60" s="367">
        <v>9014</v>
      </c>
      <c r="P60" s="367">
        <v>8794</v>
      </c>
      <c r="Q60" s="367">
        <v>8712</v>
      </c>
      <c r="R60" s="367">
        <v>8703</v>
      </c>
      <c r="S60" s="611">
        <v>8774</v>
      </c>
      <c r="T60" s="748">
        <v>8683</v>
      </c>
      <c r="U60" s="748">
        <v>8560</v>
      </c>
      <c r="V60" s="748">
        <v>8558</v>
      </c>
      <c r="W60" s="892">
        <v>8612</v>
      </c>
      <c r="X60" s="742"/>
      <c r="Y60" s="742"/>
      <c r="Z60" s="367" t="s">
        <v>52</v>
      </c>
      <c r="AA60" s="367">
        <v>172644</v>
      </c>
      <c r="AB60" s="367">
        <v>183853</v>
      </c>
      <c r="AC60" s="367">
        <v>185518</v>
      </c>
      <c r="AD60" s="367">
        <v>179897</v>
      </c>
      <c r="AE60" s="367">
        <v>210102</v>
      </c>
      <c r="AF60" s="367">
        <v>210191</v>
      </c>
      <c r="AG60" s="367">
        <v>200733</v>
      </c>
      <c r="AH60" s="367">
        <v>210467</v>
      </c>
      <c r="AI60" s="367">
        <v>238671</v>
      </c>
      <c r="AJ60" s="367">
        <v>216299</v>
      </c>
      <c r="AK60" s="367">
        <v>233498</v>
      </c>
      <c r="AL60" s="367">
        <v>252408</v>
      </c>
      <c r="AM60" s="367">
        <v>267152</v>
      </c>
      <c r="AN60" s="367">
        <v>266964</v>
      </c>
      <c r="AO60" s="367">
        <v>268560</v>
      </c>
      <c r="AP60" s="367">
        <v>274026</v>
      </c>
      <c r="AQ60" s="415">
        <v>274118</v>
      </c>
      <c r="AR60" s="8">
        <v>325677</v>
      </c>
      <c r="AS60" s="684">
        <v>360652</v>
      </c>
      <c r="AT60" s="684">
        <v>326275</v>
      </c>
      <c r="AU60" s="683">
        <v>326447</v>
      </c>
      <c r="AV60" s="8">
        <v>338109</v>
      </c>
      <c r="AW60" s="684"/>
      <c r="AX60" s="683"/>
      <c r="AY60" s="367" t="s">
        <v>52</v>
      </c>
      <c r="AZ60" s="39">
        <f t="shared" si="22"/>
        <v>19099.900431463655</v>
      </c>
      <c r="BA60" s="39">
        <f t="shared" si="23"/>
        <v>20190.314078629475</v>
      </c>
      <c r="BB60" s="39">
        <f t="shared" si="24"/>
        <v>20250.845977513371</v>
      </c>
      <c r="BC60" s="39">
        <f t="shared" si="25"/>
        <v>19473.587356570686</v>
      </c>
      <c r="BD60" s="39">
        <f t="shared" si="26"/>
        <v>22521.384928716907</v>
      </c>
      <c r="BE60" s="39">
        <f t="shared" si="27"/>
        <v>22623.07609514584</v>
      </c>
      <c r="BF60" s="39">
        <f t="shared" si="28"/>
        <v>21679.771033588942</v>
      </c>
      <c r="BG60" s="39">
        <f t="shared" si="29"/>
        <v>22694.306663791245</v>
      </c>
      <c r="BH60" s="39">
        <f t="shared" si="30"/>
        <v>25791.117354657443</v>
      </c>
      <c r="BI60" s="39">
        <f t="shared" si="31"/>
        <v>23487.783689868607</v>
      </c>
      <c r="BJ60" s="39">
        <f t="shared" si="32"/>
        <v>25327.909751599957</v>
      </c>
      <c r="BK60" s="39">
        <f t="shared" si="33"/>
        <v>27388.020833333332</v>
      </c>
      <c r="BL60" s="39">
        <f t="shared" si="34"/>
        <v>29174.620508900294</v>
      </c>
      <c r="BM60" s="39">
        <f t="shared" si="35"/>
        <v>29616.596405591303</v>
      </c>
      <c r="BN60" s="39">
        <f t="shared" si="36"/>
        <v>30539.003866272458</v>
      </c>
      <c r="BO60" s="39">
        <f t="shared" si="37"/>
        <v>31453.856749311297</v>
      </c>
      <c r="BP60" s="39">
        <f t="shared" si="38"/>
        <v>31496.955072963345</v>
      </c>
      <c r="BQ60" s="39">
        <f t="shared" si="39"/>
        <v>37118.41805333941</v>
      </c>
      <c r="BR60" s="39">
        <f t="shared" si="40"/>
        <v>41535.414027409875</v>
      </c>
      <c r="BS60" s="39">
        <f t="shared" si="41"/>
        <v>38116.238317757008</v>
      </c>
      <c r="BT60" s="39">
        <f t="shared" si="42"/>
        <v>38145.244215938306</v>
      </c>
      <c r="BU60" s="39">
        <f t="shared" si="43"/>
        <v>39260.218300046443</v>
      </c>
      <c r="BW60" s="367" t="s">
        <v>52</v>
      </c>
      <c r="BX60" s="39">
        <f>(AZ60/CPINormalized[1996])*100</f>
        <v>19099.900431463655</v>
      </c>
      <c r="BY60" s="39">
        <f>(BA60/CPINormalized[1997])*100</f>
        <v>19737.447220791055</v>
      </c>
      <c r="BZ60" s="39">
        <f>(BB60/CPINormalized[1998])*100</f>
        <v>19492.992232342625</v>
      </c>
      <c r="CA60" s="39">
        <f>(BC60/CPINormalized[1999])*100</f>
        <v>18339.771045894002</v>
      </c>
      <c r="CB60" s="39">
        <f>(BD60/CPINormalized[2000])*100</f>
        <v>20520.355954214192</v>
      </c>
      <c r="CC60" s="39">
        <f>(BE60/CPINormalized[2001])*100</f>
        <v>20042.691357020791</v>
      </c>
      <c r="CD60" s="39">
        <f>(BF60/CPINormalized[2002])*100</f>
        <v>18908.038216620927</v>
      </c>
      <c r="CE60" s="39">
        <f>(BG60/CPINormalized[2003])*100</f>
        <v>19351.829975808949</v>
      </c>
      <c r="CF60" s="39">
        <f>(BH60/CPINormalized[2004])*100</f>
        <v>21422.055653497897</v>
      </c>
      <c r="CG60" s="39">
        <f>(BI60/CPINormalized[2005])*100</f>
        <v>18869.6019505396</v>
      </c>
      <c r="CH60" s="39">
        <f>(BJ60/CPINormalized[2006])*100</f>
        <v>19712.048809652944</v>
      </c>
      <c r="CI60" s="39">
        <f>(BK60/CPINormalized[2007])*100</f>
        <v>20725.084492046954</v>
      </c>
      <c r="CJ60" s="39">
        <f>(BL60/CPINormalized[2008])*100</f>
        <v>21260.725386299571</v>
      </c>
      <c r="CK60" s="39">
        <f>(BM60/CPINormalized[2009])*100</f>
        <v>21659.872078183602</v>
      </c>
      <c r="CL60" s="39">
        <f>(BN60/CPINormalized[2010])*100</f>
        <v>21974.032847608636</v>
      </c>
      <c r="CM60" s="39">
        <f>(BO60/CPINormalized[2011])*100</f>
        <v>21939.770888849613</v>
      </c>
      <c r="CN60" s="39">
        <f>(BP60/CPINormalized[2012])*100</f>
        <v>21524.396329816755</v>
      </c>
      <c r="CO60" s="39">
        <f>(BQ60/CPINormalized[2013])*100</f>
        <v>24999.805940877304</v>
      </c>
      <c r="CP60" s="39">
        <f>(BR60/CPINormalized[2014])*100</f>
        <v>27528.159894991091</v>
      </c>
      <c r="CQ60" s="39">
        <f>(BS60/CPINormalized[2015])*100</f>
        <v>25232.104836598533</v>
      </c>
      <c r="CR60" s="39">
        <f>(BT60/CPINormalized[2016])*100</f>
        <v>24936.726084992188</v>
      </c>
      <c r="CS60" s="39">
        <f>(BU60/CPINormalized[2017])*100</f>
        <v>25130.255594310082</v>
      </c>
    </row>
    <row r="61" spans="1:97">
      <c r="A61" s="319" t="s">
        <v>53</v>
      </c>
      <c r="B61" s="367">
        <v>11811</v>
      </c>
      <c r="C61" s="367">
        <v>11815</v>
      </c>
      <c r="D61" s="367">
        <v>12087</v>
      </c>
      <c r="E61" s="367">
        <v>12143</v>
      </c>
      <c r="F61" s="367">
        <v>12141</v>
      </c>
      <c r="G61" s="367">
        <v>12120</v>
      </c>
      <c r="H61" s="367">
        <v>12084</v>
      </c>
      <c r="I61" s="367">
        <v>12095</v>
      </c>
      <c r="J61" s="367">
        <v>12236</v>
      </c>
      <c r="K61" s="367">
        <v>12285</v>
      </c>
      <c r="L61" s="367">
        <v>12242</v>
      </c>
      <c r="M61" s="367">
        <v>12299</v>
      </c>
      <c r="N61" s="367">
        <v>12273</v>
      </c>
      <c r="O61" s="367">
        <v>12179</v>
      </c>
      <c r="P61" s="367">
        <v>12241</v>
      </c>
      <c r="Q61" s="367">
        <v>12217</v>
      </c>
      <c r="R61" s="367">
        <v>11996</v>
      </c>
      <c r="S61" s="611">
        <v>11965</v>
      </c>
      <c r="T61" s="748">
        <v>11820</v>
      </c>
      <c r="U61" s="748">
        <v>11699</v>
      </c>
      <c r="V61" s="748">
        <v>11620</v>
      </c>
      <c r="W61" s="892">
        <v>11438</v>
      </c>
      <c r="X61" s="742"/>
      <c r="Y61" s="742"/>
      <c r="Z61" s="367" t="s">
        <v>53</v>
      </c>
      <c r="AA61" s="367">
        <v>235498</v>
      </c>
      <c r="AB61" s="367">
        <v>242124</v>
      </c>
      <c r="AC61" s="367">
        <v>250799</v>
      </c>
      <c r="AD61" s="367">
        <v>256649</v>
      </c>
      <c r="AE61" s="367">
        <v>278611</v>
      </c>
      <c r="AF61" s="367">
        <v>292995</v>
      </c>
      <c r="AG61" s="367">
        <v>285457</v>
      </c>
      <c r="AH61" s="367">
        <v>299651</v>
      </c>
      <c r="AI61" s="367">
        <v>327898</v>
      </c>
      <c r="AJ61" s="367">
        <v>322404</v>
      </c>
      <c r="AK61" s="367">
        <v>340034</v>
      </c>
      <c r="AL61" s="367">
        <v>353070</v>
      </c>
      <c r="AM61" s="367">
        <v>388903</v>
      </c>
      <c r="AN61" s="367">
        <v>372622</v>
      </c>
      <c r="AO61" s="367">
        <v>390882</v>
      </c>
      <c r="AP61" s="367">
        <v>390775</v>
      </c>
      <c r="AQ61" s="415">
        <v>393605</v>
      </c>
      <c r="AR61" s="8">
        <v>430761</v>
      </c>
      <c r="AS61" s="684">
        <v>399373</v>
      </c>
      <c r="AT61" s="684">
        <v>386566</v>
      </c>
      <c r="AU61" s="683">
        <v>407016</v>
      </c>
      <c r="AV61" s="8">
        <v>466613</v>
      </c>
      <c r="AW61" s="684"/>
      <c r="AX61" s="683"/>
      <c r="AY61" s="367" t="s">
        <v>53</v>
      </c>
      <c r="AZ61" s="39">
        <f t="shared" si="22"/>
        <v>19938.870544407757</v>
      </c>
      <c r="BA61" s="39">
        <f t="shared" si="23"/>
        <v>20492.932712653404</v>
      </c>
      <c r="BB61" s="39">
        <f t="shared" si="24"/>
        <v>20749.482915529083</v>
      </c>
      <c r="BC61" s="39">
        <f t="shared" si="25"/>
        <v>21135.551346454748</v>
      </c>
      <c r="BD61" s="39">
        <f t="shared" si="26"/>
        <v>22947.944979820444</v>
      </c>
      <c r="BE61" s="39">
        <f t="shared" si="27"/>
        <v>24174.504950495048</v>
      </c>
      <c r="BF61" s="39">
        <f t="shared" si="28"/>
        <v>23622.724263488912</v>
      </c>
      <c r="BG61" s="39">
        <f t="shared" si="29"/>
        <v>24774.782968168664</v>
      </c>
      <c r="BH61" s="39">
        <f t="shared" si="30"/>
        <v>26797.80974174567</v>
      </c>
      <c r="BI61" s="39">
        <f t="shared" si="31"/>
        <v>26243.711843711844</v>
      </c>
      <c r="BJ61" s="39">
        <f t="shared" si="32"/>
        <v>27776.016990687796</v>
      </c>
      <c r="BK61" s="39">
        <f t="shared" si="33"/>
        <v>28707.211968452717</v>
      </c>
      <c r="BL61" s="39">
        <f t="shared" si="34"/>
        <v>31687.688421738778</v>
      </c>
      <c r="BM61" s="39">
        <f t="shared" si="35"/>
        <v>30595.451186468512</v>
      </c>
      <c r="BN61" s="39">
        <f t="shared" si="36"/>
        <v>31932.195082101134</v>
      </c>
      <c r="BO61" s="39">
        <f t="shared" si="37"/>
        <v>31986.166816730783</v>
      </c>
      <c r="BP61" s="39">
        <f t="shared" si="38"/>
        <v>32811.353784594867</v>
      </c>
      <c r="BQ61" s="39">
        <f t="shared" si="39"/>
        <v>36001.755119097368</v>
      </c>
      <c r="BR61" s="39">
        <f t="shared" si="40"/>
        <v>33787.901861252118</v>
      </c>
      <c r="BS61" s="39">
        <f t="shared" si="41"/>
        <v>33042.653218223779</v>
      </c>
      <c r="BT61" s="39">
        <f t="shared" si="42"/>
        <v>35027.194492254734</v>
      </c>
      <c r="BU61" s="39">
        <f t="shared" si="43"/>
        <v>40794.981640146878</v>
      </c>
      <c r="BW61" s="367" t="s">
        <v>53</v>
      </c>
      <c r="BX61" s="39">
        <f>(AZ61/CPINormalized[1996])*100</f>
        <v>19938.870544407757</v>
      </c>
      <c r="BY61" s="39">
        <f>(BA61/CPINormalized[1997])*100</f>
        <v>20033.278147135941</v>
      </c>
      <c r="BZ61" s="39">
        <f>(BB61/CPINormalized[1998])*100</f>
        <v>19972.968524211741</v>
      </c>
      <c r="CA61" s="39">
        <f>(BC61/CPINormalized[1999])*100</f>
        <v>19904.970025562725</v>
      </c>
      <c r="CB61" s="39">
        <f>(BD61/CPINormalized[2000])*100</f>
        <v>20909.016070463578</v>
      </c>
      <c r="CC61" s="39">
        <f>(BE61/CPINormalized[2001])*100</f>
        <v>21417.164464893693</v>
      </c>
      <c r="CD61" s="39">
        <f>(BF61/CPINormalized[2002])*100</f>
        <v>20602.587198117901</v>
      </c>
      <c r="CE61" s="39">
        <f>(BG61/CPINormalized[2003])*100</f>
        <v>21125.888302748172</v>
      </c>
      <c r="CF61" s="39">
        <f>(BH61/CPINormalized[2004])*100</f>
        <v>22258.212538273667</v>
      </c>
      <c r="CG61" s="39">
        <f>(BI61/CPINormalized[2005])*100</f>
        <v>21083.657902091083</v>
      </c>
      <c r="CH61" s="39">
        <f>(BJ61/CPINormalized[2006])*100</f>
        <v>21617.346556740649</v>
      </c>
      <c r="CI61" s="39">
        <f>(BK61/CPINormalized[2007])*100</f>
        <v>21723.343836995067</v>
      </c>
      <c r="CJ61" s="39">
        <f>(BL61/CPINormalized[2008])*100</f>
        <v>23092.099568379515</v>
      </c>
      <c r="CK61" s="39">
        <f>(BM61/CPINormalized[2009])*100</f>
        <v>22375.750062492294</v>
      </c>
      <c r="CL61" s="39">
        <f>(BN61/CPINormalized[2010])*100</f>
        <v>22976.489564064588</v>
      </c>
      <c r="CM61" s="39">
        <f>(BO61/CPINormalized[2011])*100</f>
        <v>22311.069105602233</v>
      </c>
      <c r="CN61" s="39">
        <f>(BP61/CPINormalized[2012])*100</f>
        <v>22422.630420668371</v>
      </c>
      <c r="CO61" s="39">
        <f>(BQ61/CPINormalized[2013])*100</f>
        <v>24247.716867002826</v>
      </c>
      <c r="CP61" s="39">
        <f>(BR61/CPINormalized[2014])*100</f>
        <v>22393.390958833716</v>
      </c>
      <c r="CQ61" s="39">
        <f>(BS61/CPINormalized[2015])*100</f>
        <v>21873.503967813751</v>
      </c>
      <c r="CR61" s="39">
        <f>(BT61/CPINormalized[2016])*100</f>
        <v>22898.360530462724</v>
      </c>
      <c r="CS61" s="39">
        <f>(BU61/CPINormalized[2017])*100</f>
        <v>26112.649393517644</v>
      </c>
    </row>
    <row r="62" spans="1:97">
      <c r="A62" s="319" t="s">
        <v>54</v>
      </c>
      <c r="B62" s="367">
        <v>17698</v>
      </c>
      <c r="C62" s="367">
        <v>18157</v>
      </c>
      <c r="D62" s="367">
        <v>18521</v>
      </c>
      <c r="E62" s="367">
        <v>19038</v>
      </c>
      <c r="F62" s="367">
        <v>19291</v>
      </c>
      <c r="G62" s="367">
        <v>19543</v>
      </c>
      <c r="H62" s="367">
        <v>19588</v>
      </c>
      <c r="I62" s="367">
        <v>19831</v>
      </c>
      <c r="J62" s="367">
        <v>20106</v>
      </c>
      <c r="K62" s="367">
        <v>20273</v>
      </c>
      <c r="L62" s="367">
        <v>20570</v>
      </c>
      <c r="M62" s="367">
        <v>20716</v>
      </c>
      <c r="N62" s="367">
        <v>20745</v>
      </c>
      <c r="O62" s="367">
        <v>20566</v>
      </c>
      <c r="P62" s="367">
        <v>20572</v>
      </c>
      <c r="Q62" s="367">
        <v>20396</v>
      </c>
      <c r="R62" s="367">
        <v>20117</v>
      </c>
      <c r="S62" s="611">
        <v>20265</v>
      </c>
      <c r="T62" s="748">
        <v>20194</v>
      </c>
      <c r="U62" s="748">
        <v>20158</v>
      </c>
      <c r="V62" s="748">
        <v>20213</v>
      </c>
      <c r="W62" s="892">
        <v>20145</v>
      </c>
      <c r="X62" s="742"/>
      <c r="Y62" s="742"/>
      <c r="Z62" s="367" t="s">
        <v>54</v>
      </c>
      <c r="AA62" s="367">
        <v>317208</v>
      </c>
      <c r="AB62" s="367">
        <v>330609</v>
      </c>
      <c r="AC62" s="367">
        <v>350274</v>
      </c>
      <c r="AD62" s="367">
        <v>361901</v>
      </c>
      <c r="AE62" s="367">
        <v>379489</v>
      </c>
      <c r="AF62" s="367">
        <v>411324</v>
      </c>
      <c r="AG62" s="367">
        <v>420605</v>
      </c>
      <c r="AH62" s="367">
        <v>450771</v>
      </c>
      <c r="AI62" s="367">
        <v>530618</v>
      </c>
      <c r="AJ62" s="367">
        <v>534263</v>
      </c>
      <c r="AK62" s="367">
        <v>550654</v>
      </c>
      <c r="AL62" s="367">
        <v>572580</v>
      </c>
      <c r="AM62" s="367">
        <v>640533</v>
      </c>
      <c r="AN62" s="367">
        <v>629678</v>
      </c>
      <c r="AO62" s="367">
        <v>622016</v>
      </c>
      <c r="AP62" s="367">
        <v>669373</v>
      </c>
      <c r="AQ62" s="415">
        <v>674500</v>
      </c>
      <c r="AR62" s="8">
        <v>772837</v>
      </c>
      <c r="AS62" s="684">
        <v>777721</v>
      </c>
      <c r="AT62" s="684">
        <v>795705</v>
      </c>
      <c r="AU62" s="683">
        <v>796333</v>
      </c>
      <c r="AV62" s="8">
        <v>803647</v>
      </c>
      <c r="AW62" s="684"/>
      <c r="AX62" s="683"/>
      <c r="AY62" s="367" t="s">
        <v>54</v>
      </c>
      <c r="AZ62" s="39">
        <f t="shared" si="22"/>
        <v>17923.381173013902</v>
      </c>
      <c r="BA62" s="39">
        <f t="shared" si="23"/>
        <v>18208.349396926806</v>
      </c>
      <c r="BB62" s="39">
        <f t="shared" si="24"/>
        <v>18912.26175692457</v>
      </c>
      <c r="BC62" s="39">
        <f t="shared" si="25"/>
        <v>19009.402248135309</v>
      </c>
      <c r="BD62" s="39">
        <f t="shared" si="26"/>
        <v>19671.815872686748</v>
      </c>
      <c r="BE62" s="39">
        <f t="shared" si="27"/>
        <v>21047.126848487947</v>
      </c>
      <c r="BF62" s="39">
        <f t="shared" si="28"/>
        <v>21472.585256279355</v>
      </c>
      <c r="BG62" s="39">
        <f t="shared" si="29"/>
        <v>22730.6237708638</v>
      </c>
      <c r="BH62" s="39">
        <f t="shared" si="30"/>
        <v>26391.027553963992</v>
      </c>
      <c r="BI62" s="39">
        <f t="shared" si="31"/>
        <v>26353.425738667192</v>
      </c>
      <c r="BJ62" s="39">
        <f t="shared" si="32"/>
        <v>26769.761789013126</v>
      </c>
      <c r="BK62" s="39">
        <f t="shared" si="33"/>
        <v>27639.505696080323</v>
      </c>
      <c r="BL62" s="39">
        <f t="shared" si="34"/>
        <v>30876.500361532897</v>
      </c>
      <c r="BM62" s="39">
        <f t="shared" si="35"/>
        <v>30617.426820966641</v>
      </c>
      <c r="BN62" s="39">
        <f t="shared" si="36"/>
        <v>30236.048998638929</v>
      </c>
      <c r="BO62" s="39">
        <f t="shared" si="37"/>
        <v>32818.837026868008</v>
      </c>
      <c r="BP62" s="39">
        <f t="shared" si="38"/>
        <v>33528.856191281011</v>
      </c>
      <c r="BQ62" s="39">
        <f t="shared" si="39"/>
        <v>38136.540833950159</v>
      </c>
      <c r="BR62" s="39">
        <f t="shared" si="40"/>
        <v>38512.478954144797</v>
      </c>
      <c r="BS62" s="39">
        <f t="shared" si="41"/>
        <v>39473.410060521877</v>
      </c>
      <c r="BT62" s="39">
        <f t="shared" si="42"/>
        <v>39397.071191807248</v>
      </c>
      <c r="BU62" s="39">
        <f t="shared" si="43"/>
        <v>39893.124844874656</v>
      </c>
      <c r="BW62" s="367" t="s">
        <v>54</v>
      </c>
      <c r="BX62" s="39">
        <f>(AZ62/CPINormalized[1996])*100</f>
        <v>17923.381173013902</v>
      </c>
      <c r="BY62" s="39">
        <f>(BA62/CPINormalized[1997])*100</f>
        <v>17799.937821668631</v>
      </c>
      <c r="BZ62" s="39">
        <f>(BB62/CPINormalized[1998])*100</f>
        <v>18204.50226786175</v>
      </c>
      <c r="CA62" s="39">
        <f>(BC62/CPINormalized[1999])*100</f>
        <v>17902.612321323111</v>
      </c>
      <c r="CB62" s="39">
        <f>(BD62/CPINormalized[2000])*100</f>
        <v>17923.971605252911</v>
      </c>
      <c r="CC62" s="39">
        <f>(BE62/CPINormalized[2001])*100</f>
        <v>18646.494650072043</v>
      </c>
      <c r="CD62" s="39">
        <f>(BF62/CPINormalized[2002])*100</f>
        <v>18727.340893330911</v>
      </c>
      <c r="CE62" s="39">
        <f>(BG62/CPINormalized[2003])*100</f>
        <v>19382.798204611579</v>
      </c>
      <c r="CF62" s="39">
        <f>(BH62/CPINormalized[2004])*100</f>
        <v>21920.339985267077</v>
      </c>
      <c r="CG62" s="39">
        <f>(BI62/CPINormalized[2005])*100</f>
        <v>21171.799786978401</v>
      </c>
      <c r="CH62" s="39">
        <f>(BJ62/CPINormalized[2006])*100</f>
        <v>20834.204487580158</v>
      </c>
      <c r="CI62" s="39">
        <f>(BK62/CPINormalized[2007])*100</f>
        <v>20915.388313583368</v>
      </c>
      <c r="CJ62" s="39">
        <f>(BL62/CPINormalized[2008])*100</f>
        <v>22500.954035589435</v>
      </c>
      <c r="CK62" s="39">
        <f>(BM62/CPINormalized[2009])*100</f>
        <v>22391.821775309927</v>
      </c>
      <c r="CL62" s="39">
        <f>(BN62/CPINormalized[2010])*100</f>
        <v>21756.044721935872</v>
      </c>
      <c r="CM62" s="39">
        <f>(BO62/CPINormalized[2011])*100</f>
        <v>22891.875261806937</v>
      </c>
      <c r="CN62" s="39">
        <f>(BP62/CPINormalized[2012])*100</f>
        <v>22912.957378729367</v>
      </c>
      <c r="CO62" s="39">
        <f>(BQ62/CPINormalized[2013])*100</f>
        <v>25685.526757499367</v>
      </c>
      <c r="CP62" s="39">
        <f>(BR62/CPINormalized[2014])*100</f>
        <v>25524.668609359454</v>
      </c>
      <c r="CQ62" s="39">
        <f>(BS62/CPINormalized[2015])*100</f>
        <v>26130.522445629987</v>
      </c>
      <c r="CR62" s="39">
        <f>(BT62/CPINormalized[2016])*100</f>
        <v>25755.084101691024</v>
      </c>
      <c r="CS62" s="39">
        <f>(BU62/CPINormalized[2017])*100</f>
        <v>25535.375686034731</v>
      </c>
    </row>
    <row r="63" spans="1:97">
      <c r="A63" s="599" t="s">
        <v>513</v>
      </c>
      <c r="B63" s="601">
        <v>20576</v>
      </c>
      <c r="C63" s="601">
        <v>20518</v>
      </c>
      <c r="D63" s="601">
        <v>20346</v>
      </c>
      <c r="E63" s="601">
        <v>19949</v>
      </c>
      <c r="F63" s="601">
        <v>19657</v>
      </c>
      <c r="G63" s="601">
        <v>19638</v>
      </c>
      <c r="H63" s="601">
        <v>19416</v>
      </c>
      <c r="I63" s="601">
        <v>19405</v>
      </c>
      <c r="J63" s="601">
        <v>19235</v>
      </c>
      <c r="K63" s="601">
        <v>18919</v>
      </c>
      <c r="L63" s="601">
        <v>18821</v>
      </c>
      <c r="M63" s="601">
        <v>18780</v>
      </c>
      <c r="N63" s="601">
        <v>18805</v>
      </c>
      <c r="O63" s="601">
        <v>18896</v>
      </c>
      <c r="P63" s="601">
        <v>18931</v>
      </c>
      <c r="Q63" s="601">
        <v>18789</v>
      </c>
      <c r="R63" s="601">
        <v>18479</v>
      </c>
      <c r="S63" s="744">
        <v>18368</v>
      </c>
      <c r="T63" s="748">
        <v>18236</v>
      </c>
      <c r="U63" s="748">
        <v>18167</v>
      </c>
      <c r="V63" s="748">
        <v>17915</v>
      </c>
      <c r="W63" s="892">
        <v>17582</v>
      </c>
      <c r="X63" s="742"/>
      <c r="Y63" s="742"/>
      <c r="Z63" s="600" t="s">
        <v>513</v>
      </c>
      <c r="AA63" s="602">
        <v>364748</v>
      </c>
      <c r="AB63" s="602">
        <v>364717</v>
      </c>
      <c r="AC63" s="602">
        <v>346530</v>
      </c>
      <c r="AD63" s="602">
        <v>360612</v>
      </c>
      <c r="AE63" s="602">
        <v>415147</v>
      </c>
      <c r="AF63" s="602">
        <v>428082</v>
      </c>
      <c r="AG63" s="602">
        <v>415851</v>
      </c>
      <c r="AH63" s="602">
        <v>465897</v>
      </c>
      <c r="AI63" s="602">
        <v>474809</v>
      </c>
      <c r="AJ63" s="602">
        <v>467927</v>
      </c>
      <c r="AK63" s="602">
        <v>484572</v>
      </c>
      <c r="AL63" s="602">
        <v>520027</v>
      </c>
      <c r="AM63" s="602">
        <v>560160</v>
      </c>
      <c r="AN63" s="602">
        <v>546849</v>
      </c>
      <c r="AO63" s="602">
        <v>551063</v>
      </c>
      <c r="AP63" s="602">
        <v>594084</v>
      </c>
      <c r="AQ63" s="602">
        <v>589226</v>
      </c>
      <c r="AR63" s="602">
        <v>600487</v>
      </c>
      <c r="AS63" s="684">
        <v>583076</v>
      </c>
      <c r="AT63" s="684">
        <v>563457</v>
      </c>
      <c r="AU63" s="683">
        <v>557653</v>
      </c>
      <c r="AV63" s="8">
        <v>550142</v>
      </c>
      <c r="AW63" s="684"/>
      <c r="AX63" s="683"/>
      <c r="AY63" s="414" t="s">
        <v>513</v>
      </c>
      <c r="AZ63" s="109">
        <f t="shared" si="22"/>
        <v>17726.866251944015</v>
      </c>
      <c r="BA63" s="109">
        <f t="shared" si="23"/>
        <v>17775.465444975143</v>
      </c>
      <c r="BB63" s="109">
        <f t="shared" si="24"/>
        <v>17031.849012090828</v>
      </c>
      <c r="BC63" s="109">
        <f t="shared" si="25"/>
        <v>18076.695573712968</v>
      </c>
      <c r="BD63" s="109">
        <f t="shared" si="26"/>
        <v>21119.550287429414</v>
      </c>
      <c r="BE63" s="109">
        <f t="shared" si="27"/>
        <v>21798.655667583258</v>
      </c>
      <c r="BF63" s="109">
        <f t="shared" si="28"/>
        <v>21417.954264524102</v>
      </c>
      <c r="BG63" s="109">
        <f t="shared" si="29"/>
        <v>24009.121360474106</v>
      </c>
      <c r="BH63" s="109">
        <f t="shared" si="30"/>
        <v>24684.63737977645</v>
      </c>
      <c r="BI63" s="109">
        <f t="shared" si="31"/>
        <v>24733.178286378774</v>
      </c>
      <c r="BJ63" s="109">
        <f t="shared" si="32"/>
        <v>25746.347165400352</v>
      </c>
      <c r="BK63" s="109">
        <f t="shared" si="33"/>
        <v>27690.468583599573</v>
      </c>
      <c r="BL63" s="109">
        <f t="shared" si="34"/>
        <v>29787.822387662858</v>
      </c>
      <c r="BM63" s="109">
        <f t="shared" si="35"/>
        <v>28939.934377646063</v>
      </c>
      <c r="BN63" s="109">
        <f t="shared" si="36"/>
        <v>29109.027520997304</v>
      </c>
      <c r="BO63" s="109">
        <f t="shared" si="37"/>
        <v>31618.713076800253</v>
      </c>
      <c r="BP63" s="109">
        <f t="shared" si="38"/>
        <v>31886.249255912116</v>
      </c>
      <c r="BQ63" s="109">
        <f t="shared" si="39"/>
        <v>32692.018728222996</v>
      </c>
      <c r="BR63" s="109">
        <f t="shared" si="40"/>
        <v>31973.897784601886</v>
      </c>
      <c r="BS63" s="109">
        <f t="shared" si="41"/>
        <v>31015.412561237408</v>
      </c>
      <c r="BT63" s="109">
        <f t="shared" si="42"/>
        <v>31127.714205972647</v>
      </c>
      <c r="BU63" s="109">
        <f t="shared" si="43"/>
        <v>31290.06938914799</v>
      </c>
      <c r="BW63" s="414" t="s">
        <v>513</v>
      </c>
      <c r="BX63" s="109">
        <f>(AZ63/CPINormalized[1996])*100</f>
        <v>17726.866251944015</v>
      </c>
      <c r="BY63" s="109">
        <f>(BA63/CPINormalized[1997])*100</f>
        <v>17376.763416302801</v>
      </c>
      <c r="BZ63" s="109">
        <f>(BB63/CPINormalized[1998])*100</f>
        <v>16394.460797527921</v>
      </c>
      <c r="CA63" s="109">
        <f>(BC63/CPINormalized[1999])*100</f>
        <v>17024.210897452369</v>
      </c>
      <c r="CB63" s="109">
        <f>(BD63/CPINormalized[2000])*100</f>
        <v>19243.074565027153</v>
      </c>
      <c r="CC63" s="109">
        <f>(BE63/CPINormalized[2001])*100</f>
        <v>19312.304202393072</v>
      </c>
      <c r="CD63" s="109">
        <f>(BF63/CPINormalized[2002])*100</f>
        <v>18679.69440858161</v>
      </c>
      <c r="CE63" s="109">
        <f>(BG63/CPINormalized[2003])*100</f>
        <v>20472.995334012976</v>
      </c>
      <c r="CF63" s="109">
        <f>(BH63/CPINormalized[2004])*100</f>
        <v>20503.015377908552</v>
      </c>
      <c r="CG63" s="109">
        <f>(BI63/CPINormalized[2005])*100</f>
        <v>19870.126334525496</v>
      </c>
      <c r="CH63" s="109">
        <f>(BJ63/CPINormalized[2006])*100</f>
        <v>20037.707689738669</v>
      </c>
      <c r="CI63" s="109">
        <f>(BK63/CPINormalized[2007])*100</f>
        <v>20953.952989586156</v>
      </c>
      <c r="CJ63" s="109">
        <f>(BL63/CPINormalized[2008])*100</f>
        <v>21707.590384826515</v>
      </c>
      <c r="CK63" s="109">
        <f>(BM63/CPINormalized[2009])*100</f>
        <v>21165.000460772113</v>
      </c>
      <c r="CL63" s="109">
        <f>(BN63/CPINormalized[2010])*100</f>
        <v>20945.107761512991</v>
      </c>
      <c r="CM63" s="109">
        <f>(BO63/CPINormalized[2011])*100</f>
        <v>22054.761876553021</v>
      </c>
      <c r="CN63" s="109">
        <f>(BP63/CPINormalized[2012])*100</f>
        <v>21790.432277205025</v>
      </c>
      <c r="CO63" s="109">
        <f>(BQ63/CPINormalized[2013])*100</f>
        <v>22018.56024269796</v>
      </c>
      <c r="CP63" s="39">
        <f>(BR63/CPINormalized[2014])*100</f>
        <v>21191.135114237113</v>
      </c>
      <c r="CQ63" s="39">
        <f>(BS63/CPINormalized[2015])*100</f>
        <v>20531.515591110128</v>
      </c>
      <c r="CR63" s="39">
        <f>(BT63/CPINormalized[2016])*100</f>
        <v>20349.149645289963</v>
      </c>
      <c r="CS63" s="39">
        <f>(BU63/CPINormalized[2017])*100</f>
        <v>20028.605936509954</v>
      </c>
    </row>
    <row r="64" spans="1:97" ht="12" customHeight="1">
      <c r="A64" s="319" t="s">
        <v>55</v>
      </c>
      <c r="B64" s="367">
        <v>21976</v>
      </c>
      <c r="C64" s="367">
        <v>22072</v>
      </c>
      <c r="D64" s="367">
        <v>21976</v>
      </c>
      <c r="E64" s="367">
        <v>21951</v>
      </c>
      <c r="F64" s="367">
        <v>21897</v>
      </c>
      <c r="G64" s="367">
        <v>22070</v>
      </c>
      <c r="H64" s="367">
        <v>22239</v>
      </c>
      <c r="I64" s="367">
        <v>22319</v>
      </c>
      <c r="J64" s="367">
        <v>22517</v>
      </c>
      <c r="K64" s="367">
        <v>22588</v>
      </c>
      <c r="L64" s="367">
        <v>22698</v>
      </c>
      <c r="M64" s="367">
        <v>22804</v>
      </c>
      <c r="N64" s="367">
        <v>23026</v>
      </c>
      <c r="O64" s="367">
        <v>23242</v>
      </c>
      <c r="P64" s="367">
        <v>23380</v>
      </c>
      <c r="Q64" s="367">
        <v>23458</v>
      </c>
      <c r="R64" s="367">
        <v>23419</v>
      </c>
      <c r="S64" s="611">
        <v>23261</v>
      </c>
      <c r="T64" s="748">
        <v>23081</v>
      </c>
      <c r="U64" s="748">
        <v>22776</v>
      </c>
      <c r="V64" s="748">
        <v>22670</v>
      </c>
      <c r="W64" s="892">
        <v>22472</v>
      </c>
      <c r="X64" s="742"/>
      <c r="Y64" s="742"/>
      <c r="Z64" s="367" t="s">
        <v>55</v>
      </c>
      <c r="AA64" s="367">
        <v>379654</v>
      </c>
      <c r="AB64" s="367">
        <v>397356</v>
      </c>
      <c r="AC64" s="367">
        <v>402373</v>
      </c>
      <c r="AD64" s="367">
        <v>406138</v>
      </c>
      <c r="AE64" s="367">
        <v>442310</v>
      </c>
      <c r="AF64" s="367">
        <v>451444</v>
      </c>
      <c r="AG64" s="367">
        <v>441493</v>
      </c>
      <c r="AH64" s="367">
        <v>466418</v>
      </c>
      <c r="AI64" s="367">
        <v>524604</v>
      </c>
      <c r="AJ64" s="367">
        <v>526685</v>
      </c>
      <c r="AK64" s="367">
        <v>531843</v>
      </c>
      <c r="AL64" s="367">
        <v>574667</v>
      </c>
      <c r="AM64" s="367">
        <v>605454</v>
      </c>
      <c r="AN64" s="367">
        <v>638463</v>
      </c>
      <c r="AO64" s="367">
        <v>630296</v>
      </c>
      <c r="AP64" s="367">
        <v>656812</v>
      </c>
      <c r="AQ64" s="415">
        <v>658144</v>
      </c>
      <c r="AR64" s="8">
        <v>713498</v>
      </c>
      <c r="AS64" s="684">
        <v>699950</v>
      </c>
      <c r="AT64" s="684">
        <v>652037</v>
      </c>
      <c r="AU64" s="683">
        <v>693503</v>
      </c>
      <c r="AV64" s="8">
        <v>653471</v>
      </c>
      <c r="AW64" s="684"/>
      <c r="AX64" s="683"/>
      <c r="AY64" s="367" t="s">
        <v>55</v>
      </c>
      <c r="AZ64" s="39">
        <f t="shared" si="22"/>
        <v>17275.846377866765</v>
      </c>
      <c r="BA64" s="39">
        <f t="shared" si="23"/>
        <v>18002.718376223271</v>
      </c>
      <c r="BB64" s="39">
        <f t="shared" si="24"/>
        <v>18309.655988350929</v>
      </c>
      <c r="BC64" s="39">
        <f t="shared" si="25"/>
        <v>18502.027242494649</v>
      </c>
      <c r="BD64" s="39">
        <f t="shared" si="26"/>
        <v>20199.570717449882</v>
      </c>
      <c r="BE64" s="39">
        <f t="shared" si="27"/>
        <v>20455.097417308563</v>
      </c>
      <c r="BF64" s="39">
        <f t="shared" si="28"/>
        <v>19852.196591573364</v>
      </c>
      <c r="BG64" s="39">
        <f t="shared" si="29"/>
        <v>20897.800080648776</v>
      </c>
      <c r="BH64" s="39">
        <f t="shared" si="30"/>
        <v>23298.13030154994</v>
      </c>
      <c r="BI64" s="39">
        <f t="shared" si="31"/>
        <v>23317.026739861874</v>
      </c>
      <c r="BJ64" s="39">
        <f t="shared" si="32"/>
        <v>23431.271477663231</v>
      </c>
      <c r="BK64" s="39">
        <f t="shared" si="33"/>
        <v>25200.271882125944</v>
      </c>
      <c r="BL64" s="39">
        <f t="shared" si="34"/>
        <v>26294.362894119691</v>
      </c>
      <c r="BM64" s="39">
        <f t="shared" si="35"/>
        <v>27470.226314430773</v>
      </c>
      <c r="BN64" s="39">
        <f t="shared" si="36"/>
        <v>26958.768177929855</v>
      </c>
      <c r="BO64" s="39">
        <f t="shared" si="37"/>
        <v>27999.488447437976</v>
      </c>
      <c r="BP64" s="39">
        <f t="shared" si="38"/>
        <v>28102.993296041674</v>
      </c>
      <c r="BQ64" s="39">
        <f t="shared" si="39"/>
        <v>30673.573793044154</v>
      </c>
      <c r="BR64" s="39">
        <f t="shared" si="40"/>
        <v>30325.809107057754</v>
      </c>
      <c r="BS64" s="39">
        <f t="shared" si="41"/>
        <v>28628.249034070952</v>
      </c>
      <c r="BT64" s="39">
        <f t="shared" si="42"/>
        <v>30591.221879135421</v>
      </c>
      <c r="BU64" s="39">
        <f t="shared" si="43"/>
        <v>29079.343182627268</v>
      </c>
      <c r="BW64" s="367" t="s">
        <v>55</v>
      </c>
      <c r="BX64" s="39">
        <f>(AZ64/CPINormalized[1996])*100</f>
        <v>17275.846377866765</v>
      </c>
      <c r="BY64" s="39">
        <f>(BA64/CPINormalized[1997])*100</f>
        <v>17598.919085541627</v>
      </c>
      <c r="BZ64" s="39">
        <f>(BB64/CPINormalized[1998])*100</f>
        <v>17624.448003510803</v>
      </c>
      <c r="CA64" s="39">
        <f>(BC64/CPINormalized[1999])*100</f>
        <v>17424.778357427433</v>
      </c>
      <c r="CB64" s="39">
        <f>(BD64/CPINormalized[2000])*100</f>
        <v>18404.835340115489</v>
      </c>
      <c r="CC64" s="39">
        <f>(BE64/CPINormalized[2001])*100</f>
        <v>18121.992008897312</v>
      </c>
      <c r="CD64" s="39">
        <f>(BF64/CPINormalized[2002])*100</f>
        <v>17314.116982867487</v>
      </c>
      <c r="CE64" s="39">
        <f>(BG64/CPINormalized[2003])*100</f>
        <v>17819.917568770616</v>
      </c>
      <c r="CF64" s="39">
        <f>(BH64/CPINormalized[2004])*100</f>
        <v>19351.385094299556</v>
      </c>
      <c r="CG64" s="39">
        <f>(BI64/CPINormalized[2005])*100</f>
        <v>18732.419331716988</v>
      </c>
      <c r="CH64" s="39">
        <f>(BJ64/CPINormalized[2006])*100</f>
        <v>18235.944914907544</v>
      </c>
      <c r="CI64" s="39">
        <f>(BK64/CPINormalized[2007])*100</f>
        <v>19069.569398894389</v>
      </c>
      <c r="CJ64" s="39">
        <f>(BL64/CPINormalized[2008])*100</f>
        <v>19161.765224299616</v>
      </c>
      <c r="CK64" s="39">
        <f>(BM64/CPINormalized[2009])*100</f>
        <v>20090.140669134871</v>
      </c>
      <c r="CL64" s="39">
        <f>(BN64/CPINormalized[2010])*100</f>
        <v>19397.910294223475</v>
      </c>
      <c r="CM64" s="39">
        <f>(BO64/CPINormalized[2011])*100</f>
        <v>19530.27148428249</v>
      </c>
      <c r="CN64" s="39">
        <f>(BP64/CPINormalized[2012])*100</f>
        <v>19205.029957877552</v>
      </c>
      <c r="CO64" s="39">
        <f>(BQ64/CPINormalized[2013])*100</f>
        <v>20659.10759551603</v>
      </c>
      <c r="CP64" s="39">
        <f>(BR64/CPINormalized[2014])*100</f>
        <v>20098.84195431773</v>
      </c>
      <c r="CQ64" s="39">
        <f>(BS64/CPINormalized[2015])*100</f>
        <v>18951.266252824618</v>
      </c>
      <c r="CR64" s="39">
        <f>(BT64/CPINormalized[2016])*100</f>
        <v>19998.42801600098</v>
      </c>
      <c r="CS64" s="39">
        <f>(BU64/CPINormalized[2017])*100</f>
        <v>18613.531924584768</v>
      </c>
    </row>
    <row r="65" spans="1:97">
      <c r="A65" s="319" t="s">
        <v>56</v>
      </c>
      <c r="B65" s="367">
        <v>10102</v>
      </c>
      <c r="C65" s="367">
        <v>10012</v>
      </c>
      <c r="D65" s="367">
        <v>10213</v>
      </c>
      <c r="E65" s="367">
        <v>10346</v>
      </c>
      <c r="F65" s="367">
        <v>10327</v>
      </c>
      <c r="G65" s="367">
        <v>10219</v>
      </c>
      <c r="H65" s="367">
        <v>10328</v>
      </c>
      <c r="I65" s="367">
        <v>10422</v>
      </c>
      <c r="J65" s="367">
        <v>10503</v>
      </c>
      <c r="K65" s="367">
        <v>10513</v>
      </c>
      <c r="L65" s="367">
        <v>10669</v>
      </c>
      <c r="M65" s="367">
        <v>10685</v>
      </c>
      <c r="N65" s="367">
        <v>10697</v>
      </c>
      <c r="O65" s="367">
        <v>10724</v>
      </c>
      <c r="P65" s="367">
        <v>10929</v>
      </c>
      <c r="Q65" s="367">
        <v>11076</v>
      </c>
      <c r="R65" s="367">
        <v>10997</v>
      </c>
      <c r="S65" s="611">
        <v>10996</v>
      </c>
      <c r="T65" s="748">
        <v>10884</v>
      </c>
      <c r="U65" s="748">
        <v>10936</v>
      </c>
      <c r="V65" s="748">
        <v>10789</v>
      </c>
      <c r="W65" s="892">
        <v>10558</v>
      </c>
      <c r="X65" s="742"/>
      <c r="Y65" s="742"/>
      <c r="Z65" s="367" t="s">
        <v>56</v>
      </c>
      <c r="AA65" s="367">
        <v>129371</v>
      </c>
      <c r="AB65" s="367">
        <v>142961</v>
      </c>
      <c r="AC65" s="367">
        <v>152680</v>
      </c>
      <c r="AD65" s="367">
        <v>157792</v>
      </c>
      <c r="AE65" s="367">
        <v>167436</v>
      </c>
      <c r="AF65" s="367">
        <v>180696</v>
      </c>
      <c r="AG65" s="367">
        <v>187238</v>
      </c>
      <c r="AH65" s="367">
        <v>196884</v>
      </c>
      <c r="AI65" s="367">
        <v>213525</v>
      </c>
      <c r="AJ65" s="367">
        <v>224686</v>
      </c>
      <c r="AK65" s="367">
        <v>233520</v>
      </c>
      <c r="AL65" s="367">
        <v>237715</v>
      </c>
      <c r="AM65" s="367">
        <v>250170</v>
      </c>
      <c r="AN65" s="367">
        <v>253631</v>
      </c>
      <c r="AO65" s="367">
        <v>260333</v>
      </c>
      <c r="AP65" s="367">
        <v>274412</v>
      </c>
      <c r="AQ65" s="415">
        <v>292442</v>
      </c>
      <c r="AR65" s="8">
        <v>292668</v>
      </c>
      <c r="AS65" s="684">
        <v>281177</v>
      </c>
      <c r="AT65" s="684">
        <v>288538</v>
      </c>
      <c r="AU65" s="683">
        <v>281528</v>
      </c>
      <c r="AV65" s="8">
        <v>295852</v>
      </c>
      <c r="AW65" s="684"/>
      <c r="AX65" s="683"/>
      <c r="AY65" s="367" t="s">
        <v>56</v>
      </c>
      <c r="AZ65" s="39">
        <f t="shared" si="22"/>
        <v>12806.473965551377</v>
      </c>
      <c r="BA65" s="39">
        <f t="shared" si="23"/>
        <v>14278.965241709948</v>
      </c>
      <c r="BB65" s="39">
        <f t="shared" si="24"/>
        <v>14949.574072260844</v>
      </c>
      <c r="BC65" s="39">
        <f t="shared" si="25"/>
        <v>15251.498163541464</v>
      </c>
      <c r="BD65" s="39">
        <f t="shared" si="26"/>
        <v>16213.421129079112</v>
      </c>
      <c r="BE65" s="39">
        <f t="shared" si="27"/>
        <v>17682.356394950581</v>
      </c>
      <c r="BF65" s="39">
        <f t="shared" si="28"/>
        <v>18129.163439194421</v>
      </c>
      <c r="BG65" s="39">
        <f t="shared" si="29"/>
        <v>18891.191709844559</v>
      </c>
      <c r="BH65" s="39">
        <f t="shared" si="30"/>
        <v>20329.905741216793</v>
      </c>
      <c r="BI65" s="39">
        <f t="shared" si="31"/>
        <v>21372.205840388091</v>
      </c>
      <c r="BJ65" s="39">
        <f t="shared" si="32"/>
        <v>21887.712062986222</v>
      </c>
      <c r="BK65" s="39">
        <f t="shared" si="33"/>
        <v>22247.543284978943</v>
      </c>
      <c r="BL65" s="39">
        <f t="shared" si="34"/>
        <v>23386.930915209872</v>
      </c>
      <c r="BM65" s="39">
        <f t="shared" si="35"/>
        <v>23650.783289817235</v>
      </c>
      <c r="BN65" s="39">
        <f t="shared" si="36"/>
        <v>23820.386128648552</v>
      </c>
      <c r="BO65" s="39">
        <f t="shared" si="37"/>
        <v>24775.370169736365</v>
      </c>
      <c r="BP65" s="39">
        <f t="shared" si="38"/>
        <v>26592.888969719013</v>
      </c>
      <c r="BQ65" s="39">
        <f t="shared" si="39"/>
        <v>26615.860312841032</v>
      </c>
      <c r="BR65" s="39">
        <f t="shared" si="40"/>
        <v>25833.976479235575</v>
      </c>
      <c r="BS65" s="39">
        <f t="shared" si="41"/>
        <v>26384.235552304315</v>
      </c>
      <c r="BT65" s="39">
        <f t="shared" si="42"/>
        <v>26093.984613958659</v>
      </c>
      <c r="BU65" s="39">
        <f t="shared" si="43"/>
        <v>28021.59499905285</v>
      </c>
      <c r="BW65" s="367" t="s">
        <v>56</v>
      </c>
      <c r="BX65" s="39">
        <f>(AZ65/CPINormalized[1996])*100</f>
        <v>12806.473965551377</v>
      </c>
      <c r="BY65" s="39">
        <f>(BA65/CPINormalized[1997])*100</f>
        <v>13958.689385821126</v>
      </c>
      <c r="BZ65" s="39">
        <f>(BB65/CPINormalized[1998])*100</f>
        <v>14390.111484280533</v>
      </c>
      <c r="CA65" s="39">
        <f>(BC65/CPINormalized[1999])*100</f>
        <v>14363.505773467321</v>
      </c>
      <c r="CB65" s="39">
        <f>(BD65/CPINormalized[2000])*100</f>
        <v>14772.855837122608</v>
      </c>
      <c r="CC65" s="39">
        <f>(BE65/CPINormalized[2001])*100</f>
        <v>15665.509420484168</v>
      </c>
      <c r="CD65" s="39">
        <f>(BF65/CPINormalized[2002])*100</f>
        <v>15811.371559808807</v>
      </c>
      <c r="CE65" s="39">
        <f>(BG65/CPINormalized[2003])*100</f>
        <v>16108.847713448975</v>
      </c>
      <c r="CF65" s="39">
        <f>(BH65/CPINormalized[2004])*100</f>
        <v>16885.983116976789</v>
      </c>
      <c r="CG65" s="39">
        <f>(BI65/CPINormalized[2005])*100</f>
        <v>17169.990252723455</v>
      </c>
      <c r="CH65" s="39">
        <f>(BJ65/CPINormalized[2006])*100</f>
        <v>17034.633049020529</v>
      </c>
      <c r="CI65" s="39">
        <f>(BK65/CPINormalized[2007])*100</f>
        <v>16835.178311259639</v>
      </c>
      <c r="CJ65" s="39">
        <f>(BL65/CPINormalized[2008])*100</f>
        <v>17043.002004600166</v>
      </c>
      <c r="CK65" s="39">
        <f>(BM65/CPINormalized[2009])*100</f>
        <v>17296.820120409648</v>
      </c>
      <c r="CL65" s="39">
        <f>(BN65/CPINormalized[2010])*100</f>
        <v>17139.719079433529</v>
      </c>
      <c r="CM65" s="39">
        <f>(BO65/CPINormalized[2011])*100</f>
        <v>17281.376638251419</v>
      </c>
      <c r="CN65" s="39">
        <f>(BP65/CPINormalized[2012])*100</f>
        <v>18173.054519494905</v>
      </c>
      <c r="CO65" s="39">
        <f>(BQ65/CPINormalized[2013])*100</f>
        <v>17926.177290593365</v>
      </c>
      <c r="CP65" s="39">
        <f>(BR65/CPINormalized[2014])*100</f>
        <v>17121.818859793453</v>
      </c>
      <c r="CQ65" s="39">
        <f>(BS65/CPINormalized[2015])*100</f>
        <v>17465.779071360059</v>
      </c>
      <c r="CR65" s="39">
        <f>(BT65/CPINormalized[2016])*100</f>
        <v>17058.444903399122</v>
      </c>
      <c r="CS65" s="39">
        <f>(BU65/CPINormalized[2017])*100</f>
        <v>17936.472973855223</v>
      </c>
    </row>
    <row r="66" spans="1:97">
      <c r="A66" s="319" t="s">
        <v>57</v>
      </c>
      <c r="B66" s="367">
        <v>12669</v>
      </c>
      <c r="C66" s="367">
        <v>12753</v>
      </c>
      <c r="D66" s="367">
        <v>12764</v>
      </c>
      <c r="E66" s="367">
        <v>12904</v>
      </c>
      <c r="F66" s="367">
        <v>13026</v>
      </c>
      <c r="G66" s="367">
        <v>13046</v>
      </c>
      <c r="H66" s="367">
        <v>13073</v>
      </c>
      <c r="I66" s="367">
        <v>13315</v>
      </c>
      <c r="J66" s="367">
        <v>13361</v>
      </c>
      <c r="K66" s="367">
        <v>13507</v>
      </c>
      <c r="L66" s="367">
        <v>13687</v>
      </c>
      <c r="M66" s="367">
        <v>13648</v>
      </c>
      <c r="N66" s="367">
        <v>13753</v>
      </c>
      <c r="O66" s="367">
        <v>13886</v>
      </c>
      <c r="P66" s="367">
        <v>13870</v>
      </c>
      <c r="Q66" s="367">
        <v>13917</v>
      </c>
      <c r="R66" s="367">
        <v>13858</v>
      </c>
      <c r="S66" s="611">
        <v>13688</v>
      </c>
      <c r="T66" s="748">
        <v>13675</v>
      </c>
      <c r="U66" s="748">
        <v>13626</v>
      </c>
      <c r="V66" s="748">
        <v>13664</v>
      </c>
      <c r="W66" s="892">
        <v>13662</v>
      </c>
      <c r="X66" s="742"/>
      <c r="Y66" s="742"/>
      <c r="Z66" s="367" t="s">
        <v>57</v>
      </c>
      <c r="AA66" s="367">
        <v>253444</v>
      </c>
      <c r="AB66" s="367">
        <v>268597</v>
      </c>
      <c r="AC66" s="367">
        <v>277066</v>
      </c>
      <c r="AD66" s="367">
        <v>296106</v>
      </c>
      <c r="AE66" s="367">
        <v>317040</v>
      </c>
      <c r="AF66" s="367">
        <v>332825</v>
      </c>
      <c r="AG66" s="367">
        <v>334389</v>
      </c>
      <c r="AH66" s="367">
        <v>352332</v>
      </c>
      <c r="AI66" s="367">
        <v>394084</v>
      </c>
      <c r="AJ66" s="367">
        <v>413729</v>
      </c>
      <c r="AK66" s="367">
        <v>419285</v>
      </c>
      <c r="AL66" s="367">
        <v>445712</v>
      </c>
      <c r="AM66" s="367">
        <v>476049</v>
      </c>
      <c r="AN66" s="367">
        <v>473521</v>
      </c>
      <c r="AO66" s="367">
        <v>485958</v>
      </c>
      <c r="AP66" s="367">
        <v>499777</v>
      </c>
      <c r="AQ66" s="415">
        <v>500450</v>
      </c>
      <c r="AR66" s="8">
        <v>524232</v>
      </c>
      <c r="AS66" s="684">
        <v>570559</v>
      </c>
      <c r="AT66" s="684">
        <v>593950</v>
      </c>
      <c r="AU66" s="683">
        <v>595214</v>
      </c>
      <c r="AV66" s="8">
        <v>584952</v>
      </c>
      <c r="AW66" s="684"/>
      <c r="AX66" s="683"/>
      <c r="AY66" s="367" t="s">
        <v>57</v>
      </c>
      <c r="AZ66" s="39">
        <f t="shared" si="22"/>
        <v>20005.051701002449</v>
      </c>
      <c r="BA66" s="39">
        <f t="shared" si="23"/>
        <v>21061.475731200502</v>
      </c>
      <c r="BB66" s="39">
        <f t="shared" si="24"/>
        <v>21706.831714196178</v>
      </c>
      <c r="BC66" s="39">
        <f t="shared" si="25"/>
        <v>22946.838189708618</v>
      </c>
      <c r="BD66" s="39">
        <f t="shared" si="26"/>
        <v>24339.01427913404</v>
      </c>
      <c r="BE66" s="39">
        <f t="shared" si="27"/>
        <v>25511.651080791049</v>
      </c>
      <c r="BF66" s="39">
        <f t="shared" si="28"/>
        <v>25578.597108544331</v>
      </c>
      <c r="BG66" s="39">
        <f t="shared" si="29"/>
        <v>26461.284265865565</v>
      </c>
      <c r="BH66" s="39">
        <f t="shared" si="30"/>
        <v>29495.097672329917</v>
      </c>
      <c r="BI66" s="39">
        <f t="shared" si="31"/>
        <v>30630.710002221073</v>
      </c>
      <c r="BJ66" s="39">
        <f t="shared" si="32"/>
        <v>30633.813107328122</v>
      </c>
      <c r="BK66" s="39">
        <f t="shared" si="33"/>
        <v>32657.678780773742</v>
      </c>
      <c r="BL66" s="39">
        <f t="shared" si="34"/>
        <v>34614.193266923576</v>
      </c>
      <c r="BM66" s="39">
        <f t="shared" si="35"/>
        <v>34100.604925824569</v>
      </c>
      <c r="BN66" s="39">
        <f t="shared" si="36"/>
        <v>35036.625811103098</v>
      </c>
      <c r="BO66" s="39">
        <f t="shared" si="37"/>
        <v>35911.259610548252</v>
      </c>
      <c r="BP66" s="39">
        <f t="shared" si="38"/>
        <v>36112.714677442629</v>
      </c>
      <c r="BQ66" s="39">
        <f t="shared" si="39"/>
        <v>38298.655756867323</v>
      </c>
      <c r="BR66" s="39">
        <f t="shared" si="40"/>
        <v>41722.778793418649</v>
      </c>
      <c r="BS66" s="39">
        <f t="shared" si="41"/>
        <v>43589.461323939526</v>
      </c>
      <c r="BT66" s="39">
        <f t="shared" si="42"/>
        <v>43560.743559718969</v>
      </c>
      <c r="BU66" s="39">
        <f t="shared" si="43"/>
        <v>42815.985946420733</v>
      </c>
      <c r="BW66" s="367" t="s">
        <v>57</v>
      </c>
      <c r="BX66" s="39">
        <f>(AZ66/CPINormalized[1996])*100</f>
        <v>20005.051701002449</v>
      </c>
      <c r="BY66" s="39">
        <f>(BA66/CPINormalized[1997])*100</f>
        <v>20589.068798911889</v>
      </c>
      <c r="BZ66" s="39">
        <f>(BB66/CPINormalized[1998])*100</f>
        <v>20894.490159247736</v>
      </c>
      <c r="CA66" s="39">
        <f>(BC66/CPINormalized[1999])*100</f>
        <v>21610.797790908058</v>
      </c>
      <c r="CB66" s="39">
        <f>(BD66/CPINormalized[2000])*100</f>
        <v>22176.488620186596</v>
      </c>
      <c r="CC66" s="39">
        <f>(BE66/CPINormalized[2001])*100</f>
        <v>22601.795903874172</v>
      </c>
      <c r="CD66" s="39">
        <f>(BF66/CPINormalized[2002])*100</f>
        <v>22308.404037413038</v>
      </c>
      <c r="CE66" s="39">
        <f>(BG66/CPINormalized[2003])*100</f>
        <v>22563.997289751667</v>
      </c>
      <c r="CF66" s="39">
        <f>(BH66/CPINormalized[2004])*100</f>
        <v>24498.575038584248</v>
      </c>
      <c r="CG66" s="39">
        <f>(BI66/CPINormalized[2005])*100</f>
        <v>24608.081921907251</v>
      </c>
      <c r="CH66" s="39">
        <f>(BJ66/CPINormalized[2006])*100</f>
        <v>23841.494427280668</v>
      </c>
      <c r="CI66" s="39">
        <f>(BK66/CPINormalized[2007])*100</f>
        <v>24712.744165212065</v>
      </c>
      <c r="CJ66" s="39">
        <f>(BL66/CPINormalized[2008])*100</f>
        <v>25224.761956778631</v>
      </c>
      <c r="CK66" s="39">
        <f>(BM66/CPINormalized[2009])*100</f>
        <v>24939.21753758967</v>
      </c>
      <c r="CL66" s="39">
        <f>(BN66/CPINormalized[2010])*100</f>
        <v>25210.251448077906</v>
      </c>
      <c r="CM66" s="39">
        <f>(BO66/CPINormalized[2011])*100</f>
        <v>25048.90940608352</v>
      </c>
      <c r="CN66" s="39">
        <f>(BP66/CPINormalized[2012])*100</f>
        <v>24678.715179363346</v>
      </c>
      <c r="CO66" s="39">
        <f>(BQ66/CPINormalized[2013])*100</f>
        <v>25794.713566248207</v>
      </c>
      <c r="CP66" s="39">
        <f>(BR66/CPINormalized[2014])*100</f>
        <v>27652.338438967407</v>
      </c>
      <c r="CQ66" s="39">
        <f>(BS66/CPINormalized[2015])*100</f>
        <v>28855.257140737212</v>
      </c>
      <c r="CR66" s="39">
        <f>(BT66/CPINormalized[2016])*100</f>
        <v>28477.005522838521</v>
      </c>
      <c r="CS66" s="39">
        <f>(BU66/CPINormalized[2017])*100</f>
        <v>27406.283432577566</v>
      </c>
    </row>
    <row r="67" spans="1:97">
      <c r="A67" s="319" t="s">
        <v>58</v>
      </c>
      <c r="B67" s="367">
        <v>9333</v>
      </c>
      <c r="C67" s="367">
        <v>9297</v>
      </c>
      <c r="D67" s="367">
        <v>9493</v>
      </c>
      <c r="E67" s="367">
        <v>9509</v>
      </c>
      <c r="F67" s="367">
        <v>9532</v>
      </c>
      <c r="G67" s="367">
        <v>9447</v>
      </c>
      <c r="H67" s="367">
        <v>9496</v>
      </c>
      <c r="I67" s="367">
        <v>9582</v>
      </c>
      <c r="J67" s="367">
        <v>9555</v>
      </c>
      <c r="K67" s="367">
        <v>9557</v>
      </c>
      <c r="L67" s="367">
        <v>9667</v>
      </c>
      <c r="M67" s="367">
        <v>9655</v>
      </c>
      <c r="N67" s="367">
        <v>9718</v>
      </c>
      <c r="O67" s="367">
        <v>9673</v>
      </c>
      <c r="P67" s="367">
        <v>9730</v>
      </c>
      <c r="Q67" s="367">
        <v>9639</v>
      </c>
      <c r="R67" s="367">
        <v>9601</v>
      </c>
      <c r="S67" s="611">
        <v>9560</v>
      </c>
      <c r="T67" s="748">
        <v>9465</v>
      </c>
      <c r="U67" s="748">
        <v>9407</v>
      </c>
      <c r="V67" s="748">
        <v>9237</v>
      </c>
      <c r="W67" s="892">
        <v>9186</v>
      </c>
      <c r="X67" s="742"/>
      <c r="Y67" s="742"/>
      <c r="Z67" s="367" t="s">
        <v>58</v>
      </c>
      <c r="AA67" s="367">
        <v>131837</v>
      </c>
      <c r="AB67" s="367">
        <v>141886</v>
      </c>
      <c r="AC67" s="367">
        <v>144218</v>
      </c>
      <c r="AD67" s="367">
        <v>152347</v>
      </c>
      <c r="AE67" s="367">
        <v>161351</v>
      </c>
      <c r="AF67" s="367">
        <v>169141</v>
      </c>
      <c r="AG67" s="367">
        <v>172832</v>
      </c>
      <c r="AH67" s="367">
        <v>178978</v>
      </c>
      <c r="AI67" s="367">
        <v>191543</v>
      </c>
      <c r="AJ67" s="367">
        <v>196343</v>
      </c>
      <c r="AK67" s="367">
        <v>198148</v>
      </c>
      <c r="AL67" s="367">
        <v>210268</v>
      </c>
      <c r="AM67" s="367">
        <v>220501</v>
      </c>
      <c r="AN67" s="367">
        <v>222985</v>
      </c>
      <c r="AO67" s="367">
        <v>235152</v>
      </c>
      <c r="AP67" s="367">
        <v>249457</v>
      </c>
      <c r="AQ67" s="415">
        <v>263159</v>
      </c>
      <c r="AR67" s="8">
        <v>269088</v>
      </c>
      <c r="AS67" s="684">
        <v>255607</v>
      </c>
      <c r="AT67" s="684">
        <v>257670</v>
      </c>
      <c r="AU67" s="683">
        <v>251605</v>
      </c>
      <c r="AV67" s="8">
        <v>267697</v>
      </c>
      <c r="AW67" s="684"/>
      <c r="AX67" s="683"/>
      <c r="AY67" s="367" t="s">
        <v>58</v>
      </c>
      <c r="AZ67" s="39">
        <f t="shared" si="22"/>
        <v>14125.89735347691</v>
      </c>
      <c r="BA67" s="39">
        <f t="shared" si="23"/>
        <v>15261.482198558675</v>
      </c>
      <c r="BB67" s="39">
        <f t="shared" si="24"/>
        <v>15192.03623722743</v>
      </c>
      <c r="BC67" s="39">
        <f t="shared" si="25"/>
        <v>16021.348196445473</v>
      </c>
      <c r="BD67" s="39">
        <f t="shared" si="26"/>
        <v>16927.297524129248</v>
      </c>
      <c r="BE67" s="39">
        <f t="shared" si="27"/>
        <v>17904.20239229385</v>
      </c>
      <c r="BF67" s="39">
        <f t="shared" si="28"/>
        <v>18200.505475989889</v>
      </c>
      <c r="BG67" s="39">
        <f t="shared" si="29"/>
        <v>18678.563974118137</v>
      </c>
      <c r="BH67" s="39">
        <f t="shared" si="30"/>
        <v>20046.363160648874</v>
      </c>
      <c r="BI67" s="39">
        <f t="shared" si="31"/>
        <v>20544.417704300515</v>
      </c>
      <c r="BJ67" s="39">
        <f t="shared" si="32"/>
        <v>20497.36215992552</v>
      </c>
      <c r="BK67" s="39">
        <f t="shared" si="33"/>
        <v>21778.146038322113</v>
      </c>
      <c r="BL67" s="39">
        <f t="shared" si="34"/>
        <v>22689.956781230707</v>
      </c>
      <c r="BM67" s="39">
        <f t="shared" si="35"/>
        <v>23052.310555153523</v>
      </c>
      <c r="BN67" s="39">
        <f t="shared" si="36"/>
        <v>24167.728674203496</v>
      </c>
      <c r="BO67" s="39">
        <f t="shared" si="37"/>
        <v>25879.966801535429</v>
      </c>
      <c r="BP67" s="39">
        <f t="shared" si="38"/>
        <v>27409.540672846579</v>
      </c>
      <c r="BQ67" s="39">
        <f t="shared" si="39"/>
        <v>28147.280334728035</v>
      </c>
      <c r="BR67" s="39">
        <f t="shared" si="40"/>
        <v>27005.493924986793</v>
      </c>
      <c r="BS67" s="39">
        <f t="shared" si="41"/>
        <v>27391.304347826084</v>
      </c>
      <c r="BT67" s="39">
        <f t="shared" si="42"/>
        <v>27238.822128396667</v>
      </c>
      <c r="BU67" s="39">
        <f t="shared" si="43"/>
        <v>29141.846287829307</v>
      </c>
      <c r="BW67" s="367" t="s">
        <v>58</v>
      </c>
      <c r="BX67" s="39">
        <f>(AZ67/CPINormalized[1996])*100</f>
        <v>14125.89735347691</v>
      </c>
      <c r="BY67" s="39">
        <f>(BA67/CPINormalized[1997])*100</f>
        <v>14919.16857915175</v>
      </c>
      <c r="BZ67" s="39">
        <f>(BB67/CPINormalized[1998])*100</f>
        <v>14623.49991178518</v>
      </c>
      <c r="CA67" s="39">
        <f>(BC67/CPINormalized[1999])*100</f>
        <v>15088.53260517584</v>
      </c>
      <c r="CB67" s="39">
        <f>(BD67/CPINormalized[2000])*100</f>
        <v>15423.304190103829</v>
      </c>
      <c r="CC67" s="39">
        <f>(BE67/CPINormalized[2001])*100</f>
        <v>15862.05169593961</v>
      </c>
      <c r="CD67" s="39">
        <f>(BF67/CPINormalized[2002])*100</f>
        <v>15873.592602461444</v>
      </c>
      <c r="CE67" s="39">
        <f>(BG67/CPINormalized[2003])*100</f>
        <v>15927.53634532139</v>
      </c>
      <c r="CF67" s="39">
        <f>(BH67/CPINormalized[2004])*100</f>
        <v>16650.473159903697</v>
      </c>
      <c r="CG67" s="39">
        <f>(BI67/CPINormalized[2005])*100</f>
        <v>16504.962303147724</v>
      </c>
      <c r="CH67" s="39">
        <f>(BJ67/CPINormalized[2006])*100</f>
        <v>15952.560133394416</v>
      </c>
      <c r="CI67" s="39">
        <f>(BK67/CPINormalized[2007])*100</f>
        <v>16479.975660564378</v>
      </c>
      <c r="CJ67" s="39">
        <f>(BL67/CPINormalized[2008])*100</f>
        <v>16535.088777095993</v>
      </c>
      <c r="CK67" s="39">
        <f>(BM67/CPINormalized[2009])*100</f>
        <v>16859.131646772294</v>
      </c>
      <c r="CL67" s="39">
        <f>(BN67/CPINormalized[2010])*100</f>
        <v>17389.645911979165</v>
      </c>
      <c r="CM67" s="39">
        <f>(BO67/CPINormalized[2011])*100</f>
        <v>18051.857575435602</v>
      </c>
      <c r="CN67" s="39">
        <f>(BP67/CPINormalized[2012])*100</f>
        <v>18731.138146334957</v>
      </c>
      <c r="CO67" s="39">
        <f>(BQ67/CPINormalized[2013])*100</f>
        <v>18957.611424077531</v>
      </c>
      <c r="CP67" s="39">
        <f>(BR67/CPINormalized[2014])*100</f>
        <v>17898.257961739782</v>
      </c>
      <c r="CQ67" s="39">
        <f>(BS67/CPINormalized[2015])*100</f>
        <v>18132.436290113845</v>
      </c>
      <c r="CR67" s="39">
        <f>(BT67/CPINormalized[2016])*100</f>
        <v>17806.860599671829</v>
      </c>
      <c r="CS67" s="39">
        <f>(BU67/CPINormalized[2017])*100</f>
        <v>18653.539827677945</v>
      </c>
    </row>
    <row r="68" spans="1:97">
      <c r="A68" s="319" t="s">
        <v>59</v>
      </c>
      <c r="B68" s="367">
        <v>21044</v>
      </c>
      <c r="C68" s="367">
        <v>20848</v>
      </c>
      <c r="D68" s="367">
        <v>20627</v>
      </c>
      <c r="E68" s="367">
        <v>20216</v>
      </c>
      <c r="F68" s="367">
        <v>20060</v>
      </c>
      <c r="G68" s="367">
        <v>19887</v>
      </c>
      <c r="H68" s="367">
        <v>19839</v>
      </c>
      <c r="I68" s="367">
        <v>19592</v>
      </c>
      <c r="J68" s="367">
        <v>19338</v>
      </c>
      <c r="K68" s="367">
        <v>19211</v>
      </c>
      <c r="L68" s="367">
        <v>18953</v>
      </c>
      <c r="M68" s="367">
        <v>18788</v>
      </c>
      <c r="N68" s="367">
        <v>18552</v>
      </c>
      <c r="O68" s="367">
        <v>18378</v>
      </c>
      <c r="P68" s="367">
        <v>18221</v>
      </c>
      <c r="Q68" s="367">
        <v>18180</v>
      </c>
      <c r="R68" s="367">
        <v>18111</v>
      </c>
      <c r="S68" s="611">
        <v>17823</v>
      </c>
      <c r="T68" s="748">
        <v>17587</v>
      </c>
      <c r="U68" s="748">
        <v>17442</v>
      </c>
      <c r="V68" s="748">
        <v>17073</v>
      </c>
      <c r="W68" s="892">
        <v>16826</v>
      </c>
      <c r="X68" s="742"/>
      <c r="Y68" s="742"/>
      <c r="Z68" s="367" t="s">
        <v>59</v>
      </c>
      <c r="AA68" s="367">
        <v>377271</v>
      </c>
      <c r="AB68" s="367">
        <v>389164</v>
      </c>
      <c r="AC68" s="367">
        <v>358444</v>
      </c>
      <c r="AD68" s="367">
        <v>387100</v>
      </c>
      <c r="AE68" s="367">
        <v>401789</v>
      </c>
      <c r="AF68" s="367">
        <v>412248</v>
      </c>
      <c r="AG68" s="367">
        <v>422160</v>
      </c>
      <c r="AH68" s="367">
        <v>460212</v>
      </c>
      <c r="AI68" s="367">
        <v>463442</v>
      </c>
      <c r="AJ68" s="367">
        <v>474919</v>
      </c>
      <c r="AK68" s="367">
        <v>498715</v>
      </c>
      <c r="AL68" s="367">
        <v>522347</v>
      </c>
      <c r="AM68" s="367">
        <v>587502</v>
      </c>
      <c r="AN68" s="367">
        <v>573389</v>
      </c>
      <c r="AO68" s="367">
        <v>571601</v>
      </c>
      <c r="AP68" s="367">
        <v>616158</v>
      </c>
      <c r="AQ68" s="415">
        <v>604636</v>
      </c>
      <c r="AR68" s="8">
        <v>639015</v>
      </c>
      <c r="AS68" s="684">
        <v>560107</v>
      </c>
      <c r="AT68" s="684">
        <v>547225</v>
      </c>
      <c r="AU68" s="683">
        <v>581276</v>
      </c>
      <c r="AV68" s="8">
        <v>560735</v>
      </c>
      <c r="AW68" s="684"/>
      <c r="AX68" s="683"/>
      <c r="AY68" s="367" t="s">
        <v>59</v>
      </c>
      <c r="AZ68" s="39">
        <f t="shared" si="22"/>
        <v>17927.722866375214</v>
      </c>
      <c r="BA68" s="39">
        <f t="shared" si="23"/>
        <v>18666.730621642364</v>
      </c>
      <c r="BB68" s="39">
        <f t="shared" si="24"/>
        <v>17377.417947350557</v>
      </c>
      <c r="BC68" s="39">
        <f t="shared" si="25"/>
        <v>19148.19944598338</v>
      </c>
      <c r="BD68" s="39">
        <f t="shared" si="26"/>
        <v>20029.361914257228</v>
      </c>
      <c r="BE68" s="39">
        <f t="shared" si="27"/>
        <v>20729.521798159603</v>
      </c>
      <c r="BF68" s="39">
        <f t="shared" si="28"/>
        <v>21279.298351731439</v>
      </c>
      <c r="BG68" s="39">
        <f t="shared" si="29"/>
        <v>23489.791751735404</v>
      </c>
      <c r="BH68" s="39">
        <f t="shared" si="30"/>
        <v>23965.353190609163</v>
      </c>
      <c r="BI68" s="39">
        <f t="shared" si="31"/>
        <v>24721.201395034095</v>
      </c>
      <c r="BJ68" s="39">
        <f t="shared" si="32"/>
        <v>26313.248562232893</v>
      </c>
      <c r="BK68" s="39">
        <f t="shared" si="33"/>
        <v>27802.160953800299</v>
      </c>
      <c r="BL68" s="39">
        <f t="shared" si="34"/>
        <v>31667.85252263907</v>
      </c>
      <c r="BM68" s="39">
        <f t="shared" si="35"/>
        <v>31199.749700729131</v>
      </c>
      <c r="BN68" s="39">
        <f t="shared" si="36"/>
        <v>31370.451676636847</v>
      </c>
      <c r="BO68" s="39">
        <f t="shared" si="37"/>
        <v>33892.079207920797</v>
      </c>
      <c r="BP68" s="39">
        <f t="shared" si="38"/>
        <v>33385.014631991609</v>
      </c>
      <c r="BQ68" s="39">
        <f t="shared" si="39"/>
        <v>35853.39168490153</v>
      </c>
      <c r="BR68" s="39">
        <f t="shared" si="40"/>
        <v>31847.785295957241</v>
      </c>
      <c r="BS68" s="39">
        <f t="shared" si="41"/>
        <v>31373.982341474602</v>
      </c>
      <c r="BT68" s="39">
        <f t="shared" si="42"/>
        <v>34046.506179347511</v>
      </c>
      <c r="BU68" s="39">
        <f t="shared" si="43"/>
        <v>33325.508142160943</v>
      </c>
      <c r="BW68" s="367" t="s">
        <v>59</v>
      </c>
      <c r="BX68" s="39">
        <f>(AZ68/CPINormalized[1996])*100</f>
        <v>17927.722866375214</v>
      </c>
      <c r="BY68" s="39">
        <f>(BA68/CPINormalized[1997])*100</f>
        <v>18248.037598353189</v>
      </c>
      <c r="BZ68" s="39">
        <f>(BB68/CPINormalized[1998])*100</f>
        <v>16727.09739840063</v>
      </c>
      <c r="CA68" s="39">
        <f>(BC68/CPINormalized[1999])*100</f>
        <v>18033.32828976466</v>
      </c>
      <c r="CB68" s="39">
        <f>(BD68/CPINormalized[2000])*100</f>
        <v>18249.749618739603</v>
      </c>
      <c r="CC68" s="39">
        <f>(BE68/CPINormalized[2001])*100</f>
        <v>18365.115585156644</v>
      </c>
      <c r="CD68" s="39">
        <f>(BF68/CPINormalized[2002])*100</f>
        <v>18558.765488530644</v>
      </c>
      <c r="CE68" s="39">
        <f>(BG68/CPINormalized[2003])*100</f>
        <v>20030.153944822199</v>
      </c>
      <c r="CF68" s="39">
        <f>(BH68/CPINormalized[2004])*100</f>
        <v>19905.579225021589</v>
      </c>
      <c r="CG68" s="39">
        <f>(BI68/CPINormalized[2005])*100</f>
        <v>19860.504346548125</v>
      </c>
      <c r="CH68" s="39">
        <f>(BJ68/CPINormalized[2006])*100</f>
        <v>20478.912199475897</v>
      </c>
      <c r="CI68" s="39">
        <f>(BK68/CPINormalized[2007])*100</f>
        <v>21038.472927102404</v>
      </c>
      <c r="CJ68" s="39">
        <f>(BL68/CPINormalized[2008])*100</f>
        <v>23077.64434681389</v>
      </c>
      <c r="CK68" s="39">
        <f>(BM68/CPINormalized[2009])*100</f>
        <v>22817.699175640566</v>
      </c>
      <c r="CL68" s="39">
        <f>(BN68/CPINormalized[2010])*100</f>
        <v>22572.292750781089</v>
      </c>
      <c r="CM68" s="39">
        <f>(BO68/CPINormalized[2011])*100</f>
        <v>23640.485766020003</v>
      </c>
      <c r="CN68" s="39">
        <f>(BP68/CPINormalized[2012])*100</f>
        <v>22814.658901188544</v>
      </c>
      <c r="CO68" s="39">
        <f>(BQ68/CPINormalized[2013])*100</f>
        <v>24147.791890181667</v>
      </c>
      <c r="CP68" s="39">
        <f>(BR68/CPINormalized[2014])*100</f>
        <v>21107.552349180911</v>
      </c>
      <c r="CQ68" s="39">
        <f>(BS68/CPINormalized[2015])*100</f>
        <v>20768.880837144025</v>
      </c>
      <c r="CR68" s="39">
        <f>(BT68/CPINormalized[2016])*100</f>
        <v>22257.254244832959</v>
      </c>
      <c r="CS68" s="39">
        <f>(BU68/CPINormalized[2017])*100</f>
        <v>21331.479387667478</v>
      </c>
    </row>
    <row r="69" spans="1:97">
      <c r="A69" s="319" t="s">
        <v>60</v>
      </c>
      <c r="B69" s="367">
        <v>17910</v>
      </c>
      <c r="C69" s="367">
        <v>18017</v>
      </c>
      <c r="D69" s="367">
        <v>18050</v>
      </c>
      <c r="E69" s="367">
        <v>18064</v>
      </c>
      <c r="F69" s="367">
        <v>18134</v>
      </c>
      <c r="G69" s="367">
        <v>18171</v>
      </c>
      <c r="H69" s="367">
        <v>18318</v>
      </c>
      <c r="I69" s="367">
        <v>18313</v>
      </c>
      <c r="J69" s="367">
        <v>18454</v>
      </c>
      <c r="K69" s="367">
        <v>18602</v>
      </c>
      <c r="L69" s="367">
        <v>18672</v>
      </c>
      <c r="M69" s="367">
        <v>18961</v>
      </c>
      <c r="N69" s="367">
        <v>18976</v>
      </c>
      <c r="O69" s="367">
        <v>19050</v>
      </c>
      <c r="P69" s="367">
        <v>18978</v>
      </c>
      <c r="Q69" s="367">
        <v>18906</v>
      </c>
      <c r="R69" s="367">
        <v>19018</v>
      </c>
      <c r="S69" s="611">
        <v>19072</v>
      </c>
      <c r="T69" s="748">
        <v>19190</v>
      </c>
      <c r="U69" s="748">
        <v>19130</v>
      </c>
      <c r="V69" s="748">
        <v>19285</v>
      </c>
      <c r="W69" s="892">
        <v>19225</v>
      </c>
      <c r="X69" s="742"/>
      <c r="Y69" s="742"/>
      <c r="Z69" s="367" t="s">
        <v>60</v>
      </c>
      <c r="AA69" s="367">
        <v>323198</v>
      </c>
      <c r="AB69" s="367">
        <v>351073</v>
      </c>
      <c r="AC69" s="367">
        <v>370199</v>
      </c>
      <c r="AD69" s="367">
        <v>383561</v>
      </c>
      <c r="AE69" s="367">
        <v>410426</v>
      </c>
      <c r="AF69" s="367">
        <v>421476</v>
      </c>
      <c r="AG69" s="367">
        <v>425314</v>
      </c>
      <c r="AH69" s="367">
        <v>444234</v>
      </c>
      <c r="AI69" s="367">
        <v>473355</v>
      </c>
      <c r="AJ69" s="367">
        <v>489238</v>
      </c>
      <c r="AK69" s="367">
        <v>506510</v>
      </c>
      <c r="AL69" s="367">
        <v>538007</v>
      </c>
      <c r="AM69" s="367">
        <v>558685</v>
      </c>
      <c r="AN69" s="367">
        <v>560734</v>
      </c>
      <c r="AO69" s="367">
        <v>577302</v>
      </c>
      <c r="AP69" s="367">
        <v>592719</v>
      </c>
      <c r="AQ69" s="415">
        <v>627529</v>
      </c>
      <c r="AR69" s="8">
        <v>674708</v>
      </c>
      <c r="AS69" s="684">
        <v>668167</v>
      </c>
      <c r="AT69" s="684">
        <v>680330</v>
      </c>
      <c r="AU69" s="683">
        <v>699457</v>
      </c>
      <c r="AV69" s="8">
        <v>742618</v>
      </c>
      <c r="AW69" s="684"/>
      <c r="AX69" s="683"/>
      <c r="AY69" s="367" t="s">
        <v>60</v>
      </c>
      <c r="AZ69" s="39">
        <f t="shared" si="22"/>
        <v>18045.672808486877</v>
      </c>
      <c r="BA69" s="39">
        <f t="shared" si="23"/>
        <v>19485.652439362824</v>
      </c>
      <c r="BB69" s="39">
        <f t="shared" si="24"/>
        <v>20509.639889196678</v>
      </c>
      <c r="BC69" s="39">
        <f t="shared" si="25"/>
        <v>21233.447741364038</v>
      </c>
      <c r="BD69" s="39">
        <f t="shared" si="26"/>
        <v>22632.954670784162</v>
      </c>
      <c r="BE69" s="39">
        <f t="shared" si="27"/>
        <v>23194.981013703153</v>
      </c>
      <c r="BF69" s="39">
        <f t="shared" si="28"/>
        <v>23218.364450267498</v>
      </c>
      <c r="BG69" s="39">
        <f t="shared" si="29"/>
        <v>24257.849615027579</v>
      </c>
      <c r="BH69" s="39">
        <f t="shared" si="30"/>
        <v>25650.536469058199</v>
      </c>
      <c r="BI69" s="39">
        <f t="shared" si="31"/>
        <v>26300.29029136652</v>
      </c>
      <c r="BJ69" s="39">
        <f t="shared" si="32"/>
        <v>27126.71379605827</v>
      </c>
      <c r="BK69" s="39">
        <f t="shared" si="33"/>
        <v>28374.400084383735</v>
      </c>
      <c r="BL69" s="39">
        <f t="shared" si="34"/>
        <v>29441.663153456997</v>
      </c>
      <c r="BM69" s="39">
        <f t="shared" si="35"/>
        <v>29434.855643044622</v>
      </c>
      <c r="BN69" s="39">
        <f t="shared" si="36"/>
        <v>30419.538412899146</v>
      </c>
      <c r="BO69" s="39">
        <f t="shared" si="37"/>
        <v>31350.841002856236</v>
      </c>
      <c r="BP69" s="39">
        <f t="shared" si="38"/>
        <v>32996.582185298139</v>
      </c>
      <c r="BQ69" s="39">
        <f t="shared" si="39"/>
        <v>35376.887583892618</v>
      </c>
      <c r="BR69" s="39">
        <f t="shared" si="40"/>
        <v>34818.499218342884</v>
      </c>
      <c r="BS69" s="39">
        <f t="shared" si="41"/>
        <v>35563.512807109255</v>
      </c>
      <c r="BT69" s="39">
        <f t="shared" si="42"/>
        <v>36269.484054964996</v>
      </c>
      <c r="BU69" s="39">
        <f t="shared" si="43"/>
        <v>38627.724317295193</v>
      </c>
      <c r="BW69" s="367" t="s">
        <v>60</v>
      </c>
      <c r="BX69" s="39">
        <f>(AZ69/CPINormalized[1996])*100</f>
        <v>18045.672808486877</v>
      </c>
      <c r="BY69" s="39">
        <f>(BA69/CPINormalized[1997])*100</f>
        <v>19048.591076236928</v>
      </c>
      <c r="BZ69" s="39">
        <f>(BB69/CPINormalized[1998])*100</f>
        <v>19742.101218496682</v>
      </c>
      <c r="CA69" s="39">
        <f>(BC69/CPINormalized[1999])*100</f>
        <v>19997.166570348243</v>
      </c>
      <c r="CB69" s="39">
        <f>(BD69/CPINormalized[2000])*100</f>
        <v>20622.012705261532</v>
      </c>
      <c r="CC69" s="39">
        <f>(BE69/CPINormalized[2001])*100</f>
        <v>20549.364884528655</v>
      </c>
      <c r="CD69" s="39">
        <f>(BF69/CPINormalized[2002])*100</f>
        <v>20249.924303763037</v>
      </c>
      <c r="CE69" s="39">
        <f>(BG69/CPINormalized[2003])*100</f>
        <v>20685.090242379498</v>
      </c>
      <c r="CF69" s="39">
        <f>(BH69/CPINormalized[2004])*100</f>
        <v>21305.289422949878</v>
      </c>
      <c r="CG69" s="39">
        <f>(BI69/CPINormalized[2005])*100</f>
        <v>21129.11186234207</v>
      </c>
      <c r="CH69" s="39">
        <f>(BJ69/CPINormalized[2006])*100</f>
        <v>21112.01088592035</v>
      </c>
      <c r="CI69" s="39">
        <f>(BK69/CPINormalized[2007])*100</f>
        <v>21471.498168435763</v>
      </c>
      <c r="CJ69" s="39">
        <f>(BL69/CPINormalized[2008])*100</f>
        <v>21455.330156929551</v>
      </c>
      <c r="CK69" s="39">
        <f>(BM69/CPINormalized[2009])*100</f>
        <v>21526.957356510535</v>
      </c>
      <c r="CL69" s="39">
        <f>(BN69/CPINormalized[2010])*100</f>
        <v>21888.072683090013</v>
      </c>
      <c r="CM69" s="39">
        <f>(BO69/CPINormalized[2011])*100</f>
        <v>21867.915094083924</v>
      </c>
      <c r="CN69" s="39">
        <f>(BP69/CPINormalized[2012])*100</f>
        <v>22549.211847318649</v>
      </c>
      <c r="CO69" s="39">
        <f>(BQ69/CPINormalized[2013])*100</f>
        <v>23826.859299839678</v>
      </c>
      <c r="CP69" s="39">
        <f>(BR69/CPINormalized[2014])*100</f>
        <v>23076.433357655784</v>
      </c>
      <c r="CQ69" s="39">
        <f>(BS69/CPINormalized[2015])*100</f>
        <v>23542.25713529174</v>
      </c>
      <c r="CR69" s="39">
        <f>(BT69/CPINormalized[2016])*100</f>
        <v>23710.483645160381</v>
      </c>
      <c r="CS69" s="39">
        <f>(BU69/CPINormalized[2017])*100</f>
        <v>24725.399581362661</v>
      </c>
    </row>
    <row r="70" spans="1:97">
      <c r="A70" s="319" t="s">
        <v>61</v>
      </c>
      <c r="B70" s="367">
        <v>38323</v>
      </c>
      <c r="C70" s="367">
        <v>38797</v>
      </c>
      <c r="D70" s="367">
        <v>39184</v>
      </c>
      <c r="E70" s="367">
        <v>39568</v>
      </c>
      <c r="F70" s="367">
        <v>39945</v>
      </c>
      <c r="G70" s="367">
        <v>40219</v>
      </c>
      <c r="H70" s="367">
        <v>41193</v>
      </c>
      <c r="I70" s="367">
        <v>41883</v>
      </c>
      <c r="J70" s="367">
        <v>42616</v>
      </c>
      <c r="K70" s="367">
        <v>43327</v>
      </c>
      <c r="L70" s="367">
        <v>44025</v>
      </c>
      <c r="M70" s="367">
        <v>44300</v>
      </c>
      <c r="N70" s="367">
        <v>44200</v>
      </c>
      <c r="O70" s="367">
        <v>44540</v>
      </c>
      <c r="P70" s="367">
        <v>45291</v>
      </c>
      <c r="Q70" s="367">
        <v>45107</v>
      </c>
      <c r="R70" s="367">
        <v>44987</v>
      </c>
      <c r="S70" s="611">
        <v>44807</v>
      </c>
      <c r="T70" s="748">
        <v>44833</v>
      </c>
      <c r="U70" s="748">
        <v>44610</v>
      </c>
      <c r="V70" s="748">
        <v>44608</v>
      </c>
      <c r="W70" s="892">
        <v>44744</v>
      </c>
      <c r="X70" s="742"/>
      <c r="Y70" s="742"/>
      <c r="Z70" s="367" t="s">
        <v>61</v>
      </c>
      <c r="AA70" s="598">
        <v>714342</v>
      </c>
      <c r="AB70" s="598">
        <v>757206</v>
      </c>
      <c r="AC70" s="598">
        <v>797441</v>
      </c>
      <c r="AD70" s="598">
        <v>827531</v>
      </c>
      <c r="AE70" s="598">
        <v>891362</v>
      </c>
      <c r="AF70" s="598">
        <v>952554</v>
      </c>
      <c r="AG70" s="598">
        <v>989784</v>
      </c>
      <c r="AH70" s="598">
        <v>1045160</v>
      </c>
      <c r="AI70" s="598">
        <v>1130435</v>
      </c>
      <c r="AJ70" s="598">
        <v>1149919</v>
      </c>
      <c r="AK70" s="598">
        <v>1194533</v>
      </c>
      <c r="AL70" s="598">
        <v>1223826</v>
      </c>
      <c r="AM70" s="598">
        <v>1241264</v>
      </c>
      <c r="AN70" s="598">
        <v>1273007</v>
      </c>
      <c r="AO70" s="598">
        <v>1312820</v>
      </c>
      <c r="AP70" s="598">
        <v>1372843</v>
      </c>
      <c r="AQ70" s="598">
        <v>1397171</v>
      </c>
      <c r="AR70" s="598">
        <v>1406162</v>
      </c>
      <c r="AS70" s="684">
        <v>1440803</v>
      </c>
      <c r="AT70" s="684">
        <v>1496275</v>
      </c>
      <c r="AU70" s="683">
        <v>1538475</v>
      </c>
      <c r="AV70" s="8">
        <v>1674410</v>
      </c>
      <c r="AW70" s="684"/>
      <c r="AX70" s="683"/>
      <c r="AY70" s="367" t="s">
        <v>61</v>
      </c>
      <c r="AZ70" s="39">
        <f t="shared" si="22"/>
        <v>18640.033400307912</v>
      </c>
      <c r="BA70" s="39">
        <f t="shared" si="23"/>
        <v>19517.127612959765</v>
      </c>
      <c r="BB70" s="39">
        <f t="shared" si="24"/>
        <v>20351.189260922827</v>
      </c>
      <c r="BC70" s="39">
        <f t="shared" si="25"/>
        <v>20914.147796198951</v>
      </c>
      <c r="BD70" s="39">
        <f t="shared" si="26"/>
        <v>22314.73275754162</v>
      </c>
      <c r="BE70" s="39">
        <f t="shared" si="27"/>
        <v>23684.17911932171</v>
      </c>
      <c r="BF70" s="39">
        <f t="shared" si="28"/>
        <v>24027.965916539215</v>
      </c>
      <c r="BG70" s="39">
        <f t="shared" si="29"/>
        <v>24954.277391781867</v>
      </c>
      <c r="BH70" s="39">
        <f t="shared" si="30"/>
        <v>26526.07002064952</v>
      </c>
      <c r="BI70" s="39">
        <f t="shared" si="31"/>
        <v>26540.471299651486</v>
      </c>
      <c r="BJ70" s="39">
        <f t="shared" si="32"/>
        <v>27133.06076093129</v>
      </c>
      <c r="BK70" s="39">
        <f t="shared" si="33"/>
        <v>27625.869074492097</v>
      </c>
      <c r="BL70" s="39">
        <f t="shared" si="34"/>
        <v>28082.89592760181</v>
      </c>
      <c r="BM70" s="39">
        <f t="shared" si="35"/>
        <v>28581.207903008533</v>
      </c>
      <c r="BN70" s="39">
        <f t="shared" si="36"/>
        <v>28986.332825506172</v>
      </c>
      <c r="BO70" s="39">
        <f t="shared" si="37"/>
        <v>30435.253951714814</v>
      </c>
      <c r="BP70" s="39">
        <f t="shared" si="38"/>
        <v>31057.216529219553</v>
      </c>
      <c r="BQ70" s="39">
        <f t="shared" si="39"/>
        <v>31382.641105184459</v>
      </c>
      <c r="BR70" s="39">
        <f t="shared" si="40"/>
        <v>32137.108826087926</v>
      </c>
      <c r="BS70" s="39">
        <f t="shared" si="41"/>
        <v>33541.246357318989</v>
      </c>
      <c r="BT70" s="39">
        <f t="shared" si="42"/>
        <v>34488.768830703018</v>
      </c>
      <c r="BU70" s="39">
        <f t="shared" si="43"/>
        <v>37422.000715179689</v>
      </c>
      <c r="BW70" s="367" t="s">
        <v>61</v>
      </c>
      <c r="BX70" s="39">
        <f>(AZ70/CPINormalized[1996])*100</f>
        <v>18640.033400307912</v>
      </c>
      <c r="BY70" s="39">
        <f>(BA70/CPINormalized[1997])*100</f>
        <v>19079.360264631694</v>
      </c>
      <c r="BZ70" s="39">
        <f>(BB70/CPINormalized[1998])*100</f>
        <v>19589.5803376613</v>
      </c>
      <c r="CA70" s="39">
        <f>(BC70/CPINormalized[1999])*100</f>
        <v>19696.457318269</v>
      </c>
      <c r="CB70" s="39">
        <f>(BD70/CPINormalized[2000])*100</f>
        <v>20332.064864449949</v>
      </c>
      <c r="CC70" s="39">
        <f>(BE70/CPINormalized[2001])*100</f>
        <v>20982.765126039394</v>
      </c>
      <c r="CD70" s="39">
        <f>(BF70/CPINormalized[2002])*100</f>
        <v>20956.019190133422</v>
      </c>
      <c r="CE70" s="39">
        <f>(BG70/CPINormalized[2003])*100</f>
        <v>21278.946319405299</v>
      </c>
      <c r="CF70" s="39">
        <f>(BH70/CPINormalized[2004])*100</f>
        <v>22032.506015033934</v>
      </c>
      <c r="CG70" s="39">
        <f>(BI70/CPINormalized[2005])*100</f>
        <v>21322.068340580227</v>
      </c>
      <c r="CH70" s="39">
        <f>(BJ70/CPINormalized[2006])*100</f>
        <v>21116.950562450991</v>
      </c>
      <c r="CI70" s="39">
        <f>(BK70/CPINormalized[2007])*100</f>
        <v>20905.069198656376</v>
      </c>
      <c r="CJ70" s="39">
        <f>(BL70/CPINormalized[2008])*100</f>
        <v>20465.141549540531</v>
      </c>
      <c r="CK70" s="39">
        <f>(BM70/CPINormalized[2009])*100</f>
        <v>20902.648587339427</v>
      </c>
      <c r="CL70" s="39">
        <f>(BN70/CPINormalized[2010])*100</f>
        <v>20856.824028331797</v>
      </c>
      <c r="CM70" s="39">
        <f>(BO70/CPINormalized[2011])*100</f>
        <v>21229.272580673223</v>
      </c>
      <c r="CN70" s="39">
        <f>(BP70/CPINormalized[2012])*100</f>
        <v>21223.887703661887</v>
      </c>
      <c r="CO70" s="39">
        <f>(BQ70/CPINormalized[2013])*100</f>
        <v>21136.674963205405</v>
      </c>
      <c r="CP70" s="39">
        <f>(BR70/CPINormalized[2014])*100</f>
        <v>21299.30544916361</v>
      </c>
      <c r="CQ70" s="39">
        <f>(BS70/CPINormalized[2015])*100</f>
        <v>22203.561573487768</v>
      </c>
      <c r="CR70" s="39">
        <f>(BT70/CPINormalized[2016])*100</f>
        <v>22546.375020467331</v>
      </c>
      <c r="CS70" s="39">
        <f>(BU70/CPINormalized[2017])*100</f>
        <v>23953.622357260498</v>
      </c>
    </row>
    <row r="71" spans="1:97">
      <c r="A71" s="319" t="s">
        <v>62</v>
      </c>
      <c r="B71" s="367">
        <v>17324</v>
      </c>
      <c r="C71" s="367">
        <v>17469</v>
      </c>
      <c r="D71" s="367">
        <v>18028</v>
      </c>
      <c r="E71" s="367">
        <v>18282</v>
      </c>
      <c r="F71" s="367">
        <v>18301</v>
      </c>
      <c r="G71" s="367">
        <v>18258</v>
      </c>
      <c r="H71" s="367">
        <v>18311</v>
      </c>
      <c r="I71" s="367">
        <v>18426</v>
      </c>
      <c r="J71" s="367">
        <v>18434</v>
      </c>
      <c r="K71" s="367">
        <v>18725</v>
      </c>
      <c r="L71" s="367">
        <v>18707</v>
      </c>
      <c r="M71" s="367">
        <v>18588</v>
      </c>
      <c r="N71" s="367">
        <v>18602</v>
      </c>
      <c r="O71" s="367">
        <v>18544</v>
      </c>
      <c r="P71" s="367">
        <v>18486</v>
      </c>
      <c r="Q71" s="367">
        <v>18671</v>
      </c>
      <c r="R71" s="367">
        <v>18565</v>
      </c>
      <c r="S71" s="611">
        <v>18669</v>
      </c>
      <c r="T71" s="748">
        <v>18475</v>
      </c>
      <c r="U71" s="748">
        <v>18354</v>
      </c>
      <c r="V71" s="748">
        <v>18438</v>
      </c>
      <c r="W71" s="892">
        <v>18567</v>
      </c>
      <c r="X71" s="742"/>
      <c r="Y71" s="742"/>
      <c r="Z71" s="367" t="s">
        <v>62</v>
      </c>
      <c r="AA71" s="367">
        <v>287535</v>
      </c>
      <c r="AB71" s="367">
        <v>305444</v>
      </c>
      <c r="AC71" s="367">
        <v>317572</v>
      </c>
      <c r="AD71" s="367">
        <v>325441</v>
      </c>
      <c r="AE71" s="367">
        <v>361938</v>
      </c>
      <c r="AF71" s="367">
        <v>367120</v>
      </c>
      <c r="AG71" s="367">
        <v>371697</v>
      </c>
      <c r="AH71" s="367">
        <v>393954</v>
      </c>
      <c r="AI71" s="367">
        <v>430021</v>
      </c>
      <c r="AJ71" s="367">
        <v>424720</v>
      </c>
      <c r="AK71" s="367">
        <v>451061</v>
      </c>
      <c r="AL71" s="367">
        <v>471731</v>
      </c>
      <c r="AM71" s="367">
        <v>524243</v>
      </c>
      <c r="AN71" s="367">
        <v>511876</v>
      </c>
      <c r="AO71" s="367">
        <v>532734</v>
      </c>
      <c r="AP71" s="367">
        <v>552319</v>
      </c>
      <c r="AQ71" s="415">
        <v>550480</v>
      </c>
      <c r="AR71" s="8">
        <v>603952</v>
      </c>
      <c r="AS71" s="684">
        <v>593466</v>
      </c>
      <c r="AT71" s="684">
        <v>571874</v>
      </c>
      <c r="AU71" s="683">
        <v>607175</v>
      </c>
      <c r="AV71" s="8">
        <v>626351</v>
      </c>
      <c r="AW71" s="684"/>
      <c r="AX71" s="683"/>
      <c r="AY71" s="367" t="s">
        <v>62</v>
      </c>
      <c r="AZ71" s="39">
        <f t="shared" si="22"/>
        <v>16597.494804894945</v>
      </c>
      <c r="BA71" s="39">
        <f t="shared" si="23"/>
        <v>17484.916137157248</v>
      </c>
      <c r="BB71" s="39">
        <f t="shared" si="24"/>
        <v>17615.487020190816</v>
      </c>
      <c r="BC71" s="39">
        <f t="shared" si="25"/>
        <v>17801.170550268023</v>
      </c>
      <c r="BD71" s="39">
        <f t="shared" si="26"/>
        <v>19776.952079121358</v>
      </c>
      <c r="BE71" s="39">
        <f t="shared" si="27"/>
        <v>20107.35020265089</v>
      </c>
      <c r="BF71" s="39">
        <f t="shared" si="28"/>
        <v>20299.109824695537</v>
      </c>
      <c r="BG71" s="39">
        <f t="shared" si="29"/>
        <v>21380.332139368285</v>
      </c>
      <c r="BH71" s="39">
        <f t="shared" si="30"/>
        <v>23327.601171747858</v>
      </c>
      <c r="BI71" s="39">
        <f t="shared" si="31"/>
        <v>22681.975967957274</v>
      </c>
      <c r="BJ71" s="39">
        <f t="shared" si="32"/>
        <v>24111.883252258511</v>
      </c>
      <c r="BK71" s="39">
        <f t="shared" si="33"/>
        <v>25378.254788035294</v>
      </c>
      <c r="BL71" s="39">
        <f t="shared" si="34"/>
        <v>28182.077196000431</v>
      </c>
      <c r="BM71" s="39">
        <f t="shared" si="35"/>
        <v>27603.321829163073</v>
      </c>
      <c r="BN71" s="39">
        <f t="shared" si="36"/>
        <v>28818.240830899056</v>
      </c>
      <c r="BO71" s="39">
        <f t="shared" si="37"/>
        <v>29581.65068823309</v>
      </c>
      <c r="BP71" s="39">
        <f t="shared" si="38"/>
        <v>29651.494748182064</v>
      </c>
      <c r="BQ71" s="39">
        <f t="shared" si="39"/>
        <v>32350.527612619848</v>
      </c>
      <c r="BR71" s="39">
        <f t="shared" si="40"/>
        <v>32122.652232746957</v>
      </c>
      <c r="BS71" s="39">
        <f t="shared" si="41"/>
        <v>31158.003704914459</v>
      </c>
      <c r="BT71" s="39">
        <f t="shared" si="42"/>
        <v>32930.632389630111</v>
      </c>
      <c r="BU71" s="39">
        <f t="shared" si="43"/>
        <v>33734.636721064257</v>
      </c>
      <c r="BW71" s="367" t="s">
        <v>62</v>
      </c>
      <c r="BX71" s="39">
        <f>(AZ71/CPINormalized[1996])*100</f>
        <v>16597.494804894945</v>
      </c>
      <c r="BY71" s="39">
        <f>(BA71/CPINormalized[1997])*100</f>
        <v>17092.731102305119</v>
      </c>
      <c r="BZ71" s="39">
        <f>(BB71/CPINormalized[1998])*100</f>
        <v>16956.257137840119</v>
      </c>
      <c r="CA71" s="39">
        <f>(BC71/CPINormalized[1999])*100</f>
        <v>16764.727847161183</v>
      </c>
      <c r="CB71" s="39">
        <f>(BD71/CPINormalized[2000])*100</f>
        <v>18019.766441429394</v>
      </c>
      <c r="CC71" s="39">
        <f>(BE71/CPINormalized[2001])*100</f>
        <v>17813.908790490823</v>
      </c>
      <c r="CD71" s="39">
        <f>(BF71/CPINormalized[2002])*100</f>
        <v>17703.892893244745</v>
      </c>
      <c r="CE71" s="39">
        <f>(BG71/CPINormalized[2003])*100</f>
        <v>18231.38104710263</v>
      </c>
      <c r="CF71" s="39">
        <f>(BH71/CPINormalized[2004])*100</f>
        <v>19375.863546041499</v>
      </c>
      <c r="CG71" s="39">
        <f>(BI71/CPINormalized[2005])*100</f>
        <v>18222.232613274427</v>
      </c>
      <c r="CH71" s="39">
        <f>(BJ71/CPINormalized[2006])*100</f>
        <v>18765.647233528573</v>
      </c>
      <c r="CI71" s="39">
        <f>(BK71/CPINormalized[2007])*100</f>
        <v>19204.252762309312</v>
      </c>
      <c r="CJ71" s="39">
        <f>(BL71/CPINormalized[2008])*100</f>
        <v>20537.418949352625</v>
      </c>
      <c r="CK71" s="39">
        <f>(BM71/CPINormalized[2009])*100</f>
        <v>20187.479059536054</v>
      </c>
      <c r="CL71" s="39">
        <f>(BN71/CPINormalized[2010])*100</f>
        <v>20735.875125509327</v>
      </c>
      <c r="CM71" s="39">
        <f>(BO71/CPINormalized[2011])*100</f>
        <v>20633.865150035221</v>
      </c>
      <c r="CN71" s="39">
        <f>(BP71/CPINormalized[2012])*100</f>
        <v>20263.245232844783</v>
      </c>
      <c r="CO71" s="39">
        <f>(BQ71/CPINormalized[2013])*100</f>
        <v>21788.560903600468</v>
      </c>
      <c r="CP71" s="39">
        <f>(BR71/CPINormalized[2014])*100</f>
        <v>21289.724145537639</v>
      </c>
      <c r="CQ71" s="39">
        <f>(BS71/CPINormalized[2015])*100</f>
        <v>20625.907767379889</v>
      </c>
      <c r="CR71" s="39">
        <f>(BT71/CPINormalized[2016])*100</f>
        <v>21527.773031340603</v>
      </c>
      <c r="CS71" s="39">
        <f>(BU71/CPINormalized[2017])*100</f>
        <v>21593.360401170783</v>
      </c>
    </row>
    <row r="72" spans="1:97">
      <c r="A72" s="319" t="s">
        <v>63</v>
      </c>
      <c r="B72" s="367">
        <v>25780</v>
      </c>
      <c r="C72" s="367">
        <v>26099</v>
      </c>
      <c r="D72" s="367">
        <v>26409</v>
      </c>
      <c r="E72" s="367">
        <v>26707</v>
      </c>
      <c r="F72" s="367">
        <v>26999</v>
      </c>
      <c r="G72" s="367">
        <v>27421</v>
      </c>
      <c r="H72" s="367">
        <v>27826</v>
      </c>
      <c r="I72" s="367">
        <v>28345</v>
      </c>
      <c r="J72" s="367">
        <v>28690</v>
      </c>
      <c r="K72" s="367">
        <v>29308</v>
      </c>
      <c r="L72" s="367">
        <v>30053</v>
      </c>
      <c r="M72" s="367">
        <v>30576</v>
      </c>
      <c r="N72" s="367">
        <v>30790</v>
      </c>
      <c r="O72" s="367">
        <v>31085</v>
      </c>
      <c r="P72" s="367">
        <v>31137</v>
      </c>
      <c r="Q72" s="367">
        <v>31147</v>
      </c>
      <c r="R72" s="367">
        <v>31017</v>
      </c>
      <c r="S72" s="611">
        <v>30974</v>
      </c>
      <c r="T72" s="748">
        <v>31025</v>
      </c>
      <c r="U72" s="748">
        <v>31183</v>
      </c>
      <c r="V72" s="748">
        <v>31285</v>
      </c>
      <c r="W72" s="892">
        <v>31794</v>
      </c>
      <c r="X72" s="742"/>
      <c r="Y72" s="742"/>
      <c r="Z72" s="367" t="s">
        <v>63</v>
      </c>
      <c r="AA72" s="367">
        <v>417917</v>
      </c>
      <c r="AB72" s="367">
        <v>440236</v>
      </c>
      <c r="AC72" s="367">
        <v>453059</v>
      </c>
      <c r="AD72" s="367">
        <v>460585</v>
      </c>
      <c r="AE72" s="367">
        <v>495871</v>
      </c>
      <c r="AF72" s="367">
        <v>527961</v>
      </c>
      <c r="AG72" s="367">
        <v>539921</v>
      </c>
      <c r="AH72" s="367">
        <v>570942</v>
      </c>
      <c r="AI72" s="367">
        <v>629324</v>
      </c>
      <c r="AJ72" s="367">
        <v>672743</v>
      </c>
      <c r="AK72" s="367">
        <v>706026</v>
      </c>
      <c r="AL72" s="367">
        <v>748188</v>
      </c>
      <c r="AM72" s="367">
        <v>798868</v>
      </c>
      <c r="AN72" s="367">
        <v>793154</v>
      </c>
      <c r="AO72" s="367">
        <v>809352</v>
      </c>
      <c r="AP72" s="367">
        <v>840554</v>
      </c>
      <c r="AQ72" s="415">
        <v>869738</v>
      </c>
      <c r="AR72" s="8">
        <v>914444</v>
      </c>
      <c r="AS72" s="684">
        <v>933979</v>
      </c>
      <c r="AT72" s="684">
        <v>948260</v>
      </c>
      <c r="AU72" s="683">
        <v>955002</v>
      </c>
      <c r="AV72" s="8">
        <v>1015451</v>
      </c>
      <c r="AW72" s="684"/>
      <c r="AX72" s="683"/>
      <c r="AY72" s="367" t="s">
        <v>63</v>
      </c>
      <c r="AZ72" s="39">
        <f t="shared" si="22"/>
        <v>16210.899922420482</v>
      </c>
      <c r="BA72" s="39">
        <f t="shared" si="23"/>
        <v>16867.925974175258</v>
      </c>
      <c r="BB72" s="39">
        <f t="shared" si="24"/>
        <v>17155.477299405506</v>
      </c>
      <c r="BC72" s="39">
        <f t="shared" si="25"/>
        <v>17245.853147114987</v>
      </c>
      <c r="BD72" s="39">
        <f t="shared" si="26"/>
        <v>18366.272824919441</v>
      </c>
      <c r="BE72" s="39">
        <f t="shared" si="27"/>
        <v>19253.893001714016</v>
      </c>
      <c r="BF72" s="39">
        <f t="shared" si="28"/>
        <v>19403.471573348666</v>
      </c>
      <c r="BG72" s="39">
        <f t="shared" si="29"/>
        <v>20142.600105838774</v>
      </c>
      <c r="BH72" s="39">
        <f t="shared" si="30"/>
        <v>21935.308469850119</v>
      </c>
      <c r="BI72" s="39">
        <f t="shared" si="31"/>
        <v>22954.244574860106</v>
      </c>
      <c r="BJ72" s="39">
        <f t="shared" si="32"/>
        <v>23492.696236648586</v>
      </c>
      <c r="BK72" s="39">
        <f t="shared" si="33"/>
        <v>24469.780219780219</v>
      </c>
      <c r="BL72" s="39">
        <f t="shared" si="34"/>
        <v>25945.696654758038</v>
      </c>
      <c r="BM72" s="39">
        <f t="shared" si="35"/>
        <v>25515.650635354672</v>
      </c>
      <c r="BN72" s="39">
        <f t="shared" si="36"/>
        <v>25993.255612294055</v>
      </c>
      <c r="BO72" s="39">
        <f t="shared" si="37"/>
        <v>26986.676084374096</v>
      </c>
      <c r="BP72" s="39">
        <f t="shared" si="38"/>
        <v>28040.687364993391</v>
      </c>
      <c r="BQ72" s="39">
        <f t="shared" si="39"/>
        <v>29522.954736230386</v>
      </c>
      <c r="BR72" s="39">
        <f t="shared" si="40"/>
        <v>30104.077356970189</v>
      </c>
      <c r="BS72" s="39">
        <f t="shared" si="41"/>
        <v>30409.518006606162</v>
      </c>
      <c r="BT72" s="39">
        <f t="shared" si="42"/>
        <v>30525.875019977626</v>
      </c>
      <c r="BU72" s="39">
        <f t="shared" si="43"/>
        <v>31938.447505818709</v>
      </c>
      <c r="BW72" s="367" t="s">
        <v>63</v>
      </c>
      <c r="BX72" s="39">
        <f>(AZ72/CPINormalized[1996])*100</f>
        <v>16210.899922420482</v>
      </c>
      <c r="BY72" s="39">
        <f>(BA72/CPINormalized[1997])*100</f>
        <v>16489.579971016185</v>
      </c>
      <c r="BZ72" s="39">
        <f>(BB72/CPINormalized[1998])*100</f>
        <v>16513.462504765179</v>
      </c>
      <c r="CA72" s="39">
        <f>(BC72/CPINormalized[1999])*100</f>
        <v>16241.742849833983</v>
      </c>
      <c r="CB72" s="39">
        <f>(BD72/CPINormalized[2000])*100</f>
        <v>16734.426284726254</v>
      </c>
      <c r="CC72" s="39">
        <f>(BE72/CPINormalized[2001])*100</f>
        <v>17057.796792597004</v>
      </c>
      <c r="CD72" s="39">
        <f>(BF72/CPINormalized[2002])*100</f>
        <v>16922.760921947782</v>
      </c>
      <c r="CE72" s="39">
        <f>(BG72/CPINormalized[2003])*100</f>
        <v>17175.945416337519</v>
      </c>
      <c r="CF72" s="39">
        <f>(BH72/CPINormalized[2004])*100</f>
        <v>18219.42773382469</v>
      </c>
      <c r="CG72" s="39">
        <f>(BI72/CPINormalized[2005])*100</f>
        <v>18440.967607760114</v>
      </c>
      <c r="CH72" s="39">
        <f>(BJ72/CPINormalized[2006])*100</f>
        <v>18283.750196082157</v>
      </c>
      <c r="CI72" s="39">
        <f>(BK72/CPINormalized[2007])*100</f>
        <v>18516.791178263527</v>
      </c>
      <c r="CJ72" s="39">
        <f>(BL72/CPINormalized[2008])*100</f>
        <v>18907.678040396728</v>
      </c>
      <c r="CK72" s="39">
        <f>(BM72/CPINormalized[2009])*100</f>
        <v>18660.676641731487</v>
      </c>
      <c r="CL72" s="39">
        <f>(BN72/CPINormalized[2010])*100</f>
        <v>18703.185445798037</v>
      </c>
      <c r="CM72" s="39">
        <f>(BO72/CPINormalized[2011])*100</f>
        <v>18823.812134126565</v>
      </c>
      <c r="CN72" s="39">
        <f>(BP72/CPINormalized[2012])*100</f>
        <v>19162.451316530321</v>
      </c>
      <c r="CO72" s="39">
        <f>(BQ72/CPINormalized[2013])*100</f>
        <v>19884.148568682409</v>
      </c>
      <c r="CP72" s="39">
        <f>(BR72/CPINormalized[2014])*100</f>
        <v>19951.886224776223</v>
      </c>
      <c r="CQ72" s="39">
        <f>(BS72/CPINormalized[2015])*100</f>
        <v>20130.426826921728</v>
      </c>
      <c r="CR72" s="39">
        <f>(BT72/CPINormalized[2016])*100</f>
        <v>19955.70875280508</v>
      </c>
      <c r="CS72" s="39">
        <f>(BU72/CPINormalized[2017])*100</f>
        <v>20443.629298559707</v>
      </c>
    </row>
    <row r="73" spans="1:97">
      <c r="A73" s="319" t="s">
        <v>64</v>
      </c>
      <c r="B73" s="367">
        <v>37618</v>
      </c>
      <c r="C73" s="367">
        <v>38365</v>
      </c>
      <c r="D73" s="367">
        <v>39961</v>
      </c>
      <c r="E73" s="367">
        <v>38967</v>
      </c>
      <c r="F73" s="367">
        <v>41957</v>
      </c>
      <c r="G73" s="367">
        <v>43558</v>
      </c>
      <c r="H73" s="367">
        <v>44535</v>
      </c>
      <c r="I73" s="367">
        <v>44507</v>
      </c>
      <c r="J73" s="367">
        <v>45301</v>
      </c>
      <c r="K73" s="367">
        <v>45570</v>
      </c>
      <c r="L73" s="367">
        <v>46482</v>
      </c>
      <c r="M73" s="367">
        <v>47357</v>
      </c>
      <c r="N73" s="367">
        <v>48300</v>
      </c>
      <c r="O73" s="367">
        <v>50630</v>
      </c>
      <c r="P73" s="367">
        <v>52827</v>
      </c>
      <c r="Q73" s="367">
        <v>53082</v>
      </c>
      <c r="R73" s="367">
        <v>53259</v>
      </c>
      <c r="S73" s="611">
        <v>53748</v>
      </c>
      <c r="T73" s="748">
        <v>53505</v>
      </c>
      <c r="U73" s="748">
        <v>53156</v>
      </c>
      <c r="V73" s="748">
        <v>52654</v>
      </c>
      <c r="W73" s="892">
        <v>52059</v>
      </c>
      <c r="X73" s="742"/>
      <c r="Y73" s="742"/>
      <c r="Z73" s="367" t="s">
        <v>64</v>
      </c>
      <c r="AA73" s="367">
        <v>751140</v>
      </c>
      <c r="AB73" s="367">
        <v>778695</v>
      </c>
      <c r="AC73" s="367">
        <v>790200</v>
      </c>
      <c r="AD73" s="367">
        <v>865359</v>
      </c>
      <c r="AE73" s="367">
        <v>1016870</v>
      </c>
      <c r="AF73" s="367">
        <v>1035569</v>
      </c>
      <c r="AG73" s="367">
        <v>1122140</v>
      </c>
      <c r="AH73" s="367">
        <v>1222379</v>
      </c>
      <c r="AI73" s="367">
        <v>1298243</v>
      </c>
      <c r="AJ73" s="367">
        <v>1417961</v>
      </c>
      <c r="AK73" s="367">
        <v>1560395</v>
      </c>
      <c r="AL73" s="367">
        <v>1688113</v>
      </c>
      <c r="AM73" s="367">
        <v>1865538</v>
      </c>
      <c r="AN73" s="367">
        <v>2008255</v>
      </c>
      <c r="AO73" s="367">
        <v>2062551</v>
      </c>
      <c r="AP73" s="367">
        <v>2149344</v>
      </c>
      <c r="AQ73" s="415">
        <v>2121191</v>
      </c>
      <c r="AR73" s="8">
        <v>2147332</v>
      </c>
      <c r="AS73" s="684">
        <v>2028441</v>
      </c>
      <c r="AT73" s="684">
        <v>2078652</v>
      </c>
      <c r="AU73" s="683">
        <v>2048007</v>
      </c>
      <c r="AV73" s="8">
        <v>2058543</v>
      </c>
      <c r="AW73" s="684"/>
      <c r="AX73" s="683"/>
      <c r="AY73" s="367" t="s">
        <v>64</v>
      </c>
      <c r="AZ73" s="39">
        <f t="shared" ref="AZ73:AZ97" si="44">(AA73/B73)*1000</f>
        <v>19967.568717103513</v>
      </c>
      <c r="BA73" s="39">
        <f t="shared" ref="BA73:BA97" si="45">(AB73/C73)*1000</f>
        <v>20297.015508927409</v>
      </c>
      <c r="BB73" s="39">
        <f t="shared" ref="BB73:BB97" si="46">(AC73/D73)*1000</f>
        <v>19774.279922924852</v>
      </c>
      <c r="BC73" s="39">
        <f t="shared" ref="BC73:BC97" si="47">(AD73/E73)*1000</f>
        <v>22207.483255061976</v>
      </c>
      <c r="BD73" s="39">
        <f t="shared" ref="BD73:BD97" si="48">(AE73/F73)*1000</f>
        <v>24236.003527420929</v>
      </c>
      <c r="BE73" s="39">
        <f t="shared" ref="BE73:BE97" si="49">(AF73/G73)*1000</f>
        <v>23774.484595252306</v>
      </c>
      <c r="BF73" s="39">
        <f t="shared" ref="BF73:BF97" si="50">(AG73/H73)*1000</f>
        <v>25196.811496575727</v>
      </c>
      <c r="BG73" s="39">
        <f t="shared" ref="BG73:BG97" si="51">(AH73/I73)*1000</f>
        <v>27464.870694497495</v>
      </c>
      <c r="BH73" s="39">
        <f t="shared" ref="BH73:BH97" si="52">(AI73/J73)*1000</f>
        <v>28658.153241650292</v>
      </c>
      <c r="BI73" s="39">
        <f t="shared" ref="BI73:BI97" si="53">(AJ73/K73)*1000</f>
        <v>31116.10708799649</v>
      </c>
      <c r="BJ73" s="39">
        <f t="shared" ref="BJ73:BJ97" si="54">(AK73/L73)*1000</f>
        <v>33569.876511337723</v>
      </c>
      <c r="BK73" s="39">
        <f t="shared" ref="BK73:BK97" si="55">(AL73/M73)*1000</f>
        <v>35646.535886986087</v>
      </c>
      <c r="BL73" s="39">
        <f t="shared" ref="BL73:BL97" si="56">(AM73/N73)*1000</f>
        <v>38623.975155279506</v>
      </c>
      <c r="BM73" s="39">
        <f t="shared" ref="BM73:BM97" si="57">(AN73/O73)*1000</f>
        <v>39665.317005727826</v>
      </c>
      <c r="BN73" s="39">
        <f t="shared" ref="BN73:BN97" si="58">(AO73/P73)*1000</f>
        <v>39043.500482707706</v>
      </c>
      <c r="BO73" s="39">
        <f t="shared" ref="BO73:BO97" si="59">(AP73/Q73)*1000</f>
        <v>40491.013903017971</v>
      </c>
      <c r="BP73" s="39">
        <f t="shared" ref="BP73:BP97" si="60">(AQ73/R73)*1000</f>
        <v>39827.841303817193</v>
      </c>
      <c r="BQ73" s="39">
        <f t="shared" ref="BQ73:BQ97" si="61">(AR73/S73)*1000</f>
        <v>39951.849371139389</v>
      </c>
      <c r="BR73" s="39">
        <f t="shared" ref="BR73:BR97" si="62">(AS73/T73)*1000</f>
        <v>37911.24194000561</v>
      </c>
      <c r="BS73" s="39">
        <f t="shared" ref="BS73:BS97" si="63">(AT73/U73)*1000</f>
        <v>39104.748288057788</v>
      </c>
      <c r="BT73" s="39">
        <f t="shared" ref="BT73:BT97" si="64">(AU73/V73)*1000</f>
        <v>38895.563489953282</v>
      </c>
      <c r="BU73" s="39">
        <f t="shared" ref="BU73:BU97" si="65">(AV73/W73)*1000</f>
        <v>39542.499855932692</v>
      </c>
      <c r="BW73" s="367" t="s">
        <v>64</v>
      </c>
      <c r="BX73" s="39">
        <f>(AZ73/CPINormalized[1996])*100</f>
        <v>19967.568717103513</v>
      </c>
      <c r="BY73" s="39">
        <f>(BA73/CPINormalized[1997])*100</f>
        <v>19841.755347979502</v>
      </c>
      <c r="BZ73" s="39">
        <f>(BB73/CPINormalized[1998])*100</f>
        <v>19034.2608583246</v>
      </c>
      <c r="CA73" s="39">
        <f>(BC73/CPINormalized[1999])*100</f>
        <v>20914.490532528354</v>
      </c>
      <c r="CB73" s="39">
        <f>(BD73/CPINormalized[2000])*100</f>
        <v>22082.630391709317</v>
      </c>
      <c r="CC73" s="39">
        <f>(BE73/CPINormalized[2001])*100</f>
        <v>21062.770372643066</v>
      </c>
      <c r="CD73" s="39">
        <f>(BF73/CPINormalized[2002])*100</f>
        <v>21975.429259659431</v>
      </c>
      <c r="CE73" s="39">
        <f>(BG73/CPINormalized[2003])*100</f>
        <v>23419.772891123135</v>
      </c>
      <c r="CF73" s="39">
        <f>(BH73/CPINormalized[2004])*100</f>
        <v>23803.410500873113</v>
      </c>
      <c r="CG73" s="39">
        <f>(BI73/CPINormalized[2005])*100</f>
        <v>24998.039949342801</v>
      </c>
      <c r="CH73" s="39">
        <f>(BJ73/CPINormalized[2006])*100</f>
        <v>26126.555677722659</v>
      </c>
      <c r="CI73" s="39">
        <f>(BK73/CPINormalized[2007])*100</f>
        <v>26974.474446412773</v>
      </c>
      <c r="CJ73" s="39">
        <f>(BL73/CPINormalized[2008])*100</f>
        <v>28146.852119400824</v>
      </c>
      <c r="CK73" s="39">
        <f>(BM73/CPINormalized[2009])*100</f>
        <v>29008.927309502302</v>
      </c>
      <c r="CL73" s="39">
        <f>(BN73/CPINormalized[2010])*100</f>
        <v>28093.357787618039</v>
      </c>
      <c r="CM73" s="39">
        <f>(BO73/CPINormalized[2011])*100</f>
        <v>28243.390792097056</v>
      </c>
      <c r="CN73" s="39">
        <f>(BP73/CPINormalized[2012])*100</f>
        <v>27217.559259252932</v>
      </c>
      <c r="CO73" s="39">
        <f>(BQ73/CPINormalized[2013])*100</f>
        <v>26908.164023110578</v>
      </c>
      <c r="CP73" s="39">
        <f>(BR73/CPINormalized[2014])*100</f>
        <v>25126.190610582598</v>
      </c>
      <c r="CQ73" s="39">
        <f>(BS73/CPINormalized[2015])*100</f>
        <v>25886.476524452963</v>
      </c>
      <c r="CR73" s="39">
        <f>(BT73/CPINormalized[2016])*100</f>
        <v>25427.233003927675</v>
      </c>
      <c r="CS73" s="39">
        <f>(BU73/CPINormalized[2017])*100</f>
        <v>25310.942507326366</v>
      </c>
    </row>
    <row r="74" spans="1:97">
      <c r="A74" s="319" t="s">
        <v>65</v>
      </c>
      <c r="B74" s="367">
        <v>5218</v>
      </c>
      <c r="C74" s="367">
        <v>5149</v>
      </c>
      <c r="D74" s="367">
        <v>5120</v>
      </c>
      <c r="E74" s="367">
        <v>5153</v>
      </c>
      <c r="F74" s="367">
        <v>5231</v>
      </c>
      <c r="G74" s="367">
        <v>5203</v>
      </c>
      <c r="H74" s="367">
        <v>5180</v>
      </c>
      <c r="I74" s="367">
        <v>5161</v>
      </c>
      <c r="J74" s="367">
        <v>5131</v>
      </c>
      <c r="K74" s="367">
        <v>5153</v>
      </c>
      <c r="L74" s="367">
        <v>5167</v>
      </c>
      <c r="M74" s="367">
        <v>5047</v>
      </c>
      <c r="N74" s="367">
        <v>5028</v>
      </c>
      <c r="O74" s="367">
        <v>4988</v>
      </c>
      <c r="P74" s="367">
        <v>4971</v>
      </c>
      <c r="Q74" s="367">
        <v>4962</v>
      </c>
      <c r="R74" s="367">
        <v>4931</v>
      </c>
      <c r="S74" s="611">
        <v>4875</v>
      </c>
      <c r="T74" s="748">
        <v>4844</v>
      </c>
      <c r="U74" s="748">
        <v>4863</v>
      </c>
      <c r="V74" s="748">
        <v>4853</v>
      </c>
      <c r="W74" s="892">
        <v>4811</v>
      </c>
      <c r="X74" s="742"/>
      <c r="Y74" s="742"/>
      <c r="Z74" s="367" t="s">
        <v>65</v>
      </c>
      <c r="AA74" s="367">
        <v>77580</v>
      </c>
      <c r="AB74" s="367">
        <v>84498</v>
      </c>
      <c r="AC74" s="367">
        <v>83628</v>
      </c>
      <c r="AD74" s="367">
        <v>85002</v>
      </c>
      <c r="AE74" s="367">
        <v>93351</v>
      </c>
      <c r="AF74" s="367">
        <v>99335</v>
      </c>
      <c r="AG74" s="367">
        <v>93744</v>
      </c>
      <c r="AH74" s="367">
        <v>99573</v>
      </c>
      <c r="AI74" s="367">
        <v>116959</v>
      </c>
      <c r="AJ74" s="367">
        <v>116955</v>
      </c>
      <c r="AK74" s="367">
        <v>123068</v>
      </c>
      <c r="AL74" s="367">
        <v>130700</v>
      </c>
      <c r="AM74" s="367">
        <v>136571</v>
      </c>
      <c r="AN74" s="367">
        <v>133850</v>
      </c>
      <c r="AO74" s="367">
        <v>132561</v>
      </c>
      <c r="AP74" s="367">
        <v>145371</v>
      </c>
      <c r="AQ74" s="415">
        <v>142476</v>
      </c>
      <c r="AR74" s="8">
        <v>158232</v>
      </c>
      <c r="AS74" s="684">
        <v>184927</v>
      </c>
      <c r="AT74" s="684">
        <v>168348</v>
      </c>
      <c r="AU74" s="683">
        <v>156658</v>
      </c>
      <c r="AV74" s="8">
        <v>166908</v>
      </c>
      <c r="AW74" s="684"/>
      <c r="AX74" s="683"/>
      <c r="AY74" s="367" t="s">
        <v>65</v>
      </c>
      <c r="AZ74" s="39">
        <f t="shared" si="44"/>
        <v>14867.765427366807</v>
      </c>
      <c r="BA74" s="39">
        <f t="shared" si="45"/>
        <v>16410.565158283163</v>
      </c>
      <c r="BB74" s="39">
        <f t="shared" si="46"/>
        <v>16333.593749999998</v>
      </c>
      <c r="BC74" s="39">
        <f t="shared" si="47"/>
        <v>16495.633611488454</v>
      </c>
      <c r="BD74" s="39">
        <f t="shared" si="48"/>
        <v>17845.727394379661</v>
      </c>
      <c r="BE74" s="39">
        <f t="shared" si="49"/>
        <v>19091.870074956754</v>
      </c>
      <c r="BF74" s="39">
        <f t="shared" si="50"/>
        <v>18097.2972972973</v>
      </c>
      <c r="BG74" s="39">
        <f t="shared" si="51"/>
        <v>19293.354001162566</v>
      </c>
      <c r="BH74" s="39">
        <f t="shared" si="52"/>
        <v>22794.581952835706</v>
      </c>
      <c r="BI74" s="39">
        <f t="shared" si="53"/>
        <v>22696.487483019599</v>
      </c>
      <c r="BJ74" s="39">
        <f t="shared" si="54"/>
        <v>23818.076253144958</v>
      </c>
      <c r="BK74" s="39">
        <f t="shared" si="55"/>
        <v>25896.57222112146</v>
      </c>
      <c r="BL74" s="39">
        <f t="shared" si="56"/>
        <v>27162.092283214002</v>
      </c>
      <c r="BM74" s="39">
        <f t="shared" si="57"/>
        <v>26834.402566158784</v>
      </c>
      <c r="BN74" s="39">
        <f t="shared" si="58"/>
        <v>26666.867833433917</v>
      </c>
      <c r="BO74" s="39">
        <f t="shared" si="59"/>
        <v>29296.856106408708</v>
      </c>
      <c r="BP74" s="39">
        <f t="shared" si="60"/>
        <v>28893.936321233017</v>
      </c>
      <c r="BQ74" s="39">
        <f t="shared" si="61"/>
        <v>32457.846153846156</v>
      </c>
      <c r="BR74" s="39">
        <f t="shared" si="62"/>
        <v>38176.507018992568</v>
      </c>
      <c r="BS74" s="39">
        <f t="shared" si="63"/>
        <v>34618.136952498462</v>
      </c>
      <c r="BT74" s="39">
        <f t="shared" si="64"/>
        <v>32280.651143622501</v>
      </c>
      <c r="BU74" s="39">
        <f t="shared" si="65"/>
        <v>34692.995219289129</v>
      </c>
      <c r="BW74" s="367" t="s">
        <v>65</v>
      </c>
      <c r="BX74" s="39">
        <f>(AZ74/CPINormalized[1996])*100</f>
        <v>14867.765427366805</v>
      </c>
      <c r="BY74" s="39">
        <f>(BA74/CPINormalized[1997])*100</f>
        <v>16042.477715480549</v>
      </c>
      <c r="BZ74" s="39">
        <f>(BB74/CPINormalized[1998])*100</f>
        <v>15722.336560582824</v>
      </c>
      <c r="CA74" s="39">
        <f>(BC74/CPINormalized[1999])*100</f>
        <v>15535.203563280544</v>
      </c>
      <c r="CB74" s="39">
        <f>(BD74/CPINormalized[2000])*100</f>
        <v>16260.13140637729</v>
      </c>
      <c r="CC74" s="39">
        <f>(BE74/CPINormalized[2001])*100</f>
        <v>16914.254177079136</v>
      </c>
      <c r="CD74" s="39">
        <f>(BF74/CPINormalized[2002])*100</f>
        <v>15783.579466069741</v>
      </c>
      <c r="CE74" s="39">
        <f>(BG74/CPINormalized[2003])*100</f>
        <v>16451.778493382644</v>
      </c>
      <c r="CF74" s="39">
        <f>(BH74/CPINormalized[2004])*100</f>
        <v>18933.138742191226</v>
      </c>
      <c r="CG74" s="39">
        <f>(BI74/CPINormalized[2005])*100</f>
        <v>18233.890865774578</v>
      </c>
      <c r="CH74" s="39">
        <f>(BJ74/CPINormalized[2006])*100</f>
        <v>18536.984941063711</v>
      </c>
      <c r="CI74" s="39">
        <f>(BK74/CPINormalized[2007])*100</f>
        <v>19596.474334644969</v>
      </c>
      <c r="CJ74" s="39">
        <f>(BL74/CPINormalized[2008])*100</f>
        <v>19794.114709206457</v>
      </c>
      <c r="CK74" s="39">
        <f>(BM74/CPINormalized[2009])*100</f>
        <v>19625.135816340833</v>
      </c>
      <c r="CL74" s="39">
        <f>(BN74/CPINormalized[2010])*100</f>
        <v>19187.876339407223</v>
      </c>
      <c r="CM74" s="39">
        <f>(BO74/CPINormalized[2011])*100</f>
        <v>20435.214538588356</v>
      </c>
      <c r="CN74" s="39">
        <f>(BP74/CPINormalized[2012])*100</f>
        <v>19745.544782535522</v>
      </c>
      <c r="CO74" s="39">
        <f>(BQ74/CPINormalized[2013])*100</f>
        <v>21860.841535298197</v>
      </c>
      <c r="CP74" s="39">
        <f>(BR74/CPINormalized[2014])*100</f>
        <v>25301.998645241685</v>
      </c>
      <c r="CQ74" s="39">
        <f>(BS74/CPINormalized[2015])*100</f>
        <v>22916.439275862107</v>
      </c>
      <c r="CR74" s="39">
        <f>(BT74/CPINormalized[2016])*100</f>
        <v>21102.86018505448</v>
      </c>
      <c r="CS74" s="39">
        <f>(BU74/CPINormalized[2017])*100</f>
        <v>22206.800546289425</v>
      </c>
    </row>
    <row r="75" spans="1:97">
      <c r="A75" s="319" t="s">
        <v>66</v>
      </c>
      <c r="B75" s="367">
        <v>9030</v>
      </c>
      <c r="C75" s="367">
        <v>9049</v>
      </c>
      <c r="D75" s="367">
        <v>9201</v>
      </c>
      <c r="E75" s="367">
        <v>9494</v>
      </c>
      <c r="F75" s="367">
        <v>9669</v>
      </c>
      <c r="G75" s="367">
        <v>9704</v>
      </c>
      <c r="H75" s="367">
        <v>9755</v>
      </c>
      <c r="I75" s="367">
        <v>9755</v>
      </c>
      <c r="J75" s="367">
        <v>9792</v>
      </c>
      <c r="K75" s="367">
        <v>9998</v>
      </c>
      <c r="L75" s="367">
        <v>10092</v>
      </c>
      <c r="M75" s="367">
        <v>10148</v>
      </c>
      <c r="N75" s="367">
        <v>10117</v>
      </c>
      <c r="O75" s="367">
        <v>10109</v>
      </c>
      <c r="P75" s="367">
        <v>10183</v>
      </c>
      <c r="Q75" s="367">
        <v>10306</v>
      </c>
      <c r="R75" s="367">
        <v>10277</v>
      </c>
      <c r="S75" s="611">
        <v>10192</v>
      </c>
      <c r="T75" s="748">
        <v>10278</v>
      </c>
      <c r="U75" s="748">
        <v>10177</v>
      </c>
      <c r="V75" s="748">
        <v>10224</v>
      </c>
      <c r="W75" s="892">
        <v>10224</v>
      </c>
      <c r="X75" s="742"/>
      <c r="Y75" s="742"/>
      <c r="Z75" s="367" t="s">
        <v>66</v>
      </c>
      <c r="AA75" s="367">
        <v>191943</v>
      </c>
      <c r="AB75" s="367">
        <v>201830</v>
      </c>
      <c r="AC75" s="367">
        <v>202283</v>
      </c>
      <c r="AD75" s="367">
        <v>201750</v>
      </c>
      <c r="AE75" s="367">
        <v>229857</v>
      </c>
      <c r="AF75" s="367">
        <v>234528</v>
      </c>
      <c r="AG75" s="367">
        <v>225371</v>
      </c>
      <c r="AH75" s="367">
        <v>239059</v>
      </c>
      <c r="AI75" s="367">
        <v>275903</v>
      </c>
      <c r="AJ75" s="367">
        <v>257529</v>
      </c>
      <c r="AK75" s="367">
        <v>282625</v>
      </c>
      <c r="AL75" s="367">
        <v>303965</v>
      </c>
      <c r="AM75" s="367">
        <v>323822</v>
      </c>
      <c r="AN75" s="367">
        <v>328934</v>
      </c>
      <c r="AO75" s="367">
        <v>345105</v>
      </c>
      <c r="AP75" s="367">
        <v>351974</v>
      </c>
      <c r="AQ75" s="415">
        <v>351182</v>
      </c>
      <c r="AR75" s="8">
        <v>404580</v>
      </c>
      <c r="AS75" s="684">
        <v>386684</v>
      </c>
      <c r="AT75" s="684">
        <v>364333</v>
      </c>
      <c r="AU75" s="683">
        <v>389870</v>
      </c>
      <c r="AV75" s="8">
        <v>411205</v>
      </c>
      <c r="AW75" s="684"/>
      <c r="AX75" s="683"/>
      <c r="AY75" s="367" t="s">
        <v>66</v>
      </c>
      <c r="AZ75" s="39">
        <f t="shared" si="44"/>
        <v>21256.146179401996</v>
      </c>
      <c r="BA75" s="39">
        <f t="shared" si="45"/>
        <v>22304.122002431206</v>
      </c>
      <c r="BB75" s="39">
        <f t="shared" si="46"/>
        <v>21984.892946418866</v>
      </c>
      <c r="BC75" s="39">
        <f t="shared" si="47"/>
        <v>21250.26332420476</v>
      </c>
      <c r="BD75" s="39">
        <f t="shared" si="48"/>
        <v>23772.572137759853</v>
      </c>
      <c r="BE75" s="39">
        <f t="shared" si="49"/>
        <v>24168.178070898597</v>
      </c>
      <c r="BF75" s="39">
        <f t="shared" si="50"/>
        <v>23103.126601742693</v>
      </c>
      <c r="BG75" s="39">
        <f t="shared" si="51"/>
        <v>24506.304459251667</v>
      </c>
      <c r="BH75" s="39">
        <f t="shared" si="52"/>
        <v>28176.368464052288</v>
      </c>
      <c r="BI75" s="39">
        <f t="shared" si="53"/>
        <v>25758.051610322062</v>
      </c>
      <c r="BJ75" s="39">
        <f t="shared" si="54"/>
        <v>28004.855330955212</v>
      </c>
      <c r="BK75" s="39">
        <f t="shared" si="55"/>
        <v>29953.192747339377</v>
      </c>
      <c r="BL75" s="39">
        <f t="shared" si="56"/>
        <v>32007.709795393894</v>
      </c>
      <c r="BM75" s="39">
        <f t="shared" si="57"/>
        <v>32538.727866257788</v>
      </c>
      <c r="BN75" s="39">
        <f t="shared" si="58"/>
        <v>33890.307375036828</v>
      </c>
      <c r="BO75" s="39">
        <f t="shared" si="59"/>
        <v>34152.338443625071</v>
      </c>
      <c r="BP75" s="39">
        <f t="shared" si="60"/>
        <v>34171.645421815701</v>
      </c>
      <c r="BQ75" s="39">
        <f t="shared" si="61"/>
        <v>39695.839874411307</v>
      </c>
      <c r="BR75" s="39">
        <f t="shared" si="62"/>
        <v>37622.494648764354</v>
      </c>
      <c r="BS75" s="39">
        <f t="shared" si="63"/>
        <v>35799.646261177164</v>
      </c>
      <c r="BT75" s="39">
        <f t="shared" si="64"/>
        <v>38132.82472613459</v>
      </c>
      <c r="BU75" s="39">
        <f t="shared" si="65"/>
        <v>40219.581377151801</v>
      </c>
      <c r="BW75" s="367" t="s">
        <v>66</v>
      </c>
      <c r="BX75" s="39">
        <f>(AZ75/CPINormalized[1996])*100</f>
        <v>21256.146179401996</v>
      </c>
      <c r="BY75" s="39">
        <f>(BA75/CPINormalized[1997])*100</f>
        <v>21803.842630414056</v>
      </c>
      <c r="BZ75" s="39">
        <f>(BB75/CPINormalized[1998])*100</f>
        <v>21162.145418976201</v>
      </c>
      <c r="CA75" s="39">
        <f>(BC75/CPINormalized[1999])*100</f>
        <v>20013.00309464422</v>
      </c>
      <c r="CB75" s="39">
        <f>(BD75/CPINormalized[2000])*100</f>
        <v>21660.374961756803</v>
      </c>
      <c r="CC75" s="39">
        <f>(BE75/CPINormalized[2001])*100</f>
        <v>21411.559228255166</v>
      </c>
      <c r="CD75" s="39">
        <f>(BF75/CPINormalized[2002])*100</f>
        <v>20149.41947645041</v>
      </c>
      <c r="CE75" s="39">
        <f>(BG75/CPINormalized[2003])*100</f>
        <v>20896.952009003187</v>
      </c>
      <c r="CF75" s="39">
        <f>(BH75/CPINormalized[2004])*100</f>
        <v>23403.2409317618</v>
      </c>
      <c r="CG75" s="39">
        <f>(BI75/CPINormalized[2005])*100</f>
        <v>20693.488467278705</v>
      </c>
      <c r="CH75" s="39">
        <f>(BJ75/CPINormalized[2006])*100</f>
        <v>21795.445443585679</v>
      </c>
      <c r="CI75" s="39">
        <f>(BK75/CPINormalized[2007])*100</f>
        <v>22666.203384058936</v>
      </c>
      <c r="CJ75" s="39">
        <f>(BL75/CPINormalized[2008])*100</f>
        <v>23325.312080636606</v>
      </c>
      <c r="CK75" s="39">
        <f>(BM75/CPINormalized[2009])*100</f>
        <v>23796.950652875013</v>
      </c>
      <c r="CL75" s="39">
        <f>(BN75/CPINormalized[2010])*100</f>
        <v>24385.429555450337</v>
      </c>
      <c r="CM75" s="39">
        <f>(BO75/CPINormalized[2011])*100</f>
        <v>23822.02242298923</v>
      </c>
      <c r="CN75" s="39">
        <f>(BP75/CPINormalized[2012])*100</f>
        <v>23352.22682945932</v>
      </c>
      <c r="CO75" s="39">
        <f>(BQ75/CPINormalized[2013])*100</f>
        <v>26735.737824126922</v>
      </c>
      <c r="CP75" s="39">
        <f>(BR75/CPINormalized[2014])*100</f>
        <v>24934.819420751926</v>
      </c>
      <c r="CQ75" s="39">
        <f>(BS75/CPINormalized[2015])*100</f>
        <v>23698.572247470423</v>
      </c>
      <c r="CR75" s="39">
        <f>(BT75/CPINormalized[2016])*100</f>
        <v>24928.607080337308</v>
      </c>
      <c r="CS75" s="39">
        <f>(BU75/CPINormalized[2017])*100</f>
        <v>25744.338764993136</v>
      </c>
    </row>
    <row r="76" spans="1:97">
      <c r="A76" s="319" t="s">
        <v>67</v>
      </c>
      <c r="B76" s="367">
        <v>24630</v>
      </c>
      <c r="C76" s="367">
        <v>24532</v>
      </c>
      <c r="D76" s="367">
        <v>24610</v>
      </c>
      <c r="E76" s="367">
        <v>24640</v>
      </c>
      <c r="F76" s="367">
        <v>24660</v>
      </c>
      <c r="G76" s="367">
        <v>24679</v>
      </c>
      <c r="H76" s="367">
        <v>24701</v>
      </c>
      <c r="I76" s="367">
        <v>25010</v>
      </c>
      <c r="J76" s="367">
        <v>25211</v>
      </c>
      <c r="K76" s="367">
        <v>25451</v>
      </c>
      <c r="L76" s="367">
        <v>25480</v>
      </c>
      <c r="M76" s="367">
        <v>25597</v>
      </c>
      <c r="N76" s="367">
        <v>25597</v>
      </c>
      <c r="O76" s="367">
        <v>25364</v>
      </c>
      <c r="P76" s="367">
        <v>25431</v>
      </c>
      <c r="Q76" s="367">
        <v>25218</v>
      </c>
      <c r="R76" s="367">
        <v>25330</v>
      </c>
      <c r="S76" s="611">
        <v>24940</v>
      </c>
      <c r="T76" s="748">
        <v>25071</v>
      </c>
      <c r="U76" s="748">
        <v>25090</v>
      </c>
      <c r="V76" s="748">
        <v>24989</v>
      </c>
      <c r="W76" s="892">
        <v>24945</v>
      </c>
      <c r="X76" s="742"/>
      <c r="Y76" s="742"/>
      <c r="Z76" s="367" t="s">
        <v>67</v>
      </c>
      <c r="AA76" s="367">
        <v>418500</v>
      </c>
      <c r="AB76" s="367">
        <v>430579</v>
      </c>
      <c r="AC76" s="367">
        <v>463666</v>
      </c>
      <c r="AD76" s="367">
        <v>476651</v>
      </c>
      <c r="AE76" s="367">
        <v>510815</v>
      </c>
      <c r="AF76" s="367">
        <v>527456</v>
      </c>
      <c r="AG76" s="367">
        <v>551459</v>
      </c>
      <c r="AH76" s="367">
        <v>579582</v>
      </c>
      <c r="AI76" s="367">
        <v>625154</v>
      </c>
      <c r="AJ76" s="367">
        <v>635845</v>
      </c>
      <c r="AK76" s="367">
        <v>669155</v>
      </c>
      <c r="AL76" s="367">
        <v>707926</v>
      </c>
      <c r="AM76" s="367">
        <v>748885</v>
      </c>
      <c r="AN76" s="367">
        <v>752058</v>
      </c>
      <c r="AO76" s="367">
        <v>794704</v>
      </c>
      <c r="AP76" s="367">
        <v>827837</v>
      </c>
      <c r="AQ76" s="415">
        <v>861074</v>
      </c>
      <c r="AR76" s="8">
        <v>900022</v>
      </c>
      <c r="AS76" s="684">
        <v>880581</v>
      </c>
      <c r="AT76" s="684">
        <v>909957</v>
      </c>
      <c r="AU76" s="683">
        <v>917161</v>
      </c>
      <c r="AV76" s="8">
        <v>966020</v>
      </c>
      <c r="AW76" s="684"/>
      <c r="AX76" s="683"/>
      <c r="AY76" s="367" t="s">
        <v>67</v>
      </c>
      <c r="AZ76" s="39">
        <f t="shared" si="44"/>
        <v>16991.473812423872</v>
      </c>
      <c r="BA76" s="39">
        <f t="shared" si="45"/>
        <v>17551.728354801893</v>
      </c>
      <c r="BB76" s="39">
        <f t="shared" si="46"/>
        <v>18840.552620885821</v>
      </c>
      <c r="BC76" s="39">
        <f t="shared" si="47"/>
        <v>19344.602272727272</v>
      </c>
      <c r="BD76" s="39">
        <f t="shared" si="48"/>
        <v>20714.314679643147</v>
      </c>
      <c r="BE76" s="39">
        <f t="shared" si="49"/>
        <v>21372.665018841933</v>
      </c>
      <c r="BF76" s="39">
        <f t="shared" si="50"/>
        <v>22325.37144245172</v>
      </c>
      <c r="BG76" s="39">
        <f t="shared" si="51"/>
        <v>23174.010395841662</v>
      </c>
      <c r="BH76" s="39">
        <f t="shared" si="52"/>
        <v>24796.874380230849</v>
      </c>
      <c r="BI76" s="39">
        <f t="shared" si="53"/>
        <v>24983.104789595694</v>
      </c>
      <c r="BJ76" s="39">
        <f t="shared" si="54"/>
        <v>26261.970172684458</v>
      </c>
      <c r="BK76" s="39">
        <f t="shared" si="55"/>
        <v>27656.600382857367</v>
      </c>
      <c r="BL76" s="39">
        <f t="shared" si="56"/>
        <v>29256.748837754425</v>
      </c>
      <c r="BM76" s="39">
        <f t="shared" si="57"/>
        <v>29650.607159753981</v>
      </c>
      <c r="BN76" s="39">
        <f t="shared" si="58"/>
        <v>31249.419999213558</v>
      </c>
      <c r="BO76" s="39">
        <f t="shared" si="59"/>
        <v>32827.226584185904</v>
      </c>
      <c r="BP76" s="39">
        <f t="shared" si="60"/>
        <v>33994.236083695221</v>
      </c>
      <c r="BQ76" s="39">
        <f t="shared" si="61"/>
        <v>36087.489975942262</v>
      </c>
      <c r="BR76" s="39">
        <f t="shared" si="62"/>
        <v>35123.489290415222</v>
      </c>
      <c r="BS76" s="39">
        <f t="shared" si="63"/>
        <v>36267.716221602233</v>
      </c>
      <c r="BT76" s="39">
        <f t="shared" si="64"/>
        <v>36702.589139221258</v>
      </c>
      <c r="BU76" s="39">
        <f t="shared" si="65"/>
        <v>38725.997193826413</v>
      </c>
      <c r="BW76" s="367" t="s">
        <v>67</v>
      </c>
      <c r="BX76" s="39">
        <f>(AZ76/CPINormalized[1996])*100</f>
        <v>16991.473812423872</v>
      </c>
      <c r="BY76" s="39">
        <f>(BA76/CPINormalized[1997])*100</f>
        <v>17158.04472815213</v>
      </c>
      <c r="BZ76" s="39">
        <f>(BB76/CPINormalized[1998])*100</f>
        <v>18135.47672525758</v>
      </c>
      <c r="CA76" s="39">
        <f>(BC76/CPINormalized[1999])*100</f>
        <v>18218.295897904616</v>
      </c>
      <c r="CB76" s="39">
        <f>(BD76/CPINormalized[2000])*100</f>
        <v>18873.844211591233</v>
      </c>
      <c r="CC76" s="39">
        <f>(BE76/CPINormalized[2001])*100</f>
        <v>18934.901984507618</v>
      </c>
      <c r="CD76" s="39">
        <f>(BF76/CPINormalized[2002])*100</f>
        <v>19471.099384773068</v>
      </c>
      <c r="CE76" s="39">
        <f>(BG76/CPINormalized[2003])*100</f>
        <v>19760.88169080194</v>
      </c>
      <c r="CF76" s="39">
        <f>(BH76/CPINormalized[2004])*100</f>
        <v>20596.239228471255</v>
      </c>
      <c r="CG76" s="39">
        <f>(BI76/CPINormalized[2005])*100</f>
        <v>20070.912142793466</v>
      </c>
      <c r="CH76" s="39">
        <f>(BJ76/CPINormalized[2006])*100</f>
        <v>20439.003571895792</v>
      </c>
      <c r="CI76" s="39">
        <f>(BK76/CPINormalized[2007])*100</f>
        <v>20928.324218297887</v>
      </c>
      <c r="CJ76" s="39">
        <f>(BL76/CPINormalized[2008])*100</f>
        <v>21320.575619678639</v>
      </c>
      <c r="CK76" s="39">
        <f>(BM76/CPINormalized[2009])*100</f>
        <v>21684.745584050303</v>
      </c>
      <c r="CL76" s="39">
        <f>(BN76/CPINormalized[2010])*100</f>
        <v>22485.205625511826</v>
      </c>
      <c r="CM76" s="39">
        <f>(BO76/CPINormalized[2011])*100</f>
        <v>22897.727166292945</v>
      </c>
      <c r="CN76" s="39">
        <f>(BP76/CPINormalized[2012])*100</f>
        <v>23230.988795577323</v>
      </c>
      <c r="CO76" s="39">
        <f>(BQ76/CPINormalized[2013])*100</f>
        <v>24305.460566651105</v>
      </c>
      <c r="CP76" s="39">
        <f>(BR76/CPINormalized[2014])*100</f>
        <v>23278.569671136411</v>
      </c>
      <c r="CQ76" s="39">
        <f>(BS76/CPINormalized[2015])*100</f>
        <v>24008.424185477797</v>
      </c>
      <c r="CR76" s="39">
        <f>(BT76/CPINormalized[2016])*100</f>
        <v>23993.617835912348</v>
      </c>
      <c r="CS76" s="39">
        <f>(BU76/CPINormalized[2017])*100</f>
        <v>24788.303523626648</v>
      </c>
    </row>
    <row r="77" spans="1:97">
      <c r="A77" s="319" t="s">
        <v>68</v>
      </c>
      <c r="B77" s="367">
        <v>22454</v>
      </c>
      <c r="C77" s="367">
        <v>22988</v>
      </c>
      <c r="D77" s="367">
        <v>23273</v>
      </c>
      <c r="E77" s="367">
        <v>23291</v>
      </c>
      <c r="F77" s="367">
        <v>23393</v>
      </c>
      <c r="G77" s="367">
        <v>23427</v>
      </c>
      <c r="H77" s="367">
        <v>23538</v>
      </c>
      <c r="I77" s="367">
        <v>23703</v>
      </c>
      <c r="J77" s="367">
        <v>23739</v>
      </c>
      <c r="K77" s="367">
        <v>23605</v>
      </c>
      <c r="L77" s="367">
        <v>23842</v>
      </c>
      <c r="M77" s="367">
        <v>23712</v>
      </c>
      <c r="N77" s="367">
        <v>23764</v>
      </c>
      <c r="O77" s="367">
        <v>23541</v>
      </c>
      <c r="P77" s="367">
        <v>23455</v>
      </c>
      <c r="Q77" s="367">
        <v>23285</v>
      </c>
      <c r="R77" s="367">
        <v>23064</v>
      </c>
      <c r="S77" s="611">
        <v>23039</v>
      </c>
      <c r="T77" s="748">
        <v>22943</v>
      </c>
      <c r="U77" s="748">
        <v>22815</v>
      </c>
      <c r="V77" s="748">
        <v>22754</v>
      </c>
      <c r="W77" s="892">
        <v>22855</v>
      </c>
      <c r="X77" s="742"/>
      <c r="Y77" s="742"/>
      <c r="Z77" s="367" t="s">
        <v>68</v>
      </c>
      <c r="AA77" s="367">
        <v>451634</v>
      </c>
      <c r="AB77" s="367">
        <v>488040</v>
      </c>
      <c r="AC77" s="367">
        <v>497160</v>
      </c>
      <c r="AD77" s="367">
        <v>525924</v>
      </c>
      <c r="AE77" s="367">
        <v>562653</v>
      </c>
      <c r="AF77" s="367">
        <v>599811</v>
      </c>
      <c r="AG77" s="367">
        <v>604344</v>
      </c>
      <c r="AH77" s="367">
        <v>627092</v>
      </c>
      <c r="AI77" s="367">
        <v>693517</v>
      </c>
      <c r="AJ77" s="367">
        <v>712024</v>
      </c>
      <c r="AK77" s="367">
        <v>747038</v>
      </c>
      <c r="AL77" s="367">
        <v>792495</v>
      </c>
      <c r="AM77" s="367">
        <v>839289</v>
      </c>
      <c r="AN77" s="367">
        <v>826797</v>
      </c>
      <c r="AO77" s="367">
        <v>821685</v>
      </c>
      <c r="AP77" s="367">
        <v>854984</v>
      </c>
      <c r="AQ77" s="415">
        <v>870288</v>
      </c>
      <c r="AR77" s="8">
        <v>894986</v>
      </c>
      <c r="AS77" s="684">
        <v>826501</v>
      </c>
      <c r="AT77" s="684">
        <v>842760</v>
      </c>
      <c r="AU77" s="683">
        <v>883514</v>
      </c>
      <c r="AV77" s="8">
        <v>916855</v>
      </c>
      <c r="AW77" s="684"/>
      <c r="AX77" s="683"/>
      <c r="AY77" s="367" t="s">
        <v>68</v>
      </c>
      <c r="AZ77" s="39">
        <f t="shared" si="44"/>
        <v>20113.743653691996</v>
      </c>
      <c r="BA77" s="39">
        <f t="shared" si="45"/>
        <v>21230.207064555419</v>
      </c>
      <c r="BB77" s="39">
        <f t="shared" si="46"/>
        <v>21362.093412967817</v>
      </c>
      <c r="BC77" s="39">
        <f t="shared" si="47"/>
        <v>22580.567601219354</v>
      </c>
      <c r="BD77" s="39">
        <f t="shared" si="48"/>
        <v>24052.195101098619</v>
      </c>
      <c r="BE77" s="39">
        <f t="shared" si="49"/>
        <v>25603.406326034063</v>
      </c>
      <c r="BF77" s="39">
        <f t="shared" si="50"/>
        <v>25675.248534284987</v>
      </c>
      <c r="BG77" s="39">
        <f t="shared" si="51"/>
        <v>26456.229169303464</v>
      </c>
      <c r="BH77" s="39">
        <f t="shared" si="52"/>
        <v>29214.246598424535</v>
      </c>
      <c r="BI77" s="39">
        <f t="shared" si="53"/>
        <v>30164.117771658544</v>
      </c>
      <c r="BJ77" s="39">
        <f t="shared" si="54"/>
        <v>31332.857981712943</v>
      </c>
      <c r="BK77" s="39">
        <f t="shared" si="55"/>
        <v>33421.685222672066</v>
      </c>
      <c r="BL77" s="39">
        <f t="shared" si="56"/>
        <v>35317.665376199293</v>
      </c>
      <c r="BM77" s="39">
        <f t="shared" si="57"/>
        <v>35121.575124251307</v>
      </c>
      <c r="BN77" s="39">
        <f t="shared" si="58"/>
        <v>35032.402472820293</v>
      </c>
      <c r="BO77" s="39">
        <f t="shared" si="59"/>
        <v>36718.230620571187</v>
      </c>
      <c r="BP77" s="39">
        <f t="shared" si="60"/>
        <v>37733.610822060356</v>
      </c>
      <c r="BQ77" s="39">
        <f t="shared" si="61"/>
        <v>38846.564521029555</v>
      </c>
      <c r="BR77" s="39">
        <f t="shared" si="62"/>
        <v>36024.103212308764</v>
      </c>
      <c r="BS77" s="39">
        <f t="shared" si="63"/>
        <v>36938.856015779093</v>
      </c>
      <c r="BT77" s="39">
        <f t="shared" si="64"/>
        <v>38828.953151094312</v>
      </c>
      <c r="BU77" s="39">
        <f t="shared" si="65"/>
        <v>40116.167140669437</v>
      </c>
      <c r="BW77" s="367" t="s">
        <v>68</v>
      </c>
      <c r="BX77" s="39">
        <f>(AZ77/CPINormalized[1996])*100</f>
        <v>20113.743653691996</v>
      </c>
      <c r="BY77" s="39">
        <f>(BA77/CPINormalized[1997])*100</f>
        <v>20754.015504228941</v>
      </c>
      <c r="BZ77" s="39">
        <f>(BB77/CPINormalized[1998])*100</f>
        <v>20562.653107329144</v>
      </c>
      <c r="CA77" s="39">
        <f>(BC77/CPINormalized[1999])*100</f>
        <v>21265.852680860247</v>
      </c>
      <c r="CB77" s="39">
        <f>(BD77/CPINormalized[2000])*100</f>
        <v>21915.153376088121</v>
      </c>
      <c r="CC77" s="39">
        <f>(BE77/CPINormalized[2001])*100</f>
        <v>22683.085559315328</v>
      </c>
      <c r="CD77" s="39">
        <f>(BF77/CPINormalized[2002])*100</f>
        <v>22392.698693881681</v>
      </c>
      <c r="CE77" s="39">
        <f>(BG77/CPINormalized[2003])*100</f>
        <v>22559.686720998441</v>
      </c>
      <c r="CF77" s="39">
        <f>(BH77/CPINormalized[2004])*100</f>
        <v>24265.300642100636</v>
      </c>
      <c r="CG77" s="39">
        <f>(BI77/CPINormalized[2005])*100</f>
        <v>24233.231328075912</v>
      </c>
      <c r="CH77" s="39">
        <f>(BJ77/CPINormalized[2006])*100</f>
        <v>24385.542744696235</v>
      </c>
      <c r="CI77" s="39">
        <f>(BK77/CPINormalized[2007])*100</f>
        <v>25290.883715972872</v>
      </c>
      <c r="CJ77" s="39">
        <f>(BL77/CPINormalized[2008])*100</f>
        <v>25737.410521570393</v>
      </c>
      <c r="CK77" s="39">
        <f>(BM77/CPINormalized[2009])*100</f>
        <v>25685.896311568773</v>
      </c>
      <c r="CL77" s="39">
        <f>(BN77/CPINormalized[2010])*100</f>
        <v>25207.212587525701</v>
      </c>
      <c r="CM77" s="39">
        <f>(BO77/CPINormalized[2011])*100</f>
        <v>25611.789793533444</v>
      </c>
      <c r="CN77" s="39">
        <f>(BP77/CPINormalized[2012])*100</f>
        <v>25786.403555760473</v>
      </c>
      <c r="CO77" s="39">
        <f>(BQ77/CPINormalized[2013])*100</f>
        <v>26163.738257916855</v>
      </c>
      <c r="CP77" s="39">
        <f>(BR77/CPINormalized[2014])*100</f>
        <v>23875.463782488707</v>
      </c>
      <c r="CQ77" s="39">
        <f>(BS77/CPINormalized[2015])*100</f>
        <v>24452.703851942013</v>
      </c>
      <c r="CR77" s="39">
        <f>(BT77/CPINormalized[2016])*100</f>
        <v>25383.687764968094</v>
      </c>
      <c r="CS77" s="39">
        <f>(BU77/CPINormalized[2017])*100</f>
        <v>25678.143865743448</v>
      </c>
    </row>
    <row r="78" spans="1:97">
      <c r="A78" s="319" t="s">
        <v>69</v>
      </c>
      <c r="B78" s="367">
        <v>6615</v>
      </c>
      <c r="C78" s="367">
        <v>6612</v>
      </c>
      <c r="D78" s="367">
        <v>6576</v>
      </c>
      <c r="E78" s="367">
        <v>6544</v>
      </c>
      <c r="F78" s="367">
        <v>6708</v>
      </c>
      <c r="G78" s="367">
        <v>6557</v>
      </c>
      <c r="H78" s="367">
        <v>6664</v>
      </c>
      <c r="I78" s="367">
        <v>6668</v>
      </c>
      <c r="J78" s="367">
        <v>6717</v>
      </c>
      <c r="K78" s="367">
        <v>6707</v>
      </c>
      <c r="L78" s="367">
        <v>6707</v>
      </c>
      <c r="M78" s="367">
        <v>6736</v>
      </c>
      <c r="N78" s="367">
        <v>6688</v>
      </c>
      <c r="O78" s="367">
        <v>6667</v>
      </c>
      <c r="P78" s="367">
        <v>6690</v>
      </c>
      <c r="Q78" s="367">
        <v>6700</v>
      </c>
      <c r="R78" s="367">
        <v>6667</v>
      </c>
      <c r="S78" s="611">
        <v>6599</v>
      </c>
      <c r="T78" s="748">
        <v>6530</v>
      </c>
      <c r="U78" s="748">
        <v>6418</v>
      </c>
      <c r="V78" s="748">
        <v>6455</v>
      </c>
      <c r="W78" s="892">
        <v>6275</v>
      </c>
      <c r="X78" s="742"/>
      <c r="Y78" s="742"/>
      <c r="Z78" s="368" t="s">
        <v>69</v>
      </c>
      <c r="AA78" s="368">
        <v>100060</v>
      </c>
      <c r="AB78" s="368">
        <v>106353</v>
      </c>
      <c r="AC78" s="368">
        <v>111836</v>
      </c>
      <c r="AD78" s="368">
        <v>116217</v>
      </c>
      <c r="AE78" s="368">
        <v>125236</v>
      </c>
      <c r="AF78" s="368">
        <v>126035</v>
      </c>
      <c r="AG78" s="368">
        <v>129650</v>
      </c>
      <c r="AH78" s="368">
        <v>131797</v>
      </c>
      <c r="AI78" s="368">
        <v>143722</v>
      </c>
      <c r="AJ78" s="368">
        <v>154600</v>
      </c>
      <c r="AK78" s="368">
        <v>157715</v>
      </c>
      <c r="AL78" s="368">
        <v>161743</v>
      </c>
      <c r="AM78" s="368">
        <v>169175</v>
      </c>
      <c r="AN78" s="368">
        <v>171296</v>
      </c>
      <c r="AO78" s="368">
        <v>177707</v>
      </c>
      <c r="AP78" s="368">
        <v>179144</v>
      </c>
      <c r="AQ78" s="416">
        <v>189830</v>
      </c>
      <c r="AR78" s="8">
        <v>188620</v>
      </c>
      <c r="AS78" s="684">
        <v>180918</v>
      </c>
      <c r="AT78" s="684">
        <v>183734</v>
      </c>
      <c r="AU78" s="683">
        <v>183134</v>
      </c>
      <c r="AV78" s="8">
        <v>202293</v>
      </c>
      <c r="AW78" s="684"/>
      <c r="AX78" s="683"/>
      <c r="AY78" s="368" t="s">
        <v>69</v>
      </c>
      <c r="AZ78" s="39">
        <f t="shared" si="44"/>
        <v>15126.228269085412</v>
      </c>
      <c r="BA78" s="39">
        <f t="shared" si="45"/>
        <v>16084.845735027222</v>
      </c>
      <c r="BB78" s="39">
        <f t="shared" si="46"/>
        <v>17006.690997566911</v>
      </c>
      <c r="BC78" s="39">
        <f t="shared" si="47"/>
        <v>17759.321515892421</v>
      </c>
      <c r="BD78" s="39">
        <f t="shared" si="48"/>
        <v>18669.648181276087</v>
      </c>
      <c r="BE78" s="39">
        <f t="shared" si="49"/>
        <v>19221.442732957144</v>
      </c>
      <c r="BF78" s="39">
        <f t="shared" si="50"/>
        <v>19455.282112845136</v>
      </c>
      <c r="BG78" s="39">
        <f t="shared" si="51"/>
        <v>19765.596880623874</v>
      </c>
      <c r="BH78" s="39">
        <f t="shared" si="52"/>
        <v>21396.754503498585</v>
      </c>
      <c r="BI78" s="39">
        <f t="shared" si="53"/>
        <v>23050.544207544357</v>
      </c>
      <c r="BJ78" s="39">
        <f t="shared" si="54"/>
        <v>23514.984344714478</v>
      </c>
      <c r="BK78" s="39">
        <f t="shared" si="55"/>
        <v>24011.728028503563</v>
      </c>
      <c r="BL78" s="39">
        <f t="shared" si="56"/>
        <v>25295.305023923444</v>
      </c>
      <c r="BM78" s="39">
        <f t="shared" si="57"/>
        <v>25693.115344232789</v>
      </c>
      <c r="BN78" s="39">
        <f t="shared" si="58"/>
        <v>26563.07922272048</v>
      </c>
      <c r="BO78" s="39">
        <f t="shared" si="59"/>
        <v>26737.910447761195</v>
      </c>
      <c r="BP78" s="39">
        <f t="shared" si="60"/>
        <v>28473.07634618269</v>
      </c>
      <c r="BQ78" s="39">
        <f t="shared" si="61"/>
        <v>28583.118654341568</v>
      </c>
      <c r="BR78" s="39">
        <f t="shared" si="62"/>
        <v>27705.666156202144</v>
      </c>
      <c r="BS78" s="39">
        <f t="shared" si="63"/>
        <v>28627.921470863195</v>
      </c>
      <c r="BT78" s="39">
        <f t="shared" si="64"/>
        <v>28370.875290472501</v>
      </c>
      <c r="BU78" s="39">
        <f t="shared" si="65"/>
        <v>32237.928286852588</v>
      </c>
      <c r="BW78" s="368" t="s">
        <v>69</v>
      </c>
      <c r="BX78" s="39">
        <f>(AZ78/CPINormalized[1996])*100</f>
        <v>15126.22826908541</v>
      </c>
      <c r="BY78" s="39">
        <f>(BA78/CPINormalized[1997])*100</f>
        <v>15724.064148447169</v>
      </c>
      <c r="BZ78" s="39">
        <f>(BB78/CPINormalized[1998])*100</f>
        <v>16370.24427925306</v>
      </c>
      <c r="CA78" s="39">
        <f>(BC78/CPINormalized[1999])*100</f>
        <v>16725.315401221615</v>
      </c>
      <c r="CB78" s="39">
        <f>(BD78/CPINormalized[2000])*100</f>
        <v>17010.846687817761</v>
      </c>
      <c r="CC78" s="39">
        <f>(BE78/CPINormalized[2001])*100</f>
        <v>17029.047796730527</v>
      </c>
      <c r="CD78" s="39">
        <f>(BF78/CPINormalized[2002])*100</f>
        <v>16967.947545888837</v>
      </c>
      <c r="CE78" s="39">
        <f>(BG78/CPINormalized[2003])*100</f>
        <v>16854.468209618946</v>
      </c>
      <c r="CF78" s="39">
        <f>(BH78/CPINormalized[2004])*100</f>
        <v>17772.105778713227</v>
      </c>
      <c r="CG78" s="39">
        <f>(BI78/CPINormalized[2005])*100</f>
        <v>18518.332750454221</v>
      </c>
      <c r="CH78" s="39">
        <f>(BJ78/CPINormalized[2006])*100</f>
        <v>18301.09644685368</v>
      </c>
      <c r="CI78" s="39">
        <f>(BK78/CPINormalized[2007])*100</f>
        <v>18170.173566726517</v>
      </c>
      <c r="CJ78" s="39">
        <f>(BL78/CPINormalized[2008])*100</f>
        <v>18433.711366091455</v>
      </c>
      <c r="CK78" s="39">
        <f>(BM78/CPINormalized[2009])*100</f>
        <v>18790.464104141127</v>
      </c>
      <c r="CL78" s="39">
        <f>(BN78/CPINormalized[2010])*100</f>
        <v>19113.196289232324</v>
      </c>
      <c r="CM78" s="39">
        <f>(BO78/CPINormalized[2011])*100</f>
        <v>18650.292520433239</v>
      </c>
      <c r="CN78" s="39">
        <f>(BP78/CPINormalized[2012])*100</f>
        <v>19457.937396953159</v>
      </c>
      <c r="CO78" s="39">
        <f>(BQ78/CPINormalized[2013])*100</f>
        <v>19251.155006572852</v>
      </c>
      <c r="CP78" s="39">
        <f>(BR78/CPINormalized[2014])*100</f>
        <v>18362.306619644318</v>
      </c>
      <c r="CQ78" s="39">
        <f>(BS78/CPINormalized[2015])*100</f>
        <v>18951.049413242239</v>
      </c>
      <c r="CR78" s="39">
        <f>(BT78/CPINormalized[2016])*100</f>
        <v>18546.918769348958</v>
      </c>
      <c r="CS78" s="39">
        <f>(BU78/CPINormalized[2017])*100</f>
        <v>20635.325343534474</v>
      </c>
    </row>
    <row r="79" spans="1:97">
      <c r="A79" s="320" t="s">
        <v>70</v>
      </c>
      <c r="B79" s="368">
        <v>13265</v>
      </c>
      <c r="C79" s="368">
        <v>13399</v>
      </c>
      <c r="D79" s="368">
        <v>13497</v>
      </c>
      <c r="E79" s="368">
        <v>13516</v>
      </c>
      <c r="F79" s="368">
        <v>13482</v>
      </c>
      <c r="G79" s="368">
        <v>13460</v>
      </c>
      <c r="H79" s="368">
        <v>13608</v>
      </c>
      <c r="I79" s="368">
        <v>13752</v>
      </c>
      <c r="J79" s="368">
        <v>13843</v>
      </c>
      <c r="K79" s="368">
        <v>13920</v>
      </c>
      <c r="L79" s="368">
        <v>14049</v>
      </c>
      <c r="M79" s="368">
        <v>14059</v>
      </c>
      <c r="N79" s="368">
        <v>14039</v>
      </c>
      <c r="O79" s="368">
        <v>14033</v>
      </c>
      <c r="P79" s="368">
        <v>14112</v>
      </c>
      <c r="Q79" s="368">
        <v>14131</v>
      </c>
      <c r="R79" s="368">
        <v>14036</v>
      </c>
      <c r="S79" s="611">
        <v>14032</v>
      </c>
      <c r="T79" s="748">
        <v>13979</v>
      </c>
      <c r="U79" s="748">
        <v>13811</v>
      </c>
      <c r="V79" s="748">
        <v>13817</v>
      </c>
      <c r="W79" s="892">
        <v>13564</v>
      </c>
      <c r="X79" s="742"/>
      <c r="Y79" s="742"/>
      <c r="Z79" s="368" t="s">
        <v>70</v>
      </c>
      <c r="AA79" s="368">
        <v>180692</v>
      </c>
      <c r="AB79" s="368">
        <v>193475</v>
      </c>
      <c r="AC79" s="368">
        <v>203181</v>
      </c>
      <c r="AD79" s="368">
        <v>209922</v>
      </c>
      <c r="AE79" s="368">
        <v>225988</v>
      </c>
      <c r="AF79" s="368">
        <v>249199</v>
      </c>
      <c r="AG79" s="368">
        <v>257657</v>
      </c>
      <c r="AH79" s="368">
        <v>270491</v>
      </c>
      <c r="AI79" s="368">
        <v>291695</v>
      </c>
      <c r="AJ79" s="368">
        <v>305579</v>
      </c>
      <c r="AK79" s="368">
        <v>312330</v>
      </c>
      <c r="AL79" s="368">
        <v>326131</v>
      </c>
      <c r="AM79" s="368">
        <v>343323</v>
      </c>
      <c r="AN79" s="368">
        <v>356211</v>
      </c>
      <c r="AO79" s="368">
        <v>362651</v>
      </c>
      <c r="AP79" s="368">
        <v>368704</v>
      </c>
      <c r="AQ79" s="416">
        <v>371752</v>
      </c>
      <c r="AR79" s="8">
        <v>388830</v>
      </c>
      <c r="AS79" s="684">
        <v>390231</v>
      </c>
      <c r="AT79" s="684">
        <v>396059</v>
      </c>
      <c r="AU79" s="683">
        <v>401923</v>
      </c>
      <c r="AV79" s="8">
        <v>409719</v>
      </c>
      <c r="AW79" s="684"/>
      <c r="AX79" s="683"/>
      <c r="AY79" s="368" t="s">
        <v>70</v>
      </c>
      <c r="AZ79" s="39">
        <f t="shared" si="44"/>
        <v>13621.711270260083</v>
      </c>
      <c r="BA79" s="39">
        <f t="shared" si="45"/>
        <v>14439.510411224719</v>
      </c>
      <c r="BB79" s="39">
        <f t="shared" si="46"/>
        <v>15053.789731051344</v>
      </c>
      <c r="BC79" s="39">
        <f t="shared" si="47"/>
        <v>15531.370227878071</v>
      </c>
      <c r="BD79" s="39">
        <f t="shared" si="48"/>
        <v>16762.20145379024</v>
      </c>
      <c r="BE79" s="39">
        <f t="shared" si="49"/>
        <v>18514.041604754831</v>
      </c>
      <c r="BF79" s="39">
        <f t="shared" si="50"/>
        <v>18934.229864785419</v>
      </c>
      <c r="BG79" s="39">
        <f t="shared" si="51"/>
        <v>19669.211751018032</v>
      </c>
      <c r="BH79" s="39">
        <f t="shared" si="52"/>
        <v>21071.660767174744</v>
      </c>
      <c r="BI79" s="39">
        <f t="shared" si="53"/>
        <v>21952.514367816093</v>
      </c>
      <c r="BJ79" s="39">
        <f t="shared" si="54"/>
        <v>22231.475549861203</v>
      </c>
      <c r="BK79" s="39">
        <f t="shared" si="55"/>
        <v>23197.311330820114</v>
      </c>
      <c r="BL79" s="39">
        <f t="shared" si="56"/>
        <v>24454.946933542273</v>
      </c>
      <c r="BM79" s="39">
        <f t="shared" si="57"/>
        <v>25383.809591676763</v>
      </c>
      <c r="BN79" s="39">
        <f t="shared" si="58"/>
        <v>25698.058390022677</v>
      </c>
      <c r="BO79" s="39">
        <f t="shared" si="59"/>
        <v>26091.854787346969</v>
      </c>
      <c r="BP79" s="39">
        <f t="shared" si="60"/>
        <v>26485.608435451693</v>
      </c>
      <c r="BQ79" s="39">
        <f t="shared" si="61"/>
        <v>27710.233751425312</v>
      </c>
      <c r="BR79" s="39">
        <f t="shared" si="62"/>
        <v>27915.516131339868</v>
      </c>
      <c r="BS79" s="39">
        <f t="shared" si="63"/>
        <v>28677.069002968648</v>
      </c>
      <c r="BT79" s="39">
        <f t="shared" si="64"/>
        <v>29089.020771513355</v>
      </c>
      <c r="BU79" s="39">
        <f t="shared" si="65"/>
        <v>30206.355057505159</v>
      </c>
      <c r="BW79" s="368" t="s">
        <v>70</v>
      </c>
      <c r="BX79" s="39">
        <f>(AZ79/CPINormalized[1996])*100</f>
        <v>13621.711270260081</v>
      </c>
      <c r="BY79" s="39">
        <f>(BA79/CPINormalized[1997])*100</f>
        <v>14115.633542187901</v>
      </c>
      <c r="BZ79" s="39">
        <f>(BB79/CPINormalized[1998])*100</f>
        <v>14490.427047864761</v>
      </c>
      <c r="CA79" s="39">
        <f>(BC79/CPINormalized[1999])*100</f>
        <v>14627.08276563067</v>
      </c>
      <c r="CB79" s="39">
        <f>(BD79/CPINormalized[2000])*100</f>
        <v>15272.876934376825</v>
      </c>
      <c r="CC79" s="39">
        <f>(BE79/CPINormalized[2001])*100</f>
        <v>16402.33273735761</v>
      </c>
      <c r="CD79" s="39">
        <f>(BF79/CPINormalized[2002])*100</f>
        <v>16513.511205029641</v>
      </c>
      <c r="CE79" s="39">
        <f>(BG79/CPINormalized[2003])*100</f>
        <v>16772.27893334092</v>
      </c>
      <c r="CF79" s="39">
        <f>(BH79/CPINormalized[2004])*100</f>
        <v>17502.083506456951</v>
      </c>
      <c r="CG79" s="39">
        <f>(BI79/CPINormalized[2005])*100</f>
        <v>17636.198178752406</v>
      </c>
      <c r="CH79" s="39">
        <f>(BJ79/CPINormalized[2006])*100</f>
        <v>17302.175167525907</v>
      </c>
      <c r="CI79" s="39">
        <f>(BK79/CPINormalized[2007])*100</f>
        <v>17553.88752787991</v>
      </c>
      <c r="CJ79" s="39">
        <f>(BL79/CPINormalized[2008])*100</f>
        <v>17821.308453076748</v>
      </c>
      <c r="CK79" s="39">
        <f>(BM79/CPINormalized[2009])*100</f>
        <v>18564.255699175825</v>
      </c>
      <c r="CL79" s="39">
        <f>(BN79/CPINormalized[2010])*100</f>
        <v>18490.779255762547</v>
      </c>
      <c r="CM79" s="39">
        <f>(BO79/CPINormalized[2011])*100</f>
        <v>18199.654200182005</v>
      </c>
      <c r="CN79" s="39">
        <f>(BP79/CPINormalized[2012])*100</f>
        <v>18099.741123558848</v>
      </c>
      <c r="CO79" s="39">
        <f>(BQ79/CPINormalized[2013])*100</f>
        <v>18663.254058039176</v>
      </c>
      <c r="CP79" s="39">
        <f>(BR79/CPINormalized[2014])*100</f>
        <v>18501.387541426848</v>
      </c>
      <c r="CQ79" s="39">
        <f>(BS79/CPINormalized[2015])*100</f>
        <v>18983.583990033549</v>
      </c>
      <c r="CR79" s="39">
        <f>(BT79/CPINormalized[2016])*100</f>
        <v>19016.392684590221</v>
      </c>
      <c r="CS79" s="39">
        <f>(BU79/CPINormalized[2017])*100</f>
        <v>19334.926193385116</v>
      </c>
    </row>
    <row r="80" spans="1:97">
      <c r="A80" s="320" t="s">
        <v>300</v>
      </c>
      <c r="B80" s="368">
        <v>9258</v>
      </c>
      <c r="C80" s="368">
        <v>9308</v>
      </c>
      <c r="D80" s="368">
        <v>9284</v>
      </c>
      <c r="E80" s="368">
        <v>9528</v>
      </c>
      <c r="F80" s="368">
        <v>9698</v>
      </c>
      <c r="G80" s="368">
        <v>9656</v>
      </c>
      <c r="H80" s="368">
        <v>9692</v>
      </c>
      <c r="I80" s="368">
        <v>9656</v>
      </c>
      <c r="J80" s="368">
        <v>9711</v>
      </c>
      <c r="K80" s="368">
        <v>9733</v>
      </c>
      <c r="L80" s="368">
        <v>9694</v>
      </c>
      <c r="M80" s="368">
        <v>9802</v>
      </c>
      <c r="N80" s="368">
        <v>9757</v>
      </c>
      <c r="O80" s="368">
        <v>9708</v>
      </c>
      <c r="P80" s="368">
        <v>9830</v>
      </c>
      <c r="Q80" s="368">
        <v>9696</v>
      </c>
      <c r="R80" s="368">
        <v>9474</v>
      </c>
      <c r="S80" s="611">
        <v>9487</v>
      </c>
      <c r="T80" s="748">
        <v>9467</v>
      </c>
      <c r="U80" s="748">
        <v>9450</v>
      </c>
      <c r="V80" s="748">
        <v>9272</v>
      </c>
      <c r="W80" s="892">
        <v>9362</v>
      </c>
      <c r="X80" s="742"/>
      <c r="Y80" s="742"/>
      <c r="Z80" s="367" t="s">
        <v>300</v>
      </c>
      <c r="AA80" s="367">
        <v>143898</v>
      </c>
      <c r="AB80" s="367">
        <v>153481</v>
      </c>
      <c r="AC80" s="367">
        <v>158755</v>
      </c>
      <c r="AD80" s="367">
        <v>165163</v>
      </c>
      <c r="AE80" s="367">
        <v>175371</v>
      </c>
      <c r="AF80" s="367">
        <v>193896</v>
      </c>
      <c r="AG80" s="367">
        <v>191482</v>
      </c>
      <c r="AH80" s="367">
        <v>202147</v>
      </c>
      <c r="AI80" s="367">
        <v>219277</v>
      </c>
      <c r="AJ80" s="367">
        <v>217195</v>
      </c>
      <c r="AK80" s="367">
        <v>220451</v>
      </c>
      <c r="AL80" s="367">
        <v>229047</v>
      </c>
      <c r="AM80" s="367">
        <v>252958</v>
      </c>
      <c r="AN80" s="367">
        <v>258671</v>
      </c>
      <c r="AO80" s="367">
        <v>263250</v>
      </c>
      <c r="AP80" s="367">
        <v>264246</v>
      </c>
      <c r="AQ80" s="415">
        <v>271211</v>
      </c>
      <c r="AR80" s="8">
        <v>294163</v>
      </c>
      <c r="AS80" s="684">
        <v>301288</v>
      </c>
      <c r="AT80" s="684">
        <v>297477</v>
      </c>
      <c r="AU80" s="683">
        <v>294111</v>
      </c>
      <c r="AV80" s="8">
        <v>271073</v>
      </c>
      <c r="AW80" s="684"/>
      <c r="AX80" s="683"/>
      <c r="AY80" s="367" t="s">
        <v>300</v>
      </c>
      <c r="AZ80" s="39">
        <f t="shared" si="44"/>
        <v>15543.097861309137</v>
      </c>
      <c r="BA80" s="39">
        <f t="shared" si="45"/>
        <v>16489.149119037385</v>
      </c>
      <c r="BB80" s="39">
        <f t="shared" si="46"/>
        <v>17099.84920292977</v>
      </c>
      <c r="BC80" s="39">
        <f t="shared" si="47"/>
        <v>17334.487825356842</v>
      </c>
      <c r="BD80" s="39">
        <f t="shared" si="48"/>
        <v>18083.213033615179</v>
      </c>
      <c r="BE80" s="39">
        <f t="shared" si="49"/>
        <v>20080.364540182269</v>
      </c>
      <c r="BF80" s="39">
        <f t="shared" si="50"/>
        <v>19756.706562113086</v>
      </c>
      <c r="BG80" s="39">
        <f t="shared" si="51"/>
        <v>20934.859154929578</v>
      </c>
      <c r="BH80" s="39">
        <f t="shared" si="52"/>
        <v>22580.269797137265</v>
      </c>
      <c r="BI80" s="39">
        <f t="shared" si="53"/>
        <v>22315.319017774582</v>
      </c>
      <c r="BJ80" s="39">
        <f t="shared" si="54"/>
        <v>22740.973798225707</v>
      </c>
      <c r="BK80" s="39">
        <f t="shared" si="55"/>
        <v>23367.374005305039</v>
      </c>
      <c r="BL80" s="39">
        <f t="shared" si="56"/>
        <v>25925.796863790099</v>
      </c>
      <c r="BM80" s="39">
        <f t="shared" si="57"/>
        <v>26645.138030490318</v>
      </c>
      <c r="BN80" s="39">
        <f t="shared" si="58"/>
        <v>26780.264496439471</v>
      </c>
      <c r="BO80" s="39">
        <f t="shared" si="59"/>
        <v>27253.094059405943</v>
      </c>
      <c r="BP80" s="39">
        <f t="shared" si="60"/>
        <v>28626.873548659489</v>
      </c>
      <c r="BQ80" s="39">
        <f t="shared" si="61"/>
        <v>31006.956888373566</v>
      </c>
      <c r="BR80" s="39">
        <f t="shared" si="62"/>
        <v>31825.076581810499</v>
      </c>
      <c r="BS80" s="39">
        <f t="shared" si="63"/>
        <v>31479.047619047618</v>
      </c>
      <c r="BT80" s="39">
        <f t="shared" si="64"/>
        <v>31720.340811044003</v>
      </c>
      <c r="BU80" s="39">
        <f t="shared" si="65"/>
        <v>28954.603717154456</v>
      </c>
      <c r="BW80" s="367" t="s">
        <v>300</v>
      </c>
      <c r="BX80" s="39">
        <f>(AZ80/CPINormalized[1996])*100</f>
        <v>15543.097861309139</v>
      </c>
      <c r="BY80" s="39">
        <f>(BA80/CPINormalized[1997])*100</f>
        <v>16119.299045339349</v>
      </c>
      <c r="BZ80" s="39">
        <f>(BB80/CPINormalized[1998])*100</f>
        <v>16459.916195948965</v>
      </c>
      <c r="CA80" s="39">
        <f>(BC80/CPINormalized[1999])*100</f>
        <v>16325.216925561157</v>
      </c>
      <c r="CB80" s="39">
        <f>(BD80/CPINormalized[2000])*100</f>
        <v>16476.516405192928</v>
      </c>
      <c r="CC80" s="39">
        <f>(BE80/CPINormalized[2001])*100</f>
        <v>17790.001108721615</v>
      </c>
      <c r="CD80" s="39">
        <f>(BF80/CPINormalized[2002])*100</f>
        <v>17230.835239552769</v>
      </c>
      <c r="CE80" s="39">
        <f>(BG80/CPINormalized[2003])*100</f>
        <v>17851.518485915494</v>
      </c>
      <c r="CF80" s="39">
        <f>(BH80/CPINormalized[2004])*100</f>
        <v>18755.131451407291</v>
      </c>
      <c r="CG80" s="39">
        <f>(BI80/CPINormalized[2005])*100</f>
        <v>17927.667966660683</v>
      </c>
      <c r="CH80" s="39">
        <f>(BJ80/CPINormalized[2006])*100</f>
        <v>17698.704310226258</v>
      </c>
      <c r="CI80" s="39">
        <f>(BK80/CPINormalized[2007])*100</f>
        <v>17682.577487592287</v>
      </c>
      <c r="CJ80" s="39">
        <f>(BL80/CPINormalized[2008])*100</f>
        <v>18893.17625824381</v>
      </c>
      <c r="CK80" s="39">
        <f>(BM80/CPINormalized[2009])*100</f>
        <v>19486.718640532548</v>
      </c>
      <c r="CL80" s="39">
        <f>(BN80/CPINormalized[2010])*100</f>
        <v>19269.469766900947</v>
      </c>
      <c r="CM80" s="39">
        <f>(BO80/CPINormalized[2011])*100</f>
        <v>19009.644649975293</v>
      </c>
      <c r="CN80" s="39">
        <f>(BP80/CPINormalized[2012])*100</f>
        <v>19563.039364202345</v>
      </c>
      <c r="CO80" s="39">
        <f>(BQ80/CPINormalized[2013])*100</f>
        <v>20883.646062517171</v>
      </c>
      <c r="CP80" s="39">
        <f>(BR80/CPINormalized[2014])*100</f>
        <v>21092.501840387893</v>
      </c>
      <c r="CQ80" s="39">
        <f>(BS80/CPINormalized[2015])*100</f>
        <v>20838.43172189578</v>
      </c>
      <c r="CR80" s="39">
        <f>(BT80/CPINormalized[2016])*100</f>
        <v>20736.567988653682</v>
      </c>
      <c r="CS80" s="39">
        <f>(BU80/CPINormalized[2017])*100</f>
        <v>18533.686860401169</v>
      </c>
    </row>
    <row r="81" spans="1:97">
      <c r="A81" s="319" t="s">
        <v>301</v>
      </c>
      <c r="B81" s="367">
        <v>16974</v>
      </c>
      <c r="C81" s="367">
        <v>17277</v>
      </c>
      <c r="D81" s="367">
        <v>17499</v>
      </c>
      <c r="E81" s="367">
        <v>17631</v>
      </c>
      <c r="F81" s="367">
        <v>17973</v>
      </c>
      <c r="G81" s="367">
        <v>18013</v>
      </c>
      <c r="H81" s="367">
        <v>18039</v>
      </c>
      <c r="I81" s="367">
        <v>18161</v>
      </c>
      <c r="J81" s="367">
        <v>18218</v>
      </c>
      <c r="K81" s="367">
        <v>18233</v>
      </c>
      <c r="L81" s="367">
        <v>18263</v>
      </c>
      <c r="M81" s="367">
        <v>18293</v>
      </c>
      <c r="N81" s="367">
        <v>18186</v>
      </c>
      <c r="O81" s="367">
        <v>18156</v>
      </c>
      <c r="P81" s="367">
        <v>18127</v>
      </c>
      <c r="Q81" s="367">
        <v>18123</v>
      </c>
      <c r="R81" s="367">
        <v>17740</v>
      </c>
      <c r="S81" s="611">
        <v>17778</v>
      </c>
      <c r="T81" s="748">
        <v>17960</v>
      </c>
      <c r="U81" s="748">
        <v>17895</v>
      </c>
      <c r="V81" s="748">
        <v>18030</v>
      </c>
      <c r="W81" s="892">
        <v>17843</v>
      </c>
      <c r="X81" s="742"/>
      <c r="Y81" s="742"/>
      <c r="Z81" s="367" t="s">
        <v>301</v>
      </c>
      <c r="AA81" s="367">
        <v>326458</v>
      </c>
      <c r="AB81" s="367">
        <v>351590</v>
      </c>
      <c r="AC81" s="367">
        <v>370287</v>
      </c>
      <c r="AD81" s="367">
        <v>390276</v>
      </c>
      <c r="AE81" s="367">
        <v>414402</v>
      </c>
      <c r="AF81" s="367">
        <v>423035</v>
      </c>
      <c r="AG81" s="367">
        <v>422718</v>
      </c>
      <c r="AH81" s="367">
        <v>441268</v>
      </c>
      <c r="AI81" s="367">
        <v>463040</v>
      </c>
      <c r="AJ81" s="367">
        <v>482796</v>
      </c>
      <c r="AK81" s="367">
        <v>516012</v>
      </c>
      <c r="AL81" s="367">
        <v>558815</v>
      </c>
      <c r="AM81" s="367">
        <v>615467</v>
      </c>
      <c r="AN81" s="367">
        <v>595456</v>
      </c>
      <c r="AO81" s="367">
        <v>604271</v>
      </c>
      <c r="AP81" s="367">
        <v>625394</v>
      </c>
      <c r="AQ81" s="415">
        <v>644613</v>
      </c>
      <c r="AR81" s="8">
        <v>658602</v>
      </c>
      <c r="AS81" s="684">
        <v>645213</v>
      </c>
      <c r="AT81" s="684">
        <v>651990</v>
      </c>
      <c r="AU81" s="683">
        <v>659647</v>
      </c>
      <c r="AV81" s="8">
        <v>662078</v>
      </c>
      <c r="AW81" s="684"/>
      <c r="AX81" s="683"/>
      <c r="AY81" s="367" t="s">
        <v>301</v>
      </c>
      <c r="AZ81" s="39">
        <f t="shared" si="44"/>
        <v>19232.826676092849</v>
      </c>
      <c r="BA81" s="39">
        <f t="shared" si="45"/>
        <v>20350.176535278115</v>
      </c>
      <c r="BB81" s="39">
        <f t="shared" si="46"/>
        <v>21160.466312360706</v>
      </c>
      <c r="BC81" s="39">
        <f t="shared" si="47"/>
        <v>22135.783563042369</v>
      </c>
      <c r="BD81" s="39">
        <f t="shared" si="48"/>
        <v>23056.918711400434</v>
      </c>
      <c r="BE81" s="39">
        <f t="shared" si="49"/>
        <v>23484.983067784378</v>
      </c>
      <c r="BF81" s="39">
        <f t="shared" si="50"/>
        <v>23433.560618659569</v>
      </c>
      <c r="BG81" s="39">
        <f t="shared" si="51"/>
        <v>24297.560707009528</v>
      </c>
      <c r="BH81" s="39">
        <f t="shared" si="52"/>
        <v>25416.620924360523</v>
      </c>
      <c r="BI81" s="39">
        <f t="shared" si="53"/>
        <v>26479.240936763013</v>
      </c>
      <c r="BJ81" s="39">
        <f t="shared" si="54"/>
        <v>28254.503641241856</v>
      </c>
      <c r="BK81" s="39">
        <f t="shared" si="55"/>
        <v>30548.023834253538</v>
      </c>
      <c r="BL81" s="39">
        <f t="shared" si="56"/>
        <v>33842.901132739469</v>
      </c>
      <c r="BM81" s="39">
        <f t="shared" si="57"/>
        <v>32796.65124476757</v>
      </c>
      <c r="BN81" s="39">
        <f t="shared" si="58"/>
        <v>33335.41126496387</v>
      </c>
      <c r="BO81" s="39">
        <f t="shared" si="59"/>
        <v>34508.304364619551</v>
      </c>
      <c r="BP81" s="39">
        <f t="shared" si="60"/>
        <v>36336.696730552423</v>
      </c>
      <c r="BQ81" s="39">
        <f t="shared" si="61"/>
        <v>37045.899426257172</v>
      </c>
      <c r="BR81" s="39">
        <f t="shared" si="62"/>
        <v>35925</v>
      </c>
      <c r="BS81" s="39">
        <f t="shared" si="63"/>
        <v>36434.19949706622</v>
      </c>
      <c r="BT81" s="39">
        <f t="shared" si="64"/>
        <v>36586.078757626179</v>
      </c>
      <c r="BU81" s="39">
        <f t="shared" si="65"/>
        <v>37105.755758560779</v>
      </c>
      <c r="BW81" s="367" t="s">
        <v>301</v>
      </c>
      <c r="BX81" s="39">
        <f>(AZ81/CPINormalized[1996])*100</f>
        <v>19232.826676092849</v>
      </c>
      <c r="BY81" s="39">
        <f>(BA81/CPINormalized[1997])*100</f>
        <v>19893.723977477483</v>
      </c>
      <c r="BZ81" s="39">
        <f>(BB81/CPINormalized[1998])*100</f>
        <v>20368.571560793836</v>
      </c>
      <c r="CA81" s="39">
        <f>(BC81/CPINormalized[1999])*100</f>
        <v>20846.965432421057</v>
      </c>
      <c r="CB81" s="39">
        <f>(BD81/CPINormalized[2000])*100</f>
        <v>21008.307467007719</v>
      </c>
      <c r="CC81" s="39">
        <f>(BE81/CPINormalized[2001])*100</f>
        <v>20806.289346896494</v>
      </c>
      <c r="CD81" s="39">
        <f>(BF81/CPINormalized[2002])*100</f>
        <v>20437.607899208931</v>
      </c>
      <c r="CE81" s="39">
        <f>(BG81/CPINormalized[2003])*100</f>
        <v>20718.952581140191</v>
      </c>
      <c r="CF81" s="39">
        <f>(BH81/CPINormalized[2004])*100</f>
        <v>21110.999592547203</v>
      </c>
      <c r="CG81" s="39">
        <f>(BI81/CPINormalized[2005])*100</f>
        <v>21272.877127384108</v>
      </c>
      <c r="CH81" s="39">
        <f>(BJ81/CPINormalized[2006])*100</f>
        <v>21989.74018507365</v>
      </c>
      <c r="CI81" s="39">
        <f>(BK81/CPINormalized[2007])*100</f>
        <v>23116.324428212229</v>
      </c>
      <c r="CJ81" s="39">
        <f>(BL81/CPINormalized[2008])*100</f>
        <v>24662.690198124612</v>
      </c>
      <c r="CK81" s="39">
        <f>(BM81/CPINormalized[2009])*100</f>
        <v>23985.580950157932</v>
      </c>
      <c r="CL81" s="39">
        <f>(BN81/CPINormalized[2010])*100</f>
        <v>23986.159644645555</v>
      </c>
      <c r="CM81" s="39">
        <f>(BO81/CPINormalized[2011])*100</f>
        <v>24070.316640550584</v>
      </c>
      <c r="CN81" s="39">
        <f>(BP81/CPINormalized[2012])*100</f>
        <v>24831.780085819642</v>
      </c>
      <c r="CO81" s="39">
        <f>(BQ81/CPINormalized[2013])*100</f>
        <v>24950.963568296942</v>
      </c>
      <c r="CP81" s="39">
        <f>(BR81/CPINormalized[2014])*100</f>
        <v>23809.78178223845</v>
      </c>
      <c r="CQ81" s="39">
        <f>(BS81/CPINormalized[2015])*100</f>
        <v>24118.63242336917</v>
      </c>
      <c r="CR81" s="39">
        <f>(BT81/CPINormalized[2016])*100</f>
        <v>23917.451395465745</v>
      </c>
      <c r="CS81" s="39">
        <f>(BU81/CPINormalized[2017])*100</f>
        <v>23751.195653223669</v>
      </c>
    </row>
    <row r="82" spans="1:97">
      <c r="A82" s="319" t="s">
        <v>73</v>
      </c>
      <c r="B82" s="367">
        <v>4227</v>
      </c>
      <c r="C82" s="367">
        <v>4226</v>
      </c>
      <c r="D82" s="367">
        <v>4252</v>
      </c>
      <c r="E82" s="367">
        <v>4178</v>
      </c>
      <c r="F82" s="367">
        <v>4178</v>
      </c>
      <c r="G82" s="367">
        <v>4184</v>
      </c>
      <c r="H82" s="367">
        <v>4245</v>
      </c>
      <c r="I82" s="367">
        <v>4264</v>
      </c>
      <c r="J82" s="367">
        <v>4313</v>
      </c>
      <c r="K82" s="367">
        <v>4280</v>
      </c>
      <c r="L82" s="367">
        <v>4267</v>
      </c>
      <c r="M82" s="367">
        <v>4313</v>
      </c>
      <c r="N82" s="367">
        <v>4383</v>
      </c>
      <c r="O82" s="367">
        <v>4414</v>
      </c>
      <c r="P82" s="367">
        <v>4437</v>
      </c>
      <c r="Q82" s="367">
        <v>4381</v>
      </c>
      <c r="R82" s="367">
        <v>4370</v>
      </c>
      <c r="S82" s="611">
        <v>4358</v>
      </c>
      <c r="T82" s="748">
        <v>4398</v>
      </c>
      <c r="U82" s="748">
        <v>4434</v>
      </c>
      <c r="V82" s="748">
        <v>4394</v>
      </c>
      <c r="W82" s="892">
        <v>4508</v>
      </c>
      <c r="X82" s="742"/>
      <c r="Y82" s="742"/>
      <c r="Z82" s="367" t="s">
        <v>73</v>
      </c>
      <c r="AA82" s="367">
        <v>64323</v>
      </c>
      <c r="AB82" s="367">
        <v>70211</v>
      </c>
      <c r="AC82" s="367">
        <v>71609</v>
      </c>
      <c r="AD82" s="367">
        <v>74001</v>
      </c>
      <c r="AE82" s="367">
        <v>78726</v>
      </c>
      <c r="AF82" s="367">
        <v>83989</v>
      </c>
      <c r="AG82" s="367">
        <v>80676</v>
      </c>
      <c r="AH82" s="367">
        <v>87403</v>
      </c>
      <c r="AI82" s="367">
        <v>89478</v>
      </c>
      <c r="AJ82" s="367">
        <v>87838</v>
      </c>
      <c r="AK82" s="367">
        <v>91891</v>
      </c>
      <c r="AL82" s="367">
        <v>99052</v>
      </c>
      <c r="AM82" s="367">
        <v>102871</v>
      </c>
      <c r="AN82" s="367">
        <v>105856</v>
      </c>
      <c r="AO82" s="367">
        <v>106864</v>
      </c>
      <c r="AP82" s="367">
        <v>112370</v>
      </c>
      <c r="AQ82" s="415">
        <v>109291</v>
      </c>
      <c r="AR82" s="8">
        <v>118757</v>
      </c>
      <c r="AS82" s="684">
        <v>123848</v>
      </c>
      <c r="AT82" s="684">
        <v>116759</v>
      </c>
      <c r="AU82" s="683">
        <v>116218</v>
      </c>
      <c r="AV82" s="8">
        <v>124484</v>
      </c>
      <c r="AW82" s="684"/>
      <c r="AX82" s="683"/>
      <c r="AY82" s="367" t="s">
        <v>73</v>
      </c>
      <c r="AZ82" s="39">
        <f t="shared" si="44"/>
        <v>15217.175301632362</v>
      </c>
      <c r="BA82" s="39">
        <f t="shared" si="45"/>
        <v>16614.055844770468</v>
      </c>
      <c r="BB82" s="39">
        <f t="shared" si="46"/>
        <v>16841.251175917216</v>
      </c>
      <c r="BC82" s="39">
        <f t="shared" si="47"/>
        <v>17712.06318812829</v>
      </c>
      <c r="BD82" s="39">
        <f t="shared" si="48"/>
        <v>18842.987075155575</v>
      </c>
      <c r="BE82" s="39">
        <f t="shared" si="49"/>
        <v>20073.852772466536</v>
      </c>
      <c r="BF82" s="39">
        <f t="shared" si="50"/>
        <v>19004.946996466431</v>
      </c>
      <c r="BG82" s="39">
        <f t="shared" si="51"/>
        <v>20497.889305816134</v>
      </c>
      <c r="BH82" s="39">
        <f t="shared" si="52"/>
        <v>20746.116392302341</v>
      </c>
      <c r="BI82" s="39">
        <f t="shared" si="53"/>
        <v>20522.897196261682</v>
      </c>
      <c r="BJ82" s="39">
        <f t="shared" si="54"/>
        <v>21535.270681977971</v>
      </c>
      <c r="BK82" s="39">
        <f t="shared" si="55"/>
        <v>22965.916995131</v>
      </c>
      <c r="BL82" s="39">
        <f t="shared" si="56"/>
        <v>23470.454026922198</v>
      </c>
      <c r="BM82" s="39">
        <f t="shared" si="57"/>
        <v>23981.875849569551</v>
      </c>
      <c r="BN82" s="39">
        <f t="shared" si="58"/>
        <v>24084.741942754114</v>
      </c>
      <c r="BO82" s="39">
        <f t="shared" si="59"/>
        <v>25649.395115270487</v>
      </c>
      <c r="BP82" s="39">
        <f t="shared" si="60"/>
        <v>25009.382151029746</v>
      </c>
      <c r="BQ82" s="39">
        <f t="shared" si="61"/>
        <v>27250.344194584672</v>
      </c>
      <c r="BR82" s="39">
        <f t="shared" si="62"/>
        <v>28160.072760345611</v>
      </c>
      <c r="BS82" s="39">
        <f t="shared" si="63"/>
        <v>26332.656743346866</v>
      </c>
      <c r="BT82" s="39">
        <f t="shared" si="64"/>
        <v>26449.248975876195</v>
      </c>
      <c r="BU82" s="39">
        <f t="shared" si="65"/>
        <v>27614.01952085182</v>
      </c>
      <c r="BW82" s="367" t="s">
        <v>73</v>
      </c>
      <c r="BX82" s="39">
        <f>(AZ82/CPINormalized[1996])*100</f>
        <v>15217.17530163236</v>
      </c>
      <c r="BY82" s="39">
        <f>(BA82/CPINormalized[1997])*100</f>
        <v>16241.404124887766</v>
      </c>
      <c r="BZ82" s="39">
        <f>(BB82/CPINormalized[1998])*100</f>
        <v>16210.99576381234</v>
      </c>
      <c r="CA82" s="39">
        <f>(BC82/CPINormalized[1999])*100</f>
        <v>16680.808608747473</v>
      </c>
      <c r="CB82" s="39">
        <f>(BD82/CPINormalized[2000])*100</f>
        <v>17168.784390777644</v>
      </c>
      <c r="CC82" s="39">
        <f>(BE82/CPINormalized[2001])*100</f>
        <v>17784.23207227555</v>
      </c>
      <c r="CD82" s="39">
        <f>(BF82/CPINormalized[2002])*100</f>
        <v>16575.187235939873</v>
      </c>
      <c r="CE82" s="39">
        <f>(BG82/CPINormalized[2003])*100</f>
        <v>17478.906696100825</v>
      </c>
      <c r="CF82" s="39">
        <f>(BH82/CPINormalized[2004])*100</f>
        <v>17231.686934633341</v>
      </c>
      <c r="CG82" s="39">
        <f>(BI82/CPINormalized[2005])*100</f>
        <v>16487.673169961381</v>
      </c>
      <c r="CH82" s="39">
        <f>(BJ82/CPINormalized[2006])*100</f>
        <v>16760.337152789405</v>
      </c>
      <c r="CI82" s="39">
        <f>(BK82/CPINormalized[2007])*100</f>
        <v>17378.786625652563</v>
      </c>
      <c r="CJ82" s="39">
        <f>(BL82/CPINormalized[2008])*100</f>
        <v>17103.868672633886</v>
      </c>
      <c r="CK82" s="39">
        <f>(BM82/CPINormalized[2009])*100</f>
        <v>17538.962140784399</v>
      </c>
      <c r="CL82" s="39">
        <f>(BN82/CPINormalized[2010])*100</f>
        <v>17329.933644651468</v>
      </c>
      <c r="CM82" s="39">
        <f>(BO82/CPINormalized[2011])*100</f>
        <v>17891.028650371609</v>
      </c>
      <c r="CN82" s="39">
        <f>(BP82/CPINormalized[2012])*100</f>
        <v>17090.917269164554</v>
      </c>
      <c r="CO82" s="39">
        <f>(BQ82/CPINormalized[2013])*100</f>
        <v>18353.511609998135</v>
      </c>
      <c r="CP82" s="39">
        <f>(BR82/CPINormalized[2014])*100</f>
        <v>18663.470769541716</v>
      </c>
      <c r="CQ82" s="39">
        <f>(BS82/CPINormalized[2015])*100</f>
        <v>17431.635043187296</v>
      </c>
      <c r="CR82" s="39">
        <f>(BT82/CPINormalized[2016])*100</f>
        <v>17290.692206123051</v>
      </c>
      <c r="CS82" s="39">
        <f>(BU82/CPINormalized[2017])*100</f>
        <v>17675.586091798508</v>
      </c>
    </row>
    <row r="83" spans="1:97">
      <c r="A83" s="319" t="s">
        <v>74</v>
      </c>
      <c r="B83" s="367">
        <v>4874</v>
      </c>
      <c r="C83" s="367">
        <v>4913</v>
      </c>
      <c r="D83" s="367">
        <v>4878</v>
      </c>
      <c r="E83" s="367">
        <v>4974</v>
      </c>
      <c r="F83" s="367">
        <v>4976</v>
      </c>
      <c r="G83" s="367">
        <v>4956</v>
      </c>
      <c r="H83" s="367">
        <v>4877</v>
      </c>
      <c r="I83" s="367">
        <v>4879</v>
      </c>
      <c r="J83" s="367">
        <v>4838</v>
      </c>
      <c r="K83" s="367">
        <v>4793</v>
      </c>
      <c r="L83" s="367">
        <v>4823</v>
      </c>
      <c r="M83" s="367">
        <v>4830</v>
      </c>
      <c r="N83" s="367">
        <v>4818</v>
      </c>
      <c r="O83" s="367">
        <v>4842</v>
      </c>
      <c r="P83" s="367">
        <v>4833</v>
      </c>
      <c r="Q83" s="367">
        <v>4843</v>
      </c>
      <c r="R83" s="367">
        <v>4877</v>
      </c>
      <c r="S83" s="611">
        <v>4921</v>
      </c>
      <c r="T83" s="748">
        <v>4865</v>
      </c>
      <c r="U83" s="748">
        <v>4859</v>
      </c>
      <c r="V83" s="748">
        <v>4932</v>
      </c>
      <c r="W83" s="892">
        <v>4963</v>
      </c>
      <c r="X83" s="742"/>
      <c r="Y83" s="742"/>
      <c r="Z83" s="367" t="s">
        <v>74</v>
      </c>
      <c r="AA83" s="367">
        <v>90660</v>
      </c>
      <c r="AB83" s="367">
        <v>97982</v>
      </c>
      <c r="AC83" s="367">
        <v>94192</v>
      </c>
      <c r="AD83" s="367">
        <v>95373</v>
      </c>
      <c r="AE83" s="367">
        <v>104433</v>
      </c>
      <c r="AF83" s="367">
        <v>102759</v>
      </c>
      <c r="AG83" s="367">
        <v>98543</v>
      </c>
      <c r="AH83" s="367">
        <v>107613</v>
      </c>
      <c r="AI83" s="367">
        <v>122085</v>
      </c>
      <c r="AJ83" s="367">
        <v>115901</v>
      </c>
      <c r="AK83" s="367">
        <v>122994</v>
      </c>
      <c r="AL83" s="367">
        <v>134944</v>
      </c>
      <c r="AM83" s="367">
        <v>134092</v>
      </c>
      <c r="AN83" s="367">
        <v>138630</v>
      </c>
      <c r="AO83" s="367">
        <v>139880</v>
      </c>
      <c r="AP83" s="367">
        <v>144599</v>
      </c>
      <c r="AQ83" s="415">
        <v>153895</v>
      </c>
      <c r="AR83" s="8">
        <v>173942</v>
      </c>
      <c r="AS83" s="684">
        <v>190955</v>
      </c>
      <c r="AT83" s="684">
        <v>157601</v>
      </c>
      <c r="AU83" s="683">
        <v>162471</v>
      </c>
      <c r="AV83" s="8">
        <v>160968</v>
      </c>
      <c r="AW83" s="684"/>
      <c r="AX83" s="683"/>
      <c r="AY83" s="367" t="s">
        <v>74</v>
      </c>
      <c r="AZ83" s="39">
        <f t="shared" si="44"/>
        <v>18600.73861304883</v>
      </c>
      <c r="BA83" s="39">
        <f t="shared" si="45"/>
        <v>19943.415428455119</v>
      </c>
      <c r="BB83" s="39">
        <f t="shared" si="46"/>
        <v>19309.553095530955</v>
      </c>
      <c r="BC83" s="39">
        <f t="shared" si="47"/>
        <v>19174.306393244871</v>
      </c>
      <c r="BD83" s="39">
        <f t="shared" si="48"/>
        <v>20987.339228295819</v>
      </c>
      <c r="BE83" s="39">
        <f t="shared" si="49"/>
        <v>20734.261501210654</v>
      </c>
      <c r="BF83" s="39">
        <f t="shared" si="50"/>
        <v>20205.659216731598</v>
      </c>
      <c r="BG83" s="39">
        <f t="shared" si="51"/>
        <v>22056.364009018242</v>
      </c>
      <c r="BH83" s="39">
        <f t="shared" si="52"/>
        <v>25234.60107482431</v>
      </c>
      <c r="BI83" s="39">
        <f t="shared" si="53"/>
        <v>24181.306071354058</v>
      </c>
      <c r="BJ83" s="39">
        <f t="shared" si="54"/>
        <v>25501.555048724862</v>
      </c>
      <c r="BK83" s="39">
        <f t="shared" si="55"/>
        <v>27938.716356107663</v>
      </c>
      <c r="BL83" s="39">
        <f t="shared" si="56"/>
        <v>27831.465338314654</v>
      </c>
      <c r="BM83" s="39">
        <f t="shared" si="57"/>
        <v>28630.731102850063</v>
      </c>
      <c r="BN83" s="39">
        <f t="shared" si="58"/>
        <v>28942.685702462237</v>
      </c>
      <c r="BO83" s="39">
        <f t="shared" si="59"/>
        <v>29857.319843072473</v>
      </c>
      <c r="BP83" s="39">
        <f t="shared" si="60"/>
        <v>31555.259380766867</v>
      </c>
      <c r="BQ83" s="39">
        <f t="shared" si="61"/>
        <v>35346.880715301762</v>
      </c>
      <c r="BR83" s="39">
        <f t="shared" si="62"/>
        <v>39250.770811921888</v>
      </c>
      <c r="BS83" s="39">
        <f t="shared" si="63"/>
        <v>32434.863140563906</v>
      </c>
      <c r="BT83" s="39">
        <f t="shared" si="64"/>
        <v>32942.214111922141</v>
      </c>
      <c r="BU83" s="39">
        <f t="shared" si="65"/>
        <v>32433.608704412654</v>
      </c>
      <c r="BW83" s="367" t="s">
        <v>74</v>
      </c>
      <c r="BX83" s="39">
        <f>(AZ83/CPINormalized[1996])*100</f>
        <v>18600.73861304883</v>
      </c>
      <c r="BY83" s="39">
        <f>(BA83/CPINormalized[1997])*100</f>
        <v>19496.08648426547</v>
      </c>
      <c r="BZ83" s="39">
        <f>(BB83/CPINormalized[1998])*100</f>
        <v>18586.925648397591</v>
      </c>
      <c r="CA83" s="39">
        <f>(BC83/CPINormalized[1999])*100</f>
        <v>18057.915204682595</v>
      </c>
      <c r="CB83" s="39">
        <f>(BD83/CPINormalized[2000])*100</f>
        <v>19122.610481530864</v>
      </c>
      <c r="CC83" s="39">
        <f>(BE83/CPINormalized[2001])*100</f>
        <v>18369.314678373528</v>
      </c>
      <c r="CD83" s="39">
        <f>(BF83/CPINormalized[2002])*100</f>
        <v>17622.389833825389</v>
      </c>
      <c r="CE83" s="39">
        <f>(BG83/CPINormalized[2003])*100</f>
        <v>18807.845179429143</v>
      </c>
      <c r="CF83" s="39">
        <f>(BH83/CPINormalized[2004])*100</f>
        <v>20959.814233138881</v>
      </c>
      <c r="CG83" s="39">
        <f>(BI83/CPINormalized[2005])*100</f>
        <v>19426.763556556329</v>
      </c>
      <c r="CH83" s="39">
        <f>(BJ83/CPINormalized[2006])*100</f>
        <v>19847.192396552236</v>
      </c>
      <c r="CI83" s="39">
        <f>(BK83/CPINormalized[2007])*100</f>
        <v>21141.807237671539</v>
      </c>
      <c r="CJ83" s="39">
        <f>(BL83/CPINormalized[2008])*100</f>
        <v>20281.913914722834</v>
      </c>
      <c r="CK83" s="39">
        <f>(BM83/CPINormalized[2009])*100</f>
        <v>20938.867002135645</v>
      </c>
      <c r="CL83" s="39">
        <f>(BN83/CPINormalized[2010])*100</f>
        <v>20825.418180267108</v>
      </c>
      <c r="CM83" s="39">
        <f>(BO83/CPINormalized[2011])*100</f>
        <v>20826.150571390783</v>
      </c>
      <c r="CN83" s="39">
        <f>(BP83/CPINormalized[2012])*100</f>
        <v>21564.240340959786</v>
      </c>
      <c r="CO83" s="39">
        <f>(BQ83/CPINormalized[2013])*100</f>
        <v>23806.649228101527</v>
      </c>
      <c r="CP83" s="39">
        <f>(BR83/CPINormalized[2014])*100</f>
        <v>26013.981567613486</v>
      </c>
      <c r="CQ83" s="39">
        <f>(BS83/CPINormalized[2015])*100</f>
        <v>21471.16040939881</v>
      </c>
      <c r="CR83" s="39">
        <f>(BT83/CPINormalized[2016])*100</f>
        <v>21535.344361458556</v>
      </c>
      <c r="CS83" s="39">
        <f>(BU83/CPINormalized[2017])*100</f>
        <v>20760.579331439072</v>
      </c>
    </row>
    <row r="84" spans="1:97">
      <c r="A84" s="319" t="s">
        <v>75</v>
      </c>
      <c r="B84" s="367">
        <v>40109</v>
      </c>
      <c r="C84" s="367">
        <v>40276</v>
      </c>
      <c r="D84" s="367">
        <v>40204</v>
      </c>
      <c r="E84" s="367">
        <v>40464</v>
      </c>
      <c r="F84" s="367">
        <v>40371</v>
      </c>
      <c r="G84" s="367">
        <v>40206</v>
      </c>
      <c r="H84" s="367">
        <v>39885</v>
      </c>
      <c r="I84" s="367">
        <v>39850</v>
      </c>
      <c r="J84" s="367">
        <v>39704</v>
      </c>
      <c r="K84" s="367">
        <v>39719</v>
      </c>
      <c r="L84" s="367">
        <v>39626</v>
      </c>
      <c r="M84" s="367">
        <v>39509</v>
      </c>
      <c r="N84" s="367">
        <v>39293</v>
      </c>
      <c r="O84" s="367">
        <v>39185</v>
      </c>
      <c r="P84" s="367">
        <v>39228</v>
      </c>
      <c r="Q84" s="367">
        <v>39115</v>
      </c>
      <c r="R84" s="367">
        <v>39139</v>
      </c>
      <c r="S84" s="611">
        <v>39290</v>
      </c>
      <c r="T84" s="748">
        <v>38878</v>
      </c>
      <c r="U84" s="748">
        <v>39004</v>
      </c>
      <c r="V84" s="748">
        <v>38745</v>
      </c>
      <c r="W84" s="892">
        <v>38541</v>
      </c>
      <c r="X84" s="742"/>
      <c r="Y84" s="742"/>
      <c r="Z84" s="367" t="s">
        <v>75</v>
      </c>
      <c r="AA84" s="367">
        <v>771790</v>
      </c>
      <c r="AB84" s="367">
        <v>800996</v>
      </c>
      <c r="AC84" s="367">
        <v>825792</v>
      </c>
      <c r="AD84" s="367">
        <v>870625</v>
      </c>
      <c r="AE84" s="367">
        <v>932420</v>
      </c>
      <c r="AF84" s="367">
        <v>951161</v>
      </c>
      <c r="AG84" s="367">
        <v>964496</v>
      </c>
      <c r="AH84" s="367">
        <v>1015198</v>
      </c>
      <c r="AI84" s="367">
        <v>1091368</v>
      </c>
      <c r="AJ84" s="367">
        <v>1115557</v>
      </c>
      <c r="AK84" s="367">
        <v>1172035</v>
      </c>
      <c r="AL84" s="367">
        <v>1232550</v>
      </c>
      <c r="AM84" s="367">
        <v>1302939</v>
      </c>
      <c r="AN84" s="367">
        <v>1321677</v>
      </c>
      <c r="AO84" s="367">
        <v>1344094</v>
      </c>
      <c r="AP84" s="367">
        <v>1416652</v>
      </c>
      <c r="AQ84" s="415">
        <v>1464836</v>
      </c>
      <c r="AR84" s="8">
        <v>1551294</v>
      </c>
      <c r="AS84" s="684">
        <v>1424601</v>
      </c>
      <c r="AT84" s="684">
        <v>1430376</v>
      </c>
      <c r="AU84" s="683">
        <v>1453606</v>
      </c>
      <c r="AV84" s="8">
        <v>1474387</v>
      </c>
      <c r="AW84" s="684"/>
      <c r="AX84" s="683"/>
      <c r="AY84" s="367" t="s">
        <v>75</v>
      </c>
      <c r="AZ84" s="39">
        <f t="shared" si="44"/>
        <v>19242.314692463038</v>
      </c>
      <c r="BA84" s="39">
        <f t="shared" si="45"/>
        <v>19887.675042208761</v>
      </c>
      <c r="BB84" s="39">
        <f t="shared" si="46"/>
        <v>20540.045766590389</v>
      </c>
      <c r="BC84" s="39">
        <f t="shared" si="47"/>
        <v>21516.038948200869</v>
      </c>
      <c r="BD84" s="39">
        <f t="shared" si="48"/>
        <v>23096.281984592904</v>
      </c>
      <c r="BE84" s="39">
        <f t="shared" si="49"/>
        <v>23657.190469084217</v>
      </c>
      <c r="BF84" s="39">
        <f t="shared" si="50"/>
        <v>24181.923028707533</v>
      </c>
      <c r="BG84" s="39">
        <f t="shared" si="51"/>
        <v>25475.483061480554</v>
      </c>
      <c r="BH84" s="39">
        <f t="shared" si="52"/>
        <v>27487.608301430588</v>
      </c>
      <c r="BI84" s="39">
        <f t="shared" si="53"/>
        <v>28086.230771167451</v>
      </c>
      <c r="BJ84" s="39">
        <f t="shared" si="54"/>
        <v>29577.423913592083</v>
      </c>
      <c r="BK84" s="39">
        <f t="shared" si="55"/>
        <v>31196.689361917539</v>
      </c>
      <c r="BL84" s="39">
        <f t="shared" si="56"/>
        <v>33159.570406942716</v>
      </c>
      <c r="BM84" s="39">
        <f t="shared" si="57"/>
        <v>33729.156565012119</v>
      </c>
      <c r="BN84" s="39">
        <f t="shared" si="58"/>
        <v>34263.638217599677</v>
      </c>
      <c r="BO84" s="39">
        <f t="shared" si="59"/>
        <v>36217.614725808518</v>
      </c>
      <c r="BP84" s="39">
        <f t="shared" si="60"/>
        <v>37426.505531566982</v>
      </c>
      <c r="BQ84" s="39">
        <f t="shared" si="61"/>
        <v>39483.176380758465</v>
      </c>
      <c r="BR84" s="39">
        <f t="shared" si="62"/>
        <v>36642.857142857145</v>
      </c>
      <c r="BS84" s="39">
        <f t="shared" si="63"/>
        <v>36672.546405496876</v>
      </c>
      <c r="BT84" s="39">
        <f t="shared" si="64"/>
        <v>37517.253839205063</v>
      </c>
      <c r="BU84" s="39">
        <f t="shared" si="65"/>
        <v>38255.027113982513</v>
      </c>
      <c r="BW84" s="367" t="s">
        <v>75</v>
      </c>
      <c r="BX84" s="39">
        <f>(AZ84/CPINormalized[1996])*100</f>
        <v>19242.314692463038</v>
      </c>
      <c r="BY84" s="39">
        <f>(BA84/CPINormalized[1997])*100</f>
        <v>19441.596349673237</v>
      </c>
      <c r="BZ84" s="39">
        <f>(BB84/CPINormalized[1998])*100</f>
        <v>19771.369207227192</v>
      </c>
      <c r="CA84" s="39">
        <f>(BC84/CPINormalized[1999])*100</f>
        <v>20263.304387591335</v>
      </c>
      <c r="CB84" s="39">
        <f>(BD84/CPINormalized[2000])*100</f>
        <v>21044.173306519322</v>
      </c>
      <c r="CC84" s="39">
        <f>(BE84/CPINormalized[2001])*100</f>
        <v>20958.854797285792</v>
      </c>
      <c r="CD84" s="39">
        <f>(BF84/CPINormalized[2002])*100</f>
        <v>21090.293069506457</v>
      </c>
      <c r="CE84" s="39">
        <f>(BG84/CPINormalized[2003])*100</f>
        <v>21723.387458403802</v>
      </c>
      <c r="CF84" s="39">
        <f>(BH84/CPINormalized[2004])*100</f>
        <v>22831.157980383588</v>
      </c>
      <c r="CG84" s="39">
        <f>(BI84/CPINormalized[2005])*100</f>
        <v>22563.899682520085</v>
      </c>
      <c r="CH84" s="39">
        <f>(BJ84/CPINormalized[2006])*100</f>
        <v>23019.334385131937</v>
      </c>
      <c r="CI84" s="39">
        <f>(BK84/CPINormalized[2007])*100</f>
        <v>23607.183112369232</v>
      </c>
      <c r="CJ84" s="39">
        <f>(BL84/CPINormalized[2008])*100</f>
        <v>24164.719473715242</v>
      </c>
      <c r="CK84" s="39">
        <f>(BM84/CPINormalized[2009])*100</f>
        <v>24667.561609654287</v>
      </c>
      <c r="CL84" s="39">
        <f>(BN84/CPINormalized[2010])*100</f>
        <v>24654.056005527887</v>
      </c>
      <c r="CM84" s="39">
        <f>(BO84/CPINormalized[2011])*100</f>
        <v>25262.598973407712</v>
      </c>
      <c r="CN84" s="39">
        <f>(BP84/CPINormalized[2012])*100</f>
        <v>25576.5338724133</v>
      </c>
      <c r="CO84" s="39">
        <f>(BQ84/CPINormalized[2013])*100</f>
        <v>26592.505802105126</v>
      </c>
      <c r="CP84" s="39">
        <f>(BR84/CPINormalized[2014])*100</f>
        <v>24285.551355578737</v>
      </c>
      <c r="CQ84" s="39">
        <f>(BS84/CPINormalized[2015])*100</f>
        <v>24276.412793269934</v>
      </c>
      <c r="CR84" s="39">
        <f>(BT84/CPINormalized[2016])*100</f>
        <v>24526.189350190925</v>
      </c>
      <c r="CS84" s="39">
        <f>(BU84/CPINormalized[2017])*100</f>
        <v>24486.838096376698</v>
      </c>
    </row>
    <row r="85" spans="1:97">
      <c r="A85" s="319" t="s">
        <v>76</v>
      </c>
      <c r="B85" s="367">
        <v>8042</v>
      </c>
      <c r="C85" s="367">
        <v>8209</v>
      </c>
      <c r="D85" s="367">
        <v>8360</v>
      </c>
      <c r="E85" s="367">
        <v>8335</v>
      </c>
      <c r="F85" s="367">
        <v>8331</v>
      </c>
      <c r="G85" s="367">
        <v>8303</v>
      </c>
      <c r="H85" s="367">
        <v>8273</v>
      </c>
      <c r="I85" s="367">
        <v>8213</v>
      </c>
      <c r="J85" s="367">
        <v>8254</v>
      </c>
      <c r="K85" s="367">
        <v>8300</v>
      </c>
      <c r="L85" s="367">
        <v>8313</v>
      </c>
      <c r="M85" s="367">
        <v>8402</v>
      </c>
      <c r="N85" s="367">
        <v>8420</v>
      </c>
      <c r="O85" s="367">
        <v>8446</v>
      </c>
      <c r="P85" s="367">
        <v>8437</v>
      </c>
      <c r="Q85" s="367">
        <v>8415</v>
      </c>
      <c r="R85" s="367">
        <v>8318</v>
      </c>
      <c r="S85" s="611">
        <v>8297</v>
      </c>
      <c r="T85" s="748">
        <v>8286</v>
      </c>
      <c r="U85" s="748">
        <v>8233</v>
      </c>
      <c r="V85" s="748">
        <v>8168</v>
      </c>
      <c r="W85" s="892">
        <v>8249</v>
      </c>
      <c r="X85" s="742"/>
      <c r="Y85" s="742"/>
      <c r="Z85" s="367" t="s">
        <v>76</v>
      </c>
      <c r="AA85" s="367">
        <v>106815</v>
      </c>
      <c r="AB85" s="367">
        <v>115609</v>
      </c>
      <c r="AC85" s="367">
        <v>122355</v>
      </c>
      <c r="AD85" s="367">
        <v>127605</v>
      </c>
      <c r="AE85" s="367">
        <v>137753</v>
      </c>
      <c r="AF85" s="367">
        <v>139424</v>
      </c>
      <c r="AG85" s="367">
        <v>145466</v>
      </c>
      <c r="AH85" s="367">
        <v>150771</v>
      </c>
      <c r="AI85" s="367">
        <v>162356</v>
      </c>
      <c r="AJ85" s="367">
        <v>167645</v>
      </c>
      <c r="AK85" s="367">
        <v>170714</v>
      </c>
      <c r="AL85" s="367">
        <v>174581</v>
      </c>
      <c r="AM85" s="367">
        <v>175492</v>
      </c>
      <c r="AN85" s="367">
        <v>181553</v>
      </c>
      <c r="AO85" s="367">
        <v>184304</v>
      </c>
      <c r="AP85" s="367">
        <v>187949</v>
      </c>
      <c r="AQ85" s="415">
        <v>196136</v>
      </c>
      <c r="AR85" s="8">
        <v>210565</v>
      </c>
      <c r="AS85" s="684">
        <v>193845</v>
      </c>
      <c r="AT85" s="684">
        <v>200643</v>
      </c>
      <c r="AU85" s="683">
        <v>199493</v>
      </c>
      <c r="AV85" s="8">
        <v>232702</v>
      </c>
      <c r="AW85" s="684"/>
      <c r="AX85" s="683"/>
      <c r="AY85" s="367" t="s">
        <v>76</v>
      </c>
      <c r="AZ85" s="39">
        <f t="shared" si="44"/>
        <v>13282.143745336982</v>
      </c>
      <c r="BA85" s="39">
        <f t="shared" si="45"/>
        <v>14083.201364356193</v>
      </c>
      <c r="BB85" s="39">
        <f t="shared" si="46"/>
        <v>14635.765550239235</v>
      </c>
      <c r="BC85" s="39">
        <f t="shared" si="47"/>
        <v>15309.538092381525</v>
      </c>
      <c r="BD85" s="39">
        <f t="shared" si="48"/>
        <v>16534.9897971432</v>
      </c>
      <c r="BE85" s="39">
        <f t="shared" si="49"/>
        <v>16792.002890521497</v>
      </c>
      <c r="BF85" s="39">
        <f t="shared" si="50"/>
        <v>17583.222531125346</v>
      </c>
      <c r="BG85" s="39">
        <f t="shared" si="51"/>
        <v>18357.603798855471</v>
      </c>
      <c r="BH85" s="39">
        <f t="shared" si="52"/>
        <v>19669.978192391569</v>
      </c>
      <c r="BI85" s="39">
        <f t="shared" si="53"/>
        <v>20198.192771084337</v>
      </c>
      <c r="BJ85" s="39">
        <f t="shared" si="54"/>
        <v>20535.787321063395</v>
      </c>
      <c r="BK85" s="39">
        <f t="shared" si="55"/>
        <v>20778.505117829089</v>
      </c>
      <c r="BL85" s="39">
        <f t="shared" si="56"/>
        <v>20842.280285035627</v>
      </c>
      <c r="BM85" s="39">
        <f t="shared" si="57"/>
        <v>21495.737627279188</v>
      </c>
      <c r="BN85" s="39">
        <f t="shared" si="58"/>
        <v>21844.731539646793</v>
      </c>
      <c r="BO85" s="39">
        <f t="shared" si="59"/>
        <v>22334.997029114675</v>
      </c>
      <c r="BP85" s="39">
        <f t="shared" si="60"/>
        <v>23579.706660254866</v>
      </c>
      <c r="BQ85" s="39">
        <f t="shared" si="61"/>
        <v>25378.450042183922</v>
      </c>
      <c r="BR85" s="39">
        <f t="shared" si="62"/>
        <v>23394.279507603187</v>
      </c>
      <c r="BS85" s="39">
        <f t="shared" si="63"/>
        <v>24370.581804931371</v>
      </c>
      <c r="BT85" s="39">
        <f t="shared" si="64"/>
        <v>24423.726738491674</v>
      </c>
      <c r="BU85" s="39">
        <f t="shared" si="65"/>
        <v>28209.722390592797</v>
      </c>
      <c r="BW85" s="367" t="s">
        <v>76</v>
      </c>
      <c r="BX85" s="39">
        <f>(AZ85/CPINormalized[1996])*100</f>
        <v>13282.143745336982</v>
      </c>
      <c r="BY85" s="39">
        <f>(BA85/CPINormalized[1997])*100</f>
        <v>13767.316473940728</v>
      </c>
      <c r="BZ85" s="39">
        <f>(BB85/CPINormalized[1998])*100</f>
        <v>14088.046716764025</v>
      </c>
      <c r="CA85" s="39">
        <f>(BC85/CPINormalized[1999])*100</f>
        <v>14418.166426738662</v>
      </c>
      <c r="CB85" s="39">
        <f>(BD85/CPINormalized[2000])*100</f>
        <v>15065.853073006787</v>
      </c>
      <c r="CC85" s="39">
        <f>(BE85/CPINormalized[2001])*100</f>
        <v>14876.709506057725</v>
      </c>
      <c r="CD85" s="39">
        <f>(BF85/CPINormalized[2002])*100</f>
        <v>15335.228544377804</v>
      </c>
      <c r="CE85" s="39">
        <f>(BG85/CPINormalized[2003])*100</f>
        <v>15653.848021958822</v>
      </c>
      <c r="CF85" s="39">
        <f>(BH85/CPINormalized[2004])*100</f>
        <v>16337.848482722273</v>
      </c>
      <c r="CG85" s="39">
        <f>(BI85/CPINormalized[2005])*100</f>
        <v>16226.812318398015</v>
      </c>
      <c r="CH85" s="39">
        <f>(BJ85/CPINormalized[2006])*100</f>
        <v>15982.465429934757</v>
      </c>
      <c r="CI85" s="39">
        <f>(BK85/CPINormalized[2007])*100</f>
        <v>15723.526603328723</v>
      </c>
      <c r="CJ85" s="39">
        <f>(BL85/CPINormalized[2008])*100</f>
        <v>15188.612219625784</v>
      </c>
      <c r="CK85" s="39">
        <f>(BM85/CPINormalized[2009])*100</f>
        <v>15720.743898349025</v>
      </c>
      <c r="CL85" s="39">
        <f>(BN85/CPINormalized[2010])*100</f>
        <v>15718.156705481993</v>
      </c>
      <c r="CM85" s="39">
        <f>(BO85/CPINormalized[2011])*100</f>
        <v>15579.161612117474</v>
      </c>
      <c r="CN85" s="39">
        <f>(BP85/CPINormalized[2012])*100</f>
        <v>16113.905306732704</v>
      </c>
      <c r="CO85" s="39">
        <f>(BQ85/CPINormalized[2013])*100</f>
        <v>17092.763091981171</v>
      </c>
      <c r="CP85" s="39">
        <f>(BR85/CPINormalized[2014])*100</f>
        <v>15504.876549164221</v>
      </c>
      <c r="CQ85" s="39">
        <f>(BS85/CPINormalized[2015])*100</f>
        <v>16132.784927636972</v>
      </c>
      <c r="CR85" s="39">
        <f>(BT85/CPINormalized[2016])*100</f>
        <v>15966.54566437372</v>
      </c>
      <c r="CS85" s="39">
        <f>(BU85/CPINormalized[2017])*100</f>
        <v>18056.892310231764</v>
      </c>
    </row>
    <row r="86" spans="1:97">
      <c r="A86" s="319" t="s">
        <v>77</v>
      </c>
      <c r="B86" s="367">
        <v>6946</v>
      </c>
      <c r="C86" s="367">
        <v>6884</v>
      </c>
      <c r="D86" s="367">
        <v>6865</v>
      </c>
      <c r="E86" s="367">
        <v>6812</v>
      </c>
      <c r="F86" s="367">
        <v>6790</v>
      </c>
      <c r="G86" s="367">
        <v>6787</v>
      </c>
      <c r="H86" s="367">
        <v>6724</v>
      </c>
      <c r="I86" s="367">
        <v>6669</v>
      </c>
      <c r="J86" s="367">
        <v>6661</v>
      </c>
      <c r="K86" s="367">
        <v>6683</v>
      </c>
      <c r="L86" s="367">
        <v>6533</v>
      </c>
      <c r="M86" s="367">
        <v>6500</v>
      </c>
      <c r="N86" s="367">
        <v>6421</v>
      </c>
      <c r="O86" s="367">
        <v>6369</v>
      </c>
      <c r="P86" s="367">
        <v>6371</v>
      </c>
      <c r="Q86" s="367">
        <v>6247</v>
      </c>
      <c r="R86" s="367">
        <v>6234</v>
      </c>
      <c r="S86" s="611">
        <v>6177</v>
      </c>
      <c r="T86" s="748">
        <v>6126</v>
      </c>
      <c r="U86" s="748">
        <v>6132</v>
      </c>
      <c r="V86" s="748">
        <v>6082</v>
      </c>
      <c r="W86" s="892">
        <v>6021</v>
      </c>
      <c r="X86" s="742"/>
      <c r="Y86" s="742"/>
      <c r="Z86" s="367" t="s">
        <v>77</v>
      </c>
      <c r="AA86" s="367">
        <v>146581</v>
      </c>
      <c r="AB86" s="367">
        <v>155582</v>
      </c>
      <c r="AC86" s="367">
        <v>141096</v>
      </c>
      <c r="AD86" s="367">
        <v>135368</v>
      </c>
      <c r="AE86" s="367">
        <v>169076</v>
      </c>
      <c r="AF86" s="367">
        <v>165531</v>
      </c>
      <c r="AG86" s="367">
        <v>149643</v>
      </c>
      <c r="AH86" s="367">
        <v>162060</v>
      </c>
      <c r="AI86" s="367">
        <v>186209</v>
      </c>
      <c r="AJ86" s="367">
        <v>164328</v>
      </c>
      <c r="AK86" s="367">
        <v>175905</v>
      </c>
      <c r="AL86" s="367">
        <v>192569</v>
      </c>
      <c r="AM86" s="367">
        <v>202203</v>
      </c>
      <c r="AN86" s="367">
        <v>204342</v>
      </c>
      <c r="AO86" s="367">
        <v>203740</v>
      </c>
      <c r="AP86" s="367">
        <v>218454</v>
      </c>
      <c r="AQ86" s="415">
        <v>206800</v>
      </c>
      <c r="AR86" s="8">
        <v>237499</v>
      </c>
      <c r="AS86" s="684">
        <v>270498</v>
      </c>
      <c r="AT86" s="684">
        <v>232475</v>
      </c>
      <c r="AU86" s="683">
        <v>233780</v>
      </c>
      <c r="AV86" s="8">
        <v>224859</v>
      </c>
      <c r="AW86" s="684"/>
      <c r="AX86" s="683"/>
      <c r="AY86" s="367" t="s">
        <v>77</v>
      </c>
      <c r="AZ86" s="39">
        <f t="shared" si="44"/>
        <v>21102.936942124961</v>
      </c>
      <c r="BA86" s="39">
        <f t="shared" si="45"/>
        <v>22600.522951772225</v>
      </c>
      <c r="BB86" s="39">
        <f t="shared" si="46"/>
        <v>20552.949745083759</v>
      </c>
      <c r="BC86" s="39">
        <f t="shared" si="47"/>
        <v>19871.990604815033</v>
      </c>
      <c r="BD86" s="39">
        <f t="shared" si="48"/>
        <v>24900.736377025038</v>
      </c>
      <c r="BE86" s="39">
        <f t="shared" si="49"/>
        <v>24389.420951819655</v>
      </c>
      <c r="BF86" s="39">
        <f t="shared" si="50"/>
        <v>22255.056513979773</v>
      </c>
      <c r="BG86" s="39">
        <f t="shared" si="51"/>
        <v>24300.494826810616</v>
      </c>
      <c r="BH86" s="39">
        <f t="shared" si="52"/>
        <v>27955.11184506831</v>
      </c>
      <c r="BI86" s="39">
        <f t="shared" si="53"/>
        <v>24588.957055214723</v>
      </c>
      <c r="BJ86" s="39">
        <f t="shared" si="54"/>
        <v>26925.608449410684</v>
      </c>
      <c r="BK86" s="39">
        <f t="shared" si="55"/>
        <v>29626</v>
      </c>
      <c r="BL86" s="39">
        <f t="shared" si="56"/>
        <v>31490.889269584175</v>
      </c>
      <c r="BM86" s="39">
        <f t="shared" si="57"/>
        <v>32083.843617522376</v>
      </c>
      <c r="BN86" s="39">
        <f t="shared" si="58"/>
        <v>31979.281117563962</v>
      </c>
      <c r="BO86" s="39">
        <f t="shared" si="59"/>
        <v>34969.425324155593</v>
      </c>
      <c r="BP86" s="39">
        <f t="shared" si="60"/>
        <v>33172.922682066084</v>
      </c>
      <c r="BQ86" s="39">
        <f t="shared" si="61"/>
        <v>38448.923425611145</v>
      </c>
      <c r="BR86" s="39">
        <f t="shared" si="62"/>
        <v>44155.729676787465</v>
      </c>
      <c r="BS86" s="39">
        <f t="shared" si="63"/>
        <v>37911.774298760596</v>
      </c>
      <c r="BT86" s="39">
        <f t="shared" si="64"/>
        <v>38438.013811246303</v>
      </c>
      <c r="BU86" s="39">
        <f t="shared" si="65"/>
        <v>37345.789735924263</v>
      </c>
      <c r="BW86" s="367" t="s">
        <v>77</v>
      </c>
      <c r="BX86" s="39">
        <f>(AZ86/CPINormalized[1996])*100</f>
        <v>21102.936942124961</v>
      </c>
      <c r="BY86" s="39">
        <f>(BA86/CPINormalized[1997])*100</f>
        <v>22093.595334162379</v>
      </c>
      <c r="BZ86" s="39">
        <f>(BB86/CPINormalized[1998])*100</f>
        <v>19783.790276095966</v>
      </c>
      <c r="CA86" s="39">
        <f>(BC86/CPINormalized[1999])*100</f>
        <v>18714.977946551495</v>
      </c>
      <c r="CB86" s="39">
        <f>(BD86/CPINormalized[2000])*100</f>
        <v>22688.301611818984</v>
      </c>
      <c r="CC86" s="39">
        <f>(BE86/CPINormalized[2001])*100</f>
        <v>21607.56717865897</v>
      </c>
      <c r="CD86" s="39">
        <f>(BF86/CPINormalized[2002])*100</f>
        <v>19409.774135872296</v>
      </c>
      <c r="CE86" s="39">
        <f>(BG86/CPINormalized[2003])*100</f>
        <v>20721.45455612275</v>
      </c>
      <c r="CF86" s="39">
        <f>(BH86/CPINormalized[2004])*100</f>
        <v>23219.465582272198</v>
      </c>
      <c r="CG86" s="39">
        <f>(BI86/CPINormalized[2005])*100</f>
        <v>19754.261966017355</v>
      </c>
      <c r="CH86" s="39">
        <f>(BJ86/CPINormalized[2006])*100</f>
        <v>20955.495861669329</v>
      </c>
      <c r="CI86" s="39">
        <f>(BK86/CPINormalized[2007])*100</f>
        <v>22418.609833029488</v>
      </c>
      <c r="CJ86" s="39">
        <f>(BL86/CPINormalized[2008])*100</f>
        <v>22948.684070346248</v>
      </c>
      <c r="CK86" s="39">
        <f>(BM86/CPINormalized[2009])*100</f>
        <v>23464.274524157885</v>
      </c>
      <c r="CL86" s="39">
        <f>(BN86/CPINormalized[2010])*100</f>
        <v>23010.369846946589</v>
      </c>
      <c r="CM86" s="39">
        <f>(BO86/CPINormalized[2011])*100</f>
        <v>24391.95885711243</v>
      </c>
      <c r="CN86" s="39">
        <f>(BP86/CPINormalized[2012])*100</f>
        <v>22669.719456153769</v>
      </c>
      <c r="CO86" s="39">
        <f>(BQ86/CPINormalized[2013])*100</f>
        <v>25895.921073324211</v>
      </c>
      <c r="CP86" s="39">
        <f>(BR86/CPINormalized[2014])*100</f>
        <v>29264.809687956011</v>
      </c>
      <c r="CQ86" s="39">
        <f>(BS86/CPINormalized[2015])*100</f>
        <v>25096.754188414914</v>
      </c>
      <c r="CR86" s="39">
        <f>(BT86/CPINormalized[2016])*100</f>
        <v>25128.118625642353</v>
      </c>
      <c r="CS86" s="39">
        <f>(BU86/CPINormalized[2017])*100</f>
        <v>23904.840117356871</v>
      </c>
    </row>
    <row r="87" spans="1:97">
      <c r="A87" s="319" t="s">
        <v>78</v>
      </c>
      <c r="B87" s="367">
        <v>29697</v>
      </c>
      <c r="C87" s="367">
        <v>29673</v>
      </c>
      <c r="D87" s="367">
        <v>29834</v>
      </c>
      <c r="E87" s="367">
        <v>29721</v>
      </c>
      <c r="F87" s="367">
        <v>29756</v>
      </c>
      <c r="G87" s="367">
        <v>29772</v>
      </c>
      <c r="H87" s="367">
        <v>29976</v>
      </c>
      <c r="I87" s="367">
        <v>29908</v>
      </c>
      <c r="J87" s="367">
        <v>30064</v>
      </c>
      <c r="K87" s="367">
        <v>30240</v>
      </c>
      <c r="L87" s="367">
        <v>30314</v>
      </c>
      <c r="M87" s="367">
        <v>30253</v>
      </c>
      <c r="N87" s="367">
        <v>30062</v>
      </c>
      <c r="O87" s="367">
        <v>29821</v>
      </c>
      <c r="P87" s="367">
        <v>30006</v>
      </c>
      <c r="Q87" s="367">
        <v>29827</v>
      </c>
      <c r="R87" s="367">
        <v>29795</v>
      </c>
      <c r="S87" s="611">
        <v>29780</v>
      </c>
      <c r="T87" s="748">
        <v>29867</v>
      </c>
      <c r="U87" s="748">
        <v>29786</v>
      </c>
      <c r="V87" s="748">
        <v>29588</v>
      </c>
      <c r="W87" s="892">
        <v>29369</v>
      </c>
      <c r="X87" s="742"/>
      <c r="Y87" s="742"/>
      <c r="Z87" s="367" t="s">
        <v>78</v>
      </c>
      <c r="AA87" s="367">
        <v>548058</v>
      </c>
      <c r="AB87" s="367">
        <v>556835</v>
      </c>
      <c r="AC87" s="367">
        <v>547698</v>
      </c>
      <c r="AD87" s="367">
        <v>582826</v>
      </c>
      <c r="AE87" s="367">
        <v>626048</v>
      </c>
      <c r="AF87" s="367">
        <v>649904</v>
      </c>
      <c r="AG87" s="367">
        <v>649408</v>
      </c>
      <c r="AH87" s="367">
        <v>723035</v>
      </c>
      <c r="AI87" s="367">
        <v>769345</v>
      </c>
      <c r="AJ87" s="367">
        <v>796151</v>
      </c>
      <c r="AK87" s="367">
        <v>820823</v>
      </c>
      <c r="AL87" s="367">
        <v>858415</v>
      </c>
      <c r="AM87" s="367">
        <v>955375</v>
      </c>
      <c r="AN87" s="367">
        <v>917032</v>
      </c>
      <c r="AO87" s="367">
        <v>942480</v>
      </c>
      <c r="AP87" s="367">
        <v>1004454</v>
      </c>
      <c r="AQ87" s="415">
        <v>982366</v>
      </c>
      <c r="AR87" s="8">
        <v>1053991</v>
      </c>
      <c r="AS87" s="684">
        <v>1025209</v>
      </c>
      <c r="AT87" s="684">
        <v>1034841</v>
      </c>
      <c r="AU87" s="683">
        <v>1077335</v>
      </c>
      <c r="AV87" s="8">
        <v>1039870</v>
      </c>
      <c r="AW87" s="684"/>
      <c r="AX87" s="683"/>
      <c r="AY87" s="367" t="s">
        <v>78</v>
      </c>
      <c r="AZ87" s="39">
        <f t="shared" si="44"/>
        <v>18454.995454086275</v>
      </c>
      <c r="BA87" s="39">
        <f t="shared" si="45"/>
        <v>18765.712937687462</v>
      </c>
      <c r="BB87" s="39">
        <f t="shared" si="46"/>
        <v>18358.181940068378</v>
      </c>
      <c r="BC87" s="39">
        <f t="shared" si="47"/>
        <v>19609.905454056054</v>
      </c>
      <c r="BD87" s="39">
        <f t="shared" si="48"/>
        <v>21039.387014383654</v>
      </c>
      <c r="BE87" s="39">
        <f t="shared" si="49"/>
        <v>21829.36987773747</v>
      </c>
      <c r="BF87" s="39">
        <f t="shared" si="50"/>
        <v>21664.264745129436</v>
      </c>
      <c r="BG87" s="39">
        <f t="shared" si="51"/>
        <v>24175.304266417013</v>
      </c>
      <c r="BH87" s="39">
        <f t="shared" si="52"/>
        <v>25590.240819584884</v>
      </c>
      <c r="BI87" s="39">
        <f t="shared" si="53"/>
        <v>26327.744708994709</v>
      </c>
      <c r="BJ87" s="39">
        <f t="shared" si="54"/>
        <v>27077.356996767172</v>
      </c>
      <c r="BK87" s="39">
        <f t="shared" si="55"/>
        <v>28374.541367798232</v>
      </c>
      <c r="BL87" s="39">
        <f t="shared" si="56"/>
        <v>31780.154347681459</v>
      </c>
      <c r="BM87" s="39">
        <f t="shared" si="57"/>
        <v>30751.215586331778</v>
      </c>
      <c r="BN87" s="39">
        <f t="shared" si="58"/>
        <v>31409.718056388723</v>
      </c>
      <c r="BO87" s="39">
        <f t="shared" si="59"/>
        <v>33675.998256613137</v>
      </c>
      <c r="BP87" s="39">
        <f t="shared" si="60"/>
        <v>32970.834032555802</v>
      </c>
      <c r="BQ87" s="39">
        <f t="shared" si="61"/>
        <v>35392.57891202149</v>
      </c>
      <c r="BR87" s="39">
        <f t="shared" si="62"/>
        <v>34325.811095858306</v>
      </c>
      <c r="BS87" s="39">
        <f t="shared" si="63"/>
        <v>34742.530047673405</v>
      </c>
      <c r="BT87" s="39">
        <f t="shared" si="64"/>
        <v>36411.214005677975</v>
      </c>
      <c r="BU87" s="39">
        <f t="shared" si="65"/>
        <v>35407.061867956007</v>
      </c>
      <c r="BW87" s="367" t="s">
        <v>78</v>
      </c>
      <c r="BX87" s="39">
        <f>(AZ87/CPINormalized[1996])*100</f>
        <v>18454.995454086275</v>
      </c>
      <c r="BY87" s="39">
        <f>(BA87/CPINormalized[1997])*100</f>
        <v>18344.799750300077</v>
      </c>
      <c r="BZ87" s="39">
        <f>(BB87/CPINormalized[1998])*100</f>
        <v>17671.157953354166</v>
      </c>
      <c r="CA87" s="39">
        <f>(BC87/CPINormalized[1999])*100</f>
        <v>18468.152255350509</v>
      </c>
      <c r="CB87" s="39">
        <f>(BD87/CPINormalized[2000])*100</f>
        <v>19170.033812757236</v>
      </c>
      <c r="CC87" s="39">
        <f>(BE87/CPINormalized[2001])*100</f>
        <v>19339.515154246241</v>
      </c>
      <c r="CD87" s="39">
        <f>(BF87/CPINormalized[2002])*100</f>
        <v>18894.514388609274</v>
      </c>
      <c r="CE87" s="39">
        <f>(BG87/CPINormalized[2003])*100</f>
        <v>20614.702388047986</v>
      </c>
      <c r="CF87" s="39">
        <f>(BH87/CPINormalized[2004])*100</f>
        <v>21255.207965023128</v>
      </c>
      <c r="CG87" s="39">
        <f>(BI87/CPINormalized[2005])*100</f>
        <v>21151.168176350588</v>
      </c>
      <c r="CH87" s="39">
        <f>(BJ87/CPINormalized[2006])*100</f>
        <v>21073.597781710167</v>
      </c>
      <c r="CI87" s="39">
        <f>(BK87/CPINormalized[2007])*100</f>
        <v>21471.605080531404</v>
      </c>
      <c r="CJ87" s="39">
        <f>(BL87/CPINormalized[2008])*100</f>
        <v>23159.483226667635</v>
      </c>
      <c r="CK87" s="39">
        <f>(BM87/CPINormalized[2009])*100</f>
        <v>22489.667169278287</v>
      </c>
      <c r="CL87" s="39">
        <f>(BN87/CPINormalized[2010])*100</f>
        <v>22600.54647910349</v>
      </c>
      <c r="CM87" s="39">
        <f>(BO87/CPINormalized[2011])*100</f>
        <v>23489.764453752359</v>
      </c>
      <c r="CN87" s="39">
        <f>(BP87/CPINormalized[2012])*100</f>
        <v>22531.616068834574</v>
      </c>
      <c r="CO87" s="39">
        <f>(BQ87/CPINormalized[2013])*100</f>
        <v>23837.427642424016</v>
      </c>
      <c r="CP87" s="39">
        <f>(BR87/CPINormalized[2014])*100</f>
        <v>22749.897611432862</v>
      </c>
      <c r="CQ87" s="39">
        <f>(BS87/CPINormalized[2015])*100</f>
        <v>22998.784747423004</v>
      </c>
      <c r="CR87" s="39">
        <f>(BT87/CPINormalized[2016])*100</f>
        <v>23803.136898052449</v>
      </c>
      <c r="CS87" s="39">
        <f>(BU87/CPINormalized[2017])*100</f>
        <v>22663.870786073341</v>
      </c>
    </row>
    <row r="88" spans="1:97">
      <c r="A88" s="319" t="s">
        <v>79</v>
      </c>
      <c r="B88" s="367">
        <v>26453</v>
      </c>
      <c r="C88" s="367">
        <v>26909</v>
      </c>
      <c r="D88" s="367">
        <v>27372</v>
      </c>
      <c r="E88" s="367">
        <v>28170</v>
      </c>
      <c r="F88" s="367">
        <v>28600</v>
      </c>
      <c r="G88" s="367">
        <v>28841</v>
      </c>
      <c r="H88" s="367">
        <v>29347</v>
      </c>
      <c r="I88" s="367">
        <v>30044</v>
      </c>
      <c r="J88" s="367">
        <v>30542</v>
      </c>
      <c r="K88" s="367">
        <v>30800</v>
      </c>
      <c r="L88" s="367">
        <v>31546</v>
      </c>
      <c r="M88" s="367">
        <v>31966</v>
      </c>
      <c r="N88" s="367">
        <v>32119</v>
      </c>
      <c r="O88" s="367">
        <v>32214</v>
      </c>
      <c r="P88" s="367">
        <v>32048</v>
      </c>
      <c r="Q88" s="367">
        <v>31892</v>
      </c>
      <c r="R88" s="367">
        <v>31568</v>
      </c>
      <c r="S88" s="611">
        <v>31297</v>
      </c>
      <c r="T88" s="748">
        <v>31084</v>
      </c>
      <c r="U88" s="748">
        <v>30902</v>
      </c>
      <c r="V88" s="748">
        <v>31047</v>
      </c>
      <c r="W88" s="892">
        <v>31699</v>
      </c>
      <c r="X88" s="742"/>
      <c r="Y88" s="742"/>
      <c r="Z88" s="367" t="s">
        <v>79</v>
      </c>
      <c r="AA88" s="367">
        <v>522556</v>
      </c>
      <c r="AB88" s="367">
        <v>552573</v>
      </c>
      <c r="AC88" s="367">
        <v>584345</v>
      </c>
      <c r="AD88" s="367">
        <v>613245</v>
      </c>
      <c r="AE88" s="367">
        <v>663279</v>
      </c>
      <c r="AF88" s="367">
        <v>688020</v>
      </c>
      <c r="AG88" s="367">
        <v>721684</v>
      </c>
      <c r="AH88" s="367">
        <v>763292</v>
      </c>
      <c r="AI88" s="367">
        <v>821406</v>
      </c>
      <c r="AJ88" s="367">
        <v>870791</v>
      </c>
      <c r="AK88" s="367">
        <v>933978</v>
      </c>
      <c r="AL88" s="367">
        <v>988123</v>
      </c>
      <c r="AM88" s="367">
        <v>1019021</v>
      </c>
      <c r="AN88" s="367">
        <v>1009704</v>
      </c>
      <c r="AO88" s="367">
        <v>1038856</v>
      </c>
      <c r="AP88" s="367">
        <v>1072574</v>
      </c>
      <c r="AQ88" s="415">
        <v>1117094</v>
      </c>
      <c r="AR88" s="8">
        <v>1163002</v>
      </c>
      <c r="AS88" s="684">
        <v>1018942</v>
      </c>
      <c r="AT88" s="684">
        <v>1041831</v>
      </c>
      <c r="AU88" s="683">
        <v>1074805</v>
      </c>
      <c r="AV88" s="8">
        <v>1134641</v>
      </c>
      <c r="AW88" s="684"/>
      <c r="AX88" s="683"/>
      <c r="AY88" s="367" t="s">
        <v>79</v>
      </c>
      <c r="AZ88" s="39">
        <f t="shared" si="44"/>
        <v>19754.12996635542</v>
      </c>
      <c r="BA88" s="39">
        <f t="shared" si="45"/>
        <v>20534.87680701624</v>
      </c>
      <c r="BB88" s="39">
        <f t="shared" si="46"/>
        <v>21348.275610112523</v>
      </c>
      <c r="BC88" s="39">
        <f t="shared" si="47"/>
        <v>21769.435569755056</v>
      </c>
      <c r="BD88" s="39">
        <f t="shared" si="48"/>
        <v>23191.573426573428</v>
      </c>
      <c r="BE88" s="39">
        <f t="shared" si="49"/>
        <v>23855.622204500538</v>
      </c>
      <c r="BF88" s="39">
        <f t="shared" si="50"/>
        <v>24591.406276621117</v>
      </c>
      <c r="BG88" s="39">
        <f t="shared" si="51"/>
        <v>25405.804819597921</v>
      </c>
      <c r="BH88" s="39">
        <f t="shared" si="52"/>
        <v>26894.309475476395</v>
      </c>
      <c r="BI88" s="39">
        <f t="shared" si="53"/>
        <v>28272.435064935064</v>
      </c>
      <c r="BJ88" s="39">
        <f t="shared" si="54"/>
        <v>29606.859823749444</v>
      </c>
      <c r="BK88" s="39">
        <f t="shared" si="55"/>
        <v>30911.687417881498</v>
      </c>
      <c r="BL88" s="39">
        <f t="shared" si="56"/>
        <v>31726.42361219216</v>
      </c>
      <c r="BM88" s="39">
        <f t="shared" si="57"/>
        <v>31343.639411436023</v>
      </c>
      <c r="BN88" s="39">
        <f t="shared" si="58"/>
        <v>32415.626560159759</v>
      </c>
      <c r="BO88" s="39">
        <f t="shared" si="59"/>
        <v>33631.443622225008</v>
      </c>
      <c r="BP88" s="39">
        <f t="shared" si="60"/>
        <v>35386.910795742522</v>
      </c>
      <c r="BQ88" s="39">
        <f t="shared" si="61"/>
        <v>37160.175096654631</v>
      </c>
      <c r="BR88" s="39">
        <f t="shared" si="62"/>
        <v>32780.27280916227</v>
      </c>
      <c r="BS88" s="39">
        <f t="shared" si="63"/>
        <v>33714.031454274802</v>
      </c>
      <c r="BT88" s="39">
        <f t="shared" si="64"/>
        <v>34618.642702998681</v>
      </c>
      <c r="BU88" s="39">
        <f t="shared" si="65"/>
        <v>35794.220637875012</v>
      </c>
      <c r="BW88" s="367" t="s">
        <v>79</v>
      </c>
      <c r="BX88" s="39">
        <f>(AZ88/CPINormalized[1996])*100</f>
        <v>19754.12996635542</v>
      </c>
      <c r="BY88" s="39">
        <f>(BA88/CPINormalized[1997])*100</f>
        <v>20074.28143938223</v>
      </c>
      <c r="BZ88" s="39">
        <f>(BB88/CPINormalized[1998])*100</f>
        <v>20549.352412433465</v>
      </c>
      <c r="CA88" s="39">
        <f>(BC88/CPINormalized[1999])*100</f>
        <v>20501.947424337148</v>
      </c>
      <c r="CB88" s="39">
        <f>(BD88/CPINormalized[2000])*100</f>
        <v>21130.998087278582</v>
      </c>
      <c r="CC88" s="39">
        <f>(BE88/CPINormalized[2001])*100</f>
        <v>21134.653438092231</v>
      </c>
      <c r="CD88" s="39">
        <f>(BF88/CPINormalized[2002])*100</f>
        <v>21447.424373551159</v>
      </c>
      <c r="CE88" s="39">
        <f>(BG88/CPINormalized[2003])*100</f>
        <v>21663.971609754968</v>
      </c>
      <c r="CF88" s="39">
        <f>(BH88/CPINormalized[2004])*100</f>
        <v>22338.365043421105</v>
      </c>
      <c r="CG88" s="39">
        <f>(BI88/CPINormalized[2005])*100</f>
        <v>22713.492379356434</v>
      </c>
      <c r="CH88" s="39">
        <f>(BJ88/CPINormalized[2006])*100</f>
        <v>23042.243583066906</v>
      </c>
      <c r="CI88" s="39">
        <f>(BK88/CPINormalized[2007])*100</f>
        <v>23391.516218931072</v>
      </c>
      <c r="CJ88" s="39">
        <f>(BL88/CPINormalized[2008])*100</f>
        <v>23120.327467582665</v>
      </c>
      <c r="CK88" s="39">
        <f>(BM88/CPINormalized[2009])*100</f>
        <v>22922.931819007033</v>
      </c>
      <c r="CL88" s="39">
        <f>(BN88/CPINormalized[2010])*100</f>
        <v>23324.337818216725</v>
      </c>
      <c r="CM88" s="39">
        <f>(BO88/CPINormalized[2011])*100</f>
        <v>23458.686596486619</v>
      </c>
      <c r="CN88" s="39">
        <f>(BP88/CPINormalized[2012])*100</f>
        <v>24182.715157417009</v>
      </c>
      <c r="CO88" s="39">
        <f>(BQ88/CPINormalized[2013])*100</f>
        <v>25027.929929837319</v>
      </c>
      <c r="CP88" s="39">
        <f>(BR88/CPINormalized[2014])*100</f>
        <v>21725.571116169747</v>
      </c>
      <c r="CQ88" s="39">
        <f>(BS88/CPINormalized[2015])*100</f>
        <v>22317.941477513075</v>
      </c>
      <c r="CR88" s="39">
        <f>(BT88/CPINormalized[2016])*100</f>
        <v>22631.277588155732</v>
      </c>
      <c r="CS88" s="39">
        <f>(BU88/CPINormalized[2017])*100</f>
        <v>22911.68904243876</v>
      </c>
    </row>
    <row r="89" spans="1:97">
      <c r="A89" s="319" t="s">
        <v>80</v>
      </c>
      <c r="B89" s="367">
        <v>6851</v>
      </c>
      <c r="C89" s="367">
        <v>6971</v>
      </c>
      <c r="D89" s="367">
        <v>7288</v>
      </c>
      <c r="E89" s="367">
        <v>7192</v>
      </c>
      <c r="F89" s="367">
        <v>7227</v>
      </c>
      <c r="G89" s="367">
        <v>7237</v>
      </c>
      <c r="H89" s="367">
        <v>7247</v>
      </c>
      <c r="I89" s="367">
        <v>7042</v>
      </c>
      <c r="J89" s="367">
        <v>6925</v>
      </c>
      <c r="K89" s="367">
        <v>6840</v>
      </c>
      <c r="L89" s="367">
        <v>6783</v>
      </c>
      <c r="M89" s="367">
        <v>6706</v>
      </c>
      <c r="N89" s="367">
        <v>6736</v>
      </c>
      <c r="O89" s="367">
        <v>6689</v>
      </c>
      <c r="P89" s="367">
        <v>6707</v>
      </c>
      <c r="Q89" s="367">
        <v>6659</v>
      </c>
      <c r="R89" s="367">
        <v>6546</v>
      </c>
      <c r="S89" s="611">
        <v>6448</v>
      </c>
      <c r="T89" s="748">
        <v>6453</v>
      </c>
      <c r="U89" s="748">
        <v>6323</v>
      </c>
      <c r="V89" s="748">
        <v>6262</v>
      </c>
      <c r="W89" s="892">
        <v>6229</v>
      </c>
      <c r="X89" s="742"/>
      <c r="Y89" s="742"/>
      <c r="Z89" s="367" t="s">
        <v>80</v>
      </c>
      <c r="AA89" s="367">
        <v>126079</v>
      </c>
      <c r="AB89" s="367">
        <v>154997</v>
      </c>
      <c r="AC89" s="367">
        <v>142994</v>
      </c>
      <c r="AD89" s="367">
        <v>142048</v>
      </c>
      <c r="AE89" s="367">
        <v>149450</v>
      </c>
      <c r="AF89" s="367">
        <v>148689</v>
      </c>
      <c r="AG89" s="367">
        <v>138679</v>
      </c>
      <c r="AH89" s="367">
        <v>139468</v>
      </c>
      <c r="AI89" s="367">
        <v>160605</v>
      </c>
      <c r="AJ89" s="367">
        <v>173486</v>
      </c>
      <c r="AK89" s="367">
        <v>185934</v>
      </c>
      <c r="AL89" s="367">
        <v>203539</v>
      </c>
      <c r="AM89" s="367">
        <v>222242</v>
      </c>
      <c r="AN89" s="367">
        <v>217329</v>
      </c>
      <c r="AO89" s="367">
        <v>214992</v>
      </c>
      <c r="AP89" s="367">
        <v>226595</v>
      </c>
      <c r="AQ89" s="415">
        <v>215209</v>
      </c>
      <c r="AR89" s="8">
        <v>231438</v>
      </c>
      <c r="AS89" s="684">
        <v>276749</v>
      </c>
      <c r="AT89" s="684">
        <v>232962</v>
      </c>
      <c r="AU89" s="683">
        <v>217618</v>
      </c>
      <c r="AV89" s="8">
        <v>242259</v>
      </c>
      <c r="AW89" s="684"/>
      <c r="AX89" s="683"/>
      <c r="AY89" s="367" t="s">
        <v>80</v>
      </c>
      <c r="AZ89" s="39">
        <f t="shared" si="44"/>
        <v>18403.006860312362</v>
      </c>
      <c r="BA89" s="39">
        <f t="shared" si="45"/>
        <v>22234.543107158228</v>
      </c>
      <c r="BB89" s="39">
        <f t="shared" si="46"/>
        <v>19620.472008781559</v>
      </c>
      <c r="BC89" s="39">
        <f t="shared" si="47"/>
        <v>19750.834260289212</v>
      </c>
      <c r="BD89" s="39">
        <f t="shared" si="48"/>
        <v>20679.396706793967</v>
      </c>
      <c r="BE89" s="39">
        <f t="shared" si="49"/>
        <v>20545.668094514302</v>
      </c>
      <c r="BF89" s="39">
        <f t="shared" si="50"/>
        <v>19136.056299158274</v>
      </c>
      <c r="BG89" s="39">
        <f t="shared" si="51"/>
        <v>19805.168986083496</v>
      </c>
      <c r="BH89" s="39">
        <f t="shared" si="52"/>
        <v>23192.057761732853</v>
      </c>
      <c r="BI89" s="39">
        <f t="shared" si="53"/>
        <v>25363.450292397662</v>
      </c>
      <c r="BJ89" s="39">
        <f t="shared" si="54"/>
        <v>27411.764705882353</v>
      </c>
      <c r="BK89" s="39">
        <f t="shared" si="55"/>
        <v>30351.774530271399</v>
      </c>
      <c r="BL89" s="39">
        <f t="shared" si="56"/>
        <v>32993.171021377668</v>
      </c>
      <c r="BM89" s="39">
        <f t="shared" si="57"/>
        <v>32490.506802212585</v>
      </c>
      <c r="BN89" s="39">
        <f t="shared" si="58"/>
        <v>32054.868048307741</v>
      </c>
      <c r="BO89" s="39">
        <f t="shared" si="59"/>
        <v>34028.382640036041</v>
      </c>
      <c r="BP89" s="39">
        <f t="shared" si="60"/>
        <v>32876.413076688055</v>
      </c>
      <c r="BQ89" s="39">
        <f t="shared" si="61"/>
        <v>35892.990074441681</v>
      </c>
      <c r="BR89" s="39">
        <f t="shared" si="62"/>
        <v>42886.874322020769</v>
      </c>
      <c r="BS89" s="39">
        <f t="shared" si="63"/>
        <v>36843.586904950178</v>
      </c>
      <c r="BT89" s="39">
        <f t="shared" si="64"/>
        <v>34752.155860747363</v>
      </c>
      <c r="BU89" s="39">
        <f t="shared" si="65"/>
        <v>38892.117514849895</v>
      </c>
      <c r="BW89" s="367" t="s">
        <v>80</v>
      </c>
      <c r="BX89" s="39">
        <f>(AZ89/CPINormalized[1996])*100</f>
        <v>18403.006860312362</v>
      </c>
      <c r="BY89" s="39">
        <f>(BA89/CPINormalized[1997])*100</f>
        <v>21735.824383259351</v>
      </c>
      <c r="BZ89" s="39">
        <f>(BB89/CPINormalized[1998])*100</f>
        <v>18886.208945876238</v>
      </c>
      <c r="CA89" s="39">
        <f>(BC89/CPINormalized[1999])*100</f>
        <v>18600.875722925433</v>
      </c>
      <c r="CB89" s="39">
        <f>(BD89/CPINormalized[2000])*100</f>
        <v>18842.028706712972</v>
      </c>
      <c r="CC89" s="39">
        <f>(BE89/CPINormalized[2001])*100</f>
        <v>18202.232207957615</v>
      </c>
      <c r="CD89" s="39">
        <f>(BF89/CPINormalized[2002])*100</f>
        <v>16689.534370972389</v>
      </c>
      <c r="CE89" s="39">
        <f>(BG89/CPINormalized[2003])*100</f>
        <v>16888.212032154894</v>
      </c>
      <c r="CF89" s="39">
        <f>(BH89/CPINormalized[2004])*100</f>
        <v>19263.281433646825</v>
      </c>
      <c r="CG89" s="39">
        <f>(BI89/CPINormalized[2005])*100</f>
        <v>20376.473890820238</v>
      </c>
      <c r="CH89" s="39">
        <f>(BJ89/CPINormalized[2006])*100</f>
        <v>21333.858543417366</v>
      </c>
      <c r="CI89" s="39">
        <f>(BK89/CPINormalized[2007])*100</f>
        <v>22967.818501796948</v>
      </c>
      <c r="CJ89" s="39">
        <f>(BL89/CPINormalized[2008])*100</f>
        <v>24043.457514545345</v>
      </c>
      <c r="CK89" s="39">
        <f>(BM89/CPINormalized[2009])*100</f>
        <v>23761.684545170083</v>
      </c>
      <c r="CL89" s="39">
        <f>(BN89/CPINormalized[2010])*100</f>
        <v>23064.757662157816</v>
      </c>
      <c r="CM89" s="39">
        <f>(BO89/CPINormalized[2011])*100</f>
        <v>23735.560468489926</v>
      </c>
      <c r="CN89" s="39">
        <f>(BP89/CPINormalized[2012])*100</f>
        <v>22467.090654513424</v>
      </c>
      <c r="CO89" s="39">
        <f>(BQ89/CPINormalized[2013])*100</f>
        <v>24174.461993758076</v>
      </c>
      <c r="CP89" s="39">
        <f>(BR89/CPINormalized[2014])*100</f>
        <v>28423.85856449826</v>
      </c>
      <c r="CQ89" s="39">
        <f>(BS89/CPINormalized[2015])*100</f>
        <v>24389.637812421402</v>
      </c>
      <c r="CR89" s="39">
        <f>(BT89/CPINormalized[2016])*100</f>
        <v>22718.55926931823</v>
      </c>
      <c r="CS89" s="39">
        <f>(BU89/CPINormalized[2017])*100</f>
        <v>24894.636251958014</v>
      </c>
    </row>
    <row r="90" spans="1:97">
      <c r="A90" s="319" t="s">
        <v>81</v>
      </c>
      <c r="B90" s="367">
        <v>22668</v>
      </c>
      <c r="C90" s="367">
        <v>22706</v>
      </c>
      <c r="D90" s="367">
        <v>22786</v>
      </c>
      <c r="E90" s="367">
        <v>22940</v>
      </c>
      <c r="F90" s="367">
        <v>23049</v>
      </c>
      <c r="G90" s="367">
        <v>24174</v>
      </c>
      <c r="H90" s="367">
        <v>24464</v>
      </c>
      <c r="I90" s="367">
        <v>24388</v>
      </c>
      <c r="J90" s="367">
        <v>24845</v>
      </c>
      <c r="K90" s="367">
        <v>24961</v>
      </c>
      <c r="L90" s="367">
        <v>25385</v>
      </c>
      <c r="M90" s="367">
        <v>25490</v>
      </c>
      <c r="N90" s="367">
        <v>25597</v>
      </c>
      <c r="O90" s="367">
        <v>25790</v>
      </c>
      <c r="P90" s="367">
        <v>26049</v>
      </c>
      <c r="Q90" s="367">
        <v>25953</v>
      </c>
      <c r="R90" s="367">
        <v>25810</v>
      </c>
      <c r="S90" s="611">
        <v>25636</v>
      </c>
      <c r="T90" s="748">
        <v>25628</v>
      </c>
      <c r="U90" s="748">
        <v>25651</v>
      </c>
      <c r="V90" s="748">
        <v>25775</v>
      </c>
      <c r="W90" s="892">
        <v>25735</v>
      </c>
      <c r="X90" s="742"/>
      <c r="Y90" s="742"/>
      <c r="Z90" s="367" t="s">
        <v>81</v>
      </c>
      <c r="AA90" s="367">
        <v>314996</v>
      </c>
      <c r="AB90" s="367">
        <v>336816</v>
      </c>
      <c r="AC90" s="367">
        <v>350677</v>
      </c>
      <c r="AD90" s="367">
        <v>362270</v>
      </c>
      <c r="AE90" s="367">
        <v>393238</v>
      </c>
      <c r="AF90" s="367">
        <v>422198</v>
      </c>
      <c r="AG90" s="367">
        <v>419578</v>
      </c>
      <c r="AH90" s="367">
        <v>442712</v>
      </c>
      <c r="AI90" s="367">
        <v>484272</v>
      </c>
      <c r="AJ90" s="367">
        <v>502449</v>
      </c>
      <c r="AK90" s="367">
        <v>511270</v>
      </c>
      <c r="AL90" s="367">
        <v>540698</v>
      </c>
      <c r="AM90" s="367">
        <v>583440</v>
      </c>
      <c r="AN90" s="367">
        <v>603835</v>
      </c>
      <c r="AO90" s="367">
        <v>622718</v>
      </c>
      <c r="AP90" s="367">
        <v>646269</v>
      </c>
      <c r="AQ90" s="415">
        <v>661094</v>
      </c>
      <c r="AR90" s="8">
        <v>688504</v>
      </c>
      <c r="AS90" s="684">
        <v>660518</v>
      </c>
      <c r="AT90" s="684">
        <v>654140</v>
      </c>
      <c r="AU90" s="683">
        <v>655969</v>
      </c>
      <c r="AV90" s="8">
        <v>680037</v>
      </c>
      <c r="AW90" s="684"/>
      <c r="AX90" s="683"/>
      <c r="AY90" s="367" t="s">
        <v>81</v>
      </c>
      <c r="AZ90" s="39">
        <f t="shared" si="44"/>
        <v>13896.064937356627</v>
      </c>
      <c r="BA90" s="39">
        <f t="shared" si="45"/>
        <v>14833.788425966706</v>
      </c>
      <c r="BB90" s="39">
        <f t="shared" si="46"/>
        <v>15390.020187834634</v>
      </c>
      <c r="BC90" s="39">
        <f t="shared" si="47"/>
        <v>15792.066259808194</v>
      </c>
      <c r="BD90" s="39">
        <f t="shared" si="48"/>
        <v>17060.957091413944</v>
      </c>
      <c r="BE90" s="39">
        <f t="shared" si="49"/>
        <v>17464.962356250518</v>
      </c>
      <c r="BF90" s="39">
        <f t="shared" si="50"/>
        <v>17150.833878351863</v>
      </c>
      <c r="BG90" s="39">
        <f t="shared" si="51"/>
        <v>18152.862063309825</v>
      </c>
      <c r="BH90" s="39">
        <f t="shared" si="52"/>
        <v>19491.72871805192</v>
      </c>
      <c r="BI90" s="39">
        <f t="shared" si="53"/>
        <v>20129.361804414886</v>
      </c>
      <c r="BJ90" s="39">
        <f t="shared" si="54"/>
        <v>20140.634232814657</v>
      </c>
      <c r="BK90" s="39">
        <f t="shared" si="55"/>
        <v>21212.161632012554</v>
      </c>
      <c r="BL90" s="39">
        <f t="shared" si="56"/>
        <v>22793.296089385476</v>
      </c>
      <c r="BM90" s="39">
        <f t="shared" si="57"/>
        <v>23413.532376890267</v>
      </c>
      <c r="BN90" s="39">
        <f t="shared" si="58"/>
        <v>23905.639371952857</v>
      </c>
      <c r="BO90" s="39">
        <f t="shared" si="59"/>
        <v>24901.514275806265</v>
      </c>
      <c r="BP90" s="39">
        <f t="shared" si="60"/>
        <v>25613.87059279349</v>
      </c>
      <c r="BQ90" s="39">
        <f t="shared" si="61"/>
        <v>26856.919956311438</v>
      </c>
      <c r="BR90" s="39">
        <f t="shared" si="62"/>
        <v>25773.294833775559</v>
      </c>
      <c r="BS90" s="39">
        <f t="shared" si="63"/>
        <v>25501.539900978518</v>
      </c>
      <c r="BT90" s="39">
        <f t="shared" si="64"/>
        <v>25449.815712900097</v>
      </c>
      <c r="BU90" s="39">
        <f t="shared" si="65"/>
        <v>26424.596852535458</v>
      </c>
      <c r="BW90" s="367" t="s">
        <v>81</v>
      </c>
      <c r="BX90" s="39">
        <f>(AZ90/CPINormalized[1996])*100</f>
        <v>13896.064937356627</v>
      </c>
      <c r="BY90" s="39">
        <f>(BA90/CPINormalized[1997])*100</f>
        <v>14501.067937907637</v>
      </c>
      <c r="BZ90" s="39">
        <f>(BB90/CPINormalized[1998])*100</f>
        <v>14814.074647062909</v>
      </c>
      <c r="CA90" s="39">
        <f>(BC90/CPINormalized[1999])*100</f>
        <v>14872.600217070263</v>
      </c>
      <c r="CB90" s="39">
        <f>(BD90/CPINormalized[2000])*100</f>
        <v>15545.088081549642</v>
      </c>
      <c r="CC90" s="39">
        <f>(BE90/CPINormalized[2001])*100</f>
        <v>15472.911313922679</v>
      </c>
      <c r="CD90" s="39">
        <f>(BF90/CPINormalized[2002])*100</f>
        <v>14958.120264110101</v>
      </c>
      <c r="CE90" s="39">
        <f>(BG90/CPINormalized[2003])*100</f>
        <v>15479.261183333216</v>
      </c>
      <c r="CF90" s="39">
        <f>(BH90/CPINormalized[2004])*100</f>
        <v>16189.794790165943</v>
      </c>
      <c r="CG90" s="39">
        <f>(BI90/CPINormalized[2005])*100</f>
        <v>16171.514936572941</v>
      </c>
      <c r="CH90" s="39">
        <f>(BJ90/CPINormalized[2006])*100</f>
        <v>15674.928130598311</v>
      </c>
      <c r="CI90" s="39">
        <f>(BK90/CPINormalized[2007])*100</f>
        <v>16051.683499063236</v>
      </c>
      <c r="CJ90" s="39">
        <f>(BL90/CPINormalized[2008])*100</f>
        <v>16610.396308572483</v>
      </c>
      <c r="CK90" s="39">
        <f>(BM90/CPINormalized[2009])*100</f>
        <v>17123.308473289377</v>
      </c>
      <c r="CL90" s="39">
        <f>(BN90/CPINormalized[2010])*100</f>
        <v>17201.062192553301</v>
      </c>
      <c r="CM90" s="39">
        <f>(BO90/CPINormalized[2011])*100</f>
        <v>17369.364982835363</v>
      </c>
      <c r="CN90" s="39">
        <f>(BP90/CPINormalized[2012])*100</f>
        <v>17504.012718142887</v>
      </c>
      <c r="CO90" s="39">
        <f>(BQ90/CPINormalized[2013])*100</f>
        <v>18088.5345413328</v>
      </c>
      <c r="CP90" s="39">
        <f>(BR90/CPINormalized[2014])*100</f>
        <v>17081.601274919682</v>
      </c>
      <c r="CQ90" s="39">
        <f>(BS90/CPINormalized[2015])*100</f>
        <v>16881.454117061348</v>
      </c>
      <c r="CR90" s="39">
        <f>(BT90/CPINormalized[2016])*100</f>
        <v>16637.331766798572</v>
      </c>
      <c r="CS90" s="39">
        <f>(BU90/CPINormalized[2017])*100</f>
        <v>16914.243008170746</v>
      </c>
    </row>
    <row r="91" spans="1:97">
      <c r="A91" s="319" t="s">
        <v>82</v>
      </c>
      <c r="B91" s="367">
        <v>19856</v>
      </c>
      <c r="C91" s="367">
        <v>20024</v>
      </c>
      <c r="D91" s="367">
        <v>20322</v>
      </c>
      <c r="E91" s="367">
        <v>20427</v>
      </c>
      <c r="F91" s="367">
        <v>20428</v>
      </c>
      <c r="G91" s="367">
        <v>20514</v>
      </c>
      <c r="H91" s="367">
        <v>20454</v>
      </c>
      <c r="I91" s="367">
        <v>20481</v>
      </c>
      <c r="J91" s="367">
        <v>20620</v>
      </c>
      <c r="K91" s="367">
        <v>20722</v>
      </c>
      <c r="L91" s="367">
        <v>20715</v>
      </c>
      <c r="M91" s="367">
        <v>20746</v>
      </c>
      <c r="N91" s="367">
        <v>20891</v>
      </c>
      <c r="O91" s="367">
        <v>21071</v>
      </c>
      <c r="P91" s="367">
        <v>21111</v>
      </c>
      <c r="Q91" s="367">
        <v>20969</v>
      </c>
      <c r="R91" s="367">
        <v>20748</v>
      </c>
      <c r="S91" s="611">
        <v>20949</v>
      </c>
      <c r="T91" s="748">
        <v>20963</v>
      </c>
      <c r="U91" s="748">
        <v>20803</v>
      </c>
      <c r="V91" s="748">
        <v>20723</v>
      </c>
      <c r="W91" s="892">
        <v>20437</v>
      </c>
      <c r="X91" s="742"/>
      <c r="Y91" s="742"/>
      <c r="Z91" s="367" t="s">
        <v>82</v>
      </c>
      <c r="AA91" s="367">
        <v>382174</v>
      </c>
      <c r="AB91" s="367">
        <v>400396</v>
      </c>
      <c r="AC91" s="367">
        <v>396125</v>
      </c>
      <c r="AD91" s="367">
        <v>407118</v>
      </c>
      <c r="AE91" s="367">
        <v>448542</v>
      </c>
      <c r="AF91" s="367">
        <v>462859</v>
      </c>
      <c r="AG91" s="367">
        <v>458424</v>
      </c>
      <c r="AH91" s="367">
        <v>489893</v>
      </c>
      <c r="AI91" s="367">
        <v>532083</v>
      </c>
      <c r="AJ91" s="367">
        <v>545678</v>
      </c>
      <c r="AK91" s="367">
        <v>549183</v>
      </c>
      <c r="AL91" s="367">
        <v>577080</v>
      </c>
      <c r="AM91" s="367">
        <v>615687</v>
      </c>
      <c r="AN91" s="367">
        <v>625121</v>
      </c>
      <c r="AO91" s="367">
        <v>637150</v>
      </c>
      <c r="AP91" s="367">
        <v>663369</v>
      </c>
      <c r="AQ91" s="415">
        <v>678724</v>
      </c>
      <c r="AR91" s="8">
        <v>697814</v>
      </c>
      <c r="AS91" s="684">
        <v>719808</v>
      </c>
      <c r="AT91" s="684">
        <v>689946</v>
      </c>
      <c r="AU91" s="683">
        <v>664521</v>
      </c>
      <c r="AV91" s="8">
        <v>725905</v>
      </c>
      <c r="AW91" s="684"/>
      <c r="AX91" s="683"/>
      <c r="AY91" s="367" t="s">
        <v>82</v>
      </c>
      <c r="AZ91" s="39">
        <f t="shared" si="44"/>
        <v>19247.280419016919</v>
      </c>
      <c r="BA91" s="39">
        <f t="shared" si="45"/>
        <v>19995.805033959252</v>
      </c>
      <c r="BB91" s="39">
        <f t="shared" si="46"/>
        <v>19492.4220057081</v>
      </c>
      <c r="BC91" s="39">
        <f t="shared" si="47"/>
        <v>19930.386253488032</v>
      </c>
      <c r="BD91" s="39">
        <f t="shared" si="48"/>
        <v>21957.215586449969</v>
      </c>
      <c r="BE91" s="39">
        <f t="shared" si="49"/>
        <v>22563.078872964805</v>
      </c>
      <c r="BF91" s="39">
        <f t="shared" si="50"/>
        <v>22412.4376650044</v>
      </c>
      <c r="BG91" s="39">
        <f t="shared" si="51"/>
        <v>23919.388701723547</v>
      </c>
      <c r="BH91" s="39">
        <f t="shared" si="52"/>
        <v>25804.219204655674</v>
      </c>
      <c r="BI91" s="39">
        <f t="shared" si="53"/>
        <v>26333.26898947978</v>
      </c>
      <c r="BJ91" s="39">
        <f t="shared" si="54"/>
        <v>26511.368573497468</v>
      </c>
      <c r="BK91" s="39">
        <f t="shared" si="55"/>
        <v>27816.44654391208</v>
      </c>
      <c r="BL91" s="39">
        <f t="shared" si="56"/>
        <v>29471.399167105454</v>
      </c>
      <c r="BM91" s="39">
        <f t="shared" si="57"/>
        <v>29667.362726021547</v>
      </c>
      <c r="BN91" s="39">
        <f t="shared" si="58"/>
        <v>30180.948320780637</v>
      </c>
      <c r="BO91" s="39">
        <f t="shared" si="59"/>
        <v>31635.700319519292</v>
      </c>
      <c r="BP91" s="39">
        <f t="shared" si="60"/>
        <v>32712.743396953927</v>
      </c>
      <c r="BQ91" s="39">
        <f t="shared" si="61"/>
        <v>33310.134135280918</v>
      </c>
      <c r="BR91" s="39">
        <f t="shared" si="62"/>
        <v>34337.070075847929</v>
      </c>
      <c r="BS91" s="39">
        <f t="shared" si="63"/>
        <v>33165.697255203573</v>
      </c>
      <c r="BT91" s="39">
        <f t="shared" si="64"/>
        <v>32066.833952613037</v>
      </c>
      <c r="BU91" s="39">
        <f t="shared" si="65"/>
        <v>35519.156431961637</v>
      </c>
      <c r="BW91" s="367" t="s">
        <v>82</v>
      </c>
      <c r="BX91" s="39">
        <f>(AZ91/CPINormalized[1996])*100</f>
        <v>19247.280419016919</v>
      </c>
      <c r="BY91" s="39">
        <f>(BA91/CPINormalized[1997])*100</f>
        <v>19547.30099581437</v>
      </c>
      <c r="BZ91" s="39">
        <f>(BB91/CPINormalized[1998])*100</f>
        <v>18762.950998132525</v>
      </c>
      <c r="CA91" s="39">
        <f>(BC91/CPINormalized[1999])*100</f>
        <v>18769.973608477027</v>
      </c>
      <c r="CB91" s="39">
        <f>(BD91/CPINormalized[2000])*100</f>
        <v>20006.313156295011</v>
      </c>
      <c r="CC91" s="39">
        <f>(BE91/CPINormalized[2001])*100</f>
        <v>19989.537409193552</v>
      </c>
      <c r="CD91" s="39">
        <f>(BF91/CPINormalized[2002])*100</f>
        <v>19547.03429482596</v>
      </c>
      <c r="CE91" s="39">
        <f>(BG91/CPINormalized[2003])*100</f>
        <v>20396.478735328394</v>
      </c>
      <c r="CF91" s="39">
        <f>(BH91/CPINormalized[2004])*100</f>
        <v>21432.938026524487</v>
      </c>
      <c r="CG91" s="39">
        <f>(BI91/CPINormalized[2005])*100</f>
        <v>21155.606269582066</v>
      </c>
      <c r="CH91" s="39">
        <f>(BJ91/CPINormalized[2006])*100</f>
        <v>20633.103815385679</v>
      </c>
      <c r="CI91" s="39">
        <f>(BK91/CPINormalized[2007])*100</f>
        <v>21049.283129996842</v>
      </c>
      <c r="CJ91" s="39">
        <f>(BL91/CPINormalized[2008])*100</f>
        <v>21476.999992191686</v>
      </c>
      <c r="CK91" s="39">
        <f>(BM91/CPINormalized[2009])*100</f>
        <v>21696.999639748763</v>
      </c>
      <c r="CL91" s="39">
        <f>(BN91/CPINormalized[2010])*100</f>
        <v>21716.397583788024</v>
      </c>
      <c r="CM91" s="39">
        <f>(BO91/CPINormalized[2011])*100</f>
        <v>22066.610859533372</v>
      </c>
      <c r="CN91" s="39">
        <f>(BP91/CPINormalized[2012])*100</f>
        <v>22355.2420315081</v>
      </c>
      <c r="CO91" s="39">
        <f>(BQ91/CPINormalized[2013])*100</f>
        <v>22434.870151253563</v>
      </c>
      <c r="CP91" s="39">
        <f>(BR91/CPINormalized[2014])*100</f>
        <v>22757.359653371441</v>
      </c>
      <c r="CQ91" s="39">
        <f>(BS91/CPINormalized[2015])*100</f>
        <v>21954.95639275428</v>
      </c>
      <c r="CR91" s="39">
        <f>(BT91/CPINormalized[2016])*100</f>
        <v>20963.081273316966</v>
      </c>
      <c r="CS91" s="39">
        <f>(BU91/CPINormalized[2017])*100</f>
        <v>22735.621916509386</v>
      </c>
    </row>
    <row r="92" spans="1:97">
      <c r="A92" s="319" t="s">
        <v>83</v>
      </c>
      <c r="B92" s="367">
        <v>22154</v>
      </c>
      <c r="C92" s="367">
        <v>22765</v>
      </c>
      <c r="D92" s="367">
        <v>23420</v>
      </c>
      <c r="E92" s="367">
        <v>24071</v>
      </c>
      <c r="F92" s="367">
        <v>24745</v>
      </c>
      <c r="G92" s="367">
        <v>25426</v>
      </c>
      <c r="H92" s="367">
        <v>26266</v>
      </c>
      <c r="I92" s="367">
        <v>27169</v>
      </c>
      <c r="J92" s="367">
        <v>27971</v>
      </c>
      <c r="K92" s="367">
        <v>29095</v>
      </c>
      <c r="L92" s="367">
        <v>30175</v>
      </c>
      <c r="M92" s="367">
        <v>31152</v>
      </c>
      <c r="N92" s="367">
        <v>31975</v>
      </c>
      <c r="O92" s="367">
        <v>32320</v>
      </c>
      <c r="P92" s="367">
        <v>32564</v>
      </c>
      <c r="Q92" s="367">
        <v>32588</v>
      </c>
      <c r="R92" s="367">
        <v>32753</v>
      </c>
      <c r="S92" s="611">
        <v>32999</v>
      </c>
      <c r="T92" s="748">
        <v>33273</v>
      </c>
      <c r="U92" s="748">
        <v>33545</v>
      </c>
      <c r="V92" s="748">
        <v>33802</v>
      </c>
      <c r="W92" s="892">
        <v>34373</v>
      </c>
      <c r="X92" s="742"/>
      <c r="Y92" s="742"/>
      <c r="Z92" s="367" t="s">
        <v>83</v>
      </c>
      <c r="AA92" s="367">
        <v>459082</v>
      </c>
      <c r="AB92" s="367">
        <v>506763</v>
      </c>
      <c r="AC92" s="367">
        <v>518329</v>
      </c>
      <c r="AD92" s="367">
        <v>562596</v>
      </c>
      <c r="AE92" s="367">
        <v>605533</v>
      </c>
      <c r="AF92" s="367">
        <v>654576</v>
      </c>
      <c r="AG92" s="367">
        <v>666246</v>
      </c>
      <c r="AH92" s="367">
        <v>702167</v>
      </c>
      <c r="AI92" s="367">
        <v>772677</v>
      </c>
      <c r="AJ92" s="367">
        <v>827377</v>
      </c>
      <c r="AK92" s="367">
        <v>902659</v>
      </c>
      <c r="AL92" s="367">
        <v>973268</v>
      </c>
      <c r="AM92" s="367">
        <v>1037574</v>
      </c>
      <c r="AN92" s="367">
        <v>1019062</v>
      </c>
      <c r="AO92" s="367">
        <v>1042459</v>
      </c>
      <c r="AP92" s="367">
        <v>1096720</v>
      </c>
      <c r="AQ92" s="415">
        <v>1139353</v>
      </c>
      <c r="AR92" s="8">
        <v>1159634</v>
      </c>
      <c r="AS92" s="684">
        <v>1160376</v>
      </c>
      <c r="AT92" s="684">
        <v>1197400</v>
      </c>
      <c r="AU92" s="683">
        <v>1253290</v>
      </c>
      <c r="AV92" s="8">
        <v>1343749</v>
      </c>
      <c r="AW92" s="684"/>
      <c r="AX92" s="683"/>
      <c r="AY92" s="367" t="s">
        <v>83</v>
      </c>
      <c r="AZ92" s="39">
        <f t="shared" si="44"/>
        <v>20722.307483975805</v>
      </c>
      <c r="BA92" s="39">
        <f t="shared" si="45"/>
        <v>22260.619371842738</v>
      </c>
      <c r="BB92" s="39">
        <f t="shared" si="46"/>
        <v>22131.895815542273</v>
      </c>
      <c r="BC92" s="39">
        <f t="shared" si="47"/>
        <v>23372.35677786548</v>
      </c>
      <c r="BD92" s="39">
        <f t="shared" si="48"/>
        <v>24470.923418872499</v>
      </c>
      <c r="BE92" s="39">
        <f t="shared" si="49"/>
        <v>25744.356170848736</v>
      </c>
      <c r="BF92" s="39">
        <f t="shared" si="50"/>
        <v>25365.339221807659</v>
      </c>
      <c r="BG92" s="39">
        <f t="shared" si="51"/>
        <v>25844.418270823364</v>
      </c>
      <c r="BH92" s="39">
        <f t="shared" si="52"/>
        <v>27624.217940009294</v>
      </c>
      <c r="BI92" s="39">
        <f t="shared" si="53"/>
        <v>28437.085409864238</v>
      </c>
      <c r="BJ92" s="39">
        <f t="shared" si="54"/>
        <v>29914.134217067109</v>
      </c>
      <c r="BK92" s="39">
        <f t="shared" si="55"/>
        <v>31242.552645095016</v>
      </c>
      <c r="BL92" s="39">
        <f t="shared" si="56"/>
        <v>32449.538702111029</v>
      </c>
      <c r="BM92" s="39">
        <f t="shared" si="57"/>
        <v>31530.383663366338</v>
      </c>
      <c r="BN92" s="39">
        <f t="shared" si="58"/>
        <v>32012.621299594641</v>
      </c>
      <c r="BO92" s="39">
        <f t="shared" si="59"/>
        <v>33654.105805818093</v>
      </c>
      <c r="BP92" s="39">
        <f t="shared" si="60"/>
        <v>34786.218056361249</v>
      </c>
      <c r="BQ92" s="39">
        <f t="shared" si="61"/>
        <v>35141.489136034426</v>
      </c>
      <c r="BR92" s="39">
        <f t="shared" si="62"/>
        <v>34874.402668830582</v>
      </c>
      <c r="BS92" s="39">
        <f t="shared" si="63"/>
        <v>35695.334625130425</v>
      </c>
      <c r="BT92" s="39">
        <f t="shared" si="64"/>
        <v>37077.391870303531</v>
      </c>
      <c r="BU92" s="39">
        <f t="shared" si="65"/>
        <v>39093.154510807901</v>
      </c>
      <c r="BW92" s="367" t="s">
        <v>83</v>
      </c>
      <c r="BX92" s="39">
        <f>(AZ92/CPINormalized[1996])*100</f>
        <v>20722.307483975805</v>
      </c>
      <c r="BY92" s="39">
        <f>(BA92/CPINormalized[1997])*100</f>
        <v>21761.315759764024</v>
      </c>
      <c r="BZ92" s="39">
        <f>(BB92/CPINormalized[1998])*100</f>
        <v>21303.646953733638</v>
      </c>
      <c r="CA92" s="39">
        <f>(BC92/CPINormalized[1999])*100</f>
        <v>22011.541287197444</v>
      </c>
      <c r="CB92" s="39">
        <f>(BD92/CPINormalized[2000])*100</f>
        <v>22296.677609878607</v>
      </c>
      <c r="CC92" s="39">
        <f>(BE92/CPINormalized[2001])*100</f>
        <v>22807.958685523245</v>
      </c>
      <c r="CD92" s="39">
        <f>(BF92/CPINormalized[2002])*100</f>
        <v>22122.41091662936</v>
      </c>
      <c r="CE92" s="39">
        <f>(BG92/CPINormalized[2003])*100</f>
        <v>22037.984927674923</v>
      </c>
      <c r="CF92" s="39">
        <f>(BH92/CPINormalized[2004])*100</f>
        <v>22944.625700304176</v>
      </c>
      <c r="CG92" s="39">
        <f>(BI92/CPINormalized[2005])*100</f>
        <v>22845.76907735637</v>
      </c>
      <c r="CH92" s="39">
        <f>(BJ92/CPINormalized[2006])*100</f>
        <v>23281.38719572336</v>
      </c>
      <c r="CI92" s="39">
        <f>(BK92/CPINormalized[2007])*100</f>
        <v>23641.888811796009</v>
      </c>
      <c r="CJ92" s="39">
        <f>(BL92/CPINormalized[2008])*100</f>
        <v>23647.290666461784</v>
      </c>
      <c r="CK92" s="39">
        <f>(BM92/CPINormalized[2009])*100</f>
        <v>23059.505804510074</v>
      </c>
      <c r="CL92" s="39">
        <f>(BN92/CPINormalized[2010])*100</f>
        <v>23034.359439347685</v>
      </c>
      <c r="CM92" s="39">
        <f>(BO92/CPINormalized[2011])*100</f>
        <v>23474.493978068982</v>
      </c>
      <c r="CN92" s="39">
        <f>(BP92/CPINormalized[2012])*100</f>
        <v>23772.213616397115</v>
      </c>
      <c r="CO92" s="39">
        <f>(BQ92/CPINormalized[2013])*100</f>
        <v>23668.314948440278</v>
      </c>
      <c r="CP92" s="39">
        <f>(BR92/CPINormalized[2014])*100</f>
        <v>23113.484128901051</v>
      </c>
      <c r="CQ92" s="39">
        <f>(BS92/CPINormalized[2015])*100</f>
        <v>23629.520256702956</v>
      </c>
      <c r="CR92" s="39">
        <f>(BT92/CPINormalized[2016])*100</f>
        <v>24238.637974936664</v>
      </c>
      <c r="CS92" s="39">
        <f>(BU92/CPINormalized[2017])*100</f>
        <v>25023.318957024148</v>
      </c>
    </row>
    <row r="93" spans="1:97">
      <c r="A93" s="319" t="s">
        <v>84</v>
      </c>
      <c r="B93" s="367">
        <v>22120</v>
      </c>
      <c r="C93" s="367">
        <v>22522</v>
      </c>
      <c r="D93" s="367">
        <v>22834</v>
      </c>
      <c r="E93" s="367">
        <v>23067</v>
      </c>
      <c r="F93" s="367">
        <v>23395</v>
      </c>
      <c r="G93" s="367">
        <v>23514</v>
      </c>
      <c r="H93" s="367">
        <v>23796</v>
      </c>
      <c r="I93" s="367">
        <v>23956</v>
      </c>
      <c r="J93" s="367">
        <v>24174</v>
      </c>
      <c r="K93" s="367">
        <v>24211</v>
      </c>
      <c r="L93" s="367">
        <v>24619</v>
      </c>
      <c r="M93" s="367">
        <v>24856</v>
      </c>
      <c r="N93" s="367">
        <v>25113</v>
      </c>
      <c r="O93" s="367">
        <v>25111</v>
      </c>
      <c r="P93" s="367">
        <v>25174</v>
      </c>
      <c r="Q93" s="367">
        <v>25107</v>
      </c>
      <c r="R93" s="367">
        <v>25095</v>
      </c>
      <c r="S93" s="611">
        <v>25172</v>
      </c>
      <c r="T93" s="748">
        <v>25105</v>
      </c>
      <c r="U93" s="748">
        <v>24795</v>
      </c>
      <c r="V93" s="748">
        <v>24839</v>
      </c>
      <c r="W93" s="892">
        <v>25022</v>
      </c>
      <c r="X93" s="742"/>
      <c r="Y93" s="742"/>
      <c r="Z93" s="367" t="s">
        <v>84</v>
      </c>
      <c r="AA93" s="367">
        <v>336529</v>
      </c>
      <c r="AB93" s="367">
        <v>357260</v>
      </c>
      <c r="AC93" s="367">
        <v>361664</v>
      </c>
      <c r="AD93" s="367">
        <v>371975</v>
      </c>
      <c r="AE93" s="367">
        <v>391597</v>
      </c>
      <c r="AF93" s="367">
        <v>419485</v>
      </c>
      <c r="AG93" s="367">
        <v>434813</v>
      </c>
      <c r="AH93" s="367">
        <v>449131</v>
      </c>
      <c r="AI93" s="367">
        <v>483788</v>
      </c>
      <c r="AJ93" s="367">
        <v>507711</v>
      </c>
      <c r="AK93" s="367">
        <v>538503</v>
      </c>
      <c r="AL93" s="367">
        <v>578514</v>
      </c>
      <c r="AM93" s="367">
        <v>616112</v>
      </c>
      <c r="AN93" s="367">
        <v>624903</v>
      </c>
      <c r="AO93" s="367">
        <v>626295</v>
      </c>
      <c r="AP93" s="367">
        <v>663243</v>
      </c>
      <c r="AQ93" s="415">
        <v>689930</v>
      </c>
      <c r="AR93" s="8">
        <v>688926</v>
      </c>
      <c r="AS93" s="684">
        <v>657823</v>
      </c>
      <c r="AT93" s="684">
        <v>684214</v>
      </c>
      <c r="AU93" s="683">
        <v>683105</v>
      </c>
      <c r="AV93" s="8">
        <v>704091</v>
      </c>
      <c r="AW93" s="684"/>
      <c r="AX93" s="683"/>
      <c r="AY93" s="367" t="s">
        <v>84</v>
      </c>
      <c r="AZ93" s="39">
        <f t="shared" si="44"/>
        <v>15213.788426763111</v>
      </c>
      <c r="BA93" s="39">
        <f t="shared" si="45"/>
        <v>15862.712014918745</v>
      </c>
      <c r="BB93" s="39">
        <f t="shared" si="46"/>
        <v>15838.836822282561</v>
      </c>
      <c r="BC93" s="39">
        <f t="shared" si="47"/>
        <v>16125.850782503143</v>
      </c>
      <c r="BD93" s="39">
        <f t="shared" si="48"/>
        <v>16738.491130583458</v>
      </c>
      <c r="BE93" s="39">
        <f t="shared" si="49"/>
        <v>17839.797567406651</v>
      </c>
      <c r="BF93" s="39">
        <f t="shared" si="50"/>
        <v>18272.524794083041</v>
      </c>
      <c r="BG93" s="39">
        <f t="shared" si="51"/>
        <v>18748.163299382199</v>
      </c>
      <c r="BH93" s="39">
        <f t="shared" si="52"/>
        <v>20012.740961363448</v>
      </c>
      <c r="BI93" s="39">
        <f t="shared" si="53"/>
        <v>20970.261451406386</v>
      </c>
      <c r="BJ93" s="39">
        <f t="shared" si="54"/>
        <v>21873.471708842764</v>
      </c>
      <c r="BK93" s="39">
        <f t="shared" si="55"/>
        <v>23274.621821692948</v>
      </c>
      <c r="BL93" s="39">
        <f t="shared" si="56"/>
        <v>24533.588181419982</v>
      </c>
      <c r="BM93" s="39">
        <f t="shared" si="57"/>
        <v>24885.627812512445</v>
      </c>
      <c r="BN93" s="39">
        <f t="shared" si="58"/>
        <v>24878.644633351872</v>
      </c>
      <c r="BO93" s="39">
        <f t="shared" si="59"/>
        <v>26416.656709284263</v>
      </c>
      <c r="BP93" s="39">
        <f t="shared" si="60"/>
        <v>27492.727634987048</v>
      </c>
      <c r="BQ93" s="39">
        <f t="shared" si="61"/>
        <v>27368.743047830922</v>
      </c>
      <c r="BR93" s="39">
        <f t="shared" si="62"/>
        <v>26202.867954590718</v>
      </c>
      <c r="BS93" s="39">
        <f t="shared" si="63"/>
        <v>27594.837668884858</v>
      </c>
      <c r="BT93" s="39">
        <f t="shared" si="64"/>
        <v>27501.308426265146</v>
      </c>
      <c r="BU93" s="39">
        <f t="shared" si="65"/>
        <v>28138.87778754696</v>
      </c>
      <c r="BW93" s="367" t="s">
        <v>84</v>
      </c>
      <c r="BX93" s="39">
        <f>(AZ93/CPINormalized[1996])*100</f>
        <v>15213.788426763111</v>
      </c>
      <c r="BY93" s="39">
        <f>(BA93/CPINormalized[1997])*100</f>
        <v>15506.912866920567</v>
      </c>
      <c r="BZ93" s="39">
        <f>(BB93/CPINormalized[1998])*100</f>
        <v>15246.095076172602</v>
      </c>
      <c r="CA93" s="39">
        <f>(BC93/CPINormalized[1999])*100</f>
        <v>15186.950706931231</v>
      </c>
      <c r="CB93" s="39">
        <f>(BD93/CPINormalized[2000])*100</f>
        <v>15251.273277517683</v>
      </c>
      <c r="CC93" s="39">
        <f>(BE93/CPINormalized[2001])*100</f>
        <v>15804.992875923794</v>
      </c>
      <c r="CD93" s="39">
        <f>(BF93/CPINormalized[2002])*100</f>
        <v>15936.404336807278</v>
      </c>
      <c r="CE93" s="39">
        <f>(BG93/CPINormalized[2003])*100</f>
        <v>15986.884900397105</v>
      </c>
      <c r="CF93" s="39">
        <f>(BH93/CPINormalized[2004])*100</f>
        <v>16622.546621693622</v>
      </c>
      <c r="CG93" s="39">
        <f>(BI93/CPINormalized[2005])*100</f>
        <v>16847.076404125251</v>
      </c>
      <c r="CH93" s="39">
        <f>(BJ93/CPINormalized[2006])*100</f>
        <v>17023.550154352331</v>
      </c>
      <c r="CI93" s="39">
        <f>(BK93/CPINormalized[2007])*100</f>
        <v>17612.389982847777</v>
      </c>
      <c r="CJ93" s="39">
        <f>(BL93/CPINormalized[2008])*100</f>
        <v>17878.617509578577</v>
      </c>
      <c r="CK93" s="39">
        <f>(BM93/CPINormalized[2009])*100</f>
        <v>18199.914251542636</v>
      </c>
      <c r="CL93" s="39">
        <f>(BN93/CPINormalized[2010])*100</f>
        <v>17901.1783347989</v>
      </c>
      <c r="CM93" s="39">
        <f>(BO93/CPINormalized[2011])*100</f>
        <v>18426.210829099007</v>
      </c>
      <c r="CN93" s="39">
        <f>(BP93/CPINormalized[2012])*100</f>
        <v>18787.986471464705</v>
      </c>
      <c r="CO93" s="39">
        <f>(BQ93/CPINormalized[2013])*100</f>
        <v>18433.254996435702</v>
      </c>
      <c r="CP93" s="39">
        <f>(BR93/CPINormalized[2014])*100</f>
        <v>17366.306696384516</v>
      </c>
      <c r="CQ93" s="39">
        <f>(BS93/CPINormalized[2015])*100</f>
        <v>18267.170836893703</v>
      </c>
      <c r="CR93" s="39">
        <f>(BT93/CPINormalized[2016])*100</f>
        <v>17978.456012037153</v>
      </c>
      <c r="CS93" s="39">
        <f>(BU93/CPINormalized[2017])*100</f>
        <v>18011.545059016473</v>
      </c>
    </row>
    <row r="94" spans="1:97">
      <c r="A94" s="319" t="s">
        <v>85</v>
      </c>
      <c r="B94" s="367">
        <v>12921</v>
      </c>
      <c r="C94" s="367">
        <v>12996</v>
      </c>
      <c r="D94" s="367">
        <v>13214</v>
      </c>
      <c r="E94" s="367">
        <v>13194</v>
      </c>
      <c r="F94" s="367">
        <v>13259</v>
      </c>
      <c r="G94" s="367">
        <v>13368</v>
      </c>
      <c r="H94" s="367">
        <v>13318</v>
      </c>
      <c r="I94" s="367">
        <v>13435</v>
      </c>
      <c r="J94" s="367">
        <v>13394</v>
      </c>
      <c r="K94" s="367">
        <v>13514</v>
      </c>
      <c r="L94" s="367">
        <v>13429</v>
      </c>
      <c r="M94" s="367">
        <v>13356</v>
      </c>
      <c r="N94" s="367">
        <v>13397</v>
      </c>
      <c r="O94" s="367">
        <v>13486</v>
      </c>
      <c r="P94" s="367">
        <v>13523</v>
      </c>
      <c r="Q94" s="367">
        <v>13410</v>
      </c>
      <c r="R94" s="367">
        <v>13402</v>
      </c>
      <c r="S94" s="611">
        <v>13404</v>
      </c>
      <c r="T94" s="748">
        <v>13393</v>
      </c>
      <c r="U94" s="748">
        <v>13373</v>
      </c>
      <c r="V94" s="748">
        <v>13139</v>
      </c>
      <c r="W94" s="892">
        <v>13296</v>
      </c>
      <c r="X94" s="742"/>
      <c r="Y94" s="742"/>
      <c r="Z94" s="367" t="s">
        <v>85</v>
      </c>
      <c r="AA94" s="367">
        <v>176463</v>
      </c>
      <c r="AB94" s="367">
        <v>189760</v>
      </c>
      <c r="AC94" s="367">
        <v>195383</v>
      </c>
      <c r="AD94" s="367">
        <v>207694</v>
      </c>
      <c r="AE94" s="367">
        <v>222727</v>
      </c>
      <c r="AF94" s="367">
        <v>235761</v>
      </c>
      <c r="AG94" s="367">
        <v>241856</v>
      </c>
      <c r="AH94" s="367">
        <v>256714</v>
      </c>
      <c r="AI94" s="367">
        <v>273535</v>
      </c>
      <c r="AJ94" s="367">
        <v>285516</v>
      </c>
      <c r="AK94" s="367">
        <v>293643</v>
      </c>
      <c r="AL94" s="367">
        <v>303699</v>
      </c>
      <c r="AM94" s="367">
        <v>325530</v>
      </c>
      <c r="AN94" s="367">
        <v>340599</v>
      </c>
      <c r="AO94" s="367">
        <v>349444</v>
      </c>
      <c r="AP94" s="367">
        <v>356347</v>
      </c>
      <c r="AQ94" s="415">
        <v>362652</v>
      </c>
      <c r="AR94" s="8">
        <v>376859</v>
      </c>
      <c r="AS94" s="684">
        <v>350590</v>
      </c>
      <c r="AT94" s="684">
        <v>367437</v>
      </c>
      <c r="AU94" s="683">
        <v>369743</v>
      </c>
      <c r="AV94" s="8">
        <v>383970</v>
      </c>
      <c r="AW94" s="684"/>
      <c r="AX94" s="683"/>
      <c r="AY94" s="367" t="s">
        <v>85</v>
      </c>
      <c r="AZ94" s="39">
        <f t="shared" si="44"/>
        <v>13657.069886231715</v>
      </c>
      <c r="BA94" s="39">
        <f t="shared" si="45"/>
        <v>14601.415820252385</v>
      </c>
      <c r="BB94" s="39">
        <f t="shared" si="46"/>
        <v>14786.060239140304</v>
      </c>
      <c r="BC94" s="39">
        <f t="shared" si="47"/>
        <v>15741.549189025316</v>
      </c>
      <c r="BD94" s="39">
        <f t="shared" si="48"/>
        <v>16798.174824647409</v>
      </c>
      <c r="BE94" s="39">
        <f t="shared" si="49"/>
        <v>17636.220825852783</v>
      </c>
      <c r="BF94" s="39">
        <f t="shared" si="50"/>
        <v>18160.084096711216</v>
      </c>
      <c r="BG94" s="39">
        <f t="shared" si="51"/>
        <v>19107.852623743951</v>
      </c>
      <c r="BH94" s="39">
        <f t="shared" si="52"/>
        <v>20422.203971927731</v>
      </c>
      <c r="BI94" s="39">
        <f t="shared" si="53"/>
        <v>21127.42341275714</v>
      </c>
      <c r="BJ94" s="39">
        <f t="shared" si="54"/>
        <v>21866.334053168513</v>
      </c>
      <c r="BK94" s="39">
        <f t="shared" si="55"/>
        <v>22738.76909254268</v>
      </c>
      <c r="BL94" s="39">
        <f t="shared" si="56"/>
        <v>24298.723594834664</v>
      </c>
      <c r="BM94" s="39">
        <f t="shared" si="57"/>
        <v>25255.746700281772</v>
      </c>
      <c r="BN94" s="39">
        <f t="shared" si="58"/>
        <v>25840.715817496119</v>
      </c>
      <c r="BO94" s="39">
        <f t="shared" si="59"/>
        <v>26573.228933631617</v>
      </c>
      <c r="BP94" s="39">
        <f t="shared" si="60"/>
        <v>27059.543351738546</v>
      </c>
      <c r="BQ94" s="39">
        <f t="shared" si="61"/>
        <v>28115.413309459866</v>
      </c>
      <c r="BR94" s="39">
        <f t="shared" si="62"/>
        <v>26177.107444187262</v>
      </c>
      <c r="BS94" s="39">
        <f t="shared" si="63"/>
        <v>27476.033799446646</v>
      </c>
      <c r="BT94" s="39">
        <f t="shared" si="64"/>
        <v>28140.87830124058</v>
      </c>
      <c r="BU94" s="39">
        <f t="shared" si="65"/>
        <v>28878.610108303248</v>
      </c>
      <c r="BW94" s="367" t="s">
        <v>85</v>
      </c>
      <c r="BX94" s="39">
        <f>(AZ94/CPINormalized[1996])*100</f>
        <v>13657.069886231715</v>
      </c>
      <c r="BY94" s="39">
        <f>(BA94/CPINormalized[1997])*100</f>
        <v>14273.907428022423</v>
      </c>
      <c r="BZ94" s="39">
        <f>(BB94/CPINormalized[1998])*100</f>
        <v>14232.716880497632</v>
      </c>
      <c r="CA94" s="39">
        <f>(BC94/CPINormalized[1999])*100</f>
        <v>14825.02441631496</v>
      </c>
      <c r="CB94" s="39">
        <f>(BD94/CPINormalized[2000])*100</f>
        <v>15305.654064966197</v>
      </c>
      <c r="CC94" s="39">
        <f>(BE94/CPINormalized[2001])*100</f>
        <v>15624.636067624517</v>
      </c>
      <c r="CD94" s="39">
        <f>(BF94/CPINormalized[2002])*100</f>
        <v>15838.339048215619</v>
      </c>
      <c r="CE94" s="39">
        <f>(BG94/CPINormalized[2003])*100</f>
        <v>16293.598242746881</v>
      </c>
      <c r="CF94" s="39">
        <f>(BH94/CPINormalized[2004])*100</f>
        <v>16962.645861278252</v>
      </c>
      <c r="CG94" s="39">
        <f>(BI94/CPINormalized[2005])*100</f>
        <v>16973.337088897057</v>
      </c>
      <c r="CH94" s="39">
        <f>(BJ94/CPINormalized[2006])*100</f>
        <v>17017.995103879661</v>
      </c>
      <c r="CI94" s="39">
        <f>(BK94/CPINormalized[2007])*100</f>
        <v>17206.899087594149</v>
      </c>
      <c r="CJ94" s="39">
        <f>(BL94/CPINormalized[2008])*100</f>
        <v>17707.462190631621</v>
      </c>
      <c r="CK94" s="39">
        <f>(BM94/CPINormalized[2009])*100</f>
        <v>18470.597879499623</v>
      </c>
      <c r="CL94" s="39">
        <f>(BN94/CPINormalized[2010])*100</f>
        <v>18593.426971810641</v>
      </c>
      <c r="CM94" s="39">
        <f>(BO94/CPINormalized[2011])*100</f>
        <v>18535.423468970701</v>
      </c>
      <c r="CN94" s="39">
        <f>(BP94/CPINormalized[2012])*100</f>
        <v>18491.956897339554</v>
      </c>
      <c r="CO94" s="39">
        <f>(BQ94/CPINormalized[2013])*100</f>
        <v>18936.148509185186</v>
      </c>
      <c r="CP94" s="39">
        <f>(BR94/CPINormalized[2014])*100</f>
        <v>17349.233568164462</v>
      </c>
      <c r="CQ94" s="39">
        <f>(BS94/CPINormalized[2015])*100</f>
        <v>18188.525308873115</v>
      </c>
      <c r="CR94" s="39">
        <f>(BT94/CPINormalized[2016])*100</f>
        <v>18396.562623026191</v>
      </c>
      <c r="CS94" s="39">
        <f>(BU94/CPINormalized[2017])*100</f>
        <v>18485.04375812981</v>
      </c>
    </row>
    <row r="95" spans="1:97">
      <c r="A95" s="319" t="s">
        <v>86</v>
      </c>
      <c r="B95" s="367">
        <v>28078</v>
      </c>
      <c r="C95" s="367">
        <v>28893</v>
      </c>
      <c r="D95" s="367">
        <v>29634</v>
      </c>
      <c r="E95" s="367">
        <v>30463</v>
      </c>
      <c r="F95" s="367">
        <v>31219</v>
      </c>
      <c r="G95" s="367">
        <v>31863</v>
      </c>
      <c r="H95" s="367">
        <v>32299</v>
      </c>
      <c r="I95" s="367">
        <v>32680</v>
      </c>
      <c r="J95" s="367">
        <v>33394</v>
      </c>
      <c r="K95" s="367">
        <v>34005</v>
      </c>
      <c r="L95" s="367">
        <v>34692</v>
      </c>
      <c r="M95" s="367">
        <v>35477</v>
      </c>
      <c r="N95" s="367">
        <v>35938</v>
      </c>
      <c r="O95" s="367">
        <v>35997</v>
      </c>
      <c r="P95" s="367">
        <v>36299</v>
      </c>
      <c r="Q95" s="367">
        <v>36330</v>
      </c>
      <c r="R95" s="367">
        <v>36351</v>
      </c>
      <c r="S95" s="611">
        <v>36466</v>
      </c>
      <c r="T95" s="748">
        <v>36906</v>
      </c>
      <c r="U95" s="748">
        <v>37526</v>
      </c>
      <c r="V95" s="748">
        <v>38106</v>
      </c>
      <c r="W95" s="892">
        <v>38665</v>
      </c>
      <c r="X95" s="742"/>
      <c r="Y95" s="742"/>
      <c r="Z95" s="369" t="s">
        <v>86</v>
      </c>
      <c r="AA95" s="369">
        <v>454540</v>
      </c>
      <c r="AB95" s="369">
        <v>488939</v>
      </c>
      <c r="AC95" s="369">
        <v>511436</v>
      </c>
      <c r="AD95" s="369">
        <v>538318</v>
      </c>
      <c r="AE95" s="369">
        <v>577046</v>
      </c>
      <c r="AF95" s="369">
        <v>613750</v>
      </c>
      <c r="AG95" s="369">
        <v>629240</v>
      </c>
      <c r="AH95" s="369">
        <v>665432</v>
      </c>
      <c r="AI95" s="369">
        <v>734309</v>
      </c>
      <c r="AJ95" s="369">
        <v>781478</v>
      </c>
      <c r="AK95" s="369">
        <v>836625</v>
      </c>
      <c r="AL95" s="369">
        <v>888669</v>
      </c>
      <c r="AM95" s="369">
        <v>924421</v>
      </c>
      <c r="AN95" s="369">
        <v>935601</v>
      </c>
      <c r="AO95" s="369">
        <v>958115</v>
      </c>
      <c r="AP95" s="369">
        <v>1003176</v>
      </c>
      <c r="AQ95" s="417">
        <v>1033134</v>
      </c>
      <c r="AR95" s="8">
        <v>1071308</v>
      </c>
      <c r="AS95" s="684">
        <v>1121574</v>
      </c>
      <c r="AT95" s="684">
        <v>1180829</v>
      </c>
      <c r="AU95" s="683">
        <v>1147521</v>
      </c>
      <c r="AV95" s="8">
        <v>1208971</v>
      </c>
      <c r="AW95" s="684"/>
      <c r="AX95" s="683"/>
      <c r="AY95" s="369" t="s">
        <v>86</v>
      </c>
      <c r="AZ95" s="39">
        <f t="shared" si="44"/>
        <v>16188.474962604176</v>
      </c>
      <c r="BA95" s="39">
        <f t="shared" si="45"/>
        <v>16922.403350292458</v>
      </c>
      <c r="BB95" s="39">
        <f t="shared" si="46"/>
        <v>17258.419383140987</v>
      </c>
      <c r="BC95" s="39">
        <f t="shared" si="47"/>
        <v>17671.207694580309</v>
      </c>
      <c r="BD95" s="39">
        <f t="shared" si="48"/>
        <v>18483.807937473972</v>
      </c>
      <c r="BE95" s="39">
        <f t="shared" si="49"/>
        <v>19262.153595078933</v>
      </c>
      <c r="BF95" s="39">
        <f t="shared" si="50"/>
        <v>19481.717700238398</v>
      </c>
      <c r="BG95" s="39">
        <f t="shared" si="51"/>
        <v>20362.056303549572</v>
      </c>
      <c r="BH95" s="39">
        <f t="shared" si="52"/>
        <v>21989.249565790262</v>
      </c>
      <c r="BI95" s="39">
        <f t="shared" si="53"/>
        <v>22981.26746066755</v>
      </c>
      <c r="BJ95" s="39">
        <f t="shared" si="54"/>
        <v>24115.790383950192</v>
      </c>
      <c r="BK95" s="39">
        <f t="shared" si="55"/>
        <v>25049.158609803533</v>
      </c>
      <c r="BL95" s="39">
        <f t="shared" si="56"/>
        <v>25722.661249930436</v>
      </c>
      <c r="BM95" s="39">
        <f t="shared" si="57"/>
        <v>25991.08259021585</v>
      </c>
      <c r="BN95" s="39">
        <f t="shared" si="58"/>
        <v>26395.079754263203</v>
      </c>
      <c r="BO95" s="39">
        <f t="shared" si="59"/>
        <v>27612.88191577209</v>
      </c>
      <c r="BP95" s="39">
        <f t="shared" si="60"/>
        <v>28421.061318808286</v>
      </c>
      <c r="BQ95" s="39">
        <f t="shared" si="61"/>
        <v>29378.270169472933</v>
      </c>
      <c r="BR95" s="39">
        <f t="shared" si="62"/>
        <v>30390.017883271015</v>
      </c>
      <c r="BS95" s="39">
        <f t="shared" si="63"/>
        <v>31466.956243671055</v>
      </c>
      <c r="BT95" s="39">
        <f t="shared" si="64"/>
        <v>30113.919067863328</v>
      </c>
      <c r="BU95" s="39">
        <f t="shared" si="65"/>
        <v>31267.839130997025</v>
      </c>
      <c r="BW95" s="369" t="s">
        <v>86</v>
      </c>
      <c r="BX95" s="39">
        <f>(AZ95/CPINormalized[1996])*100</f>
        <v>16188.474962604176</v>
      </c>
      <c r="BY95" s="39">
        <f>(BA95/CPINormalized[1997])*100</f>
        <v>16542.835424678422</v>
      </c>
      <c r="BZ95" s="39">
        <f>(BB95/CPINormalized[1998])*100</f>
        <v>16612.552154692152</v>
      </c>
      <c r="CA95" s="39">
        <f>(BC95/CPINormalized[1999])*100</f>
        <v>16642.331856420471</v>
      </c>
      <c r="CB95" s="39">
        <f>(BD95/CPINormalized[2000])*100</f>
        <v>16841.518382053815</v>
      </c>
      <c r="CC95" s="39">
        <f>(BE95/CPINormalized[2001])*100</f>
        <v>17065.11518389545</v>
      </c>
      <c r="CD95" s="39">
        <f>(BF95/CPINormalized[2002])*100</f>
        <v>16991.003375027263</v>
      </c>
      <c r="CE95" s="39">
        <f>(BG95/CPINormalized[2003])*100</f>
        <v>17363.079532755044</v>
      </c>
      <c r="CF95" s="39">
        <f>(BH95/CPINormalized[2004])*100</f>
        <v>18264.23111102431</v>
      </c>
      <c r="CG95" s="39">
        <f>(BI95/CPINormalized[2005])*100</f>
        <v>18462.677237986372</v>
      </c>
      <c r="CH95" s="39">
        <f>(BJ95/CPINormalized[2006])*100</f>
        <v>18768.688051794568</v>
      </c>
      <c r="CI95" s="39">
        <f>(BK95/CPINormalized[2007])*100</f>
        <v>18955.218845569998</v>
      </c>
      <c r="CJ95" s="39">
        <f>(BL95/CPINormalized[2008])*100</f>
        <v>18745.143124406466</v>
      </c>
      <c r="CK95" s="39">
        <f>(BM95/CPINormalized[2009])*100</f>
        <v>19008.380178733118</v>
      </c>
      <c r="CL95" s="39">
        <f>(BN95/CPINormalized[2010])*100</f>
        <v>18992.313962669665</v>
      </c>
      <c r="CM95" s="39">
        <f>(BO95/CPINormalized[2011])*100</f>
        <v>19260.604753220388</v>
      </c>
      <c r="CN95" s="39">
        <f>(BP95/CPINormalized[2012])*100</f>
        <v>19422.39135570189</v>
      </c>
      <c r="CO95" s="39">
        <f>(BQ95/CPINormalized[2013])*100</f>
        <v>19786.701363729371</v>
      </c>
      <c r="CP95" s="39">
        <f>(BR95/CPINormalized[2014])*100</f>
        <v>20141.397193013414</v>
      </c>
      <c r="CQ95" s="39">
        <f>(BS95/CPINormalized[2015])*100</f>
        <v>20830.427499428264</v>
      </c>
      <c r="CR95" s="39">
        <f>(BT95/CPINormalized[2016])*100</f>
        <v>19686.400403937201</v>
      </c>
      <c r="CS95" s="39">
        <f>(BU95/CPINormalized[2017])*100</f>
        <v>20014.37646725454</v>
      </c>
    </row>
    <row r="96" spans="1:97" ht="14">
      <c r="A96" s="321" t="s">
        <v>87</v>
      </c>
      <c r="B96" s="369">
        <v>2385</v>
      </c>
      <c r="C96" s="369">
        <v>2421</v>
      </c>
      <c r="D96" s="369">
        <v>2376</v>
      </c>
      <c r="E96" s="369">
        <v>2385</v>
      </c>
      <c r="F96" s="369">
        <v>2382</v>
      </c>
      <c r="G96" s="369">
        <v>2324</v>
      </c>
      <c r="H96" s="369">
        <v>2320</v>
      </c>
      <c r="I96" s="369">
        <v>2291</v>
      </c>
      <c r="J96" s="369">
        <v>2269</v>
      </c>
      <c r="K96" s="369">
        <v>2231</v>
      </c>
      <c r="L96" s="369">
        <v>2202</v>
      </c>
      <c r="M96" s="369">
        <v>2217</v>
      </c>
      <c r="N96" s="369">
        <v>2166</v>
      </c>
      <c r="O96" s="369">
        <v>2199</v>
      </c>
      <c r="P96" s="369">
        <v>2154</v>
      </c>
      <c r="Q96" s="369">
        <v>2134</v>
      </c>
      <c r="R96" s="369">
        <v>2079</v>
      </c>
      <c r="S96" s="611">
        <v>2090</v>
      </c>
      <c r="T96" s="748">
        <v>2061</v>
      </c>
      <c r="U96" s="748">
        <v>2051</v>
      </c>
      <c r="V96" s="748">
        <v>2024</v>
      </c>
      <c r="W96" s="892">
        <v>2057</v>
      </c>
      <c r="X96" s="742"/>
      <c r="Y96" s="742"/>
      <c r="Z96" s="370" t="s">
        <v>87</v>
      </c>
      <c r="AA96" s="370">
        <v>39458</v>
      </c>
      <c r="AB96" s="370">
        <v>42147</v>
      </c>
      <c r="AC96" s="370">
        <v>42304</v>
      </c>
      <c r="AD96" s="418">
        <v>43218</v>
      </c>
      <c r="AE96" s="371">
        <v>46055</v>
      </c>
      <c r="AF96" s="370">
        <v>48955</v>
      </c>
      <c r="AG96" s="370">
        <v>47309</v>
      </c>
      <c r="AH96" s="370">
        <v>50412</v>
      </c>
      <c r="AI96" s="370">
        <v>55975</v>
      </c>
      <c r="AJ96" s="370">
        <v>54547</v>
      </c>
      <c r="AK96" s="370">
        <v>54345</v>
      </c>
      <c r="AL96" s="370">
        <v>56572</v>
      </c>
      <c r="AM96" s="372">
        <v>58551</v>
      </c>
      <c r="AN96" s="369">
        <v>62650</v>
      </c>
      <c r="AO96" s="369">
        <v>63558</v>
      </c>
      <c r="AP96" s="372">
        <v>66351</v>
      </c>
      <c r="AQ96" s="419">
        <v>65952</v>
      </c>
      <c r="AR96" s="8">
        <v>75390</v>
      </c>
      <c r="AS96" s="684">
        <v>92518</v>
      </c>
      <c r="AT96" s="684">
        <v>76489</v>
      </c>
      <c r="AU96" s="683">
        <v>76916</v>
      </c>
      <c r="AV96" s="8">
        <v>74537</v>
      </c>
      <c r="AW96" s="684"/>
      <c r="AX96" s="683"/>
      <c r="AY96" s="370" t="s">
        <v>87</v>
      </c>
      <c r="AZ96" s="39">
        <f t="shared" si="44"/>
        <v>16544.234800838574</v>
      </c>
      <c r="BA96" s="39">
        <f t="shared" si="45"/>
        <v>17408.921933085501</v>
      </c>
      <c r="BB96" s="39">
        <f t="shared" si="46"/>
        <v>17804.713804713807</v>
      </c>
      <c r="BC96" s="39">
        <f t="shared" si="47"/>
        <v>18120.754716981133</v>
      </c>
      <c r="BD96" s="39">
        <f t="shared" si="48"/>
        <v>19334.592779177161</v>
      </c>
      <c r="BE96" s="39">
        <f t="shared" si="49"/>
        <v>21064.974182444061</v>
      </c>
      <c r="BF96" s="39">
        <f t="shared" si="50"/>
        <v>20391.810344827587</v>
      </c>
      <c r="BG96" s="39">
        <f t="shared" si="51"/>
        <v>22004.364906154518</v>
      </c>
      <c r="BH96" s="39">
        <f t="shared" si="52"/>
        <v>24669.457910973997</v>
      </c>
      <c r="BI96" s="39">
        <f t="shared" si="53"/>
        <v>24449.574181981174</v>
      </c>
      <c r="BJ96" s="39">
        <f t="shared" si="54"/>
        <v>24679.83651226158</v>
      </c>
      <c r="BK96" s="39">
        <f t="shared" si="55"/>
        <v>25517.365809652685</v>
      </c>
      <c r="BL96" s="39">
        <f t="shared" si="56"/>
        <v>27031.855955678668</v>
      </c>
      <c r="BM96" s="39">
        <f t="shared" si="57"/>
        <v>28490.222828558439</v>
      </c>
      <c r="BN96" s="39">
        <f t="shared" si="58"/>
        <v>29506.963788300836</v>
      </c>
      <c r="BO96" s="39">
        <f t="shared" si="59"/>
        <v>31092.31490159325</v>
      </c>
      <c r="BP96" s="39">
        <f t="shared" si="60"/>
        <v>31722.943722943721</v>
      </c>
      <c r="BQ96" s="39">
        <f t="shared" si="61"/>
        <v>36071.770334928231</v>
      </c>
      <c r="BR96" s="39">
        <f t="shared" si="62"/>
        <v>44889.859291606015</v>
      </c>
      <c r="BS96" s="39">
        <f t="shared" si="63"/>
        <v>37293.515358361772</v>
      </c>
      <c r="BT96" s="39">
        <f t="shared" si="64"/>
        <v>38001.976284584976</v>
      </c>
      <c r="BU96" s="39">
        <f t="shared" si="65"/>
        <v>36235.78026251823</v>
      </c>
      <c r="BW96" s="370" t="s">
        <v>87</v>
      </c>
      <c r="BX96" s="39">
        <f>(AZ96/CPINormalized[1996])*100</f>
        <v>16544.234800838574</v>
      </c>
      <c r="BY96" s="39">
        <f>(BA96/CPINormalized[1997])*100</f>
        <v>17018.441441128442</v>
      </c>
      <c r="BZ96" s="39">
        <f>(BB96/CPINormalized[1998])*100</f>
        <v>17138.402429199978</v>
      </c>
      <c r="CA96" s="39">
        <f>(BC96/CPINormalized[1999])*100</f>
        <v>17065.70477247503</v>
      </c>
      <c r="CB96" s="39">
        <f>(BD96/CPINormalized[2000])*100</f>
        <v>17616.71084235132</v>
      </c>
      <c r="CC96" s="39">
        <f>(BE96/CPINormalized[2001])*100</f>
        <v>18662.306319737287</v>
      </c>
      <c r="CD96" s="39">
        <f>(BF96/CPINormalized[2002])*100</f>
        <v>17784.741762665082</v>
      </c>
      <c r="CE96" s="39">
        <f>(BG96/CPINormalized[2003])*100</f>
        <v>18763.504640085022</v>
      </c>
      <c r="CF96" s="39">
        <f>(BH96/CPINormalized[2004])*100</f>
        <v>20490.40733844267</v>
      </c>
      <c r="CG96" s="39">
        <f>(BI96/CPINormalized[2005])*100</f>
        <v>19642.284634679192</v>
      </c>
      <c r="CH96" s="39">
        <f>(BJ96/CPINormalized[2006])*100</f>
        <v>19207.67038082263</v>
      </c>
      <c r="CI96" s="39">
        <f>(BK96/CPINormalized[2007])*100</f>
        <v>19309.520963116523</v>
      </c>
      <c r="CJ96" s="39">
        <f>(BL96/CPINormalized[2008])*100</f>
        <v>19699.20623236083</v>
      </c>
      <c r="CK96" s="39">
        <f>(BM96/CPINormalized[2009])*100</f>
        <v>20836.107346522131</v>
      </c>
      <c r="CL96" s="39">
        <f>(BN96/CPINormalized[2010])*100</f>
        <v>21231.438797301616</v>
      </c>
      <c r="CM96" s="39">
        <f>(BO96/CPINormalized[2011])*100</f>
        <v>21687.587337278022</v>
      </c>
      <c r="CN96" s="39">
        <f>(BP96/CPINormalized[2012])*100</f>
        <v>21678.832504899383</v>
      </c>
      <c r="CO96" s="39">
        <f>(BQ96/CPINormalized[2013])*100</f>
        <v>24294.87315491803</v>
      </c>
      <c r="CP96" s="39">
        <f>(BR96/CPINormalized[2014])*100</f>
        <v>29751.364063146229</v>
      </c>
      <c r="CQ96" s="39">
        <f>(BS96/CPINormalized[2015])*100</f>
        <v>24687.480474932017</v>
      </c>
      <c r="CR96" s="39">
        <f>(BT96/CPINormalized[2016])*100</f>
        <v>24843.067406581402</v>
      </c>
      <c r="CS96" s="39">
        <f>(BU96/CPINormalized[2017])*100</f>
        <v>23194.328994733642</v>
      </c>
    </row>
    <row r="97" spans="1:97">
      <c r="A97" s="350" t="s">
        <v>88</v>
      </c>
      <c r="B97" s="370">
        <v>18013</v>
      </c>
      <c r="C97" s="370">
        <v>17967</v>
      </c>
      <c r="D97" s="370">
        <v>17910</v>
      </c>
      <c r="E97" s="370">
        <v>18025</v>
      </c>
      <c r="F97" s="370">
        <v>17926</v>
      </c>
      <c r="G97" s="371">
        <v>17963</v>
      </c>
      <c r="H97" s="370">
        <v>18147</v>
      </c>
      <c r="I97" s="370">
        <v>18217</v>
      </c>
      <c r="J97" s="370">
        <v>18226</v>
      </c>
      <c r="K97" s="370">
        <v>18489</v>
      </c>
      <c r="L97" s="370">
        <v>18554</v>
      </c>
      <c r="M97" s="370">
        <v>18713</v>
      </c>
      <c r="N97" s="370">
        <v>18904</v>
      </c>
      <c r="O97" s="372">
        <v>18633</v>
      </c>
      <c r="P97" s="369">
        <v>18851</v>
      </c>
      <c r="Q97" s="369">
        <v>18645</v>
      </c>
      <c r="R97" s="372">
        <v>18629</v>
      </c>
      <c r="S97" s="611">
        <v>18473</v>
      </c>
      <c r="T97" s="748">
        <v>18298</v>
      </c>
      <c r="U97" s="748">
        <v>18257</v>
      </c>
      <c r="V97" s="748">
        <v>18286</v>
      </c>
      <c r="W97" s="892">
        <v>18331</v>
      </c>
      <c r="X97" s="742"/>
      <c r="Y97" s="742"/>
      <c r="Z97" s="376" t="s">
        <v>88</v>
      </c>
      <c r="AA97" s="420">
        <v>259220</v>
      </c>
      <c r="AB97" s="420">
        <v>280682</v>
      </c>
      <c r="AC97" s="420">
        <v>293739</v>
      </c>
      <c r="AD97" s="420">
        <v>300929</v>
      </c>
      <c r="AE97" s="420">
        <v>312248</v>
      </c>
      <c r="AF97" s="420">
        <v>316101</v>
      </c>
      <c r="AG97" s="420">
        <v>309031</v>
      </c>
      <c r="AH97" s="420">
        <v>320845</v>
      </c>
      <c r="AI97" s="420">
        <v>350406</v>
      </c>
      <c r="AJ97" s="420">
        <v>370610</v>
      </c>
      <c r="AK97" s="420">
        <v>380211</v>
      </c>
      <c r="AL97" s="420">
        <v>399364</v>
      </c>
      <c r="AM97" s="420">
        <v>420715</v>
      </c>
      <c r="AN97" s="420">
        <v>420073</v>
      </c>
      <c r="AO97" s="420">
        <v>436757</v>
      </c>
      <c r="AP97" s="420">
        <v>460508</v>
      </c>
      <c r="AQ97" s="421">
        <v>468494</v>
      </c>
      <c r="AR97" s="8">
        <v>484468</v>
      </c>
      <c r="AS97" s="684">
        <v>491356</v>
      </c>
      <c r="AT97" s="684">
        <v>487219</v>
      </c>
      <c r="AU97" s="683">
        <v>484675</v>
      </c>
      <c r="AV97" s="8">
        <v>565473</v>
      </c>
      <c r="AW97" s="684"/>
      <c r="AX97" s="683"/>
      <c r="AY97" s="376" t="s">
        <v>88</v>
      </c>
      <c r="AZ97" s="39">
        <f t="shared" si="44"/>
        <v>14390.717814911453</v>
      </c>
      <c r="BA97" s="39">
        <f t="shared" si="45"/>
        <v>15622.084933489175</v>
      </c>
      <c r="BB97" s="39">
        <f t="shared" si="46"/>
        <v>16400.837520938021</v>
      </c>
      <c r="BC97" s="39">
        <f t="shared" si="47"/>
        <v>16695.090152565881</v>
      </c>
      <c r="BD97" s="39">
        <f t="shared" si="48"/>
        <v>17418.721410242106</v>
      </c>
      <c r="BE97" s="39">
        <f t="shared" si="49"/>
        <v>17597.338974558817</v>
      </c>
      <c r="BF97" s="39">
        <f t="shared" si="50"/>
        <v>17029.316140408886</v>
      </c>
      <c r="BG97" s="39">
        <f t="shared" si="51"/>
        <v>17612.395015644724</v>
      </c>
      <c r="BH97" s="39">
        <f t="shared" si="52"/>
        <v>19225.611763414905</v>
      </c>
      <c r="BI97" s="39">
        <f t="shared" si="53"/>
        <v>20044.891557142084</v>
      </c>
      <c r="BJ97" s="39">
        <f t="shared" si="54"/>
        <v>20492.131076856745</v>
      </c>
      <c r="BK97" s="39">
        <f t="shared" si="55"/>
        <v>21341.527280500188</v>
      </c>
      <c r="BL97" s="39">
        <f t="shared" si="56"/>
        <v>22255.342784595854</v>
      </c>
      <c r="BM97" s="39">
        <f t="shared" si="57"/>
        <v>22544.571459238985</v>
      </c>
      <c r="BN97" s="39">
        <f t="shared" si="58"/>
        <v>23168.903506445284</v>
      </c>
      <c r="BO97" s="39">
        <f t="shared" si="59"/>
        <v>24698.739608474119</v>
      </c>
      <c r="BP97" s="39">
        <f t="shared" si="60"/>
        <v>25148.63921842289</v>
      </c>
      <c r="BQ97" s="39">
        <f t="shared" si="61"/>
        <v>26225.734856276726</v>
      </c>
      <c r="BR97" s="39">
        <f t="shared" si="62"/>
        <v>26852.989397748388</v>
      </c>
      <c r="BS97" s="39">
        <f t="shared" si="63"/>
        <v>26686.695514049403</v>
      </c>
      <c r="BT97" s="39">
        <f t="shared" si="64"/>
        <v>26505.249917970032</v>
      </c>
      <c r="BU97" s="39">
        <f t="shared" si="65"/>
        <v>30847.907915552889</v>
      </c>
      <c r="BW97" s="376" t="s">
        <v>88</v>
      </c>
      <c r="BX97" s="39">
        <f>(AZ97/CPINormalized[1996])*100</f>
        <v>14390.717814911455</v>
      </c>
      <c r="BY97" s="39">
        <f>(BA97/CPINormalized[1997])*100</f>
        <v>15271.683028438949</v>
      </c>
      <c r="BZ97" s="39">
        <f>(BB97/CPINormalized[1998])*100</f>
        <v>15787.063846841571</v>
      </c>
      <c r="CA97" s="39">
        <f>(BC97/CPINormalized[1999])*100</f>
        <v>15723.047088460904</v>
      </c>
      <c r="CB97" s="39">
        <f>(BD97/CPINormalized[2000])*100</f>
        <v>15871.064978321643</v>
      </c>
      <c r="CC97" s="39">
        <f>(BE97/CPINormalized[2001])*100</f>
        <v>15590.189074580905</v>
      </c>
      <c r="CD97" s="39">
        <f>(BF97/CPINormalized[2002])*100</f>
        <v>14852.138423736267</v>
      </c>
      <c r="CE97" s="39">
        <f>(BG97/CPINormalized[2003])*100</f>
        <v>15018.395532362269</v>
      </c>
      <c r="CF97" s="39">
        <f>(BH97/CPINormalized[2004])*100</f>
        <v>15968.75852662678</v>
      </c>
      <c r="CG97" s="39">
        <f>(BI97/CPINormalized[2005])*100</f>
        <v>16103.653278625665</v>
      </c>
      <c r="CH97" s="39">
        <f>(BJ97/CPINormalized[2006])*100</f>
        <v>15948.488918446546</v>
      </c>
      <c r="CI97" s="39">
        <f>(BK97/CPINormalized[2007])*100</f>
        <v>16149.577173512746</v>
      </c>
      <c r="CJ97" s="39">
        <f>(BL97/CPINormalized[2008])*100</f>
        <v>16218.367987919768</v>
      </c>
      <c r="CK97" s="39">
        <f>(BM97/CPINormalized[2009])*100</f>
        <v>16487.80052836852</v>
      </c>
      <c r="CL97" s="39">
        <f>(BN97/CPINormalized[2010])*100</f>
        <v>16670.951315998023</v>
      </c>
      <c r="CM97" s="39">
        <f>(BO97/CPINormalized[2011])*100</f>
        <v>17227.92510222589</v>
      </c>
      <c r="CN97" s="39">
        <f>(BP97/CPINormalized[2012])*100</f>
        <v>17186.082795589395</v>
      </c>
      <c r="CO97" s="39">
        <f>(BQ97/CPINormalized[2013])*100</f>
        <v>17663.422000411312</v>
      </c>
      <c r="CP97" s="39">
        <f>(BR97/CPINormalized[2014])*100</f>
        <v>17797.183514576249</v>
      </c>
      <c r="CQ97" s="39">
        <f>(BS97/CPINormalized[2015])*100</f>
        <v>17666.000861348981</v>
      </c>
      <c r="CR97" s="39">
        <f>(BT97/CPINormalized[2016])*100</f>
        <v>17327.301754238408</v>
      </c>
      <c r="CS97" s="39">
        <f>(BU97/CPINormalized[2017])*100</f>
        <v>19745.580743922357</v>
      </c>
    </row>
    <row r="98" spans="1:97">
      <c r="A98" s="599"/>
      <c r="B98" s="897"/>
      <c r="C98" s="897"/>
      <c r="D98" s="897"/>
      <c r="E98" s="897"/>
      <c r="F98" s="897"/>
      <c r="G98" s="897"/>
      <c r="H98" s="897"/>
      <c r="I98" s="897"/>
      <c r="J98" s="899"/>
      <c r="K98" s="899"/>
      <c r="L98" s="899"/>
      <c r="M98" s="899"/>
      <c r="N98" s="899"/>
      <c r="O98" s="369"/>
      <c r="P98" s="899"/>
      <c r="Q98" s="899"/>
      <c r="R98" s="899"/>
      <c r="S98" s="901"/>
      <c r="T98" s="742"/>
      <c r="U98" s="742"/>
      <c r="V98" s="742"/>
      <c r="W98" s="892"/>
      <c r="X98" s="742"/>
      <c r="Y98" s="742"/>
      <c r="Z98" s="373" t="s">
        <v>231</v>
      </c>
      <c r="AA98" s="282">
        <f>SUM(AA9:AA97)</f>
        <v>25642904</v>
      </c>
      <c r="AB98" s="282">
        <f t="shared" ref="AB98:AU98" si="66">SUM(AB9:AB97)</f>
        <v>27229031</v>
      </c>
      <c r="AC98" s="282">
        <f t="shared" si="66"/>
        <v>27919049</v>
      </c>
      <c r="AD98" s="282">
        <f t="shared" si="66"/>
        <v>28970855</v>
      </c>
      <c r="AE98" s="282">
        <f t="shared" si="66"/>
        <v>31322119</v>
      </c>
      <c r="AF98" s="282">
        <f t="shared" si="66"/>
        <v>32739618</v>
      </c>
      <c r="AG98" s="282">
        <f t="shared" si="66"/>
        <v>32879836</v>
      </c>
      <c r="AH98" s="282">
        <f t="shared" si="66"/>
        <v>34690783</v>
      </c>
      <c r="AI98" s="282">
        <f t="shared" si="66"/>
        <v>37710362</v>
      </c>
      <c r="AJ98" s="282">
        <f t="shared" si="66"/>
        <v>38673771</v>
      </c>
      <c r="AK98" s="282">
        <f t="shared" si="66"/>
        <v>40496778</v>
      </c>
      <c r="AL98" s="282">
        <f t="shared" si="66"/>
        <v>42852977</v>
      </c>
      <c r="AM98" s="282">
        <f t="shared" si="66"/>
        <v>45624638</v>
      </c>
      <c r="AN98" s="282">
        <f t="shared" si="66"/>
        <v>45912963</v>
      </c>
      <c r="AO98" s="282">
        <f t="shared" si="66"/>
        <v>46635736</v>
      </c>
      <c r="AP98" s="282">
        <f t="shared" si="66"/>
        <v>48624303</v>
      </c>
      <c r="AQ98" s="282">
        <f t="shared" si="66"/>
        <v>49389696</v>
      </c>
      <c r="AR98" s="374">
        <f t="shared" si="66"/>
        <v>52251687</v>
      </c>
      <c r="AS98" s="374">
        <f t="shared" si="66"/>
        <v>51215640</v>
      </c>
      <c r="AT98" s="374">
        <f t="shared" si="66"/>
        <v>51190529</v>
      </c>
      <c r="AU98" s="374">
        <f t="shared" si="66"/>
        <v>51917271</v>
      </c>
      <c r="AX98" s="683"/>
      <c r="AY98" s="373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W98" s="373" t="s">
        <v>448</v>
      </c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</row>
    <row r="99" spans="1:97">
      <c r="A99" s="378"/>
      <c r="B99" s="898"/>
      <c r="C99" s="898"/>
      <c r="D99" s="898"/>
      <c r="E99" s="898"/>
      <c r="F99" s="898"/>
      <c r="G99" s="898"/>
      <c r="H99" s="898"/>
      <c r="I99" s="898"/>
      <c r="J99" s="900"/>
      <c r="K99" s="900"/>
      <c r="L99" s="900"/>
      <c r="M99" s="900"/>
      <c r="N99" s="900"/>
      <c r="O99" s="900"/>
      <c r="P99" s="900"/>
      <c r="Q99" s="900"/>
      <c r="R99" s="900"/>
      <c r="S99" s="902"/>
      <c r="T99" s="742"/>
      <c r="U99" s="742"/>
      <c r="V99" s="742"/>
      <c r="W99" s="892"/>
      <c r="X99" s="742"/>
      <c r="Y99" s="742"/>
      <c r="AO99" s="96"/>
      <c r="AP99" s="96"/>
      <c r="AQ99" s="96"/>
      <c r="AR99" s="28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</row>
    <row r="100" spans="1:97">
      <c r="A100" s="599" t="s">
        <v>532</v>
      </c>
      <c r="B100" s="817">
        <f t="shared" ref="B100:V100" si="67">SUM(B9:B99)</f>
        <v>1445456</v>
      </c>
      <c r="C100" s="817">
        <f t="shared" si="67"/>
        <v>1458561</v>
      </c>
      <c r="D100" s="817">
        <f t="shared" si="67"/>
        <v>1471847</v>
      </c>
      <c r="E100" s="817">
        <f t="shared" si="67"/>
        <v>1481024</v>
      </c>
      <c r="F100" s="817">
        <f t="shared" si="67"/>
        <v>1493634</v>
      </c>
      <c r="G100" s="817">
        <f t="shared" si="67"/>
        <v>1499912</v>
      </c>
      <c r="H100" s="817">
        <f t="shared" si="67"/>
        <v>1507133</v>
      </c>
      <c r="I100" s="817">
        <f t="shared" si="67"/>
        <v>1515574</v>
      </c>
      <c r="J100" s="817">
        <f t="shared" si="67"/>
        <v>1524294</v>
      </c>
      <c r="K100" s="817">
        <f t="shared" si="67"/>
        <v>1534931</v>
      </c>
      <c r="L100" s="817">
        <f t="shared" si="67"/>
        <v>1545975</v>
      </c>
      <c r="M100" s="817">
        <f t="shared" si="67"/>
        <v>1552967</v>
      </c>
      <c r="N100" s="817">
        <f t="shared" si="67"/>
        <v>1556559</v>
      </c>
      <c r="O100" s="817">
        <f t="shared" si="67"/>
        <v>1558776</v>
      </c>
      <c r="P100" s="817">
        <f t="shared" si="67"/>
        <v>1564575</v>
      </c>
      <c r="Q100" s="817">
        <f t="shared" si="67"/>
        <v>1561320</v>
      </c>
      <c r="R100" s="817">
        <f t="shared" si="67"/>
        <v>1555855</v>
      </c>
      <c r="S100" s="817">
        <f t="shared" si="67"/>
        <v>1553909</v>
      </c>
      <c r="T100" s="817">
        <f t="shared" si="67"/>
        <v>1549602</v>
      </c>
      <c r="U100" s="817">
        <f t="shared" si="67"/>
        <v>1545172</v>
      </c>
      <c r="V100" s="817">
        <f t="shared" si="67"/>
        <v>1543064</v>
      </c>
      <c r="W100" s="817"/>
      <c r="X100" s="891"/>
      <c r="Y100" s="891"/>
      <c r="AO100" s="96"/>
      <c r="AP100" s="96"/>
      <c r="AQ100" s="96"/>
      <c r="AR100" s="96"/>
      <c r="AU100" s="397"/>
      <c r="AV100" s="751"/>
      <c r="AW100" s="751"/>
      <c r="AY100" s="397"/>
    </row>
    <row r="101" spans="1:97">
      <c r="O101" s="96"/>
      <c r="P101" s="96"/>
      <c r="Q101" s="96"/>
      <c r="R101" s="96"/>
      <c r="S101" s="744"/>
      <c r="T101" s="744"/>
      <c r="U101" s="744"/>
      <c r="V101" s="744"/>
      <c r="W101" s="744"/>
      <c r="AO101" s="96"/>
      <c r="AP101" s="96"/>
      <c r="AQ101" s="96"/>
      <c r="AR101" s="96"/>
      <c r="AX101" s="665"/>
    </row>
    <row r="102" spans="1:97">
      <c r="O102" s="96"/>
      <c r="P102" s="96"/>
      <c r="Q102" s="96"/>
      <c r="R102" s="96"/>
      <c r="S102" s="744"/>
      <c r="T102" s="744"/>
      <c r="U102" s="744"/>
      <c r="V102" s="744"/>
      <c r="W102" s="744"/>
      <c r="AO102" s="96"/>
      <c r="AP102" s="96"/>
      <c r="AQ102" s="96"/>
      <c r="AR102" s="96"/>
    </row>
    <row r="103" spans="1:97">
      <c r="O103" s="96"/>
      <c r="P103" s="96"/>
      <c r="Q103" s="96"/>
      <c r="R103" s="96"/>
      <c r="S103" s="744"/>
      <c r="T103" s="744"/>
      <c r="U103" s="744"/>
      <c r="V103" s="744"/>
      <c r="W103" s="744"/>
      <c r="AO103" s="96"/>
      <c r="AP103" s="96"/>
      <c r="AQ103" s="96"/>
      <c r="AR103" s="96"/>
      <c r="AU103" s="397"/>
      <c r="AV103" s="751"/>
      <c r="AW103" s="751"/>
      <c r="AY103" s="397"/>
    </row>
    <row r="104" spans="1:97">
      <c r="O104" s="96"/>
      <c r="P104" s="96"/>
      <c r="Q104" s="96"/>
      <c r="R104" s="96"/>
      <c r="S104" s="744"/>
      <c r="T104" s="744"/>
      <c r="U104" s="744"/>
      <c r="V104" s="744"/>
      <c r="W104" s="744"/>
      <c r="AO104" s="96"/>
      <c r="AP104" s="96"/>
      <c r="AQ104" s="96"/>
      <c r="AR104" s="96"/>
      <c r="AU104" s="397"/>
      <c r="AV104" s="751"/>
      <c r="AW104" s="751"/>
      <c r="AX104" s="665"/>
      <c r="AY104" s="397"/>
    </row>
    <row r="105" spans="1:97">
      <c r="O105" s="96"/>
      <c r="P105" s="96"/>
      <c r="Q105" s="96"/>
      <c r="R105" s="96"/>
      <c r="S105" s="744"/>
      <c r="T105" s="744"/>
      <c r="U105" s="744"/>
      <c r="V105" s="744"/>
      <c r="W105" s="744"/>
      <c r="AO105" s="96"/>
      <c r="AP105" s="96"/>
      <c r="AQ105" s="96"/>
      <c r="AR105" s="96"/>
      <c r="AU105" s="397"/>
      <c r="AV105" s="751"/>
      <c r="AW105" s="751"/>
      <c r="AX105" s="665"/>
      <c r="AY105" s="397"/>
    </row>
    <row r="106" spans="1:97">
      <c r="O106" s="96"/>
      <c r="P106" s="96"/>
      <c r="Q106" s="96"/>
      <c r="R106" s="96"/>
      <c r="S106" s="744"/>
      <c r="T106" s="744"/>
      <c r="U106" s="744"/>
      <c r="V106" s="744"/>
      <c r="W106" s="744"/>
      <c r="AO106" s="96"/>
      <c r="AP106" s="96"/>
      <c r="AQ106" s="96"/>
      <c r="AR106" s="96"/>
      <c r="AX106" s="665"/>
    </row>
    <row r="107" spans="1:97">
      <c r="O107" s="96"/>
      <c r="P107" s="96"/>
      <c r="Q107" s="96"/>
      <c r="R107" s="96"/>
      <c r="S107" s="744"/>
      <c r="T107" s="744"/>
      <c r="U107" s="744"/>
      <c r="V107" s="744"/>
      <c r="W107" s="744"/>
      <c r="AO107" s="96"/>
      <c r="AP107" s="96"/>
      <c r="AQ107" s="96"/>
      <c r="AR107" s="96"/>
    </row>
    <row r="108" spans="1:97">
      <c r="O108" s="96"/>
      <c r="P108" s="96"/>
      <c r="Q108" s="96"/>
      <c r="R108" s="96"/>
      <c r="S108" s="744"/>
      <c r="T108" s="744"/>
      <c r="U108" s="744"/>
      <c r="V108" s="744"/>
      <c r="W108" s="744"/>
      <c r="AO108" s="96"/>
      <c r="AP108" s="96"/>
      <c r="AQ108" s="96"/>
      <c r="AR108" s="96"/>
    </row>
    <row r="109" spans="1:97">
      <c r="O109" s="96"/>
      <c r="P109" s="96"/>
      <c r="Q109" s="96"/>
      <c r="R109" s="96"/>
      <c r="S109" s="744"/>
      <c r="T109" s="744"/>
      <c r="U109" s="744"/>
      <c r="V109" s="744"/>
      <c r="W109" s="744"/>
      <c r="AO109" s="96"/>
      <c r="AP109" s="96"/>
      <c r="AQ109" s="96"/>
      <c r="AR109" s="96"/>
    </row>
    <row r="110" spans="1:97">
      <c r="O110" s="96"/>
      <c r="P110" s="96"/>
      <c r="Q110" s="96"/>
      <c r="R110" s="96"/>
      <c r="S110" s="744"/>
      <c r="T110" s="744"/>
      <c r="U110" s="744"/>
      <c r="V110" s="744"/>
      <c r="W110" s="744"/>
      <c r="AO110" s="96"/>
      <c r="AP110" s="96"/>
      <c r="AQ110" s="96"/>
      <c r="AR110" s="96"/>
    </row>
    <row r="111" spans="1:97">
      <c r="O111" s="96"/>
      <c r="P111" s="96"/>
      <c r="Q111" s="96"/>
      <c r="R111" s="96"/>
      <c r="S111" s="744"/>
      <c r="T111" s="744"/>
      <c r="U111" s="744"/>
      <c r="V111" s="744"/>
      <c r="W111" s="744"/>
      <c r="AO111" s="96"/>
      <c r="AP111" s="96"/>
      <c r="AQ111" s="96"/>
      <c r="AR111" s="96"/>
    </row>
    <row r="112" spans="1:97">
      <c r="O112" s="96"/>
      <c r="P112" s="96"/>
      <c r="Q112" s="96"/>
      <c r="R112" s="96"/>
      <c r="T112" s="744"/>
      <c r="U112" s="744"/>
      <c r="V112" s="744"/>
      <c r="W112" s="744"/>
      <c r="AO112" s="96"/>
      <c r="AP112" s="96"/>
      <c r="AQ112" s="96"/>
      <c r="AR112" s="96"/>
    </row>
    <row r="113" spans="41:51">
      <c r="AO113" s="96"/>
      <c r="AP113" s="96"/>
      <c r="AQ113" s="96"/>
      <c r="AR113" s="96"/>
    </row>
    <row r="114" spans="41:51">
      <c r="AU114" s="397"/>
      <c r="AV114" s="751"/>
      <c r="AW114" s="751"/>
      <c r="AY114" s="397"/>
    </row>
    <row r="115" spans="41:51">
      <c r="AX115" s="665"/>
    </row>
    <row r="123" spans="41:51">
      <c r="AU123" s="397"/>
      <c r="AV123" s="751"/>
      <c r="AW123" s="751"/>
      <c r="AY123" s="397"/>
    </row>
    <row r="124" spans="41:51">
      <c r="AX124" s="665"/>
    </row>
  </sheetData>
  <mergeCells count="4">
    <mergeCell ref="A1:C1"/>
    <mergeCell ref="B4:K4"/>
    <mergeCell ref="C3:K3"/>
    <mergeCell ref="G7:R7"/>
  </mergeCells>
  <phoneticPr fontId="3" type="noConversion"/>
  <hyperlinks>
    <hyperlink ref="B4" r:id="rId1" location="reqid=70&amp;step=1&amp;isuri=1" xr:uid="{00000000-0004-0000-1100-000000000000}"/>
  </hyperlinks>
  <pageMargins left="0.75" right="0.75" top="1" bottom="1" header="0.5" footer="0.5"/>
  <pageSetup orientation="portrait" verticalDpi="300" r:id="rId2"/>
  <headerFooter alignWithMargins="0"/>
  <ignoredErrors>
    <ignoredError sqref="BQ9:BQ97 AZ9 AZ10:BP97 BA9:BP9 BX9:CN97 CO9:CO97" calculatedColumn="1"/>
  </ignoredErrors>
  <tableParts count="4">
    <tablePart r:id="rId3"/>
    <tablePart r:id="rId4"/>
    <tablePart r:id="rId5"/>
    <tablePart r:id="rId6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rgb="FFFF0000"/>
  </sheetPr>
  <dimension ref="A1:V20"/>
  <sheetViews>
    <sheetView workbookViewId="0">
      <selection activeCell="I21" sqref="I21"/>
    </sheetView>
  </sheetViews>
  <sheetFormatPr baseColWidth="10" defaultColWidth="8.83203125" defaultRowHeight="13"/>
  <cols>
    <col min="15" max="15" width="10.5" customWidth="1"/>
    <col min="18" max="18" width="8.83203125" customWidth="1"/>
  </cols>
  <sheetData>
    <row r="1" spans="1:22">
      <c r="A1" s="4" t="s">
        <v>239</v>
      </c>
      <c r="B1" s="4" t="s">
        <v>243</v>
      </c>
      <c r="C1" s="4"/>
      <c r="E1" s="104" t="s">
        <v>431</v>
      </c>
      <c r="J1" t="s">
        <v>432</v>
      </c>
    </row>
    <row r="2" spans="1:22" s="134" customFormat="1"/>
    <row r="3" spans="1:22">
      <c r="A3" s="318" t="s">
        <v>409</v>
      </c>
      <c r="B3" s="318" t="s">
        <v>410</v>
      </c>
      <c r="C3" s="318" t="s">
        <v>411</v>
      </c>
      <c r="D3" s="318" t="s">
        <v>412</v>
      </c>
      <c r="E3" s="318" t="s">
        <v>413</v>
      </c>
      <c r="F3" s="318" t="s">
        <v>414</v>
      </c>
      <c r="G3" s="318" t="s">
        <v>415</v>
      </c>
      <c r="H3" s="318" t="s">
        <v>416</v>
      </c>
      <c r="I3" s="318" t="s">
        <v>417</v>
      </c>
      <c r="J3" s="318" t="s">
        <v>418</v>
      </c>
      <c r="K3" s="318" t="s">
        <v>419</v>
      </c>
      <c r="L3" s="318" t="s">
        <v>420</v>
      </c>
      <c r="M3" s="318" t="s">
        <v>421</v>
      </c>
      <c r="N3" s="318" t="s">
        <v>422</v>
      </c>
      <c r="O3" s="318" t="s">
        <v>423</v>
      </c>
      <c r="P3" s="318" t="s">
        <v>355</v>
      </c>
      <c r="Q3" s="318" t="s">
        <v>399</v>
      </c>
      <c r="R3" s="685" t="s">
        <v>424</v>
      </c>
      <c r="S3" s="685" t="s">
        <v>446</v>
      </c>
      <c r="T3" s="685" t="s">
        <v>523</v>
      </c>
      <c r="U3" s="685" t="s">
        <v>524</v>
      </c>
      <c r="V3" s="685" t="s">
        <v>525</v>
      </c>
    </row>
    <row r="4" spans="1:22">
      <c r="A4" s="135">
        <v>143.65</v>
      </c>
      <c r="B4" s="135">
        <v>147.66666666666666</v>
      </c>
      <c r="C4" s="135">
        <v>146.8833333333333</v>
      </c>
      <c r="D4" s="135">
        <v>150.82499999999999</v>
      </c>
      <c r="E4" s="135">
        <v>156.06666666666663</v>
      </c>
      <c r="F4" s="135">
        <v>159.9</v>
      </c>
      <c r="G4" s="135">
        <v>161.12499999999997</v>
      </c>
      <c r="H4" s="135">
        <v>165.84999999999997</v>
      </c>
      <c r="I4" s="135">
        <v>173.73333333333335</v>
      </c>
      <c r="J4" s="135">
        <v>182.45833333333337</v>
      </c>
      <c r="K4" s="135">
        <v>190.40000000000006</v>
      </c>
      <c r="L4" s="135">
        <v>196.00833333333333</v>
      </c>
      <c r="M4" s="135">
        <v>207.92499999999998</v>
      </c>
      <c r="N4" s="135">
        <v>205.02499999999998</v>
      </c>
      <c r="O4" s="148">
        <v>211.39999999999998</v>
      </c>
      <c r="P4" s="148">
        <v>220.85</v>
      </c>
      <c r="Q4" s="135">
        <v>225.7</v>
      </c>
      <c r="R4" s="686">
        <v>229.15</v>
      </c>
      <c r="S4" s="687">
        <v>234.07500000000002</v>
      </c>
      <c r="T4" s="687">
        <v>232.67500000000001</v>
      </c>
      <c r="U4" s="687">
        <v>234.83295168775001</v>
      </c>
      <c r="V4" s="687">
        <v>242.16</v>
      </c>
    </row>
    <row r="7" spans="1:22">
      <c r="A7" s="4" t="s">
        <v>240</v>
      </c>
      <c r="B7" s="4"/>
      <c r="C7" s="4"/>
      <c r="E7" s="956" t="s">
        <v>511</v>
      </c>
      <c r="F7" s="967"/>
      <c r="G7" s="967"/>
      <c r="H7" s="967"/>
      <c r="I7" s="967"/>
      <c r="J7" s="967"/>
      <c r="K7" s="967"/>
    </row>
    <row r="8" spans="1:22">
      <c r="A8" s="318" t="s">
        <v>409</v>
      </c>
      <c r="B8" s="318" t="s">
        <v>410</v>
      </c>
      <c r="C8" s="318" t="s">
        <v>411</v>
      </c>
      <c r="D8" s="318" t="s">
        <v>412</v>
      </c>
      <c r="E8" s="318" t="s">
        <v>413</v>
      </c>
      <c r="F8" s="318" t="s">
        <v>414</v>
      </c>
      <c r="G8" s="318" t="s">
        <v>415</v>
      </c>
      <c r="H8" s="318" t="s">
        <v>416</v>
      </c>
      <c r="I8" s="318" t="s">
        <v>417</v>
      </c>
      <c r="J8" s="318" t="s">
        <v>418</v>
      </c>
      <c r="K8" s="318" t="s">
        <v>419</v>
      </c>
      <c r="L8" s="318" t="s">
        <v>420</v>
      </c>
      <c r="M8" s="318" t="s">
        <v>421</v>
      </c>
      <c r="N8" s="318" t="s">
        <v>422</v>
      </c>
      <c r="O8" s="318" t="s">
        <v>423</v>
      </c>
      <c r="P8" s="318" t="s">
        <v>355</v>
      </c>
      <c r="Q8" s="318" t="s">
        <v>399</v>
      </c>
      <c r="R8" s="318" t="s">
        <v>424</v>
      </c>
      <c r="S8" s="676" t="s">
        <v>446</v>
      </c>
      <c r="T8" s="676" t="s">
        <v>523</v>
      </c>
      <c r="U8" s="676" t="s">
        <v>524</v>
      </c>
      <c r="V8" s="685" t="s">
        <v>525</v>
      </c>
    </row>
    <row r="9" spans="1:22">
      <c r="A9" s="146">
        <f>A4/$A4*100</f>
        <v>100</v>
      </c>
      <c r="B9" s="146">
        <f t="shared" ref="B9:T9" si="0">B4/$A4*100</f>
        <v>102.79614804501682</v>
      </c>
      <c r="C9" s="146">
        <f t="shared" si="0"/>
        <v>102.25084116486829</v>
      </c>
      <c r="D9" s="146">
        <f t="shared" si="0"/>
        <v>104.99477897667941</v>
      </c>
      <c r="E9" s="146">
        <f t="shared" si="0"/>
        <v>108.64369416405613</v>
      </c>
      <c r="F9" s="146">
        <f t="shared" si="0"/>
        <v>111.31221719457014</v>
      </c>
      <c r="G9" s="146">
        <f t="shared" si="0"/>
        <v>112.16498433693</v>
      </c>
      <c r="H9" s="146">
        <f t="shared" si="0"/>
        <v>115.45422902888964</v>
      </c>
      <c r="I9" s="146">
        <f t="shared" si="0"/>
        <v>120.9421046525119</v>
      </c>
      <c r="J9" s="146">
        <f t="shared" si="0"/>
        <v>127.01589511544265</v>
      </c>
      <c r="K9" s="146">
        <f t="shared" si="0"/>
        <v>132.54437869822488</v>
      </c>
      <c r="L9" s="146">
        <f t="shared" si="0"/>
        <v>136.44854391460726</v>
      </c>
      <c r="M9" s="146">
        <f t="shared" si="0"/>
        <v>144.74416985729201</v>
      </c>
      <c r="N9" s="146">
        <f t="shared" si="0"/>
        <v>142.72537417333794</v>
      </c>
      <c r="O9" s="146">
        <f t="shared" si="0"/>
        <v>147.16324399582317</v>
      </c>
      <c r="P9" s="146">
        <f t="shared" si="0"/>
        <v>153.74173337974241</v>
      </c>
      <c r="Q9" s="146">
        <f t="shared" si="0"/>
        <v>157.11799512704491</v>
      </c>
      <c r="R9" s="146">
        <f t="shared" si="0"/>
        <v>159.51966585450748</v>
      </c>
      <c r="S9" s="146">
        <f t="shared" si="0"/>
        <v>162.94813783501567</v>
      </c>
      <c r="T9" s="146">
        <f t="shared" si="0"/>
        <v>161.97354681517578</v>
      </c>
      <c r="U9" s="146">
        <f>U4/$A4*100</f>
        <v>163.47577562669684</v>
      </c>
      <c r="V9" s="146">
        <f>V4/$A4*100</f>
        <v>168.57640097459102</v>
      </c>
    </row>
    <row r="10" spans="1:22" s="147" customFormat="1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</row>
    <row r="11" spans="1:22">
      <c r="A11" s="4" t="s">
        <v>277</v>
      </c>
      <c r="B11" s="4" t="s">
        <v>278</v>
      </c>
      <c r="E11" s="12" t="s">
        <v>279</v>
      </c>
      <c r="N11" s="148"/>
      <c r="O11" s="146"/>
      <c r="P11" s="146"/>
      <c r="Q11" s="146"/>
      <c r="R11" s="146"/>
    </row>
    <row r="12" spans="1:22" s="147" customFormat="1" ht="14.25" customHeight="1">
      <c r="N12" s="148"/>
      <c r="O12" s="148"/>
      <c r="P12" s="148"/>
      <c r="Q12" s="148"/>
      <c r="R12" s="148"/>
    </row>
    <row r="13" spans="1:22" ht="20.25" customHeight="1">
      <c r="A13" s="318" t="s">
        <v>409</v>
      </c>
      <c r="B13" s="318" t="s">
        <v>410</v>
      </c>
      <c r="C13" s="318" t="s">
        <v>411</v>
      </c>
      <c r="D13" s="318" t="s">
        <v>412</v>
      </c>
      <c r="E13" s="318" t="s">
        <v>413</v>
      </c>
      <c r="F13" s="318" t="s">
        <v>414</v>
      </c>
      <c r="G13" s="318" t="s">
        <v>415</v>
      </c>
      <c r="H13" s="318" t="s">
        <v>416</v>
      </c>
      <c r="I13" s="318" t="s">
        <v>417</v>
      </c>
      <c r="J13" s="318" t="s">
        <v>418</v>
      </c>
      <c r="K13" s="318" t="s">
        <v>419</v>
      </c>
      <c r="L13" s="318" t="s">
        <v>420</v>
      </c>
      <c r="M13" s="318" t="s">
        <v>421</v>
      </c>
      <c r="N13" s="318" t="s">
        <v>422</v>
      </c>
      <c r="O13" s="318" t="s">
        <v>423</v>
      </c>
      <c r="P13" s="318" t="s">
        <v>355</v>
      </c>
      <c r="Q13" s="318" t="s">
        <v>399</v>
      </c>
      <c r="R13" s="318" t="s">
        <v>424</v>
      </c>
      <c r="S13" s="675" t="s">
        <v>446</v>
      </c>
      <c r="T13" s="675" t="s">
        <v>523</v>
      </c>
      <c r="U13" s="675" t="s">
        <v>524</v>
      </c>
      <c r="V13" s="676" t="s">
        <v>525</v>
      </c>
    </row>
    <row r="14" spans="1:22">
      <c r="A14" s="255">
        <v>156.9</v>
      </c>
      <c r="B14" s="255">
        <v>160.5</v>
      </c>
      <c r="C14" s="255">
        <v>163</v>
      </c>
      <c r="D14" s="255">
        <v>166.6</v>
      </c>
      <c r="E14" s="255">
        <v>172.2</v>
      </c>
      <c r="F14" s="255">
        <v>177.1</v>
      </c>
      <c r="G14" s="255">
        <v>179.9</v>
      </c>
      <c r="H14" s="255">
        <v>184</v>
      </c>
      <c r="I14" s="255">
        <v>188.9</v>
      </c>
      <c r="J14" s="255">
        <v>195.3</v>
      </c>
      <c r="K14" s="255">
        <v>201.6</v>
      </c>
      <c r="L14" s="255">
        <v>207.34200000000001</v>
      </c>
      <c r="M14" s="255">
        <v>215.303</v>
      </c>
      <c r="N14" s="255">
        <v>214.53700000000001</v>
      </c>
      <c r="O14" s="255">
        <v>218.05600000000001</v>
      </c>
      <c r="P14" s="255">
        <v>224.93899999999999</v>
      </c>
      <c r="Q14" s="288">
        <v>229.59399999999999</v>
      </c>
      <c r="R14" s="288">
        <v>232.95699999999999</v>
      </c>
      <c r="S14" s="674">
        <v>236.73599999999999</v>
      </c>
      <c r="T14" s="674">
        <v>237.017</v>
      </c>
      <c r="U14" s="674">
        <v>240.00700000000001</v>
      </c>
      <c r="V14" s="674">
        <v>245.12</v>
      </c>
    </row>
    <row r="16" spans="1:22">
      <c r="A16" s="4" t="s">
        <v>280</v>
      </c>
      <c r="B16" s="4" t="s">
        <v>554</v>
      </c>
      <c r="C16" s="4"/>
      <c r="E16" s="956" t="s">
        <v>509</v>
      </c>
      <c r="F16" s="967"/>
      <c r="G16" s="967"/>
      <c r="H16" s="967"/>
      <c r="Q16" s="96"/>
    </row>
    <row r="17" spans="1:22" s="148" customFormat="1">
      <c r="A17" s="318" t="s">
        <v>409</v>
      </c>
      <c r="B17" s="318" t="s">
        <v>410</v>
      </c>
      <c r="C17" s="318" t="s">
        <v>411</v>
      </c>
      <c r="D17" s="318" t="s">
        <v>412</v>
      </c>
      <c r="E17" s="318" t="s">
        <v>413</v>
      </c>
      <c r="F17" s="318" t="s">
        <v>414</v>
      </c>
      <c r="G17" s="318" t="s">
        <v>415</v>
      </c>
      <c r="H17" s="318" t="s">
        <v>416</v>
      </c>
      <c r="I17" s="318" t="s">
        <v>417</v>
      </c>
      <c r="J17" s="318" t="s">
        <v>418</v>
      </c>
      <c r="K17" s="318" t="s">
        <v>419</v>
      </c>
      <c r="L17" s="318" t="s">
        <v>420</v>
      </c>
      <c r="M17" s="318" t="s">
        <v>421</v>
      </c>
      <c r="N17" s="318" t="s">
        <v>422</v>
      </c>
      <c r="O17" s="318" t="s">
        <v>423</v>
      </c>
      <c r="P17" s="318" t="s">
        <v>355</v>
      </c>
      <c r="Q17" s="318" t="s">
        <v>399</v>
      </c>
      <c r="R17" s="318" t="s">
        <v>424</v>
      </c>
      <c r="S17" s="676" t="s">
        <v>446</v>
      </c>
      <c r="T17" s="676" t="s">
        <v>523</v>
      </c>
      <c r="U17" s="676" t="s">
        <v>524</v>
      </c>
      <c r="V17" s="676" t="s">
        <v>525</v>
      </c>
    </row>
    <row r="18" spans="1:22">
      <c r="A18" s="146">
        <f>(A14/$A14)*100</f>
        <v>100</v>
      </c>
      <c r="B18" s="146">
        <f t="shared" ref="B18:M18" si="1">(B14/$A14)*100</f>
        <v>102.29445506692161</v>
      </c>
      <c r="C18" s="146">
        <f t="shared" si="1"/>
        <v>103.88782664117271</v>
      </c>
      <c r="D18" s="146">
        <f t="shared" si="1"/>
        <v>106.18228170809432</v>
      </c>
      <c r="E18" s="146">
        <f t="shared" si="1"/>
        <v>109.7514340344168</v>
      </c>
      <c r="F18" s="146">
        <f t="shared" si="1"/>
        <v>112.87444231994901</v>
      </c>
      <c r="G18" s="146">
        <f t="shared" si="1"/>
        <v>114.65901848311026</v>
      </c>
      <c r="H18" s="146">
        <f t="shared" si="1"/>
        <v>117.27214786488209</v>
      </c>
      <c r="I18" s="146">
        <f t="shared" si="1"/>
        <v>120.39515615041427</v>
      </c>
      <c r="J18" s="146">
        <f t="shared" si="1"/>
        <v>124.47418738049714</v>
      </c>
      <c r="K18" s="146">
        <f t="shared" si="1"/>
        <v>128.48948374760994</v>
      </c>
      <c r="L18" s="146">
        <f t="shared" si="1"/>
        <v>132.14913957934991</v>
      </c>
      <c r="M18" s="146">
        <f t="shared" si="1"/>
        <v>137.22307202039514</v>
      </c>
      <c r="N18" s="146">
        <f>(N14/$A14)*100</f>
        <v>136.73486297004462</v>
      </c>
      <c r="O18" s="146">
        <f>(O14/$A14)*100</f>
        <v>138.97769279796049</v>
      </c>
      <c r="P18" s="146">
        <f>(P14/$A14)*100</f>
        <v>143.36456341618864</v>
      </c>
      <c r="Q18" s="146">
        <f>(Q14/$A14)*100</f>
        <v>146.33142128744424</v>
      </c>
      <c r="R18" s="146">
        <f>(R14/$A14)*100</f>
        <v>148.47482472912682</v>
      </c>
      <c r="S18" s="146">
        <f t="shared" ref="S18:V18" si="2">(S14/$A14)*100</f>
        <v>150.88336520076479</v>
      </c>
      <c r="T18" s="146">
        <f t="shared" si="2"/>
        <v>151.06246016571063</v>
      </c>
      <c r="U18" s="146">
        <f t="shared" si="2"/>
        <v>152.96813256851499</v>
      </c>
      <c r="V18" s="146">
        <f t="shared" si="2"/>
        <v>156.22689611217336</v>
      </c>
    </row>
    <row r="20" spans="1:22">
      <c r="H20" s="550" t="s">
        <v>510</v>
      </c>
    </row>
  </sheetData>
  <hyperlinks>
    <hyperlink ref="E11" r:id="rId1" xr:uid="{00000000-0004-0000-1200-000000000000}"/>
  </hyperlinks>
  <pageMargins left="0.7" right="0.7" top="0.75" bottom="0.75" header="0.3" footer="0.3"/>
  <pageSetup orientation="portrait" horizontalDpi="300" verticalDpi="300" r:id="rId2"/>
  <tableParts count="4">
    <tablePart r:id="rId3"/>
    <tablePart r:id="rId4"/>
    <tablePart r:id="rId5"/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3" tint="0.39997558519241921"/>
  </sheetPr>
  <dimension ref="A1:E109"/>
  <sheetViews>
    <sheetView topLeftCell="A45" workbookViewId="0">
      <selection activeCell="A56" sqref="A56"/>
    </sheetView>
  </sheetViews>
  <sheetFormatPr baseColWidth="10" defaultColWidth="9.1640625" defaultRowHeight="15"/>
  <cols>
    <col min="1" max="1" width="177.33203125" style="183" customWidth="1"/>
    <col min="2" max="2" width="6.33203125" style="183" customWidth="1"/>
    <col min="3" max="16384" width="9.1640625" style="183"/>
  </cols>
  <sheetData>
    <row r="1" spans="1:2">
      <c r="A1" s="184"/>
      <c r="B1" s="184"/>
    </row>
    <row r="2" spans="1:2">
      <c r="A2" s="184"/>
      <c r="B2" s="184"/>
    </row>
    <row r="3" spans="1:2">
      <c r="A3" s="184"/>
      <c r="B3" s="184"/>
    </row>
    <row r="4" spans="1:2">
      <c r="A4" s="184"/>
      <c r="B4" s="184"/>
    </row>
    <row r="5" spans="1:2">
      <c r="A5" s="184"/>
      <c r="B5" s="184"/>
    </row>
    <row r="6" spans="1:2" ht="26">
      <c r="A6" s="185" t="s">
        <v>565</v>
      </c>
      <c r="B6" s="184"/>
    </row>
    <row r="7" spans="1:2" ht="21">
      <c r="A7" s="132" t="s">
        <v>633</v>
      </c>
      <c r="B7" s="184"/>
    </row>
    <row r="8" spans="1:2">
      <c r="A8" s="184" t="s">
        <v>499</v>
      </c>
      <c r="B8" s="184"/>
    </row>
    <row r="9" spans="1:2">
      <c r="A9" s="184" t="s">
        <v>235</v>
      </c>
      <c r="B9" s="184"/>
    </row>
    <row r="10" spans="1:2">
      <c r="A10" s="184"/>
      <c r="B10" s="184"/>
    </row>
    <row r="11" spans="1:2" ht="19">
      <c r="A11" s="189" t="s">
        <v>572</v>
      </c>
      <c r="B11" s="184"/>
    </row>
    <row r="12" spans="1:2">
      <c r="A12" s="184"/>
      <c r="B12" s="184"/>
    </row>
    <row r="13" spans="1:2">
      <c r="A13" s="184" t="s">
        <v>582</v>
      </c>
      <c r="B13" s="184"/>
    </row>
    <row r="14" spans="1:2">
      <c r="A14" s="184" t="s">
        <v>568</v>
      </c>
      <c r="B14" s="184"/>
    </row>
    <row r="15" spans="1:2">
      <c r="A15" s="184"/>
      <c r="B15" s="184"/>
    </row>
    <row r="16" spans="1:2">
      <c r="A16" s="187" t="s">
        <v>635</v>
      </c>
      <c r="B16" s="184"/>
    </row>
    <row r="17" spans="1:2">
      <c r="A17" s="186"/>
      <c r="B17" s="184"/>
    </row>
    <row r="18" spans="1:2">
      <c r="A18" s="187" t="s">
        <v>636</v>
      </c>
      <c r="B18" s="184"/>
    </row>
    <row r="19" spans="1:2">
      <c r="A19" s="187"/>
      <c r="B19" s="184"/>
    </row>
    <row r="20" spans="1:2">
      <c r="A20" s="187" t="s">
        <v>583</v>
      </c>
      <c r="B20" s="184"/>
    </row>
    <row r="21" spans="1:2">
      <c r="A21" s="184"/>
      <c r="B21" s="184"/>
    </row>
    <row r="22" spans="1:2">
      <c r="A22" s="187" t="s">
        <v>584</v>
      </c>
      <c r="B22" s="184"/>
    </row>
    <row r="23" spans="1:2">
      <c r="A23" s="184"/>
      <c r="B23" s="184"/>
    </row>
    <row r="24" spans="1:2">
      <c r="A24" s="187" t="s">
        <v>585</v>
      </c>
      <c r="B24" s="184"/>
    </row>
    <row r="25" spans="1:2">
      <c r="A25" s="187"/>
      <c r="B25" s="184"/>
    </row>
    <row r="26" spans="1:2">
      <c r="A26" s="187" t="s">
        <v>586</v>
      </c>
      <c r="B26" s="184"/>
    </row>
    <row r="27" spans="1:2">
      <c r="A27" s="187"/>
      <c r="B27" s="184"/>
    </row>
    <row r="28" spans="1:2" ht="16">
      <c r="A28" s="872" t="s">
        <v>574</v>
      </c>
      <c r="B28" s="184"/>
    </row>
    <row r="29" spans="1:2">
      <c r="A29" s="184" t="s">
        <v>472</v>
      </c>
      <c r="B29" s="184"/>
    </row>
    <row r="30" spans="1:2" ht="16">
      <c r="A30" s="186"/>
      <c r="B30" s="201"/>
    </row>
    <row r="31" spans="1:2">
      <c r="A31" s="184" t="s">
        <v>587</v>
      </c>
      <c r="B31" s="184"/>
    </row>
    <row r="32" spans="1:2" ht="13.5" customHeight="1">
      <c r="A32" s="204" t="s">
        <v>588</v>
      </c>
      <c r="B32" s="184"/>
    </row>
    <row r="33" spans="1:2">
      <c r="A33" s="184" t="s">
        <v>589</v>
      </c>
      <c r="B33" s="184"/>
    </row>
    <row r="34" spans="1:2">
      <c r="A34" s="205" t="s">
        <v>590</v>
      </c>
      <c r="B34" s="184"/>
    </row>
    <row r="35" spans="1:2">
      <c r="A35" s="184" t="s">
        <v>591</v>
      </c>
      <c r="B35" s="184"/>
    </row>
    <row r="36" spans="1:2">
      <c r="A36" s="184" t="s">
        <v>155</v>
      </c>
      <c r="B36" s="184"/>
    </row>
    <row r="37" spans="1:2">
      <c r="A37" s="184" t="s">
        <v>156</v>
      </c>
      <c r="B37" s="184"/>
    </row>
    <row r="38" spans="1:2">
      <c r="A38" s="184" t="s">
        <v>157</v>
      </c>
      <c r="B38" s="184"/>
    </row>
    <row r="39" spans="1:2">
      <c r="A39" s="184"/>
      <c r="B39" s="184"/>
    </row>
    <row r="40" spans="1:2">
      <c r="A40" s="184" t="s">
        <v>475</v>
      </c>
      <c r="B40" s="184"/>
    </row>
    <row r="41" spans="1:2">
      <c r="A41" s="531" t="s">
        <v>474</v>
      </c>
      <c r="B41" s="184"/>
    </row>
    <row r="42" spans="1:2">
      <c r="A42" s="531"/>
      <c r="B42" s="184"/>
    </row>
    <row r="43" spans="1:2">
      <c r="B43" s="184"/>
    </row>
    <row r="44" spans="1:2" ht="21">
      <c r="A44" s="188" t="s">
        <v>149</v>
      </c>
      <c r="B44" s="191"/>
    </row>
    <row r="45" spans="1:2">
      <c r="B45" s="191"/>
    </row>
    <row r="46" spans="1:2">
      <c r="A46" s="186" t="s">
        <v>470</v>
      </c>
      <c r="B46" s="191"/>
    </row>
    <row r="47" spans="1:2">
      <c r="A47" s="184" t="s">
        <v>592</v>
      </c>
      <c r="B47" s="191"/>
    </row>
    <row r="48" spans="1:2">
      <c r="A48" s="184"/>
      <c r="B48" s="191"/>
    </row>
    <row r="49" spans="1:2" ht="16">
      <c r="A49" s="872" t="s">
        <v>569</v>
      </c>
      <c r="B49" s="184"/>
    </row>
    <row r="50" spans="1:2">
      <c r="A50" s="184"/>
      <c r="B50" s="184"/>
    </row>
    <row r="51" spans="1:2">
      <c r="A51" s="871" t="s">
        <v>567</v>
      </c>
      <c r="B51" s="184"/>
    </row>
    <row r="52" spans="1:2">
      <c r="A52" s="199" t="s">
        <v>593</v>
      </c>
      <c r="B52" s="184"/>
    </row>
    <row r="53" spans="1:2">
      <c r="A53" s="184" t="s">
        <v>594</v>
      </c>
      <c r="B53" s="184"/>
    </row>
    <row r="54" spans="1:2">
      <c r="A54" s="400" t="s">
        <v>637</v>
      </c>
      <c r="B54" s="184"/>
    </row>
    <row r="55" spans="1:2">
      <c r="A55" s="184" t="s">
        <v>638</v>
      </c>
      <c r="B55" s="191"/>
    </row>
    <row r="56" spans="1:2">
      <c r="A56" s="184" t="s">
        <v>639</v>
      </c>
      <c r="B56" s="191"/>
    </row>
    <row r="57" spans="1:2">
      <c r="A57" s="186"/>
      <c r="B57" s="191"/>
    </row>
    <row r="58" spans="1:2" ht="16">
      <c r="A58" s="872" t="s">
        <v>573</v>
      </c>
      <c r="B58" s="191"/>
    </row>
    <row r="59" spans="1:2">
      <c r="A59" s="190"/>
      <c r="B59" s="191"/>
    </row>
    <row r="60" spans="1:2">
      <c r="A60" s="190" t="s">
        <v>597</v>
      </c>
      <c r="B60" s="191"/>
    </row>
    <row r="61" spans="1:2">
      <c r="A61" s="190" t="s">
        <v>595</v>
      </c>
      <c r="B61" s="191"/>
    </row>
    <row r="62" spans="1:2">
      <c r="A62" s="190" t="s">
        <v>246</v>
      </c>
      <c r="B62" s="184"/>
    </row>
    <row r="63" spans="1:2">
      <c r="A63" s="190" t="s">
        <v>598</v>
      </c>
      <c r="B63" s="191"/>
    </row>
    <row r="64" spans="1:2">
      <c r="A64" s="190" t="s">
        <v>596</v>
      </c>
      <c r="B64" s="184"/>
    </row>
    <row r="65" spans="1:2">
      <c r="A65" s="190" t="s">
        <v>599</v>
      </c>
      <c r="B65" s="184"/>
    </row>
    <row r="66" spans="1:2" ht="15" customHeight="1">
      <c r="A66" s="190" t="s">
        <v>600</v>
      </c>
      <c r="B66" s="192"/>
    </row>
    <row r="67" spans="1:2">
      <c r="A67" s="184" t="s">
        <v>560</v>
      </c>
      <c r="B67" s="194"/>
    </row>
    <row r="68" spans="1:2">
      <c r="B68" s="194"/>
    </row>
    <row r="69" spans="1:2">
      <c r="A69" s="184"/>
      <c r="B69" s="197"/>
    </row>
    <row r="70" spans="1:2" ht="18" customHeight="1">
      <c r="A70" s="202" t="s">
        <v>248</v>
      </c>
      <c r="B70" s="197"/>
    </row>
    <row r="71" spans="1:2" ht="12.75" customHeight="1">
      <c r="A71" s="193"/>
      <c r="B71" s="198"/>
    </row>
    <row r="72" spans="1:2">
      <c r="A72" s="195" t="s">
        <v>556</v>
      </c>
      <c r="B72" s="194"/>
    </row>
    <row r="73" spans="1:2">
      <c r="A73" s="195" t="s">
        <v>555</v>
      </c>
      <c r="B73" s="194"/>
    </row>
    <row r="74" spans="1:2" ht="16">
      <c r="A74" s="196" t="s">
        <v>557</v>
      </c>
      <c r="B74" s="194"/>
    </row>
    <row r="75" spans="1:2">
      <c r="A75" s="183" t="s">
        <v>558</v>
      </c>
      <c r="B75" s="194"/>
    </row>
    <row r="76" spans="1:2">
      <c r="A76" s="195" t="s">
        <v>559</v>
      </c>
      <c r="B76" s="194"/>
    </row>
    <row r="77" spans="1:2">
      <c r="A77" s="200"/>
      <c r="B77" s="184"/>
    </row>
    <row r="78" spans="1:2" ht="16">
      <c r="A78" s="872" t="s">
        <v>571</v>
      </c>
      <c r="B78" s="184"/>
    </row>
    <row r="79" spans="1:2">
      <c r="B79" s="184"/>
    </row>
    <row r="80" spans="1:2" ht="16">
      <c r="A80" s="528" t="s">
        <v>561</v>
      </c>
      <c r="B80" s="184"/>
    </row>
    <row r="81" spans="1:5">
      <c r="A81" s="527" t="s">
        <v>471</v>
      </c>
      <c r="B81" s="184"/>
    </row>
    <row r="82" spans="1:5">
      <c r="A82" s="400" t="s">
        <v>566</v>
      </c>
      <c r="B82" s="184"/>
    </row>
    <row r="83" spans="1:5">
      <c r="A83" s="400" t="s">
        <v>562</v>
      </c>
      <c r="B83" s="184"/>
    </row>
    <row r="84" spans="1:5">
      <c r="A84" s="400" t="s">
        <v>563</v>
      </c>
      <c r="B84" s="184"/>
    </row>
    <row r="85" spans="1:5">
      <c r="A85" s="400" t="s">
        <v>564</v>
      </c>
      <c r="B85" s="184"/>
    </row>
    <row r="86" spans="1:5">
      <c r="A86" s="400"/>
      <c r="B86" s="184"/>
    </row>
    <row r="87" spans="1:5">
      <c r="A87" s="400"/>
      <c r="B87" s="184"/>
    </row>
    <row r="88" spans="1:5" ht="16">
      <c r="A88" s="202" t="s">
        <v>247</v>
      </c>
      <c r="B88" s="184"/>
    </row>
    <row r="89" spans="1:5">
      <c r="A89" s="190" t="s">
        <v>570</v>
      </c>
      <c r="B89" s="184"/>
    </row>
    <row r="90" spans="1:5">
      <c r="A90" s="184"/>
      <c r="B90" s="184"/>
    </row>
    <row r="91" spans="1:5" ht="16">
      <c r="A91" s="203" t="s">
        <v>601</v>
      </c>
    </row>
    <row r="92" spans="1:5">
      <c r="A92" s="184" t="s">
        <v>500</v>
      </c>
      <c r="E92" s="529"/>
    </row>
    <row r="93" spans="1:5">
      <c r="A93" s="184" t="s">
        <v>501</v>
      </c>
    </row>
    <row r="94" spans="1:5" ht="16.5" customHeight="1">
      <c r="A94" s="200" t="s">
        <v>502</v>
      </c>
    </row>
    <row r="95" spans="1:5">
      <c r="A95" s="184" t="s">
        <v>473</v>
      </c>
      <c r="E95" s="529"/>
    </row>
    <row r="96" spans="1:5">
      <c r="A96" s="184" t="s">
        <v>503</v>
      </c>
    </row>
    <row r="97" spans="1:1">
      <c r="A97" s="184"/>
    </row>
    <row r="98" spans="1:1">
      <c r="A98" s="184"/>
    </row>
    <row r="99" spans="1:1">
      <c r="A99" s="184"/>
    </row>
    <row r="100" spans="1:1">
      <c r="A100" s="184"/>
    </row>
    <row r="101" spans="1:1">
      <c r="A101" s="184"/>
    </row>
    <row r="103" spans="1:1">
      <c r="A103" s="200"/>
    </row>
    <row r="104" spans="1:1">
      <c r="A104" s="200"/>
    </row>
    <row r="105" spans="1:1">
      <c r="A105" s="530"/>
    </row>
    <row r="106" spans="1:1">
      <c r="A106" s="200"/>
    </row>
    <row r="107" spans="1:1">
      <c r="A107" s="200"/>
    </row>
    <row r="108" spans="1:1">
      <c r="A108" s="200"/>
    </row>
    <row r="109" spans="1:1">
      <c r="A109" s="200"/>
    </row>
  </sheetData>
  <phoneticPr fontId="3" type="noConversion"/>
  <hyperlinks>
    <hyperlink ref="A81" r:id="rId1" xr:uid="{00000000-0004-0000-0100-000000000000}"/>
    <hyperlink ref="A41" r:id="rId2" xr:uid="{00000000-0004-0000-0100-000001000000}"/>
  </hyperlinks>
  <pageMargins left="0.75" right="0.75" top="1" bottom="1" header="0.5" footer="0.5"/>
  <pageSetup orientation="portrait" horizontalDpi="4294967293" verticalDpi="300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70C0"/>
  </sheetPr>
  <dimension ref="A1:Q33"/>
  <sheetViews>
    <sheetView workbookViewId="0">
      <selection activeCell="A31" sqref="A31"/>
    </sheetView>
  </sheetViews>
  <sheetFormatPr baseColWidth="10" defaultColWidth="8.83203125" defaultRowHeight="13"/>
  <cols>
    <col min="1" max="1" width="140.5" customWidth="1"/>
    <col min="15" max="15" width="9.83203125" customWidth="1"/>
    <col min="16" max="16" width="10.5" customWidth="1"/>
  </cols>
  <sheetData>
    <row r="1" spans="1:17">
      <c r="A1" s="74"/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s="93" customFormat="1" ht="19">
      <c r="A2" s="130" t="s">
        <v>234</v>
      </c>
      <c r="B2" s="131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7">
      <c r="A3" s="74"/>
      <c r="B3" s="7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>
      <c r="A4" s="139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>
      <c r="A5" s="139"/>
    </row>
    <row r="6" spans="1:17">
      <c r="A6" s="139"/>
    </row>
    <row r="7" spans="1:17">
      <c r="A7" s="139"/>
    </row>
    <row r="8" spans="1:17">
      <c r="A8" s="139"/>
    </row>
    <row r="9" spans="1:17">
      <c r="A9" s="139"/>
    </row>
    <row r="10" spans="1:17">
      <c r="A10" s="139"/>
    </row>
    <row r="11" spans="1:17">
      <c r="A11" s="139"/>
    </row>
    <row r="12" spans="1:17">
      <c r="A12" s="139"/>
    </row>
    <row r="13" spans="1:17">
      <c r="A13" s="139"/>
    </row>
    <row r="14" spans="1:17">
      <c r="A14" s="139"/>
    </row>
    <row r="15" spans="1:17">
      <c r="A15" s="139"/>
    </row>
    <row r="16" spans="1:17">
      <c r="A16" s="139"/>
    </row>
    <row r="17" spans="1:1">
      <c r="A17" s="139"/>
    </row>
    <row r="18" spans="1:1">
      <c r="A18" s="139"/>
    </row>
    <row r="19" spans="1:1">
      <c r="A19" s="139"/>
    </row>
    <row r="20" spans="1:1">
      <c r="A20" s="139"/>
    </row>
    <row r="21" spans="1:1">
      <c r="A21" s="139"/>
    </row>
    <row r="22" spans="1:1">
      <c r="A22" s="139"/>
    </row>
    <row r="23" spans="1:1">
      <c r="A23" s="139"/>
    </row>
    <row r="24" spans="1:1">
      <c r="A24" s="139"/>
    </row>
    <row r="25" spans="1:1">
      <c r="A25" s="139"/>
    </row>
    <row r="26" spans="1:1">
      <c r="A26" s="139"/>
    </row>
    <row r="27" spans="1:1">
      <c r="A27" s="139"/>
    </row>
    <row r="28" spans="1:1">
      <c r="A28" s="139"/>
    </row>
    <row r="29" spans="1:1">
      <c r="A29" s="139"/>
    </row>
    <row r="30" spans="1:1">
      <c r="A30" s="139"/>
    </row>
    <row r="31" spans="1:1">
      <c r="A31" s="139"/>
    </row>
    <row r="32" spans="1:1">
      <c r="A32" s="139"/>
    </row>
    <row r="33" spans="1:1">
      <c r="A33" s="139"/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13"/>
  </sheetPr>
  <dimension ref="A1:DA144"/>
  <sheetViews>
    <sheetView zoomScale="80" zoomScaleNormal="80" workbookViewId="0">
      <selection activeCell="A3" sqref="A3"/>
    </sheetView>
  </sheetViews>
  <sheetFormatPr baseColWidth="10" defaultColWidth="9.1640625" defaultRowHeight="13"/>
  <cols>
    <col min="1" max="1" width="40.6640625" style="19" customWidth="1"/>
    <col min="2" max="2" width="26.1640625" style="19" customWidth="1"/>
    <col min="3" max="13" width="16.1640625" style="19" customWidth="1"/>
    <col min="14" max="14" width="18.33203125" style="19" customWidth="1"/>
    <col min="15" max="18" width="16.1640625" style="19" customWidth="1"/>
    <col min="19" max="19" width="15.5" style="19" bestFit="1" customWidth="1"/>
    <col min="20" max="24" width="15.5" style="19" customWidth="1"/>
    <col min="25" max="38" width="9.1640625" style="19"/>
    <col min="39" max="40" width="9.83203125" style="19" customWidth="1"/>
    <col min="41" max="77" width="9.1640625" style="19"/>
    <col min="78" max="94" width="8.83203125" customWidth="1"/>
    <col min="95" max="16384" width="9.1640625" style="19"/>
  </cols>
  <sheetData>
    <row r="1" spans="1:105" customFormat="1" ht="37">
      <c r="A1" s="973" t="s">
        <v>251</v>
      </c>
      <c r="B1" s="973"/>
      <c r="C1" s="973"/>
      <c r="D1" s="2"/>
      <c r="P1" s="148"/>
      <c r="Q1" s="148"/>
      <c r="R1" s="148"/>
      <c r="T1" s="799"/>
      <c r="U1" s="799"/>
      <c r="V1" s="799"/>
      <c r="W1" s="799"/>
      <c r="X1" s="799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DA1" s="10"/>
    </row>
    <row r="2" spans="1:105" customFormat="1" ht="29.25" customHeight="1" thickBot="1">
      <c r="A2" s="9" t="s">
        <v>140</v>
      </c>
      <c r="E2" s="974" t="s">
        <v>249</v>
      </c>
      <c r="F2" s="974"/>
      <c r="G2" s="974"/>
      <c r="H2" s="974"/>
      <c r="I2" s="974"/>
      <c r="J2" s="974"/>
      <c r="K2" s="974"/>
      <c r="L2" s="974"/>
      <c r="M2" s="974"/>
      <c r="N2" s="974"/>
      <c r="P2" s="148"/>
      <c r="Q2" s="148"/>
      <c r="R2" s="148"/>
      <c r="T2" s="799"/>
      <c r="U2" s="799"/>
      <c r="V2" s="799"/>
      <c r="W2" s="799"/>
      <c r="X2" s="799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537"/>
      <c r="BG2" s="537"/>
      <c r="BH2" s="537"/>
      <c r="BI2" s="537"/>
      <c r="BJ2" s="537"/>
      <c r="BK2" s="537"/>
      <c r="BL2" s="537"/>
      <c r="BM2" s="537"/>
      <c r="BN2" s="537"/>
      <c r="BO2" s="537"/>
      <c r="BP2" s="537"/>
      <c r="BQ2" s="537"/>
      <c r="BR2" s="537"/>
      <c r="BS2" s="537"/>
      <c r="BT2" s="537"/>
      <c r="BU2" s="537"/>
      <c r="BV2" s="537"/>
      <c r="BW2" s="537"/>
      <c r="BX2" s="537"/>
      <c r="BY2" s="537"/>
      <c r="BZ2" s="74"/>
      <c r="CA2" s="74"/>
    </row>
    <row r="3" spans="1:105" customFormat="1" ht="25.5" customHeight="1" thickTop="1" thickBot="1">
      <c r="A3" s="230" t="s">
        <v>25</v>
      </c>
      <c r="E3" s="975" t="s">
        <v>321</v>
      </c>
      <c r="F3" s="975"/>
      <c r="G3" s="975"/>
      <c r="H3" s="975"/>
      <c r="I3" s="975"/>
      <c r="J3" s="975"/>
      <c r="K3" s="975"/>
      <c r="L3" s="975"/>
      <c r="M3" s="975"/>
      <c r="N3" s="975"/>
      <c r="O3" s="14"/>
      <c r="P3" s="14"/>
      <c r="Q3" s="14"/>
      <c r="R3" s="14"/>
      <c r="T3" s="799"/>
      <c r="U3" s="799"/>
      <c r="V3" s="799"/>
      <c r="W3" s="799"/>
      <c r="X3" s="799"/>
      <c r="Y3" s="537"/>
      <c r="Z3" s="537"/>
      <c r="AA3" s="537"/>
      <c r="AB3" s="537"/>
      <c r="AC3" s="537"/>
      <c r="AD3" s="537"/>
      <c r="AE3" s="538"/>
      <c r="AF3" s="537"/>
      <c r="AG3" s="537"/>
      <c r="AH3" s="537"/>
      <c r="AI3" s="74"/>
      <c r="AJ3" s="74"/>
      <c r="AK3" s="74"/>
      <c r="AL3" s="74"/>
      <c r="AM3" s="74"/>
      <c r="AN3" s="77"/>
      <c r="AO3" s="76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6"/>
      <c r="BB3" s="74"/>
      <c r="BC3" s="74"/>
      <c r="BD3" s="74"/>
      <c r="BE3" s="74"/>
      <c r="BF3" s="535" t="s">
        <v>171</v>
      </c>
      <c r="BG3" s="537"/>
      <c r="BH3" s="537"/>
      <c r="BI3" s="537"/>
      <c r="BJ3" s="537"/>
      <c r="BK3" s="537"/>
      <c r="BL3" s="537"/>
      <c r="BM3" s="537"/>
      <c r="BN3" s="537"/>
      <c r="BO3" s="537"/>
      <c r="BP3" s="537"/>
      <c r="BQ3" s="537"/>
      <c r="BR3" s="537"/>
      <c r="BS3" s="538"/>
      <c r="BT3" s="537"/>
      <c r="BU3" s="537"/>
      <c r="BV3" s="537"/>
      <c r="BW3" s="537"/>
      <c r="BX3" s="537"/>
      <c r="BY3" s="537"/>
      <c r="BZ3" s="74"/>
      <c r="CA3" s="74"/>
    </row>
    <row r="4" spans="1:105" ht="21" customHeight="1" thickTop="1">
      <c r="A4" s="17"/>
      <c r="B4" s="17"/>
      <c r="C4" s="17"/>
      <c r="D4" s="17"/>
      <c r="E4" s="975" t="s">
        <v>534</v>
      </c>
      <c r="F4" s="975"/>
      <c r="G4" s="975"/>
      <c r="H4" s="975"/>
      <c r="I4" s="975"/>
      <c r="J4" s="975"/>
      <c r="K4" s="975"/>
      <c r="L4" s="975"/>
      <c r="M4" s="975"/>
      <c r="N4" s="975"/>
      <c r="O4" s="18"/>
      <c r="P4" s="18"/>
      <c r="Q4" s="18"/>
      <c r="R4" s="18"/>
      <c r="S4" s="17"/>
      <c r="T4" s="17"/>
      <c r="U4" s="17"/>
      <c r="V4" s="17"/>
      <c r="W4" s="17"/>
      <c r="X4" s="17"/>
      <c r="Y4" s="535"/>
      <c r="Z4" s="535"/>
      <c r="AA4" s="535"/>
      <c r="AB4" s="535"/>
      <c r="AC4" s="535"/>
      <c r="AD4" s="535"/>
      <c r="AE4" s="536"/>
      <c r="AF4" s="535"/>
      <c r="AG4" s="535"/>
      <c r="AH4" s="535"/>
      <c r="AI4" s="77"/>
      <c r="AJ4" s="77"/>
      <c r="AK4" s="77"/>
      <c r="AL4" s="77"/>
      <c r="AM4" s="79"/>
      <c r="AN4" s="535" t="s">
        <v>175</v>
      </c>
      <c r="AO4" s="536"/>
      <c r="AP4" s="535"/>
      <c r="AQ4" s="535"/>
      <c r="AR4" s="535"/>
      <c r="AS4" s="535"/>
      <c r="AT4" s="535"/>
      <c r="AU4" s="535"/>
      <c r="AV4" s="535"/>
      <c r="AW4" s="535"/>
      <c r="AX4" s="535"/>
      <c r="AY4" s="535"/>
      <c r="AZ4" s="535"/>
      <c r="BA4" s="536"/>
      <c r="BB4" s="535"/>
      <c r="BC4" s="535"/>
      <c r="BD4" s="77"/>
      <c r="BE4" s="77"/>
      <c r="BF4" s="535"/>
      <c r="BG4" s="535"/>
      <c r="BH4" s="535"/>
      <c r="BI4" s="535"/>
      <c r="BJ4" s="535"/>
      <c r="BK4" s="535"/>
      <c r="BL4" s="535"/>
      <c r="BM4" s="535"/>
      <c r="BN4" s="535"/>
      <c r="BO4" s="535"/>
      <c r="BP4" s="535"/>
      <c r="BQ4" s="535"/>
      <c r="BR4" s="535"/>
      <c r="BS4" s="536"/>
      <c r="BT4" s="535"/>
      <c r="BU4" s="535"/>
      <c r="BV4" s="535"/>
      <c r="BW4" s="535"/>
      <c r="BX4" s="535"/>
      <c r="BY4" s="535"/>
      <c r="BZ4" s="74"/>
      <c r="CA4" s="74"/>
    </row>
    <row r="5" spans="1:105" s="208" customFormat="1" ht="21.75" customHeight="1">
      <c r="A5" s="206"/>
      <c r="B5" s="206"/>
      <c r="C5" s="206"/>
      <c r="D5" s="206"/>
      <c r="E5" s="975" t="s">
        <v>535</v>
      </c>
      <c r="F5" s="975"/>
      <c r="G5" s="975"/>
      <c r="H5" s="975"/>
      <c r="I5" s="975"/>
      <c r="J5" s="975"/>
      <c r="K5" s="975"/>
      <c r="L5" s="975"/>
      <c r="M5" s="975"/>
      <c r="N5" s="975"/>
      <c r="O5" s="207"/>
      <c r="P5" s="207"/>
      <c r="Q5" s="207"/>
      <c r="R5" s="207"/>
      <c r="S5" s="206"/>
      <c r="T5" s="206"/>
      <c r="U5" s="206"/>
      <c r="V5" s="206"/>
      <c r="W5" s="206"/>
      <c r="X5" s="206"/>
      <c r="Y5" s="533"/>
      <c r="Z5" s="533"/>
      <c r="AA5" s="533"/>
      <c r="AB5" s="533"/>
      <c r="AC5" s="533"/>
      <c r="AD5" s="533"/>
      <c r="AE5" s="533"/>
      <c r="AF5" s="533"/>
      <c r="AG5" s="533"/>
      <c r="AH5" s="533"/>
      <c r="AI5" s="209"/>
      <c r="AJ5" s="209"/>
      <c r="AK5" s="209"/>
      <c r="AL5" s="209"/>
      <c r="AM5" s="210"/>
      <c r="AN5" s="533"/>
      <c r="AO5" s="534"/>
      <c r="AP5" s="533"/>
      <c r="AQ5" s="533"/>
      <c r="AR5" s="533"/>
      <c r="AS5" s="533"/>
      <c r="AT5" s="533"/>
      <c r="AU5" s="533"/>
      <c r="AV5" s="533"/>
      <c r="AW5" s="533"/>
      <c r="AX5" s="533"/>
      <c r="AY5" s="533"/>
      <c r="AZ5" s="533"/>
      <c r="BA5" s="534"/>
      <c r="BB5" s="533"/>
      <c r="BC5" s="533"/>
      <c r="BD5" s="209"/>
      <c r="BE5" s="209"/>
      <c r="BF5" s="533" t="s">
        <v>173</v>
      </c>
      <c r="BG5" s="533"/>
      <c r="BH5" s="533"/>
      <c r="BI5" s="533"/>
      <c r="BJ5" s="533"/>
      <c r="BK5" s="533"/>
      <c r="BL5" s="533"/>
      <c r="BM5" s="533"/>
      <c r="BN5" s="533"/>
      <c r="BO5" s="533"/>
      <c r="BP5" s="533"/>
      <c r="BQ5" s="533"/>
      <c r="BR5" s="533"/>
      <c r="BS5" s="534"/>
      <c r="BT5" s="533"/>
      <c r="BU5" s="533"/>
      <c r="BV5" s="533"/>
      <c r="BW5" s="533"/>
      <c r="BX5" s="533"/>
      <c r="BY5" s="533"/>
      <c r="BZ5" s="191"/>
      <c r="CA5" s="191"/>
      <c r="CB5" s="212"/>
      <c r="CC5" s="212"/>
      <c r="CD5" s="212"/>
      <c r="CE5" s="212"/>
      <c r="CF5" s="212"/>
      <c r="CG5" s="212"/>
      <c r="CH5" s="212"/>
      <c r="CI5" s="212"/>
      <c r="CJ5" s="212"/>
      <c r="CK5" s="212"/>
      <c r="CL5" s="212"/>
      <c r="CM5" s="212"/>
      <c r="CN5" s="212"/>
      <c r="CO5" s="212"/>
      <c r="CP5" s="212"/>
    </row>
    <row r="6" spans="1:105" s="208" customFormat="1" ht="22.5" customHeight="1">
      <c r="B6" s="206"/>
      <c r="C6" s="206"/>
      <c r="D6" s="206"/>
      <c r="E6" s="969"/>
      <c r="F6" s="969"/>
      <c r="G6" s="969"/>
      <c r="H6" s="969"/>
      <c r="I6" s="969"/>
      <c r="J6" s="969"/>
      <c r="K6" s="969"/>
      <c r="L6" s="969"/>
      <c r="M6" s="969"/>
      <c r="N6" s="969"/>
      <c r="O6" s="207"/>
      <c r="P6" s="207"/>
      <c r="Q6" s="207"/>
      <c r="R6" s="207"/>
      <c r="S6" s="206"/>
      <c r="T6" s="206"/>
      <c r="U6" s="206"/>
      <c r="V6" s="206"/>
      <c r="W6" s="206"/>
      <c r="X6" s="206"/>
      <c r="Y6" s="533"/>
      <c r="Z6" s="533" t="s">
        <v>166</v>
      </c>
      <c r="AA6" s="534"/>
      <c r="AB6" s="533"/>
      <c r="AC6" s="533"/>
      <c r="AF6" s="533"/>
      <c r="AG6" s="533"/>
      <c r="AH6" s="533"/>
      <c r="AI6" s="532"/>
      <c r="AJ6" s="532"/>
      <c r="AK6" s="532"/>
      <c r="AL6" s="532"/>
      <c r="AM6" s="210"/>
      <c r="AN6" s="533" t="s">
        <v>259</v>
      </c>
      <c r="AO6" s="534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4"/>
      <c r="BB6" s="533"/>
      <c r="BC6" s="533"/>
      <c r="BD6" s="209"/>
      <c r="BE6" s="209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  <c r="BY6" s="533"/>
      <c r="BZ6" s="191"/>
      <c r="CA6" s="191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</row>
    <row r="7" spans="1:105" s="208" customFormat="1" ht="24" customHeight="1">
      <c r="A7" s="206"/>
      <c r="B7" s="206"/>
      <c r="C7" s="206"/>
      <c r="D7" s="206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6"/>
      <c r="T7" s="206"/>
      <c r="U7" s="206"/>
      <c r="V7" s="206"/>
      <c r="W7" s="206"/>
      <c r="X7" s="206"/>
      <c r="Y7" s="533"/>
      <c r="Z7" s="533"/>
      <c r="AA7" s="534"/>
      <c r="AB7" s="533"/>
      <c r="AC7" s="533"/>
      <c r="AD7" s="209"/>
      <c r="AE7" s="209"/>
      <c r="AF7" s="533"/>
      <c r="AG7" s="533"/>
      <c r="AH7" s="533"/>
      <c r="AI7" s="532"/>
      <c r="AJ7" s="532"/>
      <c r="AK7" s="532"/>
      <c r="AL7" s="532"/>
      <c r="AM7" s="210"/>
      <c r="AN7" s="533"/>
      <c r="AO7" s="534"/>
      <c r="AP7" s="533"/>
      <c r="AQ7" s="533"/>
      <c r="AR7" s="533"/>
      <c r="AS7" s="533"/>
      <c r="AT7" s="533"/>
      <c r="AU7" s="533"/>
      <c r="AV7" s="533"/>
      <c r="AW7" s="533"/>
      <c r="AX7" s="533"/>
      <c r="AY7" s="533"/>
      <c r="AZ7" s="533"/>
      <c r="BA7" s="534"/>
      <c r="BB7" s="533"/>
      <c r="BC7" s="533"/>
      <c r="BD7" s="209"/>
      <c r="BE7" s="209"/>
      <c r="BF7" s="533" t="s">
        <v>172</v>
      </c>
      <c r="BG7" s="533"/>
      <c r="BH7" s="533"/>
      <c r="BI7" s="533"/>
      <c r="BJ7" s="533"/>
      <c r="BK7" s="533"/>
      <c r="BL7" s="533"/>
      <c r="BM7" s="533"/>
      <c r="BN7" s="533"/>
      <c r="BO7" s="533"/>
      <c r="BP7" s="533"/>
      <c r="BQ7" s="533"/>
      <c r="BR7" s="533"/>
      <c r="BS7" s="533"/>
      <c r="BT7" s="533"/>
      <c r="BU7" s="533"/>
      <c r="BV7" s="533"/>
      <c r="BW7" s="533"/>
      <c r="BX7" s="533"/>
      <c r="BY7" s="533"/>
      <c r="BZ7" s="191"/>
      <c r="CA7" s="191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</row>
    <row r="8" spans="1:105" s="208" customFormat="1" ht="24.75" customHeight="1">
      <c r="A8" s="213"/>
      <c r="B8" s="206"/>
      <c r="C8" s="206"/>
      <c r="D8" s="206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6"/>
      <c r="T8" s="206"/>
      <c r="U8" s="206"/>
      <c r="V8" s="206"/>
      <c r="W8" s="206"/>
      <c r="X8" s="206"/>
      <c r="Y8" s="533"/>
      <c r="Z8" s="533" t="s">
        <v>167</v>
      </c>
      <c r="AA8" s="534"/>
      <c r="AB8" s="533"/>
      <c r="AC8" s="533"/>
      <c r="AF8" s="533"/>
      <c r="AG8" s="533"/>
      <c r="AH8" s="533"/>
      <c r="AI8" s="532"/>
      <c r="AJ8" s="532"/>
      <c r="AK8" s="532"/>
      <c r="AL8" s="532"/>
      <c r="AM8" s="210"/>
      <c r="AN8" s="533" t="s">
        <v>168</v>
      </c>
      <c r="AO8" s="534"/>
      <c r="AP8" s="533"/>
      <c r="AQ8" s="533"/>
      <c r="AR8" s="533"/>
      <c r="AS8" s="533"/>
      <c r="AT8" s="533"/>
      <c r="AU8" s="533"/>
      <c r="AV8" s="533"/>
      <c r="AW8" s="533"/>
      <c r="AX8" s="533"/>
      <c r="AY8" s="533"/>
      <c r="AZ8" s="533"/>
      <c r="BA8" s="534"/>
      <c r="BB8" s="533"/>
      <c r="BC8" s="533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191"/>
      <c r="CA8" s="191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</row>
    <row r="9" spans="1:105" s="208" customFormat="1" ht="18" customHeight="1">
      <c r="A9" s="206"/>
      <c r="B9" s="206"/>
      <c r="C9" s="206"/>
      <c r="D9" s="206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6"/>
      <c r="T9" s="206"/>
      <c r="U9" s="206"/>
      <c r="V9" s="206"/>
      <c r="W9" s="206"/>
      <c r="X9" s="206"/>
      <c r="Y9" s="209"/>
      <c r="Z9" s="209"/>
      <c r="AA9" s="209"/>
      <c r="AB9" s="209"/>
      <c r="AC9" s="209"/>
      <c r="AD9" s="209"/>
      <c r="AE9" s="211"/>
      <c r="AF9" s="209"/>
      <c r="AG9" s="209"/>
      <c r="AH9" s="209"/>
      <c r="AI9" s="209"/>
      <c r="AJ9" s="209"/>
      <c r="AK9" s="209"/>
      <c r="AL9" s="209"/>
      <c r="AM9" s="210"/>
      <c r="AN9" s="210"/>
      <c r="AO9" s="211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11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191"/>
      <c r="CA9" s="191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12"/>
    </row>
    <row r="10" spans="1:105" s="208" customFormat="1" ht="20">
      <c r="A10" s="970" t="str">
        <f>CONCATENATE($A$3," County 2017 General Revenue Receipts")</f>
        <v>Douglas County 2017 General Revenue Receipts</v>
      </c>
      <c r="B10" s="970"/>
      <c r="C10" s="970"/>
      <c r="D10" s="970"/>
      <c r="Y10" s="209"/>
      <c r="Z10" s="209"/>
      <c r="AA10" s="209"/>
      <c r="AB10" s="209"/>
      <c r="AC10" s="209"/>
      <c r="AD10" s="209"/>
      <c r="AE10" s="211"/>
      <c r="AF10" s="209"/>
      <c r="AG10" s="209"/>
      <c r="AH10" s="209"/>
      <c r="AI10" s="209"/>
      <c r="AJ10" s="209"/>
      <c r="AK10" s="209"/>
      <c r="AL10" s="209"/>
      <c r="AM10" s="209"/>
      <c r="AN10" s="209"/>
      <c r="AO10" s="211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11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191"/>
      <c r="CA10" s="191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</row>
    <row r="11" spans="1:105" s="208" customFormat="1" ht="16.5" customHeight="1">
      <c r="A11" s="294" t="s">
        <v>434</v>
      </c>
      <c r="B11" s="296" t="s">
        <v>525</v>
      </c>
      <c r="C11" s="218"/>
      <c r="D11" s="218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191"/>
      <c r="CA11" s="191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</row>
    <row r="12" spans="1:105" s="208" customFormat="1" ht="16.5" customHeight="1">
      <c r="A12" s="218" t="s">
        <v>138</v>
      </c>
      <c r="B12" s="220">
        <f>INDEX(GeneralRevenueFundReceiptsPropertyTaxesTable[], MATCH($A$3, GeneralRevenueFundReceiptsPropertyTaxesTable[County]), MATCH($B$11, GeneralRevenueFundReceiptsPropertyTaxesTable[#Headers]))</f>
        <v>156000</v>
      </c>
      <c r="C12" s="295"/>
      <c r="D12" s="218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191"/>
      <c r="CA12" s="191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</row>
    <row r="13" spans="1:105" s="208" customFormat="1" ht="16.5" customHeight="1">
      <c r="A13" s="218" t="s">
        <v>100</v>
      </c>
      <c r="B13" s="220">
        <f>INDEX(GeneralRevenueFundReceiptsIntergovernmentalTable[], MATCH($A$3,GeneralRevenueFundReceiptsIntergovernmentalTable[County]), MATCH($B$11, GeneralRevenueFundReceiptsIntergovernmentalTable[#Headers]))</f>
        <v>290249.68</v>
      </c>
      <c r="C13" s="218"/>
      <c r="D13" s="218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191"/>
      <c r="CA13" s="191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</row>
    <row r="14" spans="1:105" s="208" customFormat="1" ht="16.5" customHeight="1">
      <c r="A14" s="218" t="s">
        <v>102</v>
      </c>
      <c r="B14" s="220">
        <f>INDEX(GeneralRevenueFundReceiptsOtherTable[], MATCH($A$3, GeneralRevenueFundReceiptsOtherTable[County]), MATCH($B$11, GeneralRevenueFundReceiptsOtherTable[#Headers]))</f>
        <v>22000</v>
      </c>
      <c r="C14" s="218"/>
      <c r="D14" s="218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191"/>
      <c r="CA14" s="191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</row>
    <row r="15" spans="1:105" s="208" customFormat="1" ht="16.5" customHeight="1">
      <c r="A15" s="218" t="s">
        <v>101</v>
      </c>
      <c r="B15" s="220">
        <f>INDEX(GeneralRevenueFundReceiptsInterestTable[], MATCH($A$3, GeneralRevenueFundReceiptsInterestTable[County]), MATCH($B$11, GeneralRevenueFundReceiptsInterestTable[#Headers]))</f>
        <v>2500</v>
      </c>
      <c r="C15" s="218"/>
      <c r="D15" s="218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191"/>
      <c r="CA15" s="191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</row>
    <row r="16" spans="1:105" s="208" customFormat="1" ht="16.5" customHeight="1">
      <c r="A16" s="218" t="s">
        <v>104</v>
      </c>
      <c r="B16" s="220">
        <f>INDEX(GeneralRevenueFundReceiptsChargesforServicesTable[], MATCH($A$3, GeneralRevenueFundReceiptsChargesforServicesTable[County]), MATCH($B$11, GeneralRevenueFundReceiptsChargesforServicesTable[#Headers]))</f>
        <v>172500</v>
      </c>
      <c r="C16" s="218"/>
      <c r="D16" s="218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191"/>
      <c r="CA16" s="191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</row>
    <row r="17" spans="1:99" s="208" customFormat="1" ht="16.5" customHeight="1">
      <c r="A17" s="218" t="s">
        <v>99</v>
      </c>
      <c r="B17" s="220">
        <f>INDEX(GeneralRevenueFundReceiptsSalesTaxesTable[], MATCH($A$3, GeneralRevenueFundReceiptsSalesTaxesTable[County]), MATCH($B$11, GeneralRevenueFundReceiptsSalesTaxesTable[#Headers]))</f>
        <v>1000000</v>
      </c>
      <c r="C17" s="217"/>
      <c r="D17" s="218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191"/>
      <c r="CA17" s="191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</row>
    <row r="18" spans="1:99" s="208" customFormat="1" ht="16.5" customHeight="1">
      <c r="A18" s="218"/>
      <c r="B18" s="220"/>
      <c r="C18" s="217"/>
      <c r="D18" s="218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191"/>
      <c r="CA18" s="191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</row>
    <row r="19" spans="1:99" s="208" customFormat="1" ht="16.5" customHeight="1">
      <c r="A19" s="218"/>
      <c r="B19" s="218"/>
      <c r="C19" s="217"/>
      <c r="D19" s="218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191"/>
      <c r="CA19" s="191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</row>
    <row r="20" spans="1:99" s="208" customFormat="1" ht="20">
      <c r="A20" s="970" t="str">
        <f>CONCATENATE($A$3," County 2017 General Revenue Expenditures")</f>
        <v>Douglas County 2017 General Revenue Expenditures</v>
      </c>
      <c r="B20" s="970"/>
      <c r="C20" s="970"/>
      <c r="D20" s="970"/>
      <c r="E20" s="214"/>
      <c r="F20" s="297"/>
      <c r="G20" s="297"/>
      <c r="H20" s="299"/>
      <c r="I20" s="220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191"/>
      <c r="CA20" s="191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</row>
    <row r="21" spans="1:99" s="208" customFormat="1" ht="16.5" customHeight="1">
      <c r="A21" s="297" t="s">
        <v>434</v>
      </c>
      <c r="B21" s="300" t="s">
        <v>525</v>
      </c>
      <c r="C21" s="297"/>
      <c r="D21" s="816"/>
      <c r="E21" s="299"/>
      <c r="F21" s="220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191"/>
      <c r="BX21" s="191"/>
      <c r="BY21" s="191"/>
      <c r="BZ21" s="191"/>
      <c r="CA21" s="191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</row>
    <row r="22" spans="1:99" s="208" customFormat="1" ht="16.5" customHeight="1">
      <c r="A22" s="297" t="s">
        <v>133</v>
      </c>
      <c r="B22" s="220">
        <f>INDEX(CountyDisbursementsCentralGovt[], MATCH($A$3,CountyDisbursementsCentralGovt[County]), MATCH($B$21, CountyDisbursementsCentralGovt[#Headers]))</f>
        <v>477708</v>
      </c>
      <c r="C22" s="297"/>
      <c r="D22" s="816"/>
      <c r="E22" s="299"/>
      <c r="F22" s="220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191"/>
      <c r="BX22" s="191"/>
      <c r="BY22" s="191"/>
      <c r="BZ22" s="191"/>
      <c r="CA22" s="191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</row>
    <row r="23" spans="1:99" s="208" customFormat="1" ht="16.5" customHeight="1">
      <c r="A23" s="297" t="s">
        <v>135</v>
      </c>
      <c r="B23" s="220">
        <f>INDEX(CountyDisbursementsLawEnforcement[], MATCH($A$3,CountyDisbursementsLawEnforcement[County]),MATCH($B$21,CountyDisbursementsLawEnforcement[#Headers]))</f>
        <v>529490.89999999991</v>
      </c>
      <c r="C23" s="297"/>
      <c r="D23" s="297"/>
      <c r="E23" s="299"/>
      <c r="F23" s="220"/>
      <c r="T23" s="206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191"/>
      <c r="BX23" s="191"/>
      <c r="BY23" s="191"/>
      <c r="BZ23" s="191"/>
      <c r="CA23" s="191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</row>
    <row r="24" spans="1:99" s="208" customFormat="1" ht="16.5" customHeight="1">
      <c r="A24" s="297" t="s">
        <v>134</v>
      </c>
      <c r="B24" s="220">
        <f>INDEX(CountyDisbursementsCourt[],MATCH($A$3,CountyDisbursementsCourt[County]),MATCH($B$21,CountyDisbursementsCourt[#Headers]))</f>
        <v>66772.179999999993</v>
      </c>
      <c r="C24" s="297"/>
      <c r="D24" s="297"/>
      <c r="E24" s="299"/>
      <c r="F24" s="220"/>
      <c r="T24" s="206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191"/>
      <c r="BX24" s="191"/>
      <c r="BY24" s="191"/>
      <c r="BZ24" s="191"/>
      <c r="CA24" s="191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</row>
    <row r="25" spans="1:99" s="208" customFormat="1" ht="16.5" customHeight="1">
      <c r="A25" s="297" t="s">
        <v>118</v>
      </c>
      <c r="B25" s="220">
        <f>INDEX(CountyDisbursementsFringeBenefits[],MATCH($A$3,CountyDisbursementsFringeBenefits[County]),MATCH($B$21,CountyDisbursementsFringeBenefits[#Headers]))</f>
        <v>256736.64000000001</v>
      </c>
      <c r="C25" s="297"/>
      <c r="D25" s="297"/>
      <c r="E25" s="299"/>
      <c r="F25" s="220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191"/>
      <c r="BX25" s="191"/>
      <c r="BY25" s="191"/>
      <c r="BZ25" s="191"/>
      <c r="CA25" s="191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</row>
    <row r="26" spans="1:99" s="208" customFormat="1" ht="16.5" customHeight="1">
      <c r="A26" s="297" t="s">
        <v>128</v>
      </c>
      <c r="B26" s="220">
        <f>INDEX(CountyDisbursementsProsecutingAttorney[],MATCH($A$3,CountyDisbursementsProsecutingAttorney[County]),MATCH($B$21,CountyDisbursementsProsecutingAttorney[#Headers]))</f>
        <v>157858.45000000001</v>
      </c>
      <c r="C26" s="297"/>
      <c r="D26" s="297"/>
      <c r="E26" s="299"/>
      <c r="F26" s="220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191"/>
      <c r="BX26" s="191"/>
      <c r="BY26" s="191"/>
      <c r="BZ26" s="191"/>
      <c r="CA26" s="191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</row>
    <row r="27" spans="1:99" s="208" customFormat="1" ht="16.5" customHeight="1">
      <c r="A27" s="297" t="s">
        <v>257</v>
      </c>
      <c r="B27" s="220">
        <f>INDEX(CountyDisbursementsPublicAdministrator[],MATCH($A$3,CountyDisbursementsPublicAdministrator[County]),MATCH($B$21,CountyDisbursementsPublicAdministrator[#Headers]))</f>
        <v>60515</v>
      </c>
      <c r="C27" s="297"/>
      <c r="D27" s="297"/>
      <c r="E27" s="299"/>
      <c r="F27" s="220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191"/>
      <c r="BX27" s="191"/>
      <c r="BY27" s="191"/>
      <c r="BZ27" s="191"/>
      <c r="CA27" s="191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</row>
    <row r="28" spans="1:99" s="208" customFormat="1" ht="16.5" customHeight="1">
      <c r="A28" s="298" t="s">
        <v>256</v>
      </c>
      <c r="B28" s="220">
        <f>INDEX(CountyDisbursementsHealthWelfare[],MATCH($A$3,CountyDisbursementsHealthWelfare[County]),MATCH($B$21,CountyDisbursementsHealthWelfare[#Headers]))</f>
        <v>243693.05</v>
      </c>
      <c r="C28" s="297"/>
      <c r="D28" s="297"/>
      <c r="E28" s="299"/>
      <c r="F28" s="220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191"/>
      <c r="BX28" s="191"/>
      <c r="BY28" s="191"/>
      <c r="BZ28" s="191"/>
      <c r="CA28" s="191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</row>
    <row r="29" spans="1:99" s="208" customFormat="1" ht="16.5" customHeight="1">
      <c r="A29" s="297" t="s">
        <v>132</v>
      </c>
      <c r="B29" s="220">
        <f>INDEX(CountyDisbursementsOperatingTransfers[],MATCH($A$3,CountyDisbursementsOperatingTransfers[County]),MATCH($B$21,CountyDisbursementsOperatingTransfers[#Headers]))</f>
        <v>48507</v>
      </c>
      <c r="C29" s="221"/>
      <c r="D29" s="221"/>
      <c r="E29" s="221"/>
      <c r="F29" s="221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191"/>
      <c r="BX29" s="191"/>
      <c r="BY29" s="191"/>
      <c r="BZ29" s="191"/>
      <c r="CA29" s="191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</row>
    <row r="30" spans="1:99" s="208" customFormat="1" ht="16.5" customHeight="1">
      <c r="A30" s="297"/>
      <c r="B30" s="297"/>
      <c r="C30" s="297"/>
      <c r="D30" s="299"/>
      <c r="E30" s="220"/>
      <c r="F30" s="221"/>
      <c r="G30" s="221"/>
      <c r="H30" s="221"/>
      <c r="I30" s="221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191"/>
      <c r="CA30" s="191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</row>
    <row r="31" spans="1:99" s="208" customFormat="1" ht="16.5" customHeight="1">
      <c r="A31" s="970" t="str">
        <f>CONCATENATE($A$3," County General Revenue Receipts and Expenditures ")</f>
        <v xml:space="preserve">Douglas County General Revenue Receipts and Expenditures </v>
      </c>
      <c r="B31" s="970"/>
      <c r="C31" s="970"/>
      <c r="D31" s="970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191"/>
      <c r="CA31" s="191"/>
      <c r="CB31" s="226"/>
      <c r="CC31" s="226"/>
      <c r="CD31" s="226"/>
      <c r="CE31" s="226"/>
      <c r="CF31" s="226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</row>
    <row r="32" spans="1:99" s="208" customFormat="1" ht="16.5" customHeight="1">
      <c r="A32" s="218" t="s">
        <v>434</v>
      </c>
      <c r="B32" s="296" t="s">
        <v>409</v>
      </c>
      <c r="C32" s="296" t="s">
        <v>410</v>
      </c>
      <c r="D32" s="296" t="s">
        <v>411</v>
      </c>
      <c r="E32" s="296" t="s">
        <v>412</v>
      </c>
      <c r="F32" s="296" t="s">
        <v>413</v>
      </c>
      <c r="G32" s="296" t="s">
        <v>414</v>
      </c>
      <c r="H32" s="296" t="s">
        <v>415</v>
      </c>
      <c r="I32" s="296" t="s">
        <v>416</v>
      </c>
      <c r="J32" s="296" t="s">
        <v>417</v>
      </c>
      <c r="K32" s="296" t="s">
        <v>418</v>
      </c>
      <c r="L32" s="296" t="s">
        <v>419</v>
      </c>
      <c r="M32" s="296" t="s">
        <v>420</v>
      </c>
      <c r="N32" s="296" t="s">
        <v>421</v>
      </c>
      <c r="O32" s="296" t="s">
        <v>422</v>
      </c>
      <c r="P32" s="296" t="s">
        <v>423</v>
      </c>
      <c r="Q32" s="296" t="s">
        <v>355</v>
      </c>
      <c r="R32" s="296" t="s">
        <v>399</v>
      </c>
      <c r="S32" s="392" t="s">
        <v>424</v>
      </c>
      <c r="T32" s="296" t="s">
        <v>446</v>
      </c>
      <c r="U32" s="296" t="s">
        <v>523</v>
      </c>
      <c r="V32" s="296" t="s">
        <v>524</v>
      </c>
      <c r="W32" s="296" t="s">
        <v>525</v>
      </c>
      <c r="X32" s="392"/>
      <c r="Y32" s="392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15"/>
      <c r="CC32" s="215"/>
      <c r="CD32" s="215"/>
      <c r="CE32" s="226"/>
      <c r="CF32" s="226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</row>
    <row r="33" spans="1:99" s="208" customFormat="1" ht="16.5" customHeight="1">
      <c r="A33" s="218" t="s">
        <v>148</v>
      </c>
      <c r="B33" s="220">
        <f>INDEX(GeneralRevenueFundReceiptsTotalReceiptsTable[],MATCH($A$3,GeneralRevenueFundReceiptsTotalReceiptsTable[County]),MATCH(B32,GeneralRevenueFundReceiptsTotalReceiptsTable[#Headers],0))</f>
        <v>923130</v>
      </c>
      <c r="C33" s="220">
        <f>INDEX(GeneralRevenueFundReceiptsTotalReceiptsTable[],MATCH($A$3,GeneralRevenueFundReceiptsTotalReceiptsTable[County]),MATCH(C32,GeneralRevenueFundReceiptsTotalReceiptsTable[#Headers]))</f>
        <v>908330</v>
      </c>
      <c r="D33" s="220">
        <f>INDEX(GeneralRevenueFundReceiptsTotalReceiptsTable[],MATCH($A$3,GeneralRevenueFundReceiptsTotalReceiptsTable[County]),MATCH(D32,GeneralRevenueFundReceiptsTotalReceiptsTable[#Headers]))</f>
        <v>1041260</v>
      </c>
      <c r="E33" s="220">
        <f>INDEX(GeneralRevenueFundReceiptsTotalReceiptsTable[],MATCH($A$3,GeneralRevenueFundReceiptsTotalReceiptsTable[County]),MATCH(E32,GeneralRevenueFundReceiptsTotalReceiptsTable[#Headers]))</f>
        <v>1064582</v>
      </c>
      <c r="F33" s="220">
        <f>INDEX(GeneralRevenueFundReceiptsTotalReceiptsTable[],MATCH($A$3,GeneralRevenueFundReceiptsTotalReceiptsTable[County]),MATCH(F32,GeneralRevenueFundReceiptsTotalReceiptsTable[#Headers]))</f>
        <v>1256829</v>
      </c>
      <c r="G33" s="220">
        <f>INDEX(GeneralRevenueFundReceiptsTotalReceiptsTable[],MATCH($A$3,GeneralRevenueFundReceiptsTotalReceiptsTable[County]),MATCH(G32,GeneralRevenueFundReceiptsTotalReceiptsTable[#Headers]))</f>
        <v>1272073</v>
      </c>
      <c r="H33" s="220">
        <f>INDEX(GeneralRevenueFundReceiptsTotalReceiptsTable[],MATCH($A$3,GeneralRevenueFundReceiptsTotalReceiptsTable[County]),MATCH(H32,GeneralRevenueFundReceiptsTotalReceiptsTable[#Headers]))</f>
        <v>1336042</v>
      </c>
      <c r="I33" s="220">
        <f>INDEX(GeneralRevenueFundReceiptsTotalReceiptsTable[],MATCH($A$3,GeneralRevenueFundReceiptsTotalReceiptsTable[County]),MATCH(I32,GeneralRevenueFundReceiptsTotalReceiptsTable[#Headers]))</f>
        <v>1481153</v>
      </c>
      <c r="J33" s="220">
        <f>INDEX(GeneralRevenueFundReceiptsTotalReceiptsTable[],MATCH($A$3,GeneralRevenueFundReceiptsTotalReceiptsTable[County]),MATCH(J32,GeneralRevenueFundReceiptsTotalReceiptsTable[#Headers]))</f>
        <v>1618236.7699999998</v>
      </c>
      <c r="K33" s="220">
        <f>INDEX(GeneralRevenueFundReceiptsTotalReceiptsTable[],MATCH($A$3,GeneralRevenueFundReceiptsTotalReceiptsTable[County]),MATCH(K32,GeneralRevenueFundReceiptsTotalReceiptsTable[#Headers]))</f>
        <v>1717038</v>
      </c>
      <c r="L33" s="220">
        <f>INDEX(GeneralRevenueFundReceiptsTotalReceiptsTable[],MATCH($A$3,GeneralRevenueFundReceiptsTotalReceiptsTable[County]),MATCH(L32,GeneralRevenueFundReceiptsTotalReceiptsTable[#Headers]))</f>
        <v>1535872.4400000002</v>
      </c>
      <c r="M33" s="220">
        <f>INDEX(GeneralRevenueFundReceiptsTotalReceiptsTable[],MATCH($A$3,GeneralRevenueFundReceiptsTotalReceiptsTable[County]),MATCH(M32,GeneralRevenueFundReceiptsTotalReceiptsTable[#Headers]))</f>
        <v>1655388.1599999999</v>
      </c>
      <c r="N33" s="220">
        <f>INDEX(GeneralRevenueFundReceiptsTotalReceiptsTable[],MATCH($A$3,GeneralRevenueFundReceiptsTotalReceiptsTable[County]),MATCH(N32,GeneralRevenueFundReceiptsTotalReceiptsTable[#Headers]))</f>
        <v>1605375.1</v>
      </c>
      <c r="O33" s="220">
        <f>INDEX(GeneralRevenueFundReceiptsTotalReceiptsTable[],MATCH($A$3,GeneralRevenueFundReceiptsTotalReceiptsTable[County]),MATCH(O32,GeneralRevenueFundReceiptsTotalReceiptsTable[#Headers]))</f>
        <v>1598760.62</v>
      </c>
      <c r="P33" s="220">
        <f>INDEX(GeneralRevenueFundReceiptsTotalReceiptsTable[],MATCH($A$3,GeneralRevenueFundReceiptsTotalReceiptsTable[County]),MATCH(P32,GeneralRevenueFundReceiptsTotalReceiptsTable[#Headers]))</f>
        <v>1595524.4100000001</v>
      </c>
      <c r="Q33" s="220">
        <f>INDEX(GeneralRevenueFundReceiptsTotalReceiptsTable[],MATCH($A$3,GeneralRevenueFundReceiptsTotalReceiptsTable[County]),MATCH(Q32,GeneralRevenueFundReceiptsTotalReceiptsTable[#Headers]))</f>
        <v>1604611.65</v>
      </c>
      <c r="R33" s="220">
        <f>INDEX(GeneralRevenueFundReceiptsTotalReceiptsTable[],MATCH($A$3,GeneralRevenueFundReceiptsTotalReceiptsTable[County]),MATCH(R32,GeneralRevenueFundReceiptsTotalReceiptsTable[#Headers]))</f>
        <v>1561181.2799999998</v>
      </c>
      <c r="S33" s="220">
        <f>INDEX(GeneralRevenueFundReceiptsTotalReceiptsTable[],MATCH($A$3,GeneralRevenueFundReceiptsTotalReceiptsTable[County]),MATCH(S32,GeneralRevenueFundReceiptsTotalReceiptsTable[#Headers]))</f>
        <v>1646133.95</v>
      </c>
      <c r="T33" s="220">
        <f>INDEX(GeneralRevenueFundReceiptsTotalReceiptsTable[],MATCH($A$3,GeneralRevenueFundReceiptsTotalReceiptsTable[County]),MATCH(T32,GeneralRevenueFundReceiptsTotalReceiptsTable[#Headers]))</f>
        <v>1757824.48</v>
      </c>
      <c r="U33" s="220">
        <f>INDEX(GeneralRevenueFundReceiptsTotalReceiptsTable[],MATCH($A$3,GeneralRevenueFundReceiptsTotalReceiptsTable[County]),MATCH(U32,GeneralRevenueFundReceiptsTotalReceiptsTable[#Headers]))</f>
        <v>1773306.2000000002</v>
      </c>
      <c r="V33" s="220">
        <f>INDEX(GeneralRevenueFundReceiptsTotalReceiptsTable[],MATCH($A$3,GeneralRevenueFundReceiptsTotalReceiptsTable[County]),MATCH(V32,GeneralRevenueFundReceiptsTotalReceiptsTable[#Headers]))</f>
        <v>1791528.75</v>
      </c>
      <c r="W33" s="220">
        <f>INDEX(GeneralRevenueFundReceiptsTotalReceiptsTable[],MATCH($A$3,GeneralRevenueFundReceiptsTotalReceiptsTable[County]),MATCH(W32,GeneralRevenueFundReceiptsTotalReceiptsTable[#Headers]))</f>
        <v>1726228.1</v>
      </c>
      <c r="X33" s="220"/>
      <c r="Y33" s="366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15"/>
      <c r="CC33" s="215"/>
      <c r="CD33" s="215"/>
      <c r="CE33" s="226"/>
      <c r="CF33" s="226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</row>
    <row r="34" spans="1:99" s="208" customFormat="1" ht="16.5" customHeight="1">
      <c r="A34" s="218" t="s">
        <v>111</v>
      </c>
      <c r="B34" s="220">
        <f>INDEX(GeneralRevenueFundTotalExpendituresTable[],MATCH($A$3,GeneralRevenueFundTotalExpendituresTable[County]),MATCH(B32,GeneralRevenueFundTotalExpendituresTable[#Headers],0))</f>
        <v>876604</v>
      </c>
      <c r="C34" s="220">
        <f>INDEX(GeneralRevenueFundTotalExpendituresTable[],MATCH($A$3,GeneralRevenueFundTotalExpendituresTable[County]),MATCH(C32,GeneralRevenueFundTotalExpendituresTable[#Headers]))</f>
        <v>897649</v>
      </c>
      <c r="D34" s="220">
        <f>INDEX(GeneralRevenueFundTotalExpendituresTable[],MATCH($A$3,GeneralRevenueFundTotalExpendituresTable[County]),MATCH(D32,GeneralRevenueFundTotalExpendituresTable[#Headers]))</f>
        <v>1030241</v>
      </c>
      <c r="E34" s="220">
        <f>INDEX(GeneralRevenueFundTotalExpendituresTable[],MATCH($A$3,GeneralRevenueFundTotalExpendituresTable[County]),MATCH(E32,GeneralRevenueFundTotalExpendituresTable[#Headers]))</f>
        <v>1129511</v>
      </c>
      <c r="F34" s="220">
        <f>INDEX(GeneralRevenueFundTotalExpendituresTable[],MATCH($A$3,GeneralRevenueFundTotalExpendituresTable[County]),MATCH(F32,GeneralRevenueFundTotalExpendituresTable[#Headers]))</f>
        <v>1217165</v>
      </c>
      <c r="G34" s="220">
        <f>INDEX(GeneralRevenueFundTotalExpendituresTable[],MATCH($A$3,GeneralRevenueFundTotalExpendituresTable[County]),MATCH(G32,GeneralRevenueFundTotalExpendituresTable[#Headers]))</f>
        <v>1285387</v>
      </c>
      <c r="H34" s="220">
        <f>INDEX(GeneralRevenueFundTotalExpendituresTable[],MATCH($A$3,GeneralRevenueFundTotalExpendituresTable[County]),MATCH(H32,GeneralRevenueFundTotalExpendituresTable[#Headers]))</f>
        <v>1422457</v>
      </c>
      <c r="I34" s="220">
        <f>INDEX(GeneralRevenueFundTotalExpendituresTable[],MATCH($A$3,GeneralRevenueFundTotalExpendituresTable[County]),MATCH(I32,GeneralRevenueFundTotalExpendituresTable[#Headers]))</f>
        <v>1501953</v>
      </c>
      <c r="J34" s="220">
        <f>INDEX(GeneralRevenueFundTotalExpendituresTable[],MATCH($A$3,GeneralRevenueFundTotalExpendituresTable[County]),MATCH(J32,GeneralRevenueFundTotalExpendituresTable[#Headers]))</f>
        <v>1726493.46</v>
      </c>
      <c r="K34" s="220">
        <f>INDEX(GeneralRevenueFundTotalExpendituresTable[],MATCH($A$3,GeneralRevenueFundTotalExpendituresTable[County]),MATCH(K32,GeneralRevenueFundTotalExpendituresTable[#Headers]))</f>
        <v>1659223.1900000002</v>
      </c>
      <c r="L34" s="220">
        <f>INDEX(GeneralRevenueFundTotalExpendituresTable[],MATCH($A$3,GeneralRevenueFundTotalExpendituresTable[County]),MATCH(L32,GeneralRevenueFundTotalExpendituresTable[#Headers]))</f>
        <v>1569143.35</v>
      </c>
      <c r="M34" s="220">
        <f>INDEX(GeneralRevenueFundTotalExpendituresTable[],MATCH($A$3,GeneralRevenueFundTotalExpendituresTable[County]),MATCH(M32,GeneralRevenueFundTotalExpendituresTable[#Headers]))</f>
        <v>1567291.31</v>
      </c>
      <c r="N34" s="220">
        <f>INDEX(GeneralRevenueFundTotalExpendituresTable[],MATCH($A$3,GeneralRevenueFundTotalExpendituresTable[County]),MATCH(N32,GeneralRevenueFundTotalExpendituresTable[#Headers]))</f>
        <v>1649614.6800000002</v>
      </c>
      <c r="O34" s="220">
        <f>INDEX(GeneralRevenueFundTotalExpendituresTable[],MATCH($A$3,GeneralRevenueFundTotalExpendituresTable[County]),MATCH(O32,GeneralRevenueFundTotalExpendituresTable[#Headers]))</f>
        <v>1628139.66</v>
      </c>
      <c r="P34" s="220">
        <f>INDEX(GeneralRevenueFundTotalExpendituresTable[],MATCH($A$3,GeneralRevenueFundTotalExpendituresTable[County]),MATCH(P32,GeneralRevenueFundTotalExpendituresTable[#Headers]))</f>
        <v>1631478.86</v>
      </c>
      <c r="Q34" s="220">
        <f>INDEX(GeneralRevenueFundTotalExpendituresTable[],MATCH($A$3,GeneralRevenueFundTotalExpendituresTable[County]),MATCH(Q32,GeneralRevenueFundTotalExpendituresTable[#Headers]))</f>
        <v>1650316.23</v>
      </c>
      <c r="R34" s="220">
        <f>INDEX(GeneralRevenueFundTotalExpendituresTable[],MATCH($A$3,GeneralRevenueFundTotalExpendituresTable[County]),MATCH(R32,GeneralRevenueFundTotalExpendituresTable[#Headers]))</f>
        <v>1578669.83</v>
      </c>
      <c r="S34" s="366">
        <f>INDEX(GeneralRevenueFundTotalExpendituresTable[],MATCH($A$3,GeneralRevenueFundTotalExpendituresTable[County]),MATCH(S32,GeneralRevenueFundTotalExpendituresTable[#Headers]))</f>
        <v>1556946.65</v>
      </c>
      <c r="T34" s="366">
        <f>INDEX(GeneralRevenueFundTotalExpendituresTable[],MATCH($A$3,GeneralRevenueFundTotalExpendituresTable[County]),MATCH(T32,GeneralRevenueFundTotalExpendituresTable[#Headers]))</f>
        <v>1653872.9699999997</v>
      </c>
      <c r="U34" s="366">
        <f>INDEX(GeneralRevenueFundTotalExpendituresTable[],MATCH($A$3,GeneralRevenueFundTotalExpendituresTable[County]),MATCH(U32,GeneralRevenueFundTotalExpendituresTable[#Headers]))</f>
        <v>1727994.69</v>
      </c>
      <c r="V34" s="366">
        <f>INDEX(GeneralRevenueFundTotalExpendituresTable[],MATCH($A$3,GeneralRevenueFundTotalExpendituresTable[County]),MATCH(V32,GeneralRevenueFundTotalExpendituresTable[#Headers]))</f>
        <v>1824525.1300000004</v>
      </c>
      <c r="W34" s="366">
        <f>INDEX(GeneralRevenueFundTotalExpendituresTable[],MATCH($A$3,GeneralRevenueFundTotalExpendituresTable[County]),MATCH(W32,GeneralRevenueFundTotalExpendituresTable[#Headers]))</f>
        <v>1893068.06</v>
      </c>
      <c r="X34" s="366"/>
      <c r="Y34" s="366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15"/>
      <c r="CC34" s="215"/>
      <c r="CD34" s="215"/>
      <c r="CE34" s="226"/>
      <c r="CF34" s="226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</row>
    <row r="35" spans="1:99" s="208" customFormat="1" ht="16.5" customHeight="1"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191"/>
      <c r="CA35" s="191"/>
      <c r="CB35" s="226"/>
      <c r="CC35" s="226"/>
      <c r="CD35" s="226"/>
      <c r="CE35" s="226"/>
      <c r="CF35" s="226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</row>
    <row r="36" spans="1:99" s="208" customFormat="1" ht="16.5" customHeight="1">
      <c r="A36" s="970" t="str">
        <f>CONCATENATE($A$3," County General Revenue Cash Balance ")</f>
        <v xml:space="preserve">Douglas County General Revenue Cash Balance </v>
      </c>
      <c r="B36" s="970"/>
      <c r="C36" s="970"/>
      <c r="D36" s="970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191"/>
      <c r="CA36" s="191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</row>
    <row r="37" spans="1:99" s="208" customFormat="1" ht="16.5" customHeight="1">
      <c r="A37" s="297" t="s">
        <v>434</v>
      </c>
      <c r="B37" s="296" t="s">
        <v>409</v>
      </c>
      <c r="C37" s="296" t="s">
        <v>410</v>
      </c>
      <c r="D37" s="296" t="s">
        <v>411</v>
      </c>
      <c r="E37" s="296" t="s">
        <v>412</v>
      </c>
      <c r="F37" s="296" t="s">
        <v>413</v>
      </c>
      <c r="G37" s="296" t="s">
        <v>414</v>
      </c>
      <c r="H37" s="296" t="s">
        <v>415</v>
      </c>
      <c r="I37" s="296" t="s">
        <v>416</v>
      </c>
      <c r="J37" s="296" t="s">
        <v>417</v>
      </c>
      <c r="K37" s="296" t="s">
        <v>418</v>
      </c>
      <c r="L37" s="296" t="s">
        <v>419</v>
      </c>
      <c r="M37" s="296" t="s">
        <v>420</v>
      </c>
      <c r="N37" s="296" t="s">
        <v>421</v>
      </c>
      <c r="O37" s="296" t="s">
        <v>422</v>
      </c>
      <c r="P37" s="296" t="s">
        <v>423</v>
      </c>
      <c r="Q37" s="296" t="s">
        <v>355</v>
      </c>
      <c r="R37" s="296" t="s">
        <v>399</v>
      </c>
      <c r="S37" s="392" t="s">
        <v>424</v>
      </c>
      <c r="T37" s="801" t="s">
        <v>446</v>
      </c>
      <c r="U37" s="801" t="s">
        <v>523</v>
      </c>
      <c r="V37" s="801" t="s">
        <v>524</v>
      </c>
      <c r="W37" s="801" t="s">
        <v>525</v>
      </c>
      <c r="X37" s="392"/>
      <c r="Y37" s="392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191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</row>
    <row r="38" spans="1:99" s="208" customFormat="1" ht="16.5" customHeight="1">
      <c r="A38" s="218" t="s">
        <v>112</v>
      </c>
      <c r="B38" s="220">
        <f>INDEX(GeneralRevenueFundCashBalancesTable[],MATCH($A$3,GeneralRevenueFundCashBalancesTable[County]),MATCH(B37,GeneralRevenueFundCashBalancesTable[#Headers],0))</f>
        <v>408790</v>
      </c>
      <c r="C38" s="220">
        <f>INDEX(GeneralRevenueFundCashBalancesTable[],MATCH($A$3,GeneralRevenueFundCashBalancesTable[County]),MATCH(C37,GeneralRevenueFundCashBalancesTable[#Headers]))</f>
        <v>419471</v>
      </c>
      <c r="D38" s="220">
        <f>INDEX(GeneralRevenueFundCashBalancesTable[],MATCH($A$3,GeneralRevenueFundCashBalancesTable[County]),MATCH(D37,GeneralRevenueFundCashBalancesTable[#Headers]))</f>
        <v>430490</v>
      </c>
      <c r="E38" s="220">
        <f>INDEX(GeneralRevenueFundCashBalancesTable[],MATCH($A$3,GeneralRevenueFundCashBalancesTable[County]),MATCH(E37,GeneralRevenueFundCashBalancesTable[#Headers]))</f>
        <v>365561</v>
      </c>
      <c r="F38" s="220">
        <f>INDEX(GeneralRevenueFundCashBalancesTable[],MATCH($A$3,GeneralRevenueFundCashBalancesTable[County]),MATCH(F37,GeneralRevenueFundCashBalancesTable[#Headers]))</f>
        <v>405225</v>
      </c>
      <c r="G38" s="220">
        <f>INDEX(GeneralRevenueFundCashBalancesTable[],MATCH($A$3,GeneralRevenueFundCashBalancesTable[County]),MATCH(G37,GeneralRevenueFundCashBalancesTable[#Headers]))</f>
        <v>391911</v>
      </c>
      <c r="H38" s="220">
        <f>INDEX(GeneralRevenueFundCashBalancesTable[],MATCH($A$3,GeneralRevenueFundCashBalancesTable[County]),MATCH(H37,GeneralRevenueFundCashBalancesTable[#Headers]))</f>
        <v>305497</v>
      </c>
      <c r="I38" s="220">
        <f>INDEX(GeneralRevenueFundCashBalancesTable[],MATCH($A$3,GeneralRevenueFundCashBalancesTable[County]),MATCH(I37,GeneralRevenueFundCashBalancesTable[#Headers]))</f>
        <v>284697</v>
      </c>
      <c r="J38" s="220">
        <f>INDEX(GeneralRevenueFundCashBalancesTable[],MATCH($A$3,GeneralRevenueFundCashBalancesTable[County]),MATCH(J37,GeneralRevenueFundCashBalancesTable[#Headers]))</f>
        <v>176440.11999999988</v>
      </c>
      <c r="K38" s="220">
        <f>INDEX(GeneralRevenueFundCashBalancesTable[],MATCH($A$3,GeneralRevenueFundCashBalancesTable[County]),MATCH(K37,GeneralRevenueFundCashBalancesTable[#Headers]))</f>
        <v>234254.93</v>
      </c>
      <c r="L38" s="220">
        <f>INDEX(GeneralRevenueFundCashBalancesTable[],MATCH($A$3,GeneralRevenueFundCashBalancesTable[County]),MATCH(L37,GeneralRevenueFundCashBalancesTable[#Headers]))</f>
        <v>200984.02</v>
      </c>
      <c r="M38" s="220">
        <f>INDEX(GeneralRevenueFundCashBalancesTable[],MATCH($A$3,GeneralRevenueFundCashBalancesTable[County]),MATCH(M37,GeneralRevenueFundCashBalancesTable[#Headers]))</f>
        <v>289080.87</v>
      </c>
      <c r="N38" s="220">
        <f>INDEX(GeneralRevenueFundCashBalancesTable[],MATCH($A$3,GeneralRevenueFundCashBalancesTable[County]),MATCH(N37,GeneralRevenueFundCashBalancesTable[#Headers]))</f>
        <v>244841.29</v>
      </c>
      <c r="O38" s="220">
        <f>INDEX(GeneralRevenueFundCashBalancesTable[],MATCH($A$3,GeneralRevenueFundCashBalancesTable[County]),MATCH(O37,GeneralRevenueFundCashBalancesTable[#Headers]))</f>
        <v>215462.25</v>
      </c>
      <c r="P38" s="220">
        <f>INDEX(GeneralRevenueFundCashBalancesTable[],MATCH($A$3,GeneralRevenueFundCashBalancesTable[County]),MATCH(P37,GeneralRevenueFundCashBalancesTable[#Headers]))</f>
        <v>179507.8</v>
      </c>
      <c r="Q38" s="220">
        <f>INDEX(GeneralRevenueFundCashBalancesTable[],MATCH($A$3,GeneralRevenueFundCashBalancesTable[County]),MATCH(Q37,GeneralRevenueFundCashBalancesTable[#Headers]))</f>
        <v>133803.22</v>
      </c>
      <c r="R38" s="220">
        <f>INDEX(GeneralRevenueFundCashBalancesTable[],MATCH($A$3,GeneralRevenueFundCashBalancesTable[County]),MATCH(R37,GeneralRevenueFundCashBalancesTable[#Headers]))</f>
        <v>116314.67</v>
      </c>
      <c r="S38" s="366">
        <f>INDEX(GeneralRevenueFundCashBalancesTable[],MATCH($A$3,GeneralRevenueFundCashBalancesTable[County]),MATCH(S37,GeneralRevenueFundCashBalancesTable[#Headers]))</f>
        <v>205501.97</v>
      </c>
      <c r="T38" s="366">
        <f>INDEX(GeneralRevenueFundCashBalancesTable[],MATCH($A$3,GeneralRevenueFundCashBalancesTable[County]),MATCH(T37,GeneralRevenueFundCashBalancesTable[#Headers]))</f>
        <v>309453.48</v>
      </c>
      <c r="U38" s="366">
        <f>INDEX(GeneralRevenueFundCashBalancesTable[],MATCH($A$3,GeneralRevenueFundCashBalancesTable[County]),MATCH(U37,GeneralRevenueFundCashBalancesTable[#Headers]))</f>
        <v>354764.99</v>
      </c>
      <c r="V38" s="366">
        <f>INDEX(GeneralRevenueFundCashBalancesTable[],MATCH($A$3,GeneralRevenueFundCashBalancesTable[County]),MATCH(V37,GeneralRevenueFundCashBalancesTable[#Headers]))</f>
        <v>321768.60999999987</v>
      </c>
      <c r="W38" s="366">
        <f>INDEX(GeneralRevenueFundCashBalancesTable[],MATCH($A$3,GeneralRevenueFundCashBalancesTable[County]),MATCH(W37,GeneralRevenueFundCashBalancesTable[#Headers]))</f>
        <v>154928.64999999991</v>
      </c>
      <c r="X38" s="366"/>
      <c r="Y38" s="366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191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</row>
    <row r="39" spans="1:99" s="208" customFormat="1" ht="16.5" customHeight="1"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191"/>
      <c r="CA39" s="191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</row>
    <row r="40" spans="1:99" s="208" customFormat="1" ht="16.5" customHeight="1">
      <c r="A40" s="972" t="str">
        <f>CONCATENATE($A$3," County Detailed General Revenue Receipts")</f>
        <v>Douglas County Detailed General Revenue Receipts</v>
      </c>
      <c r="B40" s="972"/>
      <c r="C40" s="972"/>
      <c r="D40" s="97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191"/>
      <c r="CA40" s="191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</row>
    <row r="41" spans="1:99" s="208" customFormat="1" ht="16.5" customHeight="1">
      <c r="A41" s="223" t="s">
        <v>434</v>
      </c>
      <c r="B41" s="301" t="s">
        <v>409</v>
      </c>
      <c r="C41" s="301" t="s">
        <v>410</v>
      </c>
      <c r="D41" s="301" t="s">
        <v>411</v>
      </c>
      <c r="E41" s="301" t="s">
        <v>412</v>
      </c>
      <c r="F41" s="301" t="s">
        <v>413</v>
      </c>
      <c r="G41" s="301" t="s">
        <v>414</v>
      </c>
      <c r="H41" s="301" t="s">
        <v>415</v>
      </c>
      <c r="I41" s="301" t="s">
        <v>416</v>
      </c>
      <c r="J41" s="301" t="s">
        <v>417</v>
      </c>
      <c r="K41" s="301" t="s">
        <v>418</v>
      </c>
      <c r="L41" s="301" t="s">
        <v>419</v>
      </c>
      <c r="M41" s="301" t="s">
        <v>420</v>
      </c>
      <c r="N41" s="301" t="s">
        <v>421</v>
      </c>
      <c r="O41" s="301" t="s">
        <v>422</v>
      </c>
      <c r="P41" s="296" t="s">
        <v>423</v>
      </c>
      <c r="Q41" s="296" t="s">
        <v>355</v>
      </c>
      <c r="R41" s="296" t="s">
        <v>399</v>
      </c>
      <c r="S41" s="392" t="s">
        <v>424</v>
      </c>
      <c r="T41" s="296" t="s">
        <v>446</v>
      </c>
      <c r="U41" s="296" t="s">
        <v>523</v>
      </c>
      <c r="V41" s="296" t="s">
        <v>524</v>
      </c>
      <c r="W41" s="296" t="s">
        <v>525</v>
      </c>
      <c r="X41" s="392"/>
      <c r="Y41" s="392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191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</row>
    <row r="42" spans="1:99" s="208" customFormat="1" ht="16.5" customHeight="1">
      <c r="A42" s="224" t="s">
        <v>138</v>
      </c>
      <c r="B42" s="220">
        <f>INDEX(GeneralRevenueFundReceiptsPropertyTaxesTable[],MATCH($A$3,GeneralRevenueFundReceiptsPropertyTaxesTable[County]),MATCH(B41,GeneralRevenueFundReceiptsPropertyTaxesTable[#Headers],0))</f>
        <v>64619.1</v>
      </c>
      <c r="C42" s="220">
        <f>INDEX(GeneralRevenueFundReceiptsPropertyTaxesTable[],MATCH($A$3,GeneralRevenueFundReceiptsPropertyTaxesTable[County]),MATCH(C41,GeneralRevenueFundReceiptsPropertyTaxesTable[#Headers]))</f>
        <v>63583.1</v>
      </c>
      <c r="D42" s="220">
        <f>INDEX(GeneralRevenueFundReceiptsPropertyTaxesTable[],MATCH($A$3,GeneralRevenueFundReceiptsPropertyTaxesTable[County]),MATCH(D41,GeneralRevenueFundReceiptsPropertyTaxesTable[#Headers]))</f>
        <v>72888.2</v>
      </c>
      <c r="E42" s="220">
        <f>INDEX(GeneralRevenueFundReceiptsPropertyTaxesTable[],MATCH($A$3,GeneralRevenueFundReceiptsPropertyTaxesTable[County]),MATCH(E41,GeneralRevenueFundReceiptsPropertyTaxesTable[#Headers]))</f>
        <v>85166.56</v>
      </c>
      <c r="F42" s="220">
        <f>INDEX(GeneralRevenueFundReceiptsPropertyTaxesTable[],MATCH($A$3,GeneralRevenueFundReceiptsPropertyTaxesTable[County]),MATCH(F41,GeneralRevenueFundReceiptsPropertyTaxesTable[#Headers]))</f>
        <v>87978.03</v>
      </c>
      <c r="G42" s="220">
        <f>INDEX(GeneralRevenueFundReceiptsPropertyTaxesTable[],MATCH($A$3,GeneralRevenueFundReceiptsPropertyTaxesTable[County]),MATCH(G41,GeneralRevenueFundReceiptsPropertyTaxesTable[#Headers]))</f>
        <v>89045.11</v>
      </c>
      <c r="H42" s="220">
        <f>INDEX(GeneralRevenueFundReceiptsPropertyTaxesTable[],MATCH($A$3,GeneralRevenueFundReceiptsPropertyTaxesTable[County]),MATCH(H41,GeneralRevenueFundReceiptsPropertyTaxesTable[#Headers]))</f>
        <v>93522.94</v>
      </c>
      <c r="I42" s="220">
        <f>INDEX(GeneralRevenueFundReceiptsPropertyTaxesTable[],MATCH($A$3,GeneralRevenueFundReceiptsPropertyTaxesTable[County]),MATCH(I41,GeneralRevenueFundReceiptsPropertyTaxesTable[#Headers]))</f>
        <v>118492.24</v>
      </c>
      <c r="J42" s="220">
        <f>INDEX(GeneralRevenueFundReceiptsPropertyTaxesTable[],MATCH($A$3,GeneralRevenueFundReceiptsPropertyTaxesTable[County]),MATCH(J41,GeneralRevenueFundReceiptsPropertyTaxesTable[#Headers]))</f>
        <v>125288.01</v>
      </c>
      <c r="K42" s="220">
        <f>INDEX(GeneralRevenueFundReceiptsPropertyTaxesTable[],MATCH($A$3,GeneralRevenueFundReceiptsPropertyTaxesTable[County]),MATCH(K41,GeneralRevenueFundReceiptsPropertyTaxesTable[#Headers]))</f>
        <v>100490.12</v>
      </c>
      <c r="L42" s="220">
        <f>INDEX(GeneralRevenueFundReceiptsPropertyTaxesTable[],MATCH($A$3,GeneralRevenueFundReceiptsPropertyTaxesTable[County]),MATCH(L41,GeneralRevenueFundReceiptsPropertyTaxesTable[#Headers]))</f>
        <v>105347.59</v>
      </c>
      <c r="M42" s="220">
        <f>INDEX(GeneralRevenueFundReceiptsPropertyTaxesTable[],MATCH($A$3,GeneralRevenueFundReceiptsPropertyTaxesTable[County]),MATCH(M41,GeneralRevenueFundReceiptsPropertyTaxesTable[#Headers]))</f>
        <v>116047.3</v>
      </c>
      <c r="N42" s="220">
        <f>INDEX(GeneralRevenueFundReceiptsPropertyTaxesTable[],MATCH($A$3,GeneralRevenueFundReceiptsPropertyTaxesTable[County]),MATCH(N41,GeneralRevenueFundReceiptsPropertyTaxesTable[#Headers]))</f>
        <v>135650.78</v>
      </c>
      <c r="O42" s="220">
        <f>INDEX(GeneralRevenueFundReceiptsPropertyTaxesTable[],MATCH($A$3,GeneralRevenueFundReceiptsPropertyTaxesTable[County]),MATCH(O41,GeneralRevenueFundReceiptsPropertyTaxesTable[#Headers]))</f>
        <v>157372.6</v>
      </c>
      <c r="P42" s="220">
        <f>INDEX(GeneralRevenueFundReceiptsPropertyTaxesTable[],MATCH($A$3,GeneralRevenueFundReceiptsPropertyTaxesTable[County]),MATCH(P41,GeneralRevenueFundReceiptsPropertyTaxesTable[#Headers]))</f>
        <v>172939.09</v>
      </c>
      <c r="Q42" s="220">
        <f>INDEX(GeneralRevenueFundReceiptsPropertyTaxesTable[],MATCH($A$3,GeneralRevenueFundReceiptsPropertyTaxesTable[County]),MATCH(Q41,GeneralRevenueFundReceiptsPropertyTaxesTable[#Headers]))</f>
        <v>168144.77</v>
      </c>
      <c r="R42" s="220">
        <f>INDEX(GeneralRevenueFundReceiptsPropertyTaxesTable[],MATCH($A$3,GeneralRevenueFundReceiptsPropertyTaxesTable[County]),MATCH(R41,GeneralRevenueFundReceiptsPropertyTaxesTable[#Headers]))</f>
        <v>178898.61</v>
      </c>
      <c r="S42" s="366">
        <f>INDEX(GeneralRevenueFundReceiptsPropertyTaxesTable[],MATCH($A$3,GeneralRevenueFundReceiptsPropertyTaxesTable[County]),MATCH(S41,GeneralRevenueFundReceiptsPropertyTaxesTable[#Headers]))</f>
        <v>184943.03</v>
      </c>
      <c r="T42" s="366">
        <f>INDEX(GeneralRevenueFundReceiptsPropertyTaxesTable[],MATCH($A$3,GeneralRevenueFundReceiptsPropertyTaxesTable[County]),MATCH(T41,GeneralRevenueFundReceiptsPropertyTaxesTable[#Headers]))</f>
        <v>205846.8</v>
      </c>
      <c r="U42" s="366">
        <f>INDEX(GeneralRevenueFundReceiptsPropertyTaxesTable[],MATCH($A$3,GeneralRevenueFundReceiptsPropertyTaxesTable[County]),MATCH(U41,GeneralRevenueFundReceiptsPropertyTaxesTable[#Headers]))</f>
        <v>192388.14</v>
      </c>
      <c r="V42" s="366">
        <f>INDEX(GeneralRevenueFundReceiptsPropertyTaxesTable[],MATCH($A$3,GeneralRevenueFundReceiptsPropertyTaxesTable[County]),MATCH(V41,GeneralRevenueFundReceiptsPropertyTaxesTable[#Headers]))</f>
        <v>158130.96</v>
      </c>
      <c r="W42" s="366">
        <f>INDEX(GeneralRevenueFundReceiptsPropertyTaxesTable[],MATCH($A$3,GeneralRevenueFundReceiptsPropertyTaxesTable[County]),MATCH(W41,GeneralRevenueFundReceiptsPropertyTaxesTable[#Headers]))</f>
        <v>156000</v>
      </c>
      <c r="X42" s="366"/>
      <c r="Y42" s="366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191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</row>
    <row r="43" spans="1:99" s="208" customFormat="1" ht="16.5" customHeight="1">
      <c r="A43" s="224" t="s">
        <v>99</v>
      </c>
      <c r="B43" s="220">
        <f>INDEX(GeneralRevenueFundReceiptsSalesTaxesTable[],MATCH($A$3,GeneralRevenueFundReceiptsSalesTaxesTable[County]),MATCH(B41,GeneralRevenueFundReceiptsSalesTaxesTable[#Headers],0))</f>
        <v>535415.4</v>
      </c>
      <c r="C43" s="220">
        <f>INDEX(GeneralRevenueFundReceiptsSalesTaxesTable[],MATCH($A$3,GeneralRevenueFundReceiptsSalesTaxesTable[County]),MATCH(C41,GeneralRevenueFundReceiptsSalesTaxesTable[#Headers]))</f>
        <v>563164.6</v>
      </c>
      <c r="D43" s="220">
        <f>INDEX(GeneralRevenueFundReceiptsSalesTaxesTable[],MATCH($A$3,GeneralRevenueFundReceiptsSalesTaxesTable[County]),MATCH(D41,GeneralRevenueFundReceiptsSalesTaxesTable[#Headers]))</f>
        <v>583105.6</v>
      </c>
      <c r="E43" s="220">
        <f>INDEX(GeneralRevenueFundReceiptsSalesTaxesTable[],MATCH($A$3,GeneralRevenueFundReceiptsSalesTaxesTable[County]),MATCH(E41,GeneralRevenueFundReceiptsSalesTaxesTable[#Headers]))</f>
        <v>617457.56000000006</v>
      </c>
      <c r="F43" s="220">
        <f>INDEX(GeneralRevenueFundReceiptsSalesTaxesTable[],MATCH($A$3,GeneralRevenueFundReceiptsSalesTaxesTable[County]),MATCH(F41,GeneralRevenueFundReceiptsSalesTaxesTable[#Headers]))</f>
        <v>666119.37</v>
      </c>
      <c r="G43" s="220">
        <f>INDEX(GeneralRevenueFundReceiptsSalesTaxesTable[],MATCH($A$3,GeneralRevenueFundReceiptsSalesTaxesTable[County]),MATCH(G41,GeneralRevenueFundReceiptsSalesTaxesTable[#Headers]))</f>
        <v>712360.88</v>
      </c>
      <c r="H43" s="220">
        <f>INDEX(GeneralRevenueFundReceiptsSalesTaxesTable[],MATCH($A$3,GeneralRevenueFundReceiptsSalesTaxesTable[County]),MATCH(H41,GeneralRevenueFundReceiptsSalesTaxesTable[#Headers]))</f>
        <v>708102.26</v>
      </c>
      <c r="I43" s="220">
        <f>INDEX(GeneralRevenueFundReceiptsSalesTaxesTable[],MATCH($A$3,GeneralRevenueFundReceiptsSalesTaxesTable[County]),MATCH(I41,GeneralRevenueFundReceiptsSalesTaxesTable[#Headers]))</f>
        <v>725764.97</v>
      </c>
      <c r="J43" s="220">
        <f>INDEX(GeneralRevenueFundReceiptsSalesTaxesTable[],MATCH($A$3,GeneralRevenueFundReceiptsSalesTaxesTable[County]),MATCH(J41,GeneralRevenueFundReceiptsSalesTaxesTable[#Headers]))</f>
        <v>804566.32</v>
      </c>
      <c r="K43" s="220">
        <f>INDEX(GeneralRevenueFundReceiptsSalesTaxesTable[],MATCH($A$3,GeneralRevenueFundReceiptsSalesTaxesTable[County]),MATCH(K41,GeneralRevenueFundReceiptsSalesTaxesTable[#Headers]))</f>
        <v>877771.38</v>
      </c>
      <c r="L43" s="220">
        <f>INDEX(GeneralRevenueFundReceiptsSalesTaxesTable[],MATCH($A$3,GeneralRevenueFundReceiptsSalesTaxesTable[County]),MATCH(L41,GeneralRevenueFundReceiptsSalesTaxesTable[#Headers]))</f>
        <v>900304.31</v>
      </c>
      <c r="M43" s="220">
        <f>INDEX(GeneralRevenueFundReceiptsSalesTaxesTable[],MATCH($A$3,GeneralRevenueFundReceiptsSalesTaxesTable[County]),MATCH(M41,GeneralRevenueFundReceiptsSalesTaxesTable[#Headers]))</f>
        <v>946102.38</v>
      </c>
      <c r="N43" s="220">
        <f>INDEX(GeneralRevenueFundReceiptsSalesTaxesTable[],MATCH($A$3,GeneralRevenueFundReceiptsSalesTaxesTable[County]),MATCH(N41,GeneralRevenueFundReceiptsSalesTaxesTable[#Headers]))</f>
        <v>911394.79</v>
      </c>
      <c r="O43" s="220">
        <f>INDEX(GeneralRevenueFundReceiptsSalesTaxesTable[],MATCH($A$3,GeneralRevenueFundReceiptsSalesTaxesTable[County]),MATCH(O41,GeneralRevenueFundReceiptsSalesTaxesTable[#Headers]))</f>
        <v>858799.6</v>
      </c>
      <c r="P43" s="220">
        <f>INDEX(GeneralRevenueFundReceiptsSalesTaxesTable[],MATCH($A$3,GeneralRevenueFundReceiptsSalesTaxesTable[County]),MATCH(P41,GeneralRevenueFundReceiptsSalesTaxesTable[#Headers]))</f>
        <v>877124.05</v>
      </c>
      <c r="Q43" s="220">
        <f>INDEX(GeneralRevenueFundReceiptsSalesTaxesTable[],MATCH($A$3,GeneralRevenueFundReceiptsSalesTaxesTable[County]),MATCH(Q41,GeneralRevenueFundReceiptsSalesTaxesTable[#Headers]))</f>
        <v>891858.62</v>
      </c>
      <c r="R43" s="220">
        <f>INDEX(GeneralRevenueFundReceiptsSalesTaxesTable[],MATCH($A$3,GeneralRevenueFundReceiptsSalesTaxesTable[County]),MATCH(R41,GeneralRevenueFundReceiptsSalesTaxesTable[#Headers]))</f>
        <v>852530.38</v>
      </c>
      <c r="S43" s="366">
        <f>INDEX(GeneralRevenueFundReceiptsSalesTaxesTable[],MATCH($A$3,GeneralRevenueFundReceiptsSalesTaxesTable[County]),MATCH(S41,GeneralRevenueFundReceiptsSalesTaxesTable[#Headers]))</f>
        <v>871481.91</v>
      </c>
      <c r="T43" s="366">
        <f>INDEX(GeneralRevenueFundReceiptsSalesTaxesTable[],MATCH($A$3,GeneralRevenueFundReceiptsSalesTaxesTable[County]),MATCH(T41,GeneralRevenueFundReceiptsSalesTaxesTable[#Headers]))</f>
        <v>957544.01</v>
      </c>
      <c r="U43" s="366">
        <f>INDEX(GeneralRevenueFundReceiptsSalesTaxesTable[],MATCH($A$3,GeneralRevenueFundReceiptsSalesTaxesTable[County]),MATCH(U41,GeneralRevenueFundReceiptsSalesTaxesTable[#Headers]))</f>
        <v>987948.21</v>
      </c>
      <c r="V43" s="366">
        <f>INDEX(GeneralRevenueFundReceiptsSalesTaxesTable[],MATCH($A$3,GeneralRevenueFundReceiptsSalesTaxesTable[County]),MATCH(V41,GeneralRevenueFundReceiptsSalesTaxesTable[#Headers]))</f>
        <v>1000662.52</v>
      </c>
      <c r="W43" s="366">
        <f>INDEX(GeneralRevenueFundReceiptsSalesTaxesTable[],MATCH($A$3,GeneralRevenueFundReceiptsSalesTaxesTable[County]),MATCH(W41,GeneralRevenueFundReceiptsSalesTaxesTable[#Headers]))</f>
        <v>1000000</v>
      </c>
      <c r="X43" s="366"/>
      <c r="Y43" s="366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191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</row>
    <row r="44" spans="1:99" s="208" customFormat="1" ht="16.5" customHeight="1">
      <c r="A44" s="224" t="s">
        <v>100</v>
      </c>
      <c r="B44" s="220">
        <f>INDEX(GeneralRevenueFundReceiptsIntergovernmentalTable[],MATCH($A$3,GeneralRevenueFundReceiptsIntergovernmentalTable[County]),MATCH(B41,GeneralRevenueFundReceiptsIntergovernmentalTable[#Headers],0))</f>
        <v>101544.3</v>
      </c>
      <c r="C44" s="220">
        <f>INDEX(GeneralRevenueFundReceiptsIntergovernmentalTable[],MATCH($A$3,GeneralRevenueFundReceiptsIntergovernmentalTable[County]),MATCH(C41,GeneralRevenueFundReceiptsIntergovernmentalTable[#Headers]))</f>
        <v>99916.3</v>
      </c>
      <c r="D44" s="220">
        <f>INDEX(GeneralRevenueFundReceiptsIntergovernmentalTable[],MATCH($A$3,GeneralRevenueFundReceiptsIntergovernmentalTable[County]),MATCH(D41,GeneralRevenueFundReceiptsIntergovernmentalTable[#Headers]))</f>
        <v>166601.60000000001</v>
      </c>
      <c r="E44" s="220">
        <f>INDEX(GeneralRevenueFundReceiptsIntergovernmentalTable[],MATCH($A$3,GeneralRevenueFundReceiptsIntergovernmentalTable[County]),MATCH(E41,GeneralRevenueFundReceiptsIntergovernmentalTable[#Headers]))</f>
        <v>170333.12</v>
      </c>
      <c r="F44" s="220">
        <f>INDEX(GeneralRevenueFundReceiptsIntergovernmentalTable[],MATCH($A$3,GeneralRevenueFundReceiptsIntergovernmentalTable[County]),MATCH(F41,GeneralRevenueFundReceiptsIntergovernmentalTable[#Headers]))</f>
        <v>276502.38</v>
      </c>
      <c r="G44" s="220">
        <f>INDEX(GeneralRevenueFundReceiptsIntergovernmentalTable[],MATCH($A$3,GeneralRevenueFundReceiptsIntergovernmentalTable[County]),MATCH(G41,GeneralRevenueFundReceiptsIntergovernmentalTable[#Headers]))</f>
        <v>279856.06</v>
      </c>
      <c r="H44" s="220">
        <f>INDEX(GeneralRevenueFundReceiptsIntergovernmentalTable[],MATCH($A$3,GeneralRevenueFundReceiptsIntergovernmentalTable[County]),MATCH(H41,GeneralRevenueFundReceiptsIntergovernmentalTable[#Headers]))</f>
        <v>280568.82</v>
      </c>
      <c r="I44" s="220">
        <f>INDEX(GeneralRevenueFundReceiptsIntergovernmentalTable[],MATCH($A$3,GeneralRevenueFundReceiptsIntergovernmentalTable[County]),MATCH(I41,GeneralRevenueFundReceiptsIntergovernmentalTable[#Headers]))</f>
        <v>399911.31</v>
      </c>
      <c r="J44" s="220">
        <f>INDEX(GeneralRevenueFundReceiptsIntergovernmentalTable[],MATCH($A$3,GeneralRevenueFundReceiptsIntergovernmentalTable[County]),MATCH(J41,GeneralRevenueFundReceiptsIntergovernmentalTable[#Headers]))</f>
        <v>450565.43</v>
      </c>
      <c r="K44" s="220">
        <f>INDEX(GeneralRevenueFundReceiptsIntergovernmentalTable[],MATCH($A$3,GeneralRevenueFundReceiptsIntergovernmentalTable[County]),MATCH(K41,GeneralRevenueFundReceiptsIntergovernmentalTable[#Headers]))</f>
        <v>504088.17</v>
      </c>
      <c r="L44" s="220">
        <f>INDEX(GeneralRevenueFundReceiptsIntergovernmentalTable[],MATCH($A$3,GeneralRevenueFundReceiptsIntergovernmentalTable[County]),MATCH(L41,GeneralRevenueFundReceiptsIntergovernmentalTable[#Headers]))</f>
        <v>271293.46999999997</v>
      </c>
      <c r="M44" s="220">
        <f>INDEX(GeneralRevenueFundReceiptsIntergovernmentalTable[],MATCH($A$3,GeneralRevenueFundReceiptsIntergovernmentalTable[County]),MATCH(M41,GeneralRevenueFundReceiptsIntergovernmentalTable[#Headers]))</f>
        <v>275160.04999999993</v>
      </c>
      <c r="N44" s="220">
        <f>INDEX(GeneralRevenueFundReceiptsIntergovernmentalTable[],MATCH($A$3,GeneralRevenueFundReceiptsIntergovernmentalTable[County]),MATCH(N41,GeneralRevenueFundReceiptsIntergovernmentalTable[#Headers]))</f>
        <v>287848.78999999998</v>
      </c>
      <c r="O44" s="220">
        <f>INDEX(GeneralRevenueFundReceiptsIntergovernmentalTable[],MATCH($A$3,GeneralRevenueFundReceiptsIntergovernmentalTable[County]),MATCH(O41,GeneralRevenueFundReceiptsIntergovernmentalTable[#Headers]))</f>
        <v>309449.87</v>
      </c>
      <c r="P44" s="220">
        <f>INDEX(GeneralRevenueFundReceiptsIntergovernmentalTable[],MATCH($A$3,GeneralRevenueFundReceiptsIntergovernmentalTable[County]),MATCH(P41,GeneralRevenueFundReceiptsIntergovernmentalTable[#Headers]))</f>
        <v>287456.28000000003</v>
      </c>
      <c r="Q44" s="220">
        <f>INDEX(GeneralRevenueFundReceiptsIntergovernmentalTable[],MATCH($A$3,GeneralRevenueFundReceiptsIntergovernmentalTable[County]),MATCH(Q41,GeneralRevenueFundReceiptsIntergovernmentalTable[#Headers]))</f>
        <v>258947.78999999998</v>
      </c>
      <c r="R44" s="220">
        <f>INDEX(GeneralRevenueFundReceiptsIntergovernmentalTable[],MATCH($A$3,GeneralRevenueFundReceiptsIntergovernmentalTable[County]),MATCH(R41,GeneralRevenueFundReceiptsIntergovernmentalTable[#Headers]))</f>
        <v>254854.33000000002</v>
      </c>
      <c r="S44" s="366">
        <f>INDEX(GeneralRevenueFundReceiptsIntergovernmentalTable[],MATCH($A$3,GeneralRevenueFundReceiptsIntergovernmentalTable[County]),MATCH(S41,GeneralRevenueFundReceiptsIntergovernmentalTable[#Headers]))</f>
        <v>286102.00000000006</v>
      </c>
      <c r="T44" s="366">
        <f>INDEX(GeneralRevenueFundReceiptsIntergovernmentalTable[],MATCH($A$3,GeneralRevenueFundReceiptsIntergovernmentalTable[County]),MATCH(T41,GeneralRevenueFundReceiptsIntergovernmentalTable[#Headers]))</f>
        <v>331485.13</v>
      </c>
      <c r="U44" s="366">
        <f>INDEX(GeneralRevenueFundReceiptsIntergovernmentalTable[],MATCH($A$3,GeneralRevenueFundReceiptsIntergovernmentalTable[County]),MATCH(U41,GeneralRevenueFundReceiptsIntergovernmentalTable[#Headers]))</f>
        <v>294254.82999999996</v>
      </c>
      <c r="V44" s="366">
        <f>INDEX(GeneralRevenueFundReceiptsIntergovernmentalTable[],MATCH($A$3,GeneralRevenueFundReceiptsIntergovernmentalTable[County]),MATCH(V41,GeneralRevenueFundReceiptsIntergovernmentalTable[#Headers]))</f>
        <v>310690.24</v>
      </c>
      <c r="W44" s="366">
        <f>INDEX(GeneralRevenueFundReceiptsIntergovernmentalTable[],MATCH($A$3,GeneralRevenueFundReceiptsIntergovernmentalTable[County]),MATCH(W41,GeneralRevenueFundReceiptsIntergovernmentalTable[#Headers]))</f>
        <v>290249.68</v>
      </c>
      <c r="X44" s="366"/>
      <c r="Y44" s="366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191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</row>
    <row r="45" spans="1:99" s="208" customFormat="1" ht="16.5" customHeight="1">
      <c r="A45" s="224" t="s">
        <v>104</v>
      </c>
      <c r="B45" s="220">
        <f>INDEX(GeneralRevenueFundReceiptsChargesforServicesTable[],MATCH($A$3,GeneralRevenueFundReceiptsChargesforServicesTable[County]),MATCH(B41,GeneralRevenueFundReceiptsChargesforServicesTable[#Headers],0))</f>
        <v>120006.9</v>
      </c>
      <c r="C45" s="220">
        <f>INDEX(GeneralRevenueFundReceiptsChargesforServicesTable[],MATCH($A$3,GeneralRevenueFundReceiptsChargesforServicesTable[County]),MATCH(C41,GeneralRevenueFundReceiptsChargesforServicesTable[#Headers]))</f>
        <v>118082.9</v>
      </c>
      <c r="D45" s="220">
        <f>INDEX(GeneralRevenueFundReceiptsChargesforServicesTable[],MATCH($A$3,GeneralRevenueFundReceiptsChargesforServicesTable[County]),MATCH(D41,GeneralRevenueFundReceiptsChargesforServicesTable[#Headers]))</f>
        <v>156189</v>
      </c>
      <c r="E45" s="220">
        <f>INDEX(GeneralRevenueFundReceiptsChargesforServicesTable[],MATCH($A$3,GeneralRevenueFundReceiptsChargesforServicesTable[County]),MATCH(E41,GeneralRevenueFundReceiptsChargesforServicesTable[#Headers]))</f>
        <v>159687.29999999999</v>
      </c>
      <c r="F45" s="220">
        <f>INDEX(GeneralRevenueFundReceiptsChargesforServicesTable[],MATCH($A$3,GeneralRevenueFundReceiptsChargesforServicesTable[County]),MATCH(F41,GeneralRevenueFundReceiptsChargesforServicesTable[#Headers]))</f>
        <v>175956.06</v>
      </c>
      <c r="G45" s="220">
        <f>INDEX(GeneralRevenueFundReceiptsChargesforServicesTable[],MATCH($A$3,GeneralRevenueFundReceiptsChargesforServicesTable[County]),MATCH(G41,GeneralRevenueFundReceiptsChargesforServicesTable[#Headers]))</f>
        <v>152648.76</v>
      </c>
      <c r="H45" s="220">
        <f>INDEX(GeneralRevenueFundReceiptsChargesforServicesTable[],MATCH($A$3,GeneralRevenueFundReceiptsChargesforServicesTable[County]),MATCH(H41,GeneralRevenueFundReceiptsChargesforServicesTable[#Headers]))</f>
        <v>173685.46</v>
      </c>
      <c r="I45" s="220">
        <f>INDEX(GeneralRevenueFundReceiptsChargesforServicesTable[],MATCH($A$3,GeneralRevenueFundReceiptsChargesforServicesTable[County]),MATCH(I41,GeneralRevenueFundReceiptsChargesforServicesTable[#Headers]))</f>
        <v>177738.36</v>
      </c>
      <c r="J45" s="220">
        <f>INDEX(GeneralRevenueFundReceiptsChargesforServicesTable[],MATCH($A$3,GeneralRevenueFundReceiptsChargesforServicesTable[County]),MATCH(J41,GeneralRevenueFundReceiptsChargesforServicesTable[#Headers]))</f>
        <v>173271.38999999998</v>
      </c>
      <c r="K45" s="220">
        <f>INDEX(GeneralRevenueFundReceiptsChargesforServicesTable[],MATCH($A$3,GeneralRevenueFundReceiptsChargesforServicesTable[County]),MATCH(K41,GeneralRevenueFundReceiptsChargesforServicesTable[#Headers]))</f>
        <v>191064.80000000002</v>
      </c>
      <c r="L45" s="220">
        <f>INDEX(GeneralRevenueFundReceiptsChargesforServicesTable[],MATCH($A$3,GeneralRevenueFundReceiptsChargesforServicesTable[County]),MATCH(L41,GeneralRevenueFundReceiptsChargesforServicesTable[#Headers]))</f>
        <v>183401.8</v>
      </c>
      <c r="M45" s="220">
        <f>INDEX(GeneralRevenueFundReceiptsChargesforServicesTable[],MATCH($A$3,GeneralRevenueFundReceiptsChargesforServicesTable[County]),MATCH(M41,GeneralRevenueFundReceiptsChargesforServicesTable[#Headers]))</f>
        <v>188980.52999999997</v>
      </c>
      <c r="N45" s="220">
        <f>INDEX(GeneralRevenueFundReceiptsChargesforServicesTable[],MATCH($A$3,GeneralRevenueFundReceiptsChargesforServicesTable[County]),MATCH(N41,GeneralRevenueFundReceiptsChargesforServicesTable[#Headers]))</f>
        <v>176297.74</v>
      </c>
      <c r="O45" s="220">
        <f>INDEX(GeneralRevenueFundReceiptsChargesforServicesTable[],MATCH($A$3,GeneralRevenueFundReceiptsChargesforServicesTable[County]),MATCH(O41,GeneralRevenueFundReceiptsChargesforServicesTable[#Headers]))</f>
        <v>179776.22</v>
      </c>
      <c r="P45" s="220">
        <f>INDEX(GeneralRevenueFundReceiptsChargesforServicesTable[],MATCH($A$3,GeneralRevenueFundReceiptsChargesforServicesTable[County]),MATCH(P41,GeneralRevenueFundReceiptsChargesforServicesTable[#Headers]))</f>
        <v>164448.54999999999</v>
      </c>
      <c r="Q45" s="220">
        <f>INDEX(GeneralRevenueFundReceiptsChargesforServicesTable[],MATCH($A$3,GeneralRevenueFundReceiptsChargesforServicesTable[County]),MATCH(Q41,GeneralRevenueFundReceiptsChargesforServicesTable[#Headers]))</f>
        <v>172861.3</v>
      </c>
      <c r="R45" s="220">
        <f>INDEX(GeneralRevenueFundReceiptsChargesforServicesTable[],MATCH($A$3,GeneralRevenueFundReceiptsChargesforServicesTable[County]),MATCH(R41,GeneralRevenueFundReceiptsChargesforServicesTable[#Headers]))</f>
        <v>187816.03000000003</v>
      </c>
      <c r="S45" s="366">
        <f>INDEX(GeneralRevenueFundReceiptsChargesforServicesTable[],MATCH($A$3,GeneralRevenueFundReceiptsChargesforServicesTable[County]),MATCH(S41,GeneralRevenueFundReceiptsChargesforServicesTable[#Headers]))</f>
        <v>180266.78000000003</v>
      </c>
      <c r="T45" s="366">
        <f>INDEX(GeneralRevenueFundReceiptsChargesforServicesTable[],MATCH($A$3,GeneralRevenueFundReceiptsChargesforServicesTable[County]),MATCH(T41,GeneralRevenueFundReceiptsChargesforServicesTable[#Headers]))</f>
        <v>171988.27</v>
      </c>
      <c r="U45" s="366">
        <f>INDEX(GeneralRevenueFundReceiptsChargesforServicesTable[],MATCH($A$3,GeneralRevenueFundReceiptsChargesforServicesTable[County]),MATCH(U41,GeneralRevenueFundReceiptsChargesforServicesTable[#Headers]))</f>
        <v>181415.01</v>
      </c>
      <c r="V45" s="366">
        <f>INDEX(GeneralRevenueFundReceiptsChargesforServicesTable[],MATCH($A$3,GeneralRevenueFundReceiptsChargesforServicesTable[County]),MATCH(V41,GeneralRevenueFundReceiptsChargesforServicesTable[#Headers]))</f>
        <v>186549.95</v>
      </c>
      <c r="W45" s="366">
        <f>INDEX(GeneralRevenueFundReceiptsChargesforServicesTable[],MATCH($A$3,GeneralRevenueFundReceiptsChargesforServicesTable[County]),MATCH(W41,GeneralRevenueFundReceiptsChargesforServicesTable[#Headers]))</f>
        <v>172500</v>
      </c>
      <c r="X45" s="366"/>
      <c r="Y45" s="366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191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</row>
    <row r="46" spans="1:99" s="208" customFormat="1" ht="16.5" customHeight="1">
      <c r="A46" s="224" t="s">
        <v>101</v>
      </c>
      <c r="B46" s="220">
        <f>INDEX(GeneralRevenueFundReceiptsInterestTable[],MATCH($A$3,GeneralRevenueFundReceiptsInterestTable[County]),MATCH(B41,GeneralRevenueFundReceiptsInterestTable[#Headers],0))</f>
        <v>18462.599999999999</v>
      </c>
      <c r="C46" s="220">
        <f>INDEX(GeneralRevenueFundReceiptsInterestTable[],MATCH($A$3,GeneralRevenueFundReceiptsInterestTable[County]),MATCH(C41,GeneralRevenueFundReceiptsInterestTable[#Headers]))</f>
        <v>18166.599999999999</v>
      </c>
      <c r="D46" s="220">
        <f>INDEX(GeneralRevenueFundReceiptsInterestTable[],MATCH($A$3,GeneralRevenueFundReceiptsInterestTable[County]),MATCH(D41,GeneralRevenueFundReceiptsInterestTable[#Headers]))</f>
        <v>20825.2</v>
      </c>
      <c r="E46" s="220">
        <f>INDEX(GeneralRevenueFundReceiptsInterestTable[],MATCH($A$3,GeneralRevenueFundReceiptsInterestTable[County]),MATCH(E41,GeneralRevenueFundReceiptsInterestTable[#Headers]))</f>
        <v>10645.82</v>
      </c>
      <c r="F46" s="220">
        <f>INDEX(GeneralRevenueFundReceiptsInterestTable[],MATCH($A$3,GeneralRevenueFundReceiptsInterestTable[County]),MATCH(F41,GeneralRevenueFundReceiptsInterestTable[#Headers]))</f>
        <v>25136.58</v>
      </c>
      <c r="G46" s="220">
        <f>INDEX(GeneralRevenueFundReceiptsInterestTable[],MATCH($A$3,GeneralRevenueFundReceiptsInterestTable[County]),MATCH(G41,GeneralRevenueFundReceiptsInterestTable[#Headers]))</f>
        <v>25441.46</v>
      </c>
      <c r="H46" s="220">
        <f>INDEX(GeneralRevenueFundReceiptsInterestTable[],MATCH($A$3,GeneralRevenueFundReceiptsInterestTable[County]),MATCH(H41,GeneralRevenueFundReceiptsInterestTable[#Headers]))</f>
        <v>13360.42</v>
      </c>
      <c r="I46" s="220">
        <f>INDEX(GeneralRevenueFundReceiptsInterestTable[],MATCH($A$3,GeneralRevenueFundReceiptsInterestTable[County]),MATCH(I41,GeneralRevenueFundReceiptsInterestTable[#Headers]))</f>
        <v>0</v>
      </c>
      <c r="J46" s="220">
        <f>INDEX(GeneralRevenueFundReceiptsInterestTable[],MATCH($A$3,GeneralRevenueFundReceiptsInterestTable[County]),MATCH(J41,GeneralRevenueFundReceiptsInterestTable[#Headers]))</f>
        <v>4337.3100000000004</v>
      </c>
      <c r="K46" s="220">
        <f>INDEX(GeneralRevenueFundReceiptsInterestTable[],MATCH($A$3,GeneralRevenueFundReceiptsInterestTable[County]),MATCH(K41,GeneralRevenueFundReceiptsInterestTable[#Headers]))</f>
        <v>4550.54</v>
      </c>
      <c r="L46" s="220">
        <f>INDEX(GeneralRevenueFundReceiptsInterestTable[],MATCH($A$3,GeneralRevenueFundReceiptsInterestTable[County]),MATCH(L41,GeneralRevenueFundReceiptsInterestTable[#Headers]))</f>
        <v>9425.57</v>
      </c>
      <c r="M46" s="220">
        <f>INDEX(GeneralRevenueFundReceiptsInterestTable[],MATCH($A$3,GeneralRevenueFundReceiptsInterestTable[County]),MATCH(M41,GeneralRevenueFundReceiptsInterestTable[#Headers]))</f>
        <v>11098.24</v>
      </c>
      <c r="N46" s="220">
        <f>INDEX(GeneralRevenueFundReceiptsInterestTable[],MATCH($A$3,GeneralRevenueFundReceiptsInterestTable[County]),MATCH(N41,GeneralRevenueFundReceiptsInterestTable[#Headers]))</f>
        <v>9585.76</v>
      </c>
      <c r="O46" s="220">
        <f>INDEX(GeneralRevenueFundReceiptsInterestTable[],MATCH($A$3,GeneralRevenueFundReceiptsInterestTable[County]),MATCH(O41,GeneralRevenueFundReceiptsInterestTable[#Headers]))</f>
        <v>5130.28</v>
      </c>
      <c r="P46" s="220">
        <f>INDEX(GeneralRevenueFundReceiptsInterestTable[],MATCH($A$3,GeneralRevenueFundReceiptsInterestTable[County]),MATCH(P41,GeneralRevenueFundReceiptsInterestTable[#Headers]))</f>
        <v>4264.3599999999997</v>
      </c>
      <c r="Q46" s="220">
        <f>INDEX(GeneralRevenueFundReceiptsInterestTable[],MATCH($A$3,GeneralRevenueFundReceiptsInterestTable[County]),MATCH(Q41,GeneralRevenueFundReceiptsInterestTable[#Headers]))</f>
        <v>3336.88</v>
      </c>
      <c r="R46" s="220">
        <f>INDEX(GeneralRevenueFundReceiptsInterestTable[],MATCH($A$3,GeneralRevenueFundReceiptsInterestTable[County]),MATCH(R41,GeneralRevenueFundReceiptsInterestTable[#Headers]))</f>
        <v>3769.34</v>
      </c>
      <c r="S46" s="366">
        <f>INDEX(GeneralRevenueFundReceiptsInterestTable[],MATCH($A$3,GeneralRevenueFundReceiptsInterestTable[County]),MATCH(S41,GeneralRevenueFundReceiptsInterestTable[#Headers]))</f>
        <v>3814.21</v>
      </c>
      <c r="T46" s="366">
        <f>INDEX(GeneralRevenueFundReceiptsInterestTable[],MATCH($A$3,GeneralRevenueFundReceiptsInterestTable[County]),MATCH(T41,GeneralRevenueFundReceiptsInterestTable[#Headers]))</f>
        <v>4343.75</v>
      </c>
      <c r="U46" s="366">
        <f>INDEX(GeneralRevenueFundReceiptsInterestTable[],MATCH($A$3,GeneralRevenueFundReceiptsInterestTable[County]),MATCH(U41,GeneralRevenueFundReceiptsInterestTable[#Headers]))</f>
        <v>3956.37</v>
      </c>
      <c r="V46" s="366">
        <f>INDEX(GeneralRevenueFundReceiptsInterestTable[],MATCH($A$3,GeneralRevenueFundReceiptsInterestTable[County]),MATCH(V41,GeneralRevenueFundReceiptsInterestTable[#Headers]))</f>
        <v>3945.44</v>
      </c>
      <c r="W46" s="366">
        <f>INDEX(GeneralRevenueFundReceiptsInterestTable[],MATCH($A$3,GeneralRevenueFundReceiptsInterestTable[County]),MATCH(W41,GeneralRevenueFundReceiptsInterestTable[#Headers]))</f>
        <v>2500</v>
      </c>
      <c r="X46" s="366"/>
      <c r="Y46" s="366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191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</row>
    <row r="47" spans="1:99" s="208" customFormat="1" ht="16.5" customHeight="1">
      <c r="A47" s="224" t="s">
        <v>102</v>
      </c>
      <c r="B47" s="220">
        <f>INDEX(GeneralRevenueFundReceiptsOtherTable[],MATCH($A$3,GeneralRevenueFundReceiptsOtherTable[County]),MATCH(B41,GeneralRevenueFundReceiptsOtherTable[#Headers],0))</f>
        <v>83081.7</v>
      </c>
      <c r="C47" s="220">
        <f>INDEX(GeneralRevenueFundReceiptsOtherTable[],MATCH($A$3,GeneralRevenueFundReceiptsOtherTable[County]),MATCH(C41,GeneralRevenueFundReceiptsOtherTable[#Headers]))</f>
        <v>45416.5</v>
      </c>
      <c r="D47" s="220">
        <f>INDEX(GeneralRevenueFundReceiptsOtherTable[],MATCH($A$3,GeneralRevenueFundReceiptsOtherTable[County]),MATCH(D41,GeneralRevenueFundReceiptsOtherTable[#Headers]))</f>
        <v>41650.400000000001</v>
      </c>
      <c r="E47" s="220">
        <f>INDEX(GeneralRevenueFundReceiptsOtherTable[],MATCH($A$3,GeneralRevenueFundReceiptsOtherTable[County]),MATCH(E41,GeneralRevenueFundReceiptsOtherTable[#Headers]))</f>
        <v>21291.64</v>
      </c>
      <c r="F47" s="220">
        <f>INDEX(GeneralRevenueFundReceiptsOtherTable[],MATCH($A$3,GeneralRevenueFundReceiptsOtherTable[County]),MATCH(F41,GeneralRevenueFundReceiptsOtherTable[#Headers]))</f>
        <v>25136.58</v>
      </c>
      <c r="G47" s="220">
        <f>INDEX(GeneralRevenueFundReceiptsOtherTable[],MATCH($A$3,GeneralRevenueFundReceiptsOtherTable[County]),MATCH(G41,GeneralRevenueFundReceiptsOtherTable[#Headers]))</f>
        <v>12720.73</v>
      </c>
      <c r="H47" s="220">
        <f>INDEX(GeneralRevenueFundReceiptsOtherTable[],MATCH($A$3,GeneralRevenueFundReceiptsOtherTable[County]),MATCH(H41,GeneralRevenueFundReceiptsOtherTable[#Headers]))</f>
        <v>66802.100000000006</v>
      </c>
      <c r="I47" s="220">
        <f>INDEX(GeneralRevenueFundReceiptsOtherTable[],MATCH($A$3,GeneralRevenueFundReceiptsOtherTable[County]),MATCH(I41,GeneralRevenueFundReceiptsOtherTable[#Headers]))</f>
        <v>59246.12</v>
      </c>
      <c r="J47" s="220">
        <f>INDEX(GeneralRevenueFundReceiptsOtherTable[],MATCH($A$3,GeneralRevenueFundReceiptsOtherTable[County]),MATCH(J41,GeneralRevenueFundReceiptsOtherTable[#Headers]))</f>
        <v>13458.310000000003</v>
      </c>
      <c r="K47" s="220">
        <f>INDEX(GeneralRevenueFundReceiptsOtherTable[],MATCH($A$3,GeneralRevenueFundReceiptsOtherTable[County]),MATCH(K41,GeneralRevenueFundReceiptsOtherTable[#Headers]))</f>
        <v>17727.22</v>
      </c>
      <c r="L47" s="220">
        <f>INDEX(GeneralRevenueFundReceiptsOtherTable[],MATCH($A$3,GeneralRevenueFundReceiptsOtherTable[County]),MATCH(L41,GeneralRevenueFundReceiptsOtherTable[#Headers]))</f>
        <v>12763.390000000001</v>
      </c>
      <c r="M47" s="220">
        <f>INDEX(GeneralRevenueFundReceiptsOtherTable[],MATCH($A$3,GeneralRevenueFundReceiptsOtherTable[County]),MATCH(M41,GeneralRevenueFundReceiptsOtherTable[#Headers]))</f>
        <v>7423.17</v>
      </c>
      <c r="N47" s="220">
        <f>INDEX(GeneralRevenueFundReceiptsOtherTable[],MATCH($A$3,GeneralRevenueFundReceiptsOtherTable[County]),MATCH(N41,GeneralRevenueFundReceiptsOtherTable[#Headers]))</f>
        <v>13522.849999999999</v>
      </c>
      <c r="O47" s="220">
        <f>INDEX(GeneralRevenueFundReceiptsOtherTable[],MATCH($A$3,GeneralRevenueFundReceiptsOtherTable[County]),MATCH(O41,GeneralRevenueFundReceiptsOtherTable[#Headers]))</f>
        <v>36285.06</v>
      </c>
      <c r="P47" s="220">
        <f>INDEX(GeneralRevenueFundReceiptsOtherTable[],MATCH($A$3,GeneralRevenueFundReceiptsOtherTable[County]),MATCH(P41,GeneralRevenueFundReceiptsOtherTable[#Headers]))</f>
        <v>32756.030000000006</v>
      </c>
      <c r="Q47" s="220">
        <f>INDEX(GeneralRevenueFundReceiptsOtherTable[],MATCH($A$3,GeneralRevenueFundReceiptsOtherTable[County]),MATCH(Q41,GeneralRevenueFundReceiptsOtherTable[#Headers]))</f>
        <v>34985.370000000003</v>
      </c>
      <c r="R47" s="220">
        <f>INDEX(GeneralRevenueFundReceiptsOtherTable[],MATCH($A$3,GeneralRevenueFundReceiptsOtherTable[County]),MATCH(R41,GeneralRevenueFundReceiptsOtherTable[#Headers]))</f>
        <v>26196.629999999997</v>
      </c>
      <c r="S47" s="366">
        <f>INDEX(GeneralRevenueFundReceiptsOtherTable[],MATCH($A$3,GeneralRevenueFundReceiptsOtherTable[County]),MATCH(S41,GeneralRevenueFundReceiptsOtherTable[#Headers]))</f>
        <v>45498.19</v>
      </c>
      <c r="T47" s="366">
        <f>INDEX(GeneralRevenueFundReceiptsOtherTable[],MATCH($A$3,GeneralRevenueFundReceiptsOtherTable[County]),MATCH(T41,GeneralRevenueFundReceiptsOtherTable[#Headers]))</f>
        <v>30617.600000000002</v>
      </c>
      <c r="U47" s="366">
        <f>INDEX(GeneralRevenueFundReceiptsOtherTable[],MATCH($A$3,GeneralRevenueFundReceiptsOtherTable[County]),MATCH(U41,GeneralRevenueFundReceiptsOtherTable[#Headers]))</f>
        <v>33967.230000000003</v>
      </c>
      <c r="V47" s="366">
        <f>INDEX(GeneralRevenueFundReceiptsOtherTable[],MATCH($A$3,GeneralRevenueFundReceiptsOtherTable[County]),MATCH(V41,GeneralRevenueFundReceiptsOtherTable[#Headers]))</f>
        <v>62230.59</v>
      </c>
      <c r="W47" s="366">
        <f>INDEX(GeneralRevenueFundReceiptsOtherTable[],MATCH($A$3,GeneralRevenueFundReceiptsOtherTable[County]),MATCH(W41,GeneralRevenueFundReceiptsOtherTable[#Headers]))</f>
        <v>22000</v>
      </c>
      <c r="X47" s="366"/>
      <c r="Y47" s="366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191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</row>
    <row r="48" spans="1:99" s="208" customFormat="1" ht="16.5" customHeight="1">
      <c r="A48" s="215"/>
      <c r="B48" s="215"/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191"/>
      <c r="CA48" s="191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</row>
    <row r="49" spans="1:105" s="208" customFormat="1" ht="16.5" customHeight="1">
      <c r="A49" s="971" t="str">
        <f>CONCATENATE($A$3," County Detailed General Revenue Expenditures")</f>
        <v>Douglas County Detailed General Revenue Expenditures</v>
      </c>
      <c r="B49" s="971"/>
      <c r="C49" s="971"/>
      <c r="D49" s="971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533" t="s">
        <v>175</v>
      </c>
      <c r="AO49" s="533"/>
      <c r="AP49" s="533"/>
      <c r="AQ49" s="533"/>
      <c r="AR49" s="533"/>
      <c r="AS49" s="533"/>
      <c r="AT49" s="533"/>
      <c r="AU49" s="533"/>
      <c r="AV49" s="533"/>
      <c r="AW49" s="533"/>
      <c r="AX49" s="533"/>
      <c r="AY49" s="533"/>
      <c r="AZ49" s="533"/>
      <c r="BA49" s="533"/>
      <c r="BB49" s="533"/>
      <c r="BC49" s="533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191"/>
      <c r="CA49" s="191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</row>
    <row r="50" spans="1:105" s="208" customFormat="1" ht="16.5" customHeight="1">
      <c r="A50" s="219" t="s">
        <v>434</v>
      </c>
      <c r="B50" s="300" t="s">
        <v>409</v>
      </c>
      <c r="C50" s="300" t="s">
        <v>410</v>
      </c>
      <c r="D50" s="300" t="s">
        <v>411</v>
      </c>
      <c r="E50" s="300" t="s">
        <v>412</v>
      </c>
      <c r="F50" s="300" t="s">
        <v>413</v>
      </c>
      <c r="G50" s="300" t="s">
        <v>414</v>
      </c>
      <c r="H50" s="300" t="s">
        <v>415</v>
      </c>
      <c r="I50" s="300" t="s">
        <v>416</v>
      </c>
      <c r="J50" s="300" t="s">
        <v>417</v>
      </c>
      <c r="K50" s="301" t="s">
        <v>418</v>
      </c>
      <c r="L50" s="301" t="s">
        <v>419</v>
      </c>
      <c r="M50" s="301" t="s">
        <v>420</v>
      </c>
      <c r="N50" s="301" t="s">
        <v>421</v>
      </c>
      <c r="O50" s="301" t="s">
        <v>422</v>
      </c>
      <c r="P50" s="296" t="s">
        <v>423</v>
      </c>
      <c r="Q50" s="296" t="s">
        <v>355</v>
      </c>
      <c r="R50" s="296" t="s">
        <v>399</v>
      </c>
      <c r="S50" s="392" t="s">
        <v>424</v>
      </c>
      <c r="T50" s="296" t="s">
        <v>446</v>
      </c>
      <c r="U50" s="296" t="s">
        <v>523</v>
      </c>
      <c r="V50" s="296" t="s">
        <v>524</v>
      </c>
      <c r="W50" s="296" t="s">
        <v>525</v>
      </c>
      <c r="X50" s="392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191"/>
      <c r="CA50" s="191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  <c r="CM50" s="212"/>
      <c r="CN50" s="212"/>
      <c r="CO50" s="212"/>
      <c r="CP50" s="212"/>
    </row>
    <row r="51" spans="1:105" s="208" customFormat="1" ht="16.5" customHeight="1">
      <c r="A51" s="220" t="s">
        <v>133</v>
      </c>
      <c r="B51" s="220">
        <f>INDEX(CountyDisbursementsCentralGovt[],MATCH($A$3,CountyDisbursementsCentralGovt[County]),MATCH(B50,CountyDisbursementsCentralGovt[#Headers],0))</f>
        <v>262981.19999999995</v>
      </c>
      <c r="C51" s="220">
        <f>INDEX(CountyDisbursementsCentralGovt[],MATCH($A$3,CountyDisbursementsCentralGovt[County]),MATCH(C50,CountyDisbursementsCentralGovt[#Headers]))</f>
        <v>224412.25</v>
      </c>
      <c r="D51" s="220">
        <f>INDEX(CountyDisbursementsCentralGovt[],MATCH($A$3,CountyDisbursementsCentralGovt[County]),MATCH(D50,CountyDisbursementsCentralGovt[#Headers]))</f>
        <v>288467.48</v>
      </c>
      <c r="E51" s="220">
        <f>INDEX(CountyDisbursementsCentralGovt[],MATCH($A$3,CountyDisbursementsCentralGovt[County]),MATCH(E50,CountyDisbursementsCentralGovt[#Headers]))</f>
        <v>293672.86</v>
      </c>
      <c r="F51" s="220">
        <f>INDEX(CountyDisbursementsCentralGovt[],MATCH($A$3,CountyDisbursementsCentralGovt[County]),MATCH(F50,CountyDisbursementsCentralGovt[#Headers]))</f>
        <v>328634.55000000005</v>
      </c>
      <c r="G51" s="220">
        <f>INDEX(CountyDisbursementsCentralGovt[],MATCH($A$3,CountyDisbursementsCentralGovt[County]),MATCH(G50,CountyDisbursementsCentralGovt[#Headers]))</f>
        <v>321346.75</v>
      </c>
      <c r="H51" s="220">
        <f>INDEX(CountyDisbursementsCentralGovt[],MATCH($A$3,CountyDisbursementsCentralGovt[County]),MATCH(H50,CountyDisbursementsCentralGovt[#Headers]))</f>
        <v>348760.75</v>
      </c>
      <c r="I51" s="220">
        <f>INDEX(CountyDisbursementsCentralGovt[],MATCH($A$3,CountyDisbursementsCentralGovt[County]),MATCH(I50,CountyDisbursementsCentralGovt[#Headers]))</f>
        <v>285371.07</v>
      </c>
      <c r="J51" s="220">
        <f>INDEX(CountyDisbursementsCentralGovt[],MATCH($A$3,CountyDisbursementsCentralGovt[County]),MATCH(J50,CountyDisbursementsCentralGovt[#Headers]))</f>
        <v>338671.12999999995</v>
      </c>
      <c r="K51" s="220">
        <f>INDEX(CountyDisbursementsCentralGovt[],MATCH($A$3,CountyDisbursementsCentralGovt[County]),MATCH(K50,CountyDisbursementsCentralGovt[#Headers]))</f>
        <v>391299.78</v>
      </c>
      <c r="L51" s="220">
        <f>INDEX(CountyDisbursementsCentralGovt[],MATCH($A$3,CountyDisbursementsCentralGovt[County]),MATCH(L50,CountyDisbursementsCentralGovt[#Headers]))</f>
        <v>348318.77</v>
      </c>
      <c r="M51" s="220">
        <f>INDEX(CountyDisbursementsCentralGovt[],MATCH($A$3,CountyDisbursementsCentralGovt[County]),MATCH(M50,CountyDisbursementsCentralGovt[#Headers]))</f>
        <v>337857.52999999997</v>
      </c>
      <c r="N51" s="220">
        <f>INDEX(CountyDisbursementsCentralGovt[],MATCH($A$3,CountyDisbursementsCentralGovt[County]),MATCH(N50,CountyDisbursementsCentralGovt[#Headers]))</f>
        <v>421625.16000000003</v>
      </c>
      <c r="O51" s="220">
        <f>INDEX(CountyDisbursementsCentralGovt[],MATCH($A$3,CountyDisbursementsCentralGovt[County]),MATCH(O50,CountyDisbursementsCentralGovt[#Headers]))</f>
        <v>377990.46</v>
      </c>
      <c r="P51" s="220">
        <f>INDEX(CountyDisbursementsCentralGovt[],MATCH($A$3,CountyDisbursementsCentralGovt[County]),MATCH(P50,CountyDisbursementsCentralGovt[#Headers]))</f>
        <v>441632.21</v>
      </c>
      <c r="Q51" s="220">
        <f>INDEX(CountyDisbursementsCentralGovt[],MATCH($A$3,CountyDisbursementsCentralGovt[County]),MATCH(Q50,CountyDisbursementsCentralGovt[#Headers]))</f>
        <v>396043.94</v>
      </c>
      <c r="R51" s="220">
        <f>INDEX(CountyDisbursementsCentralGovt[],MATCH($A$3,CountyDisbursementsCentralGovt[County]),MATCH(R50,CountyDisbursementsCentralGovt[#Headers]))</f>
        <v>427666.96000000008</v>
      </c>
      <c r="S51" s="366">
        <f>INDEX(CountyDisbursementsCentralGovt[],MATCH($A$3,CountyDisbursementsCentralGovt[County]),MATCH(S50,CountyDisbursementsCentralGovt[#Headers]))</f>
        <v>405856.02999999997</v>
      </c>
      <c r="T51" s="366">
        <f>INDEX(CountyDisbursementsCentralGovt[],MATCH($A$3,CountyDisbursementsCentralGovt[County]),MATCH(T50,CountyDisbursementsCentralGovt[#Headers]))</f>
        <v>448936.26</v>
      </c>
      <c r="U51" s="366">
        <f>INDEX(CountyDisbursementsCentralGovt[],MATCH($A$3,CountyDisbursementsCentralGovt[County]),MATCH(U50,CountyDisbursementsCentralGovt[#Headers]))</f>
        <v>449558.93999999994</v>
      </c>
      <c r="V51" s="366">
        <f>INDEX(CountyDisbursementsCentralGovt[],MATCH($A$3,CountyDisbursementsCentralGovt[County]),MATCH(V50,CountyDisbursementsCentralGovt[#Headers]))</f>
        <v>563386.34000000008</v>
      </c>
      <c r="W51" s="366">
        <f>INDEX(CountyDisbursementsCentralGovt[],MATCH($A$3,CountyDisbursementsCentralGovt[County]),MATCH(W50,CountyDisbursementsCentralGovt[#Headers]))</f>
        <v>477708</v>
      </c>
      <c r="X51" s="366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533" t="s">
        <v>169</v>
      </c>
      <c r="AO51" s="533"/>
      <c r="AP51" s="533"/>
      <c r="AQ51" s="533"/>
      <c r="AR51" s="533"/>
      <c r="AS51" s="533"/>
      <c r="AT51" s="533"/>
      <c r="AU51" s="533"/>
      <c r="AV51" s="533"/>
      <c r="AW51" s="533"/>
      <c r="AX51" s="533"/>
      <c r="AY51" s="533"/>
      <c r="AZ51" s="533"/>
      <c r="BA51" s="533"/>
      <c r="BB51" s="533"/>
      <c r="BC51" s="533"/>
      <c r="BD51" s="209"/>
      <c r="BE51" s="209"/>
      <c r="BG51" s="533"/>
      <c r="BH51" s="533"/>
      <c r="BI51" s="533"/>
      <c r="BJ51" s="533"/>
      <c r="BK51" s="533"/>
      <c r="BL51" s="533"/>
      <c r="BM51" s="533"/>
      <c r="BN51" s="533"/>
      <c r="BO51" s="533"/>
      <c r="BP51" s="533"/>
      <c r="BQ51" s="533"/>
      <c r="BR51" s="533"/>
      <c r="BS51" s="533"/>
      <c r="BT51" s="533"/>
      <c r="BU51" s="209"/>
      <c r="BV51" s="209"/>
      <c r="BW51" s="209"/>
      <c r="BX51" s="209"/>
      <c r="BY51" s="209"/>
      <c r="BZ51" s="191"/>
      <c r="CA51" s="191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</row>
    <row r="52" spans="1:105" s="208" customFormat="1" ht="16.5" customHeight="1">
      <c r="A52" s="220" t="s">
        <v>135</v>
      </c>
      <c r="B52" s="220">
        <f>INDEX(CountyDisbursementsLawEnforcement[],MATCH($A$3,CountyDisbursementsLawEnforcement[County]),MATCH(B50,CountyDisbursementsLawEnforcement[#Headers],0))</f>
        <v>157788.72000000003</v>
      </c>
      <c r="C52" s="220">
        <f>INDEX(CountyDisbursementsLawEnforcement[],MATCH($A$3,CountyDisbursementsLawEnforcement[County]),MATCH(C50,CountyDisbursementsLawEnforcement[#Headers]))</f>
        <v>233388.74</v>
      </c>
      <c r="D52" s="220">
        <f>INDEX(CountyDisbursementsLawEnforcement[],MATCH($A$3,CountyDisbursementsLawEnforcement[County]),MATCH(D50,CountyDisbursementsLawEnforcement[#Headers]))</f>
        <v>267862.65999999997</v>
      </c>
      <c r="E52" s="220">
        <f>INDEX(CountyDisbursementsLawEnforcement[],MATCH($A$3,CountyDisbursementsLawEnforcement[County]),MATCH(E50,CountyDisbursementsLawEnforcement[#Headers]))</f>
        <v>338853.3</v>
      </c>
      <c r="F52" s="220">
        <f>INDEX(CountyDisbursementsLawEnforcement[],MATCH($A$3,CountyDisbursementsLawEnforcement[County]),MATCH(F50,CountyDisbursementsLawEnforcement[#Headers]))</f>
        <v>328634.55</v>
      </c>
      <c r="G52" s="220">
        <f>INDEX(CountyDisbursementsLawEnforcement[],MATCH($A$3,CountyDisbursementsLawEnforcement[County]),MATCH(G50,CountyDisbursementsLawEnforcement[#Headers]))</f>
        <v>398469.97</v>
      </c>
      <c r="H52" s="220">
        <f>INDEX(CountyDisbursementsLawEnforcement[],MATCH($A$3,CountyDisbursementsLawEnforcement[County]),MATCH(H50,CountyDisbursementsLawEnforcement[#Headers]))</f>
        <v>412512.53</v>
      </c>
      <c r="I52" s="220">
        <f>INDEX(CountyDisbursementsLawEnforcement[],MATCH($A$3,CountyDisbursementsLawEnforcement[County]),MATCH(I50,CountyDisbursementsLawEnforcement[#Headers]))</f>
        <v>435566.37</v>
      </c>
      <c r="J52" s="220">
        <f>INDEX(CountyDisbursementsLawEnforcement[],MATCH($A$3,CountyDisbursementsLawEnforcement[County]),MATCH(J50,CountyDisbursementsLawEnforcement[#Headers]))</f>
        <v>441023.85</v>
      </c>
      <c r="K52" s="220">
        <f>INDEX(CountyDisbursementsLawEnforcement[],MATCH($A$3,CountyDisbursementsLawEnforcement[County]),MATCH(K50,CountyDisbursementsLawEnforcement[#Headers]))</f>
        <v>462623.9</v>
      </c>
      <c r="L52" s="220">
        <f>INDEX(CountyDisbursementsLawEnforcement[],MATCH($A$3,CountyDisbursementsLawEnforcement[County]),MATCH(L50,CountyDisbursementsLawEnforcement[#Headers]))</f>
        <v>398005.23</v>
      </c>
      <c r="M52" s="220">
        <f>INDEX(CountyDisbursementsLawEnforcement[],MATCH($A$3,CountyDisbursementsLawEnforcement[County]),MATCH(M50,CountyDisbursementsLawEnforcement[#Headers]))</f>
        <v>450454.03</v>
      </c>
      <c r="N52" s="220">
        <f>INDEX(CountyDisbursementsLawEnforcement[],MATCH($A$3,CountyDisbursementsLawEnforcement[County]),MATCH(N50,CountyDisbursementsLawEnforcement[#Headers]))</f>
        <v>504749.97000000009</v>
      </c>
      <c r="O52" s="220">
        <f>INDEX(CountyDisbursementsLawEnforcement[],MATCH($A$3,CountyDisbursementsLawEnforcement[County]),MATCH(O50,CountyDisbursementsLawEnforcement[#Headers]))</f>
        <v>521170.93000000005</v>
      </c>
      <c r="P52" s="220">
        <f>INDEX(CountyDisbursementsLawEnforcement[],MATCH($A$3,CountyDisbursementsLawEnforcement[County]),MATCH(P50,CountyDisbursementsLawEnforcement[#Headers]))</f>
        <v>490082.24000000011</v>
      </c>
      <c r="Q52" s="220">
        <f>INDEX(CountyDisbursementsLawEnforcement[],MATCH($A$3,CountyDisbursementsLawEnforcement[County]),MATCH(Q50,CountyDisbursementsLawEnforcement[#Headers]))</f>
        <v>508626.49</v>
      </c>
      <c r="R52" s="220">
        <f>INDEX(CountyDisbursementsLawEnforcement[],MATCH($A$3,CountyDisbursementsLawEnforcement[County]),MATCH(R50,CountyDisbursementsLawEnforcement[#Headers]))</f>
        <v>477778.23</v>
      </c>
      <c r="S52" s="366">
        <f>INDEX(CountyDisbursementsLawEnforcement[],MATCH($A$3,CountyDisbursementsLawEnforcement[County]),MATCH(S50,CountyDisbursementsLawEnforcement[#Headers]))</f>
        <v>503487.36</v>
      </c>
      <c r="T52" s="366">
        <f>INDEX(CountyDisbursementsLawEnforcement[],MATCH($A$3,CountyDisbursementsLawEnforcement[County]),MATCH(T50,CountyDisbursementsLawEnforcement[#Headers]))</f>
        <v>504268.79000000004</v>
      </c>
      <c r="U52" s="366">
        <f>INDEX(CountyDisbursementsLawEnforcement[],MATCH($A$3,CountyDisbursementsLawEnforcement[County]),MATCH(U50,CountyDisbursementsLawEnforcement[#Headers]))</f>
        <v>535955.5199999999</v>
      </c>
      <c r="V52" s="366">
        <f>INDEX(CountyDisbursementsLawEnforcement[],MATCH($A$3,CountyDisbursementsLawEnforcement[County]),MATCH(V50,CountyDisbursementsLawEnforcement[#Headers]))</f>
        <v>517842.18000000011</v>
      </c>
      <c r="W52" s="366">
        <f>INDEX(CountyDisbursementsLawEnforcement[],MATCH($A$3,CountyDisbursementsLawEnforcement[County]),MATCH(W50,CountyDisbursementsLawEnforcement[#Headers]))</f>
        <v>529490.89999999991</v>
      </c>
      <c r="X52" s="366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533"/>
      <c r="AO52" s="533"/>
      <c r="AP52" s="533"/>
      <c r="AQ52" s="533"/>
      <c r="AR52" s="533"/>
      <c r="AS52" s="533"/>
      <c r="AT52" s="533"/>
      <c r="AU52" s="533"/>
      <c r="AV52" s="533"/>
      <c r="AW52" s="533"/>
      <c r="AX52" s="533"/>
      <c r="AY52" s="533"/>
      <c r="AZ52" s="533"/>
      <c r="BA52" s="533"/>
      <c r="BB52" s="533"/>
      <c r="BC52" s="533"/>
      <c r="BD52" s="209"/>
      <c r="BE52" s="209"/>
      <c r="BF52" s="533" t="s">
        <v>170</v>
      </c>
      <c r="BG52" s="533"/>
      <c r="BH52" s="533"/>
      <c r="BI52" s="533"/>
      <c r="BJ52" s="533"/>
      <c r="BK52" s="533"/>
      <c r="BL52" s="533"/>
      <c r="BM52" s="533"/>
      <c r="BN52" s="533"/>
      <c r="BO52" s="533"/>
      <c r="BP52" s="533"/>
      <c r="BQ52" s="533"/>
      <c r="BR52" s="533"/>
      <c r="BS52" s="533"/>
      <c r="BT52" s="533"/>
      <c r="BU52" s="209"/>
      <c r="BV52" s="209"/>
      <c r="BW52" s="209"/>
      <c r="BX52" s="209"/>
      <c r="BY52" s="209"/>
      <c r="BZ52" s="209"/>
      <c r="CA52" s="191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26"/>
      <c r="CQ52" s="215"/>
      <c r="CR52" s="215"/>
      <c r="CS52" s="215"/>
      <c r="CT52" s="215"/>
    </row>
    <row r="53" spans="1:105" s="208" customFormat="1" ht="16.5" customHeight="1">
      <c r="A53" s="220" t="s">
        <v>134</v>
      </c>
      <c r="B53" s="220">
        <f>INDEX(CountyDisbursementsCourt[],MATCH($A$3,CountyDisbursementsCourt[County]),MATCH(B50,CountyDisbursementsCourt[#Headers],0))</f>
        <v>70128.320000000007</v>
      </c>
      <c r="C53" s="220">
        <f>INDEX(CountyDisbursementsCourt[],MATCH($A$3,CountyDisbursementsCourt[County]),MATCH(C50,CountyDisbursementsCourt[#Headers]))</f>
        <v>89764.9</v>
      </c>
      <c r="D53" s="220">
        <f>INDEX(CountyDisbursementsCourt[],MATCH($A$3,CountyDisbursementsCourt[County]),MATCH(D50,CountyDisbursementsCourt[#Headers]))</f>
        <v>103024.1</v>
      </c>
      <c r="E53" s="220">
        <f>INDEX(CountyDisbursementsCourt[],MATCH($A$3,CountyDisbursementsCourt[County]),MATCH(E50,CountyDisbursementsCourt[#Headers]))</f>
        <v>79065.77</v>
      </c>
      <c r="F53" s="220">
        <f>INDEX(CountyDisbursementsCourt[],MATCH($A$3,CountyDisbursementsCourt[County]),MATCH(F50,CountyDisbursementsCourt[#Headers]))</f>
        <v>73029.899999999994</v>
      </c>
      <c r="G53" s="220">
        <f>INDEX(CountyDisbursementsCourt[],MATCH($A$3,CountyDisbursementsCourt[County]),MATCH(G50,CountyDisbursementsCourt[#Headers]))</f>
        <v>64269.350000000006</v>
      </c>
      <c r="H53" s="220">
        <f>INDEX(CountyDisbursementsCourt[],MATCH($A$3,CountyDisbursementsCourt[County]),MATCH(H50,CountyDisbursementsCourt[#Headers]))</f>
        <v>85347.42</v>
      </c>
      <c r="I53" s="220">
        <f>INDEX(CountyDisbursementsCourt[],MATCH($A$3,CountyDisbursementsCourt[County]),MATCH(I50,CountyDisbursementsCourt[#Headers]))</f>
        <v>60078.12</v>
      </c>
      <c r="J53" s="220">
        <f>INDEX(CountyDisbursementsCourt[],MATCH($A$3,CountyDisbursementsCourt[County]),MATCH(J50,CountyDisbursementsCourt[#Headers]))</f>
        <v>72997.02</v>
      </c>
      <c r="K53" s="220">
        <f>INDEX(CountyDisbursementsCourt[],MATCH($A$3,CountyDisbursementsCourt[County]),MATCH(K50,CountyDisbursementsCourt[#Headers]))</f>
        <v>89701.26999999999</v>
      </c>
      <c r="L53" s="220">
        <f>INDEX(CountyDisbursementsCourt[],MATCH($A$3,CountyDisbursementsCourt[County]),MATCH(L50,CountyDisbursementsCourt[#Headers]))</f>
        <v>88919.6</v>
      </c>
      <c r="M53" s="220">
        <f>INDEX(CountyDisbursementsCourt[],MATCH($A$3,CountyDisbursementsCourt[County]),MATCH(M50,CountyDisbursementsCourt[#Headers]))</f>
        <v>126239.22</v>
      </c>
      <c r="N53" s="220">
        <f>INDEX(CountyDisbursementsCourt[],MATCH($A$3,CountyDisbursementsCourt[County]),MATCH(N50,CountyDisbursementsCourt[#Headers]))</f>
        <v>98322.92</v>
      </c>
      <c r="O53" s="220">
        <f>INDEX(CountyDisbursementsCourt[],MATCH($A$3,CountyDisbursementsCourt[County]),MATCH(O50,CountyDisbursementsCourt[#Headers]))</f>
        <v>70727.69</v>
      </c>
      <c r="P53" s="220">
        <f>INDEX(CountyDisbursementsCourt[],MATCH($A$3,CountyDisbursementsCourt[County]),MATCH(P50,CountyDisbursementsCourt[#Headers]))</f>
        <v>60089.599999999999</v>
      </c>
      <c r="Q53" s="220">
        <f>INDEX(CountyDisbursementsCourt[],MATCH($A$3,CountyDisbursementsCourt[County]),MATCH(Q50,CountyDisbursementsCourt[#Headers]))</f>
        <v>63451.100000000006</v>
      </c>
      <c r="R53" s="220">
        <f>INDEX(CountyDisbursementsCourt[],MATCH($A$3,CountyDisbursementsCourt[County]),MATCH(R50,CountyDisbursementsCourt[#Headers]))</f>
        <v>60877.759999999995</v>
      </c>
      <c r="S53" s="366">
        <f>INDEX(CountyDisbursementsCourt[],MATCH($A$3,CountyDisbursementsCourt[County]),MATCH(S50,CountyDisbursementsCourt[#Headers]))</f>
        <v>51769.89</v>
      </c>
      <c r="T53" s="366">
        <f>INDEX(CountyDisbursementsCourt[],MATCH($A$3,CountyDisbursementsCourt[County]),MATCH(T50,CountyDisbursementsCourt[#Headers]))</f>
        <v>49348.75</v>
      </c>
      <c r="U53" s="366">
        <f>INDEX(CountyDisbursementsCourt[],MATCH($A$3,CountyDisbursementsCourt[County]),MATCH(U50,CountyDisbursementsCourt[#Headers]))</f>
        <v>58345.209999999992</v>
      </c>
      <c r="V53" s="366">
        <f>INDEX(CountyDisbursementsCourt[],MATCH($A$3,CountyDisbursementsCourt[County]),MATCH(V50,CountyDisbursementsCourt[#Headers]))</f>
        <v>58957.83</v>
      </c>
      <c r="W53" s="366">
        <f>INDEX(CountyDisbursementsCourt[],MATCH($A$3,CountyDisbursementsCourt[County]),MATCH(W50,CountyDisbursementsCourt[#Headers]))</f>
        <v>66772.179999999993</v>
      </c>
      <c r="X53" s="366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27"/>
      <c r="AM53" s="209"/>
      <c r="AN53" s="533" t="s">
        <v>174</v>
      </c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209"/>
      <c r="BE53" s="209"/>
      <c r="BF53" s="533"/>
      <c r="BG53" s="533"/>
      <c r="BH53" s="533"/>
      <c r="BI53" s="533"/>
      <c r="BJ53" s="533"/>
      <c r="BK53" s="533"/>
      <c r="BL53" s="533"/>
      <c r="BM53" s="533"/>
      <c r="BN53" s="533"/>
      <c r="BO53" s="533"/>
      <c r="BP53" s="533"/>
      <c r="BQ53" s="533"/>
      <c r="BR53" s="533"/>
      <c r="BS53" s="533"/>
      <c r="BT53" s="534"/>
      <c r="BU53" s="209"/>
      <c r="BV53" s="209"/>
      <c r="BW53" s="209"/>
      <c r="BX53" s="209"/>
      <c r="BY53" s="209"/>
      <c r="BZ53" s="209"/>
      <c r="CA53" s="191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26"/>
      <c r="CQ53" s="228"/>
      <c r="CR53" s="228"/>
      <c r="CS53" s="215"/>
      <c r="CT53" s="215"/>
    </row>
    <row r="54" spans="1:105" s="208" customFormat="1" ht="16.5" customHeight="1">
      <c r="A54" s="220" t="s">
        <v>118</v>
      </c>
      <c r="B54" s="220">
        <f>INDEX(CountyDisbursementsFringeBenefits[],MATCH($A$3,CountyDisbursementsFringeBenefits[County]),MATCH(B50,CountyDisbursementsFringeBenefits[#Headers],0))</f>
        <v>70128.320000000007</v>
      </c>
      <c r="C54" s="220">
        <f>INDEX(CountyDisbursementsFringeBenefits[],MATCH($A$3,CountyDisbursementsFringeBenefits[County]),MATCH(C50,CountyDisbursementsFringeBenefits[#Headers]))</f>
        <v>80788.41</v>
      </c>
      <c r="D54" s="220">
        <f>INDEX(CountyDisbursementsFringeBenefits[],MATCH($A$3,CountyDisbursementsFringeBenefits[County]),MATCH(D50,CountyDisbursementsFringeBenefits[#Headers]))</f>
        <v>92721.69</v>
      </c>
      <c r="E54" s="220">
        <f>INDEX(CountyDisbursementsFringeBenefits[],MATCH($A$3,CountyDisbursementsFringeBenefits[County]),MATCH(E50,CountyDisbursementsFringeBenefits[#Headers]))</f>
        <v>124246.21</v>
      </c>
      <c r="F54" s="220">
        <f>INDEX(CountyDisbursementsFringeBenefits[],MATCH($A$3,CountyDisbursementsFringeBenefits[County]),MATCH(F50,CountyDisbursementsFringeBenefits[#Headers]))</f>
        <v>146059.79999999999</v>
      </c>
      <c r="G54" s="220">
        <f>INDEX(CountyDisbursementsFringeBenefits[],MATCH($A$3,CountyDisbursementsFringeBenefits[County]),MATCH(G50,CountyDisbursementsFringeBenefits[#Headers]))</f>
        <v>154246.44</v>
      </c>
      <c r="H54" s="220">
        <f>INDEX(CountyDisbursementsFringeBenefits[],MATCH($A$3,CountyDisbursementsFringeBenefits[County]),MATCH(H50,CountyDisbursementsFringeBenefits[#Headers]))</f>
        <v>184919.41</v>
      </c>
      <c r="I54" s="220">
        <f>INDEX(CountyDisbursementsFringeBenefits[],MATCH($A$3,CountyDisbursementsFringeBenefits[County]),MATCH(I50,CountyDisbursementsFringeBenefits[#Headers]))</f>
        <v>165214.82999999999</v>
      </c>
      <c r="J54" s="220">
        <f>INDEX(CountyDisbursementsFringeBenefits[],MATCH($A$3,CountyDisbursementsFringeBenefits[County]),MATCH(J50,CountyDisbursementsFringeBenefits[#Headers]))</f>
        <v>175498.97</v>
      </c>
      <c r="K54" s="220">
        <f>INDEX(CountyDisbursementsFringeBenefits[],MATCH($A$3,CountyDisbursementsFringeBenefits[County]),MATCH(K50,CountyDisbursementsFringeBenefits[#Headers]))</f>
        <v>206813.76</v>
      </c>
      <c r="L54" s="220">
        <f>INDEX(CountyDisbursementsFringeBenefits[],MATCH($A$3,CountyDisbursementsFringeBenefits[County]),MATCH(L50,CountyDisbursementsFringeBenefits[#Headers]))</f>
        <v>208731.69</v>
      </c>
      <c r="M54" s="220">
        <f>INDEX(CountyDisbursementsFringeBenefits[],MATCH($A$3,CountyDisbursementsFringeBenefits[County]),MATCH(M50,CountyDisbursementsFringeBenefits[#Headers]))</f>
        <v>195808.85</v>
      </c>
      <c r="N54" s="220">
        <f>INDEX(CountyDisbursementsFringeBenefits[],MATCH($A$3,CountyDisbursementsFringeBenefits[County]),MATCH(N50,CountyDisbursementsFringeBenefits[#Headers]))</f>
        <v>193005.30000000002</v>
      </c>
      <c r="O54" s="220">
        <f>INDEX(CountyDisbursementsFringeBenefits[],MATCH($A$3,CountyDisbursementsFringeBenefits[County]),MATCH(O50,CountyDisbursementsFringeBenefits[#Headers]))</f>
        <v>200921.53</v>
      </c>
      <c r="P54" s="220">
        <f>INDEX(CountyDisbursementsFringeBenefits[],MATCH($A$3,CountyDisbursementsFringeBenefits[County]),MATCH(P50,CountyDisbursementsFringeBenefits[#Headers]))</f>
        <v>207298.31999999998</v>
      </c>
      <c r="Q54" s="220">
        <f>INDEX(CountyDisbursementsFringeBenefits[],MATCH($A$3,CountyDisbursementsFringeBenefits[County]),MATCH(Q50,CountyDisbursementsFringeBenefits[#Headers]))</f>
        <v>221984.17000000004</v>
      </c>
      <c r="R54" s="220">
        <f>INDEX(CountyDisbursementsFringeBenefits[],MATCH($A$3,CountyDisbursementsFringeBenefits[County]),MATCH(R50,CountyDisbursementsFringeBenefits[#Headers]))</f>
        <v>196901.35</v>
      </c>
      <c r="S54" s="366">
        <f>INDEX(CountyDisbursementsFringeBenefits[],MATCH($A$3,CountyDisbursementsFringeBenefits[County]),MATCH(S50,CountyDisbursementsFringeBenefits[#Headers]))</f>
        <v>204719.71</v>
      </c>
      <c r="T54" s="366">
        <f>INDEX(CountyDisbursementsFringeBenefits[],MATCH($A$3,CountyDisbursementsFringeBenefits[County]),MATCH(T50,CountyDisbursementsFringeBenefits[#Headers]))</f>
        <v>206657.53999999998</v>
      </c>
      <c r="U54" s="366">
        <f>INDEX(CountyDisbursementsFringeBenefits[],MATCH($A$3,CountyDisbursementsFringeBenefits[County]),MATCH(U50,CountyDisbursementsFringeBenefits[#Headers]))</f>
        <v>221705.42</v>
      </c>
      <c r="V54" s="366">
        <f>INDEX(CountyDisbursementsFringeBenefits[],MATCH($A$3,CountyDisbursementsFringeBenefits[County]),MATCH(V50,CountyDisbursementsFringeBenefits[#Headers]))</f>
        <v>206335.54</v>
      </c>
      <c r="W54" s="366">
        <f>INDEX(CountyDisbursementsFringeBenefits[],MATCH($A$3,CountyDisbursementsFringeBenefits[County]),MATCH(W50,CountyDisbursementsFringeBenefits[#Headers]))</f>
        <v>256736.64000000001</v>
      </c>
      <c r="X54" s="366"/>
      <c r="Y54" s="209"/>
      <c r="Z54" s="209"/>
      <c r="AA54" s="209"/>
      <c r="AB54" s="209"/>
      <c r="AC54" s="209"/>
      <c r="AD54" s="209"/>
      <c r="AE54" s="211"/>
      <c r="AF54" s="209"/>
      <c r="AG54" s="209"/>
      <c r="AH54" s="209"/>
      <c r="AI54" s="209"/>
      <c r="AJ54" s="209"/>
      <c r="AK54" s="209"/>
      <c r="AL54" s="209"/>
      <c r="AM54" s="209"/>
      <c r="AN54" s="209"/>
      <c r="AO54" s="211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11"/>
      <c r="BB54" s="209"/>
      <c r="BC54" s="209"/>
      <c r="BD54" s="209"/>
      <c r="BE54" s="209"/>
      <c r="BF54" s="533" t="s">
        <v>484</v>
      </c>
      <c r="BG54" s="533"/>
      <c r="BH54" s="533"/>
      <c r="BI54" s="533"/>
      <c r="BJ54" s="533"/>
      <c r="BK54" s="533"/>
      <c r="BL54" s="533"/>
      <c r="BM54" s="533"/>
      <c r="BN54" s="533"/>
      <c r="BO54" s="533"/>
      <c r="BP54" s="533"/>
      <c r="BQ54" s="533"/>
      <c r="BR54" s="533"/>
      <c r="BS54" s="533"/>
      <c r="BT54" s="534"/>
      <c r="BU54" s="209"/>
      <c r="BV54" s="209"/>
      <c r="BW54" s="209"/>
      <c r="BX54" s="209"/>
      <c r="BY54" s="209"/>
      <c r="BZ54" s="209"/>
      <c r="CA54" s="191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26"/>
      <c r="CQ54" s="215"/>
      <c r="CR54" s="215"/>
      <c r="CS54" s="215"/>
      <c r="CT54" s="215"/>
      <c r="DA54" s="216"/>
    </row>
    <row r="55" spans="1:105" s="208" customFormat="1" ht="16.5" customHeight="1">
      <c r="A55" s="220" t="s">
        <v>128</v>
      </c>
      <c r="B55" s="220">
        <f>INDEX(CountyDisbursementsProsecutingAttorney[],MATCH($A$3,CountyDisbursementsProsecutingAttorney[County]),MATCH(B50,CountyDisbursementsProsecutingAttorney[#Headers],0))</f>
        <v>87660.4</v>
      </c>
      <c r="C55" s="220">
        <f>INDEX(CountyDisbursementsProsecutingAttorney[],MATCH($A$3,CountyDisbursementsProsecutingAttorney[County]),MATCH(C50,CountyDisbursementsProsecutingAttorney[#Headers]))</f>
        <v>89764.9</v>
      </c>
      <c r="D55" s="220">
        <f>INDEX(CountyDisbursementsProsecutingAttorney[],MATCH($A$3,CountyDisbursementsProsecutingAttorney[County]),MATCH(D50,CountyDisbursementsProsecutingAttorney[#Headers]))</f>
        <v>103024.1</v>
      </c>
      <c r="E55" s="220">
        <f>INDEX(CountyDisbursementsProsecutingAttorney[],MATCH($A$3,CountyDisbursementsProsecutingAttorney[County]),MATCH(E50,CountyDisbursementsProsecutingAttorney[#Headers]))</f>
        <v>112951.1</v>
      </c>
      <c r="F55" s="220">
        <f>INDEX(CountyDisbursementsProsecutingAttorney[],MATCH($A$3,CountyDisbursementsProsecutingAttorney[County]),MATCH(F50,CountyDisbursementsProsecutingAttorney[#Headers]))</f>
        <v>121716.5</v>
      </c>
      <c r="G55" s="220">
        <f>INDEX(CountyDisbursementsProsecutingAttorney[],MATCH($A$3,CountyDisbursementsProsecutingAttorney[County]),MATCH(G50,CountyDisbursementsProsecutingAttorney[#Headers]))</f>
        <v>115684.83</v>
      </c>
      <c r="H55" s="220">
        <f>INDEX(CountyDisbursementsProsecutingAttorney[],MATCH($A$3,CountyDisbursementsProsecutingAttorney[County]),MATCH(H50,CountyDisbursementsProsecutingAttorney[#Headers]))</f>
        <v>128021.13</v>
      </c>
      <c r="I55" s="220">
        <f>INDEX(CountyDisbursementsProsecutingAttorney[],MATCH($A$3,CountyDisbursementsProsecutingAttorney[County]),MATCH(I50,CountyDisbursementsProsecutingAttorney[#Headers]))</f>
        <v>135175.76999999999</v>
      </c>
      <c r="J55" s="220">
        <f>INDEX(CountyDisbursementsProsecutingAttorney[],MATCH($A$3,CountyDisbursementsProsecutingAttorney[County]),MATCH(J50,CountyDisbursementsProsecutingAttorney[#Headers]))</f>
        <v>141335.22999999998</v>
      </c>
      <c r="K55" s="220">
        <f>INDEX(CountyDisbursementsProsecutingAttorney[],MATCH($A$3,CountyDisbursementsProsecutingAttorney[County]),MATCH(K50,CountyDisbursementsProsecutingAttorney[#Headers]))</f>
        <v>146037.94000000003</v>
      </c>
      <c r="L55" s="220">
        <f>INDEX(CountyDisbursementsProsecutingAttorney[],MATCH($A$3,CountyDisbursementsProsecutingAttorney[County]),MATCH(L50,CountyDisbursementsProsecutingAttorney[#Headers]))</f>
        <v>150049.21000000002</v>
      </c>
      <c r="M55" s="220">
        <f>INDEX(CountyDisbursementsProsecutingAttorney[],MATCH($A$3,CountyDisbursementsProsecutingAttorney[County]),MATCH(M50,CountyDisbursementsProsecutingAttorney[#Headers]))</f>
        <v>149242.5</v>
      </c>
      <c r="N55" s="220">
        <f>INDEX(CountyDisbursementsProsecutingAttorney[],MATCH($A$3,CountyDisbursementsProsecutingAttorney[County]),MATCH(N50,CountyDisbursementsProsecutingAttorney[#Headers]))</f>
        <v>149006.72000000003</v>
      </c>
      <c r="O55" s="220">
        <f>INDEX(CountyDisbursementsProsecutingAttorney[],MATCH($A$3,CountyDisbursementsProsecutingAttorney[County]),MATCH(O50,CountyDisbursementsProsecutingAttorney[#Headers]))</f>
        <v>153277.4</v>
      </c>
      <c r="P55" s="220">
        <f>INDEX(CountyDisbursementsProsecutingAttorney[],MATCH($A$3,CountyDisbursementsProsecutingAttorney[County]),MATCH(P50,CountyDisbursementsProsecutingAttorney[#Headers]))</f>
        <v>151357.26999999999</v>
      </c>
      <c r="Q55" s="220">
        <f>INDEX(CountyDisbursementsProsecutingAttorney[],MATCH($A$3,CountyDisbursementsProsecutingAttorney[County]),MATCH(Q50,CountyDisbursementsProsecutingAttorney[#Headers]))</f>
        <v>122705.11</v>
      </c>
      <c r="R55" s="220">
        <f>INDEX(CountyDisbursementsProsecutingAttorney[],MATCH($A$3,CountyDisbursementsProsecutingAttorney[County]),MATCH(R50,CountyDisbursementsProsecutingAttorney[#Headers]))</f>
        <v>128086.5</v>
      </c>
      <c r="S55" s="366">
        <f>INDEX(CountyDisbursementsProsecutingAttorney[],MATCH($A$3,CountyDisbursementsProsecutingAttorney[County]),MATCH(S50,CountyDisbursementsProsecutingAttorney[#Headers]))</f>
        <v>133189.03</v>
      </c>
      <c r="T55" s="366">
        <f>INDEX(CountyDisbursementsProsecutingAttorney[],MATCH($A$3,CountyDisbursementsProsecutingAttorney[County]),MATCH(T50,CountyDisbursementsProsecutingAttorney[#Headers]))</f>
        <v>142501.65000000002</v>
      </c>
      <c r="U55" s="366">
        <f>INDEX(CountyDisbursementsProsecutingAttorney[],MATCH($A$3,CountyDisbursementsProsecutingAttorney[County]),MATCH(U50,CountyDisbursementsProsecutingAttorney[#Headers]))</f>
        <v>154123.12000000002</v>
      </c>
      <c r="V55" s="366">
        <f>INDEX(CountyDisbursementsProsecutingAttorney[],MATCH($A$3,CountyDisbursementsProsecutingAttorney[County]),MATCH(V50,CountyDisbursementsProsecutingAttorney[#Headers]))</f>
        <v>155211.94</v>
      </c>
      <c r="W55" s="366">
        <f>INDEX(CountyDisbursementsProsecutingAttorney[],MATCH($A$3,CountyDisbursementsProsecutingAttorney[County]),MATCH(W50,CountyDisbursementsProsecutingAttorney[#Headers]))</f>
        <v>157858.45000000001</v>
      </c>
      <c r="X55" s="366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533"/>
      <c r="BG55" s="533"/>
      <c r="BH55" s="533"/>
      <c r="BI55" s="533"/>
      <c r="BJ55" s="533"/>
      <c r="BK55" s="533"/>
      <c r="BL55" s="533"/>
      <c r="BM55" s="533"/>
      <c r="BN55" s="533"/>
      <c r="BO55" s="533"/>
      <c r="BP55" s="533"/>
      <c r="BQ55" s="533"/>
      <c r="BR55" s="533"/>
      <c r="BS55" s="533"/>
      <c r="BT55" s="534"/>
      <c r="BU55" s="209"/>
      <c r="BV55" s="209"/>
      <c r="BW55" s="209"/>
      <c r="BX55" s="209"/>
      <c r="BY55" s="209"/>
      <c r="BZ55" s="209"/>
      <c r="CA55" s="191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26"/>
      <c r="CQ55" s="215"/>
      <c r="CR55" s="215"/>
      <c r="CS55" s="215"/>
      <c r="CT55" s="215"/>
    </row>
    <row r="56" spans="1:105" s="208" customFormat="1" ht="16.5" customHeight="1">
      <c r="A56" s="220" t="s">
        <v>257</v>
      </c>
      <c r="B56" s="220">
        <f>INDEX(CountyDisbursementsPublicAdministrator[],MATCH($A$3,CountyDisbursementsPublicAdministrator[County]),MATCH(B50,CountyDisbursementsPublicAdministrator[#Headers],0))</f>
        <v>26298.120000000003</v>
      </c>
      <c r="C56" s="220">
        <f>INDEX(CountyDisbursementsPublicAdministrator[],MATCH($A$3,CountyDisbursementsPublicAdministrator[County]),MATCH(C50,CountyDisbursementsPublicAdministrator[#Headers]))</f>
        <v>26929.47</v>
      </c>
      <c r="D56" s="220">
        <f>INDEX(CountyDisbursementsPublicAdministrator[],MATCH($A$3,CountyDisbursementsPublicAdministrator[County]),MATCH(D50,CountyDisbursementsPublicAdministrator[#Headers]))</f>
        <v>41209.64</v>
      </c>
      <c r="E56" s="220">
        <f>INDEX(CountyDisbursementsPublicAdministrator[],MATCH($A$3,CountyDisbursementsPublicAdministrator[County]),MATCH(E50,CountyDisbursementsPublicAdministrator[#Headers]))</f>
        <v>33885.33</v>
      </c>
      <c r="F56" s="220">
        <f>INDEX(CountyDisbursementsPublicAdministrator[],MATCH($A$3,CountyDisbursementsPublicAdministrator[County]),MATCH(F50,CountyDisbursementsPublicAdministrator[#Headers]))</f>
        <v>48686.6</v>
      </c>
      <c r="G56" s="220">
        <f>INDEX(CountyDisbursementsPublicAdministrator[],MATCH($A$3,CountyDisbursementsPublicAdministrator[County]),MATCH(G50,CountyDisbursementsPublicAdministrator[#Headers]))</f>
        <v>51415.48</v>
      </c>
      <c r="H56" s="220">
        <f>INDEX(CountyDisbursementsPublicAdministrator[],MATCH($A$3,CountyDisbursementsPublicAdministrator[County]),MATCH(H50,CountyDisbursementsPublicAdministrator[#Headers]))</f>
        <v>56898.28</v>
      </c>
      <c r="I56" s="220">
        <f>INDEX(CountyDisbursementsPublicAdministrator[],MATCH($A$3,CountyDisbursementsPublicAdministrator[County]),MATCH(I50,CountyDisbursementsPublicAdministrator[#Headers]))</f>
        <v>45058.590000000004</v>
      </c>
      <c r="J56" s="220">
        <f>INDEX(CountyDisbursementsPublicAdministrator[],MATCH($A$3,CountyDisbursementsPublicAdministrator[County]),MATCH(J50,CountyDisbursementsPublicAdministrator[#Headers]))</f>
        <v>45798.27</v>
      </c>
      <c r="K56" s="220">
        <f>INDEX(CountyDisbursementsPublicAdministrator[],MATCH($A$3,CountyDisbursementsPublicAdministrator[County]),MATCH(K50,CountyDisbursementsPublicAdministrator[#Headers]))</f>
        <v>48884.3</v>
      </c>
      <c r="L56" s="220">
        <f>INDEX(CountyDisbursementsPublicAdministrator[],MATCH($A$3,CountyDisbursementsPublicAdministrator[County]),MATCH(L50,CountyDisbursementsPublicAdministrator[#Headers]))</f>
        <v>48375.259999999995</v>
      </c>
      <c r="M56" s="220">
        <f>INDEX(CountyDisbursementsPublicAdministrator[],MATCH($A$3,CountyDisbursementsPublicAdministrator[County]),MATCH(M50,CountyDisbursementsPublicAdministrator[#Headers]))</f>
        <v>51141.37</v>
      </c>
      <c r="N56" s="220">
        <f>INDEX(CountyDisbursementsPublicAdministrator[],MATCH($A$3,CountyDisbursementsPublicAdministrator[County]),MATCH(N50,CountyDisbursementsPublicAdministrator[#Headers]))</f>
        <v>51631.100000000006</v>
      </c>
      <c r="O56" s="220">
        <f>INDEX(CountyDisbursementsPublicAdministrator[],MATCH($A$3,CountyDisbursementsPublicAdministrator[County]),MATCH(O50,CountyDisbursementsPublicAdministrator[#Headers]))</f>
        <v>56012.82</v>
      </c>
      <c r="P56" s="220">
        <f>INDEX(CountyDisbursementsPublicAdministrator[],MATCH($A$3,CountyDisbursementsPublicAdministrator[County]),MATCH(P50,CountyDisbursementsPublicAdministrator[#Headers]))</f>
        <v>53948.91</v>
      </c>
      <c r="Q56" s="220">
        <f>INDEX(CountyDisbursementsPublicAdministrator[],MATCH($A$3,CountyDisbursementsPublicAdministrator[County]),MATCH(Q50,CountyDisbursementsPublicAdministrator[#Headers]))</f>
        <v>56226.41</v>
      </c>
      <c r="R56" s="220">
        <f>INDEX(CountyDisbursementsPublicAdministrator[],MATCH($A$3,CountyDisbursementsPublicAdministrator[County]),MATCH(R50,CountyDisbursementsPublicAdministrator[#Headers]))</f>
        <v>55696.78</v>
      </c>
      <c r="S56" s="366">
        <f>INDEX(CountyDisbursementsPublicAdministrator[],MATCH($A$3,CountyDisbursementsPublicAdministrator[County]),MATCH(S50,CountyDisbursementsPublicAdministrator[#Headers]))</f>
        <v>58441.24</v>
      </c>
      <c r="T56" s="366">
        <f>INDEX(CountyDisbursementsPublicAdministrator[],MATCH($A$3,CountyDisbursementsPublicAdministrator[County]),MATCH(T50,CountyDisbursementsPublicAdministrator[#Headers]))</f>
        <v>58715.94</v>
      </c>
      <c r="U56" s="366">
        <f>INDEX(CountyDisbursementsPublicAdministrator[],MATCH($A$3,CountyDisbursementsPublicAdministrator[County]),MATCH(U50,CountyDisbursementsPublicAdministrator[#Headers]))</f>
        <v>58614.53</v>
      </c>
      <c r="V56" s="366">
        <f>INDEX(CountyDisbursementsPublicAdministrator[],MATCH($A$3,CountyDisbursementsPublicAdministrator[County]),MATCH(V50,CountyDisbursementsPublicAdministrator[#Headers]))</f>
        <v>58859.660000000011</v>
      </c>
      <c r="W56" s="366">
        <f>INDEX(CountyDisbursementsPublicAdministrator[],MATCH($A$3,CountyDisbursementsPublicAdministrator[County]),MATCH(W50,CountyDisbursementsPublicAdministrator[#Headers]))</f>
        <v>60515</v>
      </c>
      <c r="X56" s="366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191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26"/>
      <c r="CQ56" s="215"/>
      <c r="CR56" s="215"/>
      <c r="CS56" s="215"/>
      <c r="CT56" s="215"/>
    </row>
    <row r="57" spans="1:105" s="208" customFormat="1" ht="16.5" customHeight="1">
      <c r="A57" s="220" t="s">
        <v>256</v>
      </c>
      <c r="B57" s="220">
        <f>INDEX(CountyDisbursementsHealthWelfare[],MATCH($A$3,CountyDisbursementsHealthWelfare[County]),MATCH(B50,CountyDisbursementsHealthWelfare[#Headers],0))</f>
        <v>175320.8</v>
      </c>
      <c r="C57" s="220">
        <f>INDEX(CountyDisbursementsHealthWelfare[],MATCH($A$3,CountyDisbursementsHealthWelfare[County]),MATCH(C50,CountyDisbursementsHealthWelfare[#Headers]))</f>
        <v>107717.88</v>
      </c>
      <c r="D57" s="220">
        <f>INDEX(CountyDisbursementsHealthWelfare[],MATCH($A$3,CountyDisbursementsHealthWelfare[County]),MATCH(D50,CountyDisbursementsHealthWelfare[#Headers]))</f>
        <v>103024.1</v>
      </c>
      <c r="E57" s="220">
        <f>INDEX(CountyDisbursementsHealthWelfare[],MATCH($A$3,CountyDisbursementsHealthWelfare[County]),MATCH(E50,CountyDisbursementsHealthWelfare[#Headers]))</f>
        <v>90360.88</v>
      </c>
      <c r="F57" s="220">
        <f>INDEX(CountyDisbursementsHealthWelfare[],MATCH($A$3,CountyDisbursementsHealthWelfare[County]),MATCH(F50,CountyDisbursementsHealthWelfare[#Headers]))</f>
        <v>133888.15</v>
      </c>
      <c r="G57" s="220">
        <f>INDEX(CountyDisbursementsHealthWelfare[],MATCH($A$3,CountyDisbursementsHealthWelfare[County]),MATCH(G50,CountyDisbursementsHealthWelfare[#Headers]))</f>
        <v>141392.57</v>
      </c>
      <c r="H57" s="220">
        <f>INDEX(CountyDisbursementsHealthWelfare[],MATCH($A$3,CountyDisbursementsHealthWelfare[County]),MATCH(H50,CountyDisbursementsHealthWelfare[#Headers]))</f>
        <v>156470.26999999999</v>
      </c>
      <c r="I57" s="220">
        <f>INDEX(CountyDisbursementsHealthWelfare[],MATCH($A$3,CountyDisbursementsHealthWelfare[County]),MATCH(I50,CountyDisbursementsHealthWelfare[#Headers]))</f>
        <v>300390.59999999998</v>
      </c>
      <c r="J57" s="220">
        <f>INDEX(CountyDisbursementsHealthWelfare[],MATCH($A$3,CountyDisbursementsHealthWelfare[County]),MATCH(J50,CountyDisbursementsHealthWelfare[#Headers]))</f>
        <v>459010.63000000006</v>
      </c>
      <c r="K57" s="220">
        <f>INDEX(CountyDisbursementsHealthWelfare[],MATCH($A$3,CountyDisbursementsHealthWelfare[County]),MATCH(K50,CountyDisbursementsHealthWelfare[#Headers]))</f>
        <v>264662.74</v>
      </c>
      <c r="L57" s="220">
        <f>INDEX(CountyDisbursementsHealthWelfare[],MATCH($A$3,CountyDisbursementsHealthWelfare[County]),MATCH(L50,CountyDisbursementsHealthWelfare[#Headers]))</f>
        <v>166694.44</v>
      </c>
      <c r="M57" s="220">
        <f>INDEX(CountyDisbursementsHealthWelfare[],MATCH($A$3,CountyDisbursementsHealthWelfare[County]),MATCH(M50,CountyDisbursementsHealthWelfare[#Headers]))</f>
        <v>168852.24</v>
      </c>
      <c r="N57" s="220">
        <f>INDEX(CountyDisbursementsHealthWelfare[],MATCH($A$3,CountyDisbursementsHealthWelfare[County]),MATCH(N50,CountyDisbursementsHealthWelfare[#Headers]))</f>
        <v>177083.23</v>
      </c>
      <c r="O57" s="220">
        <f>INDEX(CountyDisbursementsHealthWelfare[],MATCH($A$3,CountyDisbursementsHealthWelfare[County]),MATCH(O50,CountyDisbursementsHealthWelfare[#Headers]))</f>
        <v>189707.15</v>
      </c>
      <c r="P57" s="220">
        <f>INDEX(CountyDisbursementsHealthWelfare[],MATCH($A$3,CountyDisbursementsHealthWelfare[County]),MATCH(P50,CountyDisbursementsHealthWelfare[#Headers]))</f>
        <v>170103.97</v>
      </c>
      <c r="Q57" s="220">
        <f>INDEX(CountyDisbursementsHealthWelfare[],MATCH($A$3,CountyDisbursementsHealthWelfare[County]),MATCH(Q50,CountyDisbursementsHealthWelfare[#Headers]))</f>
        <v>221452.83000000002</v>
      </c>
      <c r="R57" s="220">
        <f>INDEX(CountyDisbursementsHealthWelfare[],MATCH($A$3,CountyDisbursementsHealthWelfare[County]),MATCH(R50,CountyDisbursementsHealthWelfare[#Headers]))</f>
        <v>194942.25</v>
      </c>
      <c r="S57" s="366">
        <f>INDEX(CountyDisbursementsHealthWelfare[],MATCH($A$3,CountyDisbursementsHealthWelfare[County]),MATCH(S50,CountyDisbursementsHealthWelfare[#Headers]))</f>
        <v>160745.05000000002</v>
      </c>
      <c r="T57" s="366">
        <f>INDEX(CountyDisbursementsHealthWelfare[],MATCH($A$3,CountyDisbursementsHealthWelfare[County]),MATCH(T50,CountyDisbursementsHealthWelfare[#Headers]))</f>
        <v>200106.09</v>
      </c>
      <c r="U57" s="366">
        <f>INDEX(CountyDisbursementsHealthWelfare[],MATCH($A$3,CountyDisbursementsHealthWelfare[County]),MATCH(U50,CountyDisbursementsHealthWelfare[#Headers]))</f>
        <v>194471.95</v>
      </c>
      <c r="V57" s="366">
        <f>INDEX(CountyDisbursementsHealthWelfare[],MATCH($A$3,CountyDisbursementsHealthWelfare[County]),MATCH(V50,CountyDisbursementsHealthWelfare[#Headers]))</f>
        <v>212526.97000000003</v>
      </c>
      <c r="W57" s="366">
        <f>INDEX(CountyDisbursementsHealthWelfare[],MATCH($A$3,CountyDisbursementsHealthWelfare[County]),MATCH(W50,CountyDisbursementsHealthWelfare[#Headers]))</f>
        <v>243693.05</v>
      </c>
      <c r="X57" s="366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11"/>
      <c r="BU57" s="209"/>
      <c r="BV57" s="209"/>
      <c r="BW57" s="209"/>
      <c r="BX57" s="209"/>
      <c r="BY57" s="209"/>
      <c r="BZ57" s="209"/>
      <c r="CA57" s="191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26"/>
      <c r="CQ57" s="215"/>
      <c r="CR57" s="215"/>
      <c r="CS57" s="215"/>
      <c r="CT57" s="215"/>
    </row>
    <row r="58" spans="1:105" s="208" customFormat="1" ht="16.5" customHeight="1">
      <c r="A58" s="220" t="s">
        <v>132</v>
      </c>
      <c r="B58" s="220">
        <f>INDEX(CountyDisbursementsOperatingTransfers[],MATCH($A$3,CountyDisbursementsOperatingTransfers[County]),MATCH(B50,CountyDisbursementsOperatingTransfers[#Headers],0))</f>
        <v>26298.12</v>
      </c>
      <c r="C58" s="220">
        <f>INDEX(CountyDisbursementsOperatingTransfers[],MATCH($A$3,CountyDisbursementsOperatingTransfers[County]),MATCH(C50,CountyDisbursementsOperatingTransfers[#Headers]))</f>
        <v>44882.45</v>
      </c>
      <c r="D58" s="220">
        <f>INDEX(CountyDisbursementsOperatingTransfers[],MATCH($A$3,CountyDisbursementsOperatingTransfers[County]),MATCH(D50,CountyDisbursementsOperatingTransfers[#Headers]))</f>
        <v>30907.23</v>
      </c>
      <c r="E58" s="220">
        <f>INDEX(CountyDisbursementsOperatingTransfers[],MATCH($A$3,CountyDisbursementsOperatingTransfers[County]),MATCH(E50,CountyDisbursementsOperatingTransfers[#Headers]))</f>
        <v>56475.55</v>
      </c>
      <c r="F58" s="220">
        <f>INDEX(CountyDisbursementsOperatingTransfers[],MATCH($A$3,CountyDisbursementsOperatingTransfers[County]),MATCH(F50,CountyDisbursementsOperatingTransfers[#Headers]))</f>
        <v>36514.949999999997</v>
      </c>
      <c r="G58" s="220">
        <f>INDEX(CountyDisbursementsOperatingTransfers[],MATCH($A$3,CountyDisbursementsOperatingTransfers[County]),MATCH(G50,CountyDisbursementsOperatingTransfers[#Headers]))</f>
        <v>38561.61</v>
      </c>
      <c r="H58" s="220">
        <f>INDEX(CountyDisbursementsOperatingTransfers[],MATCH($A$3,CountyDisbursementsOperatingTransfers[County]),MATCH(H50,CountyDisbursementsOperatingTransfers[#Headers]))</f>
        <v>42673.71</v>
      </c>
      <c r="I58" s="220">
        <f>INDEX(CountyDisbursementsOperatingTransfers[],MATCH($A$3,CountyDisbursementsOperatingTransfers[County]),MATCH(I50,CountyDisbursementsOperatingTransfers[#Headers]))</f>
        <v>75097.649999999994</v>
      </c>
      <c r="J58" s="220">
        <f>INDEX(CountyDisbursementsOperatingTransfers[],MATCH($A$3,CountyDisbursementsOperatingTransfers[County]),MATCH(J50,CountyDisbursementsOperatingTransfers[#Headers]))</f>
        <v>52158.36</v>
      </c>
      <c r="K58" s="220">
        <f>INDEX(CountyDisbursementsOperatingTransfers[],MATCH($A$3,CountyDisbursementsOperatingTransfers[County]),MATCH(K50,CountyDisbursementsOperatingTransfers[#Headers]))</f>
        <v>49199.5</v>
      </c>
      <c r="L58" s="220">
        <f>INDEX(CountyDisbursementsOperatingTransfers[],MATCH($A$3,CountyDisbursementsOperatingTransfers[County]),MATCH(L50,CountyDisbursementsOperatingTransfers[#Headers]))</f>
        <v>149261.76000000001</v>
      </c>
      <c r="M58" s="220">
        <f>INDEX(CountyDisbursementsOperatingTransfers[],MATCH($A$3,CountyDisbursementsOperatingTransfers[County]),MATCH(M50,CountyDisbursementsOperatingTransfers[#Headers]))</f>
        <v>59000.57</v>
      </c>
      <c r="N58" s="220">
        <f>INDEX(CountyDisbursementsOperatingTransfers[],MATCH($A$3,CountyDisbursementsOperatingTransfers[County]),MATCH(N50,CountyDisbursementsOperatingTransfers[#Headers]))</f>
        <v>54190.280000000006</v>
      </c>
      <c r="O58" s="220">
        <f>INDEX(CountyDisbursementsOperatingTransfers[],MATCH($A$3,CountyDisbursementsOperatingTransfers[County]),MATCH(O50,CountyDisbursementsOperatingTransfers[#Headers]))</f>
        <v>58331.68</v>
      </c>
      <c r="P58" s="220">
        <f>INDEX(CountyDisbursementsOperatingTransfers[],MATCH($A$3,CountyDisbursementsOperatingTransfers[County]),MATCH(P50,CountyDisbursementsOperatingTransfers[#Headers]))</f>
        <v>56966.340000000004</v>
      </c>
      <c r="Q58" s="220">
        <f>INDEX(CountyDisbursementsOperatingTransfers[],MATCH($A$3,CountyDisbursementsOperatingTransfers[County]),MATCH(Q50,CountyDisbursementsOperatingTransfers[#Headers]))</f>
        <v>59826.180000000008</v>
      </c>
      <c r="R58" s="220">
        <f>INDEX(CountyDisbursementsOperatingTransfers[],MATCH($A$3,CountyDisbursementsOperatingTransfers[County]),MATCH(R50,CountyDisbursementsOperatingTransfers[#Headers]))</f>
        <v>36720</v>
      </c>
      <c r="S58" s="366">
        <f>INDEX(CountyDisbursementsOperatingTransfers[],MATCH($A$3,CountyDisbursementsOperatingTransfers[County]),MATCH(S50,CountyDisbursementsOperatingTransfers[#Headers]))</f>
        <v>38738.339999999997</v>
      </c>
      <c r="T58" s="366">
        <f>INDEX(CountyDisbursementsOperatingTransfers[],MATCH($A$3,CountyDisbursementsOperatingTransfers[County]),MATCH(T50,CountyDisbursementsOperatingTransfers[#Headers]))</f>
        <v>43337.95</v>
      </c>
      <c r="U58" s="366">
        <f>INDEX(CountyDisbursementsOperatingTransfers[],MATCH($A$3,CountyDisbursementsOperatingTransfers[County]),MATCH(U50,CountyDisbursementsOperatingTransfers[#Headers]))</f>
        <v>55220</v>
      </c>
      <c r="V58" s="366">
        <f>INDEX(CountyDisbursementsOperatingTransfers[],MATCH($A$3,CountyDisbursementsOperatingTransfers[County]),MATCH(V50,CountyDisbursementsOperatingTransfers[#Headers]))</f>
        <v>51404.67</v>
      </c>
      <c r="W58" s="366">
        <f>INDEX(CountyDisbursementsOperatingTransfers[],MATCH($A$3,CountyDisbursementsOperatingTransfers[County]),MATCH(W50,CountyDisbursementsOperatingTransfers[#Headers]))</f>
        <v>48507</v>
      </c>
      <c r="X58" s="366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191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26"/>
      <c r="CQ58" s="215"/>
      <c r="CR58" s="215"/>
      <c r="CS58" s="215"/>
      <c r="CT58" s="215"/>
    </row>
    <row r="59" spans="1:105" s="208" customFormat="1" ht="16.5" customHeight="1">
      <c r="A59" s="220"/>
      <c r="B59" s="220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191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26"/>
      <c r="CQ59" s="215"/>
      <c r="CR59" s="215"/>
      <c r="CS59" s="215"/>
      <c r="CT59" s="215"/>
    </row>
    <row r="60" spans="1:105" s="208" customFormat="1" ht="16.5" customHeight="1">
      <c r="A60" s="220"/>
      <c r="B60" s="220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191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26"/>
      <c r="CQ60" s="215"/>
      <c r="CR60" s="215"/>
      <c r="CS60" s="215"/>
      <c r="CT60" s="215"/>
    </row>
    <row r="61" spans="1:105" ht="18">
      <c r="A61" s="220"/>
      <c r="B61" s="220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4"/>
    </row>
    <row r="62" spans="1:105" ht="18">
      <c r="A62" s="220"/>
      <c r="B62" s="220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4"/>
    </row>
    <row r="63" spans="1:105" ht="18">
      <c r="A63" s="220"/>
      <c r="B63" s="220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4"/>
    </row>
    <row r="64" spans="1:105" ht="18">
      <c r="A64" s="220"/>
      <c r="B64" s="220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4"/>
    </row>
    <row r="65" spans="1:94" ht="18">
      <c r="A65" s="220"/>
      <c r="B65" s="220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4"/>
    </row>
    <row r="66" spans="1:94" ht="18">
      <c r="A66" s="220"/>
      <c r="B66" s="220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4"/>
    </row>
    <row r="67" spans="1:94" ht="16.5" customHeight="1">
      <c r="H67" s="17" t="s">
        <v>94</v>
      </c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4"/>
    </row>
    <row r="68" spans="1:94"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4"/>
    </row>
    <row r="69" spans="1:94"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4"/>
      <c r="CH69" s="19"/>
      <c r="CI69" s="19"/>
      <c r="CJ69" s="19"/>
      <c r="CK69" s="19"/>
      <c r="CL69" s="19"/>
      <c r="CM69" s="19"/>
      <c r="CN69" s="19"/>
      <c r="CO69" s="19"/>
      <c r="CP69" s="19"/>
    </row>
    <row r="70" spans="1:94">
      <c r="A70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4"/>
      <c r="CH70" s="19"/>
      <c r="CI70" s="19"/>
      <c r="CJ70" s="19"/>
      <c r="CK70" s="19"/>
      <c r="CL70" s="19"/>
      <c r="CM70" s="19"/>
      <c r="CN70" s="19"/>
      <c r="CO70" s="19"/>
      <c r="CP70" s="19"/>
    </row>
    <row r="71" spans="1:94"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4"/>
    </row>
    <row r="72" spans="1:94"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4"/>
    </row>
    <row r="73" spans="1:94"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4"/>
    </row>
    <row r="74" spans="1:94"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4"/>
    </row>
    <row r="75" spans="1:94"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4"/>
    </row>
    <row r="76" spans="1:94"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4"/>
    </row>
    <row r="77" spans="1:94"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4"/>
    </row>
    <row r="78" spans="1:94"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4"/>
    </row>
    <row r="79" spans="1:94"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4"/>
    </row>
    <row r="80" spans="1:94"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4"/>
    </row>
    <row r="81" spans="2:79" ht="17.25" customHeight="1">
      <c r="B81" s="22"/>
      <c r="Y81" s="77"/>
      <c r="Z81" s="77"/>
      <c r="AA81" s="77"/>
      <c r="AB81" s="77"/>
      <c r="AC81" s="77"/>
      <c r="AD81" s="77"/>
      <c r="AE81" s="78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8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4"/>
    </row>
    <row r="82" spans="2:79" ht="14">
      <c r="B82" s="22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4"/>
    </row>
    <row r="83" spans="2:79" ht="14">
      <c r="B83" s="22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4"/>
    </row>
    <row r="84" spans="2:79" ht="18" customHeight="1">
      <c r="B84" s="22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8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4"/>
    </row>
    <row r="85" spans="2:79" ht="15" customHeight="1">
      <c r="B85" s="22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4"/>
    </row>
    <row r="86" spans="2:79" ht="14">
      <c r="B86" s="22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4"/>
    </row>
    <row r="87" spans="2:79"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4"/>
    </row>
    <row r="88" spans="2:79" ht="14">
      <c r="B88" s="22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4"/>
    </row>
    <row r="89" spans="2:79" ht="14">
      <c r="B89" s="22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4"/>
    </row>
    <row r="90" spans="2:79"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4"/>
    </row>
    <row r="91" spans="2:79" ht="15" customHeight="1"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4"/>
      <c r="CA91" s="74"/>
    </row>
    <row r="92" spans="2:79"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4"/>
      <c r="CA92" s="74"/>
    </row>
    <row r="93" spans="2:79"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4"/>
      <c r="CA93" s="74"/>
    </row>
    <row r="94" spans="2:79"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4"/>
      <c r="CA94" s="74"/>
    </row>
    <row r="95" spans="2:79"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4"/>
      <c r="CA95" s="74"/>
    </row>
    <row r="108" spans="31:31" ht="15" customHeight="1">
      <c r="AE108" s="21"/>
    </row>
    <row r="113" spans="41:41" ht="18" customHeight="1">
      <c r="AO113" s="21"/>
    </row>
    <row r="129" spans="2:41">
      <c r="B129" s="20"/>
    </row>
    <row r="134" spans="2:41" ht="14">
      <c r="AE134" s="21"/>
    </row>
    <row r="144" spans="2:41" ht="14">
      <c r="AO144" s="21"/>
    </row>
  </sheetData>
  <mergeCells count="12">
    <mergeCell ref="A1:C1"/>
    <mergeCell ref="E2:N2"/>
    <mergeCell ref="E3:N3"/>
    <mergeCell ref="E4:N4"/>
    <mergeCell ref="E5:N5"/>
    <mergeCell ref="E6:N6"/>
    <mergeCell ref="A20:D20"/>
    <mergeCell ref="A31:D31"/>
    <mergeCell ref="A10:D10"/>
    <mergeCell ref="A49:D49"/>
    <mergeCell ref="A40:D40"/>
    <mergeCell ref="A36:D36"/>
  </mergeCells>
  <phoneticPr fontId="3" type="noConversion"/>
  <dataValidations count="1">
    <dataValidation type="list" allowBlank="1" showInputMessage="1" showErrorMessage="1" sqref="A3" xr:uid="{00000000-0002-0000-0300-000000000000}">
      <formula1>List</formula1>
    </dataValidation>
  </dataValidations>
  <pageMargins left="0.75" right="0.75" top="1" bottom="1" header="0.5" footer="0.5"/>
  <pageSetup orientation="portrait" horizontalDpi="4294967293" verticalDpi="300" r:id="rId1"/>
  <headerFooter alignWithMargins="0"/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indexed="13"/>
  </sheetPr>
  <dimension ref="A1:BW83"/>
  <sheetViews>
    <sheetView zoomScale="80" zoomScaleNormal="80" workbookViewId="0">
      <selection activeCell="A3" sqref="A3"/>
    </sheetView>
  </sheetViews>
  <sheetFormatPr baseColWidth="10" defaultColWidth="8.83203125" defaultRowHeight="13"/>
  <cols>
    <col min="1" max="1" width="35.83203125" customWidth="1"/>
    <col min="2" max="2" width="17.1640625" customWidth="1"/>
    <col min="3" max="3" width="17.5" customWidth="1"/>
    <col min="4" max="4" width="17.33203125" customWidth="1"/>
    <col min="5" max="5" width="17.1640625" customWidth="1"/>
    <col min="6" max="7" width="18" customWidth="1"/>
    <col min="8" max="8" width="17.33203125" customWidth="1"/>
    <col min="9" max="9" width="18.1640625" customWidth="1"/>
    <col min="10" max="10" width="17.1640625" customWidth="1"/>
    <col min="11" max="11" width="17" customWidth="1"/>
    <col min="12" max="12" width="19.1640625" customWidth="1"/>
    <col min="13" max="15" width="17.83203125" customWidth="1"/>
    <col min="16" max="18" width="17.83203125" style="148" customWidth="1"/>
    <col min="19" max="19" width="19" customWidth="1"/>
    <col min="20" max="23" width="19" style="799" customWidth="1"/>
    <col min="25" max="25" width="11.6640625" style="2" customWidth="1"/>
    <col min="26" max="58" width="8.83203125" style="2"/>
    <col min="59" max="59" width="10.83203125" style="2" customWidth="1"/>
    <col min="60" max="74" width="8.83203125" style="2"/>
  </cols>
  <sheetData>
    <row r="1" spans="1:75" ht="37">
      <c r="A1" s="31" t="s">
        <v>250</v>
      </c>
      <c r="D1" s="2"/>
      <c r="E1" s="38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</row>
    <row r="2" spans="1:75" ht="24" thickBot="1">
      <c r="A2" s="9" t="s">
        <v>140</v>
      </c>
      <c r="E2" s="24" t="s">
        <v>249</v>
      </c>
      <c r="F2" s="24"/>
      <c r="G2" s="24"/>
      <c r="H2" s="24"/>
      <c r="I2" s="141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7"/>
      <c r="AJ2" s="537"/>
      <c r="AK2" s="537"/>
      <c r="AL2" s="537"/>
      <c r="AM2" s="537"/>
      <c r="AN2" s="537"/>
      <c r="AO2" s="537"/>
      <c r="AP2" s="535" t="s">
        <v>487</v>
      </c>
      <c r="AQ2" s="537"/>
      <c r="AR2" s="537"/>
      <c r="AS2" s="537"/>
      <c r="AT2" s="537"/>
      <c r="AU2" s="537"/>
      <c r="AV2" s="537"/>
      <c r="AW2" s="537"/>
      <c r="AX2" s="537"/>
      <c r="AY2" s="537"/>
      <c r="AZ2" s="537"/>
      <c r="BA2" s="537"/>
      <c r="BB2" s="537"/>
      <c r="BC2" s="537"/>
      <c r="BD2" s="537"/>
      <c r="BE2" s="537"/>
      <c r="BF2" s="537"/>
      <c r="BG2" s="537" t="s">
        <v>178</v>
      </c>
      <c r="BH2" s="537"/>
      <c r="BI2" s="537"/>
      <c r="BJ2" s="537"/>
      <c r="BK2" s="537"/>
      <c r="BL2" s="537"/>
      <c r="BM2" s="537"/>
      <c r="BN2" s="537"/>
      <c r="BO2" s="537"/>
      <c r="BP2" s="537"/>
      <c r="BQ2" s="537"/>
      <c r="BR2" s="537"/>
      <c r="BS2" s="537"/>
      <c r="BT2" s="537"/>
      <c r="BU2" s="74"/>
      <c r="BV2" s="74"/>
      <c r="BW2" s="74"/>
    </row>
    <row r="3" spans="1:75" ht="23.25" customHeight="1" thickTop="1" thickBot="1">
      <c r="A3" s="230" t="s">
        <v>62</v>
      </c>
      <c r="C3" s="13"/>
      <c r="E3" s="14"/>
      <c r="F3" s="14"/>
      <c r="G3" s="14"/>
      <c r="H3" s="14"/>
      <c r="Y3" s="535" t="s">
        <v>150</v>
      </c>
      <c r="Z3" s="537"/>
      <c r="AA3" s="537"/>
      <c r="AB3" s="537"/>
      <c r="AC3" s="537"/>
      <c r="AD3" s="537"/>
      <c r="AE3" s="537"/>
      <c r="AF3" s="537"/>
      <c r="AG3" s="537"/>
      <c r="AH3" s="537"/>
      <c r="AI3" s="537"/>
      <c r="AJ3" s="537"/>
      <c r="AK3" s="537"/>
      <c r="AL3" s="537"/>
      <c r="AM3" s="537"/>
      <c r="AN3" s="537"/>
      <c r="AO3" s="537"/>
      <c r="AP3" s="537"/>
      <c r="AQ3" s="537"/>
      <c r="AR3" s="537"/>
      <c r="AS3" s="537"/>
      <c r="AT3" s="537"/>
      <c r="AU3" s="537"/>
      <c r="AV3" s="537"/>
      <c r="AW3" s="537"/>
      <c r="AX3" s="537"/>
      <c r="AY3" s="537"/>
      <c r="AZ3" s="537"/>
      <c r="BA3" s="537"/>
      <c r="BB3" s="537"/>
      <c r="BC3" s="537"/>
      <c r="BD3" s="537"/>
      <c r="BE3" s="537"/>
      <c r="BF3" s="537"/>
      <c r="BG3" s="537" t="s">
        <v>263</v>
      </c>
      <c r="BH3" s="537"/>
      <c r="BI3" s="537"/>
      <c r="BJ3" s="537"/>
      <c r="BK3" s="537"/>
      <c r="BL3" s="537"/>
      <c r="BM3" s="537"/>
      <c r="BN3" s="537"/>
      <c r="BO3" s="537"/>
      <c r="BP3" s="537"/>
      <c r="BQ3" s="537"/>
      <c r="BR3" s="537"/>
      <c r="BS3" s="537"/>
      <c r="BT3" s="537"/>
      <c r="BU3" s="74"/>
      <c r="BV3" s="74"/>
      <c r="BW3" s="74"/>
    </row>
    <row r="4" spans="1:75" ht="24" customHeight="1" thickTop="1">
      <c r="E4" s="830" t="s">
        <v>321</v>
      </c>
      <c r="F4" s="831"/>
      <c r="G4" s="831"/>
      <c r="H4" s="831"/>
      <c r="I4" s="831"/>
      <c r="J4" s="408"/>
      <c r="K4" s="408"/>
      <c r="L4" s="153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5" t="s">
        <v>485</v>
      </c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74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74"/>
      <c r="BV4" s="74"/>
      <c r="BW4" s="74"/>
    </row>
    <row r="5" spans="1:75" ht="23.25" customHeight="1">
      <c r="B5" s="8"/>
      <c r="C5" s="8"/>
      <c r="D5" s="8"/>
      <c r="E5" s="830" t="s">
        <v>533</v>
      </c>
      <c r="F5" s="832"/>
      <c r="G5" s="832"/>
      <c r="H5" s="832"/>
      <c r="I5" s="832"/>
      <c r="J5" s="158"/>
      <c r="K5" s="158"/>
      <c r="L5" s="162"/>
      <c r="M5" s="8"/>
      <c r="N5" s="8"/>
      <c r="O5" s="8"/>
      <c r="P5" s="8"/>
      <c r="Q5" s="8"/>
      <c r="R5" s="8"/>
      <c r="Y5" s="537" t="s">
        <v>477</v>
      </c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5" t="s">
        <v>486</v>
      </c>
      <c r="AQ5" s="537"/>
      <c r="AR5" s="537"/>
      <c r="AS5" s="537"/>
      <c r="AT5" s="537"/>
      <c r="AU5" s="537"/>
      <c r="AV5" s="537"/>
      <c r="AW5" s="537"/>
      <c r="AX5" s="537"/>
      <c r="AY5" s="537"/>
      <c r="AZ5" s="537"/>
      <c r="BA5" s="537"/>
      <c r="BB5" s="537"/>
      <c r="BC5" s="537"/>
      <c r="BD5" s="537"/>
      <c r="BE5" s="537"/>
      <c r="BF5" s="537"/>
      <c r="BG5" s="537" t="s">
        <v>488</v>
      </c>
      <c r="BH5" s="537"/>
      <c r="BI5" s="537"/>
      <c r="BJ5" s="537"/>
      <c r="BK5" s="537"/>
      <c r="BL5" s="537"/>
      <c r="BM5" s="537"/>
      <c r="BN5" s="537"/>
      <c r="BO5" s="537"/>
      <c r="BP5" s="537"/>
      <c r="BQ5" s="537"/>
      <c r="BR5" s="537"/>
      <c r="BS5" s="537"/>
      <c r="BT5" s="537"/>
      <c r="BU5" s="74"/>
      <c r="BV5" s="74"/>
      <c r="BW5" s="74"/>
    </row>
    <row r="6" spans="1:75" ht="21" customHeight="1">
      <c r="B6" s="8"/>
      <c r="C6" s="8"/>
      <c r="D6" s="8"/>
      <c r="E6" s="830" t="s">
        <v>536</v>
      </c>
      <c r="F6" s="833"/>
      <c r="G6" s="833"/>
      <c r="H6" s="833"/>
      <c r="I6" s="833"/>
      <c r="J6" s="409"/>
      <c r="K6" s="409"/>
      <c r="L6" s="162"/>
      <c r="M6" s="8"/>
      <c r="N6" s="8"/>
      <c r="O6" s="8"/>
      <c r="P6" s="8"/>
      <c r="Q6" s="8"/>
      <c r="R6" s="8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74"/>
      <c r="AQ6" s="537"/>
      <c r="AR6" s="537"/>
      <c r="AS6" s="537"/>
      <c r="AT6" s="537"/>
      <c r="AU6" s="537"/>
      <c r="AV6" s="537"/>
      <c r="AW6" s="537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74"/>
      <c r="BV6" s="74"/>
      <c r="BW6" s="74"/>
    </row>
    <row r="7" spans="1:75" ht="22.5" customHeight="1">
      <c r="B7" s="8"/>
      <c r="C7" s="8"/>
      <c r="D7" s="8"/>
      <c r="E7" s="160"/>
      <c r="F7" s="409"/>
      <c r="G7" s="409"/>
      <c r="H7" s="409"/>
      <c r="I7" s="409"/>
      <c r="J7" s="409"/>
      <c r="K7" s="409"/>
      <c r="L7" s="162"/>
      <c r="M7" s="8"/>
      <c r="N7" s="8"/>
      <c r="O7" s="8"/>
      <c r="P7" s="8"/>
      <c r="Q7" s="8"/>
      <c r="R7" s="8"/>
      <c r="Y7" s="537" t="s">
        <v>478</v>
      </c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40" t="s">
        <v>483</v>
      </c>
      <c r="AQ7" s="537"/>
      <c r="AR7" s="537"/>
      <c r="AS7" s="537"/>
      <c r="AT7" s="537"/>
      <c r="AU7" s="537"/>
      <c r="AV7" s="537"/>
      <c r="AW7" s="537"/>
      <c r="AX7" s="537"/>
      <c r="AY7" s="537"/>
      <c r="AZ7" s="537"/>
      <c r="BA7" s="537"/>
      <c r="BB7" s="537"/>
      <c r="BC7" s="537"/>
      <c r="BD7" s="537"/>
      <c r="BE7" s="537"/>
      <c r="BF7" s="537"/>
      <c r="BG7" s="537" t="s">
        <v>264</v>
      </c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74"/>
      <c r="BV7" s="74"/>
      <c r="BW7" s="74"/>
    </row>
    <row r="8" spans="1:75" ht="20">
      <c r="A8" s="115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537"/>
      <c r="AK8" s="537"/>
      <c r="AL8" s="537"/>
      <c r="AM8" s="537"/>
      <c r="AN8" s="537"/>
      <c r="AO8" s="537"/>
      <c r="AP8" s="541" t="s">
        <v>482</v>
      </c>
      <c r="AQ8" s="540"/>
      <c r="AR8" s="540"/>
      <c r="AS8" s="540"/>
      <c r="AT8" s="540"/>
      <c r="AU8" s="540"/>
      <c r="AV8" s="540"/>
      <c r="AW8" s="540"/>
      <c r="AX8" s="540"/>
      <c r="AY8" s="540"/>
      <c r="AZ8" s="540"/>
      <c r="BA8" s="540"/>
      <c r="BB8" s="537"/>
      <c r="BC8" s="537"/>
      <c r="BD8" s="537"/>
      <c r="BE8" s="537"/>
      <c r="BF8" s="537"/>
      <c r="BG8" s="74"/>
      <c r="BH8" s="537"/>
      <c r="BI8" s="537"/>
      <c r="BJ8" s="537"/>
      <c r="BK8" s="537"/>
      <c r="BL8" s="537"/>
      <c r="BM8" s="537"/>
      <c r="BN8" s="537"/>
      <c r="BO8" s="537"/>
      <c r="BP8" s="537"/>
      <c r="BQ8" s="537"/>
      <c r="BR8" s="537"/>
      <c r="BS8" s="537"/>
      <c r="BT8" s="537"/>
      <c r="BU8" s="74"/>
      <c r="BV8" s="74"/>
      <c r="BW8" s="74"/>
    </row>
    <row r="9" spans="1:75" ht="18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</row>
    <row r="10" spans="1:75" s="94" customFormat="1" ht="20">
      <c r="A10" s="154" t="str">
        <f>CONCATENATE($A$3," County Tax Bases: Property Assessed Values and Taxable Sales")</f>
        <v>Pike County Tax Bases: Property Assessed Values and Taxable Sales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</row>
    <row r="11" spans="1:75" ht="16">
      <c r="A11" s="154" t="s">
        <v>434</v>
      </c>
      <c r="B11" s="302" t="s">
        <v>409</v>
      </c>
      <c r="C11" s="302" t="s">
        <v>410</v>
      </c>
      <c r="D11" s="302" t="s">
        <v>411</v>
      </c>
      <c r="E11" s="302" t="s">
        <v>412</v>
      </c>
      <c r="F11" s="302" t="s">
        <v>413</v>
      </c>
      <c r="G11" s="302" t="s">
        <v>414</v>
      </c>
      <c r="H11" s="302" t="s">
        <v>415</v>
      </c>
      <c r="I11" s="302" t="s">
        <v>416</v>
      </c>
      <c r="J11" s="302" t="s">
        <v>417</v>
      </c>
      <c r="K11" s="302" t="s">
        <v>418</v>
      </c>
      <c r="L11" s="302" t="s">
        <v>419</v>
      </c>
      <c r="M11" s="302" t="s">
        <v>420</v>
      </c>
      <c r="N11" s="302" t="s">
        <v>421</v>
      </c>
      <c r="O11" s="302" t="s">
        <v>422</v>
      </c>
      <c r="P11" s="302" t="s">
        <v>423</v>
      </c>
      <c r="Q11" s="302" t="s">
        <v>355</v>
      </c>
      <c r="R11" s="302" t="s">
        <v>399</v>
      </c>
      <c r="S11" s="405" t="s">
        <v>424</v>
      </c>
      <c r="T11" s="302" t="s">
        <v>446</v>
      </c>
      <c r="U11" s="302" t="s">
        <v>523</v>
      </c>
      <c r="V11" s="302" t="s">
        <v>524</v>
      </c>
      <c r="W11" s="302" t="s">
        <v>525</v>
      </c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</row>
    <row r="12" spans="1:75" ht="16">
      <c r="A12" s="155" t="s">
        <v>241</v>
      </c>
      <c r="B12" s="171">
        <f>INDEX(PropertyBaseAssessedValuesTable[],MATCH($A$3,PropertyBaseAssessedValuesTable[County]),MATCH(B11,PropertyBaseAssessedValuesTable[#Headers],0))</f>
        <v>160721007</v>
      </c>
      <c r="C12" s="171">
        <f>INDEX(PropertyBaseAssessedValuesTable[],MATCH($A$3,PropertyBaseAssessedValuesTable[County]),MATCH(C11,PropertyBaseAssessedValuesTable[#Headers]))</f>
        <v>165144456</v>
      </c>
      <c r="D12" s="171">
        <f>INDEX(PropertyBaseAssessedValuesTable[],MATCH($A$3,PropertyBaseAssessedValuesTable[County]),MATCH(D11,PropertyBaseAssessedValuesTable[#Headers]))</f>
        <v>170604053</v>
      </c>
      <c r="E12" s="171">
        <f>INDEX(PropertyBaseAssessedValuesTable[],MATCH($A$3,PropertyBaseAssessedValuesTable[County]),MATCH(E11,PropertyBaseAssessedValuesTable[#Headers]))</f>
        <v>184311625</v>
      </c>
      <c r="F12" s="407">
        <f>INDEX(PropertyBaseAssessedValuesTable[],MATCH($A$3,PropertyBaseAssessedValuesTable[County]),MATCH(F11,PropertyBaseAssessedValuesTable[#Headers]))</f>
        <v>190873010</v>
      </c>
      <c r="G12" s="171">
        <f>INDEX(PropertyBaseAssessedValuesTable[],MATCH($A$3,PropertyBaseAssessedValuesTable[County]),MATCH(G11,PropertyBaseAssessedValuesTable[#Headers]))</f>
        <v>192798335</v>
      </c>
      <c r="H12" s="171">
        <f>INDEX(PropertyBaseAssessedValuesTable[],MATCH($A$3,PropertyBaseAssessedValuesTable[County]),MATCH(H11,PropertyBaseAssessedValuesTable[#Headers]))</f>
        <v>195364247</v>
      </c>
      <c r="I12" s="171">
        <f>INDEX(PropertyBaseAssessedValuesTable[],MATCH($A$3,PropertyBaseAssessedValuesTable[County]),MATCH(I11,PropertyBaseAssessedValuesTable[#Headers]))</f>
        <v>185139094</v>
      </c>
      <c r="J12" s="171">
        <f>INDEX(PropertyBaseAssessedValuesTable[],MATCH($A$3,PropertyBaseAssessedValuesTable[County]),MATCH(J11,PropertyBaseAssessedValuesTable[#Headers]))</f>
        <v>191253548.08397812</v>
      </c>
      <c r="K12" s="171">
        <f>INDEX(PropertyBaseAssessedValuesTable[],MATCH($A$3,PropertyBaseAssessedValuesTable[County]),MATCH(K11,PropertyBaseAssessedValuesTable[#Headers]))</f>
        <v>201039124.32218191</v>
      </c>
      <c r="L12" s="171">
        <f>INDEX(PropertyBaseAssessedValuesTable[],MATCH($A$3,PropertyBaseAssessedValuesTable[County]),MATCH(L11,PropertyBaseAssessedValuesTable[#Headers]))</f>
        <v>205473179.29419681</v>
      </c>
      <c r="M12" s="171">
        <f>INDEX(PropertyBaseAssessedValuesTable[],MATCH($A$3,PropertyBaseAssessedValuesTable[County]),MATCH(M11,PropertyBaseAssessedValuesTable[#Headers]))</f>
        <v>229044891.1663225</v>
      </c>
      <c r="N12" s="171">
        <f>INDEX(PropertyBaseAssessedValuesTable[],MATCH($A$3,PropertyBaseAssessedValuesTable[County]),MATCH(N11,PropertyBaseAssessedValuesTable[#Headers]))</f>
        <v>230266571.06024659</v>
      </c>
      <c r="O12" s="171">
        <f>INDEX(PropertyBaseAssessedValuesTable[],MATCH($A$3,PropertyBaseAssessedValuesTable[County]),MATCH(O11,PropertyBaseAssessedValuesTable[#Headers]))</f>
        <v>251379337.5823361</v>
      </c>
      <c r="P12" s="171">
        <f>INDEX(PropertyBaseAssessedValuesTable[],MATCH($A$3,PropertyBaseAssessedValuesTable[County]),MATCH(P11,PropertyBaseAssessedValuesTable[#Headers]))</f>
        <v>249424429</v>
      </c>
      <c r="Q12" s="171">
        <f>INDEX(PropertyBaseAssessedValuesTable[],MATCH($A$3,PropertyBaseAssessedValuesTable[County]),MATCH(Q11,PropertyBaseAssessedValuesTable[#Headers]))</f>
        <v>253271662</v>
      </c>
      <c r="R12" s="171">
        <f>INDEX(PropertyBaseAssessedValuesTable[],MATCH($A$3,PropertyBaseAssessedValuesTable[County]),MATCH(R11,PropertyBaseAssessedValuesTable[#Headers]))</f>
        <v>263759128</v>
      </c>
      <c r="S12" s="171">
        <f>INDEX(PropertyBaseAssessedValuesTable[],MATCH($A$3,PropertyBaseAssessedValuesTable[County]),MATCH(S11,PropertyBaseAssessedValuesTable[#Headers]))</f>
        <v>272039031</v>
      </c>
      <c r="T12" s="171">
        <f>INDEX(PropertyBaseAssessedValuesTable[],MATCH($A$3,PropertyBaseAssessedValuesTable[County]),MATCH(T11,PropertyBaseAssessedValuesTable[#Headers]))</f>
        <v>270432395</v>
      </c>
      <c r="U12" s="171">
        <f>INDEX(PropertyBaseAssessedValuesTable[],MATCH($A$3,PropertyBaseAssessedValuesTable[County]),MATCH(U11,PropertyBaseAssessedValuesTable[#Headers]))</f>
        <v>280669759</v>
      </c>
      <c r="V12" s="171">
        <f>INDEX(PropertyBaseAssessedValuesTable[],MATCH($A$3,PropertyBaseAssessedValuesTable[County]),MATCH(V11,PropertyBaseAssessedValuesTable[#Headers]))</f>
        <v>292776146</v>
      </c>
      <c r="W12" s="171">
        <f>INDEX(PropertyBaseAssessedValuesTable[],MATCH($A$3,PropertyBaseAssessedValuesTable[County]),MATCH(W11,PropertyBaseAssessedValuesTable[#Headers]))</f>
        <v>286962870</v>
      </c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</row>
    <row r="13" spans="1:75" ht="16">
      <c r="A13" s="155" t="s">
        <v>106</v>
      </c>
      <c r="B13" s="178">
        <f>INDEX(SalesBaseTaxableSalesTable[],MATCH($A$3,SalesBaseTaxableSalesTable[County]),MATCH(B11,SalesBaseTaxableSalesTable[#Headers],0))</f>
        <v>97944739.230000004</v>
      </c>
      <c r="C13" s="178">
        <f>INDEX(SalesBaseTaxableSalesTable[],MATCH($A$3,SalesBaseTaxableSalesTable[County]),MATCH(C11,SalesBaseTaxableSalesTable[#Headers]))</f>
        <v>107794568.59999999</v>
      </c>
      <c r="D13" s="178">
        <f>INDEX(SalesBaseTaxableSalesTable[],MATCH($A$3,SalesBaseTaxableSalesTable[County]),MATCH(D11,SalesBaseTaxableSalesTable[#Headers]))</f>
        <v>107184303.09999999</v>
      </c>
      <c r="E13" s="178">
        <f>INDEX(SalesBaseTaxableSalesTable[],MATCH($A$3,SalesBaseTaxableSalesTable[County]),MATCH(E11,SalesBaseTaxableSalesTable[#Headers]))</f>
        <v>103938754.59</v>
      </c>
      <c r="F13" s="178">
        <f>INDEX(SalesBaseTaxableSalesTable[],MATCH($A$3,SalesBaseTaxableSalesTable[County]),MATCH(F11,SalesBaseTaxableSalesTable[#Headers]))</f>
        <v>112753117.08</v>
      </c>
      <c r="G13" s="178">
        <f>INDEX(SalesBaseTaxableSalesTable[],MATCH($A$3,SalesBaseTaxableSalesTable[County]),MATCH(G11,SalesBaseTaxableSalesTable[#Headers]))</f>
        <v>117695394.40000001</v>
      </c>
      <c r="H13" s="178">
        <f>INDEX(SalesBaseTaxableSalesTable[],MATCH($A$3,SalesBaseTaxableSalesTable[County]),MATCH(H11,SalesBaseTaxableSalesTable[#Headers]))</f>
        <v>118962754.67</v>
      </c>
      <c r="I13" s="178">
        <f>INDEX(SalesBaseTaxableSalesTable[],MATCH($A$3,SalesBaseTaxableSalesTable[County]),MATCH(I11,SalesBaseTaxableSalesTable[#Headers]))</f>
        <v>122376438.67</v>
      </c>
      <c r="J13" s="178">
        <f>INDEX(SalesBaseTaxableSalesTable[],MATCH($A$3,SalesBaseTaxableSalesTable[County]),MATCH(J11,SalesBaseTaxableSalesTable[#Headers]))</f>
        <v>125108721.15000001</v>
      </c>
      <c r="K13" s="178">
        <f>INDEX(SalesBaseTaxableSalesTable[],MATCH($A$3,SalesBaseTaxableSalesTable[County]),MATCH(K11,SalesBaseTaxableSalesTable[#Headers]))</f>
        <v>130586430.70999999</v>
      </c>
      <c r="L13" s="178">
        <f>INDEX(SalesBaseTaxableSalesTable[],MATCH($A$3,SalesBaseTaxableSalesTable[County]),MATCH(L11,SalesBaseTaxableSalesTable[#Headers]))</f>
        <v>134097553.23999999</v>
      </c>
      <c r="M13" s="178">
        <f>INDEX(SalesBaseTaxableSalesTable[],MATCH($A$3,SalesBaseTaxableSalesTable[County]),MATCH(M11,SalesBaseTaxableSalesTable[#Headers]))</f>
        <v>138964984.63</v>
      </c>
      <c r="N13" s="178">
        <f>INDEX(SalesBaseTaxableSalesTable[],MATCH($A$3,SalesBaseTaxableSalesTable[County]),MATCH(N11,SalesBaseTaxableSalesTable[#Headers]))</f>
        <v>148879589.25999999</v>
      </c>
      <c r="O13" s="178">
        <f>INDEX(SalesBaseTaxableSalesTable[],MATCH($A$3,SalesBaseTaxableSalesTable[County]),MATCH(O11,SalesBaseTaxableSalesTable[#Headers]))</f>
        <v>160982707.09</v>
      </c>
      <c r="P13" s="178">
        <f>INDEX(SalesBaseTaxableSalesTable[],MATCH($A$3,SalesBaseTaxableSalesTable[County]),MATCH(P11,SalesBaseTaxableSalesTable[#Headers]))</f>
        <v>145783222.03</v>
      </c>
      <c r="Q13" s="178">
        <f>INDEX(SalesBaseTaxableSalesTable[],MATCH($A$3,SalesBaseTaxableSalesTable[County]),MATCH(Q11,SalesBaseTaxableSalesTable[#Headers]))</f>
        <v>148545059.72</v>
      </c>
      <c r="R13" s="178">
        <f>INDEX(SalesBaseTaxableSalesTable[],MATCH($A$3,SalesBaseTaxableSalesTable[County]),MATCH(R11,SalesBaseTaxableSalesTable[#Headers]))</f>
        <v>152734518.90000001</v>
      </c>
      <c r="S13" s="178">
        <f>INDEX(SalesBaseTaxableSalesTable[],MATCH($A$3,SalesBaseTaxableSalesTable[County]),MATCH(S11,SalesBaseTaxableSalesTable[#Headers]))</f>
        <v>155679127.38</v>
      </c>
      <c r="T13" s="178">
        <f>INDEX(SalesBaseTaxableSalesTable[],MATCH($A$3,SalesBaseTaxableSalesTable[County]),MATCH(T11,SalesBaseTaxableSalesTable[#Headers]))</f>
        <v>162862956.91999999</v>
      </c>
      <c r="U13" s="178">
        <f>INDEX(SalesBaseTaxableSalesTable[],MATCH($A$3,SalesBaseTaxableSalesTable[County]),MATCH(U11,SalesBaseTaxableSalesTable[#Headers]))</f>
        <v>166278272.28999999</v>
      </c>
      <c r="V13" s="178">
        <f>INDEX(SalesBaseTaxableSalesTable[],MATCH($A$3,SalesBaseTaxableSalesTable[County]),MATCH(V11,SalesBaseTaxableSalesTable[#Headers]))</f>
        <v>168670758.16</v>
      </c>
      <c r="W13" s="178">
        <f>INDEX(SalesBaseTaxableSalesTable[],MATCH($A$3,SalesBaseTaxableSalesTable[County]),MATCH(W11,SalesBaseTaxableSalesTable[#Headers]))</f>
        <v>168365024.75</v>
      </c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</row>
    <row r="14" spans="1:75" ht="16">
      <c r="A14" s="153"/>
      <c r="B14" s="153"/>
      <c r="C14" s="156" t="s">
        <v>94</v>
      </c>
      <c r="D14" s="156" t="s">
        <v>94</v>
      </c>
      <c r="E14" s="156" t="s">
        <v>94</v>
      </c>
      <c r="F14" s="156" t="s">
        <v>94</v>
      </c>
      <c r="G14" s="156" t="s">
        <v>94</v>
      </c>
      <c r="H14" s="156" t="s">
        <v>94</v>
      </c>
      <c r="I14" s="156" t="s">
        <v>94</v>
      </c>
      <c r="J14" s="156" t="s">
        <v>94</v>
      </c>
      <c r="K14" s="156" t="s">
        <v>94</v>
      </c>
      <c r="L14" s="156" t="s">
        <v>94</v>
      </c>
      <c r="M14" s="156" t="s">
        <v>94</v>
      </c>
      <c r="N14" s="156" t="s">
        <v>94</v>
      </c>
      <c r="O14" s="156" t="s">
        <v>94</v>
      </c>
      <c r="P14" s="156"/>
      <c r="Q14" s="156"/>
      <c r="R14" s="156"/>
      <c r="S14" s="156"/>
      <c r="T14" s="156"/>
      <c r="U14" s="156"/>
      <c r="V14" s="156"/>
      <c r="W14" s="156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</row>
    <row r="15" spans="1:75" s="94" customFormat="1" ht="20">
      <c r="A15" s="154" t="str">
        <f>CONCATENATE($A$3," County per Capita Tax Bases: Property Tax Assessments and Taxable Sales")</f>
        <v>Pike County per Capita Tax Bases: Property Tax Assessments and Taxable Sales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537"/>
      <c r="BV15" s="537"/>
      <c r="BW15" s="537"/>
    </row>
    <row r="16" spans="1:75" ht="16">
      <c r="A16" s="154" t="s">
        <v>434</v>
      </c>
      <c r="B16" s="302" t="s">
        <v>409</v>
      </c>
      <c r="C16" s="302" t="s">
        <v>410</v>
      </c>
      <c r="D16" s="302" t="s">
        <v>411</v>
      </c>
      <c r="E16" s="302" t="s">
        <v>412</v>
      </c>
      <c r="F16" s="302" t="s">
        <v>413</v>
      </c>
      <c r="G16" s="302" t="s">
        <v>414</v>
      </c>
      <c r="H16" s="302" t="s">
        <v>415</v>
      </c>
      <c r="I16" s="302" t="s">
        <v>416</v>
      </c>
      <c r="J16" s="302" t="s">
        <v>417</v>
      </c>
      <c r="K16" s="302" t="s">
        <v>418</v>
      </c>
      <c r="L16" s="302" t="s">
        <v>419</v>
      </c>
      <c r="M16" s="302" t="s">
        <v>420</v>
      </c>
      <c r="N16" s="302" t="s">
        <v>421</v>
      </c>
      <c r="O16" s="302" t="s">
        <v>422</v>
      </c>
      <c r="P16" s="302" t="s">
        <v>423</v>
      </c>
      <c r="Q16" s="302" t="s">
        <v>355</v>
      </c>
      <c r="R16" s="302" t="s">
        <v>399</v>
      </c>
      <c r="S16" s="405" t="s">
        <v>424</v>
      </c>
      <c r="T16" s="302" t="s">
        <v>446</v>
      </c>
      <c r="U16" s="302" t="s">
        <v>523</v>
      </c>
      <c r="V16" s="302" t="s">
        <v>524</v>
      </c>
      <c r="W16" s="302" t="s">
        <v>525</v>
      </c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</row>
    <row r="17" spans="1:75" ht="16">
      <c r="A17" s="155" t="s">
        <v>241</v>
      </c>
      <c r="B17" s="171">
        <f>INDEX(PropertyBaseAssessedValuesPerCapitaTable[],MATCH($A$3,PropertyBaseAssessedValuesPerCapitaTable[County]),MATCH(B16,PropertyBaseAssessedValuesPerCapitaTable[#Headers],0))</f>
        <v>9277.3612906949893</v>
      </c>
      <c r="C17" s="171">
        <f>INDEX(PropertyBaseAssessedValuesPerCapitaTable[],MATCH($A$3,PropertyBaseAssessedValuesPerCapitaTable[County]),MATCH(C16,PropertyBaseAssessedValuesPerCapitaTable[#Headers]))</f>
        <v>9453.5723853683667</v>
      </c>
      <c r="D17" s="171">
        <f>INDEX(PropertyBaseAssessedValuesPerCapitaTable[],MATCH($A$3,PropertyBaseAssessedValuesPerCapitaTable[County]),MATCH(D16,PropertyBaseAssessedValuesPerCapitaTable[#Headers]))</f>
        <v>9463.2822831151534</v>
      </c>
      <c r="E17" s="171">
        <f>INDEX(PropertyBaseAssessedValuesPerCapitaTable[],MATCH($A$3,PropertyBaseAssessedValuesPerCapitaTable[County]),MATCH(E16,PropertyBaseAssessedValuesPerCapitaTable[#Headers]))</f>
        <v>10081.589815118696</v>
      </c>
      <c r="F17" s="171">
        <f>INDEX(PropertyBaseAssessedValuesPerCapitaTable[],MATCH($A$3,PropertyBaseAssessedValuesPerCapitaTable[County]),MATCH(F16,PropertyBaseAssessedValuesPerCapitaTable[#Headers]))</f>
        <v>10429.649199497295</v>
      </c>
      <c r="G17" s="171">
        <f>INDEX(PropertyBaseAssessedValuesPerCapitaTable[],MATCH($A$3,PropertyBaseAssessedValuesPerCapitaTable[County]),MATCH(G16,PropertyBaseAssessedValuesPerCapitaTable[#Headers]))</f>
        <v>10559.663435206485</v>
      </c>
      <c r="H17" s="171">
        <f>INDEX(PropertyBaseAssessedValuesPerCapitaTable[],MATCH($A$3,PropertyBaseAssessedValuesPerCapitaTable[County]),MATCH(H16,PropertyBaseAssessedValuesPerCapitaTable[#Headers]))</f>
        <v>10669.228714980067</v>
      </c>
      <c r="I17" s="171">
        <f>INDEX(PropertyBaseAssessedValuesPerCapitaTable[],MATCH($A$3,PropertyBaseAssessedValuesPerCapitaTable[County]),MATCH(I16,PropertyBaseAssessedValuesPerCapitaTable[#Headers]))</f>
        <v>10047.709432323891</v>
      </c>
      <c r="J17" s="171">
        <f>INDEX(PropertyBaseAssessedValuesPerCapitaTable[],MATCH($A$3,PropertyBaseAssessedValuesPerCapitaTable[County]),MATCH(J16,PropertyBaseAssessedValuesPerCapitaTable[#Headers]))</f>
        <v>10375.043294129224</v>
      </c>
      <c r="K17" s="171">
        <f>INDEX(PropertyBaseAssessedValuesPerCapitaTable[],MATCH($A$3,PropertyBaseAssessedValuesPerCapitaTable[County]),MATCH(K16,PropertyBaseAssessedValuesPerCapitaTable[#Headers]))</f>
        <v>10736.401832960315</v>
      </c>
      <c r="L17" s="171">
        <f>INDEX(PropertyBaseAssessedValuesPerCapitaTable[],MATCH($A$3,PropertyBaseAssessedValuesPerCapitaTable[County]),MATCH(L16,PropertyBaseAssessedValuesPerCapitaTable[#Headers]))</f>
        <v>10983.758982958081</v>
      </c>
      <c r="M17" s="171">
        <f>INDEX(PropertyBaseAssessedValuesPerCapitaTable[],MATCH($A$3,PropertyBaseAssessedValuesPerCapitaTable[County]),MATCH(M16,PropertyBaseAssessedValuesPerCapitaTable[#Headers]))</f>
        <v>12322.19126136876</v>
      </c>
      <c r="N17" s="171">
        <f>INDEX(PropertyBaseAssessedValuesPerCapitaTable[],MATCH($A$3,PropertyBaseAssessedValuesPerCapitaTable[County]),MATCH(N16,PropertyBaseAssessedValuesPerCapitaTable[#Headers]))</f>
        <v>12378.592143868755</v>
      </c>
      <c r="O17" s="171">
        <f>INDEX(PropertyBaseAssessedValuesPerCapitaTable[],MATCH($A$3,PropertyBaseAssessedValuesPerCapitaTable[County]),MATCH(O16,PropertyBaseAssessedValuesPerCapitaTable[#Headers]))</f>
        <v>13555.831405432275</v>
      </c>
      <c r="P17" s="171">
        <f>INDEX(PropertyBaseAssessedValuesPerCapitaTable[],MATCH($A$3,PropertyBaseAssessedValuesPerCapitaTable[County]),MATCH(P16,PropertyBaseAssessedValuesPerCapitaTable[#Headers]))</f>
        <v>13492.612193010928</v>
      </c>
      <c r="Q17" s="171">
        <f>INDEX(PropertyBaseAssessedValuesPerCapitaTable[],MATCH($A$3,PropertyBaseAssessedValuesPerCapitaTable[County]),MATCH(Q16,PropertyBaseAssessedValuesPerCapitaTable[#Headers]))</f>
        <v>13564.975737775159</v>
      </c>
      <c r="R17" s="171">
        <f>INDEX(PropertyBaseAssessedValuesPerCapitaTable[],MATCH($A$3,PropertyBaseAssessedValuesPerCapitaTable[County]),MATCH(R16,PropertyBaseAssessedValuesPerCapitaTable[#Headers]))</f>
        <v>14207.332507406411</v>
      </c>
      <c r="S17" s="171">
        <f>INDEX(PropertyBaseAssessedValuesPerCapitaTable[],MATCH($A$3,PropertyBaseAssessedValuesPerCapitaTable[County]),MATCH(S16,PropertyBaseAssessedValuesPerCapitaTable[#Headers]))</f>
        <v>14571.698055600193</v>
      </c>
      <c r="T17" s="171">
        <f>INDEX(PropertyBaseAssessedValuesPerCapitaTable[],MATCH($A$3,PropertyBaseAssessedValuesPerCapitaTable[County]),MATCH(T16,PropertyBaseAssessedValuesPerCapitaTable[#Headers]))</f>
        <v>14637.74803788904</v>
      </c>
      <c r="U17" s="171">
        <f>INDEX(PropertyBaseAssessedValuesPerCapitaTable[],MATCH($A$3,PropertyBaseAssessedValuesPerCapitaTable[County]),MATCH(U16,PropertyBaseAssessedValuesPerCapitaTable[#Headers]))</f>
        <v>15292.021303258145</v>
      </c>
      <c r="V17" s="171">
        <f>INDEX(PropertyBaseAssessedValuesPerCapitaTable[],MATCH($A$3,PropertyBaseAssessedValuesPerCapitaTable[County]),MATCH(V16,PropertyBaseAssessedValuesPerCapitaTable[#Headers]))</f>
        <v>15878.953574140362</v>
      </c>
      <c r="W17" s="171">
        <f>INDEX(PropertyBaseAssessedValuesPerCapitaTable[],MATCH($A$3,PropertyBaseAssessedValuesPerCapitaTable[County]),MATCH(W16,PropertyBaseAssessedValuesPerCapitaTable[#Headers]))</f>
        <v>15455.532396186783</v>
      </c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</row>
    <row r="18" spans="1:75" ht="16">
      <c r="A18" s="155" t="s">
        <v>106</v>
      </c>
      <c r="B18" s="178">
        <f>INDEX(SalesBaseTaxableSalesPerCapitaTable[],MATCH($A$3,SalesBaseTaxableSalesPerCapitaTable[County]),MATCH(B16,SalesBaseTaxableSalesPerCapitaTable[#Headers],))</f>
        <v>5653.7023337566388</v>
      </c>
      <c r="C18" s="178">
        <f>INDEX(SalesBaseTaxableSalesPerCapitaTable[],MATCH($A$3,SalesBaseTaxableSalesPerCapitaTable[County]),MATCH(C16,SalesBaseTaxableSalesPerCapitaTable[#Headers]))</f>
        <v>6170.6204476501225</v>
      </c>
      <c r="D18" s="178">
        <f>INDEX(SalesBaseTaxableSalesPerCapitaTable[],MATCH($A$3,SalesBaseTaxableSalesPerCapitaTable[County]),MATCH(D16,SalesBaseTaxableSalesPerCapitaTable[#Headers]))</f>
        <v>5945.4350510317281</v>
      </c>
      <c r="E18" s="178">
        <f>INDEX(SalesBaseTaxableSalesPerCapitaTable[],MATCH($A$3,SalesBaseTaxableSalesPerCapitaTable[County]),MATCH(E16,SalesBaseTaxableSalesPerCapitaTable[#Headers]))</f>
        <v>5685.3054693140793</v>
      </c>
      <c r="F18" s="178">
        <f>INDEX(SalesBaseTaxableSalesPerCapitaTable[],MATCH($A$3,SalesBaseTaxableSalesPerCapitaTable[County]),MATCH(F16,SalesBaseTaxableSalesPerCapitaTable[#Headers]))</f>
        <v>6161.0358494071361</v>
      </c>
      <c r="G18" s="178">
        <f>INDEX(SalesBaseTaxableSalesPerCapitaTable[],MATCH($A$3,SalesBaseTaxableSalesPerCapitaTable[County]),MATCH(G16,SalesBaseTaxableSalesPerCapitaTable[#Headers]))</f>
        <v>6446.2369591411989</v>
      </c>
      <c r="H18" s="178">
        <f>INDEX(SalesBaseTaxableSalesPerCapitaTable[],MATCH($A$3,SalesBaseTaxableSalesPerCapitaTable[County]),MATCH(H16,SalesBaseTaxableSalesPerCapitaTable[#Headers]))</f>
        <v>6496.7918011031625</v>
      </c>
      <c r="I18" s="178">
        <f>INDEX(SalesBaseTaxableSalesPerCapitaTable[],MATCH($A$3,SalesBaseTaxableSalesPerCapitaTable[County]),MATCH(I16,SalesBaseTaxableSalesPerCapitaTable[#Headers]))</f>
        <v>6641.508665472702</v>
      </c>
      <c r="J18" s="178">
        <f>INDEX(SalesBaseTaxableSalesPerCapitaTable[],MATCH($A$3,SalesBaseTaxableSalesPerCapitaTable[County]),MATCH(J16,SalesBaseTaxableSalesPerCapitaTable[#Headers]))</f>
        <v>6786.846107735706</v>
      </c>
      <c r="K18" s="178">
        <f>INDEX(SalesBaseTaxableSalesPerCapitaTable[],MATCH($A$3,SalesBaseTaxableSalesPerCapitaTable[County]),MATCH(K16,SalesBaseTaxableSalesPerCapitaTable[#Headers]))</f>
        <v>6973.9081821094787</v>
      </c>
      <c r="L18" s="178">
        <f>INDEX(SalesBaseTaxableSalesPerCapitaTable[],MATCH($A$3,SalesBaseTaxableSalesPerCapitaTable[County]),MATCH(L16,SalesBaseTaxableSalesPerCapitaTable[#Headers]))</f>
        <v>7168.3088277115512</v>
      </c>
      <c r="M18" s="178">
        <f>INDEX(SalesBaseTaxableSalesPerCapitaTable[],MATCH($A$3,SalesBaseTaxableSalesPerCapitaTable[County]),MATCH(M16,SalesBaseTaxableSalesPerCapitaTable[#Headers]))</f>
        <v>7476.0589966645148</v>
      </c>
      <c r="N18" s="178">
        <f>INDEX(SalesBaseTaxableSalesPerCapitaTable[],MATCH($A$3,SalesBaseTaxableSalesPerCapitaTable[County]),MATCH(N16,SalesBaseTaxableSalesPerCapitaTable[#Headers]))</f>
        <v>8003.4184098484029</v>
      </c>
      <c r="O18" s="178">
        <f>INDEX(SalesBaseTaxableSalesPerCapitaTable[],MATCH($A$3,SalesBaseTaxableSalesPerCapitaTable[County]),MATCH(O16,SalesBaseTaxableSalesPerCapitaTable[#Headers]))</f>
        <v>8681.1209604184642</v>
      </c>
      <c r="P18" s="178">
        <f>INDEX(SalesBaseTaxableSalesPerCapitaTable[],MATCH($A$3,SalesBaseTaxableSalesPerCapitaTable[County]),MATCH(P16,SalesBaseTaxableSalesPerCapitaTable[#Headers]))</f>
        <v>7886.1420550687008</v>
      </c>
      <c r="Q18" s="178">
        <f>INDEX(SalesBaseTaxableSalesPerCapitaTable[],MATCH($A$3,SalesBaseTaxableSalesPerCapitaTable[County]),MATCH(Q16,SalesBaseTaxableSalesPerCapitaTable[#Headers]))</f>
        <v>7955.9241454662306</v>
      </c>
      <c r="R18" s="178">
        <f>INDEX(SalesBaseTaxableSalesPerCapitaTable[],MATCH($A$3,SalesBaseTaxableSalesPerCapitaTable[County]),MATCH(R16,SalesBaseTaxableSalesPerCapitaTable[#Headers]))</f>
        <v>8227.0142149205494</v>
      </c>
      <c r="S18" s="178">
        <f>INDEX(SalesBaseTaxableSalesPerCapitaTable[],MATCH($A$3,SalesBaseTaxableSalesPerCapitaTable[County]),MATCH(S16,SalesBaseTaxableSalesPerCapitaTable[#Headers]))</f>
        <v>8338.9108886389204</v>
      </c>
      <c r="T18" s="178">
        <f>INDEX(SalesBaseTaxableSalesPerCapitaTable[],MATCH($A$3,SalesBaseTaxableSalesPerCapitaTable[County]),MATCH(T16,SalesBaseTaxableSalesPerCapitaTable[#Headers]))</f>
        <v>8815.3156654939103</v>
      </c>
      <c r="U18" s="178">
        <f>INDEX(SalesBaseTaxableSalesPerCapitaTable[],MATCH($A$3,SalesBaseTaxableSalesPerCapitaTable[County]),MATCH(U16,SalesBaseTaxableSalesPerCapitaTable[#Headers]))</f>
        <v>9059.5114029639317</v>
      </c>
      <c r="V18" s="178">
        <f>INDEX(SalesBaseTaxableSalesPerCapitaTable[],MATCH($A$3,SalesBaseTaxableSalesPerCapitaTable[County]),MATCH(V16,SalesBaseTaxableSalesPerCapitaTable[#Headers]))</f>
        <v>9147.9964291137858</v>
      </c>
      <c r="W18" s="178">
        <f>INDEX(SalesBaseTaxableSalesPerCapitaTable[],MATCH($A$3,SalesBaseTaxableSalesPerCapitaTable[County]),MATCH(W16,SalesBaseTaxableSalesPerCapitaTable[#Headers]))</f>
        <v>9067.9713874077661</v>
      </c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</row>
    <row r="19" spans="1:75" ht="16">
      <c r="A19" s="153"/>
      <c r="B19" s="153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</row>
    <row r="20" spans="1:75" s="94" customFormat="1" ht="20">
      <c r="A20" s="154" t="str">
        <f>CONCATENATE($A$3," County Annual Growth Rates: General Revenue Property Tax Receipts and Property Assessed Values")</f>
        <v>Pike County Annual Growth Rates: General Revenue Property Tax Receipts and Property Assessed Values</v>
      </c>
      <c r="B20" s="155"/>
      <c r="C20" s="155"/>
      <c r="D20" s="155"/>
      <c r="E20" s="155"/>
      <c r="F20" s="155"/>
      <c r="G20" s="155"/>
      <c r="H20" s="155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Y20" s="537"/>
      <c r="Z20" s="537"/>
      <c r="AA20" s="537"/>
      <c r="AB20" s="537"/>
      <c r="AC20" s="537"/>
      <c r="AD20" s="537"/>
      <c r="AE20" s="537"/>
      <c r="AF20" s="537"/>
      <c r="AG20" s="537"/>
      <c r="AH20" s="537"/>
      <c r="AI20" s="537"/>
      <c r="AJ20" s="537"/>
      <c r="AK20" s="537"/>
      <c r="AL20" s="537"/>
      <c r="AM20" s="537"/>
      <c r="AN20" s="537"/>
      <c r="AO20" s="537"/>
      <c r="AP20" s="537"/>
      <c r="AQ20" s="537"/>
      <c r="AR20" s="537"/>
      <c r="AS20" s="537"/>
      <c r="AT20" s="537"/>
      <c r="AU20" s="537"/>
      <c r="AV20" s="537"/>
      <c r="AW20" s="537"/>
      <c r="AX20" s="537"/>
      <c r="AY20" s="537"/>
      <c r="AZ20" s="537"/>
      <c r="BA20" s="537"/>
      <c r="BB20" s="537"/>
      <c r="BC20" s="537"/>
      <c r="BD20" s="537"/>
      <c r="BE20" s="537"/>
      <c r="BF20" s="537"/>
      <c r="BG20" s="537"/>
      <c r="BH20" s="537"/>
      <c r="BI20" s="537"/>
      <c r="BJ20" s="537"/>
      <c r="BK20" s="537"/>
      <c r="BL20" s="537"/>
      <c r="BM20" s="537"/>
      <c r="BN20" s="537"/>
      <c r="BO20" s="537"/>
      <c r="BP20" s="537"/>
      <c r="BQ20" s="537"/>
      <c r="BR20" s="537"/>
      <c r="BS20" s="537"/>
      <c r="BT20" s="537"/>
      <c r="BU20" s="537"/>
      <c r="BV20" s="537"/>
      <c r="BW20" s="537"/>
    </row>
    <row r="21" spans="1:75" ht="16">
      <c r="A21" s="303" t="s">
        <v>434</v>
      </c>
      <c r="B21" s="302" t="s">
        <v>409</v>
      </c>
      <c r="C21" s="302" t="s">
        <v>410</v>
      </c>
      <c r="D21" s="302" t="s">
        <v>411</v>
      </c>
      <c r="E21" s="302" t="s">
        <v>412</v>
      </c>
      <c r="F21" s="302" t="s">
        <v>413</v>
      </c>
      <c r="G21" s="302" t="s">
        <v>414</v>
      </c>
      <c r="H21" s="302" t="s">
        <v>415</v>
      </c>
      <c r="I21" s="302" t="s">
        <v>416</v>
      </c>
      <c r="J21" s="302" t="s">
        <v>417</v>
      </c>
      <c r="K21" s="302" t="s">
        <v>418</v>
      </c>
      <c r="L21" s="302" t="s">
        <v>419</v>
      </c>
      <c r="M21" s="302" t="s">
        <v>420</v>
      </c>
      <c r="N21" s="302" t="s">
        <v>421</v>
      </c>
      <c r="O21" s="302" t="s">
        <v>422</v>
      </c>
      <c r="P21" s="302" t="s">
        <v>423</v>
      </c>
      <c r="Q21" s="302" t="s">
        <v>355</v>
      </c>
      <c r="R21" s="302" t="s">
        <v>399</v>
      </c>
      <c r="S21" s="405" t="s">
        <v>424</v>
      </c>
      <c r="T21" s="800" t="s">
        <v>446</v>
      </c>
      <c r="U21" s="800" t="s">
        <v>523</v>
      </c>
      <c r="V21" s="800" t="s">
        <v>524</v>
      </c>
      <c r="W21" s="800" t="s">
        <v>525</v>
      </c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</row>
    <row r="22" spans="1:75" ht="16">
      <c r="A22" s="155" t="s">
        <v>146</v>
      </c>
      <c r="B22" s="304"/>
      <c r="C22" s="304">
        <f>INDEX('3-AGF Receipts &amp; Balances'!$Y$115:$AQ$203,MATCH($A$3,'3-AGF Receipts &amp; Balances'!$Y$115:$Y$203),MATCH(C21,'3-AGF Receipts &amp; Balances'!$Y$114:$AQ$114))</f>
        <v>0.1469149757854917</v>
      </c>
      <c r="D22" s="304">
        <f>INDEX('3-AGF Receipts &amp; Balances'!$Y$115:$AQ$203,MATCH($A$3,'3-AGF Receipts &amp; Balances'!$Y$115:$Y$203),MATCH(D21,'3-AGF Receipts &amp; Balances'!$Y$114:$AQ$114))</f>
        <v>8.1442981419045449E-3</v>
      </c>
      <c r="E22" s="304">
        <f>INDEX('3-AGF Receipts &amp; Balances'!$Y$115:$AQ$203,MATCH($A$3,'3-AGF Receipts &amp; Balances'!$Y$115:$Y$203),MATCH(E21,'3-AGF Receipts &amp; Balances'!$Y$114:$AQ$114))</f>
        <v>5.7409776063740647E-2</v>
      </c>
      <c r="F22" s="304">
        <f>INDEX('3-AGF Receipts &amp; Balances'!$Y$115:$AQ$203,MATCH($A$3,'3-AGF Receipts &amp; Balances'!$Y$115:$Y$203),MATCH(F21,'3-AGF Receipts &amp; Balances'!$Y$114:$AQ$114))</f>
        <v>-3.8872824987714771E-2</v>
      </c>
      <c r="G22" s="304">
        <f>INDEX('3-AGF Receipts &amp; Balances'!$Y$115:$AQ$203,MATCH($A$3,'3-AGF Receipts &amp; Balances'!$Y$115:$Y$203),MATCH(G21,'3-AGF Receipts &amp; Balances'!$Y$114:$AQ$114))</f>
        <v>-7.3053197456731398E-3</v>
      </c>
      <c r="H22" s="304">
        <f>INDEX('3-AGF Receipts &amp; Balances'!$Y$115:$AQ$203,MATCH($A$3,'3-AGF Receipts &amp; Balances'!$Y$115:$Y$203),MATCH(H21,'3-AGF Receipts &amp; Balances'!$Y$114:$AQ$114))</f>
        <v>8.9473127964208587E-2</v>
      </c>
      <c r="I22" s="304">
        <f>INDEX('3-AGF Receipts &amp; Balances'!$Y$115:$AQ$203,MATCH($A$3,'3-AGF Receipts &amp; Balances'!$Y$115:$Y$203),MATCH(I21,'3-AGF Receipts &amp; Balances'!$Y$114:$AQ$114))</f>
        <v>0.3643961836418495</v>
      </c>
      <c r="J22" s="304">
        <f>INDEX('3-AGF Receipts &amp; Balances'!$Y$115:$AQ$203,MATCH($A$3,'3-AGF Receipts &amp; Balances'!$Y$115:$Y$203),MATCH(J21,'3-AGF Receipts &amp; Balances'!$Y$114:$AQ$114))</f>
        <v>-0.14471837257821779</v>
      </c>
      <c r="K22" s="304">
        <f>INDEX('3-AGF Receipts &amp; Balances'!$Y$115:$AQ$203,MATCH($A$3,'3-AGF Receipts &amp; Balances'!$Y$115:$Y$203),MATCH(K21,'3-AGF Receipts &amp; Balances'!$Y$114:$AQ$114))</f>
        <v>-7.200048629108613E-2</v>
      </c>
      <c r="L22" s="304">
        <f>INDEX('3-AGF Receipts &amp; Balances'!$Y$115:$AQ$203,MATCH($A$3,'3-AGF Receipts &amp; Balances'!$Y$115:$Y$203),MATCH(L21,'3-AGF Receipts &amp; Balances'!$Y$114:$AQ$114))</f>
        <v>0.14687686108624354</v>
      </c>
      <c r="M22" s="304">
        <f>INDEX('3-AGF Receipts &amp; Balances'!$Y$115:$AQ$203,MATCH($A$3,'3-AGF Receipts &amp; Balances'!$Y$115:$Y$203),MATCH(M21,'3-AGF Receipts &amp; Balances'!$Y$114:$AQ$114))</f>
        <v>3.1166292884643888E-3</v>
      </c>
      <c r="N22" s="304">
        <f>INDEX('3-AGF Receipts &amp; Balances'!$Y$115:$AQ$203,MATCH($A$3,'3-AGF Receipts &amp; Balances'!$Y$115:$Y$203),MATCH(N21,'3-AGF Receipts &amp; Balances'!$Y$114:$AQ$114))</f>
        <v>8.8472830825273102E-2</v>
      </c>
      <c r="O22" s="304">
        <f>INDEX('3-AGF Receipts &amp; Balances'!$Y$115:$AQ$203,MATCH($A$3,'3-AGF Receipts &amp; Balances'!$Y$115:$Y$203),MATCH(O21,'3-AGF Receipts &amp; Balances'!$Y$114:$AQ$114))</f>
        <v>-1</v>
      </c>
      <c r="P22" s="304">
        <f>INDEX('3-AGF Receipts &amp; Balances'!$Y$115:$AQ$203,MATCH($A$3,'3-AGF Receipts &amp; Balances'!$Y$115:$Y$203),MATCH(P21,'3-AGF Receipts &amp; Balances'!$Y$114:$AQ$114))</f>
        <v>0</v>
      </c>
      <c r="Q22" s="304">
        <f>INDEX('3-AGF Receipts &amp; Balances'!$Y$115:$AQ$203,MATCH($A$3,'3-AGF Receipts &amp; Balances'!$Y$115:$Y$203),MATCH(Q21,'3-AGF Receipts &amp; Balances'!$Y$114:$AQ$114))</f>
        <v>0.2185910545371145</v>
      </c>
      <c r="R22" s="304">
        <f>INDEX('3-AGF Receipts &amp; Balances'!$Y$115:$AQ$203,MATCH($A$3,'3-AGF Receipts &amp; Balances'!$Y$115:$Y$203),MATCH(R21,'3-AGF Receipts &amp; Balances'!$Y$114:$AQ$114))</f>
        <v>-1</v>
      </c>
      <c r="S22" s="406">
        <f>INDEX('3-AGF Receipts &amp; Balances'!$Y$115:$AQ$203,MATCH($A$3,'3-AGF Receipts &amp; Balances'!$Y$115:$Y$203),MATCH(S21,'3-AGF Receipts &amp; Balances'!$Y$114:$AQ$114))</f>
        <v>0</v>
      </c>
      <c r="T22" s="406">
        <f>INDEX('3-AGF Receipts &amp; Balances'!$Y$115:$AQ$203,MATCH($A$3,'3-AGF Receipts &amp; Balances'!$Y$115:$Y$203),MATCH(T21,'3-AGF Receipts &amp; Balances'!$Y$114:$AQ$114))</f>
        <v>0</v>
      </c>
      <c r="U22" s="406">
        <f>INDEX('3-AGF Receipts &amp; Balances'!$Y$115:$AQ$203,MATCH($A$3,'3-AGF Receipts &amp; Balances'!$Y$115:$Y$203),MATCH(U21,'3-AGF Receipts &amp; Balances'!$Y$114:$AQ$114))</f>
        <v>0</v>
      </c>
      <c r="V22" s="406">
        <f>INDEX('3-AGF Receipts &amp; Balances'!$Y$115:$AQ$203,MATCH($A$3,'3-AGF Receipts &amp; Balances'!$Y$115:$Y$203),MATCH(V21,'3-AGF Receipts &amp; Balances'!$Y$114:$AQ$114))</f>
        <v>0</v>
      </c>
      <c r="W22" s="406">
        <f>INDEX('3-AGF Receipts &amp; Balances'!$Y$115:$AQ$203,MATCH($A$3,'3-AGF Receipts &amp; Balances'!$Y$115:$Y$203),MATCH(W21,'3-AGF Receipts &amp; Balances'!$Y$114:$AQ$114))</f>
        <v>0</v>
      </c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</row>
    <row r="23" spans="1:75" ht="16">
      <c r="A23" s="155" t="s">
        <v>241</v>
      </c>
      <c r="B23" s="304"/>
      <c r="C23" s="304">
        <f>INDEX(PropertyBaseAssessedValuesAGRTable[],MATCH($A$3,PropertyBaseAssessedValuesAGRTable[County]),MATCH(C21,PropertyBaseAssessedValuesAGRTable[#Headers]))</f>
        <v>2.752253163769687E-2</v>
      </c>
      <c r="D23" s="304">
        <f>INDEX(PropertyBaseAssessedValuesAGRTable[],MATCH($A$3,PropertyBaseAssessedValuesAGRTable[County]),MATCH(D21,PropertyBaseAssessedValuesAGRTable[#Headers]))</f>
        <v>3.3059523354510914E-2</v>
      </c>
      <c r="E23" s="304">
        <f>INDEX(PropertyBaseAssessedValuesAGRTable[],MATCH($A$3,PropertyBaseAssessedValuesAGRTable[County]),MATCH(E21,PropertyBaseAssessedValuesAGRTable[#Headers]))</f>
        <v>8.0347282253605073E-2</v>
      </c>
      <c r="F23" s="304">
        <f>INDEX(PropertyBaseAssessedValuesAGRTable[],MATCH($A$3,PropertyBaseAssessedValuesAGRTable[County]),MATCH(F21,PropertyBaseAssessedValuesAGRTable[#Headers]))</f>
        <v>3.5599409424120695E-2</v>
      </c>
      <c r="G23" s="304">
        <f>INDEX(PropertyBaseAssessedValuesAGRTable[],MATCH($A$3,PropertyBaseAssessedValuesAGRTable[County]),MATCH(G21,PropertyBaseAssessedValuesAGRTable[#Headers]))</f>
        <v>1.0086942098309237E-2</v>
      </c>
      <c r="H23" s="304">
        <f>INDEX(PropertyBaseAssessedValuesAGRTable[],MATCH($A$3,PropertyBaseAssessedValuesAGRTable[County]),MATCH(H21,PropertyBaseAssessedValuesAGRTable[#Headers]))</f>
        <v>1.3308787132419998E-2</v>
      </c>
      <c r="I23" s="304">
        <f>INDEX(PropertyBaseAssessedValuesAGRTable[],MATCH($A$3,PropertyBaseAssessedValuesAGRTable[County]),MATCH(I21,PropertyBaseAssessedValuesAGRTable[#Headers]))</f>
        <v>-5.2338916444624586E-2</v>
      </c>
      <c r="J23" s="304">
        <f>INDEX(PropertyBaseAssessedValuesAGRTable[],MATCH($A$3,PropertyBaseAssessedValuesAGRTable[County]),MATCH(J21,PropertyBaseAssessedValuesAGRTable[#Headers]))</f>
        <v>3.3026272041593314E-2</v>
      </c>
      <c r="K23" s="304">
        <f>INDEX(PropertyBaseAssessedValuesAGRTable[],MATCH($A$3,PropertyBaseAssessedValuesAGRTable[County]),MATCH(K21,PropertyBaseAssessedValuesAGRTable[#Headers]))</f>
        <v>5.1165462477626898E-2</v>
      </c>
      <c r="L23" s="304">
        <f>INDEX(PropertyBaseAssessedValuesAGRTable[],MATCH($A$3,PropertyBaseAssessedValuesAGRTable[County]),MATCH(L21,PropertyBaseAssessedValuesAGRTable[#Headers]))</f>
        <v>2.2055681882641721E-2</v>
      </c>
      <c r="M23" s="304">
        <f>INDEX(PropertyBaseAssessedValuesAGRTable[],MATCH($A$3,PropertyBaseAssessedValuesAGRTable[County]),MATCH(M21,PropertyBaseAssessedValuesAGRTable[#Headers]))</f>
        <v>0.11471916652623393</v>
      </c>
      <c r="N23" s="304">
        <f>INDEX(PropertyBaseAssessedValuesAGRTable[],MATCH($A$3,PropertyBaseAssessedValuesAGRTable[County]),MATCH(N21,PropertyBaseAssessedValuesAGRTable[#Headers]))</f>
        <v>5.3338011064257103E-3</v>
      </c>
      <c r="O23" s="304">
        <f>INDEX(PropertyBaseAssessedValuesAGRTable[],MATCH($A$3,PropertyBaseAssessedValuesAGRTable[County]),MATCH(O21,PropertyBaseAssessedValuesAGRTable[#Headers]))</f>
        <v>9.1688369809292028E-2</v>
      </c>
      <c r="P23" s="304">
        <f>INDEX(PropertyBaseAssessedValuesAGRTable[],MATCH($A$3,PropertyBaseAssessedValuesAGRTable[County]),MATCH(P21,PropertyBaseAssessedValuesAGRTable[#Headers]))</f>
        <v>-7.7767273998635335E-3</v>
      </c>
      <c r="Q23" s="304">
        <f>INDEX(PropertyBaseAssessedValuesAGRTable[],MATCH($A$3,PropertyBaseAssessedValuesAGRTable[County]),MATCH(Q21,PropertyBaseAssessedValuesAGRTable[#Headers]))</f>
        <v>1.5424443449362371E-2</v>
      </c>
      <c r="R23" s="304">
        <f>INDEX(PropertyBaseAssessedValuesAGRTable[],MATCH($A$3,PropertyBaseAssessedValuesAGRTable[County]),MATCH(R21,PropertyBaseAssessedValuesAGRTable[#Headers]))</f>
        <v>4.1407972440280348E-2</v>
      </c>
      <c r="S23" s="406">
        <f>INDEX(PropertyBaseAssessedValuesAGRTable[],MATCH($A$3,PropertyBaseAssessedValuesAGRTable[County]),MATCH(S21,PropertyBaseAssessedValuesAGRTable[#Headers]))</f>
        <v>3.1391910728488605E-2</v>
      </c>
      <c r="T23" s="406">
        <f>INDEX(PropertyBaseAssessedValuesAGRTable[],MATCH($A$3,PropertyBaseAssessedValuesAGRTable[County]),MATCH(T21,PropertyBaseAssessedValuesAGRTable[#Headers]))</f>
        <v>-5.9059025247005827E-3</v>
      </c>
      <c r="U23" s="406">
        <f>INDEX(PropertyBaseAssessedValuesAGRTable[],MATCH($A$3,PropertyBaseAssessedValuesAGRTable[County]),MATCH(U21,PropertyBaseAssessedValuesAGRTable[#Headers]))</f>
        <v>3.7855538719760259E-2</v>
      </c>
      <c r="V23" s="406">
        <f>INDEX(PropertyBaseAssessedValuesAGRTable[],MATCH($A$3,PropertyBaseAssessedValuesAGRTable[County]),MATCH(V21,PropertyBaseAssessedValuesAGRTable[#Headers]))</f>
        <v>4.3133920245394163E-2</v>
      </c>
      <c r="W23" s="406">
        <f>INDEX(PropertyBaseAssessedValuesAGRTable[],MATCH($A$3,PropertyBaseAssessedValuesAGRTable[County]),MATCH(W21,PropertyBaseAssessedValuesAGRTable[#Headers]))</f>
        <v>-1.9855702315310891E-2</v>
      </c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</row>
    <row r="24" spans="1:75" ht="16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</row>
    <row r="25" spans="1:75" ht="16">
      <c r="A25" s="155"/>
      <c r="B25" s="157"/>
      <c r="C25" s="157"/>
      <c r="D25" s="157"/>
      <c r="E25" s="157"/>
      <c r="F25" s="157"/>
      <c r="G25" s="157"/>
      <c r="H25" s="157"/>
      <c r="I25" s="157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</row>
    <row r="26" spans="1:75" s="94" customFormat="1" ht="20">
      <c r="A26" s="154" t="str">
        <f>CONCATENATE($A$3," County Annual Growth Rates: General Revenue Sales Tax Receipts and Taxable Sales ")</f>
        <v xml:space="preserve">Pike County Annual Growth Rates: General Revenue Sales Tax Receipts and Taxable Sales </v>
      </c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Y26" s="537"/>
      <c r="Z26" s="537"/>
      <c r="AA26" s="537"/>
      <c r="AB26" s="537"/>
      <c r="AC26" s="537"/>
      <c r="AD26" s="537"/>
      <c r="AE26" s="537"/>
      <c r="AF26" s="537"/>
      <c r="AG26" s="537"/>
      <c r="AH26" s="537"/>
      <c r="AI26" s="537"/>
      <c r="AJ26" s="537"/>
      <c r="AK26" s="537"/>
      <c r="AL26" s="537"/>
      <c r="AM26" s="537"/>
      <c r="AN26" s="537"/>
      <c r="AO26" s="537"/>
      <c r="AP26" s="537"/>
      <c r="AQ26" s="537"/>
      <c r="AR26" s="537"/>
      <c r="AS26" s="537"/>
      <c r="AT26" s="537"/>
      <c r="AU26" s="537"/>
      <c r="AV26" s="537"/>
      <c r="AW26" s="537"/>
      <c r="AX26" s="537"/>
      <c r="AY26" s="537"/>
      <c r="AZ26" s="537"/>
      <c r="BA26" s="537"/>
      <c r="BB26" s="537"/>
      <c r="BC26" s="537"/>
      <c r="BD26" s="537"/>
      <c r="BE26" s="537"/>
      <c r="BF26" s="537"/>
      <c r="BG26" s="537"/>
      <c r="BH26" s="537"/>
      <c r="BI26" s="537"/>
      <c r="BJ26" s="537"/>
      <c r="BK26" s="537"/>
      <c r="BL26" s="537"/>
      <c r="BM26" s="537"/>
      <c r="BN26" s="537"/>
      <c r="BO26" s="537"/>
      <c r="BP26" s="537"/>
      <c r="BQ26" s="537"/>
      <c r="BR26" s="537"/>
      <c r="BS26" s="537"/>
      <c r="BT26" s="537"/>
      <c r="BU26" s="537"/>
      <c r="BV26" s="537"/>
      <c r="BW26" s="537"/>
    </row>
    <row r="27" spans="1:75" ht="16">
      <c r="A27" s="303" t="s">
        <v>434</v>
      </c>
      <c r="B27" s="302" t="s">
        <v>409</v>
      </c>
      <c r="C27" s="302" t="s">
        <v>410</v>
      </c>
      <c r="D27" s="302" t="s">
        <v>411</v>
      </c>
      <c r="E27" s="302" t="s">
        <v>412</v>
      </c>
      <c r="F27" s="302" t="s">
        <v>413</v>
      </c>
      <c r="G27" s="302" t="s">
        <v>414</v>
      </c>
      <c r="H27" s="302" t="s">
        <v>415</v>
      </c>
      <c r="I27" s="302" t="s">
        <v>416</v>
      </c>
      <c r="J27" s="302" t="s">
        <v>417</v>
      </c>
      <c r="K27" s="302" t="s">
        <v>418</v>
      </c>
      <c r="L27" s="302" t="s">
        <v>419</v>
      </c>
      <c r="M27" s="302" t="s">
        <v>420</v>
      </c>
      <c r="N27" s="302" t="s">
        <v>421</v>
      </c>
      <c r="O27" s="302" t="s">
        <v>422</v>
      </c>
      <c r="P27" s="302" t="s">
        <v>423</v>
      </c>
      <c r="Q27" s="302" t="s">
        <v>355</v>
      </c>
      <c r="R27" s="302" t="s">
        <v>399</v>
      </c>
      <c r="S27" s="405" t="s">
        <v>424</v>
      </c>
      <c r="T27" s="302" t="s">
        <v>446</v>
      </c>
      <c r="U27" s="302" t="s">
        <v>523</v>
      </c>
      <c r="V27" s="302" t="s">
        <v>524</v>
      </c>
      <c r="W27" s="302" t="s">
        <v>525</v>
      </c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</row>
    <row r="28" spans="1:75" ht="16">
      <c r="A28" s="155" t="s">
        <v>147</v>
      </c>
      <c r="B28" s="304"/>
      <c r="C28" s="304">
        <f>INDEX('3-AGF Receipts &amp; Balances'!$BU$115:$CM$203,MATCH($A$3,'3-AGF Receipts &amp; Balances'!$BU$115:$BU$203),MATCH(C27,'3-AGF Receipts &amp; Balances'!$BU$114:$CM$114))</f>
        <v>5.1338727803367214E-2</v>
      </c>
      <c r="D28" s="304">
        <f>INDEX('3-AGF Receipts &amp; Balances'!$BU$115:$CM$203,MATCH($A$3,'3-AGF Receipts &amp; Balances'!$BU$115:$BU$203),MATCH(D27,'3-AGF Receipts &amp; Balances'!$BU$114:$CM$114))</f>
        <v>-4.5847965316041326E-3</v>
      </c>
      <c r="E28" s="304">
        <f>INDEX('3-AGF Receipts &amp; Balances'!$BU$115:$CM$203,MATCH($A$3,'3-AGF Receipts &amp; Balances'!$BU$115:$BU$203),MATCH(E27,'3-AGF Receipts &amp; Balances'!$BU$114:$CM$114))</f>
        <v>1.7566299551226255E-3</v>
      </c>
      <c r="F28" s="304">
        <f>INDEX('3-AGF Receipts &amp; Balances'!$BU$115:$CM$203,MATCH($A$3,'3-AGF Receipts &amp; Balances'!$BU$115:$BU$203),MATCH(F27,'3-AGF Receipts &amp; Balances'!$BU$114:$CM$114))</f>
        <v>7.4200960307848382E-2</v>
      </c>
      <c r="G28" s="304">
        <f>INDEX('3-AGF Receipts &amp; Balances'!$BU$115:$CM$203,MATCH($A$3,'3-AGF Receipts &amp; Balances'!$BU$115:$BU$203),MATCH(G27,'3-AGF Receipts &amp; Balances'!$BU$114:$CM$114))</f>
        <v>3.58553185262541E-2</v>
      </c>
      <c r="H28" s="304">
        <f>INDEX('3-AGF Receipts &amp; Balances'!$BU$115:$CM$203,MATCH($A$3,'3-AGF Receipts &amp; Balances'!$BU$115:$BU$203),MATCH(H27,'3-AGF Receipts &amp; Balances'!$BU$114:$CM$114))</f>
        <v>3.2231720003752704E-3</v>
      </c>
      <c r="I28" s="304">
        <f>INDEX('3-AGF Receipts &amp; Balances'!$BU$115:$CM$203,MATCH($A$3,'3-AGF Receipts &amp; Balances'!$BU$115:$BU$203),MATCH(I27,'3-AGF Receipts &amp; Balances'!$BU$114:$CM$114))</f>
        <v>-8.7720033371178549E-3</v>
      </c>
      <c r="J28" s="304">
        <f>INDEX('3-AGF Receipts &amp; Balances'!$BU$115:$CM$203,MATCH($A$3,'3-AGF Receipts &amp; Balances'!$BU$115:$BU$203),MATCH(J27,'3-AGF Receipts &amp; Balances'!$BU$114:$CM$114))</f>
        <v>5.9127186069743091E-2</v>
      </c>
      <c r="K28" s="304">
        <f>INDEX('3-AGF Receipts &amp; Balances'!$BU$115:$CM$203,MATCH($A$3,'3-AGF Receipts &amp; Balances'!$BU$115:$BU$203),MATCH(K27,'3-AGF Receipts &amp; Balances'!$BU$114:$CM$114))</f>
        <v>3.4503118139798526E-2</v>
      </c>
      <c r="L28" s="304">
        <f>INDEX('3-AGF Receipts &amp; Balances'!$BU$115:$CM$203,MATCH($A$3,'3-AGF Receipts &amp; Balances'!$BU$115:$BU$203),MATCH(L27,'3-AGF Receipts &amp; Balances'!$BU$114:$CM$114))</f>
        <v>1.1295560528941716E-2</v>
      </c>
      <c r="M28" s="304">
        <f>INDEX('3-AGF Receipts &amp; Balances'!$BU$115:$CM$203,MATCH($A$3,'3-AGF Receipts &amp; Balances'!$BU$115:$BU$203),MATCH(M27,'3-AGF Receipts &amp; Balances'!$BU$114:$CM$114))</f>
        <v>5.1884677364453527E-2</v>
      </c>
      <c r="N28" s="304">
        <f>INDEX('3-AGF Receipts &amp; Balances'!$BU$115:$CM$203,MATCH($A$3,'3-AGF Receipts &amp; Balances'!$BU$115:$BU$203),MATCH(N27,'3-AGF Receipts &amp; Balances'!$BU$114:$CM$114))</f>
        <v>5.060238978706405E-2</v>
      </c>
      <c r="O28" s="304">
        <f>INDEX('3-AGF Receipts &amp; Balances'!$BU$115:$CM$203,MATCH($A$3,'3-AGF Receipts &amp; Balances'!$BU$115:$BU$203),MATCH(O27,'3-AGF Receipts &amp; Balances'!$BU$114:$CM$114))</f>
        <v>-4.6373590442263378E-2</v>
      </c>
      <c r="P28" s="304">
        <f>INDEX('3-AGF Receipts &amp; Balances'!$BU$115:$CM$203,MATCH($A$3,'3-AGF Receipts &amp; Balances'!$BU$115:$BU$203),MATCH(P27,'3-AGF Receipts &amp; Balances'!$BU$114:$CM$114))</f>
        <v>-3.9775672007851112E-3</v>
      </c>
      <c r="Q28" s="304">
        <f>INDEX('3-AGF Receipts &amp; Balances'!$BU$115:$CM$203,MATCH($A$3,'3-AGF Receipts &amp; Balances'!$BU$115:$BU$203),MATCH(Q27,'3-AGF Receipts &amp; Balances'!$BU$114:$CM$114))</f>
        <v>6.2427110363500966E-2</v>
      </c>
      <c r="R28" s="304">
        <f>INDEX('3-AGF Receipts &amp; Balances'!$BU$115:$CM$203,MATCH($A$3,'3-AGF Receipts &amp; Balances'!$BU$115:$BU$203),MATCH(R27,'3-AGF Receipts &amp; Balances'!$BU$114:$CM$114))</f>
        <v>-1</v>
      </c>
      <c r="S28" s="406" t="e">
        <f>INDEX('3-AGF Receipts &amp; Balances'!$BU$115:$CM$203,MATCH($A$3,'3-AGF Receipts &amp; Balances'!$BU$115:$BU$203),MATCH(S27,'3-AGF Receipts &amp; Balances'!$BU$114:$CM$114))</f>
        <v>#DIV/0!</v>
      </c>
      <c r="T28" s="406" t="e">
        <f>INDEX('3-AGF Receipts &amp; Balances'!$BU$115:$CM$203,MATCH($A$3,'3-AGF Receipts &amp; Balances'!$BU$115:$BU$203),MATCH(T27,'3-AGF Receipts &amp; Balances'!$BU$114:$CM$114))</f>
        <v>#DIV/0!</v>
      </c>
      <c r="U28" s="406" t="e">
        <f>INDEX('3-AGF Receipts &amp; Balances'!$BU$115:$CM$203,MATCH($A$3,'3-AGF Receipts &amp; Balances'!$BU$115:$BU$203),MATCH(U27,'3-AGF Receipts &amp; Balances'!$BU$114:$CM$114))</f>
        <v>#DIV/0!</v>
      </c>
      <c r="V28" s="406" t="e">
        <f>INDEX('3-AGF Receipts &amp; Balances'!$BU$115:$CM$203,MATCH($A$3,'3-AGF Receipts &amp; Balances'!$BU$115:$BU$203),MATCH(V27,'3-AGF Receipts &amp; Balances'!$BU$114:$CM$114))</f>
        <v>#DIV/0!</v>
      </c>
      <c r="W28" s="406" t="e">
        <f>INDEX('3-AGF Receipts &amp; Balances'!$BU$115:$CM$203,MATCH($A$3,'3-AGF Receipts &amp; Balances'!$BU$115:$BU$203),MATCH(W27,'3-AGF Receipts &amp; Balances'!$BU$114:$CM$114))</f>
        <v>#DIV/0!</v>
      </c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</row>
    <row r="29" spans="1:75" ht="16">
      <c r="A29" s="155" t="s">
        <v>106</v>
      </c>
      <c r="B29" s="304"/>
      <c r="C29" s="304">
        <f>INDEX(SalesBaseTaxableSalesAGRTable[],MATCH($A$3,SalesBaseTaxableSalesAGRTable[County]),MATCH(C27,SalesBaseTaxableSalesAGRTable[#Headers]))</f>
        <v>0.10056517019122385</v>
      </c>
      <c r="D29" s="304">
        <f>INDEX(SalesBaseTaxableSalesAGRTable[],MATCH($A$3,SalesBaseTaxableSalesAGRTable[County]),MATCH(D27,SalesBaseTaxableSalesAGRTable[#Headers]))</f>
        <v>-5.6613752244285154E-3</v>
      </c>
      <c r="E29" s="304">
        <f>INDEX(SalesBaseTaxableSalesAGRTable[],MATCH($A$3,SalesBaseTaxableSalesAGRTable[County]),MATCH(E27,SalesBaseTaxableSalesAGRTable[#Headers]))</f>
        <v>-3.0280072885037871E-2</v>
      </c>
      <c r="F29" s="304">
        <f>INDEX(SalesBaseTaxableSalesAGRTable[],MATCH($A$3,SalesBaseTaxableSalesAGRTable[County]),MATCH(F27,SalesBaseTaxableSalesAGRTable[#Headers]))</f>
        <v>8.4803426063448609E-2</v>
      </c>
      <c r="G29" s="304">
        <f>INDEX(SalesBaseTaxableSalesAGRTable[],MATCH($A$3,SalesBaseTaxableSalesAGRTable[County]),MATCH(G27,SalesBaseTaxableSalesAGRTable[#Headers]))</f>
        <v>4.3832733391249747E-2</v>
      </c>
      <c r="H29" s="304">
        <f>INDEX(SalesBaseTaxableSalesAGRTable[],MATCH($A$3,SalesBaseTaxableSalesAGRTable[County]),MATCH(H27,SalesBaseTaxableSalesAGRTable[#Headers]))</f>
        <v>1.076813817958535E-2</v>
      </c>
      <c r="I29" s="304">
        <f>INDEX(SalesBaseTaxableSalesAGRTable[],MATCH($A$3,SalesBaseTaxableSalesAGRTable[County]),MATCH(I27,SalesBaseTaxableSalesAGRTable[#Headers]))</f>
        <v>2.8695401426013397E-2</v>
      </c>
      <c r="J29" s="304">
        <f>INDEX(SalesBaseTaxableSalesAGRTable[],MATCH($A$3,SalesBaseTaxableSalesAGRTable[County]),MATCH(J27,SalesBaseTaxableSalesAGRTable[#Headers]))</f>
        <v>2.2326867080744769E-2</v>
      </c>
      <c r="K29" s="304">
        <f>INDEX(SalesBaseTaxableSalesAGRTable[],MATCH($A$3,SalesBaseTaxableSalesAGRTable[County]),MATCH(K27,SalesBaseTaxableSalesAGRTable[#Headers]))</f>
        <v>4.378359485772737E-2</v>
      </c>
      <c r="L29" s="304">
        <f>INDEX(SalesBaseTaxableSalesAGRTable[],MATCH($A$3,SalesBaseTaxableSalesAGRTable[County]),MATCH(L27,SalesBaseTaxableSalesAGRTable[#Headers]))</f>
        <v>2.6887345882033727E-2</v>
      </c>
      <c r="M29" s="304">
        <f>INDEX(SalesBaseTaxableSalesAGRTable[],MATCH($A$3,SalesBaseTaxableSalesAGRTable[County]),MATCH(M27,SalesBaseTaxableSalesAGRTable[#Headers]))</f>
        <v>3.6297689796685219E-2</v>
      </c>
      <c r="N29" s="304">
        <f>INDEX(SalesBaseTaxableSalesAGRTable[],MATCH($A$3,SalesBaseTaxableSalesAGRTable[County]),MATCH(N27,SalesBaseTaxableSalesAGRTable[#Headers]))</f>
        <v>7.1346063588594202E-2</v>
      </c>
      <c r="O29" s="304">
        <f>INDEX(SalesBaseTaxableSalesAGRTable[],MATCH($A$3,SalesBaseTaxableSalesAGRTable[County]),MATCH(O27,SalesBaseTaxableSalesAGRTable[#Headers]))</f>
        <v>8.1294675046848758E-2</v>
      </c>
      <c r="P29" s="304">
        <f>INDEX(SalesBaseTaxableSalesAGRTable[],MATCH($A$3,SalesBaseTaxableSalesAGRTable[County]),MATCH(P27,SalesBaseTaxableSalesAGRTable[#Headers]))</f>
        <v>-9.4416880761624189E-2</v>
      </c>
      <c r="Q29" s="304">
        <f>INDEX(SalesBaseTaxableSalesAGRTable[],MATCH($A$3,SalesBaseTaxableSalesAGRTable[County]),MATCH(Q27,SalesBaseTaxableSalesAGRTable[#Headers]))</f>
        <v>1.8944825416409392E-2</v>
      </c>
      <c r="R29" s="304">
        <f>INDEX(SalesBaseTaxableSalesAGRTable[],MATCH($A$3,SalesBaseTaxableSalesAGRTable[County]),MATCH(R27,SalesBaseTaxableSalesAGRTable[#Headers]))</f>
        <v>2.8203288536804441E-2</v>
      </c>
      <c r="S29" s="406">
        <f>INDEX(SalesBaseTaxableSalesAGRTable[],MATCH($A$3,SalesBaseTaxableSalesAGRTable[County]),MATCH(S27,SalesBaseTaxableSalesAGRTable[#Headers]))</f>
        <v>1.9279259863501551E-2</v>
      </c>
      <c r="T29" s="406">
        <f>INDEX(SalesBaseTaxableSalesAGRTable[],MATCH($A$3,SalesBaseTaxableSalesAGRTable[County]),MATCH(T27,SalesBaseTaxableSalesAGRTable[#Headers]))</f>
        <v>4.6145104105477494E-2</v>
      </c>
      <c r="U29" s="406">
        <f>INDEX(SalesBaseTaxableSalesAGRTable[],MATCH($A$3,SalesBaseTaxableSalesAGRTable[County]),MATCH(U27,SalesBaseTaxableSalesAGRTable[#Headers]))</f>
        <v>2.0970486073623507E-2</v>
      </c>
      <c r="V29" s="406">
        <f>INDEX(SalesBaseTaxableSalesAGRTable[],MATCH($A$3,SalesBaseTaxableSalesAGRTable[County]),MATCH(V27,SalesBaseTaxableSalesAGRTable[#Headers]))</f>
        <v>1.4388445568085743E-2</v>
      </c>
      <c r="W29" s="406">
        <f>INDEX(SalesBaseTaxableSalesAGRTable[],MATCH($A$3,SalesBaseTaxableSalesAGRTable[County]),MATCH(W27,SalesBaseTaxableSalesAGRTable[#Headers]))</f>
        <v>-1.8126047059679406E-3</v>
      </c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</row>
    <row r="30" spans="1:75" ht="16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</row>
    <row r="31" spans="1:75" s="94" customFormat="1" ht="20">
      <c r="A31" s="154" t="str">
        <f>CONCATENATE($A$3," County Cumulative Growth Rates: General Revenue Property Tax Receipts and Property Assessed Values")</f>
        <v>Pike County Cumulative Growth Rates: General Revenue Property Tax Receipts and Property Assessed Values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</row>
    <row r="32" spans="1:75" ht="16">
      <c r="A32" s="303" t="s">
        <v>434</v>
      </c>
      <c r="B32" s="302" t="s">
        <v>409</v>
      </c>
      <c r="C32" s="302" t="s">
        <v>410</v>
      </c>
      <c r="D32" s="302" t="s">
        <v>411</v>
      </c>
      <c r="E32" s="302" t="s">
        <v>412</v>
      </c>
      <c r="F32" s="302" t="s">
        <v>413</v>
      </c>
      <c r="G32" s="302" t="s">
        <v>414</v>
      </c>
      <c r="H32" s="302" t="s">
        <v>415</v>
      </c>
      <c r="I32" s="302" t="s">
        <v>416</v>
      </c>
      <c r="J32" s="302" t="s">
        <v>417</v>
      </c>
      <c r="K32" s="302" t="s">
        <v>418</v>
      </c>
      <c r="L32" s="302" t="s">
        <v>419</v>
      </c>
      <c r="M32" s="302" t="s">
        <v>420</v>
      </c>
      <c r="N32" s="302" t="s">
        <v>421</v>
      </c>
      <c r="O32" s="302" t="s">
        <v>422</v>
      </c>
      <c r="P32" s="302" t="s">
        <v>423</v>
      </c>
      <c r="Q32" s="302" t="s">
        <v>355</v>
      </c>
      <c r="R32" s="302" t="s">
        <v>399</v>
      </c>
      <c r="S32" s="405" t="s">
        <v>424</v>
      </c>
      <c r="T32" s="302" t="s">
        <v>446</v>
      </c>
      <c r="U32" s="302" t="s">
        <v>523</v>
      </c>
      <c r="V32" s="302" t="s">
        <v>524</v>
      </c>
      <c r="W32" s="302" t="s">
        <v>525</v>
      </c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</row>
    <row r="33" spans="1:75" ht="16">
      <c r="A33" s="155" t="s">
        <v>146</v>
      </c>
      <c r="B33" s="179"/>
      <c r="C33" s="179">
        <f>INDEX('3-AGF Receipts &amp; Balances'!$A$115:$S$203,MATCH($A$3,'3-AGF Receipts &amp; Balances'!$A$115:$A$203),MATCH(C32,'3-AGF Receipts &amp; Balances'!$A$114:$S$114))</f>
        <v>0.1469149757854917</v>
      </c>
      <c r="D33" s="179">
        <f>INDEX('3-AGF Receipts &amp; Balances'!$A$115:$S$203,MATCH($A$3,'3-AGF Receipts &amp; Balances'!$A$115:$A$203),MATCH(D32,'3-AGF Receipts &amp; Balances'!$A$114:$S$114))</f>
        <v>0.15625579329170397</v>
      </c>
      <c r="E33" s="179">
        <f>INDEX('3-AGF Receipts &amp; Balances'!$A$115:$S$203,MATCH($A$3,'3-AGF Receipts &amp; Balances'!$A$115:$A$203),MATCH(E32,'3-AGF Receipts &amp; Balances'!$A$114:$S$114))</f>
        <v>0.2226361794569835</v>
      </c>
      <c r="F33" s="179">
        <f>INDEX('3-AGF Receipts &amp; Balances'!$A$115:$S$203,MATCH($A$3,'3-AGF Receipts &amp; Balances'!$A$115:$A$203),MATCH(F32,'3-AGF Receipts &amp; Balances'!$A$114:$S$114))</f>
        <v>0.17510885722930394</v>
      </c>
      <c r="G33" s="179">
        <f>INDEX('3-AGF Receipts &amp; Balances'!$A$115:$S$203,MATCH($A$3,'3-AGF Receipts &amp; Balances'!$A$115:$A$203),MATCH(G32,'3-AGF Receipts &amp; Balances'!$A$114:$S$114))</f>
        <v>0.16652431129127132</v>
      </c>
      <c r="H33" s="179">
        <f>INDEX('3-AGF Receipts &amp; Balances'!$A$115:$S$203,MATCH($A$3,'3-AGF Receipts &amp; Balances'!$A$115:$A$203),MATCH(H32,'3-AGF Receipts &amp; Balances'!$A$114:$S$114))</f>
        <v>0.27089689026879554</v>
      </c>
      <c r="I33" s="179">
        <f>INDEX('3-AGF Receipts &amp; Balances'!$A$115:$S$203,MATCH($A$3,'3-AGF Receipts &amp; Balances'!$A$115:$A$203),MATCH(I32,'3-AGF Receipts &amp; Balances'!$A$114:$S$114))</f>
        <v>0.73400686688503902</v>
      </c>
      <c r="J33" s="179">
        <f>INDEX('3-AGF Receipts &amp; Balances'!$A$115:$S$203,MATCH($A$3,'3-AGF Receipts &amp; Balances'!$A$115:$A$203),MATCH(J32,'3-AGF Receipts &amp; Balances'!$A$114:$S$114))</f>
        <v>0.48306421506998182</v>
      </c>
      <c r="K33" s="179">
        <f>INDEX('3-AGF Receipts &amp; Balances'!$A$115:$S$203,MATCH($A$3,'3-AGF Receipts &amp; Balances'!$A$115:$A$203),MATCH(K32,'3-AGF Receipts &amp; Balances'!$A$114:$S$114))</f>
        <v>0.37628287038403518</v>
      </c>
      <c r="L33" s="179">
        <f>INDEX('3-AGF Receipts &amp; Balances'!$A$115:$S$203,MATCH($A$3,'3-AGF Receipts &amp; Balances'!$A$115:$A$203),MATCH(L32,'3-AGF Receipts &amp; Balances'!$A$114:$S$114))</f>
        <v>0.57842697835280765</v>
      </c>
      <c r="M33" s="179">
        <f>INDEX('3-AGF Receipts &amp; Balances'!$A$115:$S$203,MATCH($A$3,'3-AGF Receipts &amp; Balances'!$A$115:$A$203),MATCH(M32,'3-AGF Receipts &amp; Balances'!$A$114:$S$114))</f>
        <v>0.58334635010324432</v>
      </c>
      <c r="N33" s="179">
        <f>INDEX('3-AGF Receipts &amp; Balances'!$A$115:$S$203,MATCH($A$3,'3-AGF Receipts &amp; Balances'!$A$115:$A$203),MATCH(N32,'3-AGF Receipts &amp; Balances'!$A$114:$S$114))</f>
        <v>0.72342948387374229</v>
      </c>
      <c r="O33" s="179">
        <f>INDEX('3-AGF Receipts &amp; Balances'!$A$115:$S$203,MATCH($A$3,'3-AGF Receipts &amp; Balances'!$A$115:$A$203),MATCH(O32,'3-AGF Receipts &amp; Balances'!$A$114:$S$114))</f>
        <v>-1</v>
      </c>
      <c r="P33" s="179">
        <f>INDEX('3-AGF Receipts &amp; Balances'!$A$115:$S$203,MATCH($A$3,'3-AGF Receipts &amp; Balances'!$A$115:$A$203),MATCH(P32,'3-AGF Receipts &amp; Balances'!$A$114:$S$114))</f>
        <v>0.58408283397024308</v>
      </c>
      <c r="Q33" s="179">
        <f>INDEX('3-AGF Receipts &amp; Balances'!$A$115:$S$203,MATCH($A$3,'3-AGF Receipts &amp; Balances'!$A$115:$A$203),MATCH(Q32,'3-AGF Receipts &amp; Balances'!$A$114:$S$114))</f>
        <v>0.93034917112193938</v>
      </c>
      <c r="R33" s="179">
        <f>INDEX('3-AGF Receipts &amp; Balances'!$A$115:$S$203,MATCH($A$3,'3-AGF Receipts &amp; Balances'!$A$115:$A$203),MATCH(R32,'3-AGF Receipts &amp; Balances'!$A$114:$S$114))</f>
        <v>-1</v>
      </c>
      <c r="S33" s="404">
        <f>INDEX('3-AGF Receipts &amp; Balances'!$A$115:$S$203,MATCH($A$3,'3-AGF Receipts &amp; Balances'!$A$115:$A$203),MATCH(S32,'3-AGF Receipts &amp; Balances'!$A$114:$S$114))</f>
        <v>-1</v>
      </c>
      <c r="T33" s="404">
        <f>INDEX('3-AGF Receipts &amp; Balances'!$A$115:$S$203,MATCH($A$3,'3-AGF Receipts &amp; Balances'!$A$115:$A$203),MATCH(T32,'3-AGF Receipts &amp; Balances'!$A$114:$S$114))</f>
        <v>-1</v>
      </c>
      <c r="U33" s="404">
        <f>INDEX('3-AGF Receipts &amp; Balances'!$A$115:$S$203,MATCH($A$3,'3-AGF Receipts &amp; Balances'!$A$115:$A$203),MATCH(U32,'3-AGF Receipts &amp; Balances'!$A$114:$S$114))</f>
        <v>-1</v>
      </c>
      <c r="V33" s="404">
        <f>INDEX('3-AGF Receipts &amp; Balances'!$A$115:$S$203,MATCH($A$3,'3-AGF Receipts &amp; Balances'!$A$115:$A$203),MATCH(V32,'3-AGF Receipts &amp; Balances'!$A$114:$S$114))</f>
        <v>-1</v>
      </c>
      <c r="W33" s="404">
        <f>INDEX('3-AGF Receipts &amp; Balances'!$A$115:$S$203,MATCH($A$3,'3-AGF Receipts &amp; Balances'!$A$115:$A$203),MATCH(W32,'3-AGF Receipts &amp; Balances'!$A$114:$S$114))</f>
        <v>-1</v>
      </c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</row>
    <row r="34" spans="1:75" ht="16">
      <c r="A34" s="155" t="s">
        <v>241</v>
      </c>
      <c r="B34" s="179"/>
      <c r="C34" s="179">
        <f>INDEX(PropertyBaseAssessedValuesCGRTable[],MATCH($A$3,PropertyBaseAssessedValuesCGRTable[County]),MATCH(C32,PropertyBaseAssessedValuesCGRTable[#Headers]))</f>
        <v>2.752253163769687E-2</v>
      </c>
      <c r="D34" s="179">
        <f>INDEX(PropertyBaseAssessedValuesCGRTable[],MATCH($A$3,PropertyBaseAssessedValuesCGRTable[County]),MATCH(D32,PropertyBaseAssessedValuesCGRTable[#Headers]))</f>
        <v>6.1491936769659486E-2</v>
      </c>
      <c r="E34" s="179">
        <f>INDEX(PropertyBaseAssessedValuesCGRTable[],MATCH($A$3,PropertyBaseAssessedValuesCGRTable[County]),MATCH(E32,PropertyBaseAssessedValuesCGRTable[#Headers]))</f>
        <v>0.14677992902321724</v>
      </c>
      <c r="F34" s="179">
        <f>INDEX(PropertyBaseAssessedValuesCGRTable[],MATCH($A$3,PropertyBaseAssessedValuesCGRTable[County]),MATCH(F32,PropertyBaseAssessedValuesCGRTable[#Headers]))</f>
        <v>0.18760461723587882</v>
      </c>
      <c r="G34" s="179">
        <f>INDEX(PropertyBaseAssessedValuesCGRTable[],MATCH($A$3,PropertyBaseAssessedValuesCGRTable[County]),MATCH(G32,PropertyBaseAssessedValuesCGRTable[#Headers]))</f>
        <v>0.19958391624562183</v>
      </c>
      <c r="H34" s="179">
        <f>INDEX(PropertyBaseAssessedValuesCGRTable[],MATCH($A$3,PropertyBaseAssessedValuesCGRTable[County]),MATCH(H32,PropertyBaseAssessedValuesCGRTable[#Headers]))</f>
        <v>0.21554892323440955</v>
      </c>
      <c r="I34" s="179">
        <f>INDEX(PropertyBaseAssessedValuesCGRTable[],MATCH($A$3,PropertyBaseAssessedValuesCGRTable[County]),MATCH(I32,PropertyBaseAssessedValuesCGRTable[#Headers]))</f>
        <v>0.15192840970689039</v>
      </c>
      <c r="J34" s="179">
        <f>INDEX(PropertyBaseAssessedValuesCGRTable[],MATCH($A$3,PropertyBaseAssessedValuesCGRTable[County]),MATCH(J32,PropertyBaseAssessedValuesCGRTable[#Headers]))</f>
        <v>0.18997231073831011</v>
      </c>
      <c r="K34" s="179">
        <f>INDEX(PropertyBaseAssessedValuesCGRTable[],MATCH($A$3,PropertyBaseAssessedValuesCGRTable[County]),MATCH(K32,PropertyBaseAssessedValuesCGRTable[#Headers]))</f>
        <v>0.25085779435280608</v>
      </c>
      <c r="L34" s="179">
        <f>INDEX(PropertyBaseAssessedValuesCGRTable[],MATCH($A$3,PropertyBaseAssessedValuesCGRTable[County]),MATCH(L32,PropertyBaseAssessedValuesCGRTable[#Headers]))</f>
        <v>0.27844631594547448</v>
      </c>
      <c r="M34" s="179">
        <f>INDEX(PropertyBaseAssessedValuesCGRTable[],MATCH($A$3,PropertyBaseAssessedValuesCGRTable[County]),MATCH(M32,PropertyBaseAssessedValuesCGRTable[#Headers]))</f>
        <v>0.42510861175927361</v>
      </c>
      <c r="N34" s="179">
        <f>INDEX(PropertyBaseAssessedValuesCGRTable[],MATCH($A$3,PropertyBaseAssessedValuesCGRTable[County]),MATCH(N32,PropertyBaseAssessedValuesCGRTable[#Headers]))</f>
        <v>0.43270985764945208</v>
      </c>
      <c r="O34" s="179">
        <f>INDEX(PropertyBaseAssessedValuesCGRTable[],MATCH($A$3,PropertyBaseAssessedValuesCGRTable[County]),MATCH(O32,PropertyBaseAssessedValuesCGRTable[#Headers]))</f>
        <v>0.5640726889070331</v>
      </c>
      <c r="P34" s="179">
        <f>INDEX(PropertyBaseAssessedValuesCGRTable[],MATCH($A$3,PropertyBaseAssessedValuesCGRTable[County]),MATCH(P32,PropertyBaseAssessedValuesCGRTable[#Headers]))</f>
        <v>0.55190932197183162</v>
      </c>
      <c r="Q34" s="179">
        <f>INDEX(PropertyBaseAssessedValuesCGRTable[],MATCH($A$3,PropertyBaseAssessedValuesCGRTable[County]),MATCH(Q32,PropertyBaseAssessedValuesCGRTable[#Headers]))</f>
        <v>0.57584665954712444</v>
      </c>
      <c r="R34" s="179">
        <f>INDEX(PropertyBaseAssessedValuesCGRTable[],MATCH($A$3,PropertyBaseAssessedValuesCGRTable[County]),MATCH(R32,PropertyBaseAssessedValuesCGRTable[#Headers]))</f>
        <v>0.64109927459575955</v>
      </c>
      <c r="S34" s="404">
        <f>INDEX(PropertyBaseAssessedValuesCGRTable[],MATCH($A$3,PropertyBaseAssessedValuesCGRTable[County]),MATCH(S32,PropertyBaseAssessedValuesCGRTable[#Headers]))</f>
        <v>0.69261651652045708</v>
      </c>
      <c r="T34" s="404">
        <f>INDEX(PropertyBaseAssessedValuesCGRTable[],MATCH($A$3,PropertyBaseAssessedValuesCGRTable[County]),MATCH(T32,PropertyBaseAssessedValuesCGRTable[#Headers]))</f>
        <v>0.68262008836218901</v>
      </c>
      <c r="U34" s="404">
        <f>INDEX(PropertyBaseAssessedValuesCGRTable[],MATCH($A$3,PropertyBaseAssessedValuesCGRTable[County]),MATCH(U32,PropertyBaseAssessedValuesCGRTable[#Headers]))</f>
        <v>0.74631657826783027</v>
      </c>
      <c r="V34" s="404">
        <f>INDEX(PropertyBaseAssessedValuesCGRTable[],MATCH($A$3,PropertyBaseAssessedValuesCGRTable[County]),MATCH(V32,PropertyBaseAssessedValuesCGRTable[#Headers]))</f>
        <v>0.82164205827804448</v>
      </c>
      <c r="W34" s="404">
        <f>INDEX(PropertyBaseAssessedValuesCGRTable[],MATCH($A$3,PropertyBaseAssessedValuesCGRTable[County]),MATCH(W32,PropertyBaseAssessedValuesCGRTable[#Headers]))</f>
        <v>0.78547207584382539</v>
      </c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</row>
    <row r="35" spans="1:75" ht="16">
      <c r="A35" s="155"/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</row>
    <row r="36" spans="1:75" ht="16">
      <c r="A36" s="155"/>
      <c r="B36" s="159"/>
      <c r="C36" s="159"/>
      <c r="D36" s="159"/>
      <c r="E36" s="159"/>
      <c r="F36" s="159"/>
      <c r="G36" s="159"/>
      <c r="H36" s="159"/>
      <c r="I36" s="159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</row>
    <row r="37" spans="1:75" s="94" customFormat="1" ht="20">
      <c r="A37" s="154" t="str">
        <f>CONCATENATE($A$3," County Cumulative Growth Rates: General Revenue Sales Tax Receipts and Taxable Sales ")</f>
        <v xml:space="preserve">Pike County Cumulative Growth Rates: General Revenue Sales Tax Receipts and Taxable Sales </v>
      </c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Y37" s="537"/>
      <c r="Z37" s="537"/>
      <c r="AA37" s="537"/>
      <c r="AB37" s="537"/>
      <c r="AC37" s="537"/>
      <c r="AD37" s="537"/>
      <c r="AE37" s="537"/>
      <c r="AF37" s="537"/>
      <c r="AG37" s="537"/>
      <c r="AH37" s="537"/>
      <c r="AI37" s="537"/>
      <c r="AJ37" s="537"/>
      <c r="AK37" s="537"/>
      <c r="AL37" s="537"/>
      <c r="AM37" s="537"/>
      <c r="AN37" s="537"/>
      <c r="AO37" s="537"/>
      <c r="AP37" s="537"/>
      <c r="AQ37" s="537"/>
      <c r="AR37" s="537"/>
      <c r="AS37" s="537"/>
      <c r="AT37" s="537"/>
      <c r="AU37" s="537"/>
      <c r="AV37" s="537"/>
      <c r="AW37" s="537"/>
      <c r="AX37" s="537"/>
      <c r="AY37" s="537"/>
      <c r="AZ37" s="537"/>
      <c r="BA37" s="537"/>
      <c r="BB37" s="537"/>
      <c r="BC37" s="537"/>
      <c r="BD37" s="537"/>
      <c r="BE37" s="537"/>
      <c r="BF37" s="537"/>
      <c r="BG37" s="537"/>
      <c r="BH37" s="537"/>
      <c r="BI37" s="537"/>
      <c r="BJ37" s="537"/>
      <c r="BK37" s="537"/>
      <c r="BL37" s="537"/>
      <c r="BM37" s="537"/>
      <c r="BN37" s="537"/>
      <c r="BO37" s="537"/>
      <c r="BP37" s="537"/>
      <c r="BQ37" s="537"/>
      <c r="BR37" s="537"/>
      <c r="BS37" s="537"/>
      <c r="BT37" s="537"/>
      <c r="BU37" s="537"/>
      <c r="BV37" s="537"/>
      <c r="BW37" s="537"/>
    </row>
    <row r="38" spans="1:75" ht="16">
      <c r="A38" s="303" t="s">
        <v>434</v>
      </c>
      <c r="B38" s="302" t="s">
        <v>409</v>
      </c>
      <c r="C38" s="302" t="s">
        <v>410</v>
      </c>
      <c r="D38" s="302" t="s">
        <v>411</v>
      </c>
      <c r="E38" s="302" t="s">
        <v>412</v>
      </c>
      <c r="F38" s="302" t="s">
        <v>413</v>
      </c>
      <c r="G38" s="302" t="s">
        <v>414</v>
      </c>
      <c r="H38" s="302" t="s">
        <v>415</v>
      </c>
      <c r="I38" s="302" t="s">
        <v>416</v>
      </c>
      <c r="J38" s="302" t="s">
        <v>417</v>
      </c>
      <c r="K38" s="302" t="s">
        <v>418</v>
      </c>
      <c r="L38" s="302" t="s">
        <v>419</v>
      </c>
      <c r="M38" s="302" t="s">
        <v>420</v>
      </c>
      <c r="N38" s="302" t="s">
        <v>421</v>
      </c>
      <c r="O38" s="302" t="s">
        <v>422</v>
      </c>
      <c r="P38" s="302" t="s">
        <v>423</v>
      </c>
      <c r="Q38" s="302" t="s">
        <v>355</v>
      </c>
      <c r="R38" s="302" t="s">
        <v>399</v>
      </c>
      <c r="S38" s="302" t="s">
        <v>424</v>
      </c>
      <c r="T38" s="302" t="s">
        <v>446</v>
      </c>
      <c r="U38" s="302" t="s">
        <v>523</v>
      </c>
      <c r="V38" s="302" t="s">
        <v>524</v>
      </c>
      <c r="W38" s="302" t="s">
        <v>525</v>
      </c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</row>
    <row r="39" spans="1:75" ht="16">
      <c r="A39" s="155" t="s">
        <v>147</v>
      </c>
      <c r="B39" s="179"/>
      <c r="C39" s="179">
        <f>INDEX('3-AGF Receipts &amp; Balances'!$AW$115:$BO$203,MATCH($A$3,'3-AGF Receipts &amp; Balances'!$AW$115:$AW$203),MATCH(C38,'3-AGF Receipts &amp; Balances'!$AW$114:$BO$114))</f>
        <v>5.1338727803367214E-2</v>
      </c>
      <c r="D39" s="179">
        <f>INDEX('3-AGF Receipts &amp; Balances'!$AW$115:$BO$203,MATCH($A$3,'3-AGF Receipts &amp; Balances'!$AW$115:$AW$203),MATCH(D38,'3-AGF Receipts &amp; Balances'!$AW$114:$BO$114))</f>
        <v>4.6518553650593229E-2</v>
      </c>
      <c r="E39" s="179">
        <f>INDEX('3-AGF Receipts &amp; Balances'!$AW$115:$BO$203,MATCH($A$3,'3-AGF Receipts &amp; Balances'!$AW$115:$AW$203),MATCH(E38,'3-AGF Receipts &amp; Balances'!$AW$114:$BO$114))</f>
        <v>4.8356899490527468E-2</v>
      </c>
      <c r="F39" s="179">
        <f>INDEX('3-AGF Receipts &amp; Balances'!$AW$115:$BO$203,MATCH($A$3,'3-AGF Receipts &amp; Balances'!$AW$115:$AW$203),MATCH(F38,'3-AGF Receipts &amp; Balances'!$AW$114:$BO$114))</f>
        <v>0.12614598817808309</v>
      </c>
      <c r="G39" s="179">
        <f>INDEX('3-AGF Receipts &amp; Balances'!$AW$115:$BO$203,MATCH($A$3,'3-AGF Receipts &amp; Balances'!$AW$115:$AW$203),MATCH(G38,'3-AGF Receipts &amp; Balances'!$AW$114:$BO$114))</f>
        <v>0.16652431129127143</v>
      </c>
      <c r="H39" s="179">
        <f>INDEX('3-AGF Receipts &amp; Balances'!$AW$115:$BO$203,MATCH($A$3,'3-AGF Receipts &amp; Balances'!$AW$115:$AW$203),MATCH(H38,'3-AGF Receipts &amp; Balances'!$AW$114:$BO$114))</f>
        <v>0.17028421978918251</v>
      </c>
      <c r="I39" s="179">
        <f>INDEX('3-AGF Receipts &amp; Balances'!$AW$115:$BO$203,MATCH($A$3,'3-AGF Receipts &amp; Balances'!$AW$115:$AW$203),MATCH(I38,'3-AGF Receipts &amp; Balances'!$AW$114:$BO$114))</f>
        <v>0.16001848270781543</v>
      </c>
      <c r="J39" s="179">
        <f>INDEX('3-AGF Receipts &amp; Balances'!$AW$115:$BO$203,MATCH($A$3,'3-AGF Receipts &amp; Balances'!$AW$115:$AW$203),MATCH(J38,'3-AGF Receipts &amp; Balances'!$AW$114:$BO$114))</f>
        <v>0.22860711137922152</v>
      </c>
      <c r="K39" s="179">
        <f>INDEX('3-AGF Receipts &amp; Balances'!$AW$115:$BO$203,MATCH($A$3,'3-AGF Receipts &amp; Balances'!$AW$115:$AW$203),MATCH(K38,'3-AGF Receipts &amp; Balances'!$AW$114:$BO$114))</f>
        <v>0.2709978876905354</v>
      </c>
      <c r="L39" s="179">
        <f>INDEX('3-AGF Receipts &amp; Balances'!$AW$115:$BO$203,MATCH($A$3,'3-AGF Receipts &amp; Balances'!$AW$115:$AW$203),MATCH(L38,'3-AGF Receipts &amp; Balances'!$AW$114:$BO$114))</f>
        <v>0.2853545212631009</v>
      </c>
      <c r="M39" s="179">
        <f>INDEX('3-AGF Receipts &amp; Balances'!$AW$115:$BO$203,MATCH($A$3,'3-AGF Receipts &amp; Balances'!$AW$115:$AW$203),MATCH(M38,'3-AGF Receipts &amp; Balances'!$AW$114:$BO$114))</f>
        <v>0.35204472589777852</v>
      </c>
      <c r="N39" s="179">
        <f>INDEX('3-AGF Receipts &amp; Balances'!$AW$115:$BO$203,MATCH($A$3,'3-AGF Receipts &amp; Balances'!$AW$115:$AW$203),MATCH(N38,'3-AGF Receipts &amp; Balances'!$AW$114:$BO$114))</f>
        <v>0.42046142012720206</v>
      </c>
      <c r="O39" s="179">
        <f>INDEX('3-AGF Receipts &amp; Balances'!$AW$115:$BO$203,MATCH($A$3,'3-AGF Receipts &amp; Balances'!$AW$115:$AW$203),MATCH(O38,'3-AGF Receipts &amp; Balances'!$AW$114:$BO$114))</f>
        <v>0.35458952399118737</v>
      </c>
      <c r="P39" s="179">
        <f>INDEX('3-AGF Receipts &amp; Balances'!$AW$115:$BO$203,MATCH($A$3,'3-AGF Receipts &amp; Balances'!$AW$115:$AW$203),MATCH(P38,'3-AGF Receipts &amp; Balances'!$AW$114:$BO$114))</f>
        <v>0.34920155313003293</v>
      </c>
      <c r="Q39" s="179">
        <f>INDEX('3-AGF Receipts &amp; Balances'!$AW$115:$BO$203,MATCH($A$3,'3-AGF Receipts &amp; Balances'!$AW$115:$AW$203),MATCH(Q38,'3-AGF Receipts &amp; Balances'!$AW$114:$BO$114))</f>
        <v>0.43342830738988841</v>
      </c>
      <c r="R39" s="179">
        <f>INDEX('3-AGF Receipts &amp; Balances'!$AW$115:$BO$203,MATCH($A$3,'3-AGF Receipts &amp; Balances'!$AW$115:$AW$203),MATCH(R38,'3-AGF Receipts &amp; Balances'!$AW$114:$BO$114))</f>
        <v>-1</v>
      </c>
      <c r="S39" s="179">
        <f>INDEX('3-AGF Receipts &amp; Balances'!$AW$115:$BO$203,MATCH($A$3,'3-AGF Receipts &amp; Balances'!$AW$115:$AW$203),MATCH(S38,'3-AGF Receipts &amp; Balances'!$AW$114:$BO$114))</f>
        <v>-1</v>
      </c>
      <c r="T39" s="179">
        <f>INDEX('3-AGF Receipts &amp; Balances'!$AW$115:$BO$203,MATCH($A$3,'3-AGF Receipts &amp; Balances'!$AW$115:$AW$203),MATCH(T38,'3-AGF Receipts &amp; Balances'!$AW$114:$BO$114))</f>
        <v>-1</v>
      </c>
      <c r="U39" s="179">
        <f>INDEX('3-AGF Receipts &amp; Balances'!$AW$115:$BO$203,MATCH($A$3,'3-AGF Receipts &amp; Balances'!$AW$115:$AW$203),MATCH(U38,'3-AGF Receipts &amp; Balances'!$AW$114:$BO$114))</f>
        <v>-1</v>
      </c>
      <c r="V39" s="179">
        <f>INDEX('3-AGF Receipts &amp; Balances'!$AW$115:$BO$203,MATCH($A$3,'3-AGF Receipts &amp; Balances'!$AW$115:$AW$203),MATCH(V38,'3-AGF Receipts &amp; Balances'!$AW$114:$BO$114))</f>
        <v>-1</v>
      </c>
      <c r="W39" s="179">
        <f>INDEX('3-AGF Receipts &amp; Balances'!$AW$115:$BO$203,MATCH($A$3,'3-AGF Receipts &amp; Balances'!$AW$115:$AW$203),MATCH(W38,'3-AGF Receipts &amp; Balances'!$AW$114:$BO$114))</f>
        <v>-1</v>
      </c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</row>
    <row r="40" spans="1:75" ht="17.25" customHeight="1">
      <c r="A40" s="155" t="s">
        <v>106</v>
      </c>
      <c r="B40" s="179"/>
      <c r="C40" s="179">
        <f>INDEX(SalesBaseTaxableSalesCGRTable[],MATCH($A$3,SalesBaseTaxableSalesCGRTable[County]),MATCH(C38,SalesBaseTaxableSalesCGRTable[#Headers]))</f>
        <v>0.10056517019122385</v>
      </c>
      <c r="D40" s="179">
        <f>INDEX(SalesBaseTaxableSalesCGRTable[],MATCH($A$3,SalesBaseTaxableSalesCGRTable[County]),MATCH(D38,SalesBaseTaxableSalesCGRTable[#Headers]))</f>
        <v>9.4334457803834301E-2</v>
      </c>
      <c r="E40" s="179">
        <f>INDEX(SalesBaseTaxableSalesCGRTable[],MATCH($A$3,SalesBaseTaxableSalesCGRTable[County]),MATCH(E38,SalesBaseTaxableSalesCGRTable[#Headers]))</f>
        <v>6.1197930660925798E-2</v>
      </c>
      <c r="F40" s="179">
        <f>INDEX(SalesBaseTaxableSalesCGRTable[],MATCH($A$3,SalesBaseTaxableSalesCGRTable[County]),MATCH(F38,SalesBaseTaxableSalesCGRTable[#Headers]))</f>
        <v>0.15119115091241428</v>
      </c>
      <c r="G40" s="179">
        <f>INDEX(SalesBaseTaxableSalesCGRTable[],MATCH($A$3,SalesBaseTaxableSalesCGRTable[County]),MATCH(G38,SalesBaseTaxableSalesCGRTable[#Headers]))</f>
        <v>0.2016510057127241</v>
      </c>
      <c r="H40" s="179">
        <f>INDEX(SalesBaseTaxableSalesCGRTable[],MATCH($A$3,SalesBaseTaxableSalesCGRTable[County]),MATCH(H38,SalesBaseTaxableSalesCGRTable[#Headers]))</f>
        <v>0.21459054978587641</v>
      </c>
      <c r="I40" s="179">
        <f>INDEX(SalesBaseTaxableSalesCGRTable[],MATCH($A$3,SalesBaseTaxableSalesCGRTable[County]),MATCH(I38,SalesBaseTaxableSalesCGRTable[#Headers]))</f>
        <v>0.24944371318022443</v>
      </c>
      <c r="J40" s="179">
        <f>INDEX(SalesBaseTaxableSalesCGRTable[],MATCH($A$3,SalesBaseTaxableSalesCGRTable[County]),MATCH(J38,SalesBaseTaxableSalesCGRTable[#Headers]))</f>
        <v>0.27733987688927147</v>
      </c>
      <c r="K40" s="179">
        <f>INDEX(SalesBaseTaxableSalesCGRTable[],MATCH($A$3,SalesBaseTaxableSalesCGRTable[County]),MATCH(K38,SalesBaseTaxableSalesCGRTable[#Headers]))</f>
        <v>0.3332664085546107</v>
      </c>
      <c r="L40" s="179">
        <f>INDEX(SalesBaseTaxableSalesCGRTable[],MATCH($A$3,SalesBaseTaxableSalesCGRTable[County]),MATCH(L38,SalesBaseTaxableSalesCGRTable[#Headers]))</f>
        <v>0.36911440363431541</v>
      </c>
      <c r="M40" s="179">
        <f>INDEX(SalesBaseTaxableSalesCGRTable[],MATCH($A$3,SalesBaseTaxableSalesCGRTable[County]),MATCH(M38,SalesBaseTaxableSalesCGRTable[#Headers]))</f>
        <v>0.41881009355360749</v>
      </c>
      <c r="N40" s="179">
        <f>INDEX(SalesBaseTaxableSalesCGRTable[],MATCH($A$3,SalesBaseTaxableSalesCGRTable[County]),MATCH(N38,SalesBaseTaxableSalesCGRTable[#Headers]))</f>
        <v>0.5200366087084225</v>
      </c>
      <c r="O40" s="179">
        <f>INDEX(SalesBaseTaxableSalesCGRTable[],MATCH($A$3,SalesBaseTaxableSalesCGRTable[County]),MATCH(O38,SalesBaseTaxableSalesCGRTable[#Headers]))</f>
        <v>0.64360749087268765</v>
      </c>
      <c r="P40" s="179">
        <f>INDEX(SalesBaseTaxableSalesCGRTable[],MATCH($A$3,SalesBaseTaxableSalesCGRTable[County]),MATCH(P38,SalesBaseTaxableSalesCGRTable[#Headers]))</f>
        <v>0.48842319838804876</v>
      </c>
      <c r="Q40" s="179">
        <f>INDEX(SalesBaseTaxableSalesCGRTable[],MATCH($A$3,SalesBaseTaxableSalesCGRTable[County]),MATCH(Q38,SalesBaseTaxableSalesCGRTable[#Headers]))</f>
        <v>0.51662111602724403</v>
      </c>
      <c r="R40" s="179">
        <f>INDEX(SalesBaseTaxableSalesCGRTable[],MATCH($A$3,SalesBaseTaxableSalesCGRTable[County]),MATCH(R38,SalesBaseTaxableSalesCGRTable[#Headers]))</f>
        <v>0.55939481896357079</v>
      </c>
      <c r="S40" s="179">
        <f>INDEX(SalesBaseTaxableSalesCGRTable[],MATCH($A$3,SalesBaseTaxableSalesCGRTable[County]),MATCH(S38,SalesBaseTaxableSalesCGRTable[#Headers]))</f>
        <v>0.58945879690816738</v>
      </c>
      <c r="T40" s="179">
        <f>INDEX(SalesBaseTaxableSalesCGRTable[],MATCH($A$3,SalesBaseTaxableSalesCGRTable[County]),MATCH(T38,SalesBaseTaxableSalesCGRTable[#Headers]))</f>
        <v>0.66280453856286181</v>
      </c>
      <c r="U40" s="179">
        <f>INDEX(SalesBaseTaxableSalesCGRTable[],MATCH($A$3,SalesBaseTaxableSalesCGRTable[County]),MATCH(U38,SalesBaseTaxableSalesCGRTable[#Headers]))</f>
        <v>0.69767435798195232</v>
      </c>
      <c r="V40" s="179">
        <f>INDEX(SalesBaseTaxableSalesCGRTable[],MATCH($A$3,SalesBaseTaxableSalesCGRTable[County]),MATCH(V38,SalesBaseTaxableSalesCGRTable[#Headers]))</f>
        <v>0.72210125307411055</v>
      </c>
      <c r="W40" s="179">
        <f>INDEX(SalesBaseTaxableSalesCGRTable[],MATCH($A$3,SalesBaseTaxableSalesCGRTable[County]),MATCH(W38,SalesBaseTaxableSalesCGRTable[#Headers]))</f>
        <v>0.71897976423863508</v>
      </c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74"/>
      <c r="BV40" s="74"/>
      <c r="BW40" s="74"/>
    </row>
    <row r="41" spans="1:75" s="2" customFormat="1" ht="20">
      <c r="A41" s="160"/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74"/>
      <c r="AQ41" s="537"/>
      <c r="AR41" s="537"/>
      <c r="AS41" s="537"/>
      <c r="AT41" s="537"/>
      <c r="AU41" s="537"/>
      <c r="AV41" s="537"/>
      <c r="AW41" s="537"/>
      <c r="AX41" s="537"/>
      <c r="AY41" s="537"/>
      <c r="AZ41" s="537"/>
      <c r="BA41" s="537"/>
      <c r="BB41" s="537"/>
      <c r="BC41" s="537"/>
      <c r="BD41" s="537"/>
      <c r="BE41" s="537"/>
      <c r="BF41" s="537"/>
      <c r="BG41" s="74"/>
      <c r="BH41" s="537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74"/>
      <c r="BV41" s="74"/>
      <c r="BW41" s="74"/>
    </row>
    <row r="42" spans="1:75" s="2" customFormat="1" ht="23"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Y42" s="537"/>
      <c r="Z42" s="537"/>
      <c r="AA42" s="537"/>
      <c r="AB42" s="537"/>
      <c r="AC42" s="537"/>
      <c r="AD42" s="537"/>
      <c r="AE42" s="537"/>
      <c r="AF42" s="537"/>
      <c r="AG42" s="537"/>
      <c r="AH42" s="537"/>
      <c r="AI42" s="537"/>
      <c r="AJ42" s="537"/>
      <c r="AK42" s="537"/>
      <c r="AL42" s="537"/>
      <c r="AM42" s="537"/>
      <c r="AN42" s="537"/>
      <c r="AO42" s="537"/>
      <c r="AP42" s="535" t="s">
        <v>480</v>
      </c>
      <c r="AQ42" s="537"/>
      <c r="AR42" s="537"/>
      <c r="AS42" s="537"/>
      <c r="AT42" s="537"/>
      <c r="AU42" s="537"/>
      <c r="AV42" s="537"/>
      <c r="AW42" s="537"/>
      <c r="AX42" s="537"/>
      <c r="AY42" s="537"/>
      <c r="AZ42" s="537"/>
      <c r="BA42" s="537"/>
      <c r="BB42" s="537"/>
      <c r="BC42" s="537"/>
      <c r="BD42" s="537"/>
      <c r="BE42" s="537"/>
      <c r="BF42" s="537"/>
      <c r="BG42" s="537" t="s">
        <v>479</v>
      </c>
      <c r="BH42" s="537"/>
      <c r="BI42" s="537"/>
      <c r="BJ42" s="537"/>
      <c r="BK42" s="537"/>
      <c r="BL42" s="537"/>
      <c r="BM42" s="537"/>
      <c r="BN42" s="537"/>
      <c r="BO42" s="537"/>
      <c r="BP42" s="537"/>
      <c r="BQ42" s="537"/>
      <c r="BR42" s="537"/>
      <c r="BS42" s="537"/>
      <c r="BT42" s="537"/>
      <c r="BU42" s="74"/>
      <c r="BV42" s="74"/>
      <c r="BW42" s="74"/>
    </row>
    <row r="43" spans="1:75" s="2" customFormat="1" ht="23.25" customHeight="1"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5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 t="s">
        <v>263</v>
      </c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74"/>
      <c r="BV43" s="74"/>
      <c r="BW43" s="74"/>
    </row>
    <row r="44" spans="1:75" s="2" customFormat="1" ht="22.5" customHeight="1">
      <c r="Y44" s="535" t="s">
        <v>151</v>
      </c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5" t="s">
        <v>153</v>
      </c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74"/>
      <c r="BV44" s="74"/>
      <c r="BW44" s="74"/>
    </row>
    <row r="45" spans="1:75" s="2" customFormat="1" ht="21" customHeight="1">
      <c r="Y45" s="537"/>
      <c r="Z45" s="540"/>
      <c r="AA45" s="540"/>
      <c r="AB45" s="540"/>
      <c r="AC45" s="540"/>
      <c r="AD45" s="540"/>
      <c r="AE45" s="540"/>
      <c r="AF45" s="540"/>
      <c r="AG45" s="540"/>
      <c r="AH45" s="540"/>
      <c r="AI45" s="540"/>
      <c r="AJ45" s="537"/>
      <c r="AK45" s="537"/>
      <c r="AL45" s="537"/>
      <c r="AM45" s="537"/>
      <c r="AN45" s="537"/>
      <c r="AO45" s="537"/>
      <c r="AP45" s="535" t="s">
        <v>139</v>
      </c>
      <c r="AQ45" s="537"/>
      <c r="AR45" s="537"/>
      <c r="AS45" s="537"/>
      <c r="AT45" s="537"/>
      <c r="AU45" s="537"/>
      <c r="AV45" s="537"/>
      <c r="AW45" s="537"/>
      <c r="AX45" s="537"/>
      <c r="AY45" s="537"/>
      <c r="AZ45" s="537"/>
      <c r="BA45" s="537"/>
      <c r="BB45" s="537"/>
      <c r="BC45" s="537"/>
      <c r="BD45" s="537"/>
      <c r="BE45" s="537"/>
      <c r="BF45" s="537"/>
      <c r="BG45" s="537" t="s">
        <v>488</v>
      </c>
      <c r="BH45" s="537"/>
      <c r="BI45" s="537"/>
      <c r="BJ45" s="537"/>
      <c r="BK45" s="537"/>
      <c r="BL45" s="537"/>
      <c r="BM45" s="537"/>
      <c r="BN45" s="537"/>
      <c r="BO45" s="537"/>
      <c r="BP45" s="537"/>
      <c r="BQ45" s="537"/>
      <c r="BR45" s="537"/>
      <c r="BS45" s="537"/>
      <c r="BT45" s="537"/>
      <c r="BU45" s="74"/>
      <c r="BV45" s="74"/>
      <c r="BW45" s="74"/>
    </row>
    <row r="46" spans="1:75" s="2" customFormat="1" ht="21.75" customHeight="1">
      <c r="Y46" s="535" t="s">
        <v>152</v>
      </c>
      <c r="Z46" s="537"/>
      <c r="AA46" s="537"/>
      <c r="AB46" s="537"/>
      <c r="AC46" s="537"/>
      <c r="AD46" s="537"/>
      <c r="AE46" s="537"/>
      <c r="AF46" s="537"/>
      <c r="AG46" s="537"/>
      <c r="AH46" s="537"/>
      <c r="AI46" s="537"/>
      <c r="AJ46" s="537"/>
      <c r="AK46" s="537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537"/>
      <c r="AY46" s="537"/>
      <c r="AZ46" s="537"/>
      <c r="BA46" s="537"/>
      <c r="BB46" s="537"/>
      <c r="BC46" s="537"/>
      <c r="BD46" s="537"/>
      <c r="BE46" s="537"/>
      <c r="BF46" s="537"/>
      <c r="BG46" s="537"/>
      <c r="BH46" s="537"/>
      <c r="BI46" s="537"/>
      <c r="BJ46" s="537"/>
      <c r="BK46" s="537"/>
      <c r="BL46" s="537"/>
      <c r="BM46" s="537"/>
      <c r="BN46" s="537"/>
      <c r="BO46" s="537"/>
      <c r="BP46" s="537"/>
      <c r="BQ46" s="537"/>
      <c r="BR46" s="537"/>
      <c r="BS46" s="537"/>
      <c r="BT46" s="537"/>
      <c r="BU46" s="74"/>
      <c r="BV46" s="74"/>
      <c r="BW46" s="74"/>
    </row>
    <row r="47" spans="1:75" s="2" customFormat="1" ht="23.25" customHeight="1">
      <c r="Y47" s="537"/>
      <c r="Z47" s="537"/>
      <c r="AA47" s="537"/>
      <c r="AB47" s="537"/>
      <c r="AC47" s="537"/>
      <c r="AD47" s="537"/>
      <c r="AE47" s="537"/>
      <c r="AF47" s="537"/>
      <c r="AG47" s="537"/>
      <c r="AH47" s="537"/>
      <c r="AI47" s="537"/>
      <c r="AJ47" s="537"/>
      <c r="AK47" s="537"/>
      <c r="AL47" s="537"/>
      <c r="AM47" s="537"/>
      <c r="AN47" s="537"/>
      <c r="AO47" s="537"/>
      <c r="AP47" s="540" t="s">
        <v>483</v>
      </c>
      <c r="AQ47" s="537"/>
      <c r="AR47" s="537"/>
      <c r="AS47" s="537"/>
      <c r="AT47" s="537"/>
      <c r="AU47" s="537"/>
      <c r="AV47" s="537"/>
      <c r="AW47" s="537"/>
      <c r="AX47" s="537"/>
      <c r="AY47" s="537"/>
      <c r="AZ47" s="537"/>
      <c r="BA47" s="537"/>
      <c r="BB47" s="537"/>
      <c r="BC47" s="537"/>
      <c r="BD47" s="537"/>
      <c r="BE47" s="537"/>
      <c r="BF47" s="537"/>
      <c r="BG47" s="537" t="s">
        <v>481</v>
      </c>
      <c r="BH47" s="537"/>
      <c r="BI47" s="537"/>
      <c r="BJ47" s="537"/>
      <c r="BK47" s="537"/>
      <c r="BL47" s="537"/>
      <c r="BM47" s="537"/>
      <c r="BN47" s="537"/>
      <c r="BO47" s="537"/>
      <c r="BP47" s="537"/>
      <c r="BQ47" s="537"/>
      <c r="BR47" s="537"/>
      <c r="BS47" s="537"/>
      <c r="BT47" s="537"/>
      <c r="BU47" s="74"/>
      <c r="BV47" s="74"/>
      <c r="BW47" s="74"/>
    </row>
    <row r="48" spans="1:75" s="2" customFormat="1" ht="18">
      <c r="Y48" s="75" t="s">
        <v>158</v>
      </c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541" t="s">
        <v>482</v>
      </c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</row>
    <row r="49" spans="25:75"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</row>
    <row r="50" spans="25:75"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</row>
    <row r="51" spans="25:75"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</row>
    <row r="52" spans="25:75"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</row>
    <row r="53" spans="25:75"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</row>
    <row r="54" spans="25:75"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</row>
    <row r="55" spans="25:75"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</row>
    <row r="56" spans="25:75"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</row>
    <row r="57" spans="25:75"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</row>
    <row r="58" spans="25:75"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</row>
    <row r="59" spans="25:75"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</row>
    <row r="60" spans="25:75"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</row>
    <row r="61" spans="25:75"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</row>
    <row r="62" spans="25:75"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</row>
    <row r="63" spans="25:75"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</row>
    <row r="64" spans="25:75"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</row>
    <row r="65" spans="25:75"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</row>
    <row r="66" spans="25:75"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</row>
    <row r="67" spans="25:75"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</row>
    <row r="68" spans="25:75"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</row>
    <row r="69" spans="25:75"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</row>
    <row r="70" spans="25:75"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</row>
    <row r="71" spans="25:75"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</row>
    <row r="72" spans="25:75"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</row>
    <row r="73" spans="25:75"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</row>
    <row r="74" spans="25:75"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</row>
    <row r="75" spans="25:75"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</row>
    <row r="76" spans="25:75"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</row>
    <row r="77" spans="25:75"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</row>
    <row r="78" spans="25:75"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</row>
    <row r="79" spans="25:75"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</row>
    <row r="80" spans="25:75"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</row>
    <row r="81" spans="25:75"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</row>
    <row r="82" spans="25:75"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</row>
    <row r="83" spans="25:75"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</row>
  </sheetData>
  <phoneticPr fontId="3" type="noConversion"/>
  <dataValidations count="1">
    <dataValidation type="list" allowBlank="1" showInputMessage="1" showErrorMessage="1" sqref="A3" xr:uid="{00000000-0002-0000-0400-000000000000}">
      <formula1>List</formula1>
    </dataValidation>
  </dataValidations>
  <pageMargins left="0.75" right="0.75" top="1" bottom="1" header="0.5" footer="0.5"/>
  <pageSetup orientation="portrait" horizontalDpi="4294967293" verticalDpi="300" r:id="rId1"/>
  <headerFooter alignWithMargins="0"/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FFFF00"/>
  </sheetPr>
  <dimension ref="A1:BA53"/>
  <sheetViews>
    <sheetView zoomScaleNormal="100" workbookViewId="0">
      <selection activeCell="B3" sqref="B3"/>
    </sheetView>
  </sheetViews>
  <sheetFormatPr baseColWidth="10" defaultColWidth="8.83203125" defaultRowHeight="13"/>
  <cols>
    <col min="1" max="1" width="36.5" customWidth="1"/>
    <col min="2" max="2" width="16.1640625" customWidth="1"/>
    <col min="3" max="3" width="15.83203125" customWidth="1"/>
    <col min="4" max="4" width="15.6640625" customWidth="1"/>
    <col min="5" max="6" width="15.83203125" customWidth="1"/>
    <col min="7" max="7" width="15.6640625" customWidth="1"/>
    <col min="8" max="10" width="16.5" customWidth="1"/>
    <col min="11" max="11" width="15.33203125" customWidth="1"/>
    <col min="12" max="12" width="15.5" customWidth="1"/>
    <col min="13" max="13" width="16.5" customWidth="1"/>
    <col min="14" max="14" width="15" customWidth="1"/>
    <col min="15" max="15" width="16" customWidth="1"/>
    <col min="16" max="17" width="16" style="148" customWidth="1"/>
    <col min="18" max="18" width="16.33203125" customWidth="1"/>
    <col min="19" max="19" width="14.5" customWidth="1"/>
    <col min="20" max="24" width="14.5" style="799" customWidth="1"/>
  </cols>
  <sheetData>
    <row r="1" spans="1:53" ht="37">
      <c r="A1" s="11" t="s">
        <v>297</v>
      </c>
      <c r="B1" s="134"/>
      <c r="C1" s="134"/>
      <c r="D1" s="2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</row>
    <row r="2" spans="1:53" ht="24" thickBot="1">
      <c r="A2" s="9" t="s">
        <v>140</v>
      </c>
      <c r="B2" s="134"/>
      <c r="C2" s="134"/>
      <c r="D2" s="134"/>
      <c r="E2" s="24" t="s">
        <v>254</v>
      </c>
      <c r="F2" s="24"/>
      <c r="G2" s="24"/>
      <c r="H2" s="149"/>
      <c r="I2" s="141"/>
      <c r="J2" s="134"/>
      <c r="K2" s="134"/>
      <c r="L2" s="134"/>
      <c r="M2" s="94"/>
      <c r="N2" s="94"/>
      <c r="O2" s="94"/>
      <c r="BA2" s="141"/>
    </row>
    <row r="3" spans="1:53" ht="25" thickTop="1" thickBot="1">
      <c r="A3" s="230" t="s">
        <v>1</v>
      </c>
      <c r="B3" s="134"/>
      <c r="C3" s="134"/>
      <c r="D3" s="2"/>
      <c r="E3" s="14"/>
      <c r="F3" s="14"/>
      <c r="G3" s="14"/>
      <c r="H3" s="14"/>
      <c r="I3" s="14"/>
      <c r="J3" s="14"/>
      <c r="K3" s="14"/>
      <c r="L3" s="14"/>
      <c r="M3" s="160" t="s">
        <v>609</v>
      </c>
      <c r="N3" s="95"/>
      <c r="O3" s="95"/>
      <c r="P3" s="14"/>
      <c r="Q3" s="14"/>
    </row>
    <row r="4" spans="1:53" ht="28.5" customHeight="1" thickTop="1">
      <c r="A4" s="17"/>
      <c r="B4" s="17"/>
      <c r="C4" s="17"/>
      <c r="D4" s="17"/>
      <c r="E4" s="879" t="s">
        <v>321</v>
      </c>
      <c r="F4" s="831"/>
      <c r="G4" s="831"/>
      <c r="H4" s="831"/>
      <c r="I4" s="831"/>
      <c r="J4" s="835"/>
      <c r="K4" s="835"/>
      <c r="L4" s="837"/>
      <c r="M4" s="153" t="s">
        <v>489</v>
      </c>
      <c r="N4" s="18"/>
      <c r="O4" s="18"/>
      <c r="P4" s="18"/>
      <c r="Q4" s="18"/>
    </row>
    <row r="5" spans="1:53" ht="19.5" customHeight="1">
      <c r="A5" s="17"/>
      <c r="B5" s="17"/>
      <c r="C5" s="17"/>
      <c r="D5" s="17"/>
      <c r="E5" s="879" t="s">
        <v>534</v>
      </c>
      <c r="F5" s="832"/>
      <c r="G5" s="832"/>
      <c r="H5" s="832"/>
      <c r="I5" s="832"/>
      <c r="J5" s="837"/>
      <c r="K5" s="837"/>
      <c r="L5" s="837"/>
      <c r="M5" s="170" t="s">
        <v>641</v>
      </c>
      <c r="N5" s="18"/>
      <c r="O5" s="18"/>
      <c r="P5" s="18"/>
      <c r="Q5" s="18"/>
    </row>
    <row r="6" spans="1:53" ht="16">
      <c r="A6" s="19"/>
      <c r="B6" s="17"/>
      <c r="D6" s="17"/>
      <c r="E6" s="879" t="s">
        <v>537</v>
      </c>
      <c r="F6" s="833"/>
      <c r="G6" s="833"/>
      <c r="H6" s="833"/>
      <c r="I6" s="833"/>
      <c r="J6" s="838"/>
      <c r="K6" s="838"/>
      <c r="L6" s="837"/>
      <c r="M6" s="153" t="s">
        <v>640</v>
      </c>
      <c r="N6" s="18"/>
      <c r="O6" s="18"/>
      <c r="P6" s="18"/>
      <c r="Q6" s="18"/>
    </row>
    <row r="7" spans="1:53" ht="16">
      <c r="A7" s="17"/>
      <c r="B7" s="17"/>
      <c r="C7" s="17"/>
      <c r="D7" s="17"/>
      <c r="E7" s="160"/>
      <c r="F7" s="207"/>
      <c r="G7" s="207"/>
      <c r="H7" s="207"/>
      <c r="I7" s="207"/>
      <c r="J7" s="207"/>
      <c r="K7" s="207"/>
      <c r="L7" s="18"/>
      <c r="M7" s="18"/>
      <c r="N7" s="18"/>
      <c r="O7" s="18"/>
      <c r="P7" s="18"/>
      <c r="Q7" s="18"/>
    </row>
    <row r="8" spans="1:53" ht="16">
      <c r="A8" s="115"/>
      <c r="B8" s="17"/>
      <c r="C8" s="17"/>
      <c r="D8" s="17"/>
      <c r="E8" s="904"/>
      <c r="F8" s="905"/>
      <c r="G8" s="906"/>
      <c r="H8" s="906" t="s">
        <v>94</v>
      </c>
      <c r="I8" s="906"/>
      <c r="J8" s="906"/>
      <c r="K8" s="906"/>
      <c r="L8" s="906"/>
      <c r="M8" s="18"/>
      <c r="N8" s="18"/>
      <c r="O8" s="18"/>
      <c r="P8" s="18"/>
      <c r="Q8" s="18"/>
    </row>
    <row r="9" spans="1:53">
      <c r="A9" s="17"/>
      <c r="B9" s="17"/>
      <c r="C9" s="17"/>
      <c r="D9" s="17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53" s="153" customFormat="1" ht="16">
      <c r="A10" s="154" t="str">
        <f>CONCATENATE($A$3," County Population ")</f>
        <v xml:space="preserve">Adair County Population </v>
      </c>
      <c r="B10" s="155"/>
      <c r="C10" s="155"/>
      <c r="D10" s="155"/>
      <c r="E10" s="154"/>
      <c r="F10" s="162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</row>
    <row r="11" spans="1:53" s="153" customFormat="1" ht="16">
      <c r="A11" s="154" t="s">
        <v>434</v>
      </c>
      <c r="B11" s="302" t="s">
        <v>409</v>
      </c>
      <c r="C11" s="302" t="s">
        <v>410</v>
      </c>
      <c r="D11" s="302" t="s">
        <v>411</v>
      </c>
      <c r="E11" s="302" t="s">
        <v>412</v>
      </c>
      <c r="F11" s="302" t="s">
        <v>413</v>
      </c>
      <c r="G11" s="302" t="s">
        <v>414</v>
      </c>
      <c r="H11" s="302" t="s">
        <v>415</v>
      </c>
      <c r="I11" s="302" t="s">
        <v>416</v>
      </c>
      <c r="J11" s="302" t="s">
        <v>417</v>
      </c>
      <c r="K11" s="302" t="s">
        <v>418</v>
      </c>
      <c r="L11" s="302" t="s">
        <v>419</v>
      </c>
      <c r="M11" s="302" t="s">
        <v>420</v>
      </c>
      <c r="N11" s="302" t="s">
        <v>421</v>
      </c>
      <c r="O11" s="302" t="s">
        <v>422</v>
      </c>
      <c r="P11" s="302" t="s">
        <v>423</v>
      </c>
      <c r="Q11" s="302" t="s">
        <v>355</v>
      </c>
      <c r="R11" s="302" t="s">
        <v>399</v>
      </c>
      <c r="S11" s="302" t="s">
        <v>424</v>
      </c>
      <c r="T11" s="302" t="s">
        <v>446</v>
      </c>
      <c r="U11" s="302" t="s">
        <v>523</v>
      </c>
      <c r="V11" s="302" t="s">
        <v>524</v>
      </c>
      <c r="W11" s="302" t="s">
        <v>525</v>
      </c>
      <c r="X11" s="302"/>
    </row>
    <row r="12" spans="1:53" s="153" customFormat="1" ht="16">
      <c r="A12" s="155" t="s">
        <v>244</v>
      </c>
      <c r="B12" s="163">
        <f>INDEX(Population[],MATCH($A$3,Population[County]),MATCH(B11,Population[#Headers],0))</f>
        <v>24883</v>
      </c>
      <c r="C12" s="163">
        <f>INDEX(Population[],MATCH($A$3,Population[County]),MATCH(C11,Population[#Headers]))</f>
        <v>24871</v>
      </c>
      <c r="D12" s="163">
        <f>INDEX(Population[],MATCH($A$3,Population[County]),MATCH(D11,Population[#Headers]))</f>
        <v>24887</v>
      </c>
      <c r="E12" s="163">
        <f>INDEX(Population[],MATCH($A$3,Population[County]),MATCH(E11,Population[#Headers]))</f>
        <v>24961</v>
      </c>
      <c r="F12" s="163">
        <f>INDEX(Population[],MATCH($A$3,Population[County]),MATCH(F11,Population[#Headers]))</f>
        <v>24956</v>
      </c>
      <c r="G12" s="163">
        <f>INDEX(Population[],MATCH($A$3,Population[County]),MATCH(G11,Population[#Headers]))</f>
        <v>24967</v>
      </c>
      <c r="H12" s="163">
        <f>INDEX(Population[],MATCH($A$3,Population[County]),MATCH(H11,Population[#Headers]))</f>
        <v>25072</v>
      </c>
      <c r="I12" s="163">
        <f>INDEX(Population[],MATCH($A$3,Population[County]),MATCH(I11,Population[#Headers]))</f>
        <v>24958</v>
      </c>
      <c r="J12" s="163">
        <f>INDEX(Population[],MATCH($A$3,Population[County]),MATCH(J11,Population[#Headers]))</f>
        <v>24988</v>
      </c>
      <c r="K12" s="163">
        <f>INDEX(Population[],MATCH($A$3,Population[County]),MATCH(K11,Population[#Headers]))</f>
        <v>24849</v>
      </c>
      <c r="L12" s="163">
        <f>INDEX(Population[],MATCH($A$3,Population[County]),MATCH(L11,Population[#Headers]))</f>
        <v>25007</v>
      </c>
      <c r="M12" s="163">
        <f>INDEX(Population[],MATCH($A$3,Population[County]),MATCH(M11,Population[#Headers]))</f>
        <v>24983</v>
      </c>
      <c r="N12" s="163">
        <f>INDEX(Population[],MATCH($A$3,Population[County]),MATCH(N11,Population[#Headers]))</f>
        <v>25399</v>
      </c>
      <c r="O12" s="163">
        <f>INDEX(Population[],MATCH($A$3,Population[County]),MATCH(O11,Population[#Headers]))</f>
        <v>25577</v>
      </c>
      <c r="P12" s="163">
        <f>INDEX(Population[],MATCH($A$3,Population[County]),MATCH(P11,Population[#Headers]))</f>
        <v>25597</v>
      </c>
      <c r="Q12" s="163">
        <f>INDEX(Population[],MATCH($A$3,Population[County]),MATCH(Q11,Population[#Headers]))</f>
        <v>25556</v>
      </c>
      <c r="R12" s="163">
        <f>INDEX(Population[],MATCH($A$3,Population[County]),MATCH(R11,Population[#Headers]))</f>
        <v>25581</v>
      </c>
      <c r="S12" s="163">
        <f>INDEX(Population[],MATCH($A$3,Population[County]),MATCH(S11,Population[#Headers]))</f>
        <v>25572</v>
      </c>
      <c r="T12" s="163">
        <f>INDEX(Population[],MATCH($A$3,Population[County]),MATCH(T11,Population[#Headers]))</f>
        <v>25564</v>
      </c>
      <c r="U12" s="163">
        <f>INDEX(Population[],MATCH($A$3,Population[County]),MATCH(U11,Population[#Headers]))</f>
        <v>25430</v>
      </c>
      <c r="V12" s="163">
        <f>INDEX(Population[],MATCH($A$3,Population[County]),MATCH(V11,Population[#Headers]))</f>
        <v>25359</v>
      </c>
      <c r="W12" s="163">
        <f>INDEX(Population[],MATCH($A$3,Population[County]),MATCH(W11,Population[#Headers]))</f>
        <v>25377</v>
      </c>
      <c r="X12" s="163"/>
    </row>
    <row r="13" spans="1:53" s="153" customFormat="1" ht="16">
      <c r="A13" s="155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</row>
    <row r="14" spans="1:53" s="153" customFormat="1" ht="16">
      <c r="A14" s="154" t="str">
        <f>CONCATENATE($A$3," County Real per Capita Income ")</f>
        <v xml:space="preserve">Adair County Real per Capita Income </v>
      </c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</row>
    <row r="15" spans="1:53" s="153" customFormat="1" ht="16">
      <c r="A15" s="154" t="s">
        <v>434</v>
      </c>
      <c r="B15" s="302" t="s">
        <v>409</v>
      </c>
      <c r="C15" s="302" t="s">
        <v>410</v>
      </c>
      <c r="D15" s="302" t="s">
        <v>411</v>
      </c>
      <c r="E15" s="302" t="s">
        <v>412</v>
      </c>
      <c r="F15" s="302" t="s">
        <v>413</v>
      </c>
      <c r="G15" s="302" t="s">
        <v>414</v>
      </c>
      <c r="H15" s="302" t="s">
        <v>415</v>
      </c>
      <c r="I15" s="302" t="s">
        <v>416</v>
      </c>
      <c r="J15" s="302" t="s">
        <v>417</v>
      </c>
      <c r="K15" s="302" t="s">
        <v>418</v>
      </c>
      <c r="L15" s="302" t="s">
        <v>419</v>
      </c>
      <c r="M15" s="302" t="s">
        <v>420</v>
      </c>
      <c r="N15" s="302" t="s">
        <v>421</v>
      </c>
      <c r="O15" s="302" t="s">
        <v>422</v>
      </c>
      <c r="P15" s="302" t="s">
        <v>423</v>
      </c>
      <c r="Q15" s="302" t="s">
        <v>355</v>
      </c>
      <c r="R15" s="302" t="s">
        <v>399</v>
      </c>
      <c r="S15" s="302" t="s">
        <v>424</v>
      </c>
      <c r="T15" s="302" t="s">
        <v>446</v>
      </c>
      <c r="U15" s="302" t="s">
        <v>523</v>
      </c>
      <c r="V15" s="302" t="s">
        <v>524</v>
      </c>
      <c r="W15" s="302" t="s">
        <v>525</v>
      </c>
      <c r="X15" s="302"/>
    </row>
    <row r="16" spans="1:53" s="153" customFormat="1" ht="16">
      <c r="A16" s="155" t="s">
        <v>275</v>
      </c>
      <c r="B16" s="426">
        <f>INDEX(RealPercapitaIncome[],MATCH($A$3,RealPercapitaIncome[AreaName]),MATCH(B15,RealPercapitaIncome[#Headers],0))</f>
        <v>17519.913193746735</v>
      </c>
      <c r="C16" s="426">
        <f>INDEX(RealPercapitaIncome[],MATCH($A$3,RealPercapitaIncome[AreaName]),MATCH(C15,RealPercapitaIncome[#Headers]))</f>
        <v>18009.953340545624</v>
      </c>
      <c r="D16" s="426">
        <f>INDEX(RealPercapitaIncome[],MATCH($A$3,RealPercapitaIncome[AreaName]),MATCH(D15,RealPercapitaIncome[#Headers]))</f>
        <v>18058.475499441527</v>
      </c>
      <c r="E16" s="426">
        <f>INDEX(RealPercapitaIncome[],MATCH($A$3,RealPercapitaIncome[AreaName]),MATCH(E15,RealPercapitaIncome[#Headers]))</f>
        <v>18298.335511441066</v>
      </c>
      <c r="F16" s="426">
        <f>INDEX(RealPercapitaIncome[],MATCH($A$3,RealPercapitaIncome[AreaName]),MATCH(F15,RealPercapitaIncome[#Headers]))</f>
        <v>18849.987057360329</v>
      </c>
      <c r="G16" s="426">
        <f>INDEX(RealPercapitaIncome[],MATCH($A$3,RealPercapitaIncome[AreaName]),MATCH(G15,RealPercapitaIncome[#Headers]))</f>
        <v>19064.373103496051</v>
      </c>
      <c r="H16" s="426">
        <f>INDEX(RealPercapitaIncome[],MATCH($A$3,RealPercapitaIncome[AreaName]),MATCH(H15,RealPercapitaIncome[#Headers]))</f>
        <v>18512.828379447845</v>
      </c>
      <c r="I16" s="426">
        <f>INDEX(RealPercapitaIncome[],MATCH($A$3,RealPercapitaIncome[AreaName]),MATCH(I15,RealPercapitaIncome[#Headers]))</f>
        <v>18468.038326127025</v>
      </c>
      <c r="J16" s="426">
        <f>INDEX(RealPercapitaIncome[],MATCH($A$3,RealPercapitaIncome[AreaName]),MATCH(J15,RealPercapitaIncome[#Headers]))</f>
        <v>18844.786672827948</v>
      </c>
      <c r="K16" s="426">
        <f>INDEX(RealPercapitaIncome[],MATCH($A$3,RealPercapitaIncome[AreaName]),MATCH(K15,RealPercapitaIncome[#Headers]))</f>
        <v>18889.293235906778</v>
      </c>
      <c r="L16" s="426">
        <f>INDEX(RealPercapitaIncome[],MATCH($A$3,RealPercapitaIncome[AreaName]),MATCH(L15,RealPercapitaIncome[#Headers]))</f>
        <v>18956.804237670596</v>
      </c>
      <c r="M16" s="426">
        <f>INDEX(RealPercapitaIncome[],MATCH($A$3,RealPercapitaIncome[AreaName]),MATCH(M15,RealPercapitaIncome[#Headers]))</f>
        <v>19427.184788981449</v>
      </c>
      <c r="N16" s="426">
        <f>INDEX(RealPercapitaIncome[],MATCH($A$3,RealPercapitaIncome[AreaName]),MATCH(N15,RealPercapitaIncome[#Headers]))</f>
        <v>19811.818005880839</v>
      </c>
      <c r="O16" s="426">
        <f>INDEX(RealPercapitaIncome[],MATCH($A$3,RealPercapitaIncome[AreaName]),MATCH(O15,RealPercapitaIncome[#Headers]))</f>
        <v>20570.68787126978</v>
      </c>
      <c r="P16" s="426">
        <f>INDEX(RealPercapitaIncome[],MATCH($A$3,RealPercapitaIncome[AreaName]),MATCH(P15,RealPercapitaIncome[#Headers]))</f>
        <v>19801.417420731243</v>
      </c>
      <c r="Q16" s="426">
        <f>INDEX(RealPercapitaIncome[],MATCH($A$3,RealPercapitaIncome[AreaName]),MATCH(Q15,RealPercapitaIncome[#Headers]))</f>
        <v>20039.768371950286</v>
      </c>
      <c r="R16" s="426">
        <f>INDEX(RealPercapitaIncome[],MATCH($A$3,RealPercapitaIncome[AreaName]),MATCH(R15,RealPercapitaIncome[#Headers]))</f>
        <v>20199.668053504647</v>
      </c>
      <c r="S16" s="426">
        <f>INDEX(RealPercapitaIncome[],MATCH($A$3,RealPercapitaIncome[AreaName]),MATCH(S15,RealPercapitaIncome[#Headers]))</f>
        <v>20625.212087819978</v>
      </c>
      <c r="T16" s="426">
        <f>INDEX(RealPercapitaIncome[],MATCH($A$3,RealPercapitaIncome[AreaName]),MATCH(T15,RealPercapitaIncome[#Headers]))</f>
        <v>19594.562346615272</v>
      </c>
      <c r="U16" s="426">
        <f>INDEX(RealPercapitaIncome[],MATCH($A$3,RealPercapitaIncome[AreaName]),MATCH(U15,RealPercapitaIncome[#Headers]))</f>
        <v>19942.817599818718</v>
      </c>
      <c r="V16" s="426">
        <f>INDEX(RealPercapitaIncome[],MATCH($A$3,RealPercapitaIncome[AreaName]),MATCH(V15,RealPercapitaIncome[#Headers]))</f>
        <v>19727.727478724195</v>
      </c>
      <c r="W16" s="426">
        <f>INDEX(RealPercapitaIncome[],MATCH($A$3,RealPercapitaIncome[AreaName]),MATCH(W15,RealPercapitaIncome[#Headers]))</f>
        <v>20506.990966563644</v>
      </c>
      <c r="X16" s="426"/>
    </row>
    <row r="17" spans="1:28" s="153" customFormat="1" ht="16">
      <c r="A17" s="155" t="s">
        <v>494</v>
      </c>
      <c r="B17" s="171">
        <f>INDEX(PercapitaIncome[],MATCH($A$3,PercapitaIncome[AreaName]),MATCH(B15,PercapitaIncome[#Headers],0))</f>
        <v>17519.913193746735</v>
      </c>
      <c r="C17" s="171">
        <f>INDEX(PercapitaIncome[],MATCH($A$3,PercapitaIncome[AreaName]),MATCH(C15,PercapitaIncome[#Headers]))</f>
        <v>18423.183627517992</v>
      </c>
      <c r="D17" s="171">
        <f>INDEX(PercapitaIncome[],MATCH($A$3,PercapitaIncome[AreaName]),MATCH(D15,PercapitaIncome[#Headers]))</f>
        <v>18760.557720898461</v>
      </c>
      <c r="E17" s="171">
        <f>INDEX(PercapitaIncome[],MATCH($A$3,PercapitaIncome[AreaName]),MATCH(E15,PercapitaIncome[#Headers]))</f>
        <v>19429.590160650616</v>
      </c>
      <c r="F17" s="171">
        <f>INDEX(PercapitaIncome[],MATCH($A$3,PercapitaIncome[AreaName]),MATCH(F15,PercapitaIncome[#Headers]))</f>
        <v>20688.131110754926</v>
      </c>
      <c r="G17" s="171">
        <f>INDEX(PercapitaIncome[],MATCH($A$3,PercapitaIncome[AreaName]),MATCH(G15,PercapitaIncome[#Headers]))</f>
        <v>21518.804822365521</v>
      </c>
      <c r="H17" s="171">
        <f>INDEX(PercapitaIncome[],MATCH($A$3,PercapitaIncome[AreaName]),MATCH(H15,PercapitaIncome[#Headers]))</f>
        <v>21226.627313337587</v>
      </c>
      <c r="I17" s="171">
        <f>INDEX(PercapitaIncome[],MATCH($A$3,PercapitaIncome[AreaName]),MATCH(I15,PercapitaIncome[#Headers]))</f>
        <v>21657.86521355878</v>
      </c>
      <c r="J17" s="171">
        <f>INDEX(PercapitaIncome[],MATCH($A$3,PercapitaIncome[AreaName]),MATCH(J15,PercapitaIncome[#Headers]))</f>
        <v>22688.210340963666</v>
      </c>
      <c r="K17" s="171">
        <f>INDEX(PercapitaIncome[],MATCH($A$3,PercapitaIncome[AreaName]),MATCH(K15,PercapitaIncome[#Headers]))</f>
        <v>23512.294257314177</v>
      </c>
      <c r="L17" s="171">
        <f>INDEX(PercapitaIncome[],MATCH($A$3,PercapitaIncome[AreaName]),MATCH(L15,PercapitaIncome[#Headers]))</f>
        <v>24357.499900027993</v>
      </c>
      <c r="M17" s="171">
        <f>INDEX(PercapitaIncome[],MATCH($A$3,PercapitaIncome[AreaName]),MATCH(M15,PercapitaIncome[#Headers]))</f>
        <v>25672.857543129328</v>
      </c>
      <c r="N17" s="171">
        <f>INDEX(PercapitaIncome[],MATCH($A$3,PercapitaIncome[AreaName]),MATCH(N15,PercapitaIncome[#Headers]))</f>
        <v>27186.385290759477</v>
      </c>
      <c r="O17" s="171">
        <f>INDEX(PercapitaIncome[],MATCH($A$3,PercapitaIncome[AreaName]),MATCH(O15,PercapitaIncome[#Headers]))</f>
        <v>28127.301872776323</v>
      </c>
      <c r="P17" s="171">
        <f>INDEX(PercapitaIncome[],MATCH($A$3,PercapitaIncome[AreaName]),MATCH(P15,PercapitaIncome[#Headers]))</f>
        <v>27519.553072625698</v>
      </c>
      <c r="Q17" s="171">
        <f>INDEX(PercapitaIncome[],MATCH($A$3,PercapitaIncome[AreaName]),MATCH(Q15,PercapitaIncome[#Headers]))</f>
        <v>28729.926436061982</v>
      </c>
      <c r="R17" s="171">
        <f>INDEX(PercapitaIncome[],MATCH($A$3,PercapitaIncome[AreaName]),MATCH(R15,PercapitaIncome[#Headers]))</f>
        <v>29558.461358039171</v>
      </c>
      <c r="S17" s="171">
        <f>INDEX(PercapitaIncome[],MATCH($A$3,PercapitaIncome[AreaName]),MATCH(S15,PercapitaIncome[#Headers]))</f>
        <v>31120.0140778977</v>
      </c>
      <c r="T17" s="171">
        <f>INDEX(PercapitaIncome[],MATCH($A$3,PercapitaIncome[AreaName]),MATCH(T15,PercapitaIncome[#Headers]))</f>
        <v>29564.935064935064</v>
      </c>
      <c r="U17" s="171">
        <f>INDEX(PercapitaIncome[],MATCH($A$3,PercapitaIncome[AreaName]),MATCH(U15,PercapitaIncome[#Headers]))</f>
        <v>30126.11089264648</v>
      </c>
      <c r="V17" s="171">
        <f>INDEX(PercapitaIncome[],MATCH($A$3,PercapitaIncome[AreaName]),MATCH(V15,PercapitaIncome[#Headers]))</f>
        <v>30177.136322410188</v>
      </c>
      <c r="W17" s="171">
        <f>INDEX(PercapitaIncome[],MATCH($A$3,PercapitaIncome[AreaName]),MATCH(W15,PercapitaIncome[#Headers]))</f>
        <v>32037.435473066162</v>
      </c>
      <c r="X17" s="171"/>
    </row>
    <row r="18" spans="1:28" s="153" customFormat="1" ht="16">
      <c r="A18" s="155"/>
      <c r="B18" s="155"/>
      <c r="C18" s="30"/>
      <c r="D18" s="30"/>
      <c r="E18" s="30"/>
      <c r="F18" s="30"/>
      <c r="G18" s="30"/>
      <c r="H18" s="30"/>
      <c r="I18" s="30"/>
      <c r="J18" s="155"/>
      <c r="K18" s="155"/>
      <c r="L18" s="155"/>
      <c r="M18" s="155"/>
      <c r="N18" s="155"/>
      <c r="O18" s="155"/>
      <c r="P18" s="155"/>
      <c r="Q18" s="155"/>
    </row>
    <row r="19" spans="1:28" s="153" customFormat="1" ht="16">
      <c r="A19" s="154" t="str">
        <f>CONCATENATE($A$3," County General Revenue Receipts &amp; Expenditures: Real per Capita ")</f>
        <v xml:space="preserve">Adair County General Revenue Receipts &amp; Expenditures: Real per Capita </v>
      </c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</row>
    <row r="20" spans="1:28" s="153" customFormat="1" ht="16">
      <c r="A20" s="303" t="s">
        <v>434</v>
      </c>
      <c r="B20" s="302" t="s">
        <v>409</v>
      </c>
      <c r="C20" s="302" t="s">
        <v>410</v>
      </c>
      <c r="D20" s="302" t="s">
        <v>411</v>
      </c>
      <c r="E20" s="302" t="s">
        <v>412</v>
      </c>
      <c r="F20" s="302" t="s">
        <v>413</v>
      </c>
      <c r="G20" s="302" t="s">
        <v>414</v>
      </c>
      <c r="H20" s="302" t="s">
        <v>415</v>
      </c>
      <c r="I20" s="302" t="s">
        <v>416</v>
      </c>
      <c r="J20" s="302" t="s">
        <v>417</v>
      </c>
      <c r="K20" s="302" t="s">
        <v>418</v>
      </c>
      <c r="L20" s="302" t="s">
        <v>419</v>
      </c>
      <c r="M20" s="302" t="s">
        <v>420</v>
      </c>
      <c r="N20" s="302" t="s">
        <v>421</v>
      </c>
      <c r="O20" s="302" t="s">
        <v>422</v>
      </c>
      <c r="P20" s="302" t="s">
        <v>423</v>
      </c>
      <c r="Q20" s="302" t="s">
        <v>355</v>
      </c>
      <c r="R20" s="302" t="s">
        <v>399</v>
      </c>
      <c r="S20" s="302" t="s">
        <v>424</v>
      </c>
      <c r="T20" s="302" t="s">
        <v>446</v>
      </c>
      <c r="U20" s="302" t="s">
        <v>523</v>
      </c>
      <c r="V20" s="302" t="s">
        <v>524</v>
      </c>
      <c r="W20" s="302" t="s">
        <v>525</v>
      </c>
      <c r="X20" s="302"/>
      <c r="Y20" s="732" t="s">
        <v>524</v>
      </c>
      <c r="Z20" s="165"/>
      <c r="AA20" s="165"/>
      <c r="AB20" s="165"/>
    </row>
    <row r="21" spans="1:28" s="153" customFormat="1" ht="16">
      <c r="A21" s="155" t="s">
        <v>148</v>
      </c>
      <c r="B21" s="165">
        <f>(INDEX(GeneralRevenueFundReceiptsTotalReceiptsTable[],MATCH($A$3,GeneralRevenueFundReceiptsTotalReceiptsTable[County]),MATCH(B20,GeneralRevenueFundReceiptsTotalReceiptsTable[#Headers],0))/INDEX(CountyAllYearsPopulation[],1,MATCH(B20,Population[#Headers],0)))/(INDEX(MCINormalized[],1,MATCH(B20,MCINormalized[#Headers],0))/100)</f>
        <v>77.533818269501268</v>
      </c>
      <c r="C21" s="165">
        <f>(INDEX(GeneralRevenueFundReceiptsTotalReceiptsTable[],MATCH($A$3,GeneralRevenueFundReceiptsTotalReceiptsTable[County]),MATCH(C20,GeneralRevenueFundReceiptsTotalReceiptsTable[#Headers]))/INDEX(CountyAllYearsPopulation[],1,MATCH(C20,Population[#Headers])))/(INDEX(MCINormalized[],1,MATCH(C20,MCINormalized[#Headers]))/100)</f>
        <v>86.702914787481745</v>
      </c>
      <c r="D21" s="165">
        <f>(INDEX(GeneralRevenueFundReceiptsTotalReceiptsTable[],MATCH($A$3,GeneralRevenueFundReceiptsTotalReceiptsTable[County]),MATCH(D20,GeneralRevenueFundReceiptsTotalReceiptsTable[#Headers]))/INDEX(CountyAllYearsPopulation[],1,MATCH(D20,Population[#Headers])))/(INDEX(MCINormalized[],1,MATCH(D20,MCINormalized[#Headers]))/100)</f>
        <v>71.221720333173621</v>
      </c>
      <c r="E21" s="165">
        <f>(INDEX(GeneralRevenueFundReceiptsTotalReceiptsTable[],MATCH($A$3,GeneralRevenueFundReceiptsTotalReceiptsTable[County]),MATCH(E20,GeneralRevenueFundReceiptsTotalReceiptsTable[#Headers]))/INDEX(CountyAllYearsPopulation[],1,MATCH(E20,Population[#Headers])))/(INDEX(MCINormalized[],1,MATCH(E20,MCINormalized[#Headers]))/100)</f>
        <v>71.713833919053968</v>
      </c>
      <c r="F21" s="165">
        <f>(INDEX(GeneralRevenueFundReceiptsTotalReceiptsTable[],MATCH($A$3,GeneralRevenueFundReceiptsTotalReceiptsTable[County]),MATCH(F20,GeneralRevenueFundReceiptsTotalReceiptsTable[#Headers]))/INDEX(CountyAllYearsPopulation[],1,MATCH(F20,Population[#Headers])))/(INDEX(MCINormalized[],1,MATCH(F20,MCINormalized[#Headers]))/100)</f>
        <v>72.79615835532222</v>
      </c>
      <c r="G21" s="165">
        <f>(INDEX(GeneralRevenueFundReceiptsTotalReceiptsTable[],MATCH($A$3,GeneralRevenueFundReceiptsTotalReceiptsTable[County]),MATCH(G20,GeneralRevenueFundReceiptsTotalReceiptsTable[#Headers]))/INDEX(CountyAllYearsPopulation[],1,MATCH(G20,Population[#Headers])))/(INDEX(MCINormalized[],1,MATCH(G20,MCINormalized[#Headers]))/100)</f>
        <v>66.687437498799227</v>
      </c>
      <c r="H21" s="165">
        <f>(INDEX(GeneralRevenueFundReceiptsTotalReceiptsTable[],MATCH($A$3,GeneralRevenueFundReceiptsTotalReceiptsTable[County]),MATCH(H20,GeneralRevenueFundReceiptsTotalReceiptsTable[#Headers]))/INDEX(CountyAllYearsPopulation[],1,MATCH(H20,Population[#Headers])))/(INDEX(MCINormalized[],1,MATCH(H20,MCINormalized[#Headers]))/100)</f>
        <v>71.209218867814329</v>
      </c>
      <c r="I21" s="165">
        <f>(INDEX(GeneralRevenueFundReceiptsTotalReceiptsTable[],MATCH($A$3,GeneralRevenueFundReceiptsTotalReceiptsTable[County]),MATCH(I20,GeneralRevenueFundReceiptsTotalReceiptsTable[#Headers]))/INDEX(CountyAllYearsPopulation[],1,MATCH(I20,Population[#Headers])))/(INDEX(MCINormalized[],1,MATCH(I20,MCINormalized[#Headers]))/100)</f>
        <v>88.595735209586849</v>
      </c>
      <c r="J21" s="165">
        <f>(INDEX(GeneralRevenueFundReceiptsTotalReceiptsTable[],MATCH($A$3,GeneralRevenueFundReceiptsTotalReceiptsTable[County]),MATCH(J20,GeneralRevenueFundReceiptsTotalReceiptsTable[#Headers]))/INDEX(CountyAllYearsPopulation[],1,MATCH(J20,Population[#Headers])))/(INDEX(MCINormalized[],1,MATCH(J20,MCINormalized[#Headers]))/100)</f>
        <v>62.419580478599023</v>
      </c>
      <c r="K21" s="165">
        <f>(INDEX(GeneralRevenueFundReceiptsTotalReceiptsTable[],MATCH($A$3,GeneralRevenueFundReceiptsTotalReceiptsTable[County]),MATCH(K20,GeneralRevenueFundReceiptsTotalReceiptsTable[#Headers]))/INDEX(CountyAllYearsPopulation[],1,MATCH(K20,Population[#Headers])))/(INDEX(MCINormalized[],1,MATCH(K20,MCINormalized[#Headers]))/100)</f>
        <v>61.622936493212777</v>
      </c>
      <c r="L21" s="165">
        <f>(INDEX(GeneralRevenueFundReceiptsTotalReceiptsTable[],MATCH($A$3,GeneralRevenueFundReceiptsTotalReceiptsTable[County]),MATCH(L20,GeneralRevenueFundReceiptsTotalReceiptsTable[#Headers]))/INDEX(CountyAllYearsPopulation[],1,MATCH(L20,Population[#Headers])))/(INDEX(MCINormalized[],1,MATCH(L20,MCINormalized[#Headers]))/100)</f>
        <v>61.340661136310388</v>
      </c>
      <c r="M21" s="165">
        <f>(INDEX(GeneralRevenueFundReceiptsTotalReceiptsTable[],MATCH($A$3,GeneralRevenueFundReceiptsTotalReceiptsTable[County]),MATCH(M20,GeneralRevenueFundReceiptsTotalReceiptsTable[#Headers]))/INDEX(CountyAllYearsPopulation[],1,MATCH(M20,Population[#Headers])))/(INDEX(MCINormalized[],1,MATCH(M20,MCINormalized[#Headers]))/100)</f>
        <v>61.418530080936314</v>
      </c>
      <c r="N21" s="165">
        <f>(INDEX(GeneralRevenueFundReceiptsTotalReceiptsTable[],MATCH($A$3,GeneralRevenueFundReceiptsTotalReceiptsTable[County]),MATCH(N20,GeneralRevenueFundReceiptsTotalReceiptsTable[#Headers]))/INDEX(CountyAllYearsPopulation[],1,MATCH(N20,Population[#Headers])))/(INDEX(MCINormalized[],1,MATCH(N20,MCINormalized[#Headers]))/100)</f>
        <v>59.832382387294764</v>
      </c>
      <c r="O21" s="165">
        <f>(INDEX(GeneralRevenueFundReceiptsTotalReceiptsTable[],MATCH($A$3,GeneralRevenueFundReceiptsTotalReceiptsTable[County]),MATCH(O20,GeneralRevenueFundReceiptsTotalReceiptsTable[#Headers]))/INDEX(CountyAllYearsPopulation[],1,MATCH(O20,Population[#Headers])))/(INDEX(MCINormalized[],1,MATCH(O20,MCINormalized[#Headers]))/100)</f>
        <v>66.984122397320789</v>
      </c>
      <c r="P21" s="165">
        <f>(INDEX(GeneralRevenueFundReceiptsTotalReceiptsTable[],MATCH($A$3,GeneralRevenueFundReceiptsTotalReceiptsTable[County]),MATCH(P20,GeneralRevenueFundReceiptsTotalReceiptsTable[#Headers]))/INDEX(CountyAllYearsPopulation[],1,MATCH(P20,Population[#Headers])))/(INDEX(MCINormalized[],1,MATCH(P20,MCINormalized[#Headers]))/100)</f>
        <v>66.376001525297752</v>
      </c>
      <c r="Q21" s="165">
        <f>(INDEX(GeneralRevenueFundReceiptsTotalReceiptsTable[],MATCH($A$3,GeneralRevenueFundReceiptsTotalReceiptsTable[County]),MATCH(Q20,GeneralRevenueFundReceiptsTotalReceiptsTable[#Headers]))/INDEX(CountyAllYearsPopulation[],1,MATCH(Q20,Population[#Headers])))/(INDEX(MCINormalized[],1,MATCH(Q20,MCINormalized[#Headers]))/100)</f>
        <v>61.088458352440512</v>
      </c>
      <c r="R21" s="165">
        <f>(INDEX(GeneralRevenueFundReceiptsTotalReceiptsTable[],MATCH($A$3,GeneralRevenueFundReceiptsTotalReceiptsTable[County]),MATCH(R20,GeneralRevenueFundReceiptsTotalReceiptsTable[#Headers]))/INDEX(CountyAllYearsPopulation[],1,MATCH(R20,Population[#Headers])))/(INDEX(MCINormalized[],1,MATCH(R20,MCINormalized[#Headers]))/100)</f>
        <v>60.542969187920313</v>
      </c>
      <c r="S21" s="165">
        <f>(INDEX(GeneralRevenueFundReceiptsTotalReceiptsTable[],MATCH($A$3,GeneralRevenueFundReceiptsTotalReceiptsTable[County]),MATCH(S20,GeneralRevenueFundReceiptsTotalReceiptsTable[#Headers]))/INDEX(CountyAllYearsPopulation[],1,MATCH(S20,Population[#Headers])))/(INDEX(MCINormalized[],1,MATCH(S20,MCINormalized[#Headers]))/100)</f>
        <v>56.605194532811716</v>
      </c>
      <c r="T21" s="165">
        <f>(INDEX(GeneralRevenueFundReceiptsTotalReceiptsTable[],MATCH($A$3,GeneralRevenueFundReceiptsTotalReceiptsTable[County]),MATCH(T20,GeneralRevenueFundReceiptsTotalReceiptsTable[#Headers]))/INDEX(CountyAllYearsPopulation[],1,MATCH(T20,Population[#Headers])))/(INDEX(MCINormalized[],1,MATCH(T20,MCINormalized[#Headers]))/100)</f>
        <v>62.683745831497362</v>
      </c>
      <c r="U21" s="165">
        <f>(INDEX(GeneralRevenueFundReceiptsTotalReceiptsTable[],MATCH($A$3,GeneralRevenueFundReceiptsTotalReceiptsTable[County]),MATCH(U20,GeneralRevenueFundReceiptsTotalReceiptsTable[#Headers]))/INDEX(CountyAllYearsPopulation[],1,MATCH(U20,Population[#Headers])))/(INDEX(MCINormalized[],1,MATCH(U20,MCINormalized[#Headers]))/100)</f>
        <v>56.794518219323457</v>
      </c>
      <c r="V21" s="165">
        <f>(INDEX(GeneralRevenueFundReceiptsTotalReceiptsTable[],MATCH($A$3,GeneralRevenueFundReceiptsTotalReceiptsTable[County]),MATCH(V20,GeneralRevenueFundReceiptsTotalReceiptsTable[#Headers]))/INDEX(CountyAllYearsPopulation[],1,MATCH(V20,Population[#Headers])))/(INDEX(MCINormalized[],1,MATCH(V20,MCINormalized[#Headers]))/100)</f>
        <v>53.869001154262371</v>
      </c>
      <c r="W21" s="165">
        <f>(INDEX(GeneralRevenueFundReceiptsTotalReceiptsTable[],MATCH($A$3,GeneralRevenueFundReceiptsTotalReceiptsTable[County]),MATCH(W20,GeneralRevenueFundReceiptsTotalReceiptsTable[#Headers]))/INDEX(CountyAllYearsPopulation[],1,MATCH(W20,Population[#Headers])))/(INDEX(MCINormalized[],1,MATCH(W20,MCINormalized[#Headers]))/100)</f>
        <v>52.547445779456169</v>
      </c>
      <c r="X21" s="165"/>
      <c r="Y21" s="731" t="e">
        <f>(INDEX(GeneralRevenueFundTotalExpendituresTable[],MATCH($A$3,GeneralRevenueFundTotalExpendituresTable[County]),MATCH(Y19,GeneralRevenueFundTotalExpendituresTable[#Headers]))/INDEX(CountyAllYearsPopulation[],1,MATCH(Y19,Population[#Headers])))/(INDEX(MCINormalized[],1,MATCH(Y19,MCINormalized[#Headers]))/100)</f>
        <v>#N/A</v>
      </c>
      <c r="Z21" s="165"/>
      <c r="AA21" s="165"/>
      <c r="AB21" s="165"/>
    </row>
    <row r="22" spans="1:28" s="153" customFormat="1" ht="16">
      <c r="A22" s="155" t="s">
        <v>111</v>
      </c>
      <c r="B22" s="165">
        <f>(INDEX(GeneralRevenueFundTotalExpendituresTable[],MATCH($A$3,GeneralRevenueFundTotalExpendituresTable[County]),MATCH(B20,GeneralRevenueFundTotalExpendituresTable[#Headers],0))/INDEX(CountyAllYearsPopulation[],1,MATCH(B20,Population[#Headers],0)))/(INDEX(MCINormalized[],1,MATCH(B20,MCINormalized[#Headers],0))/100)</f>
        <v>87.237712494474138</v>
      </c>
      <c r="C22" s="165">
        <f>(INDEX(GeneralRevenueFundTotalExpendituresTable[],MATCH($A$3,GeneralRevenueFundTotalExpendituresTable[County]),MATCH(C20,GeneralRevenueFundTotalExpendituresTable[#Headers]))/INDEX(CountyAllYearsPopulation[],1,MATCH(C20,Population[#Headers])))/(INDEX(MCINormalized[],1,MATCH(C20,MCINormalized[#Headers]))/100)</f>
        <v>86.742067692317192</v>
      </c>
      <c r="D22" s="165">
        <f>(INDEX(GeneralRevenueFundTotalExpendituresTable[],MATCH($A$3,GeneralRevenueFundTotalExpendituresTable[County]),MATCH(D20,GeneralRevenueFundTotalExpendituresTable[#Headers]))/INDEX(CountyAllYearsPopulation[],1,MATCH(D20,Population[#Headers])))/(INDEX(MCINormalized[],1,MATCH(D20,MCINormalized[#Headers]))/100)</f>
        <v>69.355815169850842</v>
      </c>
      <c r="E22" s="165">
        <f>(INDEX(GeneralRevenueFundTotalExpendituresTable[],MATCH($A$3,GeneralRevenueFundTotalExpendituresTable[County]),MATCH(E20,GeneralRevenueFundTotalExpendituresTable[#Headers]))/INDEX(CountyAllYearsPopulation[],1,MATCH(E20,Population[#Headers])))/(INDEX(MCINormalized[],1,MATCH(E20,MCINormalized[#Headers]))/100)</f>
        <v>73.109757052262935</v>
      </c>
      <c r="F22" s="165">
        <f>(INDEX(GeneralRevenueFundTotalExpendituresTable[],MATCH($A$3,GeneralRevenueFundTotalExpendituresTable[County]),MATCH(F20,GeneralRevenueFundTotalExpendituresTable[#Headers]))/INDEX(CountyAllYearsPopulation[],1,MATCH(F20,Population[#Headers])))/(INDEX(MCINormalized[],1,MATCH(F20,MCINormalized[#Headers]))/100)</f>
        <v>64.887219896595127</v>
      </c>
      <c r="G22" s="165">
        <f>(INDEX(GeneralRevenueFundTotalExpendituresTable[],MATCH($A$3,GeneralRevenueFundTotalExpendituresTable[County]),MATCH(G20,GeneralRevenueFundTotalExpendituresTable[#Headers]))/INDEX(CountyAllYearsPopulation[],1,MATCH(G20,Population[#Headers])))/(INDEX(MCINormalized[],1,MATCH(G20,MCINormalized[#Headers]))/100)</f>
        <v>62.816912633619474</v>
      </c>
      <c r="H22" s="165">
        <f>(INDEX(GeneralRevenueFundTotalExpendituresTable[],MATCH($A$3,GeneralRevenueFundTotalExpendituresTable[County]),MATCH(H20,GeneralRevenueFundTotalExpendituresTable[#Headers]))/INDEX(CountyAllYearsPopulation[],1,MATCH(H20,Population[#Headers])))/(INDEX(MCINormalized[],1,MATCH(H20,MCINormalized[#Headers]))/100)</f>
        <v>67.79278392891004</v>
      </c>
      <c r="I22" s="165">
        <f>(INDEX(GeneralRevenueFundTotalExpendituresTable[],MATCH($A$3,GeneralRevenueFundTotalExpendituresTable[County]),MATCH(I20,GeneralRevenueFundTotalExpendituresTable[#Headers]))/INDEX(CountyAllYearsPopulation[],1,MATCH(I20,Population[#Headers])))/(INDEX(MCINormalized[],1,MATCH(I20,MCINormalized[#Headers]))/100)</f>
        <v>86.89148788354548</v>
      </c>
      <c r="J22" s="165">
        <f>(INDEX(GeneralRevenueFundTotalExpendituresTable[],MATCH($A$3,GeneralRevenueFundTotalExpendituresTable[County]),MATCH(J20,GeneralRevenueFundTotalExpendituresTable[#Headers]))/INDEX(CountyAllYearsPopulation[],1,MATCH(J20,Population[#Headers])))/(INDEX(MCINormalized[],1,MATCH(J20,MCINormalized[#Headers]))/100)</f>
        <v>71.024044169098332</v>
      </c>
      <c r="K22" s="165">
        <f>(INDEX(GeneralRevenueFundTotalExpendituresTable[],MATCH($A$3,GeneralRevenueFundTotalExpendituresTable[County]),MATCH(K20,GeneralRevenueFundTotalExpendituresTable[#Headers]))/INDEX(CountyAllYearsPopulation[],1,MATCH(K20,Population[#Headers])))/(INDEX(MCINormalized[],1,MATCH(K20,MCINormalized[#Headers]))/100)</f>
        <v>59.776353639577472</v>
      </c>
      <c r="L22" s="165">
        <f>(INDEX(GeneralRevenueFundTotalExpendituresTable[],MATCH($A$3,GeneralRevenueFundTotalExpendituresTable[County]),MATCH(L20,GeneralRevenueFundTotalExpendituresTable[#Headers]))/INDEX(CountyAllYearsPopulation[],1,MATCH(L20,Population[#Headers])))/(INDEX(MCINormalized[],1,MATCH(L20,MCINormalized[#Headers]))/100)</f>
        <v>55.075122613882378</v>
      </c>
      <c r="M22" s="165">
        <f>(INDEX(GeneralRevenueFundTotalExpendituresTable[],MATCH($A$3,GeneralRevenueFundTotalExpendituresTable[County]),MATCH(M20,GeneralRevenueFundTotalExpendituresTable[#Headers]))/INDEX(CountyAllYearsPopulation[],1,MATCH(M20,Population[#Headers])))/(INDEX(MCINormalized[],1,MATCH(M20,MCINormalized[#Headers]))/100)</f>
        <v>50.667782978101741</v>
      </c>
      <c r="N22" s="165">
        <f>(INDEX(GeneralRevenueFundTotalExpendituresTable[],MATCH($A$3,GeneralRevenueFundTotalExpendituresTable[County]),MATCH(N20,GeneralRevenueFundTotalExpendituresTable[#Headers]))/INDEX(CountyAllYearsPopulation[],1,MATCH(N20,Population[#Headers])))/(INDEX(MCINormalized[],1,MATCH(N20,MCINormalized[#Headers]))/100)</f>
        <v>63.988172832200469</v>
      </c>
      <c r="O22" s="165">
        <f>(INDEX(GeneralRevenueFundTotalExpendituresTable[],MATCH($A$3,GeneralRevenueFundTotalExpendituresTable[County]),MATCH(O20,GeneralRevenueFundTotalExpendituresTable[#Headers]))/INDEX(CountyAllYearsPopulation[],1,MATCH(O20,Population[#Headers])))/(INDEX(MCINormalized[],1,MATCH(O20,MCINormalized[#Headers]))/100)</f>
        <v>56.620994111771552</v>
      </c>
      <c r="P22" s="165">
        <f>(INDEX(GeneralRevenueFundTotalExpendituresTable[],MATCH($A$3,GeneralRevenueFundTotalExpendituresTable[County]),MATCH(P20,GeneralRevenueFundTotalExpendituresTable[#Headers]))/INDEX(CountyAllYearsPopulation[],1,MATCH(P20,Population[#Headers])))/(INDEX(MCINormalized[],1,MATCH(P20,MCINormalized[#Headers]))/100)</f>
        <v>64.31932766658035</v>
      </c>
      <c r="Q22" s="165">
        <f>(INDEX(GeneralRevenueFundTotalExpendituresTable[],MATCH($A$3,GeneralRevenueFundTotalExpendituresTable[County]),MATCH(Q20,GeneralRevenueFundTotalExpendituresTable[#Headers]))/INDEX(CountyAllYearsPopulation[],1,MATCH(Q20,Population[#Headers])))/(INDEX(MCINormalized[],1,MATCH(Q20,MCINormalized[#Headers]))/100)</f>
        <v>56.194840425726063</v>
      </c>
      <c r="R22" s="165">
        <f>(INDEX(GeneralRevenueFundTotalExpendituresTable[],MATCH($A$3,GeneralRevenueFundTotalExpendituresTable[County]),MATCH(R20,GeneralRevenueFundTotalExpendituresTable[#Headers]))/INDEX(CountyAllYearsPopulation[],1,MATCH(R20,Population[#Headers])))/(INDEX(MCINormalized[],1,MATCH(R20,MCINormalized[#Headers]))/100)</f>
        <v>63.696008667733345</v>
      </c>
      <c r="S22" s="165">
        <f>(INDEX(GeneralRevenueFundTotalExpendituresTable[],MATCH($A$3,GeneralRevenueFundTotalExpendituresTable[County]),MATCH(S20,GeneralRevenueFundTotalExpendituresTable[#Headers]))/INDEX(CountyAllYearsPopulation[],1,MATCH(S20,Population[#Headers])))/(INDEX(MCINormalized[],1,MATCH(S20,MCINormalized[#Headers]))/100)</f>
        <v>62.368343769739297</v>
      </c>
      <c r="T22" s="165">
        <f>(INDEX(GeneralRevenueFundTotalExpendituresTable[],MATCH($A$3,GeneralRevenueFundTotalExpendituresTable[County]),MATCH(T20,GeneralRevenueFundTotalExpendituresTable[#Headers]))/INDEX(CountyAllYearsPopulation[],1,MATCH(T20,Population[#Headers])))/(INDEX(MCINormalized[],1,MATCH(T20,MCINormalized[#Headers]))/100)</f>
        <v>60.171898933675841</v>
      </c>
      <c r="U22" s="165">
        <f>(INDEX(GeneralRevenueFundTotalExpendituresTable[],MATCH($A$3,GeneralRevenueFundTotalExpendituresTable[County]),MATCH(U20,GeneralRevenueFundTotalExpendituresTable[#Headers]))/INDEX(CountyAllYearsPopulation[],1,MATCH(U20,Population[#Headers])))/(INDEX(MCINormalized[],1,MATCH(U20,MCINormalized[#Headers]))/100)</f>
        <v>66.676592399151914</v>
      </c>
      <c r="V22" s="165">
        <f>(INDEX(GeneralRevenueFundTotalExpendituresTable[],MATCH($A$3,GeneralRevenueFundTotalExpendituresTable[County]),MATCH(V20,GeneralRevenueFundTotalExpendituresTable[#Headers]))/INDEX(CountyAllYearsPopulation[],1,MATCH(V20,Population[#Headers])))/(INDEX(MCINormalized[],1,MATCH(V20,MCINormalized[#Headers]))/100)</f>
        <v>57.600439653286841</v>
      </c>
      <c r="W22" s="165">
        <f>(INDEX(GeneralRevenueFundTotalExpendituresTable[],MATCH($A$3,GeneralRevenueFundTotalExpendituresTable[County]),MATCH(W20,GeneralRevenueFundTotalExpendituresTable[#Headers]))/INDEX(CountyAllYearsPopulation[],1,MATCH(W20,Population[#Headers])))/(INDEX(MCINormalized[],1,MATCH(W20,MCINormalized[#Headers]))/100)</f>
        <v>65.198639783781744</v>
      </c>
      <c r="X22" s="165"/>
      <c r="Y22" s="731">
        <f>(INDEX(GeneralRevenueFundTotalExpendituresTable[],MATCH($A$3,GeneralRevenueFundTotalExpendituresTable[County]),MATCH(Y20,GeneralRevenueFundTotalExpendituresTable[#Headers]))/INDEX(CountyAllYearsPopulation[],1,MATCH(Y20,Population[#Headers])))/(INDEX(MCINormalized[],1,MATCH(Y20,MCINormalized[#Headers]))/100)</f>
        <v>57.600439653286841</v>
      </c>
    </row>
    <row r="23" spans="1:28" s="153" customFormat="1" ht="16">
      <c r="A23" s="155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</row>
    <row r="24" spans="1:28" s="153" customFormat="1" ht="16">
      <c r="A24" s="154" t="str">
        <f>CONCATENATE($A$3," County General Revenue Tax Bases: Real per Capita ")</f>
        <v xml:space="preserve">Adair County General Revenue Tax Bases: Real per Capita </v>
      </c>
      <c r="B24" s="155"/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</row>
    <row r="25" spans="1:28" s="153" customFormat="1" ht="16">
      <c r="A25" s="305" t="s">
        <v>434</v>
      </c>
      <c r="B25" s="302" t="s">
        <v>409</v>
      </c>
      <c r="C25" s="302" t="s">
        <v>410</v>
      </c>
      <c r="D25" s="302" t="s">
        <v>411</v>
      </c>
      <c r="E25" s="302" t="s">
        <v>412</v>
      </c>
      <c r="F25" s="302" t="s">
        <v>413</v>
      </c>
      <c r="G25" s="302" t="s">
        <v>414</v>
      </c>
      <c r="H25" s="302" t="s">
        <v>415</v>
      </c>
      <c r="I25" s="302" t="s">
        <v>416</v>
      </c>
      <c r="J25" s="302" t="s">
        <v>417</v>
      </c>
      <c r="K25" s="302" t="s">
        <v>418</v>
      </c>
      <c r="L25" s="302" t="s">
        <v>419</v>
      </c>
      <c r="M25" s="302" t="s">
        <v>420</v>
      </c>
      <c r="N25" s="302" t="s">
        <v>421</v>
      </c>
      <c r="O25" s="302" t="s">
        <v>422</v>
      </c>
      <c r="P25" s="302" t="s">
        <v>423</v>
      </c>
      <c r="Q25" s="302" t="s">
        <v>355</v>
      </c>
      <c r="R25" s="302" t="s">
        <v>399</v>
      </c>
      <c r="S25" s="302" t="s">
        <v>424</v>
      </c>
      <c r="T25" s="302" t="s">
        <v>446</v>
      </c>
      <c r="U25" s="302" t="s">
        <v>523</v>
      </c>
      <c r="V25" s="302" t="s">
        <v>524</v>
      </c>
      <c r="W25" s="302" t="s">
        <v>525</v>
      </c>
      <c r="X25" s="302"/>
    </row>
    <row r="26" spans="1:28" s="153" customFormat="1" ht="16">
      <c r="A26" s="155" t="s">
        <v>241</v>
      </c>
      <c r="B26" s="165">
        <f>(INDEX(PropertyBaseAssessedValuesTable[],MATCH($A$3,PropertyBaseAssessedValuesTable[County]),MATCH(B25,PropertyBaseAssessedValuesTable[#Headers],0))/INDEX(CountyAllYearsPopulation[],1,MATCH(B25,Population[#Headers],0)))/(INDEX(MCINormalized[],1,MATCH(B25,MCINormalized[#Headers],0))/100)</f>
        <v>6325.9342523007672</v>
      </c>
      <c r="C26" s="165">
        <f>(INDEX(PropertyBaseAssessedValuesTable[],MATCH($A$3,PropertyBaseAssessedValuesTable[County]),MATCH(C25,PropertyBaseAssessedValuesTable[#Headers]))/INDEX(CountyAllYearsPopulation[],1,MATCH(C25,Population[#Headers])))/(INDEX(MCINormalized[],1,MATCH(C25,MCINormalized[#Headers]))/100)</f>
        <v>6850.865026330448</v>
      </c>
      <c r="D26" s="165">
        <f>(INDEX(PropertyBaseAssessedValuesTable[],MATCH($A$3,PropertyBaseAssessedValuesTable[County]),MATCH(D25,PropertyBaseAssessedValuesTable[#Headers]))/INDEX(CountyAllYearsPopulation[],1,MATCH(D25,Population[#Headers])))/(INDEX(MCINormalized[],1,MATCH(D25,MCINormalized[#Headers]))/100)</f>
        <v>7101.1103566539023</v>
      </c>
      <c r="E26" s="165">
        <f>(INDEX(PropertyBaseAssessedValuesTable[],MATCH($A$3,PropertyBaseAssessedValuesTable[County]),MATCH(E25,PropertyBaseAssessedValuesTable[#Headers]))/INDEX(CountyAllYearsPopulation[],1,MATCH(E25,Population[#Headers])))/(INDEX(MCINormalized[],1,MATCH(E25,MCINormalized[#Headers]))/100)</f>
        <v>7115.4002502680914</v>
      </c>
      <c r="F26" s="165">
        <f>(INDEX(PropertyBaseAssessedValuesTable[],MATCH($A$3,PropertyBaseAssessedValuesTable[County]),MATCH(F25,PropertyBaseAssessedValuesTable[#Headers]))/INDEX(CountyAllYearsPopulation[],1,MATCH(F25,Population[#Headers])))/(INDEX(MCINormalized[],1,MATCH(F25,MCINormalized[#Headers]))/100)</f>
        <v>7111.8300939041883</v>
      </c>
      <c r="G26" s="165">
        <f>(INDEX(PropertyBaseAssessedValuesTable[],MATCH($A$3,PropertyBaseAssessedValuesTable[County]),MATCH(G25,PropertyBaseAssessedValuesTable[#Headers]))/INDEX(CountyAllYearsPopulation[],1,MATCH(G25,Population[#Headers])))/(INDEX(MCINormalized[],1,MATCH(G25,MCINormalized[#Headers]))/100)</f>
        <v>7377.7320995421269</v>
      </c>
      <c r="H26" s="165">
        <f>(INDEX(PropertyBaseAssessedValuesTable[],MATCH($A$3,PropertyBaseAssessedValuesTable[County]),MATCH(H25,PropertyBaseAssessedValuesTable[#Headers]))/INDEX(CountyAllYearsPopulation[],1,MATCH(H25,Population[#Headers])))/(INDEX(MCINormalized[],1,MATCH(H25,MCINormalized[#Headers]))/100)</f>
        <v>7488.569927762429</v>
      </c>
      <c r="I26" s="165">
        <f>(INDEX(PropertyBaseAssessedValuesTable[],MATCH($A$3,PropertyBaseAssessedValuesTable[County]),MATCH(I25,PropertyBaseAssessedValuesTable[#Headers]))/INDEX(CountyAllYearsPopulation[],1,MATCH(I25,Population[#Headers])))/(INDEX(MCINormalized[],1,MATCH(I25,MCINormalized[#Headers]))/100)</f>
        <v>7473.086870778604</v>
      </c>
      <c r="J26" s="165">
        <f>(INDEX(PropertyBaseAssessedValuesTable[],MATCH($A$3,PropertyBaseAssessedValuesTable[County]),MATCH(J25,PropertyBaseAssessedValuesTable[#Headers]))/INDEX(CountyAllYearsPopulation[],1,MATCH(J25,Population[#Headers])))/(INDEX(MCINormalized[],1,MATCH(J25,MCINormalized[#Headers]))/100)</f>
        <v>7002.0492226184797</v>
      </c>
      <c r="K26" s="165">
        <f>(INDEX(PropertyBaseAssessedValuesTable[],MATCH($A$3,PropertyBaseAssessedValuesTable[County]),MATCH(K25,PropertyBaseAssessedValuesTable[#Headers]))/INDEX(CountyAllYearsPopulation[],1,MATCH(K25,Population[#Headers])))/(INDEX(MCINormalized[],1,MATCH(K25,MCINormalized[#Headers]))/100)</f>
        <v>7028.1093759155447</v>
      </c>
      <c r="L26" s="165">
        <f>(INDEX(PropertyBaseAssessedValuesTable[],MATCH($A$3,PropertyBaseAssessedValuesTable[County]),MATCH(L25,PropertyBaseAssessedValuesTable[#Headers]))/INDEX(CountyAllYearsPopulation[],1,MATCH(L25,Population[#Headers])))/(INDEX(MCINormalized[],1,MATCH(L25,MCINormalized[#Headers]))/100)</f>
        <v>6912.051715669103</v>
      </c>
      <c r="M26" s="165">
        <f>(INDEX(PropertyBaseAssessedValuesTable[],MATCH($A$3,PropertyBaseAssessedValuesTable[County]),MATCH(M25,PropertyBaseAssessedValuesTable[#Headers]))/INDEX(CountyAllYearsPopulation[],1,MATCH(M25,Population[#Headers])))/(INDEX(MCINormalized[],1,MATCH(M25,MCINormalized[#Headers]))/100)</f>
        <v>7140.3610560059078</v>
      </c>
      <c r="N26" s="165">
        <f>(INDEX(PropertyBaseAssessedValuesTable[],MATCH($A$3,PropertyBaseAssessedValuesTable[County]),MATCH(N25,PropertyBaseAssessedValuesTable[#Headers]))/INDEX(CountyAllYearsPopulation[],1,MATCH(N25,Population[#Headers])))/(INDEX(MCINormalized[],1,MATCH(N25,MCINormalized[#Headers]))/100)</f>
        <v>6644.4363865192126</v>
      </c>
      <c r="O26" s="165">
        <f>(INDEX(PropertyBaseAssessedValuesTable[],MATCH($A$3,PropertyBaseAssessedValuesTable[County]),MATCH(O25,PropertyBaseAssessedValuesTable[#Headers]))/INDEX(CountyAllYearsPopulation[],1,MATCH(O25,Population[#Headers])))/(INDEX(MCINormalized[],1,MATCH(O25,MCINormalized[#Headers]))/100)</f>
        <v>6735.7943013040076</v>
      </c>
      <c r="P26" s="165">
        <f>(INDEX(PropertyBaseAssessedValuesTable[],MATCH($A$3,PropertyBaseAssessedValuesTable[County]),MATCH(P25,PropertyBaseAssessedValuesTable[#Headers]))/INDEX(CountyAllYearsPopulation[],1,MATCH(P25,Population[#Headers])))/(INDEX(MCINormalized[],1,MATCH(P25,MCINormalized[#Headers]))/100)</f>
        <v>6570.790390960552</v>
      </c>
      <c r="Q26" s="165">
        <f>(INDEX(PropertyBaseAssessedValuesTable[],MATCH($A$3,PropertyBaseAssessedValuesTable[County]),MATCH(Q25,PropertyBaseAssessedValuesTable[#Headers]))/INDEX(CountyAllYearsPopulation[],1,MATCH(Q25,Population[#Headers])))/(INDEX(MCINormalized[],1,MATCH(Q25,MCINormalized[#Headers]))/100)</f>
        <v>6510.6451892744399</v>
      </c>
      <c r="R26" s="165">
        <f>(INDEX(PropertyBaseAssessedValuesTable[],MATCH($A$3,PropertyBaseAssessedValuesTable[County]),MATCH(R25,PropertyBaseAssessedValuesTable[#Headers]))/INDEX(CountyAllYearsPopulation[],1,MATCH(R25,Population[#Headers])))/(INDEX(MCINormalized[],1,MATCH(R25,MCINormalized[#Headers]))/100)</f>
        <v>6512.2641691623667</v>
      </c>
      <c r="S26" s="165">
        <f>(INDEX(PropertyBaseAssessedValuesTable[],MATCH($A$3,PropertyBaseAssessedValuesTable[County]),MATCH(S25,PropertyBaseAssessedValuesTable[#Headers]))/INDEX(CountyAllYearsPopulation[],1,MATCH(S25,Population[#Headers])))/(INDEX(MCINormalized[],1,MATCH(S25,MCINormalized[#Headers]))/100)</f>
        <v>6599.0073612708293</v>
      </c>
      <c r="T26" s="165">
        <f>(INDEX(PropertyBaseAssessedValuesTable[],MATCH($A$3,PropertyBaseAssessedValuesTable[County]),MATCH(T25,PropertyBaseAssessedValuesTable[#Headers]))/INDEX(CountyAllYearsPopulation[],1,MATCH(T25,Population[#Headers])))/(INDEX(MCINormalized[],1,MATCH(T25,MCINormalized[#Headers]))/100)</f>
        <v>6526.0235181666749</v>
      </c>
      <c r="U26" s="165">
        <f>(INDEX(PropertyBaseAssessedValuesTable[],MATCH($A$3,PropertyBaseAssessedValuesTable[County]),MATCH(U25,PropertyBaseAssessedValuesTable[#Headers]))/INDEX(CountyAllYearsPopulation[],1,MATCH(U25,Population[#Headers])))/(INDEX(MCINormalized[],1,MATCH(U25,MCINormalized[#Headers]))/100)</f>
        <v>6838.3746001607842</v>
      </c>
      <c r="V26" s="165">
        <f>(INDEX(PropertyBaseAssessedValuesTable[],MATCH($A$3,PropertyBaseAssessedValuesTable[County]),MATCH(V25,PropertyBaseAssessedValuesTable[#Headers]))/INDEX(CountyAllYearsPopulation[],1,MATCH(V25,Population[#Headers])))/(INDEX(MCINormalized[],1,MATCH(V25,MCINormalized[#Headers]))/100)</f>
        <v>6851.7741947816667</v>
      </c>
      <c r="W26" s="165">
        <f>(INDEX(PropertyBaseAssessedValuesTable[],MATCH($A$3,PropertyBaseAssessedValuesTable[County]),MATCH(W25,PropertyBaseAssessedValuesTable[#Headers]))/INDEX(CountyAllYearsPopulation[],1,MATCH(W25,Population[#Headers])))/(INDEX(MCINormalized[],1,MATCH(W25,MCINormalized[#Headers]))/100)</f>
        <v>6780.2455933469428</v>
      </c>
      <c r="X26" s="165"/>
    </row>
    <row r="27" spans="1:28" s="153" customFormat="1" ht="16">
      <c r="A27" s="155" t="s">
        <v>106</v>
      </c>
      <c r="B27" s="164">
        <f>(INDEX(SalesBaseTaxableSalesTable[],MATCH($A$3,SalesBaseTaxableSalesTable[County]),MATCH(B25,SalesBaseTaxableSalesTable[#Headers],0))/INDEX(CountyAllYearsPopulation[],1,MATCH(B25,Population[#Headers],0)))/(INDEX(MCINormalized[],1,MATCH(B25,MCINormalized[#Headers],0))/100)</f>
        <v>10134.364984125708</v>
      </c>
      <c r="C27" s="164">
        <f>(INDEX(SalesBaseTaxableSalesTable[],MATCH($A$3,SalesBaseTaxableSalesTable[County]),MATCH(C25,SalesBaseTaxableSalesTable[#Headers]))/INDEX(CountyAllYearsPopulation[],1,MATCH(C25,Population[#Headers])))/(INDEX(MCINormalized[],1,MATCH(C25,MCINormalized[#Headers]))/100)</f>
        <v>8465.3169944716083</v>
      </c>
      <c r="D27" s="164">
        <f>(INDEX(SalesBaseTaxableSalesTable[],MATCH($A$3,SalesBaseTaxableSalesTable[County]),MATCH(D25,SalesBaseTaxableSalesTable[#Headers]))/INDEX(CountyAllYearsPopulation[],1,MATCH(D25,Population[#Headers])))/(INDEX(MCINormalized[],1,MATCH(D25,MCINormalized[#Headers]))/100)</f>
        <v>9008.9732242148002</v>
      </c>
      <c r="E27" s="164">
        <f>(INDEX(SalesBaseTaxableSalesTable[],MATCH($A$3,SalesBaseTaxableSalesTable[County]),MATCH(E25,SalesBaseTaxableSalesTable[#Headers]))/INDEX(CountyAllYearsPopulation[],1,MATCH(E25,Population[#Headers])))/(INDEX(MCINormalized[],1,MATCH(E25,MCINormalized[#Headers]))/100)</f>
        <v>8895.9003493820346</v>
      </c>
      <c r="F27" s="164">
        <f>(INDEX(SalesBaseTaxableSalesTable[],MATCH($A$3,SalesBaseTaxableSalesTable[County]),MATCH(F25,SalesBaseTaxableSalesTable[#Headers]))/INDEX(CountyAllYearsPopulation[],1,MATCH(F25,Population[#Headers])))/(INDEX(MCINormalized[],1,MATCH(F25,MCINormalized[#Headers]))/100)</f>
        <v>8802.3751162584831</v>
      </c>
      <c r="G27" s="164">
        <f>(INDEX(SalesBaseTaxableSalesTable[],MATCH($A$3,SalesBaseTaxableSalesTable[County]),MATCH(G25,SalesBaseTaxableSalesTable[#Headers]))/INDEX(CountyAllYearsPopulation[],1,MATCH(G25,Population[#Headers])))/(INDEX(MCINormalized[],1,MATCH(G25,MCINormalized[#Headers]))/100)</f>
        <v>8706.7163851470923</v>
      </c>
      <c r="H27" s="164">
        <f>(INDEX(SalesBaseTaxableSalesTable[],MATCH($A$3,SalesBaseTaxableSalesTable[County]),MATCH(H25,SalesBaseTaxableSalesTable[#Headers]))/INDEX(CountyAllYearsPopulation[],1,MATCH(H25,Population[#Headers])))/(INDEX(MCINormalized[],1,MATCH(H25,MCINormalized[#Headers]))/100)</f>
        <v>9357.844678886393</v>
      </c>
      <c r="I27" s="164">
        <f>(INDEX(SalesBaseTaxableSalesTable[],MATCH($A$3,SalesBaseTaxableSalesTable[County]),MATCH(I25,SalesBaseTaxableSalesTable[#Headers]))/INDEX(CountyAllYearsPopulation[],1,MATCH(I25,Population[#Headers])))/(INDEX(MCINormalized[],1,MATCH(I25,MCINormalized[#Headers]))/100)</f>
        <v>8323.910349396634</v>
      </c>
      <c r="J27" s="164">
        <f>(INDEX(SalesBaseTaxableSalesTable[],MATCH($A$3,SalesBaseTaxableSalesTable[County]),MATCH(J25,SalesBaseTaxableSalesTable[#Headers]))/INDEX(CountyAllYearsPopulation[],1,MATCH(J25,Population[#Headers])))/(INDEX(MCINormalized[],1,MATCH(J25,MCINormalized[#Headers]))/100)</f>
        <v>8104.0176950369405</v>
      </c>
      <c r="K27" s="164">
        <f>(INDEX(SalesBaseTaxableSalesTable[],MATCH($A$3,SalesBaseTaxableSalesTable[County]),MATCH(K25,SalesBaseTaxableSalesTable[#Headers]))/INDEX(CountyAllYearsPopulation[],1,MATCH(K25,Population[#Headers])))/(INDEX(MCINormalized[],1,MATCH(K25,MCINormalized[#Headers]))/100)</f>
        <v>8145.666488327437</v>
      </c>
      <c r="L27" s="164">
        <f>(INDEX(SalesBaseTaxableSalesTable[],MATCH($A$3,SalesBaseTaxableSalesTable[County]),MATCH(L25,SalesBaseTaxableSalesTable[#Headers]))/INDEX(CountyAllYearsPopulation[],1,MATCH(L25,Population[#Headers])))/(INDEX(MCINormalized[],1,MATCH(L25,MCINormalized[#Headers]))/100)</f>
        <v>8049.5630609536447</v>
      </c>
      <c r="M27" s="164">
        <f>(INDEX(SalesBaseTaxableSalesTable[],MATCH($A$3,SalesBaseTaxableSalesTable[County]),MATCH(M25,SalesBaseTaxableSalesTable[#Headers]))/INDEX(CountyAllYearsPopulation[],1,MATCH(M25,Population[#Headers])))/(INDEX(MCINormalized[],1,MATCH(M25,MCINormalized[#Headers]))/100)</f>
        <v>7925.4327588388442</v>
      </c>
      <c r="N27" s="164">
        <f>(INDEX(SalesBaseTaxableSalesTable[],MATCH($A$3,SalesBaseTaxableSalesTable[County]),MATCH(N25,SalesBaseTaxableSalesTable[#Headers]))/INDEX(CountyAllYearsPopulation[],1,MATCH(N25,Population[#Headers])))/(INDEX(MCINormalized[],1,MATCH(N25,MCINormalized[#Headers]))/100)</f>
        <v>7477.5638770333107</v>
      </c>
      <c r="O27" s="164">
        <f>(INDEX(SalesBaseTaxableSalesTable[],MATCH($A$3,SalesBaseTaxableSalesTable[County]),MATCH(O25,SalesBaseTaxableSalesTable[#Headers]))/INDEX(CountyAllYearsPopulation[],1,MATCH(O25,Population[#Headers])))/(INDEX(MCINormalized[],1,MATCH(O25,MCINormalized[#Headers]))/100)</f>
        <v>7503.0890054087704</v>
      </c>
      <c r="P27" s="164">
        <f>(INDEX(SalesBaseTaxableSalesTable[],MATCH($A$3,SalesBaseTaxableSalesTable[County]),MATCH(P25,SalesBaseTaxableSalesTable[#Headers]))/INDEX(CountyAllYearsPopulation[],1,MATCH(P25,Population[#Headers])))/(INDEX(MCINormalized[],1,MATCH(P25,MCINormalized[#Headers]))/100)</f>
        <v>7241.003775465073</v>
      </c>
      <c r="Q27" s="164">
        <f>(INDEX(SalesBaseTaxableSalesTable[],MATCH($A$3,SalesBaseTaxableSalesTable[County]),MATCH(Q25,SalesBaseTaxableSalesTable[#Headers]))/INDEX(CountyAllYearsPopulation[],1,MATCH(Q25,Population[#Headers])))/(INDEX(MCINormalized[],1,MATCH(Q25,MCINormalized[#Headers]))/100)</f>
        <v>7146.8369848759658</v>
      </c>
      <c r="R27" s="164">
        <f>(INDEX(SalesBaseTaxableSalesTable[],MATCH($A$3,SalesBaseTaxableSalesTable[County]),MATCH(R25,SalesBaseTaxableSalesTable[#Headers]))/INDEX(CountyAllYearsPopulation[],1,MATCH(R25,Population[#Headers])))/(INDEX(MCINormalized[],1,MATCH(R25,MCINormalized[#Headers]))/100)</f>
        <v>6998.5719327693687</v>
      </c>
      <c r="S27" s="164">
        <f>(INDEX(SalesBaseTaxableSalesTable[],MATCH($A$3,SalesBaseTaxableSalesTable[County]),MATCH(S25,SalesBaseTaxableSalesTable[#Headers]))/INDEX(CountyAllYearsPopulation[],1,MATCH(S25,Population[#Headers])))/(INDEX(MCINormalized[],1,MATCH(S25,MCINormalized[#Headers]))/100)</f>
        <v>7550.6139346811078</v>
      </c>
      <c r="T27" s="164">
        <f>(INDEX(SalesBaseTaxableSalesTable[],MATCH($A$3,SalesBaseTaxableSalesTable[County]),MATCH(T25,SalesBaseTaxableSalesTable[#Headers]))/INDEX(CountyAllYearsPopulation[],1,MATCH(T25,Population[#Headers])))/(INDEX(MCINormalized[],1,MATCH(T25,MCINormalized[#Headers]))/100)</f>
        <v>7692.9675718599465</v>
      </c>
      <c r="U27" s="164">
        <f>(INDEX(SalesBaseTaxableSalesTable[],MATCH($A$3,SalesBaseTaxableSalesTable[County]),MATCH(U25,SalesBaseTaxableSalesTable[#Headers]))/INDEX(CountyAllYearsPopulation[],1,MATCH(U25,Population[#Headers])))/(INDEX(MCINormalized[],1,MATCH(U25,MCINormalized[#Headers]))/100)</f>
        <v>7769.807188016106</v>
      </c>
      <c r="V27" s="164">
        <f>(INDEX(SalesBaseTaxableSalesTable[],MATCH($A$3,SalesBaseTaxableSalesTable[County]),MATCH(V25,SalesBaseTaxableSalesTable[#Headers]))/INDEX(CountyAllYearsPopulation[],1,MATCH(V25,Population[#Headers])))/(INDEX(MCINormalized[],1,MATCH(V25,MCINormalized[#Headers]))/100)</f>
        <v>8041.3375046100718</v>
      </c>
      <c r="W27" s="164">
        <f>(INDEX(SalesBaseTaxableSalesTable[],MATCH($A$3,SalesBaseTaxableSalesTable[County]),MATCH(W25,SalesBaseTaxableSalesTable[#Headers]))/INDEX(CountyAllYearsPopulation[],1,MATCH(W25,Population[#Headers])))/(INDEX(MCINormalized[],1,MATCH(W25,MCINormalized[#Headers]))/100)</f>
        <v>8095.8656024709317</v>
      </c>
      <c r="X27" s="164"/>
    </row>
    <row r="28" spans="1:28" s="153" customFormat="1" ht="16">
      <c r="A28" s="155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</row>
    <row r="29" spans="1:28" s="153" customFormat="1" ht="16">
      <c r="A29" s="154" t="str">
        <f>CONCATENATE($A$3," County General Revenue Property and Sales Tax Receipts: Real per Capita ")</f>
        <v xml:space="preserve">Adair County General Revenue Property and Sales Tax Receipts: Real per Capita </v>
      </c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</row>
    <row r="30" spans="1:28" s="153" customFormat="1" ht="16">
      <c r="A30" s="306" t="s">
        <v>434</v>
      </c>
      <c r="B30" s="302" t="s">
        <v>409</v>
      </c>
      <c r="C30" s="302" t="s">
        <v>410</v>
      </c>
      <c r="D30" s="302" t="s">
        <v>411</v>
      </c>
      <c r="E30" s="302" t="s">
        <v>412</v>
      </c>
      <c r="F30" s="302" t="s">
        <v>413</v>
      </c>
      <c r="G30" s="302" t="s">
        <v>414</v>
      </c>
      <c r="H30" s="302" t="s">
        <v>415</v>
      </c>
      <c r="I30" s="302" t="s">
        <v>416</v>
      </c>
      <c r="J30" s="302" t="s">
        <v>417</v>
      </c>
      <c r="K30" s="302" t="s">
        <v>418</v>
      </c>
      <c r="L30" s="302" t="s">
        <v>419</v>
      </c>
      <c r="M30" s="302" t="s">
        <v>420</v>
      </c>
      <c r="N30" s="302" t="s">
        <v>421</v>
      </c>
      <c r="O30" s="302" t="s">
        <v>422</v>
      </c>
      <c r="P30" s="302" t="s">
        <v>423</v>
      </c>
      <c r="Q30" s="302" t="s">
        <v>355</v>
      </c>
      <c r="R30" s="302" t="s">
        <v>399</v>
      </c>
      <c r="S30" s="302" t="s">
        <v>424</v>
      </c>
      <c r="T30" s="302" t="s">
        <v>446</v>
      </c>
      <c r="U30" s="302" t="s">
        <v>523</v>
      </c>
      <c r="V30" s="302" t="s">
        <v>524</v>
      </c>
      <c r="W30" s="302" t="s">
        <v>525</v>
      </c>
      <c r="X30" s="302"/>
      <c r="Y30" s="732" t="s">
        <v>524</v>
      </c>
      <c r="Z30" s="165"/>
      <c r="AA30" s="165"/>
      <c r="AB30" s="165"/>
    </row>
    <row r="31" spans="1:28" s="153" customFormat="1" ht="16">
      <c r="A31" s="153" t="s">
        <v>146</v>
      </c>
      <c r="B31" s="165">
        <f>(INDEX(GeneralRevenueFundReceiptsPropertyTaxesTable[],MATCH($A$3,GeneralRevenueFundReceiptsPropertyTaxesTable[County]),MATCH(B30,GeneralRevenueFundReceiptsPropertyTaxesTable[#Headers],0))/INDEX(CountyAllYearsPopulation[],1,MATCH(B30,Population[#Headers],0)))/(INDEX(MCINormalized[],1,MATCH(B30,MCINormalized[#Headers],0))/100)</f>
        <v>0</v>
      </c>
      <c r="C31" s="165">
        <f>(INDEX(GeneralRevenueFundReceiptsPropertyTaxesTable[],MATCH($A$3,GeneralRevenueFundReceiptsPropertyTaxesTable[County]),MATCH(C30,GeneralRevenueFundReceiptsPropertyTaxesTable[#Headers]))/INDEX(CountyAllYearsPopulation[],1,MATCH(C30,Population[#Headers])))/(INDEX(MCINormalized[],1,MATCH(C30,MCINormalized[#Headers]))/100)</f>
        <v>0.86702914787481744</v>
      </c>
      <c r="D31" s="165">
        <f>(INDEX(GeneralRevenueFundReceiptsPropertyTaxesTable[],MATCH($A$3,GeneralRevenueFundReceiptsPropertyTaxesTable[County]),MATCH(D30,GeneralRevenueFundReceiptsPropertyTaxesTable[#Headers]))/INDEX(CountyAllYearsPopulation[],1,MATCH(D30,Population[#Headers])))/(INDEX(MCINormalized[],1,MATCH(D30,MCINormalized[#Headers]))/100)</f>
        <v>0</v>
      </c>
      <c r="E31" s="165">
        <f>(INDEX(GeneralRevenueFundReceiptsPropertyTaxesTable[],MATCH($A$3,GeneralRevenueFundReceiptsPropertyTaxesTable[County]),MATCH(E30,GeneralRevenueFundReceiptsPropertyTaxesTable[#Headers]))/INDEX(CountyAllYearsPopulation[],1,MATCH(E30,Population[#Headers])))/(INDEX(MCINormalized[],1,MATCH(E30,MCINormalized[#Headers]))/100)</f>
        <v>0</v>
      </c>
      <c r="F31" s="165">
        <f>(INDEX(GeneralRevenueFundReceiptsPropertyTaxesTable[],MATCH($A$3,GeneralRevenueFundReceiptsPropertyTaxesTable[County]),MATCH(F30,GeneralRevenueFundReceiptsPropertyTaxesTable[#Headers]))/INDEX(CountyAllYearsPopulation[],1,MATCH(F30,Population[#Headers])))/(INDEX(MCINormalized[],1,MATCH(F30,MCINormalized[#Headers]))/100)</f>
        <v>0</v>
      </c>
      <c r="G31" s="165">
        <f>(INDEX(GeneralRevenueFundReceiptsPropertyTaxesTable[],MATCH($A$3,GeneralRevenueFundReceiptsPropertyTaxesTable[County]),MATCH(G30,GeneralRevenueFundReceiptsPropertyTaxesTable[#Headers]))/INDEX(CountyAllYearsPopulation[],1,MATCH(G30,Population[#Headers])))/(INDEX(MCINormalized[],1,MATCH(G30,MCINormalized[#Headers]))/100)</f>
        <v>0</v>
      </c>
      <c r="H31" s="165">
        <f>(INDEX(GeneralRevenueFundReceiptsPropertyTaxesTable[],MATCH($A$3,GeneralRevenueFundReceiptsPropertyTaxesTable[County]),MATCH(H30,GeneralRevenueFundReceiptsPropertyTaxesTable[#Headers]))/INDEX(CountyAllYearsPopulation[],1,MATCH(H30,Population[#Headers])))/(INDEX(MCINormalized[],1,MATCH(H30,MCINormalized[#Headers]))/100)</f>
        <v>0</v>
      </c>
      <c r="I31" s="165">
        <f>(INDEX(GeneralRevenueFundReceiptsPropertyTaxesTable[],MATCH($A$3,GeneralRevenueFundReceiptsPropertyTaxesTable[County]),MATCH(I30,GeneralRevenueFundReceiptsPropertyTaxesTable[#Headers]))/INDEX(CountyAllYearsPopulation[],1,MATCH(I30,Population[#Headers])))/(INDEX(MCINormalized[],1,MATCH(I30,MCINormalized[#Headers]))/100)</f>
        <v>0</v>
      </c>
      <c r="J31" s="165">
        <f>(INDEX(GeneralRevenueFundReceiptsPropertyTaxesTable[],MATCH($A$3,GeneralRevenueFundReceiptsPropertyTaxesTable[County]),MATCH(J30,GeneralRevenueFundReceiptsPropertyTaxesTable[#Headers]))/INDEX(CountyAllYearsPopulation[],1,MATCH(J30,Population[#Headers])))/(INDEX(MCINormalized[],1,MATCH(J30,MCINormalized[#Headers]))/100)</f>
        <v>0</v>
      </c>
      <c r="K31" s="165">
        <f>(INDEX(GeneralRevenueFundReceiptsPropertyTaxesTable[],MATCH($A$3,GeneralRevenueFundReceiptsPropertyTaxesTable[County]),MATCH(K30,GeneralRevenueFundReceiptsPropertyTaxesTable[#Headers]))/INDEX(CountyAllYearsPopulation[],1,MATCH(K30,Population[#Headers])))/(INDEX(MCINormalized[],1,MATCH(K30,MCINormalized[#Headers]))/100)</f>
        <v>0</v>
      </c>
      <c r="L31" s="165">
        <f>(INDEX(GeneralRevenueFundReceiptsPropertyTaxesTable[],MATCH($A$3,GeneralRevenueFundReceiptsPropertyTaxesTable[County]),MATCH(L30,GeneralRevenueFundReceiptsPropertyTaxesTable[#Headers]))/INDEX(CountyAllYearsPopulation[],1,MATCH(L30,Population[#Headers])))/(INDEX(MCINormalized[],1,MATCH(L30,MCINormalized[#Headers]))/100)</f>
        <v>0</v>
      </c>
      <c r="M31" s="165">
        <f>(INDEX(GeneralRevenueFundReceiptsPropertyTaxesTable[],MATCH($A$3,GeneralRevenueFundReceiptsPropertyTaxesTable[County]),MATCH(M30,GeneralRevenueFundReceiptsPropertyTaxesTable[#Headers]))/INDEX(CountyAllYearsPopulation[],1,MATCH(M30,Population[#Headers])))/(INDEX(MCINormalized[],1,MATCH(M30,MCINormalized[#Headers]))/100)</f>
        <v>0</v>
      </c>
      <c r="N31" s="165">
        <f>(INDEX(GeneralRevenueFundReceiptsPropertyTaxesTable[],MATCH($A$3,GeneralRevenueFundReceiptsPropertyTaxesTable[County]),MATCH(N30,GeneralRevenueFundReceiptsPropertyTaxesTable[#Headers]))/INDEX(CountyAllYearsPopulation[],1,MATCH(N30,Population[#Headers])))/(INDEX(MCINormalized[],1,MATCH(N30,MCINormalized[#Headers]))/100)</f>
        <v>0</v>
      </c>
      <c r="O31" s="165">
        <f>(INDEX(GeneralRevenueFundReceiptsPropertyTaxesTable[],MATCH($A$3,GeneralRevenueFundReceiptsPropertyTaxesTable[County]),MATCH(O30,GeneralRevenueFundReceiptsPropertyTaxesTable[#Headers]))/INDEX(CountyAllYearsPopulation[],1,MATCH(O30,Population[#Headers])))/(INDEX(MCINormalized[],1,MATCH(O30,MCINormalized[#Headers]))/100)</f>
        <v>0</v>
      </c>
      <c r="P31" s="165">
        <f>(INDEX(GeneralRevenueFundReceiptsPropertyTaxesTable[],MATCH($A$3,GeneralRevenueFundReceiptsPropertyTaxesTable[County]),MATCH(P30,GeneralRevenueFundReceiptsPropertyTaxesTable[#Headers]))/INDEX(CountyAllYearsPopulation[],1,MATCH(P30,Population[#Headers])))/(INDEX(MCINormalized[],1,MATCH(P30,MCINormalized[#Headers]))/100)</f>
        <v>0</v>
      </c>
      <c r="Q31" s="165">
        <f>(INDEX(GeneralRevenueFundReceiptsPropertyTaxesTable[],MATCH($A$3,GeneralRevenueFundReceiptsPropertyTaxesTable[County]),MATCH(Q30,GeneralRevenueFundReceiptsPropertyTaxesTable[#Headers]))/INDEX(CountyAllYearsPopulation[],1,MATCH(Q30,Population[#Headers])))/(INDEX(MCINormalized[],1,MATCH(Q30,MCINormalized[#Headers]))/100)</f>
        <v>0</v>
      </c>
      <c r="R31" s="165">
        <f>(INDEX(GeneralRevenueFundReceiptsPropertyTaxesTable[],MATCH($A$3,GeneralRevenueFundReceiptsPropertyTaxesTable[County]),MATCH(R30,GeneralRevenueFundReceiptsPropertyTaxesTable[#Headers]))/INDEX(CountyAllYearsPopulation[],1,MATCH(R30,Population[#Headers])))/(INDEX(MCINormalized[],1,MATCH(R30,MCINormalized[#Headers]))/100)</f>
        <v>0</v>
      </c>
      <c r="S31" s="165">
        <f>(INDEX(GeneralRevenueFundReceiptsPropertyTaxesTable[],MATCH($A$3,GeneralRevenueFundReceiptsPropertyTaxesTable[County]),MATCH(S30,GeneralRevenueFundReceiptsPropertyTaxesTable[#Headers]))/INDEX(CountyAllYearsPopulation[],1,MATCH(S30,Population[#Headers])))/(INDEX(MCINormalized[],1,MATCH(S30,MCINormalized[#Headers]))/100)</f>
        <v>0</v>
      </c>
      <c r="T31" s="165">
        <f>(INDEX(GeneralRevenueFundReceiptsPropertyTaxesTable[],MATCH($A$3,GeneralRevenueFundReceiptsPropertyTaxesTable[County]),MATCH(T30,GeneralRevenueFundReceiptsPropertyTaxesTable[#Headers]))/INDEX(CountyAllYearsPopulation[],1,MATCH(T30,Population[#Headers])))/(INDEX(MCINormalized[],1,MATCH(T30,MCINormalized[#Headers]))/100)</f>
        <v>0</v>
      </c>
      <c r="U31" s="165">
        <f>(INDEX(GeneralRevenueFundReceiptsPropertyTaxesTable[],MATCH($A$3,GeneralRevenueFundReceiptsPropertyTaxesTable[County]),MATCH(U30,GeneralRevenueFundReceiptsPropertyTaxesTable[#Headers]))/INDEX(CountyAllYearsPopulation[],1,MATCH(U30,Population[#Headers])))/(INDEX(MCINormalized[],1,MATCH(U30,MCINormalized[#Headers]))/100)</f>
        <v>0</v>
      </c>
      <c r="V31" s="165">
        <f>(INDEX(GeneralRevenueFundReceiptsPropertyTaxesTable[],MATCH($A$3,GeneralRevenueFundReceiptsPropertyTaxesTable[County]),MATCH(V30,GeneralRevenueFundReceiptsPropertyTaxesTable[#Headers]))/INDEX(CountyAllYearsPopulation[],1,MATCH(V30,Population[#Headers])))/(INDEX(MCINormalized[],1,MATCH(V30,MCINormalized[#Headers]))/100)</f>
        <v>0</v>
      </c>
      <c r="W31" s="165">
        <f>(INDEX(GeneralRevenueFundReceiptsPropertyTaxesTable[],MATCH($A$3,GeneralRevenueFundReceiptsPropertyTaxesTable[County]),MATCH(W30,GeneralRevenueFundReceiptsPropertyTaxesTable[#Headers]))/INDEX(CountyAllYearsPopulation[],1,MATCH(W30,Population[#Headers])))/(INDEX(MCINormalized[],1,MATCH(W30,MCINormalized[#Headers]))/100)</f>
        <v>0</v>
      </c>
      <c r="X31" s="165"/>
      <c r="Y31" s="731" t="e">
        <f>(INDEX(GeneralRevenueFundReceiptsSalesTaxesTable[],MATCH($A$3,GeneralRevenueFundReceiptsSalesTaxesTable[County]),MATCH(Y29,GeneralRevenueFundReceiptsSalesTaxesTable[#Headers]))/INDEX(CountyAllYearsPopulation[],1,MATCH(Y29,Population[#Headers])))/(INDEX(MCINormalized[],1,MATCH(Y29,MCINormalized[#Headers]))/100)</f>
        <v>#N/A</v>
      </c>
      <c r="Z31" s="165"/>
      <c r="AA31" s="165"/>
      <c r="AB31" s="165"/>
    </row>
    <row r="32" spans="1:28" s="153" customFormat="1" ht="16">
      <c r="A32" s="155" t="s">
        <v>147</v>
      </c>
      <c r="B32" s="165">
        <f>(INDEX(GeneralRevenueFundReceiptsSalesTaxesTable[],MATCH($A$3,GeneralRevenueFundReceiptsSalesTaxesTable[County]),MATCH(B30,GeneralRevenueFundReceiptsSalesTaxesTable[#Headers],0))/INDEX(CountyAllYearsPopulation[],1,MATCH(B30,Population[#Headers],0)))/(INDEX(MCINormalized[],1,MATCH(B30,MCINormalized[#Headers],0))/100)</f>
        <v>46.520290961700759</v>
      </c>
      <c r="C32" s="165">
        <f>(INDEX(GeneralRevenueFundReceiptsSalesTaxesTable[],MATCH($A$3,GeneralRevenueFundReceiptsSalesTaxesTable[County]),MATCH(C30,GeneralRevenueFundReceiptsSalesTaxesTable[#Headers]))/INDEX(CountyAllYearsPopulation[],1,MATCH(C30,Population[#Headers])))/(INDEX(MCINormalized[],1,MATCH(C30,MCINormalized[#Headers]))/100)</f>
        <v>45.085515689490506</v>
      </c>
      <c r="D32" s="165">
        <f>(INDEX(GeneralRevenueFundReceiptsSalesTaxesTable[],MATCH($A$3,GeneralRevenueFundReceiptsSalesTaxesTable[County]),MATCH(D30,GeneralRevenueFundReceiptsSalesTaxesTable[#Headers]))/INDEX(CountyAllYearsPopulation[],1,MATCH(D30,Population[#Headers])))/(INDEX(MCINormalized[],1,MATCH(D30,MCINormalized[#Headers]))/100)</f>
        <v>43.445249403235913</v>
      </c>
      <c r="E32" s="165">
        <f>(INDEX(GeneralRevenueFundReceiptsSalesTaxesTable[],MATCH($A$3,GeneralRevenueFundReceiptsSalesTaxesTable[County]),MATCH(E30,GeneralRevenueFundReceiptsSalesTaxesTable[#Headers]))/INDEX(CountyAllYearsPopulation[],1,MATCH(E30,Population[#Headers])))/(INDEX(MCINormalized[],1,MATCH(E30,MCINormalized[#Headers]))/100)</f>
        <v>44.462577029813453</v>
      </c>
      <c r="F32" s="165">
        <f>(INDEX(GeneralRevenueFundReceiptsSalesTaxesTable[],MATCH($A$3,GeneralRevenueFundReceiptsSalesTaxesTable[County]),MATCH(F30,GeneralRevenueFundReceiptsSalesTaxesTable[#Headers]))/INDEX(CountyAllYearsPopulation[],1,MATCH(F30,Population[#Headers])))/(INDEX(MCINormalized[],1,MATCH(F30,MCINormalized[#Headers]))/100)</f>
        <v>47.317502930959435</v>
      </c>
      <c r="G32" s="165">
        <f>(INDEX(GeneralRevenueFundReceiptsSalesTaxesTable[],MATCH($A$3,GeneralRevenueFundReceiptsSalesTaxesTable[County]),MATCH(G30,GeneralRevenueFundReceiptsSalesTaxesTable[#Headers]))/INDEX(CountyAllYearsPopulation[],1,MATCH(G30,Population[#Headers])))/(INDEX(MCINormalized[],1,MATCH(G30,MCINormalized[#Headers]))/100)</f>
        <v>46.681206249159452</v>
      </c>
      <c r="H32" s="165">
        <f>(INDEX(GeneralRevenueFundReceiptsSalesTaxesTable[],MATCH($A$3,GeneralRevenueFundReceiptsSalesTaxesTable[County]),MATCH(H30,GeneralRevenueFundReceiptsSalesTaxesTable[#Headers]))/INDEX(CountyAllYearsPopulation[],1,MATCH(H30,Population[#Headers])))/(INDEX(MCINormalized[],1,MATCH(H30,MCINormalized[#Headers]))/100)</f>
        <v>49.134361018791878</v>
      </c>
      <c r="I32" s="165">
        <f>(INDEX(GeneralRevenueFundReceiptsSalesTaxesTable[],MATCH($A$3,GeneralRevenueFundReceiptsSalesTaxesTable[County]),MATCH(I30,GeneralRevenueFundReceiptsSalesTaxesTable[#Headers]))/INDEX(CountyAllYearsPopulation[],1,MATCH(I30,Population[#Headers])))/(INDEX(MCINormalized[],1,MATCH(I30,MCINormalized[#Headers]))/100)</f>
        <v>43.41191025269756</v>
      </c>
      <c r="J32" s="165">
        <f>(INDEX(GeneralRevenueFundReceiptsSalesTaxesTable[],MATCH($A$3,GeneralRevenueFundReceiptsSalesTaxesTable[County]),MATCH(J30,GeneralRevenueFundReceiptsSalesTaxesTable[#Headers]))/INDEX(CountyAllYearsPopulation[],1,MATCH(J30,Population[#Headers])))/(INDEX(MCINormalized[],1,MATCH(J30,MCINormalized[#Headers]))/100)</f>
        <v>43.150552737224842</v>
      </c>
      <c r="K32" s="165">
        <f>(INDEX(GeneralRevenueFundReceiptsSalesTaxesTable[],MATCH($A$3,GeneralRevenueFundReceiptsSalesTaxesTable[County]),MATCH(K30,GeneralRevenueFundReceiptsSalesTaxesTable[#Headers]))/INDEX(CountyAllYearsPopulation[],1,MATCH(K30,Population[#Headers])))/(INDEX(MCINormalized[],1,MATCH(K30,MCINormalized[#Headers]))/100)</f>
        <v>42.223317572037821</v>
      </c>
      <c r="L32" s="165">
        <f>(INDEX(GeneralRevenueFundReceiptsSalesTaxesTable[],MATCH($A$3,GeneralRevenueFundReceiptsSalesTaxesTable[County]),MATCH(L30,GeneralRevenueFundReceiptsSalesTaxesTable[#Headers]))/INDEX(CountyAllYearsPopulation[],1,MATCH(L30,Population[#Headers])))/(INDEX(MCINormalized[],1,MATCH(L30,MCINormalized[#Headers]))/100)</f>
        <v>41.690306792669467</v>
      </c>
      <c r="M32" s="165">
        <f>(INDEX(GeneralRevenueFundReceiptsSalesTaxesTable[],MATCH($A$3,GeneralRevenueFundReceiptsSalesTaxesTable[County]),MATCH(M30,GeneralRevenueFundReceiptsSalesTaxesTable[#Headers]))/INDEX(CountyAllYearsPopulation[],1,MATCH(M30,Population[#Headers])))/(INDEX(MCINormalized[],1,MATCH(M30,MCINormalized[#Headers]))/100)</f>
        <v>43.722078831776606</v>
      </c>
      <c r="N32" s="165">
        <f>(INDEX(GeneralRevenueFundReceiptsSalesTaxesTable[],MATCH($A$3,GeneralRevenueFundReceiptsSalesTaxesTable[County]),MATCH(N30,GeneralRevenueFundReceiptsSalesTaxesTable[#Headers]))/INDEX(CountyAllYearsPopulation[],1,MATCH(N30,Population[#Headers])))/(INDEX(MCINormalized[],1,MATCH(N30,MCINormalized[#Headers]))/100)</f>
        <v>38.836748550202621</v>
      </c>
      <c r="O32" s="165">
        <f>(INDEX(GeneralRevenueFundReceiptsSalesTaxesTable[],MATCH($A$3,GeneralRevenueFundReceiptsSalesTaxesTable[County]),MATCH(O30,GeneralRevenueFundReceiptsSalesTaxesTable[#Headers]))/INDEX(CountyAllYearsPopulation[],1,MATCH(O30,Population[#Headers])))/(INDEX(MCINormalized[],1,MATCH(O30,MCINormalized[#Headers]))/100)</f>
        <v>38.869760410687086</v>
      </c>
      <c r="P32" s="165">
        <f>(INDEX(GeneralRevenueFundReceiptsSalesTaxesTable[],MATCH($A$3,GeneralRevenueFundReceiptsSalesTaxesTable[County]),MATCH(P30,GeneralRevenueFundReceiptsSalesTaxesTable[#Headers]))/INDEX(CountyAllYearsPopulation[],1,MATCH(P30,Population[#Headers])))/(INDEX(MCINormalized[],1,MATCH(P30,MCINormalized[#Headers]))/100)</f>
        <v>37.762945592828871</v>
      </c>
      <c r="Q32" s="165">
        <f>(INDEX(GeneralRevenueFundReceiptsSalesTaxesTable[],MATCH($A$3,GeneralRevenueFundReceiptsSalesTaxesTable[County]),MATCH(Q30,GeneralRevenueFundReceiptsSalesTaxesTable[#Headers]))/INDEX(CountyAllYearsPopulation[],1,MATCH(Q30,Population[#Headers])))/(INDEX(MCINormalized[],1,MATCH(Q30,MCINormalized[#Headers]))/100)</f>
        <v>37.70040291634227</v>
      </c>
      <c r="R32" s="165">
        <f>(INDEX(GeneralRevenueFundReceiptsSalesTaxesTable[],MATCH($A$3,GeneralRevenueFundReceiptsSalesTaxesTable[County]),MATCH(R30,GeneralRevenueFundReceiptsSalesTaxesTable[#Headers]))/INDEX(CountyAllYearsPopulation[],1,MATCH(R30,Population[#Headers])))/(INDEX(MCINormalized[],1,MATCH(R30,MCINormalized[#Headers]))/100)</f>
        <v>36.145409595748902</v>
      </c>
      <c r="S32" s="165">
        <f>(INDEX(GeneralRevenueFundReceiptsSalesTaxesTable[],MATCH($A$3,GeneralRevenueFundReceiptsSalesTaxesTable[County]),MATCH(S30,GeneralRevenueFundReceiptsSalesTaxesTable[#Headers]))/INDEX(CountyAllYearsPopulation[],1,MATCH(S30,Population[#Headers])))/(INDEX(MCINormalized[],1,MATCH(S30,MCINormalized[#Headers]))/100)</f>
        <v>36.596441156558328</v>
      </c>
      <c r="T32" s="165">
        <f>(INDEX(GeneralRevenueFundReceiptsSalesTaxesTable[],MATCH($A$3,GeneralRevenueFundReceiptsSalesTaxesTable[County]),MATCH(T30,GeneralRevenueFundReceiptsSalesTaxesTable[#Headers]))/INDEX(CountyAllYearsPopulation[],1,MATCH(T30,Population[#Headers])))/(INDEX(MCINormalized[],1,MATCH(T30,MCINormalized[#Headers]))/100)</f>
        <v>37.689009144765329</v>
      </c>
      <c r="U32" s="165">
        <f>(INDEX(GeneralRevenueFundReceiptsSalesTaxesTable[],MATCH($A$3,GeneralRevenueFundReceiptsSalesTaxesTable[County]),MATCH(U30,GeneralRevenueFundReceiptsSalesTaxesTable[#Headers]))/INDEX(CountyAllYearsPopulation[],1,MATCH(U30,Population[#Headers])))/(INDEX(MCINormalized[],1,MATCH(U30,MCINormalized[#Headers]))/100)</f>
        <v>38.317281816345407</v>
      </c>
      <c r="V32" s="165">
        <f>(INDEX(GeneralRevenueFundReceiptsSalesTaxesTable[],MATCH($A$3,GeneralRevenueFundReceiptsSalesTaxesTable[County]),MATCH(V30,GeneralRevenueFundReceiptsSalesTaxesTable[#Headers]))/INDEX(CountyAllYearsPopulation[],1,MATCH(V30,Population[#Headers])))/(INDEX(MCINormalized[],1,MATCH(V30,MCINormalized[#Headers]))/100)</f>
        <v>38.300050406744724</v>
      </c>
      <c r="W32" s="165">
        <f>(INDEX(GeneralRevenueFundReceiptsSalesTaxesTable[],MATCH($A$3,GeneralRevenueFundReceiptsSalesTaxesTable[County]),MATCH(W30,GeneralRevenueFundReceiptsSalesTaxesTable[#Headers]))/INDEX(CountyAllYearsPopulation[],1,MATCH(W30,Population[#Headers])))/(INDEX(MCINormalized[],1,MATCH(W30,MCINormalized[#Headers]))/100)</f>
        <v>37.400975125305308</v>
      </c>
      <c r="X32" s="165"/>
      <c r="Y32" s="731">
        <f>(INDEX(GeneralRevenueFundReceiptsSalesTaxesTable[],MATCH($A$3,GeneralRevenueFundReceiptsSalesTaxesTable[County]),MATCH(Y30,GeneralRevenueFundReceiptsSalesTaxesTable[#Headers]))/INDEX(CountyAllYearsPopulation[],1,MATCH(Y30,Population[#Headers])))/(INDEX(MCINormalized[],1,MATCH(Y30,MCINormalized[#Headers]))/100)</f>
        <v>38.300050406744724</v>
      </c>
    </row>
    <row r="33" spans="1:28" s="153" customFormat="1" ht="16">
      <c r="A33" s="155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</row>
    <row r="34" spans="1:28" s="153" customFormat="1" ht="16">
      <c r="A34" s="166" t="str">
        <f>CONCATENATE($A$3," County Detailed General Revenue Receipts: Real per Capita")</f>
        <v>Adair County Detailed General Revenue Receipts: Real per Capita</v>
      </c>
      <c r="B34" s="167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</row>
    <row r="35" spans="1:28" s="153" customFormat="1" ht="16">
      <c r="A35" s="307" t="s">
        <v>434</v>
      </c>
      <c r="B35" s="308" t="s">
        <v>409</v>
      </c>
      <c r="C35" s="308" t="s">
        <v>410</v>
      </c>
      <c r="D35" s="308" t="s">
        <v>411</v>
      </c>
      <c r="E35" s="308" t="s">
        <v>412</v>
      </c>
      <c r="F35" s="308" t="s">
        <v>413</v>
      </c>
      <c r="G35" s="308" t="s">
        <v>414</v>
      </c>
      <c r="H35" s="308" t="s">
        <v>415</v>
      </c>
      <c r="I35" s="308" t="s">
        <v>416</v>
      </c>
      <c r="J35" s="308" t="s">
        <v>417</v>
      </c>
      <c r="K35" s="308" t="s">
        <v>418</v>
      </c>
      <c r="L35" s="308" t="s">
        <v>419</v>
      </c>
      <c r="M35" s="308" t="s">
        <v>420</v>
      </c>
      <c r="N35" s="308" t="s">
        <v>421</v>
      </c>
      <c r="O35" s="308" t="s">
        <v>422</v>
      </c>
      <c r="P35" s="302" t="s">
        <v>423</v>
      </c>
      <c r="Q35" s="302" t="s">
        <v>355</v>
      </c>
      <c r="R35" s="302" t="s">
        <v>399</v>
      </c>
      <c r="S35" s="302" t="s">
        <v>424</v>
      </c>
      <c r="T35" s="302" t="s">
        <v>446</v>
      </c>
      <c r="U35" s="302" t="s">
        <v>523</v>
      </c>
      <c r="V35" s="302" t="s">
        <v>524</v>
      </c>
      <c r="W35" s="302" t="s">
        <v>525</v>
      </c>
      <c r="X35" s="302"/>
      <c r="Y35" s="733" t="s">
        <v>524</v>
      </c>
      <c r="Z35" s="165"/>
      <c r="AA35" s="165"/>
      <c r="AB35" s="165"/>
    </row>
    <row r="36" spans="1:28" s="153" customFormat="1" ht="16">
      <c r="A36" s="158" t="s">
        <v>138</v>
      </c>
      <c r="B36" s="165">
        <f>(INDEX(GeneralRevenueFundReceiptsPropertyTaxesTable[],MATCH($A$3,GeneralRevenueFundReceiptsPropertyTaxesTable[County]),MATCH(B35,GeneralRevenueFundReceiptsPropertyTaxesTable[#Headers],0))/INDEX(CountyAllYearsPopulation[],1,MATCH(B35,Population[#Headers],0)))/(INDEX(MCINormalized[],1,MATCH(B35,MCINormalized[#Headers],0))/100)</f>
        <v>0</v>
      </c>
      <c r="C36" s="165">
        <f>(INDEX(GeneralRevenueFundReceiptsPropertyTaxesTable[],MATCH($A$3,GeneralRevenueFundReceiptsPropertyTaxesTable[County]),MATCH(C35,GeneralRevenueFundReceiptsPropertyTaxesTable[#Headers]))/INDEX(CountyAllYearsPopulation[],1,MATCH(C35,Population[#Headers])))/(INDEX(MCINormalized[],1,MATCH(C35,MCINormalized[#Headers]))/100)</f>
        <v>0.86702914787481744</v>
      </c>
      <c r="D36" s="165">
        <f>(INDEX(GeneralRevenueFundReceiptsPropertyTaxesTable[],MATCH($A$3,GeneralRevenueFundReceiptsPropertyTaxesTable[County]),MATCH(D35,GeneralRevenueFundReceiptsPropertyTaxesTable[#Headers]))/INDEX(CountyAllYearsPopulation[],1,MATCH(D35,Population[#Headers])))/(INDEX(MCINormalized[],1,MATCH(D35,MCINormalized[#Headers]))/100)</f>
        <v>0</v>
      </c>
      <c r="E36" s="165">
        <f>(INDEX(GeneralRevenueFundReceiptsPropertyTaxesTable[],MATCH($A$3,GeneralRevenueFundReceiptsPropertyTaxesTable[County]),MATCH(E35,GeneralRevenueFundReceiptsPropertyTaxesTable[#Headers]))/INDEX(CountyAllYearsPopulation[],1,MATCH(E35,Population[#Headers])))/(INDEX(MCINormalized[],1,MATCH(E35,MCINormalized[#Headers]))/100)</f>
        <v>0</v>
      </c>
      <c r="F36" s="165">
        <f>(INDEX(GeneralRevenueFundReceiptsPropertyTaxesTable[],MATCH($A$3,GeneralRevenueFundReceiptsPropertyTaxesTable[County]),MATCH(F35,GeneralRevenueFundReceiptsPropertyTaxesTable[#Headers]))/INDEX(CountyAllYearsPopulation[],1,MATCH(F35,Population[#Headers])))/(INDEX(MCINormalized[],1,MATCH(F35,MCINormalized[#Headers]))/100)</f>
        <v>0</v>
      </c>
      <c r="G36" s="165">
        <f>(INDEX(GeneralRevenueFundReceiptsPropertyTaxesTable[],MATCH($A$3,GeneralRevenueFundReceiptsPropertyTaxesTable[County]),MATCH(G35,GeneralRevenueFundReceiptsPropertyTaxesTable[#Headers]))/INDEX(CountyAllYearsPopulation[],1,MATCH(G35,Population[#Headers])))/(INDEX(MCINormalized[],1,MATCH(G35,MCINormalized[#Headers]))/100)</f>
        <v>0</v>
      </c>
      <c r="H36" s="165">
        <f>(INDEX(GeneralRevenueFundReceiptsPropertyTaxesTable[],MATCH($A$3,GeneralRevenueFundReceiptsPropertyTaxesTable[County]),MATCH(H35,GeneralRevenueFundReceiptsPropertyTaxesTable[#Headers]))/INDEX(CountyAllYearsPopulation[],1,MATCH(H35,Population[#Headers])))/(INDEX(MCINormalized[],1,MATCH(H35,MCINormalized[#Headers]))/100)</f>
        <v>0</v>
      </c>
      <c r="I36" s="165">
        <f>(INDEX(GeneralRevenueFundReceiptsPropertyTaxesTable[],MATCH($A$3,GeneralRevenueFundReceiptsPropertyTaxesTable[County]),MATCH(I35,GeneralRevenueFundReceiptsPropertyTaxesTable[#Headers]))/INDEX(CountyAllYearsPopulation[],1,MATCH(I35,Population[#Headers])))/(INDEX(MCINormalized[],1,MATCH(I35,MCINormalized[#Headers]))/100)</f>
        <v>0</v>
      </c>
      <c r="J36" s="165">
        <f>(INDEX(GeneralRevenueFundReceiptsPropertyTaxesTable[],MATCH($A$3,GeneralRevenueFundReceiptsPropertyTaxesTable[County]),MATCH(J35,GeneralRevenueFundReceiptsPropertyTaxesTable[#Headers]))/INDEX(CountyAllYearsPopulation[],1,MATCH(J35,Population[#Headers])))/(INDEX(MCINormalized[],1,MATCH(J35,MCINormalized[#Headers]))/100)</f>
        <v>0</v>
      </c>
      <c r="K36" s="165">
        <f>(INDEX(GeneralRevenueFundReceiptsPropertyTaxesTable[],MATCH($A$3,GeneralRevenueFundReceiptsPropertyTaxesTable[County]),MATCH(K35,GeneralRevenueFundReceiptsPropertyTaxesTable[#Headers]))/INDEX(CountyAllYearsPopulation[],1,MATCH(K35,Population[#Headers])))/(INDEX(MCINormalized[],1,MATCH(K35,MCINormalized[#Headers]))/100)</f>
        <v>0</v>
      </c>
      <c r="L36" s="165">
        <f>(INDEX(GeneralRevenueFundReceiptsPropertyTaxesTable[],MATCH($A$3,GeneralRevenueFundReceiptsPropertyTaxesTable[County]),MATCH(L35,GeneralRevenueFundReceiptsPropertyTaxesTable[#Headers]))/INDEX(CountyAllYearsPopulation[],1,MATCH(L35,Population[#Headers])))/(INDEX(MCINormalized[],1,MATCH(L35,MCINormalized[#Headers]))/100)</f>
        <v>0</v>
      </c>
      <c r="M36" s="165">
        <f>(INDEX(GeneralRevenueFundReceiptsPropertyTaxesTable[],MATCH($A$3,GeneralRevenueFundReceiptsPropertyTaxesTable[County]),MATCH(M35,GeneralRevenueFundReceiptsPropertyTaxesTable[#Headers]))/INDEX(CountyAllYearsPopulation[],1,MATCH(M35,Population[#Headers])))/(INDEX(MCINormalized[],1,MATCH(M35,MCINormalized[#Headers]))/100)</f>
        <v>0</v>
      </c>
      <c r="N36" s="165">
        <f>(INDEX(GeneralRevenueFundReceiptsPropertyTaxesTable[],MATCH($A$3,GeneralRevenueFundReceiptsPropertyTaxesTable[County]),MATCH(N35,GeneralRevenueFundReceiptsPropertyTaxesTable[#Headers]))/INDEX(CountyAllYearsPopulation[],1,MATCH(N35,Population[#Headers])))/(INDEX(MCINormalized[],1,MATCH(N35,MCINormalized[#Headers]))/100)</f>
        <v>0</v>
      </c>
      <c r="O36" s="165">
        <f>(INDEX(GeneralRevenueFundReceiptsPropertyTaxesTable[],MATCH($A$3,GeneralRevenueFundReceiptsPropertyTaxesTable[County]),MATCH(O35,GeneralRevenueFundReceiptsPropertyTaxesTable[#Headers]))/INDEX(CountyAllYearsPopulation[],1,MATCH(O35,Population[#Headers])))/(INDEX(MCINormalized[],1,MATCH(O35,MCINormalized[#Headers]))/100)</f>
        <v>0</v>
      </c>
      <c r="P36" s="165">
        <f>(INDEX(GeneralRevenueFundReceiptsPropertyTaxesTable[],MATCH($A$3,GeneralRevenueFundReceiptsPropertyTaxesTable[County]),MATCH(P35,GeneralRevenueFundReceiptsPropertyTaxesTable[#Headers]))/INDEX(CountyAllYearsPopulation[],1,MATCH(P35,Population[#Headers])))/(INDEX(MCINormalized[],1,MATCH(P35,MCINormalized[#Headers]))/100)</f>
        <v>0</v>
      </c>
      <c r="Q36" s="165">
        <f>(INDEX(GeneralRevenueFundReceiptsPropertyTaxesTable[],MATCH($A$3,GeneralRevenueFundReceiptsPropertyTaxesTable[County]),MATCH(Q35,GeneralRevenueFundReceiptsPropertyTaxesTable[#Headers]))/INDEX(CountyAllYearsPopulation[],1,MATCH(Q35,Population[#Headers])))/(INDEX(MCINormalized[],1,MATCH(Q35,MCINormalized[#Headers]))/100)</f>
        <v>0</v>
      </c>
      <c r="R36" s="165">
        <f>(INDEX(GeneralRevenueFundReceiptsPropertyTaxesTable[],MATCH($A$3,GeneralRevenueFundReceiptsPropertyTaxesTable[County]),MATCH(R35,GeneralRevenueFundReceiptsPropertyTaxesTable[#Headers]))/INDEX(CountyAllYearsPopulation[],1,MATCH(R35,Population[#Headers])))/(INDEX(MCINormalized[],1,MATCH(R35,MCINormalized[#Headers]))/100)</f>
        <v>0</v>
      </c>
      <c r="S36" s="165">
        <f>(INDEX(GeneralRevenueFundReceiptsPropertyTaxesTable[],MATCH($A$3,GeneralRevenueFundReceiptsPropertyTaxesTable[County]),MATCH(S35,GeneralRevenueFundReceiptsPropertyTaxesTable[#Headers]))/INDEX(CountyAllYearsPopulation[],1,MATCH(S35,Population[#Headers])))/(INDEX(MCINormalized[],1,MATCH(S35,MCINormalized[#Headers]))/100)</f>
        <v>0</v>
      </c>
      <c r="T36" s="165">
        <f>(INDEX(GeneralRevenueFundReceiptsPropertyTaxesTable[],MATCH($A$3,GeneralRevenueFundReceiptsPropertyTaxesTable[County]),MATCH(T35,GeneralRevenueFundReceiptsPropertyTaxesTable[#Headers]))/INDEX(CountyAllYearsPopulation[],1,MATCH(T35,Population[#Headers])))/(INDEX(MCINormalized[],1,MATCH(T35,MCINormalized[#Headers]))/100)</f>
        <v>0</v>
      </c>
      <c r="U36" s="165">
        <f>(INDEX(GeneralRevenueFundReceiptsPropertyTaxesTable[],MATCH($A$3,GeneralRevenueFundReceiptsPropertyTaxesTable[County]),MATCH(U35,GeneralRevenueFundReceiptsPropertyTaxesTable[#Headers]))/INDEX(CountyAllYearsPopulation[],1,MATCH(U35,Population[#Headers])))/(INDEX(MCINormalized[],1,MATCH(U35,MCINormalized[#Headers]))/100)</f>
        <v>0</v>
      </c>
      <c r="V36" s="165">
        <f>(INDEX(GeneralRevenueFundReceiptsPropertyTaxesTable[],MATCH($A$3,GeneralRevenueFundReceiptsPropertyTaxesTable[County]),MATCH(V35,GeneralRevenueFundReceiptsPropertyTaxesTable[#Headers]))/INDEX(CountyAllYearsPopulation[],1,MATCH(V35,Population[#Headers])))/(INDEX(MCINormalized[],1,MATCH(V35,MCINormalized[#Headers]))/100)</f>
        <v>0</v>
      </c>
      <c r="W36" s="165">
        <f>(INDEX(GeneralRevenueFundReceiptsPropertyTaxesTable[],MATCH($A$3,GeneralRevenueFundReceiptsPropertyTaxesTable[County]),MATCH(W35,GeneralRevenueFundReceiptsPropertyTaxesTable[#Headers]))/INDEX(CountyAllYearsPopulation[],1,MATCH(W35,Population[#Headers])))/(INDEX(MCINormalized[],1,MATCH(W35,MCINormalized[#Headers]))/100)</f>
        <v>0</v>
      </c>
      <c r="X36" s="165"/>
      <c r="Y36" s="731">
        <f>(INDEX(GeneralRevenueFundReceiptsOtherTable[],MATCH($A$3,GeneralRevenueFundReceiptsOtherTable[County]),MATCH(Y30,GeneralRevenueFundReceiptsOtherTable[#Headers]))/INDEX(CountyAllYearsPopulation[],1,MATCH(Y30,Population[#Headers])))/(INDEX(MCINormalized[],1,MATCH(Y30,MCINormalized[#Headers]))/100)</f>
        <v>2.0122363058769337</v>
      </c>
      <c r="Z36" s="165"/>
      <c r="AA36" s="165"/>
      <c r="AB36" s="165"/>
    </row>
    <row r="37" spans="1:28" s="153" customFormat="1" ht="16">
      <c r="A37" s="158" t="s">
        <v>99</v>
      </c>
      <c r="B37" s="165">
        <f>(INDEX(GeneralRevenueFundReceiptsSalesTaxesTable[],MATCH($A$3,GeneralRevenueFundReceiptsSalesTaxesTable[County]),MATCH(B35,GeneralRevenueFundReceiptsSalesTaxesTable[#Headers],0))/INDEX(CountyAllYearsPopulation[],1,MATCH(B35,Population[#Headers],0)))/(INDEX(MCINormalized[],1,MATCH(B35,MCINormalized[#Headers],0))/100)</f>
        <v>46.520290961700759</v>
      </c>
      <c r="C37" s="165">
        <f>(INDEX(GeneralRevenueFundReceiptsSalesTaxesTable[],MATCH($A$3,GeneralRevenueFundReceiptsSalesTaxesTable[County]),MATCH(C35,GeneralRevenueFundReceiptsSalesTaxesTable[#Headers]))/INDEX(CountyAllYearsPopulation[],1,MATCH(C35,Population[#Headers])))/(INDEX(MCINormalized[],1,MATCH(C35,MCINormalized[#Headers]))/100)</f>
        <v>45.085515689490506</v>
      </c>
      <c r="D37" s="165">
        <f>(INDEX(GeneralRevenueFundReceiptsSalesTaxesTable[],MATCH($A$3,GeneralRevenueFundReceiptsSalesTaxesTable[County]),MATCH(D35,GeneralRevenueFundReceiptsSalesTaxesTable[#Headers]))/INDEX(CountyAllYearsPopulation[],1,MATCH(D35,Population[#Headers])))/(INDEX(MCINormalized[],1,MATCH(D35,MCINormalized[#Headers]))/100)</f>
        <v>43.445249403235913</v>
      </c>
      <c r="E37" s="165">
        <f>(INDEX(GeneralRevenueFundReceiptsSalesTaxesTable[],MATCH($A$3,GeneralRevenueFundReceiptsSalesTaxesTable[County]),MATCH(E35,GeneralRevenueFundReceiptsSalesTaxesTable[#Headers]))/INDEX(CountyAllYearsPopulation[],1,MATCH(E35,Population[#Headers])))/(INDEX(MCINormalized[],1,MATCH(E35,MCINormalized[#Headers]))/100)</f>
        <v>44.462577029813453</v>
      </c>
      <c r="F37" s="165">
        <f>(INDEX(GeneralRevenueFundReceiptsSalesTaxesTable[],MATCH($A$3,GeneralRevenueFundReceiptsSalesTaxesTable[County]),MATCH(F35,GeneralRevenueFundReceiptsSalesTaxesTable[#Headers]))/INDEX(CountyAllYearsPopulation[],1,MATCH(F35,Population[#Headers])))/(INDEX(MCINormalized[],1,MATCH(F35,MCINormalized[#Headers]))/100)</f>
        <v>47.317502930959435</v>
      </c>
      <c r="G37" s="165">
        <f>(INDEX(GeneralRevenueFundReceiptsSalesTaxesTable[],MATCH($A$3,GeneralRevenueFundReceiptsSalesTaxesTable[County]),MATCH(G35,GeneralRevenueFundReceiptsSalesTaxesTable[#Headers]))/INDEX(CountyAllYearsPopulation[],1,MATCH(G35,Population[#Headers])))/(INDEX(MCINormalized[],1,MATCH(G35,MCINormalized[#Headers]))/100)</f>
        <v>46.681206249159452</v>
      </c>
      <c r="H37" s="165">
        <f>(INDEX(GeneralRevenueFundReceiptsSalesTaxesTable[],MATCH($A$3,GeneralRevenueFundReceiptsSalesTaxesTable[County]),MATCH(H35,GeneralRevenueFundReceiptsSalesTaxesTable[#Headers]))/INDEX(CountyAllYearsPopulation[],1,MATCH(H35,Population[#Headers])))/(INDEX(MCINormalized[],1,MATCH(H35,MCINormalized[#Headers]))/100)</f>
        <v>49.134361018791878</v>
      </c>
      <c r="I37" s="165">
        <f>(INDEX(GeneralRevenueFundReceiptsSalesTaxesTable[],MATCH($A$3,GeneralRevenueFundReceiptsSalesTaxesTable[County]),MATCH(I35,GeneralRevenueFundReceiptsSalesTaxesTable[#Headers]))/INDEX(CountyAllYearsPopulation[],1,MATCH(I35,Population[#Headers])))/(INDEX(MCINormalized[],1,MATCH(I35,MCINormalized[#Headers]))/100)</f>
        <v>43.41191025269756</v>
      </c>
      <c r="J37" s="165">
        <f>(INDEX(GeneralRevenueFundReceiptsSalesTaxesTable[],MATCH($A$3,GeneralRevenueFundReceiptsSalesTaxesTable[County]),MATCH(J35,GeneralRevenueFundReceiptsSalesTaxesTable[#Headers]))/INDEX(CountyAllYearsPopulation[],1,MATCH(J35,Population[#Headers])))/(INDEX(MCINormalized[],1,MATCH(J35,MCINormalized[#Headers]))/100)</f>
        <v>43.150552737224842</v>
      </c>
      <c r="K37" s="165">
        <f>(INDEX(GeneralRevenueFundReceiptsSalesTaxesTable[],MATCH($A$3,GeneralRevenueFundReceiptsSalesTaxesTable[County]),MATCH(K35,GeneralRevenueFundReceiptsSalesTaxesTable[#Headers]))/INDEX(CountyAllYearsPopulation[],1,MATCH(K35,Population[#Headers])))/(INDEX(MCINormalized[],1,MATCH(K35,MCINormalized[#Headers]))/100)</f>
        <v>42.223317572037821</v>
      </c>
      <c r="L37" s="165">
        <f>(INDEX(GeneralRevenueFundReceiptsSalesTaxesTable[],MATCH($A$3,GeneralRevenueFundReceiptsSalesTaxesTable[County]),MATCH(L35,GeneralRevenueFundReceiptsSalesTaxesTable[#Headers]))/INDEX(CountyAllYearsPopulation[],1,MATCH(L35,Population[#Headers])))/(INDEX(MCINormalized[],1,MATCH(L35,MCINormalized[#Headers]))/100)</f>
        <v>41.690306792669467</v>
      </c>
      <c r="M37" s="165">
        <f>(INDEX(GeneralRevenueFundReceiptsSalesTaxesTable[],MATCH($A$3,GeneralRevenueFundReceiptsSalesTaxesTable[County]),MATCH(M35,GeneralRevenueFundReceiptsSalesTaxesTable[#Headers]))/INDEX(CountyAllYearsPopulation[],1,MATCH(M35,Population[#Headers])))/(INDEX(MCINormalized[],1,MATCH(M35,MCINormalized[#Headers]))/100)</f>
        <v>43.722078831776606</v>
      </c>
      <c r="N37" s="165">
        <f>(INDEX(GeneralRevenueFundReceiptsSalesTaxesTable[],MATCH($A$3,GeneralRevenueFundReceiptsSalesTaxesTable[County]),MATCH(N35,GeneralRevenueFundReceiptsSalesTaxesTable[#Headers]))/INDEX(CountyAllYearsPopulation[],1,MATCH(N35,Population[#Headers])))/(INDEX(MCINormalized[],1,MATCH(N35,MCINormalized[#Headers]))/100)</f>
        <v>38.836748550202621</v>
      </c>
      <c r="O37" s="165">
        <f>(INDEX(GeneralRevenueFundReceiptsSalesTaxesTable[],MATCH($A$3,GeneralRevenueFundReceiptsSalesTaxesTable[County]),MATCH(O35,GeneralRevenueFundReceiptsSalesTaxesTable[#Headers]))/INDEX(CountyAllYearsPopulation[],1,MATCH(O35,Population[#Headers])))/(INDEX(MCINormalized[],1,MATCH(O35,MCINormalized[#Headers]))/100)</f>
        <v>38.869760410687086</v>
      </c>
      <c r="P37" s="165">
        <f>(INDEX(GeneralRevenueFundReceiptsSalesTaxesTable[],MATCH($A$3,GeneralRevenueFundReceiptsSalesTaxesTable[County]),MATCH(P35,GeneralRevenueFundReceiptsSalesTaxesTable[#Headers]))/INDEX(CountyAllYearsPopulation[],1,MATCH(P35,Population[#Headers])))/(INDEX(MCINormalized[],1,MATCH(P35,MCINormalized[#Headers]))/100)</f>
        <v>37.762945592828871</v>
      </c>
      <c r="Q37" s="165">
        <f>(INDEX(GeneralRevenueFundReceiptsSalesTaxesTable[],MATCH($A$3,GeneralRevenueFundReceiptsSalesTaxesTable[County]),MATCH(Q35,GeneralRevenueFundReceiptsSalesTaxesTable[#Headers]))/INDEX(CountyAllYearsPopulation[],1,MATCH(Q35,Population[#Headers])))/(INDEX(MCINormalized[],1,MATCH(Q35,MCINormalized[#Headers]))/100)</f>
        <v>37.70040291634227</v>
      </c>
      <c r="R37" s="165">
        <f>(INDEX(GeneralRevenueFundReceiptsSalesTaxesTable[],MATCH($A$3,GeneralRevenueFundReceiptsSalesTaxesTable[County]),MATCH(R35,GeneralRevenueFundReceiptsSalesTaxesTable[#Headers]))/INDEX(CountyAllYearsPopulation[],1,MATCH(R35,Population[#Headers])))/(INDEX(MCINormalized[],1,MATCH(R35,MCINormalized[#Headers]))/100)</f>
        <v>36.145409595748902</v>
      </c>
      <c r="S37" s="165">
        <f>(INDEX(GeneralRevenueFundReceiptsSalesTaxesTable[],MATCH($A$3,GeneralRevenueFundReceiptsSalesTaxesTable[County]),MATCH(S35,GeneralRevenueFundReceiptsSalesTaxesTable[#Headers]))/INDEX(CountyAllYearsPopulation[],1,MATCH(S35,Population[#Headers])))/(INDEX(MCINormalized[],1,MATCH(S35,MCINormalized[#Headers]))/100)</f>
        <v>36.596441156558328</v>
      </c>
      <c r="T37" s="165">
        <f>(INDEX(GeneralRevenueFundReceiptsSalesTaxesTable[],MATCH($A$3,GeneralRevenueFundReceiptsSalesTaxesTable[County]),MATCH(T35,GeneralRevenueFundReceiptsSalesTaxesTable[#Headers]))/INDEX(CountyAllYearsPopulation[],1,MATCH(T35,Population[#Headers])))/(INDEX(MCINormalized[],1,MATCH(T35,MCINormalized[#Headers]))/100)</f>
        <v>37.689009144765329</v>
      </c>
      <c r="U37" s="165">
        <f>(INDEX(GeneralRevenueFundReceiptsSalesTaxesTable[],MATCH($A$3,GeneralRevenueFundReceiptsSalesTaxesTable[County]),MATCH(U35,GeneralRevenueFundReceiptsSalesTaxesTable[#Headers]))/INDEX(CountyAllYearsPopulation[],1,MATCH(U35,Population[#Headers])))/(INDEX(MCINormalized[],1,MATCH(U35,MCINormalized[#Headers]))/100)</f>
        <v>38.317281816345407</v>
      </c>
      <c r="V37" s="165">
        <f>(INDEX(GeneralRevenueFundReceiptsSalesTaxesTable[],MATCH($A$3,GeneralRevenueFundReceiptsSalesTaxesTable[County]),MATCH(V35,GeneralRevenueFundReceiptsSalesTaxesTable[#Headers]))/INDEX(CountyAllYearsPopulation[],1,MATCH(V35,Population[#Headers])))/(INDEX(MCINormalized[],1,MATCH(V35,MCINormalized[#Headers]))/100)</f>
        <v>38.300050406744724</v>
      </c>
      <c r="W37" s="165">
        <f>(INDEX(GeneralRevenueFundReceiptsSalesTaxesTable[],MATCH($A$3,GeneralRevenueFundReceiptsSalesTaxesTable[County]),MATCH(W35,GeneralRevenueFundReceiptsSalesTaxesTable[#Headers]))/INDEX(CountyAllYearsPopulation[],1,MATCH(W35,Population[#Headers])))/(INDEX(MCINormalized[],1,MATCH(W35,MCINormalized[#Headers]))/100)</f>
        <v>37.400975125305308</v>
      </c>
      <c r="X37" s="165"/>
      <c r="Y37" s="731" t="e">
        <f>(INDEX(GeneralRevenueFundReceiptsOtherTable[],MATCH($A$3,GeneralRevenueFundReceiptsOtherTable[County]),MATCH(Y31,GeneralRevenueFundReceiptsOtherTable[#Headers]))/INDEX(CountyAllYearsPopulation[],1,MATCH(Y31,Population[#Headers])))/(INDEX(MCINormalized[],1,MATCH(Y31,MCINormalized[#Headers]))/100)</f>
        <v>#N/A</v>
      </c>
      <c r="Z37" s="165"/>
      <c r="AA37" s="165"/>
      <c r="AB37" s="165"/>
    </row>
    <row r="38" spans="1:28" s="153" customFormat="1" ht="16">
      <c r="A38" s="158" t="s">
        <v>100</v>
      </c>
      <c r="B38" s="165">
        <f>(INDEX(GeneralRevenueFundReceiptsIntergovernmentalTable[],MATCH($A$3,GeneralRevenueFundReceiptsIntergovernmentalTable[County]),MATCH(B35,GeneralRevenueFundReceiptsIntergovernmentalTable[#Headers],0))/INDEX(CountyAllYearsPopulation[],1,MATCH(B35,Population[#Headers],0)))/(INDEX(MCINormalized[],1,MATCH(B35,MCINormalized[#Headers],0))/100)</f>
        <v>7.7533818269501262</v>
      </c>
      <c r="C38" s="165">
        <f>(INDEX(GeneralRevenueFundReceiptsIntergovernmentalTable[],MATCH($A$3,GeneralRevenueFundReceiptsIntergovernmentalTable[County]),MATCH(C35,GeneralRevenueFundReceiptsIntergovernmentalTable[#Headers]))/INDEX(CountyAllYearsPopulation[],1,MATCH(C35,Population[#Headers])))/(INDEX(MCINormalized[],1,MATCH(C35,MCINormalized[#Headers]))/100)</f>
        <v>12.138408070247444</v>
      </c>
      <c r="D38" s="165">
        <f>(INDEX(GeneralRevenueFundReceiptsIntergovernmentalTable[],MATCH($A$3,GeneralRevenueFundReceiptsIntergovernmentalTable[County]),MATCH(D35,GeneralRevenueFundReceiptsIntergovernmentalTable[#Headers]))/INDEX(CountyAllYearsPopulation[],1,MATCH(D35,Population[#Headers])))/(INDEX(MCINormalized[],1,MATCH(D35,MCINormalized[#Headers]))/100)</f>
        <v>7.834389236649101</v>
      </c>
      <c r="E38" s="165">
        <f>(INDEX(GeneralRevenueFundReceiptsIntergovernmentalTable[],MATCH($A$3,GeneralRevenueFundReceiptsIntergovernmentalTable[County]),MATCH(E35,GeneralRevenueFundReceiptsIntergovernmentalTable[#Headers]))/INDEX(CountyAllYearsPopulation[],1,MATCH(E35,Population[#Headers])))/(INDEX(MCINormalized[],1,MATCH(E35,MCINormalized[#Headers]))/100)</f>
        <v>7.1713833919053966</v>
      </c>
      <c r="F38" s="165">
        <f>(INDEX(GeneralRevenueFundReceiptsIntergovernmentalTable[],MATCH($A$3,GeneralRevenueFundReceiptsIntergovernmentalTable[County]),MATCH(F35,GeneralRevenueFundReceiptsIntergovernmentalTable[#Headers]))/INDEX(CountyAllYearsPopulation[],1,MATCH(F35,Population[#Headers])))/(INDEX(MCINormalized[],1,MATCH(F35,MCINormalized[#Headers]))/100)</f>
        <v>9.4635005861918877</v>
      </c>
      <c r="G38" s="165">
        <f>(INDEX(GeneralRevenueFundReceiptsIntergovernmentalTable[],MATCH($A$3,GeneralRevenueFundReceiptsIntergovernmentalTable[County]),MATCH(G35,GeneralRevenueFundReceiptsIntergovernmentalTable[#Headers]))/INDEX(CountyAllYearsPopulation[],1,MATCH(G35,Population[#Headers])))/(INDEX(MCINormalized[],1,MATCH(G35,MCINormalized[#Headers]))/100)</f>
        <v>6.0018693748919301</v>
      </c>
      <c r="H38" s="165">
        <f>(INDEX(GeneralRevenueFundReceiptsIntergovernmentalTable[],MATCH($A$3,GeneralRevenueFundReceiptsIntergovernmentalTable[County]),MATCH(H35,GeneralRevenueFundReceiptsIntergovernmentalTable[#Headers]))/INDEX(CountyAllYearsPopulation[],1,MATCH(H35,Population[#Headers])))/(INDEX(MCINormalized[],1,MATCH(H35,MCINormalized[#Headers]))/100)</f>
        <v>7.1209218867814323</v>
      </c>
      <c r="I38" s="165">
        <f>(INDEX(GeneralRevenueFundReceiptsIntergovernmentalTable[],MATCH($A$3,GeneralRevenueFundReceiptsIntergovernmentalTable[County]),MATCH(I35,GeneralRevenueFundReceiptsIntergovernmentalTable[#Headers]))/INDEX(CountyAllYearsPopulation[],1,MATCH(I35,Population[#Headers])))/(INDEX(MCINormalized[],1,MATCH(I35,MCINormalized[#Headers]))/100)</f>
        <v>19.491061746109107</v>
      </c>
      <c r="J38" s="165">
        <f>(INDEX(GeneralRevenueFundReceiptsIntergovernmentalTable[],MATCH($A$3,GeneralRevenueFundReceiptsIntergovernmentalTable[County]),MATCH(J35,GeneralRevenueFundReceiptsIntergovernmentalTable[#Headers]))/INDEX(CountyAllYearsPopulation[],1,MATCH(J35,Population[#Headers])))/(INDEX(MCINormalized[],1,MATCH(J35,MCINormalized[#Headers]))/100)</f>
        <v>2.7121165561234544</v>
      </c>
      <c r="K38" s="165">
        <f>(INDEX(GeneralRevenueFundReceiptsIntergovernmentalTable[],MATCH($A$3,GeneralRevenueFundReceiptsIntergovernmentalTable[County]),MATCH(K35,GeneralRevenueFundReceiptsIntergovernmentalTable[#Headers]))/INDEX(CountyAllYearsPopulation[],1,MATCH(K35,Population[#Headers])))/(INDEX(MCINormalized[],1,MATCH(K35,MCINormalized[#Headers]))/100)</f>
        <v>3.5305020371364568</v>
      </c>
      <c r="L38" s="165">
        <f>(INDEX(GeneralRevenueFundReceiptsIntergovernmentalTable[],MATCH($A$3,GeneralRevenueFundReceiptsIntergovernmentalTable[County]),MATCH(L35,GeneralRevenueFundReceiptsIntergovernmentalTable[#Headers]))/INDEX(CountyAllYearsPopulation[],1,MATCH(L35,Population[#Headers])))/(INDEX(MCINormalized[],1,MATCH(L35,MCINormalized[#Headers]))/100)</f>
        <v>3.2189042103925183</v>
      </c>
      <c r="M38" s="165">
        <f>(INDEX(GeneralRevenueFundReceiptsIntergovernmentalTable[],MATCH($A$3,GeneralRevenueFundReceiptsIntergovernmentalTable[County]),MATCH(M35,GeneralRevenueFundReceiptsIntergovernmentalTable[#Headers]))/INDEX(CountyAllYearsPopulation[],1,MATCH(M35,Population[#Headers])))/(INDEX(MCINormalized[],1,MATCH(M35,MCINormalized[#Headers]))/100)</f>
        <v>3.2325552183528674</v>
      </c>
      <c r="N38" s="165">
        <f>(INDEX(GeneralRevenueFundReceiptsIntergovernmentalTable[],MATCH($A$3,GeneralRevenueFundReceiptsIntergovernmentalTable[County]),MATCH(N35,GeneralRevenueFundReceiptsIntergovernmentalTable[#Headers]))/INDEX(CountyAllYearsPopulation[],1,MATCH(N35,Population[#Headers])))/(INDEX(MCINormalized[],1,MATCH(N35,MCINormalized[#Headers]))/100)</f>
        <v>7.2236759842669329</v>
      </c>
      <c r="O38" s="165">
        <f>(INDEX(GeneralRevenueFundReceiptsIntergovernmentalTable[],MATCH($A$3,GeneralRevenueFundReceiptsIntergovernmentalTable[County]),MATCH(O35,GeneralRevenueFundReceiptsIntergovernmentalTable[#Headers]))/INDEX(CountyAllYearsPopulation[],1,MATCH(O35,Population[#Headers])))/(INDEX(MCINormalized[],1,MATCH(O35,MCINormalized[#Headers]))/100)</f>
        <v>9.7907377908101729</v>
      </c>
      <c r="P38" s="165">
        <f>(INDEX(GeneralRevenueFundReceiptsIntergovernmentalTable[],MATCH($A$3,GeneralRevenueFundReceiptsIntergovernmentalTable[County]),MATCH(P35,GeneralRevenueFundReceiptsIntergovernmentalTable[#Headers]))/INDEX(CountyAllYearsPopulation[],1,MATCH(P35,Population[#Headers])))/(INDEX(MCINormalized[],1,MATCH(P35,MCINormalized[#Headers]))/100)</f>
        <v>13.022353374177712</v>
      </c>
      <c r="Q38" s="165">
        <f>(INDEX(GeneralRevenueFundReceiptsIntergovernmentalTable[],MATCH($A$3,GeneralRevenueFundReceiptsIntergovernmentalTable[County]),MATCH(Q35,GeneralRevenueFundReceiptsIntergovernmentalTable[#Headers]))/INDEX(CountyAllYearsPopulation[],1,MATCH(Q35,Population[#Headers])))/(INDEX(MCINormalized[],1,MATCH(Q35,MCINormalized[#Headers]))/100)</f>
        <v>9.7783995616900548</v>
      </c>
      <c r="R38" s="165">
        <f>(INDEX(GeneralRevenueFundReceiptsIntergovernmentalTable[],MATCH($A$3,GeneralRevenueFundReceiptsIntergovernmentalTable[County]),MATCH(R35,GeneralRevenueFundReceiptsIntergovernmentalTable[#Headers]))/INDEX(CountyAllYearsPopulation[],1,MATCH(R35,Population[#Headers])))/(INDEX(MCINormalized[],1,MATCH(R35,MCINormalized[#Headers]))/100)</f>
        <v>11.627666698068047</v>
      </c>
      <c r="S38" s="165">
        <f>(INDEX(GeneralRevenueFundReceiptsIntergovernmentalTable[],MATCH($A$3,GeneralRevenueFundReceiptsIntergovernmentalTable[County]),MATCH(S35,GeneralRevenueFundReceiptsIntergovernmentalTable[#Headers]))/INDEX(CountyAllYearsPopulation[],1,MATCH(S35,Population[#Headers])))/(INDEX(MCINormalized[],1,MATCH(S35,MCINormalized[#Headers]))/100)</f>
        <v>5.4878367143053008</v>
      </c>
      <c r="T38" s="165">
        <f>(INDEX(GeneralRevenueFundReceiptsIntergovernmentalTable[],MATCH($A$3,GeneralRevenueFundReceiptsIntergovernmentalTable[County]),MATCH(T35,GeneralRevenueFundReceiptsIntergovernmentalTable[#Headers]))/INDEX(CountyAllYearsPopulation[],1,MATCH(T35,Population[#Headers])))/(INDEX(MCINormalized[],1,MATCH(T35,MCINormalized[#Headers]))/100)</f>
        <v>0.93120900484639313</v>
      </c>
      <c r="U38" s="165">
        <f>(INDEX(GeneralRevenueFundReceiptsIntergovernmentalTable[],MATCH($A$3,GeneralRevenueFundReceiptsIntergovernmentalTable[County]),MATCH(U35,GeneralRevenueFundReceiptsIntergovernmentalTable[#Headers]))/INDEX(CountyAllYearsPopulation[],1,MATCH(U35,Population[#Headers])))/(INDEX(MCINormalized[],1,MATCH(U35,MCINormalized[#Headers]))/100)</f>
        <v>3.5800302215242619</v>
      </c>
      <c r="V38" s="165">
        <f>(INDEX(GeneralRevenueFundReceiptsIntergovernmentalTable[],MATCH($A$3,GeneralRevenueFundReceiptsIntergovernmentalTable[County]),MATCH(V35,GeneralRevenueFundReceiptsIntergovernmentalTable[#Headers]))/INDEX(CountyAllYearsPopulation[],1,MATCH(V35,Population[#Headers])))/(INDEX(MCINormalized[],1,MATCH(V35,MCINormalized[#Headers]))/100)</f>
        <v>3.9061584698473353</v>
      </c>
      <c r="W38" s="165">
        <f>(INDEX(GeneralRevenueFundReceiptsIntergovernmentalTable[],MATCH($A$3,GeneralRevenueFundReceiptsIntergovernmentalTable[County]),MATCH(W35,GeneralRevenueFundReceiptsIntergovernmentalTable[#Headers]))/INDEX(CountyAllYearsPopulation[],1,MATCH(W35,Population[#Headers])))/(INDEX(MCINormalized[],1,MATCH(W35,MCINormalized[#Headers]))/100)</f>
        <v>2.8923450372674742</v>
      </c>
      <c r="X38" s="165"/>
      <c r="Y38" s="731" t="e">
        <f>(INDEX(GeneralRevenueFundReceiptsOtherTable[],MATCH($A$3,GeneralRevenueFundReceiptsOtherTable[County]),MATCH(Y32,GeneralRevenueFundReceiptsOtherTable[#Headers]))/INDEX(CountyAllYearsPopulation[],1,MATCH(Y32,Population[#Headers])))/(INDEX(MCINormalized[],1,MATCH(Y32,MCINormalized[#Headers]))/100)</f>
        <v>#N/A</v>
      </c>
      <c r="Z38" s="165"/>
      <c r="AA38" s="165"/>
      <c r="AB38" s="165"/>
    </row>
    <row r="39" spans="1:28" s="153" customFormat="1" ht="16">
      <c r="A39" s="158" t="s">
        <v>104</v>
      </c>
      <c r="B39" s="165">
        <f>(INDEX(GeneralRevenueFundReceiptsChargesforServicesTable[],MATCH($A$3,GeneralRevenueFundReceiptsChargesforServicesTable[County]),MATCH(B35,GeneralRevenueFundReceiptsChargesforServicesTable[#Headers],0))/INDEX(CountyAllYearsPopulation[],1,MATCH(B35,Population[#Headers],0)))/(INDEX(MCINormalized[],1,MATCH(B35,MCINormalized[#Headers],0))/100)</f>
        <v>10.854734557730177</v>
      </c>
      <c r="C39" s="165">
        <f>(INDEX(GeneralRevenueFundReceiptsChargesforServicesTable[],MATCH($A$3,GeneralRevenueFundReceiptsChargesforServicesTable[County]),MATCH(C35,GeneralRevenueFundReceiptsChargesforServicesTable[#Headers]))/INDEX(CountyAllYearsPopulation[],1,MATCH(C35,Population[#Headers])))/(INDEX(MCINormalized[],1,MATCH(C35,MCINormalized[#Headers]))/100)</f>
        <v>12.138408070247444</v>
      </c>
      <c r="D39" s="165">
        <f>(INDEX(GeneralRevenueFundReceiptsChargesforServicesTable[],MATCH($A$3,GeneralRevenueFundReceiptsChargesforServicesTable[County]),MATCH(D35,GeneralRevenueFundReceiptsChargesforServicesTable[#Headers]))/INDEX(CountyAllYearsPopulation[],1,MATCH(D35,Population[#Headers])))/(INDEX(MCINormalized[],1,MATCH(D35,MCINormalized[#Headers]))/100)</f>
        <v>11.395475253307781</v>
      </c>
      <c r="E39" s="165">
        <f>(INDEX(GeneralRevenueFundReceiptsChargesforServicesTable[],MATCH($A$3,GeneralRevenueFundReceiptsChargesforServicesTable[County]),MATCH(E35,GeneralRevenueFundReceiptsChargesforServicesTable[#Headers]))/INDEX(CountyAllYearsPopulation[],1,MATCH(E35,Population[#Headers])))/(INDEX(MCINormalized[],1,MATCH(E35,MCINormalized[#Headers]))/100)</f>
        <v>13.625628444620254</v>
      </c>
      <c r="F39" s="165">
        <f>(INDEX(GeneralRevenueFundReceiptsChargesforServicesTable[],MATCH($A$3,GeneralRevenueFundReceiptsChargesforServicesTable[County]),MATCH(F35,GeneralRevenueFundReceiptsChargesforServicesTable[#Headers]))/INDEX(CountyAllYearsPopulation[],1,MATCH(F35,Population[#Headers])))/(INDEX(MCINormalized[],1,MATCH(F35,MCINormalized[#Headers]))/100)</f>
        <v>11.647385336851556</v>
      </c>
      <c r="G39" s="165">
        <f>(INDEX(GeneralRevenueFundReceiptsChargesforServicesTable[],MATCH($A$3,GeneralRevenueFundReceiptsChargesforServicesTable[County]),MATCH(G35,GeneralRevenueFundReceiptsChargesforServicesTable[#Headers]))/INDEX(CountyAllYearsPopulation[],1,MATCH(G35,Population[#Headers])))/(INDEX(MCINormalized[],1,MATCH(G35,MCINormalized[#Headers]))/100)</f>
        <v>11.336864374795869</v>
      </c>
      <c r="H39" s="165">
        <f>(INDEX(GeneralRevenueFundReceiptsChargesforServicesTable[],MATCH($A$3,GeneralRevenueFundReceiptsChargesforServicesTable[County]),MATCH(H35,GeneralRevenueFundReceiptsChargesforServicesTable[#Headers]))/INDEX(CountyAllYearsPopulation[],1,MATCH(H35,Population[#Headers])))/(INDEX(MCINormalized[],1,MATCH(H35,MCINormalized[#Headers]))/100)</f>
        <v>13.529751584884721</v>
      </c>
      <c r="I39" s="165">
        <f>(INDEX(GeneralRevenueFundReceiptsChargesforServicesTable[],MATCH($A$3,GeneralRevenueFundReceiptsChargesforServicesTable[County]),MATCH(I35,GeneralRevenueFundReceiptsChargesforServicesTable[#Headers]))/INDEX(CountyAllYearsPopulation[],1,MATCH(I35,Population[#Headers])))/(INDEX(MCINormalized[],1,MATCH(I35,MCINormalized[#Headers]))/100)</f>
        <v>14.175317633533894</v>
      </c>
      <c r="J39" s="165">
        <f>(INDEX(GeneralRevenueFundReceiptsChargesforServicesTable[],MATCH($A$3,GeneralRevenueFundReceiptsChargesforServicesTable[County]),MATCH(J35,GeneralRevenueFundReceiptsChargesforServicesTable[#Headers]))/INDEX(CountyAllYearsPopulation[],1,MATCH(J35,Population[#Headers])))/(INDEX(MCINormalized[],1,MATCH(J35,MCINormalized[#Headers]))/100)</f>
        <v>10.060703090514913</v>
      </c>
      <c r="K39" s="165">
        <f>(INDEX(GeneralRevenueFundReceiptsChargesforServicesTable[],MATCH($A$3,GeneralRevenueFundReceiptsChargesforServicesTable[County]),MATCH(K35,GeneralRevenueFundReceiptsChargesforServicesTable[#Headers]))/INDEX(CountyAllYearsPopulation[],1,MATCH(K35,Population[#Headers])))/(INDEX(MCINormalized[],1,MATCH(K35,MCINormalized[#Headers]))/100)</f>
        <v>10.80792715863142</v>
      </c>
      <c r="L39" s="165">
        <f>(INDEX(GeneralRevenueFundReceiptsChargesforServicesTable[],MATCH($A$3,GeneralRevenueFundReceiptsChargesforServicesTable[County]),MATCH(L35,GeneralRevenueFundReceiptsChargesforServicesTable[#Headers]))/INDEX(CountyAllYearsPopulation[],1,MATCH(L35,Population[#Headers])))/(INDEX(MCINormalized[],1,MATCH(L35,MCINormalized[#Headers]))/100)</f>
        <v>11.19802400327908</v>
      </c>
      <c r="M39" s="165">
        <f>(INDEX(GeneralRevenueFundReceiptsChargesforServicesTable[],MATCH($A$3,GeneralRevenueFundReceiptsChargesforServicesTable[County]),MATCH(M35,GeneralRevenueFundReceiptsChargesforServicesTable[#Headers]))/INDEX(CountyAllYearsPopulation[],1,MATCH(M35,Population[#Headers])))/(INDEX(MCINormalized[],1,MATCH(M35,MCINormalized[#Headers]))/100)</f>
        <v>10.961556240863576</v>
      </c>
      <c r="N39" s="165">
        <f>(INDEX(GeneralRevenueFundReceiptsChargesforServicesTable[],MATCH($A$3,GeneralRevenueFundReceiptsChargesforServicesTable[County]),MATCH(N35,GeneralRevenueFundReceiptsChargesforServicesTable[#Headers]))/INDEX(CountyAllYearsPopulation[],1,MATCH(N35,Population[#Headers])))/(INDEX(MCINormalized[],1,MATCH(N35,MCINormalized[#Headers]))/100)</f>
        <v>9.5733366946046807</v>
      </c>
      <c r="O39" s="165">
        <f>(INDEX(GeneralRevenueFundReceiptsChargesforServicesTable[],MATCH($A$3,GeneralRevenueFundReceiptsChargesforServicesTable[County]),MATCH(O35,GeneralRevenueFundReceiptsChargesforServicesTable[#Headers]))/INDEX(CountyAllYearsPopulation[],1,MATCH(O35,Population[#Headers])))/(INDEX(MCINormalized[],1,MATCH(O35,MCINormalized[#Headers]))/100)</f>
        <v>10.08034162458396</v>
      </c>
      <c r="P39" s="165">
        <f>(INDEX(GeneralRevenueFundReceiptsChargesforServicesTable[],MATCH($A$3,GeneralRevenueFundReceiptsChargesforServicesTable[County]),MATCH(P35,GeneralRevenueFundReceiptsChargesforServicesTable[#Headers]))/INDEX(CountyAllYearsPopulation[],1,MATCH(P35,Population[#Headers])))/(INDEX(MCINormalized[],1,MATCH(P35,MCINormalized[#Headers]))/100)</f>
        <v>9.8520531446983597</v>
      </c>
      <c r="Q39" s="165">
        <f>(INDEX(GeneralRevenueFundReceiptsChargesforServicesTable[],MATCH($A$3,GeneralRevenueFundReceiptsChargesforServicesTable[County]),MATCH(Q35,GeneralRevenueFundReceiptsChargesforServicesTable[#Headers]))/INDEX(CountyAllYearsPopulation[],1,MATCH(Q35,Population[#Headers])))/(INDEX(MCINormalized[],1,MATCH(Q35,MCINormalized[#Headers]))/100)</f>
        <v>9.6520877771191902</v>
      </c>
      <c r="R39" s="165">
        <f>(INDEX(GeneralRevenueFundReceiptsChargesforServicesTable[],MATCH($A$3,GeneralRevenueFundReceiptsChargesforServicesTable[County]),MATCH(R35,GeneralRevenueFundReceiptsChargesforServicesTable[#Headers]))/INDEX(CountyAllYearsPopulation[],1,MATCH(R35,Population[#Headers])))/(INDEX(MCINormalized[],1,MATCH(R35,MCINormalized[#Headers]))/100)</f>
        <v>10.133149370178911</v>
      </c>
      <c r="S39" s="165">
        <f>(INDEX(GeneralRevenueFundReceiptsChargesforServicesTable[],MATCH($A$3,GeneralRevenueFundReceiptsChargesforServicesTable[County]),MATCH(S35,GeneralRevenueFundReceiptsChargesforServicesTable[#Headers]))/INDEX(CountyAllYearsPopulation[],1,MATCH(S35,Population[#Headers])))/(INDEX(MCINormalized[],1,MATCH(S35,MCINormalized[#Headers]))/100)</f>
        <v>9.8339804797543575</v>
      </c>
      <c r="T39" s="165">
        <f>(INDEX(GeneralRevenueFundReceiptsChargesforServicesTable[],MATCH($A$3,GeneralRevenueFundReceiptsChargesforServicesTable[County]),MATCH(T35,GeneralRevenueFundReceiptsChargesforServicesTable[#Headers]))/INDEX(CountyAllYearsPopulation[],1,MATCH(T35,Population[#Headers])))/(INDEX(MCINormalized[],1,MATCH(T35,MCINormalized[#Headers]))/100)</f>
        <v>9.3849810001625507</v>
      </c>
      <c r="U39" s="165">
        <f>(INDEX(GeneralRevenueFundReceiptsChargesforServicesTable[],MATCH($A$3,GeneralRevenueFundReceiptsChargesforServicesTable[County]),MATCH(U35,GeneralRevenueFundReceiptsChargesforServicesTable[#Headers]))/INDEX(CountyAllYearsPopulation[],1,MATCH(U35,Population[#Headers])))/(INDEX(MCINormalized[],1,MATCH(U35,MCINormalized[#Headers]))/100)</f>
        <v>9.5282767788050062</v>
      </c>
      <c r="V39" s="165">
        <f>(INDEX(GeneralRevenueFundReceiptsChargesforServicesTable[],MATCH($A$3,GeneralRevenueFundReceiptsChargesforServicesTable[County]),MATCH(V35,GeneralRevenueFundReceiptsChargesforServicesTable[#Headers]))/INDEX(CountyAllYearsPopulation[],1,MATCH(V35,Population[#Headers])))/(INDEX(MCINormalized[],1,MATCH(V35,MCINormalized[#Headers]))/100)</f>
        <v>9.5180136715153356</v>
      </c>
      <c r="W39" s="165">
        <f>(INDEX(GeneralRevenueFundReceiptsChargesforServicesTable[],MATCH($A$3,GeneralRevenueFundReceiptsChargesforServicesTable[County]),MATCH(W35,GeneralRevenueFundReceiptsChargesforServicesTable[#Headers]))/INDEX(CountyAllYearsPopulation[],1,MATCH(W35,Population[#Headers])))/(INDEX(MCINormalized[],1,MATCH(W35,MCINormalized[#Headers]))/100)</f>
        <v>8.8434605683784397</v>
      </c>
      <c r="X39" s="165"/>
      <c r="Y39" s="731" t="e">
        <f>(INDEX(GeneralRevenueFundReceiptsOtherTable[],MATCH($A$3,GeneralRevenueFundReceiptsOtherTable[County]),MATCH(Y33,GeneralRevenueFundReceiptsOtherTable[#Headers]))/INDEX(CountyAllYearsPopulation[],1,MATCH(Y33,Population[#Headers])))/(INDEX(MCINormalized[],1,MATCH(Y33,MCINormalized[#Headers]))/100)</f>
        <v>#N/A</v>
      </c>
      <c r="Z39" s="165"/>
      <c r="AA39" s="165"/>
      <c r="AB39" s="165"/>
    </row>
    <row r="40" spans="1:28" s="153" customFormat="1" ht="16">
      <c r="A40" s="158" t="s">
        <v>101</v>
      </c>
      <c r="B40" s="165">
        <f>(INDEX(GeneralRevenueFundReceiptsInterestTable[],MATCH($A$3,GeneralRevenueFundReceiptsInterestTable[County]),MATCH(B35,GeneralRevenueFundReceiptsInterestTable[#Headers],0))/INDEX(CountyAllYearsPopulation[],1,MATCH(B35,Population[#Headers],0)))/(INDEX(MCINormalized[],1,MATCH(B35,MCINormalized[#Headers],0))/100)</f>
        <v>0.77533818269501276</v>
      </c>
      <c r="C40" s="165">
        <f>(INDEX(GeneralRevenueFundReceiptsInterestTable[],MATCH($A$3,GeneralRevenueFundReceiptsInterestTable[County]),MATCH(C35,GeneralRevenueFundReceiptsInterestTable[#Headers]))/INDEX(CountyAllYearsPopulation[],1,MATCH(C35,Population[#Headers])))/(INDEX(MCINormalized[],1,MATCH(C35,MCINormalized[#Headers]))/100)</f>
        <v>0</v>
      </c>
      <c r="D40" s="165">
        <f>(INDEX(GeneralRevenueFundReceiptsInterestTable[],MATCH($A$3,GeneralRevenueFundReceiptsInterestTable[County]),MATCH(D35,GeneralRevenueFundReceiptsInterestTable[#Headers]))/INDEX(CountyAllYearsPopulation[],1,MATCH(D35,Population[#Headers])))/(INDEX(MCINormalized[],1,MATCH(D35,MCINormalized[#Headers]))/100)</f>
        <v>0.71221720333173633</v>
      </c>
      <c r="E40" s="165">
        <f>(INDEX(GeneralRevenueFundReceiptsInterestTable[],MATCH($A$3,GeneralRevenueFundReceiptsInterestTable[County]),MATCH(E35,GeneralRevenueFundReceiptsInterestTable[#Headers]))/INDEX(CountyAllYearsPopulation[],1,MATCH(E35,Population[#Headers])))/(INDEX(MCINormalized[],1,MATCH(E35,MCINormalized[#Headers]))/100)</f>
        <v>0.7171383391905396</v>
      </c>
      <c r="F40" s="165">
        <f>(INDEX(GeneralRevenueFundReceiptsInterestTable[],MATCH($A$3,GeneralRevenueFundReceiptsInterestTable[County]),MATCH(F35,GeneralRevenueFundReceiptsInterestTable[#Headers]))/INDEX(CountyAllYearsPopulation[],1,MATCH(F35,Population[#Headers])))/(INDEX(MCINormalized[],1,MATCH(F35,MCINormalized[#Headers]))/100)</f>
        <v>0.72796158355322227</v>
      </c>
      <c r="G40" s="165">
        <f>(INDEX(GeneralRevenueFundReceiptsInterestTable[],MATCH($A$3,GeneralRevenueFundReceiptsInterestTable[County]),MATCH(G35,GeneralRevenueFundReceiptsInterestTable[#Headers]))/INDEX(CountyAllYearsPopulation[],1,MATCH(G35,Population[#Headers])))/(INDEX(MCINormalized[],1,MATCH(G35,MCINormalized[#Headers]))/100)</f>
        <v>0.66687437498799229</v>
      </c>
      <c r="H40" s="165">
        <f>(INDEX(GeneralRevenueFundReceiptsInterestTable[],MATCH($A$3,GeneralRevenueFundReceiptsInterestTable[County]),MATCH(H35,GeneralRevenueFundReceiptsInterestTable[#Headers]))/INDEX(CountyAllYearsPopulation[],1,MATCH(H35,Population[#Headers])))/(INDEX(MCINormalized[],1,MATCH(H35,MCINormalized[#Headers]))/100)</f>
        <v>0.71209218867814317</v>
      </c>
      <c r="I40" s="165">
        <f>(INDEX(GeneralRevenueFundReceiptsInterestTable[],MATCH($A$3,GeneralRevenueFundReceiptsInterestTable[County]),MATCH(I35,GeneralRevenueFundReceiptsInterestTable[#Headers]))/INDEX(CountyAllYearsPopulation[],1,MATCH(I35,Population[#Headers])))/(INDEX(MCINormalized[],1,MATCH(I35,MCINormalized[#Headers]))/100)</f>
        <v>0.88595735209586834</v>
      </c>
      <c r="J40" s="165">
        <f>(INDEX(GeneralRevenueFundReceiptsInterestTable[],MATCH($A$3,GeneralRevenueFundReceiptsInterestTable[County]),MATCH(J35,GeneralRevenueFundReceiptsInterestTable[#Headers]))/INDEX(CountyAllYearsPopulation[],1,MATCH(J35,Population[#Headers])))/(INDEX(MCINormalized[],1,MATCH(J35,MCINormalized[#Headers]))/100)</f>
        <v>0.28366487809774166</v>
      </c>
      <c r="K40" s="165">
        <f>(INDEX(GeneralRevenueFundReceiptsInterestTable[],MATCH($A$3,GeneralRevenueFundReceiptsInterestTable[County]),MATCH(K35,GeneralRevenueFundReceiptsInterestTable[#Headers]))/INDEX(CountyAllYearsPopulation[],1,MATCH(K35,Population[#Headers])))/(INDEX(MCINormalized[],1,MATCH(K35,MCINormalized[#Headers]))/100)</f>
        <v>0.20847039229988634</v>
      </c>
      <c r="L40" s="165">
        <f>(INDEX(GeneralRevenueFundReceiptsInterestTable[],MATCH($A$3,GeneralRevenueFundReceiptsInterestTable[County]),MATCH(L35,GeneralRevenueFundReceiptsInterestTable[#Headers]))/INDEX(CountyAllYearsPopulation[],1,MATCH(L35,Population[#Headers])))/(INDEX(MCINormalized[],1,MATCH(L35,MCINormalized[#Headers]))/100)</f>
        <v>0.45864531681129272</v>
      </c>
      <c r="M40" s="165">
        <f>(INDEX(GeneralRevenueFundReceiptsInterestTable[],MATCH($A$3,GeneralRevenueFundReceiptsInterestTable[County]),MATCH(M35,GeneralRevenueFundReceiptsInterestTable[#Headers]))/INDEX(CountyAllYearsPopulation[],1,MATCH(M35,Population[#Headers])))/(INDEX(MCINormalized[],1,MATCH(M35,MCINormalized[#Headers]))/100)</f>
        <v>0.97679864106835879</v>
      </c>
      <c r="N40" s="165">
        <f>(INDEX(GeneralRevenueFundReceiptsInterestTable[],MATCH($A$3,GeneralRevenueFundReceiptsInterestTable[County]),MATCH(N35,GeneralRevenueFundReceiptsInterestTable[#Headers]))/INDEX(CountyAllYearsPopulation[],1,MATCH(N35,Population[#Headers])))/(INDEX(MCINormalized[],1,MATCH(N35,MCINormalized[#Headers]))/100)</f>
        <v>1.4868726695819536</v>
      </c>
      <c r="O40" s="165">
        <f>(INDEX(GeneralRevenueFundReceiptsInterestTable[],MATCH($A$3,GeneralRevenueFundReceiptsInterestTable[County]),MATCH(O35,GeneralRevenueFundReceiptsInterestTable[#Headers]))/INDEX(CountyAllYearsPopulation[],1,MATCH(O35,Population[#Headers])))/(INDEX(MCINormalized[],1,MATCH(O35,MCINormalized[#Headers]))/100)</f>
        <v>1.1551593310767445</v>
      </c>
      <c r="P40" s="165">
        <f>(INDEX(GeneralRevenueFundReceiptsInterestTable[],MATCH($A$3,GeneralRevenueFundReceiptsInterestTable[County]),MATCH(P35,GeneralRevenueFundReceiptsInterestTable[#Headers]))/INDEX(CountyAllYearsPopulation[],1,MATCH(P35,Population[#Headers])))/(INDEX(MCINormalized[],1,MATCH(P35,MCINormalized[#Headers]))/100)</f>
        <v>1.0312398179348494</v>
      </c>
      <c r="Q40" s="165">
        <f>(INDEX(GeneralRevenueFundReceiptsInterestTable[],MATCH($A$3,GeneralRevenueFundReceiptsInterestTable[County]),MATCH(Q35,GeneralRevenueFundReceiptsInterestTable[#Headers]))/INDEX(CountyAllYearsPopulation[],1,MATCH(Q35,Population[#Headers])))/(INDEX(MCINormalized[],1,MATCH(Q35,MCINormalized[#Headers]))/100)</f>
        <v>0.89366245508139863</v>
      </c>
      <c r="R40" s="165">
        <f>(INDEX(GeneralRevenueFundReceiptsInterestTable[],MATCH($A$3,GeneralRevenueFundReceiptsInterestTable[County]),MATCH(R35,GeneralRevenueFundReceiptsInterestTable[#Headers]))/INDEX(CountyAllYearsPopulation[],1,MATCH(R35,Population[#Headers])))/(INDEX(MCINormalized[],1,MATCH(R35,MCINormalized[#Headers]))/100)</f>
        <v>0.55390211320545446</v>
      </c>
      <c r="S40" s="165">
        <f>(INDEX(GeneralRevenueFundReceiptsInterestTable[],MATCH($A$3,GeneralRevenueFundReceiptsInterestTable[County]),MATCH(S35,GeneralRevenueFundReceiptsInterestTable[#Headers]))/INDEX(CountyAllYearsPopulation[],1,MATCH(S35,Population[#Headers])))/(INDEX(MCINormalized[],1,MATCH(S35,MCINormalized[#Headers]))/100)</f>
        <v>0.45433914420771498</v>
      </c>
      <c r="T40" s="165">
        <f>(INDEX(GeneralRevenueFundReceiptsInterestTable[],MATCH($A$3,GeneralRevenueFundReceiptsInterestTable[County]),MATCH(T35,GeneralRevenueFundReceiptsInterestTable[#Headers]))/INDEX(CountyAllYearsPopulation[],1,MATCH(T35,Population[#Headers])))/(INDEX(MCINormalized[],1,MATCH(T35,MCINormalized[#Headers]))/100)</f>
        <v>0.28115307712789595</v>
      </c>
      <c r="U40" s="165">
        <f>(INDEX(GeneralRevenueFundReceiptsInterestTable[],MATCH($A$3,GeneralRevenueFundReceiptsInterestTable[County]),MATCH(U35,GeneralRevenueFundReceiptsInterestTable[#Headers]))/INDEX(CountyAllYearsPopulation[],1,MATCH(U35,Population[#Headers])))/(INDEX(MCINormalized[],1,MATCH(U35,MCINormalized[#Headers]))/100)</f>
        <v>0.27276971726151183</v>
      </c>
      <c r="V40" s="165">
        <f>(INDEX(GeneralRevenueFundReceiptsInterestTable[],MATCH($A$3,GeneralRevenueFundReceiptsInterestTable[County]),MATCH(V35,GeneralRevenueFundReceiptsInterestTable[#Headers]))/INDEX(CountyAllYearsPopulation[],1,MATCH(V35,Population[#Headers])))/(INDEX(MCINormalized[],1,MATCH(V35,MCINormalized[#Headers]))/100)</f>
        <v>0.13254230027803879</v>
      </c>
      <c r="W40" s="165">
        <f>(INDEX(GeneralRevenueFundReceiptsInterestTable[],MATCH($A$3,GeneralRevenueFundReceiptsInterestTable[County]),MATCH(W35,GeneralRevenueFundReceiptsInterestTable[#Headers]))/INDEX(CountyAllYearsPopulation[],1,MATCH(W35,Population[#Headers])))/(INDEX(MCINormalized[],1,MATCH(W35,MCINormalized[#Headers]))/100)</f>
        <v>0.1402536567198949</v>
      </c>
      <c r="X40" s="165"/>
      <c r="Y40" s="731" t="e">
        <f>(INDEX(GeneralRevenueFundReceiptsOtherTable[],MATCH($A$3,GeneralRevenueFundReceiptsOtherTable[County]),MATCH(Y34,GeneralRevenueFundReceiptsOtherTable[#Headers]))/INDEX(CountyAllYearsPopulation[],1,MATCH(Y34,Population[#Headers])))/(INDEX(MCINormalized[],1,MATCH(Y34,MCINormalized[#Headers]))/100)</f>
        <v>#N/A</v>
      </c>
      <c r="Z40" s="165"/>
      <c r="AA40" s="165"/>
      <c r="AB40" s="165"/>
    </row>
    <row r="41" spans="1:28" s="153" customFormat="1" ht="16">
      <c r="A41" s="158" t="s">
        <v>102</v>
      </c>
      <c r="B41" s="165">
        <f>(INDEX(GeneralRevenueFundReceiptsOtherTable[],MATCH($A$3,GeneralRevenueFundReceiptsOtherTable[County]),MATCH(B35,GeneralRevenueFundReceiptsOtherTable[#Headers],0))/INDEX(CountyAllYearsPopulation[],1,MATCH(B35,Population[#Headers],0)))/(INDEX(MCINormalized[],1,MATCH(B35,MCINormalized[#Headers],0))/100)</f>
        <v>11.63007274042519</v>
      </c>
      <c r="C41" s="165">
        <f>(INDEX(GeneralRevenueFundReceiptsOtherTable[],MATCH($A$3,GeneralRevenueFundReceiptsOtherTable[County]),MATCH(C35,GeneralRevenueFundReceiptsOtherTable[#Headers]))/INDEX(CountyAllYearsPopulation[],1,MATCH(C35,Population[#Headers])))/(INDEX(MCINormalized[],1,MATCH(C35,MCINormalized[#Headers]))/100)</f>
        <v>16.473553809621531</v>
      </c>
      <c r="D41" s="165">
        <f>(INDEX(GeneralRevenueFundReceiptsOtherTable[],MATCH($A$3,GeneralRevenueFundReceiptsOtherTable[County]),MATCH(D35,GeneralRevenueFundReceiptsOtherTable[#Headers]))/INDEX(CountyAllYearsPopulation[],1,MATCH(D35,Population[#Headers])))/(INDEX(MCINormalized[],1,MATCH(D35,MCINormalized[#Headers]))/100)</f>
        <v>7.834389236649101</v>
      </c>
      <c r="E41" s="165">
        <f>(INDEX(GeneralRevenueFundReceiptsOtherTable[],MATCH($A$3,GeneralRevenueFundReceiptsOtherTable[County]),MATCH(E35,GeneralRevenueFundReceiptsOtherTable[#Headers]))/INDEX(CountyAllYearsPopulation[],1,MATCH(E35,Population[#Headers])))/(INDEX(MCINormalized[],1,MATCH(E35,MCINormalized[#Headers]))/100)</f>
        <v>5.7371067135243168</v>
      </c>
      <c r="F41" s="165">
        <f>(INDEX(GeneralRevenueFundReceiptsOtherTable[],MATCH($A$3,GeneralRevenueFundReceiptsOtherTable[County]),MATCH(F35,GeneralRevenueFundReceiptsOtherTable[#Headers]))/INDEX(CountyAllYearsPopulation[],1,MATCH(F35,Population[#Headers])))/(INDEX(MCINormalized[],1,MATCH(F35,MCINormalized[#Headers]))/100)</f>
        <v>3.6398079177661109</v>
      </c>
      <c r="G41" s="165">
        <f>(INDEX(GeneralRevenueFundReceiptsOtherTable[],MATCH($A$3,GeneralRevenueFundReceiptsOtherTable[County]),MATCH(G35,GeneralRevenueFundReceiptsOtherTable[#Headers]))/INDEX(CountyAllYearsPopulation[],1,MATCH(G35,Population[#Headers])))/(INDEX(MCINormalized[],1,MATCH(G35,MCINormalized[#Headers]))/100)</f>
        <v>2.0006231249639765</v>
      </c>
      <c r="H41" s="165">
        <f>(INDEX(GeneralRevenueFundReceiptsOtherTable[],MATCH($A$3,GeneralRevenueFundReceiptsOtherTable[County]),MATCH(H35,GeneralRevenueFundReceiptsOtherTable[#Headers]))/INDEX(CountyAllYearsPopulation[],1,MATCH(H35,Population[#Headers])))/(INDEX(MCINormalized[],1,MATCH(H35,MCINormalized[#Headers]))/100)</f>
        <v>0.71209218867814317</v>
      </c>
      <c r="I41" s="165">
        <f>(INDEX(GeneralRevenueFundReceiptsOtherTable[],MATCH($A$3,GeneralRevenueFundReceiptsOtherTable[County]),MATCH(I35,GeneralRevenueFundReceiptsOtherTable[#Headers]))/INDEX(CountyAllYearsPopulation[],1,MATCH(I35,Population[#Headers])))/(INDEX(MCINormalized[],1,MATCH(I35,MCINormalized[#Headers]))/100)</f>
        <v>10.631488225150422</v>
      </c>
      <c r="J41" s="165">
        <f>(INDEX(GeneralRevenueFundReceiptsOtherTable[],MATCH($A$3,GeneralRevenueFundReceiptsOtherTable[County]),MATCH(J35,GeneralRevenueFundReceiptsOtherTable[#Headers]))/INDEX(CountyAllYearsPopulation[],1,MATCH(J35,Population[#Headers])))/(INDEX(MCINormalized[],1,MATCH(J35,MCINormalized[#Headers]))/100)</f>
        <v>5.7161998298323642</v>
      </c>
      <c r="K41" s="165">
        <f>(INDEX(GeneralRevenueFundReceiptsOtherTable[],MATCH($A$3,GeneralRevenueFundReceiptsOtherTable[County]),MATCH(K35,GeneralRevenueFundReceiptsOtherTable[#Headers]))/INDEX(CountyAllYearsPopulation[],1,MATCH(K35,Population[#Headers])))/(INDEX(MCINormalized[],1,MATCH(K35,MCINormalized[#Headers]))/100)</f>
        <v>3.6313065450144162</v>
      </c>
      <c r="L41" s="165">
        <f>(INDEX(GeneralRevenueFundReceiptsOtherTable[],MATCH($A$3,GeneralRevenueFundReceiptsOtherTable[County]),MATCH(L35,GeneralRevenueFundReceiptsOtherTable[#Headers]))/INDEX(CountyAllYearsPopulation[],1,MATCH(L35,Population[#Headers])))/(INDEX(MCINormalized[],1,MATCH(L35,MCINormalized[#Headers]))/100)</f>
        <v>2.626485168081508</v>
      </c>
      <c r="M41" s="165">
        <f>(INDEX(GeneralRevenueFundReceiptsOtherTable[],MATCH($A$3,GeneralRevenueFundReceiptsOtherTable[County]),MATCH(M35,GeneralRevenueFundReceiptsOtherTable[#Headers]))/INDEX(CountyAllYearsPopulation[],1,MATCH(M35,Population[#Headers])))/(INDEX(MCINormalized[],1,MATCH(M35,MCINormalized[#Headers]))/100)</f>
        <v>2.4894039146313389</v>
      </c>
      <c r="N41" s="165">
        <f>(INDEX(GeneralRevenueFundReceiptsOtherTable[],MATCH($A$3,GeneralRevenueFundReceiptsOtherTable[County]),MATCH(N35,GeneralRevenueFundReceiptsOtherTable[#Headers]))/INDEX(CountyAllYearsPopulation[],1,MATCH(N35,Population[#Headers])))/(INDEX(MCINormalized[],1,MATCH(N35,MCINormalized[#Headers]))/100)</f>
        <v>2.6698893892977518</v>
      </c>
      <c r="O41" s="165">
        <f>(INDEX(GeneralRevenueFundReceiptsOtherTable[],MATCH($A$3,GeneralRevenueFundReceiptsOtherTable[County]),MATCH(O35,GeneralRevenueFundReceiptsOtherTable[#Headers]))/INDEX(CountyAllYearsPopulation[],1,MATCH(O35,Population[#Headers])))/(INDEX(MCINormalized[],1,MATCH(O35,MCINormalized[#Headers]))/100)</f>
        <v>2.7530850783571315</v>
      </c>
      <c r="P41" s="165">
        <f>(INDEX(GeneralRevenueFundReceiptsOtherTable[],MATCH($A$3,GeneralRevenueFundReceiptsOtherTable[County]),MATCH(P35,GeneralRevenueFundReceiptsOtherTable[#Headers]))/INDEX(CountyAllYearsPopulation[],1,MATCH(P35,Population[#Headers])))/(INDEX(MCINormalized[],1,MATCH(P35,MCINormalized[#Headers]))/100)</f>
        <v>2.1019185694249516</v>
      </c>
      <c r="Q41" s="165">
        <f>(INDEX(GeneralRevenueFundReceiptsOtherTable[],MATCH($A$3,GeneralRevenueFundReceiptsOtherTable[County]),MATCH(Q35,GeneralRevenueFundReceiptsOtherTable[#Headers]))/INDEX(CountyAllYearsPopulation[],1,MATCH(Q35,Population[#Headers])))/(INDEX(MCINormalized[],1,MATCH(Q35,MCINormalized[#Headers]))/100)</f>
        <v>2.8226396017988953</v>
      </c>
      <c r="R41" s="165">
        <f>(INDEX(GeneralRevenueFundReceiptsOtherTable[],MATCH($A$3,GeneralRevenueFundReceiptsOtherTable[County]),MATCH(R35,GeneralRevenueFundReceiptsOtherTable[#Headers]))/INDEX(CountyAllYearsPopulation[],1,MATCH(R35,Population[#Headers])))/(INDEX(MCINormalized[],1,MATCH(R35,MCINormalized[#Headers]))/100)</f>
        <v>2.0032307471223008</v>
      </c>
      <c r="S41" s="165">
        <f>(INDEX(GeneralRevenueFundReceiptsOtherTable[],MATCH($A$3,GeneralRevenueFundReceiptsOtherTable[County]),MATCH(S35,GeneralRevenueFundReceiptsOtherTable[#Headers]))/INDEX(CountyAllYearsPopulation[],1,MATCH(S35,Population[#Headers])))/(INDEX(MCINormalized[],1,MATCH(S35,MCINormalized[#Headers]))/100)</f>
        <v>4.0299083927233452</v>
      </c>
      <c r="T41" s="165">
        <f>(INDEX(GeneralRevenueFundReceiptsOtherTable[],MATCH($A$3,GeneralRevenueFundReceiptsOtherTable[County]),MATCH(T35,GeneralRevenueFundReceiptsOtherTable[#Headers]))/INDEX(CountyAllYearsPopulation[],1,MATCH(T35,Population[#Headers])))/(INDEX(MCINormalized[],1,MATCH(T35,MCINormalized[#Headers]))/100)</f>
        <v>2.9629728352609495</v>
      </c>
      <c r="U41" s="165">
        <f>(INDEX(GeneralRevenueFundReceiptsOtherTable[],MATCH($A$3,GeneralRevenueFundReceiptsOtherTable[County]),MATCH(U35,GeneralRevenueFundReceiptsOtherTable[#Headers]))/INDEX(CountyAllYearsPopulation[],1,MATCH(U35,Population[#Headers])))/(INDEX(MCINormalized[],1,MATCH(U35,MCINormalized[#Headers]))/100)</f>
        <v>1.873175478936463</v>
      </c>
      <c r="V41" s="165">
        <f>(INDEX(GeneralRevenueFundReceiptsOtherTable[],MATCH($A$3,GeneralRevenueFundReceiptsOtherTable[County]),MATCH(V35,GeneralRevenueFundReceiptsOtherTable[#Headers]))/INDEX(CountyAllYearsPopulation[],1,MATCH(V35,Population[#Headers])))/(INDEX(MCINormalized[],1,MATCH(V35,MCINormalized[#Headers]))/100)</f>
        <v>2.0122363058769337</v>
      </c>
      <c r="W41" s="165">
        <f>(INDEX(GeneralRevenueFundReceiptsOtherTable[],MATCH($A$3,GeneralRevenueFundReceiptsOtherTable[County]),MATCH(W35,GeneralRevenueFundReceiptsOtherTable[#Headers]))/INDEX(CountyAllYearsPopulation[],1,MATCH(W35,Population[#Headers])))/(INDEX(MCINormalized[],1,MATCH(W35,MCINormalized[#Headers]))/100)</f>
        <v>2.6626455459988447</v>
      </c>
      <c r="X41" s="165"/>
      <c r="Y41" s="731">
        <f>(INDEX(GeneralRevenueFundReceiptsOtherTable[],MATCH($A$3,GeneralRevenueFundReceiptsOtherTable[County]),MATCH(Y35,GeneralRevenueFundReceiptsOtherTable[#Headers]))/INDEX(CountyAllYearsPopulation[],1,MATCH(Y35,Population[#Headers])))/(INDEX(MCINormalized[],1,MATCH(Y35,MCINormalized[#Headers]))/100)</f>
        <v>2.0122363058769337</v>
      </c>
    </row>
    <row r="42" spans="1:28" s="153" customFormat="1" ht="16">
      <c r="A42" s="158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</row>
    <row r="43" spans="1:28" s="153" customFormat="1" ht="16">
      <c r="A43" s="169" t="str">
        <f>CONCATENATE($A$3," County Detailed General Revenue Expenditures: Real per Capita")</f>
        <v>Adair County Detailed General Revenue Expenditures: Real per Capita</v>
      </c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</row>
    <row r="44" spans="1:28" s="153" customFormat="1" ht="16">
      <c r="A44" s="306" t="s">
        <v>434</v>
      </c>
      <c r="B44" s="309" t="s">
        <v>409</v>
      </c>
      <c r="C44" s="309" t="s">
        <v>410</v>
      </c>
      <c r="D44" s="309" t="s">
        <v>411</v>
      </c>
      <c r="E44" s="309" t="s">
        <v>412</v>
      </c>
      <c r="F44" s="309" t="s">
        <v>413</v>
      </c>
      <c r="G44" s="309" t="s">
        <v>414</v>
      </c>
      <c r="H44" s="309" t="s">
        <v>415</v>
      </c>
      <c r="I44" s="309" t="s">
        <v>416</v>
      </c>
      <c r="J44" s="309" t="s">
        <v>417</v>
      </c>
      <c r="K44" s="308" t="s">
        <v>418</v>
      </c>
      <c r="L44" s="308" t="s">
        <v>419</v>
      </c>
      <c r="M44" s="308" t="s">
        <v>420</v>
      </c>
      <c r="N44" s="308" t="s">
        <v>421</v>
      </c>
      <c r="O44" s="308" t="s">
        <v>422</v>
      </c>
      <c r="P44" s="302" t="s">
        <v>423</v>
      </c>
      <c r="Q44" s="302" t="s">
        <v>355</v>
      </c>
      <c r="R44" s="302" t="s">
        <v>399</v>
      </c>
      <c r="S44" s="302" t="s">
        <v>424</v>
      </c>
      <c r="T44" s="302" t="s">
        <v>446</v>
      </c>
      <c r="U44" s="302" t="s">
        <v>523</v>
      </c>
      <c r="V44" s="302" t="s">
        <v>524</v>
      </c>
      <c r="W44" s="302" t="s">
        <v>525</v>
      </c>
      <c r="X44" s="302"/>
    </row>
    <row r="45" spans="1:28" s="153" customFormat="1" ht="16">
      <c r="A45" s="165" t="s">
        <v>133</v>
      </c>
      <c r="B45" s="165">
        <f>(INDEX(CountyDisbursementsCentralGovt[],MATCH($A$3,CountyDisbursementsCentralGovt[County]),MATCH(B44,CountyDisbursementsCentralGovt[#Headers],0))/INDEX(CountyAllYearsPopulation[],1,MATCH(B44,Population[#Headers],0)))/(INDEX(MCINormalized[],1,MATCH(B44,MCINormalized[#Headers],0))/100)</f>
        <v>20.064673873729053</v>
      </c>
      <c r="C45" s="165">
        <f>(INDEX(CountyDisbursementsCentralGovt[],MATCH($A$3,CountyDisbursementsCentralGovt[County]),MATCH(C44,CountyDisbursementsCentralGovt[#Headers]))/INDEX(CountyAllYearsPopulation[],1,MATCH(C44,Population[#Headers])))/(INDEX(MCINormalized[],1,MATCH(C44,MCINormalized[#Headers]))/100)</f>
        <v>17.34841353846344</v>
      </c>
      <c r="D45" s="165">
        <f>(INDEX(CountyDisbursementsCentralGovt[],MATCH($A$3,CountyDisbursementsCentralGovt[County]),MATCH(D44,CountyDisbursementsCentralGovt[#Headers]))/INDEX(CountyAllYearsPopulation[],1,MATCH(D44,Population[#Headers])))/(INDEX(MCINormalized[],1,MATCH(D44,MCINormalized[#Headers]))/100)</f>
        <v>20.806744550955258</v>
      </c>
      <c r="E45" s="165">
        <f>(INDEX(CountyDisbursementsCentralGovt[],MATCH($A$3,CountyDisbursementsCentralGovt[County]),MATCH(E44,CountyDisbursementsCentralGovt[#Headers]))/INDEX(CountyAllYearsPopulation[],1,MATCH(E44,Population[#Headers])))/(INDEX(MCINormalized[],1,MATCH(E44,MCINormalized[#Headers]))/100)</f>
        <v>20.470731974633622</v>
      </c>
      <c r="F45" s="165">
        <f>(INDEX(CountyDisbursementsCentralGovt[],MATCH($A$3,CountyDisbursementsCentralGovt[County]),MATCH(F44,CountyDisbursementsCentralGovt[#Headers]))/INDEX(CountyAllYearsPopulation[],1,MATCH(F44,Population[#Headers])))/(INDEX(MCINormalized[],1,MATCH(F44,MCINormalized[#Headers]))/100)</f>
        <v>21.412782565876391</v>
      </c>
      <c r="G45" s="165">
        <f>(INDEX(CountyDisbursementsCentralGovt[],MATCH($A$3,CountyDisbursementsCentralGovt[County]),MATCH(G44,CountyDisbursementsCentralGovt[#Headers]))/INDEX(CountyAllYearsPopulation[],1,MATCH(G44,Population[#Headers])))/(INDEX(MCINormalized[],1,MATCH(G44,MCINormalized[#Headers]))/100)</f>
        <v>18.845073790085838</v>
      </c>
      <c r="H45" s="165">
        <f>(INDEX(CountyDisbursementsCentralGovt[],MATCH($A$3,CountyDisbursementsCentralGovt[County]),MATCH(H44,CountyDisbursementsCentralGovt[#Headers]))/INDEX(CountyAllYearsPopulation[],1,MATCH(H44,Population[#Headers])))/(INDEX(MCINormalized[],1,MATCH(H44,MCINormalized[#Headers]))/100)</f>
        <v>21.407964429270706</v>
      </c>
      <c r="I45" s="165">
        <f>(INDEX(CountyDisbursementsCentralGovt[],MATCH($A$3,CountyDisbursementsCentralGovt[County]),MATCH(I44,CountyDisbursementsCentralGovt[#Headers]))/INDEX(CountyAllYearsPopulation[],1,MATCH(I44,Population[#Headers])))/(INDEX(MCINormalized[],1,MATCH(I44,MCINormalized[#Headers]))/100)</f>
        <v>24.329616607392737</v>
      </c>
      <c r="J45" s="165">
        <f>(INDEX(CountyDisbursementsCentralGovt[],MATCH($A$3,CountyDisbursementsCentralGovt[County]),MATCH(J44,CountyDisbursementsCentralGovt[#Headers]))/INDEX(CountyAllYearsPopulation[],1,MATCH(J44,Population[#Headers])))/(INDEX(MCINormalized[],1,MATCH(J44,MCINormalized[#Headers]))/100)</f>
        <v>20.765997410606666</v>
      </c>
      <c r="K45" s="165">
        <f>(INDEX(CountyDisbursementsCentralGovt[],MATCH($A$3,CountyDisbursementsCentralGovt[County]),MATCH(K44,CountyDisbursementsCentralGovt[#Headers]))/INDEX(CountyAllYearsPopulation[],1,MATCH(K44,Population[#Headers])))/(INDEX(MCINormalized[],1,MATCH(K44,MCINormalized[#Headers]))/100)</f>
        <v>16.864209752201305</v>
      </c>
      <c r="L45" s="165">
        <f>(INDEX(CountyDisbursementsCentralGovt[],MATCH($A$3,CountyDisbursementsCentralGovt[County]),MATCH(L44,CountyDisbursementsCentralGovt[#Headers]))/INDEX(CountyAllYearsPopulation[],1,MATCH(L44,Population[#Headers])))/(INDEX(MCINormalized[],1,MATCH(L44,MCINormalized[#Headers]))/100)</f>
        <v>19.022213271355444</v>
      </c>
      <c r="M45" s="165">
        <f>(INDEX(CountyDisbursementsCentralGovt[],MATCH($A$3,CountyDisbursementsCentralGovt[County]),MATCH(M44,CountyDisbursementsCentralGovt[#Headers]))/INDEX(CountyAllYearsPopulation[],1,MATCH(M44,Population[#Headers])))/(INDEX(MCINormalized[],1,MATCH(M44,MCINormalized[#Headers]))/100)</f>
        <v>17.147185705836961</v>
      </c>
      <c r="N45" s="165">
        <f>(INDEX(CountyDisbursementsCentralGovt[],MATCH($A$3,CountyDisbursementsCentralGovt[County]),MATCH(N44,CountyDisbursementsCentralGovt[#Headers]))/INDEX(CountyAllYearsPopulation[],1,MATCH(N44,Population[#Headers])))/(INDEX(MCINormalized[],1,MATCH(N44,MCINormalized[#Headers]))/100)</f>
        <v>18.949484713997077</v>
      </c>
      <c r="O45" s="165">
        <f>(INDEX(CountyDisbursementsCentralGovt[],MATCH($A$3,CountyDisbursementsCentralGovt[County]),MATCH(O44,CountyDisbursementsCentralGovt[#Headers]))/INDEX(CountyAllYearsPopulation[],1,MATCH(O44,Population[#Headers])))/(INDEX(MCINormalized[],1,MATCH(O44,MCINormalized[#Headers]))/100)</f>
        <v>17.150194699173227</v>
      </c>
      <c r="P45" s="165">
        <f>(INDEX(CountyDisbursementsCentralGovt[],MATCH($A$3,CountyDisbursementsCentralGovt[County]),MATCH(P44,CountyDisbursementsCentralGovt[#Headers]))/INDEX(CountyAllYearsPopulation[],1,MATCH(P44,Population[#Headers])))/(INDEX(MCINormalized[],1,MATCH(P44,MCINormalized[#Headers]))/100)</f>
        <v>19.070265944514624</v>
      </c>
      <c r="Q45" s="165">
        <f>(INDEX(CountyDisbursementsCentralGovt[],MATCH($A$3,CountyDisbursementsCentralGovt[County]),MATCH(Q44,CountyDisbursementsCentralGovt[#Headers]))/INDEX(CountyAllYearsPopulation[],1,MATCH(Q44,Population[#Headers])))/(INDEX(MCINormalized[],1,MATCH(Q44,MCINormalized[#Headers]))/100)</f>
        <v>17.108026440657977</v>
      </c>
      <c r="R45" s="165">
        <f>(INDEX(CountyDisbursementsCentralGovt[],MATCH($A$3,CountyDisbursementsCentralGovt[County]),MATCH(R44,CountyDisbursementsCentralGovt[#Headers]))/INDEX(CountyAllYearsPopulation[],1,MATCH(R44,Population[#Headers])))/(INDEX(MCINormalized[],1,MATCH(R44,MCINormalized[#Headers]))/100)</f>
        <v>21.829117615780724</v>
      </c>
      <c r="S45" s="165">
        <f>(INDEX(CountyDisbursementsCentralGovt[],MATCH($A$3,CountyDisbursementsCentralGovt[County]),MATCH(S44,CountyDisbursementsCentralGovt[#Headers]))/INDEX(CountyAllYearsPopulation[],1,MATCH(S44,Population[#Headers])))/(INDEX(MCINormalized[],1,MATCH(S44,MCINormalized[#Headers]))/100)</f>
        <v>19.486271339848141</v>
      </c>
      <c r="T45" s="165">
        <f>(INDEX(CountyDisbursementsCentralGovt[],MATCH($A$3,CountyDisbursementsCentralGovt[County]),MATCH(T44,CountyDisbursementsCentralGovt[#Headers]))/INDEX(CountyAllYearsPopulation[],1,MATCH(T44,Population[#Headers])))/(INDEX(MCINormalized[],1,MATCH(T44,MCINormalized[#Headers]))/100)</f>
        <v>23.679595566150883</v>
      </c>
      <c r="U45" s="165">
        <f>(INDEX(CountyDisbursementsCentralGovt[],MATCH($A$3,CountyDisbursementsCentralGovt[County]),MATCH(U44,CountyDisbursementsCentralGovt[#Headers]))/INDEX(CountyAllYearsPopulation[],1,MATCH(U44,Population[#Headers])))/(INDEX(MCINormalized[],1,MATCH(U44,MCINormalized[#Headers]))/100)</f>
        <v>24.413745366396167</v>
      </c>
      <c r="V45" s="165">
        <f>(INDEX(CountyDisbursementsCentralGovt[],MATCH($A$3,CountyDisbursementsCentralGovt[County]),MATCH(V44,CountyDisbursementsCentralGovt[#Headers]))/INDEX(CountyAllYearsPopulation[],1,MATCH(V44,Population[#Headers])))/(INDEX(MCINormalized[],1,MATCH(V44,MCINormalized[#Headers]))/100)</f>
        <v>21.32553809340688</v>
      </c>
      <c r="W45" s="165">
        <f>(INDEX(CountyDisbursementsCentralGovt[],MATCH($A$3,CountyDisbursementsCentralGovt[County]),MATCH(W44,CountyDisbursementsCentralGovt[#Headers]))/INDEX(CountyAllYearsPopulation[],1,MATCH(W44,Population[#Headers])))/(INDEX(MCINormalized[],1,MATCH(W44,MCINormalized[#Headers]))/100)</f>
        <v>21.143426690424164</v>
      </c>
      <c r="X45" s="165"/>
    </row>
    <row r="46" spans="1:28" s="153" customFormat="1" ht="16">
      <c r="A46" s="165" t="s">
        <v>135</v>
      </c>
      <c r="B46" s="165">
        <f>(INDEX(CountyDisbursementsLawEnforcement[],MATCH($A$3,CountyDisbursementsLawEnforcement[County]),MATCH(B44,CountyDisbursementsLawEnforcement[#Headers],0))/INDEX(CountyAllYearsPopulation[],1,MATCH(B44,Population[#Headers],0)))/(INDEX(MCINormalized[],1,MATCH(B44,MCINormalized[#Headers],0))/100)</f>
        <v>20.937050998673794</v>
      </c>
      <c r="C46" s="165">
        <f>(INDEX(CountyDisbursementsLawEnforcement[],MATCH($A$3,CountyDisbursementsLawEnforcement[County]),MATCH(C44,CountyDisbursementsLawEnforcement[#Headers]))/INDEX(CountyAllYearsPopulation[],1,MATCH(C44,Population[#Headers])))/(INDEX(MCINormalized[],1,MATCH(C44,MCINormalized[#Headers]))/100)</f>
        <v>21.685516923079298</v>
      </c>
      <c r="D46" s="165">
        <f>(INDEX(CountyDisbursementsLawEnforcement[],MATCH($A$3,CountyDisbursementsLawEnforcement[County]),MATCH(D44,CountyDisbursementsLawEnforcement[#Headers]))/INDEX(CountyAllYearsPopulation[],1,MATCH(D44,Population[#Headers])))/(INDEX(MCINormalized[],1,MATCH(D44,MCINormalized[#Headers]))/100)</f>
        <v>4.1613489101910499</v>
      </c>
      <c r="E46" s="165">
        <f>(INDEX(CountyDisbursementsLawEnforcement[],MATCH($A$3,CountyDisbursementsLawEnforcement[County]),MATCH(E44,CountyDisbursementsLawEnforcement[#Headers]))/INDEX(CountyAllYearsPopulation[],1,MATCH(E44,Population[#Headers])))/(INDEX(MCINormalized[],1,MATCH(E44,MCINormalized[#Headers]))/100)</f>
        <v>5.1176829936584056</v>
      </c>
      <c r="F46" s="165">
        <f>(INDEX(CountyDisbursementsLawEnforcement[],MATCH($A$3,CountyDisbursementsLawEnforcement[County]),MATCH(F44,CountyDisbursementsLawEnforcement[#Headers]))/INDEX(CountyAllYearsPopulation[],1,MATCH(F44,Population[#Headers])))/(INDEX(MCINormalized[],1,MATCH(F44,MCINormalized[#Headers]))/100)</f>
        <v>3.2443609948297563</v>
      </c>
      <c r="G46" s="165">
        <f>(INDEX(CountyDisbursementsLawEnforcement[],MATCH($A$3,CountyDisbursementsLawEnforcement[County]),MATCH(G44,CountyDisbursementsLawEnforcement[#Headers]))/INDEX(CountyAllYearsPopulation[],1,MATCH(G44,Population[#Headers])))/(INDEX(MCINormalized[],1,MATCH(G44,MCINormalized[#Headers]))/100)</f>
        <v>1.2563382526723894</v>
      </c>
      <c r="H46" s="165">
        <f>(INDEX(CountyDisbursementsLawEnforcement[],MATCH($A$3,CountyDisbursementsLawEnforcement[County]),MATCH(H44,CountyDisbursementsLawEnforcement[#Headers]))/INDEX(CountyAllYearsPopulation[],1,MATCH(H44,Population[#Headers])))/(INDEX(MCINormalized[],1,MATCH(H44,MCINormalized[#Headers]))/100)</f>
        <v>0</v>
      </c>
      <c r="I46" s="165">
        <f>(INDEX(CountyDisbursementsLawEnforcement[],MATCH($A$3,CountyDisbursementsLawEnforcement[County]),MATCH(I44,CountyDisbursementsLawEnforcement[#Headers]))/INDEX(CountyAllYearsPopulation[],1,MATCH(I44,Population[#Headers])))/(INDEX(MCINormalized[],1,MATCH(I44,MCINormalized[#Headers]))/100)</f>
        <v>0</v>
      </c>
      <c r="J46" s="165">
        <f>(INDEX(CountyDisbursementsLawEnforcement[],MATCH($A$3,CountyDisbursementsLawEnforcement[County]),MATCH(J44,CountyDisbursementsLawEnforcement[#Headers]))/INDEX(CountyAllYearsPopulation[],1,MATCH(J44,Population[#Headers])))/(INDEX(MCINormalized[],1,MATCH(J44,MCINormalized[#Headers]))/100)</f>
        <v>0</v>
      </c>
      <c r="K46" s="165">
        <f>(INDEX(CountyDisbursementsLawEnforcement[],MATCH($A$3,CountyDisbursementsLawEnforcement[County]),MATCH(K44,CountyDisbursementsLawEnforcement[#Headers]))/INDEX(CountyAllYearsPopulation[],1,MATCH(K44,Population[#Headers])))/(INDEX(MCINormalized[],1,MATCH(K44,MCINormalized[#Headers]))/100)</f>
        <v>0</v>
      </c>
      <c r="L46" s="165">
        <f>(INDEX(CountyDisbursementsLawEnforcement[],MATCH($A$3,CountyDisbursementsLawEnforcement[County]),MATCH(L44,CountyDisbursementsLawEnforcement[#Headers]))/INDEX(CountyAllYearsPopulation[],1,MATCH(L44,Population[#Headers])))/(INDEX(MCINormalized[],1,MATCH(L44,MCINormalized[#Headers]))/100)</f>
        <v>0</v>
      </c>
      <c r="M46" s="165">
        <f>(INDEX(CountyDisbursementsLawEnforcement[],MATCH($A$3,CountyDisbursementsLawEnforcement[County]),MATCH(M44,CountyDisbursementsLawEnforcement[#Headers]))/INDEX(CountyAllYearsPopulation[],1,MATCH(M44,Population[#Headers])))/(INDEX(MCINormalized[],1,MATCH(M44,MCINormalized[#Headers]))/100)</f>
        <v>0</v>
      </c>
      <c r="N46" s="165">
        <f>(INDEX(CountyDisbursementsLawEnforcement[],MATCH($A$3,CountyDisbursementsLawEnforcement[County]),MATCH(N44,CountyDisbursementsLawEnforcement[#Headers]))/INDEX(CountyAllYearsPopulation[],1,MATCH(N44,Population[#Headers])))/(INDEX(MCINormalized[],1,MATCH(N44,MCINormalized[#Headers]))/100)</f>
        <v>0</v>
      </c>
      <c r="O46" s="165">
        <f>(INDEX(CountyDisbursementsLawEnforcement[],MATCH($A$3,CountyDisbursementsLawEnforcement[County]),MATCH(O44,CountyDisbursementsLawEnforcement[#Headers]))/INDEX(CountyAllYearsPopulation[],1,MATCH(O44,Population[#Headers])))/(INDEX(MCINormalized[],1,MATCH(O44,MCINormalized[#Headers]))/100)</f>
        <v>0</v>
      </c>
      <c r="P46" s="165">
        <f>(INDEX(CountyDisbursementsLawEnforcement[],MATCH($A$3,CountyDisbursementsLawEnforcement[County]),MATCH(P44,CountyDisbursementsLawEnforcement[#Headers]))/INDEX(CountyAllYearsPopulation[],1,MATCH(P44,Population[#Headers])))/(INDEX(MCINormalized[],1,MATCH(P44,MCINormalized[#Headers]))/100)</f>
        <v>0</v>
      </c>
      <c r="Q46" s="165">
        <f>(INDEX(CountyDisbursementsLawEnforcement[],MATCH($A$3,CountyDisbursementsLawEnforcement[County]),MATCH(Q44,CountyDisbursementsLawEnforcement[#Headers]))/INDEX(CountyAllYearsPopulation[],1,MATCH(Q44,Population[#Headers])))/(INDEX(MCINormalized[],1,MATCH(Q44,MCINormalized[#Headers]))/100)</f>
        <v>0</v>
      </c>
      <c r="R46" s="165">
        <f>(INDEX(CountyDisbursementsLawEnforcement[],MATCH($A$3,CountyDisbursementsLawEnforcement[County]),MATCH(R44,CountyDisbursementsLawEnforcement[#Headers]))/INDEX(CountyAllYearsPopulation[],1,MATCH(R44,Population[#Headers])))/(INDEX(MCINormalized[],1,MATCH(R44,MCINormalized[#Headers]))/100)</f>
        <v>0</v>
      </c>
      <c r="S46" s="165">
        <f>(INDEX(CountyDisbursementsLawEnforcement[],MATCH($A$3,CountyDisbursementsLawEnforcement[County]),MATCH(S44,CountyDisbursementsLawEnforcement[#Headers]))/INDEX(CountyAllYearsPopulation[],1,MATCH(S44,Population[#Headers])))/(INDEX(MCINormalized[],1,MATCH(S44,MCINormalized[#Headers]))/100)</f>
        <v>0</v>
      </c>
      <c r="T46" s="165">
        <f>(INDEX(CountyDisbursementsLawEnforcement[],MATCH($A$3,CountyDisbursementsLawEnforcement[County]),MATCH(T44,CountyDisbursementsLawEnforcement[#Headers]))/INDEX(CountyAllYearsPopulation[],1,MATCH(T44,Population[#Headers])))/(INDEX(MCINormalized[],1,MATCH(T44,MCINormalized[#Headers]))/100)</f>
        <v>0</v>
      </c>
      <c r="U46" s="165">
        <f>(INDEX(CountyDisbursementsLawEnforcement[],MATCH($A$3,CountyDisbursementsLawEnforcement[County]),MATCH(U44,CountyDisbursementsLawEnforcement[#Headers]))/INDEX(CountyAllYearsPopulation[],1,MATCH(U44,Population[#Headers])))/(INDEX(MCINormalized[],1,MATCH(U44,MCINormalized[#Headers]))/100)</f>
        <v>0</v>
      </c>
      <c r="V46" s="165">
        <f>(INDEX(CountyDisbursementsLawEnforcement[],MATCH($A$3,CountyDisbursementsLawEnforcement[County]),MATCH(V44,CountyDisbursementsLawEnforcement[#Headers]))/INDEX(CountyAllYearsPopulation[],1,MATCH(V44,Population[#Headers])))/(INDEX(MCINormalized[],1,MATCH(V44,MCINormalized[#Headers]))/100)</f>
        <v>0</v>
      </c>
      <c r="W46" s="165">
        <f>(INDEX(CountyDisbursementsLawEnforcement[],MATCH($A$3,CountyDisbursementsLawEnforcement[County]),MATCH(W44,CountyDisbursementsLawEnforcement[#Headers]))/INDEX(CountyAllYearsPopulation[],1,MATCH(W44,Population[#Headers])))/(INDEX(MCINormalized[],1,MATCH(W44,MCINormalized[#Headers]))/100)</f>
        <v>0</v>
      </c>
      <c r="X46" s="165"/>
    </row>
    <row r="47" spans="1:28" s="153" customFormat="1" ht="16">
      <c r="A47" s="165" t="s">
        <v>134</v>
      </c>
      <c r="B47" s="165">
        <f>(INDEX(CountyDisbursementsCourt[],MATCH($A$3,CountyDisbursementsCourt[County]),MATCH(B44,CountyDisbursementsCourt[#Headers],0))/INDEX(CountyAllYearsPopulation[],1,MATCH(B44,Population[#Headers],0)))/(INDEX(MCINormalized[],1,MATCH(B44,MCINormalized[#Headers],0))/100)</f>
        <v>15.702788249005346</v>
      </c>
      <c r="C47" s="165">
        <f>(INDEX(CountyDisbursementsCourt[],MATCH($A$3,CountyDisbursementsCourt[County]),MATCH(C44,CountyDisbursementsCourt[#Headers]))/INDEX(CountyAllYearsPopulation[],1,MATCH(C44,Population[#Headers])))/(INDEX(MCINormalized[],1,MATCH(C44,MCINormalized[#Headers]))/100)</f>
        <v>17.34841353846344</v>
      </c>
      <c r="D47" s="165">
        <f>(INDEX(CountyDisbursementsCourt[],MATCH($A$3,CountyDisbursementsCourt[County]),MATCH(D44,CountyDisbursementsCourt[#Headers]))/INDEX(CountyAllYearsPopulation[],1,MATCH(D44,Population[#Headers])))/(INDEX(MCINormalized[],1,MATCH(D44,MCINormalized[#Headers]))/100)</f>
        <v>14.564721185668677</v>
      </c>
      <c r="E47" s="165">
        <f>(INDEX(CountyDisbursementsCourt[],MATCH($A$3,CountyDisbursementsCourt[County]),MATCH(E44,CountyDisbursementsCourt[#Headers]))/INDEX(CountyAllYearsPopulation[],1,MATCH(E44,Population[#Headers])))/(INDEX(MCINormalized[],1,MATCH(E44,MCINormalized[#Headers]))/100)</f>
        <v>13.159756269407328</v>
      </c>
      <c r="F47" s="165">
        <f>(INDEX(CountyDisbursementsCourt[],MATCH($A$3,CountyDisbursementsCourt[County]),MATCH(F44,CountyDisbursementsCourt[#Headers]))/INDEX(CountyAllYearsPopulation[],1,MATCH(F44,Population[#Headers])))/(INDEX(MCINormalized[],1,MATCH(F44,MCINormalized[#Headers]))/100)</f>
        <v>10.38195518345522</v>
      </c>
      <c r="G47" s="165">
        <f>(INDEX(CountyDisbursementsCourt[],MATCH($A$3,CountyDisbursementsCourt[County]),MATCH(G44,CountyDisbursementsCourt[#Headers]))/INDEX(CountyAllYearsPopulation[],1,MATCH(G44,Population[#Headers])))/(INDEX(MCINormalized[],1,MATCH(G44,MCINormalized[#Headers]))/100)</f>
        <v>8.1661986423705315</v>
      </c>
      <c r="H47" s="165">
        <f>(INDEX(CountyDisbursementsCourt[],MATCH($A$3,CountyDisbursementsCourt[County]),MATCH(H44,CountyDisbursementsCourt[#Headers]))/INDEX(CountyAllYearsPopulation[],1,MATCH(H44,Population[#Headers])))/(INDEX(MCINormalized[],1,MATCH(H44,MCINormalized[#Headers]))/100)</f>
        <v>10.168917589336507</v>
      </c>
      <c r="I47" s="165">
        <f>(INDEX(CountyDisbursementsCourt[],MATCH($A$3,CountyDisbursementsCourt[County]),MATCH(I44,CountyDisbursementsCourt[#Headers]))/INDEX(CountyAllYearsPopulation[],1,MATCH(I44,Population[#Headers])))/(INDEX(MCINormalized[],1,MATCH(I44,MCINormalized[#Headers]))/100)</f>
        <v>2.6067446365063645</v>
      </c>
      <c r="J47" s="165">
        <f>(INDEX(CountyDisbursementsCourt[],MATCH($A$3,CountyDisbursementsCourt[County]),MATCH(J44,CountyDisbursementsCourt[#Headers]))/INDEX(CountyAllYearsPopulation[],1,MATCH(J44,Population[#Headers])))/(INDEX(MCINormalized[],1,MATCH(J44,MCINormalized[#Headers]))/100)</f>
        <v>2.775301069263822</v>
      </c>
      <c r="K47" s="165">
        <f>(INDEX(CountyDisbursementsCourt[],MATCH($A$3,CountyDisbursementsCourt[County]),MATCH(K44,CountyDisbursementsCourt[#Headers]))/INDEX(CountyAllYearsPopulation[],1,MATCH(K44,Population[#Headers])))/(INDEX(MCINormalized[],1,MATCH(K44,MCINormalized[#Headers]))/100)</f>
        <v>2.5338988170164596</v>
      </c>
      <c r="L47" s="165">
        <f>(INDEX(CountyDisbursementsCourt[],MATCH($A$3,CountyDisbursementsCourt[County]),MATCH(L44,CountyDisbursementsCourt[#Headers]))/INDEX(CountyAllYearsPopulation[],1,MATCH(L44,Population[#Headers])))/(INDEX(MCINormalized[],1,MATCH(L44,MCINormalized[#Headers]))/100)</f>
        <v>2.2197991401693233</v>
      </c>
      <c r="M47" s="165">
        <f>(INDEX(CountyDisbursementsCourt[],MATCH($A$3,CountyDisbursementsCourt[County]),MATCH(M44,CountyDisbursementsCourt[#Headers]))/INDEX(CountyAllYearsPopulation[],1,MATCH(M44,Population[#Headers])))/(INDEX(MCINormalized[],1,MATCH(M44,MCINormalized[#Headers]))/100)</f>
        <v>1.8627370199848647</v>
      </c>
      <c r="N47" s="165">
        <f>(INDEX(CountyDisbursementsCourt[],MATCH($A$3,CountyDisbursementsCourt[County]),MATCH(N44,CountyDisbursementsCourt[#Headers]))/INDEX(CountyAllYearsPopulation[],1,MATCH(N44,Population[#Headers])))/(INDEX(MCINormalized[],1,MATCH(N44,MCINormalized[#Headers]))/100)</f>
        <v>2.9061553340322459</v>
      </c>
      <c r="O47" s="165">
        <f>(INDEX(CountyDisbursementsCourt[],MATCH($A$3,CountyDisbursementsCourt[County]),MATCH(O44,CountyDisbursementsCourt[#Headers]))/INDEX(CountyAllYearsPopulation[],1,MATCH(O44,Population[#Headers])))/(INDEX(MCINormalized[],1,MATCH(O44,MCINormalized[#Headers]))/100)</f>
        <v>2.5770129492283829</v>
      </c>
      <c r="P47" s="165">
        <f>(INDEX(CountyDisbursementsCourt[],MATCH($A$3,CountyDisbursementsCourt[County]),MATCH(P44,CountyDisbursementsCourt[#Headers]))/INDEX(CountyAllYearsPopulation[],1,MATCH(P44,Population[#Headers])))/(INDEX(MCINormalized[],1,MATCH(P44,MCINormalized[#Headers]))/100)</f>
        <v>4.0657403447859997</v>
      </c>
      <c r="Q47" s="165">
        <f>(INDEX(CountyDisbursementsCourt[],MATCH($A$3,CountyDisbursementsCourt[County]),MATCH(Q44,CountyDisbursementsCourt[#Headers]))/INDEX(CountyAllYearsPopulation[],1,MATCH(Q44,Population[#Headers])))/(INDEX(MCINormalized[],1,MATCH(Q44,MCINormalized[#Headers]))/100)</f>
        <v>2.4842405264623624</v>
      </c>
      <c r="R47" s="165">
        <f>(INDEX(CountyDisbursementsCourt[],MATCH($A$3,CountyDisbursementsCourt[County]),MATCH(R44,CountyDisbursementsCourt[#Headers]))/INDEX(CountyAllYearsPopulation[],1,MATCH(R44,Population[#Headers])))/(INDEX(MCINormalized[],1,MATCH(R44,MCINormalized[#Headers]))/100)</f>
        <v>2.6436328939201301</v>
      </c>
      <c r="S47" s="165">
        <f>(INDEX(CountyDisbursementsCourt[],MATCH($A$3,CountyDisbursementsCourt[County]),MATCH(S44,CountyDisbursementsCourt[#Headers]))/INDEX(CountyAllYearsPopulation[],1,MATCH(S44,Population[#Headers])))/(INDEX(MCINormalized[],1,MATCH(S44,MCINormalized[#Headers]))/100)</f>
        <v>3.63959813595419</v>
      </c>
      <c r="T47" s="165">
        <f>(INDEX(CountyDisbursementsCourt[],MATCH($A$3,CountyDisbursementsCourt[County]),MATCH(T44,CountyDisbursementsCourt[#Headers]))/INDEX(CountyAllYearsPopulation[],1,MATCH(T44,Population[#Headers])))/(INDEX(MCINormalized[],1,MATCH(T44,MCINormalized[#Headers]))/100)</f>
        <v>0.93916582996224207</v>
      </c>
      <c r="U47" s="165">
        <f>(INDEX(CountyDisbursementsCourt[],MATCH($A$3,CountyDisbursementsCourt[County]),MATCH(U44,CountyDisbursementsCourt[#Headers]))/INDEX(CountyAllYearsPopulation[],1,MATCH(U44,Population[#Headers])))/(INDEX(MCINormalized[],1,MATCH(U44,MCINormalized[#Headers]))/100)</f>
        <v>9.7518836835905596</v>
      </c>
      <c r="V47" s="165">
        <f>(INDEX(CountyDisbursementsCourt[],MATCH($A$3,CountyDisbursementsCourt[County]),MATCH(V44,CountyDisbursementsCourt[#Headers]))/INDEX(CountyAllYearsPopulation[],1,MATCH(V44,Population[#Headers])))/(INDEX(MCINormalized[],1,MATCH(V44,MCINormalized[#Headers]))/100)</f>
        <v>5.1718238828851932</v>
      </c>
      <c r="W47" s="165">
        <f>(INDEX(CountyDisbursementsCourt[],MATCH($A$3,CountyDisbursementsCourt[County]),MATCH(W44,CountyDisbursementsCourt[#Headers]))/INDEX(CountyAllYearsPopulation[],1,MATCH(W44,Population[#Headers])))/(INDEX(MCINormalized[],1,MATCH(W44,MCINormalized[#Headers]))/100)</f>
        <v>7.9328132108081011</v>
      </c>
      <c r="X47" s="165"/>
    </row>
    <row r="48" spans="1:28" s="153" customFormat="1" ht="16">
      <c r="A48" s="165" t="s">
        <v>118</v>
      </c>
      <c r="B48" s="165">
        <f>(INDEX(CountyDisbursementsFringeBenefits[],MATCH($A$3,CountyDisbursementsFringeBenefits[County]),MATCH(B44,CountyDisbursementsFringeBenefits[#Headers],0))/INDEX(CountyAllYearsPopulation[],1,MATCH(B44,Population[#Headers],0)))/(INDEX(MCINormalized[],1,MATCH(B44,MCINormalized[#Headers],0))/100)</f>
        <v>9.5961483743921558</v>
      </c>
      <c r="C48" s="165">
        <f>(INDEX(CountyDisbursementsFringeBenefits[],MATCH($A$3,CountyDisbursementsFringeBenefits[County]),MATCH(C44,CountyDisbursementsFringeBenefits[#Headers]))/INDEX(CountyAllYearsPopulation[],1,MATCH(C44,Population[#Headers])))/(INDEX(MCINormalized[],1,MATCH(C44,MCINormalized[#Headers]))/100)</f>
        <v>10.409048123078064</v>
      </c>
      <c r="D48" s="165">
        <f>(INDEX(CountyDisbursementsFringeBenefits[],MATCH($A$3,CountyDisbursementsFringeBenefits[County]),MATCH(D44,CountyDisbursementsFringeBenefits[#Headers]))/INDEX(CountyAllYearsPopulation[],1,MATCH(D44,Population[#Headers])))/(INDEX(MCINormalized[],1,MATCH(D44,MCINormalized[#Headers]))/100)</f>
        <v>6.9355815169850841</v>
      </c>
      <c r="E48" s="165">
        <f>(INDEX(CountyDisbursementsFringeBenefits[],MATCH($A$3,CountyDisbursementsFringeBenefits[County]),MATCH(E44,CountyDisbursementsFringeBenefits[#Headers]))/INDEX(CountyAllYearsPopulation[],1,MATCH(E44,Population[#Headers])))/(INDEX(MCINormalized[],1,MATCH(E44,MCINormalized[#Headers]))/100)</f>
        <v>8.7731708462715527</v>
      </c>
      <c r="F48" s="165">
        <f>(INDEX(CountyDisbursementsFringeBenefits[],MATCH($A$3,CountyDisbursementsFringeBenefits[County]),MATCH(F44,CountyDisbursementsFringeBenefits[#Headers]))/INDEX(CountyAllYearsPopulation[],1,MATCH(F44,Population[#Headers])))/(INDEX(MCINormalized[],1,MATCH(F44,MCINormalized[#Headers]))/100)</f>
        <v>9.7330829844892683</v>
      </c>
      <c r="G48" s="165">
        <f>(INDEX(CountyDisbursementsFringeBenefits[],MATCH($A$3,CountyDisbursementsFringeBenefits[County]),MATCH(G44,CountyDisbursementsFringeBenefits[#Headers]))/INDEX(CountyAllYearsPopulation[],1,MATCH(G44,Population[#Headers])))/(INDEX(MCINormalized[],1,MATCH(G44,MCINormalized[#Headers]))/100)</f>
        <v>6.9098603896981414</v>
      </c>
      <c r="H48" s="165">
        <f>(INDEX(CountyDisbursementsFringeBenefits[],MATCH($A$3,CountyDisbursementsFringeBenefits[County]),MATCH(H44,CountyDisbursementsFringeBenefits[#Headers]))/INDEX(CountyAllYearsPopulation[],1,MATCH(H44,Population[#Headers])))/(INDEX(MCINormalized[],1,MATCH(H44,MCINormalized[#Headers]))/100)</f>
        <v>4.7454948750237032</v>
      </c>
      <c r="I48" s="165">
        <f>(INDEX(CountyDisbursementsFringeBenefits[],MATCH($A$3,CountyDisbursementsFringeBenefits[County]),MATCH(I44,CountyDisbursementsFringeBenefits[#Headers]))/INDEX(CountyAllYearsPopulation[],1,MATCH(I44,Population[#Headers])))/(INDEX(MCINormalized[],1,MATCH(I44,MCINormalized[#Headers]))/100)</f>
        <v>5.2134892730127289</v>
      </c>
      <c r="J48" s="165">
        <f>(INDEX(CountyDisbursementsFringeBenefits[],MATCH($A$3,CountyDisbursementsFringeBenefits[County]),MATCH(J44,CountyDisbursementsFringeBenefits[#Headers]))/INDEX(CountyAllYearsPopulation[],1,MATCH(J44,Population[#Headers])))/(INDEX(MCINormalized[],1,MATCH(J44,MCINormalized[#Headers]))/100)</f>
        <v>7.3518567755193258</v>
      </c>
      <c r="K48" s="165">
        <f>(INDEX(CountyDisbursementsFringeBenefits[],MATCH($A$3,CountyDisbursementsFringeBenefits[County]),MATCH(K44,CountyDisbursementsFringeBenefits[#Headers]))/INDEX(CountyAllYearsPopulation[],1,MATCH(K44,Population[#Headers])))/(INDEX(MCINormalized[],1,MATCH(K44,MCINormalized[#Headers]))/100)</f>
        <v>7.7083399092565204</v>
      </c>
      <c r="L48" s="165">
        <f>(INDEX(CountyDisbursementsFringeBenefits[],MATCH($A$3,CountyDisbursementsFringeBenefits[County]),MATCH(L44,CountyDisbursementsFringeBenefits[#Headers]))/INDEX(CountyAllYearsPopulation[],1,MATCH(L44,Population[#Headers])))/(INDEX(MCINormalized[],1,MATCH(L44,MCINormalized[#Headers]))/100)</f>
        <v>7.3701895469268583</v>
      </c>
      <c r="M48" s="165">
        <f>(INDEX(CountyDisbursementsFringeBenefits[],MATCH($A$3,CountyDisbursementsFringeBenefits[County]),MATCH(M44,CountyDisbursementsFringeBenefits[#Headers]))/INDEX(CountyAllYearsPopulation[],1,MATCH(M44,Population[#Headers])))/(INDEX(MCINormalized[],1,MATCH(M44,MCINormalized[#Headers]))/100)</f>
        <v>7.3201141485874111</v>
      </c>
      <c r="N48" s="165">
        <f>(INDEX(CountyDisbursementsFringeBenefits[],MATCH($A$3,CountyDisbursementsFringeBenefits[County]),MATCH(N44,CountyDisbursementsFringeBenefits[#Headers]))/INDEX(CountyAllYearsPopulation[],1,MATCH(N44,Population[#Headers])))/(INDEX(MCINormalized[],1,MATCH(N44,MCINormalized[#Headers]))/100)</f>
        <v>7.4784191870193713</v>
      </c>
      <c r="O48" s="165">
        <f>(INDEX(CountyDisbursementsFringeBenefits[],MATCH($A$3,CountyDisbursementsFringeBenefits[County]),MATCH(O44,CountyDisbursementsFringeBenefits[#Headers]))/INDEX(CountyAllYearsPopulation[],1,MATCH(O44,Population[#Headers])))/(INDEX(MCINormalized[],1,MATCH(O44,MCINormalized[#Headers]))/100)</f>
        <v>7.7591197593394003</v>
      </c>
      <c r="P48" s="165">
        <f>(INDEX(CountyDisbursementsFringeBenefits[],MATCH($A$3,CountyDisbursementsFringeBenefits[County]),MATCH(P44,CountyDisbursementsFringeBenefits[#Headers]))/INDEX(CountyAllYearsPopulation[],1,MATCH(P44,Population[#Headers])))/(INDEX(MCINormalized[],1,MATCH(P44,MCINormalized[#Headers]))/100)</f>
        <v>9.4783044486129135</v>
      </c>
      <c r="Q48" s="165">
        <f>(INDEX(CountyDisbursementsFringeBenefits[],MATCH($A$3,CountyDisbursementsFringeBenefits[County]),MATCH(Q44,CountyDisbursementsFringeBenefits[#Headers]))/INDEX(CountyAllYearsPopulation[],1,MATCH(Q44,Population[#Headers])))/(INDEX(MCINormalized[],1,MATCH(Q44,MCINormalized[#Headers]))/100)</f>
        <v>9.1548833492149768</v>
      </c>
      <c r="R48" s="165">
        <f>(INDEX(CountyDisbursementsFringeBenefits[],MATCH($A$3,CountyDisbursementsFringeBenefits[County]),MATCH(R44,CountyDisbursementsFringeBenefits[#Headers]))/INDEX(CountyAllYearsPopulation[],1,MATCH(R44,Population[#Headers])))/(INDEX(MCINormalized[],1,MATCH(R44,MCINormalized[#Headers]))/100)</f>
        <v>10.090971447832395</v>
      </c>
      <c r="S48" s="165">
        <f>(INDEX(CountyDisbursementsFringeBenefits[],MATCH($A$3,CountyDisbursementsFringeBenefits[County]),MATCH(S44,CountyDisbursementsFringeBenefits[#Headers]))/INDEX(CountyAllYearsPopulation[],1,MATCH(S44,Population[#Headers])))/(INDEX(MCINormalized[],1,MATCH(S44,MCINormalized[#Headers]))/100)</f>
        <v>9.7471907175775492</v>
      </c>
      <c r="T48" s="165">
        <f>(INDEX(CountyDisbursementsFringeBenefits[],MATCH($A$3,CountyDisbursementsFringeBenefits[County]),MATCH(T44,CountyDisbursementsFringeBenefits[#Headers]))/INDEX(CountyAllYearsPopulation[],1,MATCH(T44,Population[#Headers])))/(INDEX(MCINormalized[],1,MATCH(T44,MCINormalized[#Headers]))/100)</f>
        <v>9.6322434516838733</v>
      </c>
      <c r="U48" s="165">
        <f>(INDEX(CountyDisbursementsFringeBenefits[],MATCH($A$3,CountyDisbursementsFringeBenefits[County]),MATCH(U44,CountyDisbursementsFringeBenefits[#Headers]))/INDEX(CountyAllYearsPopulation[],1,MATCH(U44,Population[#Headers])))/(INDEX(MCINormalized[],1,MATCH(U44,MCINormalized[#Headers]))/100)</f>
        <v>9.55735212946961</v>
      </c>
      <c r="V48" s="165">
        <f>(INDEX(CountyDisbursementsFringeBenefits[],MATCH($A$3,CountyDisbursementsFringeBenefits[County]),MATCH(V44,CountyDisbursementsFringeBenefits[#Headers]))/INDEX(CountyAllYearsPopulation[],1,MATCH(V44,Population[#Headers])))/(INDEX(MCINormalized[],1,MATCH(V44,MCINormalized[#Headers]))/100)</f>
        <v>8.8073257965575831</v>
      </c>
      <c r="W48" s="165">
        <f>(INDEX(CountyDisbursementsFringeBenefits[],MATCH($A$3,CountyDisbursementsFringeBenefits[County]),MATCH(W44,CountyDisbursementsFringeBenefits[#Headers]))/INDEX(CountyAllYearsPopulation[],1,MATCH(W44,Population[#Headers])))/(INDEX(MCINormalized[],1,MATCH(W44,MCINormalized[#Headers]))/100)</f>
        <v>12.290872074944003</v>
      </c>
      <c r="X48" s="165"/>
    </row>
    <row r="49" spans="1:24" s="153" customFormat="1" ht="16">
      <c r="A49" s="165" t="s">
        <v>128</v>
      </c>
      <c r="B49" s="165">
        <f>(INDEX(CountyDisbursementsProsecutingAttorney[],MATCH($A$3,CountyDisbursementsProsecutingAttorney[County]),MATCH(B44,CountyDisbursementsProsecutingAttorney[#Headers],0))/INDEX(CountyAllYearsPopulation[],1,MATCH(B44,Population[#Headers],0)))/(INDEX(MCINormalized[],1,MATCH(B44,MCINormalized[#Headers],0))/100)</f>
        <v>6.1066398746131894</v>
      </c>
      <c r="C49" s="165">
        <f>(INDEX(CountyDisbursementsProsecutingAttorney[],MATCH($A$3,CountyDisbursementsProsecutingAttorney[County]),MATCH(C44,CountyDisbursementsProsecutingAttorney[#Headers]))/INDEX(CountyAllYearsPopulation[],1,MATCH(C44,Population[#Headers])))/(INDEX(MCINormalized[],1,MATCH(C44,MCINormalized[#Headers]))/100)</f>
        <v>6.0719447384622036</v>
      </c>
      <c r="D49" s="165">
        <f>(INDEX(CountyDisbursementsProsecutingAttorney[],MATCH($A$3,CountyDisbursementsProsecutingAttorney[County]),MATCH(D44,CountyDisbursementsProsecutingAttorney[#Headers]))/INDEX(CountyAllYearsPopulation[],1,MATCH(D44,Population[#Headers])))/(INDEX(MCINormalized[],1,MATCH(D44,MCINormalized[#Headers]))/100)</f>
        <v>5.5484652135880683</v>
      </c>
      <c r="E49" s="165">
        <f>(INDEX(CountyDisbursementsProsecutingAttorney[],MATCH($A$3,CountyDisbursementsProsecutingAttorney[County]),MATCH(E44,CountyDisbursementsProsecutingAttorney[#Headers]))/INDEX(CountyAllYearsPopulation[],1,MATCH(E44,Population[#Headers])))/(INDEX(MCINormalized[],1,MATCH(E44,MCINormalized[#Headers]))/100)</f>
        <v>6.5798781347036641</v>
      </c>
      <c r="F49" s="165">
        <f>(INDEX(CountyDisbursementsProsecutingAttorney[],MATCH($A$3,CountyDisbursementsProsecutingAttorney[County]),MATCH(F44,CountyDisbursementsProsecutingAttorney[#Headers]))/INDEX(CountyAllYearsPopulation[],1,MATCH(F44,Population[#Headers])))/(INDEX(MCINormalized[],1,MATCH(F44,MCINormalized[#Headers]))/100)</f>
        <v>6.4887219896595125</v>
      </c>
      <c r="G49" s="165">
        <f>(INDEX(CountyDisbursementsProsecutingAttorney[],MATCH($A$3,CountyDisbursementsProsecutingAttorney[County]),MATCH(G44,CountyDisbursementsProsecutingAttorney[#Headers]))/INDEX(CountyAllYearsPopulation[],1,MATCH(G44,Population[#Headers])))/(INDEX(MCINormalized[],1,MATCH(G44,MCINormalized[#Headers]))/100)</f>
        <v>6.2816912633619459</v>
      </c>
      <c r="H49" s="165">
        <f>(INDEX(CountyDisbursementsProsecutingAttorney[],MATCH($A$3,CountyDisbursementsProsecutingAttorney[County]),MATCH(H44,CountyDisbursementsProsecutingAttorney[#Headers]))/INDEX(CountyAllYearsPopulation[],1,MATCH(H44,Population[#Headers])))/(INDEX(MCINormalized[],1,MATCH(H44,MCINormalized[#Headers]))/100)</f>
        <v>6.1013505536019039</v>
      </c>
      <c r="I49" s="165">
        <f>(INDEX(CountyDisbursementsProsecutingAttorney[],MATCH($A$3,CountyDisbursementsProsecutingAttorney[County]),MATCH(I44,CountyDisbursementsProsecutingAttorney[#Headers]))/INDEX(CountyAllYearsPopulation[],1,MATCH(I44,Population[#Headers])))/(INDEX(MCINormalized[],1,MATCH(I44,MCINormalized[#Headers]))/100)</f>
        <v>6.9513190306836394</v>
      </c>
      <c r="J49" s="165">
        <f>(INDEX(CountyDisbursementsProsecutingAttorney[],MATCH($A$3,CountyDisbursementsProsecutingAttorney[County]),MATCH(J44,CountyDisbursementsProsecutingAttorney[#Headers]))/INDEX(CountyAllYearsPopulation[],1,MATCH(J44,Population[#Headers])))/(INDEX(MCINormalized[],1,MATCH(J44,MCINormalized[#Headers]))/100)</f>
        <v>6.8900582266441068</v>
      </c>
      <c r="K49" s="165">
        <f>(INDEX(CountyDisbursementsProsecutingAttorney[],MATCH($A$3,CountyDisbursementsProsecutingAttorney[County]),MATCH(K44,CountyDisbursementsProsecutingAttorney[#Headers]))/INDEX(CountyAllYearsPopulation[],1,MATCH(K44,Population[#Headers])))/(INDEX(MCINormalized[],1,MATCH(K44,MCINormalized[#Headers]))/100)</f>
        <v>6.9274008177880351</v>
      </c>
      <c r="L49" s="165">
        <f>(INDEX(CountyDisbursementsProsecutingAttorney[],MATCH($A$3,CountyDisbursementsProsecutingAttorney[County]),MATCH(L44,CountyDisbursementsProsecutingAttorney[#Headers]))/INDEX(CountyAllYearsPopulation[],1,MATCH(L44,Population[#Headers])))/(INDEX(MCINormalized[],1,MATCH(L44,MCINormalized[#Headers]))/100)</f>
        <v>6.5728725224794182</v>
      </c>
      <c r="M49" s="165">
        <f>(INDEX(CountyDisbursementsProsecutingAttorney[],MATCH($A$3,CountyDisbursementsProsecutingAttorney[County]),MATCH(M44,CountyDisbursementsProsecutingAttorney[#Headers]))/INDEX(CountyAllYearsPopulation[],1,MATCH(M44,Population[#Headers])))/(INDEX(MCINormalized[],1,MATCH(M44,MCINormalized[#Headers]))/100)</f>
        <v>6.5232178467897874</v>
      </c>
      <c r="N49" s="165">
        <f>(INDEX(CountyDisbursementsProsecutingAttorney[],MATCH($A$3,CountyDisbursementsProsecutingAttorney[County]),MATCH(N44,CountyDisbursementsProsecutingAttorney[#Headers]))/INDEX(CountyAllYearsPopulation[],1,MATCH(N44,Population[#Headers])))/(INDEX(MCINormalized[],1,MATCH(N44,MCINormalized[#Headers]))/100)</f>
        <v>6.3946324885203696</v>
      </c>
      <c r="O49" s="165">
        <f>(INDEX(CountyDisbursementsProsecutingAttorney[],MATCH($A$3,CountyDisbursementsProsecutingAttorney[County]),MATCH(O44,CountyDisbursementsProsecutingAttorney[#Headers]))/INDEX(CountyAllYearsPopulation[],1,MATCH(O44,Population[#Headers])))/(INDEX(MCINormalized[],1,MATCH(O44,MCINormalized[#Headers]))/100)</f>
        <v>6.3275564775134994</v>
      </c>
      <c r="P49" s="165">
        <f>(INDEX(CountyDisbursementsProsecutingAttorney[],MATCH($A$3,CountyDisbursementsProsecutingAttorney[County]),MATCH(P44,CountyDisbursementsProsecutingAttorney[#Headers]))/INDEX(CountyAllYearsPopulation[],1,MATCH(P44,Population[#Headers])))/(INDEX(MCINormalized[],1,MATCH(P44,MCINormalized[#Headers]))/100)</f>
        <v>6.003333917922693</v>
      </c>
      <c r="Q49" s="165">
        <f>(INDEX(CountyDisbursementsProsecutingAttorney[],MATCH($A$3,CountyDisbursementsProsecutingAttorney[County]),MATCH(Q44,CountyDisbursementsProsecutingAttorney[#Headers]))/INDEX(CountyAllYearsPopulation[],1,MATCH(Q44,Population[#Headers])))/(INDEX(MCINormalized[],1,MATCH(Q44,MCINormalized[#Headers]))/100)</f>
        <v>5.999019748982759</v>
      </c>
      <c r="R49" s="165">
        <f>(INDEX(CountyDisbursementsProsecutingAttorney[],MATCH($A$3,CountyDisbursementsProsecutingAttorney[County]),MATCH(R44,CountyDisbursementsProsecutingAttorney[#Headers]))/INDEX(CountyAllYearsPopulation[],1,MATCH(R44,Population[#Headers])))/(INDEX(MCINormalized[],1,MATCH(R44,MCINormalized[#Headers]))/100)</f>
        <v>6.1601061720822958</v>
      </c>
      <c r="S49" s="165">
        <f>(INDEX(CountyDisbursementsProsecutingAttorney[],MATCH($A$3,CountyDisbursementsProsecutingAttorney[County]),MATCH(S44,CountyDisbursementsProsecutingAttorney[#Headers]))/INDEX(CountyAllYearsPopulation[],1,MATCH(S44,Population[#Headers])))/(INDEX(MCINormalized[],1,MATCH(S44,MCINormalized[#Headers]))/100)</f>
        <v>6.8299825961490512</v>
      </c>
      <c r="T49" s="165">
        <f>(INDEX(CountyDisbursementsProsecutingAttorney[],MATCH($A$3,CountyDisbursementsProsecutingAttorney[County]),MATCH(T44,CountyDisbursementsProsecutingAttorney[#Headers]))/INDEX(CountyAllYearsPopulation[],1,MATCH(T44,Population[#Headers])))/(INDEX(MCINormalized[],1,MATCH(T44,MCINormalized[#Headers]))/100)</f>
        <v>6.7618681837124326</v>
      </c>
      <c r="U49" s="165">
        <f>(INDEX(CountyDisbursementsProsecutingAttorney[],MATCH($A$3,CountyDisbursementsProsecutingAttorney[County]),MATCH(U44,CountyDisbursementsProsecutingAttorney[#Headers]))/INDEX(CountyAllYearsPopulation[],1,MATCH(U44,Population[#Headers])))/(INDEX(MCINormalized[],1,MATCH(U44,MCINormalized[#Headers]))/100)</f>
        <v>7.3728481836068491</v>
      </c>
      <c r="V49" s="165">
        <f>(INDEX(CountyDisbursementsProsecutingAttorney[],MATCH($A$3,CountyDisbursementsProsecutingAttorney[County]),MATCH(V44,CountyDisbursementsProsecutingAttorney[#Headers]))/INDEX(CountyAllYearsPopulation[],1,MATCH(V44,Population[#Headers])))/(INDEX(MCINormalized[],1,MATCH(V44,MCINormalized[#Headers]))/100)</f>
        <v>7.5175872870698166</v>
      </c>
      <c r="W49" s="165">
        <f>(INDEX(CountyDisbursementsProsecutingAttorney[],MATCH($A$3,CountyDisbursementsProsecutingAttorney[County]),MATCH(W44,CountyDisbursementsProsecutingAttorney[#Headers]))/INDEX(CountyAllYearsPopulation[],1,MATCH(W44,Population[#Headers])))/(INDEX(MCINormalized[],1,MATCH(W44,MCINormalized[#Headers]))/100)</f>
        <v>7.9723918577100781</v>
      </c>
      <c r="X49" s="165"/>
    </row>
    <row r="50" spans="1:24" s="153" customFormat="1" ht="16">
      <c r="A50" s="165" t="s">
        <v>298</v>
      </c>
      <c r="B50" s="165">
        <f>(INDEX(CountyDisbursementsPublicAdministrator[],MATCH($A$3,CountyDisbursementsPublicAdministrator[County]),MATCH(B44,CountyDisbursementsPublicAdministrator[#Headers],0))/INDEX(CountyAllYearsPopulation[],1,MATCH(B44,Population[#Headers],0)))/(INDEX(MCINormalized[],1,MATCH(B44,MCINormalized[#Headers],0))/100)</f>
        <v>0.8723771249447414</v>
      </c>
      <c r="C50" s="165">
        <f>(INDEX(CountyDisbursementsPublicAdministrator[],MATCH($A$3,CountyDisbursementsPublicAdministrator[County]),MATCH(C44,CountyDisbursementsPublicAdministrator[#Headers]))/INDEX(CountyAllYearsPopulation[],1,MATCH(C44,Population[#Headers])))/(INDEX(MCINormalized[],1,MATCH(C44,MCINormalized[#Headers]))/100)</f>
        <v>1.7348413538463436</v>
      </c>
      <c r="D50" s="165">
        <f>(INDEX(CountyDisbursementsPublicAdministrator[],MATCH($A$3,CountyDisbursementsPublicAdministrator[County]),MATCH(D44,CountyDisbursementsPublicAdministrator[#Headers]))/INDEX(CountyAllYearsPopulation[],1,MATCH(D44,Population[#Headers])))/(INDEX(MCINormalized[],1,MATCH(D44,MCINormalized[#Headers]))/100)</f>
        <v>2.7742326067940342</v>
      </c>
      <c r="E50" s="165">
        <f>(INDEX(CountyDisbursementsPublicAdministrator[],MATCH($A$3,CountyDisbursementsPublicAdministrator[County]),MATCH(E44,CountyDisbursementsPublicAdministrator[#Headers]))/INDEX(CountyAllYearsPopulation[],1,MATCH(E44,Population[#Headers])))/(INDEX(MCINormalized[],1,MATCH(E44,MCINormalized[#Headers]))/100)</f>
        <v>2.1932927115678877</v>
      </c>
      <c r="F50" s="165">
        <f>(INDEX(CountyDisbursementsPublicAdministrator[],MATCH($A$3,CountyDisbursementsPublicAdministrator[County]),MATCH(F44,CountyDisbursementsPublicAdministrator[#Headers]))/INDEX(CountyAllYearsPopulation[],1,MATCH(F44,Population[#Headers])))/(INDEX(MCINormalized[],1,MATCH(F44,MCINormalized[#Headers]))/100)</f>
        <v>3.2443609948297563</v>
      </c>
      <c r="G50" s="165">
        <f>(INDEX(CountyDisbursementsPublicAdministrator[],MATCH($A$3,CountyDisbursementsPublicAdministrator[County]),MATCH(G44,CountyDisbursementsPublicAdministrator[#Headers]))/INDEX(CountyAllYearsPopulation[],1,MATCH(G44,Population[#Headers])))/(INDEX(MCINormalized[],1,MATCH(G44,MCINormalized[#Headers]))/100)</f>
        <v>2.5126765053447788</v>
      </c>
      <c r="H50" s="165">
        <f>(INDEX(CountyDisbursementsPublicAdministrator[],MATCH($A$3,CountyDisbursementsPublicAdministrator[County]),MATCH(H44,CountyDisbursementsPublicAdministrator[#Headers]))/INDEX(CountyAllYearsPopulation[],1,MATCH(H44,Population[#Headers])))/(INDEX(MCINormalized[],1,MATCH(H44,MCINormalized[#Headers]))/100)</f>
        <v>2.7117113571564015</v>
      </c>
      <c r="I50" s="165">
        <f>(INDEX(CountyDisbursementsPublicAdministrator[],MATCH($A$3,CountyDisbursementsPublicAdministrator[County]),MATCH(I44,CountyDisbursementsPublicAdministrator[#Headers]))/INDEX(CountyAllYearsPopulation[],1,MATCH(I44,Population[#Headers])))/(INDEX(MCINormalized[],1,MATCH(I44,MCINormalized[#Headers]))/100)</f>
        <v>2.6067446365063645</v>
      </c>
      <c r="J50" s="165">
        <f>(INDEX(CountyDisbursementsPublicAdministrator[],MATCH($A$3,CountyDisbursementsPublicAdministrator[County]),MATCH(J44,CountyDisbursementsPublicAdministrator[#Headers]))/INDEX(CountyAllYearsPopulation[],1,MATCH(J44,Population[#Headers])))/(INDEX(MCINormalized[],1,MATCH(J44,MCINormalized[#Headers]))/100)</f>
        <v>2.597909597297416</v>
      </c>
      <c r="K50" s="165">
        <f>(INDEX(CountyDisbursementsPublicAdministrator[],MATCH($A$3,CountyDisbursementsPublicAdministrator[County]),MATCH(K44,CountyDisbursementsPublicAdministrator[#Headers]))/INDEX(CountyAllYearsPopulation[],1,MATCH(K44,Population[#Headers])))/(INDEX(MCINormalized[],1,MATCH(K44,MCINormalized[#Headers]))/100)</f>
        <v>2.6894542962213852</v>
      </c>
      <c r="L50" s="165">
        <f>(INDEX(CountyDisbursementsPublicAdministrator[],MATCH($A$3,CountyDisbursementsPublicAdministrator[County]),MATCH(L44,CountyDisbursementsPublicAdministrator[#Headers]))/INDEX(CountyAllYearsPopulation[],1,MATCH(L44,Population[#Headers])))/(INDEX(MCINormalized[],1,MATCH(L44,MCINormalized[#Headers]))/100)</f>
        <v>2.7431180394489538</v>
      </c>
      <c r="M50" s="165">
        <f>(INDEX(CountyDisbursementsPublicAdministrator[],MATCH($A$3,CountyDisbursementsPublicAdministrator[County]),MATCH(M44,CountyDisbursementsPublicAdministrator[#Headers]))/INDEX(CountyAllYearsPopulation[],1,MATCH(M44,Population[#Headers])))/(INDEX(MCINormalized[],1,MATCH(M44,MCINormalized[#Headers]))/100)</f>
        <v>2.6249302770558951</v>
      </c>
      <c r="N50" s="165">
        <f>(INDEX(CountyDisbursementsPublicAdministrator[],MATCH($A$3,CountyDisbursementsPublicAdministrator[County]),MATCH(N44,CountyDisbursementsPublicAdministrator[#Headers]))/INDEX(CountyAllYearsPopulation[],1,MATCH(N44,Population[#Headers])))/(INDEX(MCINormalized[],1,MATCH(N44,MCINormalized[#Headers]))/100)</f>
        <v>2.7888889803999306</v>
      </c>
      <c r="O50" s="165">
        <f>(INDEX(CountyDisbursementsPublicAdministrator[],MATCH($A$3,CountyDisbursementsPublicAdministrator[County]),MATCH(O44,CountyDisbursementsPublicAdministrator[#Headers]))/INDEX(CountyAllYearsPopulation[],1,MATCH(O44,Population[#Headers])))/(INDEX(MCINormalized[],1,MATCH(O44,MCINormalized[#Headers]))/100)</f>
        <v>2.468865457857929</v>
      </c>
      <c r="P50" s="165">
        <f>(INDEX(CountyDisbursementsPublicAdministrator[],MATCH($A$3,CountyDisbursementsPublicAdministrator[County]),MATCH(P44,CountyDisbursementsPublicAdministrator[#Headers]))/INDEX(CountyAllYearsPopulation[],1,MATCH(P44,Population[#Headers])))/(INDEX(MCINormalized[],1,MATCH(P44,MCINormalized[#Headers]))/100)</f>
        <v>2.9971622386825505</v>
      </c>
      <c r="Q50" s="165">
        <f>(INDEX(CountyDisbursementsPublicAdministrator[],MATCH($A$3,CountyDisbursementsPublicAdministrator[County]),MATCH(Q44,CountyDisbursementsPublicAdministrator[#Headers]))/INDEX(CountyAllYearsPopulation[],1,MATCH(Q44,Population[#Headers])))/(INDEX(MCINormalized[],1,MATCH(Q44,MCINormalized[#Headers]))/100)</f>
        <v>3.0200911958035186</v>
      </c>
      <c r="R50" s="165">
        <f>(INDEX(CountyDisbursementsPublicAdministrator[],MATCH($A$3,CountyDisbursementsPublicAdministrator[County]),MATCH(R44,CountyDisbursementsPublicAdministrator[#Headers]))/INDEX(CountyAllYearsPopulation[],1,MATCH(R44,Population[#Headers])))/(INDEX(MCINormalized[],1,MATCH(R44,MCINormalized[#Headers]))/100)</f>
        <v>3.0390804924394472</v>
      </c>
      <c r="S50" s="165">
        <f>(INDEX(CountyDisbursementsPublicAdministrator[],MATCH($A$3,CountyDisbursementsPublicAdministrator[County]),MATCH(S44,CountyDisbursementsPublicAdministrator[#Headers]))/INDEX(CountyAllYearsPopulation[],1,MATCH(S44,Population[#Headers])))/(INDEX(MCINormalized[],1,MATCH(S44,MCINormalized[#Headers]))/100)</f>
        <v>3.1732268393462615</v>
      </c>
      <c r="T50" s="165">
        <f>(INDEX(CountyDisbursementsPublicAdministrator[],MATCH($A$3,CountyDisbursementsPublicAdministrator[County]),MATCH(T44,CountyDisbursementsPublicAdministrator[#Headers]))/INDEX(CountyAllYearsPopulation[],1,MATCH(T44,Population[#Headers])))/(INDEX(MCINormalized[],1,MATCH(T44,MCINormalized[#Headers]))/100)</f>
        <v>3.4481442377156024</v>
      </c>
      <c r="U50" s="165">
        <f>(INDEX(CountyDisbursementsPublicAdministrator[],MATCH($A$3,CountyDisbursementsPublicAdministrator[County]),MATCH(U44,CountyDisbursementsPublicAdministrator[#Headers]))/INDEX(CountyAllYearsPopulation[],1,MATCH(U44,Population[#Headers])))/(INDEX(MCINormalized[],1,MATCH(U44,MCINormalized[#Headers]))/100)</f>
        <v>3.6559304313503027</v>
      </c>
      <c r="V50" s="165">
        <f>(INDEX(CountyDisbursementsPublicAdministrator[],MATCH($A$3,CountyDisbursementsPublicAdministrator[County]),MATCH(V44,CountyDisbursementsPublicAdministrator[#Headers]))/INDEX(CountyAllYearsPopulation[],1,MATCH(V44,Population[#Headers])))/(INDEX(MCINormalized[],1,MATCH(V44,MCINormalized[#Headers]))/100)</f>
        <v>4.2172421583651936</v>
      </c>
      <c r="W50" s="165">
        <f>(INDEX(CountyDisbursementsPublicAdministrator[],MATCH($A$3,CountyDisbursementsPublicAdministrator[County]),MATCH(W44,CountyDisbursementsPublicAdministrator[#Headers]))/INDEX(CountyAllYearsPopulation[],1,MATCH(W44,Population[#Headers])))/(INDEX(MCINormalized[],1,MATCH(W44,MCINormalized[#Headers]))/100)</f>
        <v>3.9374325374866657</v>
      </c>
      <c r="X50" s="165"/>
    </row>
    <row r="51" spans="1:24" s="153" customFormat="1" ht="16">
      <c r="A51" s="165" t="s">
        <v>179</v>
      </c>
      <c r="B51" s="165">
        <f>(INDEX(CountyDisbursementsHealthWelfare[],MATCH($A$3,CountyDisbursementsHealthWelfare[County]),MATCH(B44,CountyDisbursementsHealthWelfare[#Headers],0))/INDEX(CountyAllYearsPopulation[],1,MATCH(B44,Population[#Headers],0)))/(INDEX(MCINormalized[],1,MATCH(B44,MCINormalized[#Headers],0))/100)</f>
        <v>10.468525499336897</v>
      </c>
      <c r="C51" s="165">
        <f>(INDEX(CountyDisbursementsHealthWelfare[],MATCH($A$3,CountyDisbursementsHealthWelfare[County]),MATCH(C44,CountyDisbursementsHealthWelfare[#Headers]))/INDEX(CountyAllYearsPopulation[],1,MATCH(C44,Population[#Headers])))/(INDEX(MCINormalized[],1,MATCH(C44,MCINormalized[#Headers]))/100)</f>
        <v>12.143889476924407</v>
      </c>
      <c r="D51" s="165">
        <f>(INDEX(CountyDisbursementsHealthWelfare[],MATCH($A$3,CountyDisbursementsHealthWelfare[County]),MATCH(D44,CountyDisbursementsHealthWelfare[#Headers]))/INDEX(CountyAllYearsPopulation[],1,MATCH(D44,Population[#Headers])))/(INDEX(MCINormalized[],1,MATCH(D44,MCINormalized[#Headers]))/100)</f>
        <v>11.096930427176137</v>
      </c>
      <c r="E51" s="165">
        <f>(INDEX(CountyDisbursementsHealthWelfare[],MATCH($A$3,CountyDisbursementsHealthWelfare[County]),MATCH(E44,CountyDisbursementsHealthWelfare[#Headers]))/INDEX(CountyAllYearsPopulation[],1,MATCH(E44,Population[#Headers])))/(INDEX(MCINormalized[],1,MATCH(E44,MCINormalized[#Headers]))/100)</f>
        <v>15.353048980975219</v>
      </c>
      <c r="F51" s="165">
        <f>(INDEX(CountyDisbursementsHealthWelfare[],MATCH($A$3,CountyDisbursementsHealthWelfare[County]),MATCH(F44,CountyDisbursementsHealthWelfare[#Headers]))/INDEX(CountyAllYearsPopulation[],1,MATCH(F44,Population[#Headers])))/(INDEX(MCINormalized[],1,MATCH(F44,MCINormalized[#Headers]))/100)</f>
        <v>10.38195518345522</v>
      </c>
      <c r="G51" s="165">
        <f>(INDEX(CountyDisbursementsHealthWelfare[],MATCH($A$3,CountyDisbursementsHealthWelfare[County]),MATCH(G44,CountyDisbursementsHealthWelfare[#Headers]))/INDEX(CountyAllYearsPopulation[],1,MATCH(G44,Population[#Headers])))/(INDEX(MCINormalized[],1,MATCH(G44,MCINormalized[#Headers]))/100)</f>
        <v>16.332397284741063</v>
      </c>
      <c r="H51" s="165">
        <f>(INDEX(CountyDisbursementsHealthWelfare[],MATCH($A$3,CountyDisbursementsHealthWelfare[County]),MATCH(H44,CountyDisbursementsHealthWelfare[#Headers]))/INDEX(CountyAllYearsPopulation[],1,MATCH(H44,Population[#Headers])))/(INDEX(MCINormalized[],1,MATCH(H44,MCINormalized[#Headers]))/100)</f>
        <v>8.1351340714692064</v>
      </c>
      <c r="I51" s="165">
        <f>(INDEX(CountyDisbursementsHealthWelfare[],MATCH($A$3,CountyDisbursementsHealthWelfare[County]),MATCH(I44,CountyDisbursementsHealthWelfare[#Headers]))/INDEX(CountyAllYearsPopulation[],1,MATCH(I44,Population[#Headers])))/(INDEX(MCINormalized[],1,MATCH(I44,MCINormalized[#Headers]))/100)</f>
        <v>31.280935638076375</v>
      </c>
      <c r="J51" s="165">
        <f>(INDEX(CountyDisbursementsHealthWelfare[],MATCH($A$3,CountyDisbursementsHealthWelfare[County]),MATCH(J44,CountyDisbursementsHealthWelfare[#Headers]))/INDEX(CountyAllYearsPopulation[],1,MATCH(J44,Population[#Headers])))/(INDEX(MCINormalized[],1,MATCH(J44,MCINormalized[#Headers]))/100)</f>
        <v>10.113416743567226</v>
      </c>
      <c r="K51" s="165">
        <f>(INDEX(CountyDisbursementsHealthWelfare[],MATCH($A$3,CountyDisbursementsHealthWelfare[County]),MATCH(K44,CountyDisbursementsHealthWelfare[#Headers]))/INDEX(CountyAllYearsPopulation[],1,MATCH(K44,Population[#Headers])))/(INDEX(MCINormalized[],1,MATCH(K44,MCINormalized[#Headers]))/100)</f>
        <v>8.2313877505816784</v>
      </c>
      <c r="L51" s="165">
        <f>(INDEX(CountyDisbursementsHealthWelfare[],MATCH($A$3,CountyDisbursementsHealthWelfare[County]),MATCH(L44,CountyDisbursementsHealthWelfare[#Headers]))/INDEX(CountyAllYearsPopulation[],1,MATCH(L44,Population[#Headers])))/(INDEX(MCINormalized[],1,MATCH(L44,MCINormalized[#Headers]))/100)</f>
        <v>9.6767187419665319</v>
      </c>
      <c r="M51" s="165">
        <f>(INDEX(CountyDisbursementsHealthWelfare[],MATCH($A$3,CountyDisbursementsHealthWelfare[County]),MATCH(M44,CountyDisbursementsHealthWelfare[#Headers]))/INDEX(CountyAllYearsPopulation[],1,MATCH(M44,Population[#Headers])))/(INDEX(MCINormalized[],1,MATCH(M44,MCINormalized[#Headers]))/100)</f>
        <v>8.1415274933530224</v>
      </c>
      <c r="N51" s="165">
        <f>(INDEX(CountyDisbursementsHealthWelfare[],MATCH($A$3,CountyDisbursementsHealthWelfare[County]),MATCH(N44,CountyDisbursementsHealthWelfare[#Headers]))/INDEX(CountyAllYearsPopulation[],1,MATCH(N44,Population[#Headers])))/(INDEX(MCINormalized[],1,MATCH(N44,MCINormalized[#Headers]))/100)</f>
        <v>15.24804402964706</v>
      </c>
      <c r="O51" s="165">
        <f>(INDEX(CountyDisbursementsHealthWelfare[],MATCH($A$3,CountyDisbursementsHealthWelfare[County]),MATCH(O44,CountyDisbursementsHealthWelfare[#Headers]))/INDEX(CountyAllYearsPopulation[],1,MATCH(O44,Population[#Headers])))/(INDEX(MCINormalized[],1,MATCH(O44,MCINormalized[#Headers]))/100)</f>
        <v>15.670812590705868</v>
      </c>
      <c r="P51" s="165">
        <f>(INDEX(CountyDisbursementsHealthWelfare[],MATCH($A$3,CountyDisbursementsHealthWelfare[County]),MATCH(P44,CountyDisbursementsHealthWelfare[#Headers]))/INDEX(CountyAllYearsPopulation[],1,MATCH(P44,Population[#Headers])))/(INDEX(MCINormalized[],1,MATCH(P44,MCINormalized[#Headers]))/100)</f>
        <v>19.750848237559183</v>
      </c>
      <c r="Q51" s="165">
        <f>(INDEX(CountyDisbursementsHealthWelfare[],MATCH($A$3,CountyDisbursementsHealthWelfare[County]),MATCH(Q44,CountyDisbursementsHealthWelfare[#Headers]))/INDEX(CountyAllYearsPopulation[],1,MATCH(Q44,Population[#Headers])))/(INDEX(MCINormalized[],1,MATCH(Q44,MCINormalized[#Headers]))/100)</f>
        <v>13.56360524909929</v>
      </c>
      <c r="R51" s="165">
        <f>(INDEX(CountyDisbursementsHealthWelfare[],MATCH($A$3,CountyDisbursementsHealthWelfare[County]),MATCH(R44,CountyDisbursementsHealthWelfare[#Headers]))/INDEX(CountyAllYearsPopulation[],1,MATCH(R44,Population[#Headers])))/(INDEX(MCINormalized[],1,MATCH(R44,MCINormalized[#Headers]))/100)</f>
        <v>15.365067069137787</v>
      </c>
      <c r="S51" s="165">
        <f>(INDEX(CountyDisbursementsHealthWelfare[],MATCH($A$3,CountyDisbursementsHealthWelfare[County]),MATCH(S44,CountyDisbursementsHealthWelfare[#Headers]))/INDEX(CountyAllYearsPopulation[],1,MATCH(S44,Population[#Headers])))/(INDEX(MCINormalized[],1,MATCH(S44,MCINormalized[#Headers]))/100)</f>
        <v>13.305631762511357</v>
      </c>
      <c r="T51" s="165">
        <f>(INDEX(CountyDisbursementsHealthWelfare[],MATCH($A$3,CountyDisbursementsHealthWelfare[County]),MATCH(T44,CountyDisbursementsHealthWelfare[#Headers]))/INDEX(CountyAllYearsPopulation[],1,MATCH(T44,Population[#Headers])))/(INDEX(MCINormalized[],1,MATCH(T44,MCINormalized[#Headers]))/100)</f>
        <v>10.266536007418447</v>
      </c>
      <c r="U51" s="165">
        <f>(INDEX(CountyDisbursementsHealthWelfare[],MATCH($A$3,CountyDisbursementsHealthWelfare[County]),MATCH(U44,CountyDisbursementsHealthWelfare[#Headers]))/INDEX(CountyAllYearsPopulation[],1,MATCH(U44,Population[#Headers])))/(INDEX(MCINormalized[],1,MATCH(U44,MCINormalized[#Headers]))/100)</f>
        <v>9.5939548158057271</v>
      </c>
      <c r="V51" s="165">
        <f>(INDEX(CountyDisbursementsHealthWelfare[],MATCH($A$3,CountyDisbursementsHealthWelfare[County]),MATCH(V44,CountyDisbursementsHealthWelfare[#Headers]))/INDEX(CountyAllYearsPopulation[],1,MATCH(V44,Population[#Headers])))/(INDEX(MCINormalized[],1,MATCH(V44,MCINormalized[#Headers]))/100)</f>
        <v>8.5105469745755133</v>
      </c>
      <c r="W51" s="165">
        <f>(INDEX(CountyDisbursementsHealthWelfare[],MATCH($A$3,CountyDisbursementsHealthWelfare[County]),MATCH(W44,CountyDisbursementsHealthWelfare[#Headers]))/INDEX(CountyAllYearsPopulation[],1,MATCH(W44,Population[#Headers])))/(INDEX(MCINormalized[],1,MATCH(W44,MCINormalized[#Headers]))/100)</f>
        <v>10.35553757903657</v>
      </c>
      <c r="X51" s="165"/>
    </row>
    <row r="52" spans="1:24" s="153" customFormat="1" ht="16">
      <c r="A52" s="165" t="s">
        <v>132</v>
      </c>
      <c r="B52" s="165">
        <f>(INDEX(CountyDisbursementsOperatingTransfers[],MATCH($A$3,CountyDisbursementsOperatingTransfers[County]),MATCH(B44,CountyDisbursementsOperatingTransfers[#Headers],0))/INDEX(CountyAllYearsPopulation[],1,MATCH(B44,Population[#Headers],0)))/(INDEX(MCINormalized[],1,MATCH(B44,MCINormalized[#Headers],0))/100)</f>
        <v>3.4895084997789656</v>
      </c>
      <c r="C52" s="165">
        <f>(INDEX(CountyDisbursementsOperatingTransfers[],MATCH($A$3,CountyDisbursementsOperatingTransfers[County]),MATCH(C44,CountyDisbursementsOperatingTransfers[#Headers]))/INDEX(CountyAllYearsPopulation[],1,MATCH(C44,Population[#Headers])))/(INDEX(MCINormalized[],1,MATCH(C44,MCINormalized[#Headers]))/100)</f>
        <v>0</v>
      </c>
      <c r="D52" s="165">
        <f>(INDEX(CountyDisbursementsOperatingTransfers[],MATCH($A$3,CountyDisbursementsOperatingTransfers[County]),MATCH(D44,CountyDisbursementsOperatingTransfers[#Headers]))/INDEX(CountyAllYearsPopulation[],1,MATCH(D44,Population[#Headers])))/(INDEX(MCINormalized[],1,MATCH(D44,MCINormalized[#Headers]))/100)</f>
        <v>3.467790758492542</v>
      </c>
      <c r="E52" s="165">
        <f>(INDEX(CountyDisbursementsOperatingTransfers[],MATCH($A$3,CountyDisbursementsOperatingTransfers[County]),MATCH(E44,CountyDisbursementsOperatingTransfers[#Headers]))/INDEX(CountyAllYearsPopulation[],1,MATCH(E44,Population[#Headers])))/(INDEX(MCINormalized[],1,MATCH(E44,MCINormalized[#Headers]))/100)</f>
        <v>1.4621951410452587</v>
      </c>
      <c r="F52" s="165">
        <f>(INDEX(CountyDisbursementsOperatingTransfers[],MATCH($A$3,CountyDisbursementsOperatingTransfers[County]),MATCH(F44,CountyDisbursementsOperatingTransfers[#Headers]))/INDEX(CountyAllYearsPopulation[],1,MATCH(F44,Population[#Headers])))/(INDEX(MCINormalized[],1,MATCH(F44,MCINormalized[#Headers]))/100)</f>
        <v>0</v>
      </c>
      <c r="G52" s="165">
        <f>(INDEX(CountyDisbursementsOperatingTransfers[],MATCH($A$3,CountyDisbursementsOperatingTransfers[County]),MATCH(G44,CountyDisbursementsOperatingTransfers[#Headers]))/INDEX(CountyAllYearsPopulation[],1,MATCH(G44,Population[#Headers])))/(INDEX(MCINormalized[],1,MATCH(G44,MCINormalized[#Headers]))/100)</f>
        <v>2.5126765053447788</v>
      </c>
      <c r="H52" s="165">
        <f>(INDEX(CountyDisbursementsOperatingTransfers[],MATCH($A$3,CountyDisbursementsOperatingTransfers[County]),MATCH(H44,CountyDisbursementsOperatingTransfers[#Headers]))/INDEX(CountyAllYearsPopulation[],1,MATCH(H44,Population[#Headers])))/(INDEX(MCINormalized[],1,MATCH(H44,MCINormalized[#Headers]))/100)</f>
        <v>14.23648462507111</v>
      </c>
      <c r="I52" s="165">
        <f>(INDEX(CountyDisbursementsOperatingTransfers[],MATCH($A$3,CountyDisbursementsOperatingTransfers[County]),MATCH(I44,CountyDisbursementsOperatingTransfers[#Headers]))/INDEX(CountyAllYearsPopulation[],1,MATCH(I44,Population[#Headers])))/(INDEX(MCINormalized[],1,MATCH(I44,MCINormalized[#Headers]))/100)</f>
        <v>13.902638061367279</v>
      </c>
      <c r="J52" s="165">
        <f>(INDEX(CountyDisbursementsOperatingTransfers[],MATCH($A$3,CountyDisbursementsOperatingTransfers[County]),MATCH(J44,CountyDisbursementsOperatingTransfers[#Headers]))/INDEX(CountyAllYearsPopulation[],1,MATCH(J44,Population[#Headers])))/(INDEX(MCINormalized[],1,MATCH(J44,MCINormalized[#Headers]))/100)</f>
        <v>19.701271357834262</v>
      </c>
      <c r="K52" s="165">
        <f>(INDEX(CountyDisbursementsOperatingTransfers[],MATCH($A$3,CountyDisbursementsOperatingTransfers[County]),MATCH(K44,CountyDisbursementsOperatingTransfers[#Headers]))/INDEX(CountyAllYearsPopulation[],1,MATCH(K44,Population[#Headers])))/(INDEX(MCINormalized[],1,MATCH(K44,MCINormalized[#Headers]))/100)</f>
        <v>13.250669090404006</v>
      </c>
      <c r="L52" s="165">
        <f>(INDEX(CountyDisbursementsOperatingTransfers[],MATCH($A$3,CountyDisbursementsOperatingTransfers[County]),MATCH(L44,CountyDisbursementsOperatingTransfers[#Headers]))/INDEX(CountyAllYearsPopulation[],1,MATCH(L44,Population[#Headers])))/(INDEX(MCINormalized[],1,MATCH(L44,MCINormalized[#Headers]))/100)</f>
        <v>5.7203441714891241</v>
      </c>
      <c r="M52" s="165">
        <f>(INDEX(CountyDisbursementsOperatingTransfers[],MATCH($A$3,CountyDisbursementsOperatingTransfers[County]),MATCH(M44,CountyDisbursementsOperatingTransfers[#Headers]))/INDEX(CountyAllYearsPopulation[],1,MATCH(M44,Population[#Headers])))/(INDEX(MCINormalized[],1,MATCH(M44,MCINormalized[#Headers]))/100)</f>
        <v>4.8098591894322675</v>
      </c>
      <c r="N52" s="165">
        <f>(INDEX(CountyDisbursementsOperatingTransfers[],MATCH($A$3,CountyDisbursementsOperatingTransfers[County]),MATCH(N44,CountyDisbursementsOperatingTransfers[#Headers]))/INDEX(CountyAllYearsPopulation[],1,MATCH(N44,Population[#Headers])))/(INDEX(MCINormalized[],1,MATCH(N44,MCINormalized[#Headers]))/100)</f>
        <v>9.2030212064814325</v>
      </c>
      <c r="O52" s="165">
        <f>(INDEX(CountyDisbursementsOperatingTransfers[],MATCH($A$3,CountyDisbursementsOperatingTransfers[County]),MATCH(O44,CountyDisbursementsOperatingTransfers[#Headers]))/INDEX(CountyAllYearsPopulation[],1,MATCH(O44,Population[#Headers])))/(INDEX(MCINormalized[],1,MATCH(O44,MCINormalized[#Headers]))/100)</f>
        <v>4.6674321779532519</v>
      </c>
      <c r="P52" s="165">
        <f>(INDEX(CountyDisbursementsOperatingTransfers[],MATCH($A$3,CountyDisbursementsOperatingTransfers[County]),MATCH(P44,CountyDisbursementsOperatingTransfers[#Headers]))/INDEX(CountyAllYearsPopulation[],1,MATCH(P44,Population[#Headers])))/(INDEX(MCINormalized[],1,MATCH(P44,MCINormalized[#Headers]))/100)</f>
        <v>2.9536725345023842</v>
      </c>
      <c r="Q52" s="165">
        <f>(INDEX(CountyDisbursementsOperatingTransfers[],MATCH($A$3,CountyDisbursementsOperatingTransfers[County]),MATCH(Q44,CountyDisbursementsOperatingTransfers[#Headers]))/INDEX(CountyAllYearsPopulation[],1,MATCH(Q44,Population[#Headers])))/(INDEX(MCINormalized[],1,MATCH(Q44,MCINormalized[#Headers]))/100)</f>
        <v>4.6627358907602865</v>
      </c>
      <c r="R52" s="165">
        <f>(INDEX(CountyDisbursementsOperatingTransfers[],MATCH($A$3,CountyDisbursementsOperatingTransfers[County]),MATCH(R44,CountyDisbursementsOperatingTransfers[#Headers]))/INDEX(CountyAllYearsPopulation[],1,MATCH(R44,Population[#Headers])))/(INDEX(MCINormalized[],1,MATCH(R44,MCINormalized[#Headers]))/100)</f>
        <v>4.5680329765405716</v>
      </c>
      <c r="S52" s="165">
        <f>(INDEX(CountyDisbursementsOperatingTransfers[],MATCH($A$3,CountyDisbursementsOperatingTransfers[County]),MATCH(S44,CountyDisbursementsOperatingTransfers[#Headers]))/INDEX(CountyAllYearsPopulation[],1,MATCH(S44,Population[#Headers])))/(INDEX(MCINormalized[],1,MATCH(S44,MCINormalized[#Headers]))/100)</f>
        <v>5.3612968703939528</v>
      </c>
      <c r="T52" s="165">
        <f>(INDEX(CountyDisbursementsOperatingTransfers[],MATCH($A$3,CountyDisbursementsOperatingTransfers[County]),MATCH(T44,CountyDisbursementsOperatingTransfers[#Headers]))/INDEX(CountyAllYearsPopulation[],1,MATCH(T44,Population[#Headers])))/(INDEX(MCINormalized[],1,MATCH(T44,MCINormalized[#Headers]))/100)</f>
        <v>5.4443456570323532</v>
      </c>
      <c r="U52" s="165">
        <f>(INDEX(CountyDisbursementsOperatingTransfers[],MATCH($A$3,CountyDisbursementsOperatingTransfers[County]),MATCH(U44,CountyDisbursementsOperatingTransfers[#Headers]))/INDEX(CountyAllYearsPopulation[],1,MATCH(U44,Population[#Headers])))/(INDEX(MCINormalized[],1,MATCH(U44,MCINormalized[#Headers]))/100)</f>
        <v>2.2699754403691341</v>
      </c>
      <c r="V52" s="165">
        <f>(INDEX(CountyDisbursementsOperatingTransfers[],MATCH($A$3,CountyDisbursementsOperatingTransfers[County]),MATCH(V44,CountyDisbursementsOperatingTransfers[#Headers]))/INDEX(CountyAllYearsPopulation[],1,MATCH(V44,Population[#Headers])))/(INDEX(MCINormalized[],1,MATCH(V44,MCINormalized[#Headers]))/100)</f>
        <v>2.0503754604266509</v>
      </c>
      <c r="W52" s="165">
        <f>(INDEX(CountyDisbursementsOperatingTransfers[],MATCH($A$3,CountyDisbursementsOperatingTransfers[County]),MATCH(W44,CountyDisbursementsOperatingTransfers[#Headers]))/INDEX(CountyAllYearsPopulation[],1,MATCH(W44,Population[#Headers])))/(INDEX(MCINormalized[],1,MATCH(W44,MCINormalized[#Headers]))/100)</f>
        <v>0</v>
      </c>
      <c r="X52" s="165"/>
    </row>
    <row r="53" spans="1:24" ht="16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</row>
  </sheetData>
  <dataValidations count="1">
    <dataValidation type="list" allowBlank="1" showInputMessage="1" showErrorMessage="1" sqref="A3" xr:uid="{00000000-0002-0000-0500-000000000000}">
      <formula1>List</formula1>
    </dataValidation>
  </dataValidations>
  <pageMargins left="0.7" right="0.7" top="0.75" bottom="0.75" header="0.3" footer="0.3"/>
  <pageSetup orientation="portrait" verticalDpi="0" r:id="rId1"/>
  <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FFFF00"/>
  </sheetPr>
  <dimension ref="A1:DK133"/>
  <sheetViews>
    <sheetView zoomScale="90" zoomScaleNormal="90" workbookViewId="0">
      <selection activeCell="B3" sqref="B3"/>
    </sheetView>
  </sheetViews>
  <sheetFormatPr baseColWidth="10" defaultColWidth="9.1640625" defaultRowHeight="13"/>
  <cols>
    <col min="1" max="1" width="61.33203125" style="33" customWidth="1"/>
    <col min="2" max="18" width="14.5" style="33" customWidth="1"/>
    <col min="19" max="24" width="13.33203125" style="33" customWidth="1"/>
    <col min="25" max="41" width="9.1640625" style="33"/>
    <col min="42" max="42" width="17.33203125" style="33" bestFit="1" customWidth="1"/>
    <col min="43" max="16384" width="9.1640625" style="33"/>
  </cols>
  <sheetData>
    <row r="1" spans="1:111" s="37" customFormat="1" ht="36.75" customHeight="1">
      <c r="A1" s="31" t="s">
        <v>282</v>
      </c>
      <c r="B1" s="33"/>
      <c r="C1" s="33"/>
      <c r="E1" s="38" t="s">
        <v>255</v>
      </c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</row>
    <row r="2" spans="1:111" ht="30.75" customHeight="1" thickBot="1">
      <c r="A2" s="9" t="s">
        <v>144</v>
      </c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76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1" t="s">
        <v>159</v>
      </c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</row>
    <row r="3" spans="1:111" ht="30.75" customHeight="1" thickTop="1" thickBot="1">
      <c r="A3" s="230" t="s">
        <v>1</v>
      </c>
      <c r="E3" s="24" t="s">
        <v>252</v>
      </c>
      <c r="F3" s="24"/>
      <c r="G3" s="149"/>
      <c r="H3" s="149"/>
      <c r="I3" s="150"/>
      <c r="J3" s="150"/>
      <c r="K3" s="72"/>
      <c r="L3" s="72"/>
      <c r="M3" s="72"/>
      <c r="N3" s="72"/>
      <c r="O3" s="72"/>
      <c r="P3" s="72"/>
      <c r="Q3" s="72"/>
      <c r="R3" s="72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</row>
    <row r="4" spans="1:111" ht="30.75" customHeight="1" thickTop="1" thickBot="1">
      <c r="A4" s="9" t="s">
        <v>145</v>
      </c>
      <c r="E4" s="14"/>
      <c r="F4" s="14"/>
      <c r="G4" s="14"/>
      <c r="H4" s="14"/>
      <c r="I4" s="72"/>
      <c r="J4" s="72"/>
      <c r="K4" s="72"/>
      <c r="L4" s="72"/>
      <c r="M4" s="72"/>
      <c r="N4" s="72"/>
      <c r="O4" s="72"/>
      <c r="P4" s="72"/>
      <c r="Q4" s="72"/>
      <c r="R4" s="72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136" t="s">
        <v>490</v>
      </c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</row>
    <row r="5" spans="1:111" ht="30.75" customHeight="1" thickTop="1" thickBot="1">
      <c r="A5" s="230" t="s">
        <v>2</v>
      </c>
      <c r="E5" s="830" t="s">
        <v>321</v>
      </c>
      <c r="F5" s="831"/>
      <c r="G5" s="831"/>
      <c r="H5" s="831"/>
      <c r="I5" s="831"/>
      <c r="J5" s="835"/>
      <c r="K5" s="14"/>
      <c r="Y5" s="81" t="s">
        <v>165</v>
      </c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136" t="s">
        <v>491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</row>
    <row r="6" spans="1:111" ht="19.5" customHeight="1" thickTop="1">
      <c r="E6" s="830" t="s">
        <v>534</v>
      </c>
      <c r="F6" s="832"/>
      <c r="G6" s="832"/>
      <c r="H6" s="832"/>
      <c r="I6" s="832"/>
      <c r="J6" s="837"/>
      <c r="K6" s="18"/>
      <c r="Y6" s="81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2"/>
      <c r="BU6" s="542" t="s">
        <v>492</v>
      </c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</row>
    <row r="7" spans="1:111" ht="21.75" customHeight="1">
      <c r="E7" s="830" t="s">
        <v>538</v>
      </c>
      <c r="F7" s="833"/>
      <c r="G7" s="833"/>
      <c r="H7" s="833"/>
      <c r="I7" s="833"/>
      <c r="J7" s="838"/>
      <c r="K7" s="207"/>
      <c r="Y7" s="81" t="s">
        <v>176</v>
      </c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</row>
    <row r="8" spans="1:111" ht="14.25" customHeight="1">
      <c r="A8" s="115"/>
      <c r="E8" s="160"/>
      <c r="F8" s="409"/>
      <c r="G8" s="409"/>
      <c r="H8" s="409"/>
      <c r="I8" s="409"/>
      <c r="J8" s="207"/>
      <c r="K8" s="207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144" t="s">
        <v>160</v>
      </c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</row>
    <row r="9" spans="1:111" ht="18.75" customHeight="1">
      <c r="K9" s="37"/>
      <c r="Y9" s="136" t="s">
        <v>299</v>
      </c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144" t="s">
        <v>260</v>
      </c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143" t="s">
        <v>262</v>
      </c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</row>
    <row r="10" spans="1:111" ht="14.25" customHeight="1">
      <c r="A10" s="154" t="str">
        <f>CONCATENATE($A$3," County 2017 General Revenue Receipts")</f>
        <v>Adair County 2017 General Revenue Receipts</v>
      </c>
      <c r="B10" s="155"/>
      <c r="C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</row>
    <row r="11" spans="1:111" ht="14.25" customHeight="1">
      <c r="A11" s="154" t="s">
        <v>434</v>
      </c>
      <c r="B11" s="302" t="s">
        <v>525</v>
      </c>
      <c r="C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</row>
    <row r="12" spans="1:111" ht="14.25" customHeight="1">
      <c r="A12" s="155" t="s">
        <v>138</v>
      </c>
      <c r="B12" s="229">
        <f>INDEX(GeneralRevenueFundReceiptsPropertyTaxesTable[],MATCH($A$3,GeneralRevenueFundReceiptsPropertyTaxesTable[County]),MATCH(B11,GeneralRevenueFundReceiptsPropertyTaxesTable[#Headers]))</f>
        <v>0</v>
      </c>
      <c r="C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</row>
    <row r="13" spans="1:111" ht="14.25" customHeight="1">
      <c r="A13" s="155" t="s">
        <v>99</v>
      </c>
      <c r="B13" s="229">
        <f>INDEX(GeneralRevenueFundReceiptsSalesTaxesTable[],MATCH($A$3,GeneralRevenueFundReceiptsSalesTaxesTable[County]),MATCH(B11,GeneralRevenueFundReceiptsSalesTaxesTable[#Headers]))</f>
        <v>1600000</v>
      </c>
      <c r="C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</row>
    <row r="14" spans="1:111" ht="14.25" customHeight="1">
      <c r="A14" s="155" t="s">
        <v>100</v>
      </c>
      <c r="B14" s="229">
        <f>INDEX(GeneralRevenueFundReceiptsIntergovernmentalTable[],MATCH($A$3,GeneralRevenueFundReceiptsIntergovernmentalTable[County]),MATCH(B11,GeneralRevenueFundReceiptsIntergovernmentalTable[#Headers]))</f>
        <v>123733.45999999999</v>
      </c>
      <c r="C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</row>
    <row r="15" spans="1:111" ht="14.25" customHeight="1">
      <c r="A15" s="155" t="s">
        <v>104</v>
      </c>
      <c r="B15" s="229">
        <f>INDEX(GeneralRevenueFundReceiptsChargesforServicesTable[],MATCH($A$3,GeneralRevenueFundReceiptsChargesforServicesTable[County]),MATCH(B11,GeneralRevenueFundReceiptsChargesforServicesTable[#Headers]))</f>
        <v>378320</v>
      </c>
      <c r="C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</row>
    <row r="16" spans="1:111" ht="14.25" customHeight="1">
      <c r="A16" s="155" t="s">
        <v>101</v>
      </c>
      <c r="B16" s="229">
        <f>INDEX(GeneralRevenueFundReceiptsInterestTable[],MATCH($A$3,GeneralRevenueFundReceiptsInterestTable[County]),MATCH(B11,GeneralRevenueFundReceiptsInterestTable[#Headers]))</f>
        <v>6000</v>
      </c>
      <c r="C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</row>
    <row r="17" spans="1:111" ht="14.25" customHeight="1">
      <c r="A17" s="155" t="s">
        <v>102</v>
      </c>
      <c r="B17" s="229">
        <f>INDEX(GeneralRevenueFundReceiptsOtherTable[],MATCH($A$3,GeneralRevenueFundReceiptsOtherTable[County]),MATCH(B11,GeneralRevenueFundReceiptsOtherTable[#Headers]))</f>
        <v>113907</v>
      </c>
      <c r="C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</row>
    <row r="18" spans="1:111" ht="14.25" customHeight="1">
      <c r="A18" s="155"/>
      <c r="B18" s="229"/>
      <c r="C18" s="170"/>
      <c r="D18" s="291"/>
      <c r="E18" s="292"/>
      <c r="F18" s="292"/>
      <c r="G18" s="292"/>
      <c r="H18" s="310"/>
      <c r="I18" s="229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</row>
    <row r="19" spans="1:111" ht="14.25" customHeight="1">
      <c r="A19" s="154" t="str">
        <f>CONCATENATE($A$5," County 2017 General Revenue Receipts")</f>
        <v>Andrew County 2017 General Revenue Receipts</v>
      </c>
      <c r="B19" s="170"/>
      <c r="C19" s="155"/>
      <c r="D19" s="229"/>
      <c r="E19" s="170"/>
      <c r="F19" s="291"/>
      <c r="G19" s="292"/>
      <c r="H19" s="292"/>
      <c r="I19" s="292"/>
      <c r="J19" s="310"/>
      <c r="K19" s="229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543"/>
      <c r="Z19" s="543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</row>
    <row r="20" spans="1:111" ht="14.25" customHeight="1">
      <c r="A20" s="154" t="s">
        <v>434</v>
      </c>
      <c r="B20" s="302" t="s">
        <v>525</v>
      </c>
      <c r="C20" s="155"/>
      <c r="D20" s="229"/>
      <c r="E20" s="170"/>
      <c r="F20" s="291"/>
      <c r="G20" s="292"/>
      <c r="H20" s="292"/>
      <c r="I20" s="292"/>
      <c r="J20" s="310"/>
      <c r="K20" s="229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543"/>
      <c r="Z20" s="543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</row>
    <row r="21" spans="1:111" ht="14.25" customHeight="1">
      <c r="A21" s="291" t="s">
        <v>138</v>
      </c>
      <c r="B21" s="229">
        <f>INDEX(GeneralRevenueFundReceiptsPropertyTaxesTable[],MATCH($A$5,GeneralRevenueFundReceiptsPropertyTaxesTable[County]),MATCH(B20,GeneralRevenueFundReceiptsPropertyTaxesTable[#Headers]))</f>
        <v>640000</v>
      </c>
      <c r="C21" s="155"/>
      <c r="D21" s="229"/>
      <c r="E21" s="170"/>
      <c r="F21" s="291"/>
      <c r="G21" s="292"/>
      <c r="H21" s="292"/>
      <c r="I21" s="292"/>
      <c r="J21" s="310"/>
      <c r="K21" s="229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543"/>
      <c r="Z21" s="543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</row>
    <row r="22" spans="1:111" ht="14.25" customHeight="1">
      <c r="A22" s="291" t="s">
        <v>99</v>
      </c>
      <c r="B22" s="229">
        <f>INDEX(GeneralRevenueFundReceiptsSalesTaxesTable[],MATCH($A$5,GeneralRevenueFundReceiptsSalesTaxesTable[County]),MATCH(B20,GeneralRevenueFundReceiptsSalesTaxesTable[#Headers]))</f>
        <v>550000</v>
      </c>
      <c r="C22" s="155"/>
      <c r="D22" s="229"/>
      <c r="E22" s="170"/>
      <c r="F22" s="291"/>
      <c r="G22" s="292"/>
      <c r="H22" s="292"/>
      <c r="I22" s="292"/>
      <c r="J22" s="310"/>
      <c r="K22" s="229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543"/>
      <c r="Z22" s="543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</row>
    <row r="23" spans="1:111" ht="14.25" customHeight="1">
      <c r="A23" s="291" t="s">
        <v>100</v>
      </c>
      <c r="B23" s="229">
        <f>INDEX(GeneralRevenueFundReceiptsIntergovernmentalTable[],MATCH($A$5,GeneralRevenueFundReceiptsIntergovernmentalTable[County]),MATCH(B20,GeneralRevenueFundReceiptsIntergovernmentalTable[#Headers]))</f>
        <v>176506</v>
      </c>
      <c r="C23" s="155"/>
      <c r="D23" s="229"/>
      <c r="E23" s="170"/>
      <c r="F23" s="291"/>
      <c r="G23" s="292"/>
      <c r="H23" s="292"/>
      <c r="I23" s="292"/>
      <c r="J23" s="310"/>
      <c r="K23" s="229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543"/>
      <c r="Z23" s="543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</row>
    <row r="24" spans="1:111" ht="14.25" customHeight="1">
      <c r="A24" s="291" t="s">
        <v>104</v>
      </c>
      <c r="B24" s="229">
        <f>INDEX(GeneralRevenueFundReceiptsChargesforServicesTable[],MATCH($A$5,GeneralRevenueFundReceiptsChargesforServicesTable[County]),MATCH(B20,GeneralRevenueFundReceiptsChargesforServicesTable[#Headers]))</f>
        <v>466585</v>
      </c>
      <c r="C24" s="155"/>
      <c r="D24" s="229"/>
      <c r="E24" s="170"/>
      <c r="F24" s="291"/>
      <c r="G24" s="292"/>
      <c r="H24" s="292"/>
      <c r="I24" s="292"/>
      <c r="J24" s="310"/>
      <c r="K24" s="229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543"/>
      <c r="Z24" s="543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</row>
    <row r="25" spans="1:111" ht="14.25" customHeight="1">
      <c r="A25" s="291" t="s">
        <v>101</v>
      </c>
      <c r="B25" s="229">
        <f>INDEX(GeneralRevenueFundReceiptsInterestTable[],MATCH($A$5,GeneralRevenueFundReceiptsInterestTable[County]),MATCH(B20,GeneralRevenueFundReceiptsInterestTable[#Headers]))</f>
        <v>700</v>
      </c>
      <c r="C25" s="155"/>
      <c r="D25" s="229"/>
      <c r="E25" s="170"/>
      <c r="F25" s="291"/>
      <c r="G25" s="292"/>
      <c r="H25" s="292"/>
      <c r="I25" s="292"/>
      <c r="J25" s="310"/>
      <c r="K25" s="229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543"/>
      <c r="Z25" s="543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</row>
    <row r="26" spans="1:111" ht="14.25" customHeight="1">
      <c r="A26" s="291" t="s">
        <v>102</v>
      </c>
      <c r="B26" s="229">
        <f>INDEX(GeneralRevenueFundReceiptsOtherTable[],MATCH($A$5,GeneralRevenueFundReceiptsOtherTable[County]),MATCH(B20,GeneralRevenueFundReceiptsOtherTable[#Headers]))</f>
        <v>530125</v>
      </c>
      <c r="C26" s="155"/>
      <c r="D26" s="171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543"/>
      <c r="Z26" s="543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</row>
    <row r="27" spans="1:111" ht="14.25" customHeight="1">
      <c r="A27" s="291"/>
      <c r="B27" s="229"/>
      <c r="C27" s="155"/>
      <c r="D27" s="171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543"/>
      <c r="Z27" s="543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</row>
    <row r="28" spans="1:111" ht="14.25" customHeight="1">
      <c r="A28" s="154" t="str">
        <f>CONCATENATE($A$3," County 2017 General Revenue Expenditures")</f>
        <v>Adair County 2017 General Revenue Expenditures</v>
      </c>
      <c r="B28" s="162"/>
      <c r="C28" s="170"/>
      <c r="E28" s="170"/>
      <c r="F28" s="170"/>
      <c r="G28" s="162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</row>
    <row r="29" spans="1:111" ht="14.25" customHeight="1">
      <c r="A29" s="306" t="s">
        <v>434</v>
      </c>
      <c r="B29" s="309" t="s">
        <v>525</v>
      </c>
      <c r="C29" s="172"/>
      <c r="E29" s="172"/>
      <c r="F29" s="172"/>
      <c r="G29" s="172"/>
      <c r="H29" s="172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</row>
    <row r="30" spans="1:111" ht="14.25" customHeight="1">
      <c r="A30" s="173" t="s">
        <v>133</v>
      </c>
      <c r="B30" s="229">
        <f>INDEX(CountyDisbursementsCentralGovt[],MATCH($A$3,CountyDisbursementsCentralGovt[County]),MATCH(B29,CountyDisbursementsCentralGovt[#Headers]))</f>
        <v>904508.04</v>
      </c>
      <c r="C30" s="173"/>
      <c r="E30" s="292"/>
      <c r="F30" s="292"/>
      <c r="G30" s="292"/>
      <c r="H30" s="31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</row>
    <row r="31" spans="1:111" ht="14.25" customHeight="1">
      <c r="A31" s="173" t="s">
        <v>135</v>
      </c>
      <c r="B31" s="229">
        <f>INDEX(CountyDisbursementsLawEnforcement[],MATCH($A$3,CountyDisbursementsLawEnforcement[County]),MATCH(B29,CountyDisbursementsLawEnforcement[#Headers]))</f>
        <v>0</v>
      </c>
      <c r="C31" s="173"/>
      <c r="E31" s="292"/>
      <c r="F31" s="292"/>
      <c r="G31" s="292"/>
      <c r="H31" s="31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</row>
    <row r="32" spans="1:111" ht="14.25" customHeight="1">
      <c r="A32" s="173" t="s">
        <v>134</v>
      </c>
      <c r="B32" s="229">
        <f>INDEX(CountyDisbursementsCourt[],MATCH($A$3,CountyDisbursementsCourt[County]),MATCH(B29,CountyDisbursementsCourt[#Headers]))</f>
        <v>339362.83999999997</v>
      </c>
      <c r="C32" s="173"/>
      <c r="E32" s="292"/>
      <c r="F32" s="292"/>
      <c r="G32" s="292"/>
      <c r="H32" s="31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</row>
    <row r="33" spans="1:111" ht="14.25" customHeight="1">
      <c r="A33" s="173" t="s">
        <v>118</v>
      </c>
      <c r="B33" s="229">
        <f>INDEX(CountyDisbursementsFringeBenefits[],MATCH($A$3,CountyDisbursementsFringeBenefits[County]),MATCH(B29,CountyDisbursementsFringeBenefits[#Headers]))</f>
        <v>525799</v>
      </c>
      <c r="C33" s="173"/>
      <c r="E33" s="292"/>
      <c r="F33" s="292"/>
      <c r="G33" s="292"/>
      <c r="H33" s="31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</row>
    <row r="34" spans="1:111" ht="14.25" customHeight="1">
      <c r="A34" s="173" t="s">
        <v>128</v>
      </c>
      <c r="B34" s="229">
        <f>INDEX(CountyDisbursementsProsecutingAttorney[],MATCH($A$3,CountyDisbursementsProsecutingAttorney[County]),MATCH(B29,CountyDisbursementsProsecutingAttorney[#Headers]))</f>
        <v>341056</v>
      </c>
      <c r="C34" s="173"/>
      <c r="E34" s="292"/>
      <c r="F34" s="292"/>
      <c r="G34" s="292"/>
      <c r="H34" s="31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</row>
    <row r="35" spans="1:111" ht="14.25" customHeight="1">
      <c r="A35" s="173" t="s">
        <v>257</v>
      </c>
      <c r="B35" s="229">
        <f>INDEX(CountyDisbursementsPublicAdministrator[],MATCH($A$3,CountyDisbursementsPublicAdministrator[County]),MATCH(B29,CountyDisbursementsPublicAdministrator[#Headers]))</f>
        <v>168441.91999999998</v>
      </c>
      <c r="C35" s="173"/>
      <c r="E35" s="292"/>
      <c r="F35" s="292"/>
      <c r="G35" s="292"/>
      <c r="H35" s="31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</row>
    <row r="36" spans="1:111" ht="14.25" customHeight="1">
      <c r="A36" s="174" t="s">
        <v>256</v>
      </c>
      <c r="B36" s="229">
        <f>INDEX(CountyDisbursementsHealthWelfare[],MATCH($A$3,CountyDisbursementsHealthWelfare[County]),MATCH(B29,CountyDisbursementsHealthWelfare[#Headers]))</f>
        <v>443006.1</v>
      </c>
      <c r="C36" s="173"/>
      <c r="E36" s="293"/>
      <c r="F36" s="293"/>
      <c r="G36" s="293"/>
      <c r="H36" s="293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</row>
    <row r="37" spans="1:111" ht="14.25" customHeight="1">
      <c r="A37" s="173" t="s">
        <v>132</v>
      </c>
      <c r="B37" s="229">
        <f>INDEX(CountyDisbursementsOperatingTransfers[],MATCH($A$3,CountyDisbursementsOperatingTransfers[County]),MATCH(B29,CountyDisbursementsOperatingTransfers[#Headers]))</f>
        <v>0</v>
      </c>
      <c r="C37" s="173"/>
      <c r="E37" s="292"/>
      <c r="F37" s="292"/>
      <c r="G37" s="292"/>
      <c r="H37" s="31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</row>
    <row r="38" spans="1:111" ht="14.25" customHeight="1">
      <c r="A38" s="292"/>
      <c r="B38" s="229"/>
      <c r="C38" s="292"/>
      <c r="D38" s="292"/>
      <c r="E38" s="292"/>
      <c r="F38" s="292"/>
      <c r="G38" s="292"/>
      <c r="H38" s="310"/>
      <c r="I38" s="229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</row>
    <row r="39" spans="1:111" ht="14.25" customHeight="1">
      <c r="A39" s="154" t="str">
        <f>CONCATENATE($A$5," County 2017 General Revenue Expenditures")</f>
        <v>Andrew County 2017 General Revenue Expenditures</v>
      </c>
      <c r="B39" s="229"/>
      <c r="C39" s="292"/>
      <c r="D39" s="292"/>
      <c r="E39" s="292"/>
      <c r="F39" s="292"/>
      <c r="G39" s="292"/>
      <c r="H39" s="310"/>
      <c r="I39" s="229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</row>
    <row r="40" spans="1:111" ht="14.25" customHeight="1" thickBot="1">
      <c r="A40" s="428" t="s">
        <v>434</v>
      </c>
      <c r="B40" s="429" t="s">
        <v>525</v>
      </c>
      <c r="C40" s="229"/>
      <c r="D40" s="292"/>
      <c r="E40" s="292"/>
      <c r="F40" s="292"/>
      <c r="G40" s="292"/>
      <c r="H40" s="292"/>
      <c r="I40" s="310"/>
      <c r="J40" s="229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543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</row>
    <row r="41" spans="1:111" ht="14.25" customHeight="1" thickTop="1">
      <c r="A41" s="430" t="s">
        <v>133</v>
      </c>
      <c r="B41" s="431">
        <f>INDEX(CountyDisbursementsCentralGovt[],MATCH($A$5,CountyDisbursementsCentralGovt[County]),MATCH(B40,CountyDisbursementsCentralGovt[#Headers]))</f>
        <v>544572</v>
      </c>
      <c r="C41" s="229"/>
      <c r="D41" s="292"/>
      <c r="E41" s="292"/>
      <c r="F41" s="292"/>
      <c r="G41" s="292"/>
      <c r="H41" s="292"/>
      <c r="I41" s="310"/>
      <c r="J41" s="229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543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</row>
    <row r="42" spans="1:111" ht="14.25" customHeight="1">
      <c r="A42" s="432" t="s">
        <v>135</v>
      </c>
      <c r="B42" s="427">
        <f>INDEX(CountyDisbursementsLawEnforcement[],MATCH($A$5,CountyDisbursementsLawEnforcement[County]),MATCH(B40,CountyDisbursementsLawEnforcement[#Headers]))</f>
        <v>0</v>
      </c>
      <c r="C42" s="229"/>
      <c r="D42" s="292"/>
      <c r="E42" s="292"/>
      <c r="F42" s="292"/>
      <c r="G42" s="292"/>
      <c r="H42" s="292"/>
      <c r="I42" s="310"/>
      <c r="J42" s="229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543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</row>
    <row r="43" spans="1:111" ht="14.25" customHeight="1">
      <c r="A43" s="433" t="s">
        <v>134</v>
      </c>
      <c r="B43" s="434">
        <f>INDEX(CountyDisbursementsCourt[],MATCH($A$5,CountyDisbursementsCourt[County]),MATCH(B40,CountyDisbursementsCourt[#Headers]))</f>
        <v>169881</v>
      </c>
      <c r="C43" s="229"/>
      <c r="D43" s="292"/>
      <c r="E43" s="292"/>
      <c r="F43" s="292"/>
      <c r="G43" s="292"/>
      <c r="H43" s="292"/>
      <c r="I43" s="310"/>
      <c r="J43" s="229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543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</row>
    <row r="44" spans="1:111" ht="14.25" customHeight="1">
      <c r="A44" s="432" t="s">
        <v>118</v>
      </c>
      <c r="B44" s="427">
        <f>INDEX(CountyDisbursementsFringeBenefits[],MATCH($A$5,CountyDisbursementsFringeBenefits[County]),MATCH(B40,CountyDisbursementsFringeBenefits[#Headers]))</f>
        <v>244102.57</v>
      </c>
      <c r="C44" s="229"/>
      <c r="D44" s="292"/>
      <c r="E44" s="292"/>
      <c r="F44" s="292"/>
      <c r="G44" s="292"/>
      <c r="H44" s="292"/>
      <c r="I44" s="310"/>
      <c r="J44" s="229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543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</row>
    <row r="45" spans="1:111" ht="14.25" customHeight="1">
      <c r="A45" s="433" t="s">
        <v>128</v>
      </c>
      <c r="B45" s="434">
        <f>INDEX(CountyDisbursementsProsecutingAttorney[],MATCH($A$5,CountyDisbursementsProsecutingAttorney[County]),MATCH(B40,CountyDisbursementsProsecutingAttorney[#Headers]))</f>
        <v>153200</v>
      </c>
      <c r="C45" s="229"/>
      <c r="D45" s="292"/>
      <c r="E45" s="292"/>
      <c r="F45" s="292"/>
      <c r="G45" s="292"/>
      <c r="H45" s="292"/>
      <c r="I45" s="310"/>
      <c r="J45" s="229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543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</row>
    <row r="46" spans="1:111" ht="14.25" customHeight="1">
      <c r="A46" s="432" t="s">
        <v>257</v>
      </c>
      <c r="B46" s="427">
        <f>INDEX(CountyDisbursementsPublicAdministrator[],MATCH($A$5,CountyDisbursementsPublicAdministrator[County]),MATCH(B40,CountyDisbursementsPublicAdministrator[#Headers]))</f>
        <v>57380</v>
      </c>
      <c r="C46" s="229"/>
      <c r="D46" s="292"/>
      <c r="E46" s="292"/>
      <c r="F46" s="292"/>
      <c r="G46" s="292"/>
      <c r="H46" s="292"/>
      <c r="I46" s="310"/>
      <c r="J46" s="229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543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</row>
    <row r="47" spans="1:111" ht="14.25" customHeight="1">
      <c r="A47" s="433" t="s">
        <v>256</v>
      </c>
      <c r="B47" s="434">
        <f>INDEX(CountyDisbursementsHealthWelfare[],MATCH($A$5,CountyDisbursementsHealthWelfare[County]),MATCH(B40,CountyDisbursementsHealthWelfare[#Headers]))</f>
        <v>748708</v>
      </c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543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</row>
    <row r="48" spans="1:111" ht="14.25" customHeight="1">
      <c r="A48" s="432" t="s">
        <v>132</v>
      </c>
      <c r="B48" s="427">
        <f>INDEX(CountyDisbursementsOperatingTransfers[],MATCH($A$5,CountyDisbursementsOperatingTransfers[County]),MATCH(B40,CountyDisbursementsOperatingTransfers[#Headers]))</f>
        <v>1012020</v>
      </c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543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</row>
    <row r="49" spans="1:115" ht="14.25" customHeight="1" thickBot="1">
      <c r="A49" s="437"/>
      <c r="B49" s="43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543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</row>
    <row r="50" spans="1:115" ht="14.25" customHeight="1" thickTop="1">
      <c r="A50" s="435" t="str">
        <f>CONCATENATE($A$3," and ",$A$5," County General Revenue Receipts and Expenditures ")</f>
        <v xml:space="preserve">Adair and Andrew County General Revenue Receipts and Expenditures </v>
      </c>
      <c r="B50" s="436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543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</row>
    <row r="51" spans="1:115" ht="14.25" customHeight="1">
      <c r="A51" s="311" t="s">
        <v>435</v>
      </c>
      <c r="B51" s="302" t="s">
        <v>409</v>
      </c>
      <c r="C51" s="302" t="s">
        <v>410</v>
      </c>
      <c r="D51" s="302" t="s">
        <v>411</v>
      </c>
      <c r="E51" s="302" t="s">
        <v>412</v>
      </c>
      <c r="F51" s="302" t="s">
        <v>413</v>
      </c>
      <c r="G51" s="302" t="s">
        <v>414</v>
      </c>
      <c r="H51" s="302" t="s">
        <v>415</v>
      </c>
      <c r="I51" s="302" t="s">
        <v>416</v>
      </c>
      <c r="J51" s="302" t="s">
        <v>417</v>
      </c>
      <c r="K51" s="302" t="s">
        <v>418</v>
      </c>
      <c r="L51" s="302" t="s">
        <v>419</v>
      </c>
      <c r="M51" s="302" t="s">
        <v>420</v>
      </c>
      <c r="N51" s="302" t="s">
        <v>421</v>
      </c>
      <c r="O51" s="302" t="s">
        <v>422</v>
      </c>
      <c r="P51" s="302" t="s">
        <v>423</v>
      </c>
      <c r="Q51" s="302" t="s">
        <v>355</v>
      </c>
      <c r="R51" s="302" t="s">
        <v>399</v>
      </c>
      <c r="S51" s="302" t="s">
        <v>424</v>
      </c>
      <c r="T51" s="302" t="s">
        <v>446</v>
      </c>
      <c r="U51" s="302" t="s">
        <v>523</v>
      </c>
      <c r="V51" s="302" t="s">
        <v>524</v>
      </c>
      <c r="W51" s="302" t="s">
        <v>525</v>
      </c>
      <c r="X51" s="302"/>
      <c r="Y51" s="30"/>
      <c r="Z51" s="30"/>
      <c r="AA51" s="30"/>
      <c r="AB51" s="543"/>
      <c r="AC51" s="543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</row>
    <row r="52" spans="1:115" ht="14.25" customHeight="1">
      <c r="A52" s="158" t="str">
        <f>CONCATENATE($A$3," County General Revenue Receipts")</f>
        <v>Adair County General Revenue Receipts</v>
      </c>
      <c r="B52" s="229">
        <f>INDEX(GeneralRevenueFundReceiptsTotalReceiptsTable[],MATCH($A$3,GeneralRevenueFundReceiptsTotalReceiptsTable[County]),MATCH(B51,GeneralRevenueFundReceiptsTotalReceiptsTable[#Headers],0))</f>
        <v>1929274</v>
      </c>
      <c r="C52" s="229">
        <f>INDEX(GeneralRevenueFundReceiptsTotalReceiptsTable[],MATCH($A$3,GeneralRevenueFundReceiptsTotalReceiptsTable[County]),MATCH(C51,GeneralRevenueFundReceiptsTotalReceiptsTable[#Headers]))</f>
        <v>2216684</v>
      </c>
      <c r="D52" s="229">
        <f>INDEX(GeneralRevenueFundReceiptsTotalReceiptsTable[],MATCH($A$3,GeneralRevenueFundReceiptsTotalReceiptsTable[County]),MATCH(D51,GeneralRevenueFundReceiptsTotalReceiptsTable[#Headers]))</f>
        <v>1812391</v>
      </c>
      <c r="E52" s="229">
        <f>INDEX(GeneralRevenueFundReceiptsTotalReceiptsTable[],MATCH($A$3,GeneralRevenueFundReceiptsTotalReceiptsTable[County]),MATCH(E51,GeneralRevenueFundReceiptsTotalReceiptsTable[#Headers]))</f>
        <v>1879458</v>
      </c>
      <c r="F52" s="229">
        <f>INDEX(GeneralRevenueFundReceiptsTotalReceiptsTable[],MATCH($A$3,GeneralRevenueFundReceiptsTotalReceiptsTable[County]),MATCH(F51,GeneralRevenueFundReceiptsTotalReceiptsTable[#Headers]))</f>
        <v>1973731</v>
      </c>
      <c r="G52" s="229">
        <f>INDEX(GeneralRevenueFundReceiptsTotalReceiptsTable[],MATCH($A$3,GeneralRevenueFundReceiptsTotalReceiptsTable[County]),MATCH(G51,GeneralRevenueFundReceiptsTotalReceiptsTable[#Headers]))</f>
        <v>1853332</v>
      </c>
      <c r="H52" s="229">
        <f>INDEX(GeneralRevenueFundReceiptsTotalReceiptsTable[],MATCH($A$3,GeneralRevenueFundReceiptsTotalReceiptsTable[County]),MATCH(H51,GeneralRevenueFundReceiptsTotalReceiptsTable[#Headers]))</f>
        <v>2002546</v>
      </c>
      <c r="I52" s="229">
        <f>INDEX(GeneralRevenueFundReceiptsTotalReceiptsTable[],MATCH($A$3,GeneralRevenueFundReceiptsTotalReceiptsTable[County]),MATCH(I51,GeneralRevenueFundReceiptsTotalReceiptsTable[#Headers]))</f>
        <v>2552892</v>
      </c>
      <c r="J52" s="229">
        <f>INDEX(GeneralRevenueFundReceiptsTotalReceiptsTable[],MATCH($A$3,GeneralRevenueFundReceiptsTotalReceiptsTable[County]),MATCH(J51,GeneralRevenueFundReceiptsTotalReceiptsTable[#Headers]))</f>
        <v>1886382.96</v>
      </c>
      <c r="K52" s="229">
        <f>INDEX(GeneralRevenueFundReceiptsTotalReceiptsTable[],MATCH($A$3,GeneralRevenueFundReceiptsTotalReceiptsTable[County]),MATCH(K51,GeneralRevenueFundReceiptsTotalReceiptsTable[#Headers]))</f>
        <v>1944954.2</v>
      </c>
      <c r="L52" s="229">
        <f>INDEX(GeneralRevenueFundReceiptsTotalReceiptsTable[],MATCH($A$3,GeneralRevenueFundReceiptsTotalReceiptsTable[County]),MATCH(L51,GeneralRevenueFundReceiptsTotalReceiptsTable[#Headers]))</f>
        <v>2033159.08</v>
      </c>
      <c r="M52" s="229">
        <f>INDEX(GeneralRevenueFundReceiptsTotalReceiptsTable[],MATCH($A$3,GeneralRevenueFundReceiptsTotalReceiptsTable[County]),MATCH(M51,GeneralRevenueFundReceiptsTotalReceiptsTable[#Headers]))</f>
        <v>2093692.57</v>
      </c>
      <c r="N52" s="229">
        <f>INDEX(GeneralRevenueFundReceiptsTotalReceiptsTable[],MATCH($A$3,GeneralRevenueFundReceiptsTotalReceiptsTable[County]),MATCH(N51,GeneralRevenueFundReceiptsTotalReceiptsTable[#Headers]))</f>
        <v>2199652.08</v>
      </c>
      <c r="O52" s="229">
        <f>INDEX(GeneralRevenueFundReceiptsTotalReceiptsTable[],MATCH($A$3,GeneralRevenueFundReceiptsTotalReceiptsTable[County]),MATCH(O51,GeneralRevenueFundReceiptsTotalReceiptsTable[#Headers]))</f>
        <v>2445246.61</v>
      </c>
      <c r="P52" s="229">
        <f>INDEX(GeneralRevenueFundReceiptsTotalReceiptsTable[],MATCH($A$3,GeneralRevenueFundReceiptsTotalReceiptsTable[County]),MATCH(P51,GeneralRevenueFundReceiptsTotalReceiptsTable[#Headers]))</f>
        <v>2500342.5300000003</v>
      </c>
      <c r="Q52" s="229">
        <f>INDEX(GeneralRevenueFundReceiptsTotalReceiptsTable[],MATCH($A$3,GeneralRevenueFundReceiptsTotalReceiptsTable[County]),MATCH(Q51,GeneralRevenueFundReceiptsTotalReceiptsTable[#Headers]))</f>
        <v>2400180.0300000003</v>
      </c>
      <c r="R52" s="229">
        <f>INDEX(GeneralRevenueFundReceiptsTotalReceiptsTable[],MATCH($A$3,GeneralRevenueFundReceiptsTotalReceiptsTable[County]),MATCH(R51,GeneralRevenueFundReceiptsTotalReceiptsTable[#Headers]))</f>
        <v>2433364.4699999997</v>
      </c>
      <c r="S52" s="229">
        <f>INDEX(GeneralRevenueFundReceiptsTotalReceiptsTable[],MATCH($A$3,GeneralRevenueFundReceiptsTotalReceiptsTable[County]),MATCH(S51,GeneralRevenueFundReceiptsTotalReceiptsTable[#Headers]))</f>
        <v>2309059.98</v>
      </c>
      <c r="T52" s="229">
        <f>INDEX(GeneralRevenueFundReceiptsTotalReceiptsTable[],MATCH($A$3,GeneralRevenueFundReceiptsTotalReceiptsTable[County]),MATCH(T51,GeneralRevenueFundReceiptsTotalReceiptsTable[#Headers]))</f>
        <v>2611158</v>
      </c>
      <c r="U52" s="229">
        <f>INDEX(GeneralRevenueFundReceiptsTotalReceiptsTable[],MATCH($A$3,GeneralRevenueFundReceiptsTotalReceiptsTable[County]),MATCH(U51,GeneralRevenueFundReceiptsTotalReceiptsTable[#Headers]))</f>
        <v>2339358.9900000002</v>
      </c>
      <c r="V52" s="229">
        <f>INDEX(GeneralRevenueFundReceiptsTotalReceiptsTable[],MATCH($A$3,GeneralRevenueFundReceiptsTotalReceiptsTable[County]),MATCH(V51,GeneralRevenueFundReceiptsTotalReceiptsTable[#Headers]))</f>
        <v>2233183.7200000002</v>
      </c>
      <c r="W52" s="229">
        <f>INDEX(GeneralRevenueFundReceiptsTotalReceiptsTable[],MATCH($A$3,GeneralRevenueFundReceiptsTotalReceiptsTable[County]),MATCH(W51,GeneralRevenueFundReceiptsTotalReceiptsTable[#Headers]))</f>
        <v>2247960.46</v>
      </c>
      <c r="X52" s="229"/>
      <c r="Y52" s="229"/>
      <c r="Z52" s="229"/>
      <c r="AA52" s="229"/>
      <c r="AB52" s="543"/>
      <c r="AC52" s="543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</row>
    <row r="53" spans="1:115" ht="14.25" customHeight="1">
      <c r="A53" s="158" t="str">
        <f>CONCATENATE($A$3," County General Revenue Expenditures")</f>
        <v>Adair County General Revenue Expenditures</v>
      </c>
      <c r="B53" s="229">
        <f>INDEX(GeneralRevenueFundTotalExpendituresTable[],MATCH($A$3,GeneralRevenueFundTotalExpendituresTable[County]),MATCH(B51,GeneralRevenueFundTotalExpendituresTable[#Headers],0))</f>
        <v>2170736</v>
      </c>
      <c r="C53" s="229">
        <f>INDEX(GeneralRevenueFundTotalExpendituresTable[],MATCH($A$3,GeneralRevenueFundTotalExpendituresTable[County]),MATCH(C51,GeneralRevenueFundTotalExpendituresTable[#Headers]))</f>
        <v>2217685</v>
      </c>
      <c r="D53" s="229">
        <f>INDEX(GeneralRevenueFundTotalExpendituresTable[],MATCH($A$3,GeneralRevenueFundTotalExpendituresTable[County]),MATCH(D51,GeneralRevenueFundTotalExpendituresTable[#Headers]))</f>
        <v>1764909</v>
      </c>
      <c r="E53" s="229">
        <f>INDEX(GeneralRevenueFundTotalExpendituresTable[],MATCH($A$3,GeneralRevenueFundTotalExpendituresTable[County]),MATCH(E51,GeneralRevenueFundTotalExpendituresTable[#Headers]))</f>
        <v>1916042</v>
      </c>
      <c r="F53" s="229">
        <f>INDEX(GeneralRevenueFundTotalExpendituresTable[],MATCH($A$3,GeneralRevenueFundTotalExpendituresTable[County]),MATCH(F51,GeneralRevenueFundTotalExpendituresTable[#Headers]))</f>
        <v>1759295</v>
      </c>
      <c r="G53" s="229">
        <f>INDEX(GeneralRevenueFundTotalExpendituresTable[],MATCH($A$3,GeneralRevenueFundTotalExpendituresTable[County]),MATCH(G51,GeneralRevenueFundTotalExpendituresTable[#Headers]))</f>
        <v>1745765</v>
      </c>
      <c r="H53" s="229">
        <f>INDEX(GeneralRevenueFundTotalExpendituresTable[],MATCH($A$3,GeneralRevenueFundTotalExpendituresTable[County]),MATCH(H51,GeneralRevenueFundTotalExpendituresTable[#Headers]))</f>
        <v>1906469</v>
      </c>
      <c r="I53" s="229">
        <f>INDEX(GeneralRevenueFundTotalExpendituresTable[],MATCH($A$3,GeneralRevenueFundTotalExpendituresTable[County]),MATCH(I51,GeneralRevenueFundTotalExpendituresTable[#Headers]))</f>
        <v>2503784</v>
      </c>
      <c r="J53" s="229">
        <f>INDEX(GeneralRevenueFundTotalExpendituresTable[],MATCH($A$3,GeneralRevenueFundTotalExpendituresTable[County]),MATCH(J51,GeneralRevenueFundTotalExpendituresTable[#Headers]))</f>
        <v>2146418.5699999998</v>
      </c>
      <c r="K53" s="229">
        <f>INDEX(GeneralRevenueFundTotalExpendituresTable[],MATCH($A$3,GeneralRevenueFundTotalExpendituresTable[County]),MATCH(K51,GeneralRevenueFundTotalExpendituresTable[#Headers]))</f>
        <v>1886672.02</v>
      </c>
      <c r="L53" s="229">
        <f>INDEX(GeneralRevenueFundTotalExpendituresTable[],MATCH($A$3,GeneralRevenueFundTotalExpendituresTable[County]),MATCH(L51,GeneralRevenueFundTotalExpendituresTable[#Headers]))</f>
        <v>1825485.4699999997</v>
      </c>
      <c r="M53" s="229">
        <f>INDEX(GeneralRevenueFundTotalExpendituresTable[],MATCH($A$3,GeneralRevenueFundTotalExpendituresTable[County]),MATCH(M51,GeneralRevenueFundTotalExpendituresTable[#Headers]))</f>
        <v>1727211</v>
      </c>
      <c r="N53" s="229">
        <f>INDEX(GeneralRevenueFundTotalExpendituresTable[],MATCH($A$3,GeneralRevenueFundTotalExpendituresTable[County]),MATCH(N51,GeneralRevenueFundTotalExpendituresTable[#Headers]))</f>
        <v>2352433.7800000003</v>
      </c>
      <c r="O53" s="229">
        <f>INDEX(GeneralRevenueFundTotalExpendituresTable[],MATCH($A$3,GeneralRevenueFundTotalExpendituresTable[County]),MATCH(O51,GeneralRevenueFundTotalExpendituresTable[#Headers]))</f>
        <v>2066941.9699999997</v>
      </c>
      <c r="P53" s="229">
        <f>INDEX(GeneralRevenueFundTotalExpendituresTable[],MATCH($A$3,GeneralRevenueFundTotalExpendituresTable[County]),MATCH(P51,GeneralRevenueFundTotalExpendituresTable[#Headers]))</f>
        <v>2422868.91</v>
      </c>
      <c r="Q53" s="229">
        <f>INDEX(GeneralRevenueFundTotalExpendituresTable[],MATCH($A$3,GeneralRevenueFundTotalExpendituresTable[County]),MATCH(Q51,GeneralRevenueFundTotalExpendituresTable[#Headers]))</f>
        <v>2207908.62</v>
      </c>
      <c r="R53" s="229">
        <f>INDEX(GeneralRevenueFundTotalExpendituresTable[],MATCH($A$3,GeneralRevenueFundTotalExpendituresTable[County]),MATCH(R51,GeneralRevenueFundTotalExpendituresTable[#Headers]))</f>
        <v>2560092.5499999998</v>
      </c>
      <c r="S53" s="229">
        <f>INDEX(GeneralRevenueFundTotalExpendituresTable[],MATCH($A$3,GeneralRevenueFundTotalExpendituresTable[County]),MATCH(S51,GeneralRevenueFundTotalExpendituresTable[#Headers]))</f>
        <v>2544152.4900000002</v>
      </c>
      <c r="T53" s="229">
        <f>INDEX(GeneralRevenueFundTotalExpendituresTable[],MATCH($A$3,GeneralRevenueFundTotalExpendituresTable[County]),MATCH(T51,GeneralRevenueFundTotalExpendituresTable[#Headers]))</f>
        <v>2506524.35</v>
      </c>
      <c r="U53" s="229">
        <f>INDEX(GeneralRevenueFundTotalExpendituresTable[],MATCH($A$3,GeneralRevenueFundTotalExpendituresTable[County]),MATCH(U51,GeneralRevenueFundTotalExpendituresTable[#Headers]))</f>
        <v>2746400.37</v>
      </c>
      <c r="V53" s="229">
        <f>INDEX(GeneralRevenueFundTotalExpendituresTable[],MATCH($A$3,GeneralRevenueFundTotalExpendituresTable[County]),MATCH(V51,GeneralRevenueFundTotalExpendituresTable[#Headers]))</f>
        <v>2387873.5700000003</v>
      </c>
      <c r="W53" s="229">
        <f>INDEX(GeneralRevenueFundTotalExpendituresTable[],MATCH($A$3,GeneralRevenueFundTotalExpendituresTable[County]),MATCH(W51,GeneralRevenueFundTotalExpendituresTable[#Headers]))</f>
        <v>2789173.9</v>
      </c>
      <c r="X53" s="229"/>
      <c r="Y53" s="229"/>
      <c r="Z53" s="229"/>
      <c r="AA53" s="229"/>
      <c r="AB53" s="543"/>
      <c r="AC53" s="543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</row>
    <row r="54" spans="1:115" ht="14.25" customHeight="1">
      <c r="A54" s="158" t="str">
        <f>CONCATENATE($A$5," County General Revenue Receipts")</f>
        <v>Andrew County General Revenue Receipts</v>
      </c>
      <c r="B54" s="229">
        <f>INDEX(GeneralRevenueFundReceiptsTotalReceiptsTable[],MATCH($A$5,GeneralRevenueFundReceiptsTotalReceiptsTable[County]),MATCH(B51,GeneralRevenueFundReceiptsTotalReceiptsTable[#Headers],0))</f>
        <v>909768</v>
      </c>
      <c r="C54" s="229">
        <f>INDEX(GeneralRevenueFundReceiptsTotalReceiptsTable[],MATCH($A$5,GeneralRevenueFundReceiptsTotalReceiptsTable[County]),MATCH(C51,GeneralRevenueFundReceiptsTotalReceiptsTable[#Headers]))</f>
        <v>1048596</v>
      </c>
      <c r="D54" s="229">
        <f>INDEX(GeneralRevenueFundReceiptsTotalReceiptsTable[],MATCH($A$5,GeneralRevenueFundReceiptsTotalReceiptsTable[County]),MATCH(D51,GeneralRevenueFundReceiptsTotalReceiptsTable[#Headers]))</f>
        <v>1097799</v>
      </c>
      <c r="E54" s="229">
        <f>INDEX(GeneralRevenueFundReceiptsTotalReceiptsTable[],MATCH($A$5,GeneralRevenueFundReceiptsTotalReceiptsTable[County]),MATCH(E51,GeneralRevenueFundReceiptsTotalReceiptsTable[#Headers]))</f>
        <v>1124138</v>
      </c>
      <c r="F54" s="229">
        <f>INDEX(GeneralRevenueFundReceiptsTotalReceiptsTable[],MATCH($A$5,GeneralRevenueFundReceiptsTotalReceiptsTable[County]),MATCH(F51,GeneralRevenueFundReceiptsTotalReceiptsTable[#Headers]))</f>
        <v>1117912</v>
      </c>
      <c r="G54" s="229">
        <f>INDEX(GeneralRevenueFundReceiptsTotalReceiptsTable[],MATCH($A$5,GeneralRevenueFundReceiptsTotalReceiptsTable[County]),MATCH(G51,GeneralRevenueFundReceiptsTotalReceiptsTable[#Headers]))</f>
        <v>1161186</v>
      </c>
      <c r="H54" s="229">
        <f>INDEX(GeneralRevenueFundReceiptsTotalReceiptsTable[],MATCH($A$5,GeneralRevenueFundReceiptsTotalReceiptsTable[County]),MATCH(H51,GeneralRevenueFundReceiptsTotalReceiptsTable[#Headers]))</f>
        <v>1385255</v>
      </c>
      <c r="I54" s="229">
        <f>INDEX(GeneralRevenueFundReceiptsTotalReceiptsTable[],MATCH($A$5,GeneralRevenueFundReceiptsTotalReceiptsTable[County]),MATCH(I51,GeneralRevenueFundReceiptsTotalReceiptsTable[#Headers]))</f>
        <v>2114975</v>
      </c>
      <c r="J54" s="229">
        <f>INDEX(GeneralRevenueFundReceiptsTotalReceiptsTable[],MATCH($A$5,GeneralRevenueFundReceiptsTotalReceiptsTable[County]),MATCH(J51,GeneralRevenueFundReceiptsTotalReceiptsTable[#Headers]))</f>
        <v>1621798</v>
      </c>
      <c r="K54" s="229">
        <f>INDEX(GeneralRevenueFundReceiptsTotalReceiptsTable[],MATCH($A$5,GeneralRevenueFundReceiptsTotalReceiptsTable[County]),MATCH(K51,GeneralRevenueFundReceiptsTotalReceiptsTable[#Headers]))</f>
        <v>1595125</v>
      </c>
      <c r="L54" s="229">
        <f>INDEX(GeneralRevenueFundReceiptsTotalReceiptsTable[],MATCH($A$5,GeneralRevenueFundReceiptsTotalReceiptsTable[County]),MATCH(L51,GeneralRevenueFundReceiptsTotalReceiptsTable[#Headers]))</f>
        <v>1654294</v>
      </c>
      <c r="M54" s="229">
        <f>INDEX(GeneralRevenueFundReceiptsTotalReceiptsTable[],MATCH($A$5,GeneralRevenueFundReceiptsTotalReceiptsTable[County]),MATCH(M51,GeneralRevenueFundReceiptsTotalReceiptsTable[#Headers]))</f>
        <v>1530472</v>
      </c>
      <c r="N54" s="229">
        <f>INDEX(GeneralRevenueFundReceiptsTotalReceiptsTable[],MATCH($A$5,GeneralRevenueFundReceiptsTotalReceiptsTable[County]),MATCH(N51,GeneralRevenueFundReceiptsTotalReceiptsTable[#Headers]))</f>
        <v>2289489</v>
      </c>
      <c r="O54" s="229">
        <f>INDEX(GeneralRevenueFundReceiptsTotalReceiptsTable[],MATCH($A$5,GeneralRevenueFundReceiptsTotalReceiptsTable[County]),MATCH(O51,GeneralRevenueFundReceiptsTotalReceiptsTable[#Headers]))</f>
        <v>1884370</v>
      </c>
      <c r="P54" s="229">
        <f>INDEX(GeneralRevenueFundReceiptsTotalReceiptsTable[],MATCH($A$5,GeneralRevenueFundReceiptsTotalReceiptsTable[County]),MATCH(P51,GeneralRevenueFundReceiptsTotalReceiptsTable[#Headers]))</f>
        <v>2119728</v>
      </c>
      <c r="Q54" s="229">
        <f>INDEX(GeneralRevenueFundReceiptsTotalReceiptsTable[],MATCH($A$5,GeneralRevenueFundReceiptsTotalReceiptsTable[County]),MATCH(Q51,GeneralRevenueFundReceiptsTotalReceiptsTable[#Headers]))</f>
        <v>2093126</v>
      </c>
      <c r="R54" s="229">
        <f>INDEX(GeneralRevenueFundReceiptsTotalReceiptsTable[],MATCH($A$5,GeneralRevenueFundReceiptsTotalReceiptsTable[County]),MATCH(R51,GeneralRevenueFundReceiptsTotalReceiptsTable[#Headers]))</f>
        <v>2146315</v>
      </c>
      <c r="S54" s="229">
        <f>INDEX(GeneralRevenueFundReceiptsTotalReceiptsTable[],MATCH($A$5,GeneralRevenueFundReceiptsTotalReceiptsTable[County]),MATCH(S51,GeneralRevenueFundReceiptsTotalReceiptsTable[#Headers]))</f>
        <v>2515062</v>
      </c>
      <c r="T54" s="229">
        <f>INDEX(GeneralRevenueFundReceiptsTotalReceiptsTable[],MATCH($A$5,GeneralRevenueFundReceiptsTotalReceiptsTable[County]),MATCH(T51,GeneralRevenueFundReceiptsTotalReceiptsTable[#Headers]))</f>
        <v>2245189</v>
      </c>
      <c r="U54" s="229">
        <f>INDEX(GeneralRevenueFundReceiptsTotalReceiptsTable[],MATCH($A$5,GeneralRevenueFundReceiptsTotalReceiptsTable[County]),MATCH(U51,GeneralRevenueFundReceiptsTotalReceiptsTable[#Headers]))</f>
        <v>2415472</v>
      </c>
      <c r="V54" s="229">
        <f>INDEX(GeneralRevenueFundReceiptsTotalReceiptsTable[],MATCH($A$5,GeneralRevenueFundReceiptsTotalReceiptsTable[County]),MATCH(V51,GeneralRevenueFundReceiptsTotalReceiptsTable[#Headers]))</f>
        <v>2573205</v>
      </c>
      <c r="W54" s="229">
        <f>INDEX(GeneralRevenueFundReceiptsTotalReceiptsTable[],MATCH($A$5,GeneralRevenueFundReceiptsTotalReceiptsTable[County]),MATCH(W51,GeneralRevenueFundReceiptsTotalReceiptsTable[#Headers]))</f>
        <v>2619278</v>
      </c>
      <c r="X54" s="229"/>
      <c r="Y54" s="229"/>
      <c r="Z54" s="229"/>
      <c r="AA54" s="229"/>
      <c r="AB54" s="543"/>
      <c r="AC54" s="543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</row>
    <row r="55" spans="1:115" ht="14.25" customHeight="1">
      <c r="A55" s="158" t="str">
        <f>CONCATENATE($A$5," County General Revenue Expenditures")</f>
        <v>Andrew County General Revenue Expenditures</v>
      </c>
      <c r="B55" s="229">
        <f>INDEX(GeneralRevenueFundTotalExpendituresTable[],MATCH($A$5,GeneralRevenueFundTotalExpendituresTable[County]),MATCH(B51,GeneralRevenueFundTotalExpendituresTable[#Headers],0))</f>
        <v>708764</v>
      </c>
      <c r="C55" s="229">
        <f>INDEX(GeneralRevenueFundTotalExpendituresTable[],MATCH($A$5,GeneralRevenueFundTotalExpendituresTable[County]),MATCH(C51,GeneralRevenueFundTotalExpendituresTable[#Headers]))</f>
        <v>816195</v>
      </c>
      <c r="D55" s="229">
        <f>INDEX(GeneralRevenueFundTotalExpendituresTable[],MATCH($A$5,GeneralRevenueFundTotalExpendituresTable[County]),MATCH(D51,GeneralRevenueFundTotalExpendituresTable[#Headers]))</f>
        <v>827817</v>
      </c>
      <c r="E55" s="229">
        <f>INDEX(GeneralRevenueFundTotalExpendituresTable[],MATCH($A$5,GeneralRevenueFundTotalExpendituresTable[County]),MATCH(E51,GeneralRevenueFundTotalExpendituresTable[#Headers]))</f>
        <v>974732</v>
      </c>
      <c r="F55" s="229">
        <f>INDEX(GeneralRevenueFundTotalExpendituresTable[],MATCH($A$5,GeneralRevenueFundTotalExpendituresTable[County]),MATCH(F51,GeneralRevenueFundTotalExpendituresTable[#Headers]))</f>
        <v>1056073</v>
      </c>
      <c r="G55" s="229">
        <f>INDEX(GeneralRevenueFundTotalExpendituresTable[],MATCH($A$5,GeneralRevenueFundTotalExpendituresTable[County]),MATCH(G51,GeneralRevenueFundTotalExpendituresTable[#Headers]))</f>
        <v>1153863</v>
      </c>
      <c r="H55" s="229">
        <f>INDEX(GeneralRevenueFundTotalExpendituresTable[],MATCH($A$5,GeneralRevenueFundTotalExpendituresTable[County]),MATCH(H51,GeneralRevenueFundTotalExpendituresTable[#Headers]))</f>
        <v>1370502</v>
      </c>
      <c r="I55" s="229">
        <f>INDEX(GeneralRevenueFundTotalExpendituresTable[],MATCH($A$5,GeneralRevenueFundTotalExpendituresTable[County]),MATCH(I51,GeneralRevenueFundTotalExpendituresTable[#Headers]))</f>
        <v>1959196</v>
      </c>
      <c r="J55" s="229">
        <f>INDEX(GeneralRevenueFundTotalExpendituresTable[],MATCH($A$5,GeneralRevenueFundTotalExpendituresTable[County]),MATCH(J51,GeneralRevenueFundTotalExpendituresTable[#Headers]))</f>
        <v>1369776</v>
      </c>
      <c r="K55" s="229">
        <f>INDEX(GeneralRevenueFundTotalExpendituresTable[],MATCH($A$5,GeneralRevenueFundTotalExpendituresTable[County]),MATCH(K51,GeneralRevenueFundTotalExpendituresTable[#Headers]))</f>
        <v>1712275</v>
      </c>
      <c r="L55" s="229">
        <f>INDEX(GeneralRevenueFundTotalExpendituresTable[],MATCH($A$5,GeneralRevenueFundTotalExpendituresTable[County]),MATCH(L51,GeneralRevenueFundTotalExpendituresTable[#Headers]))</f>
        <v>1877954</v>
      </c>
      <c r="M55" s="229">
        <f>INDEX(GeneralRevenueFundTotalExpendituresTable[],MATCH($A$5,GeneralRevenueFundTotalExpendituresTable[County]),MATCH(M51,GeneralRevenueFundTotalExpendituresTable[#Headers]))</f>
        <v>1773128</v>
      </c>
      <c r="N55" s="229">
        <f>INDEX(GeneralRevenueFundTotalExpendituresTable[],MATCH($A$5,GeneralRevenueFundTotalExpendituresTable[County]),MATCH(N51,GeneralRevenueFundTotalExpendituresTable[#Headers]))</f>
        <v>2152520</v>
      </c>
      <c r="O55" s="229">
        <f>INDEX(GeneralRevenueFundTotalExpendituresTable[],MATCH($A$5,GeneralRevenueFundTotalExpendituresTable[County]),MATCH(O51,GeneralRevenueFundTotalExpendituresTable[#Headers]))</f>
        <v>2026665</v>
      </c>
      <c r="P55" s="229">
        <f>INDEX(GeneralRevenueFundTotalExpendituresTable[],MATCH($A$5,GeneralRevenueFundTotalExpendituresTable[County]),MATCH(P51,GeneralRevenueFundTotalExpendituresTable[#Headers]))</f>
        <v>2717394</v>
      </c>
      <c r="Q55" s="229">
        <f>INDEX(GeneralRevenueFundTotalExpendituresTable[],MATCH($A$5,GeneralRevenueFundTotalExpendituresTable[County]),MATCH(Q51,GeneralRevenueFundTotalExpendituresTable[#Headers]))</f>
        <v>2101408</v>
      </c>
      <c r="R55" s="229">
        <f>INDEX(GeneralRevenueFundTotalExpendituresTable[],MATCH($A$5,GeneralRevenueFundTotalExpendituresTable[County]),MATCH(R51,GeneralRevenueFundTotalExpendituresTable[#Headers]))</f>
        <v>2166417</v>
      </c>
      <c r="S55" s="229">
        <f>INDEX(GeneralRevenueFundTotalExpendituresTable[],MATCH($A$5,GeneralRevenueFundTotalExpendituresTable[County]),MATCH(S51,GeneralRevenueFundTotalExpendituresTable[#Headers]))</f>
        <v>2561808</v>
      </c>
      <c r="T55" s="229">
        <f>INDEX(GeneralRevenueFundTotalExpendituresTable[],MATCH($A$5,GeneralRevenueFundTotalExpendituresTable[County]),MATCH(T51,GeneralRevenueFundTotalExpendituresTable[#Headers]))</f>
        <v>1988159</v>
      </c>
      <c r="U55" s="229">
        <f>INDEX(GeneralRevenueFundTotalExpendituresTable[],MATCH($A$5,GeneralRevenueFundTotalExpendituresTable[County]),MATCH(U51,GeneralRevenueFundTotalExpendituresTable[#Headers]))</f>
        <v>2387171</v>
      </c>
      <c r="V55" s="229">
        <f>INDEX(GeneralRevenueFundTotalExpendituresTable[],MATCH($A$5,GeneralRevenueFundTotalExpendituresTable[County]),MATCH(V51,GeneralRevenueFundTotalExpendituresTable[#Headers]))</f>
        <v>2767791</v>
      </c>
      <c r="W55" s="229">
        <f>INDEX(GeneralRevenueFundTotalExpendituresTable[],MATCH($A$5,GeneralRevenueFundTotalExpendituresTable[County]),MATCH(W51,GeneralRevenueFundTotalExpendituresTable[#Headers]))</f>
        <v>2929863.5700000003</v>
      </c>
      <c r="X55" s="229"/>
      <c r="Y55" s="229"/>
      <c r="Z55" s="229"/>
      <c r="AA55" s="229"/>
      <c r="AB55" s="543"/>
      <c r="AC55" s="543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</row>
    <row r="56" spans="1:115" ht="14.25" customHeight="1">
      <c r="A56" s="176"/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2"/>
      <c r="P56" s="176"/>
      <c r="Q56" s="176"/>
      <c r="R56" s="176"/>
      <c r="S56" s="170"/>
      <c r="T56" s="170"/>
      <c r="U56" s="170"/>
      <c r="V56" s="170"/>
      <c r="W56" s="170"/>
      <c r="X56" s="17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</row>
    <row r="57" spans="1:115" ht="14.25" customHeight="1">
      <c r="A57" s="175" t="str">
        <f>CONCATENATE($A$3," County and ",$A$5," County General Revenue Cash Balance")</f>
        <v>Adair County and Andrew County General Revenue Cash Balance</v>
      </c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70"/>
      <c r="T57" s="170"/>
      <c r="U57" s="170"/>
      <c r="V57" s="170"/>
      <c r="W57" s="170"/>
      <c r="X57" s="17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</row>
    <row r="58" spans="1:115" ht="14.25" customHeight="1">
      <c r="A58" s="312" t="s">
        <v>434</v>
      </c>
      <c r="B58" s="302" t="s">
        <v>409</v>
      </c>
      <c r="C58" s="302" t="s">
        <v>410</v>
      </c>
      <c r="D58" s="302" t="s">
        <v>411</v>
      </c>
      <c r="E58" s="302" t="s">
        <v>412</v>
      </c>
      <c r="F58" s="302" t="s">
        <v>413</v>
      </c>
      <c r="G58" s="302" t="s">
        <v>414</v>
      </c>
      <c r="H58" s="302" t="s">
        <v>415</v>
      </c>
      <c r="I58" s="302" t="s">
        <v>416</v>
      </c>
      <c r="J58" s="302" t="s">
        <v>417</v>
      </c>
      <c r="K58" s="302" t="s">
        <v>418</v>
      </c>
      <c r="L58" s="302" t="s">
        <v>419</v>
      </c>
      <c r="M58" s="302" t="s">
        <v>420</v>
      </c>
      <c r="N58" s="302" t="s">
        <v>421</v>
      </c>
      <c r="O58" s="302" t="s">
        <v>422</v>
      </c>
      <c r="P58" s="302" t="s">
        <v>423</v>
      </c>
      <c r="Q58" s="302" t="s">
        <v>355</v>
      </c>
      <c r="R58" s="302" t="s">
        <v>399</v>
      </c>
      <c r="S58" s="302" t="s">
        <v>424</v>
      </c>
      <c r="T58" s="302" t="s">
        <v>446</v>
      </c>
      <c r="U58" s="302" t="s">
        <v>523</v>
      </c>
      <c r="V58" s="302" t="s">
        <v>524</v>
      </c>
      <c r="W58" s="302" t="s">
        <v>525</v>
      </c>
      <c r="X58" s="302"/>
      <c r="Y58" s="30"/>
      <c r="Z58" s="30"/>
      <c r="AA58" s="544"/>
      <c r="AB58" s="543"/>
      <c r="AC58" s="543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</row>
    <row r="59" spans="1:115" ht="14.25" customHeight="1">
      <c r="A59" s="155" t="str">
        <f>CONCATENATE($A$3," County General Revenue Cash Balance")</f>
        <v>Adair County General Revenue Cash Balance</v>
      </c>
      <c r="B59" s="229">
        <f>INDEX(GeneralRevenueFundCashBalancesTable[],MATCH($A$3,GeneralRevenueFundCashBalancesTable[County]),MATCH(B58,GeneralRevenueFundCashBalancesTable[#Headers],0))</f>
        <v>16607</v>
      </c>
      <c r="C59" s="229">
        <f>INDEX(GeneralRevenueFundCashBalancesTable[],MATCH($A$3,GeneralRevenueFundCashBalancesTable[County]),MATCH(C58,GeneralRevenueFundCashBalancesTable[#Headers]))</f>
        <v>15606</v>
      </c>
      <c r="D59" s="229">
        <f>INDEX(GeneralRevenueFundCashBalancesTable[],MATCH($A$3,GeneralRevenueFundCashBalancesTable[County]),MATCH(D58,GeneralRevenueFundCashBalancesTable[#Headers]))</f>
        <v>63088</v>
      </c>
      <c r="E59" s="229">
        <f>INDEX(GeneralRevenueFundCashBalancesTable[],MATCH($A$3,GeneralRevenueFundCashBalancesTable[County]),MATCH(E58,GeneralRevenueFundCashBalancesTable[#Headers]))</f>
        <v>26504</v>
      </c>
      <c r="F59" s="229">
        <f>INDEX(GeneralRevenueFundCashBalancesTable[],MATCH($A$3,GeneralRevenueFundCashBalancesTable[County]),MATCH(F58,GeneralRevenueFundCashBalancesTable[#Headers]))</f>
        <v>240940</v>
      </c>
      <c r="G59" s="229">
        <f>INDEX(GeneralRevenueFundCashBalancesTable[],MATCH($A$3,GeneralRevenueFundCashBalancesTable[County]),MATCH(G58,GeneralRevenueFundCashBalancesTable[#Headers]))</f>
        <v>348207</v>
      </c>
      <c r="H59" s="229">
        <f>INDEX(GeneralRevenueFundCashBalancesTable[],MATCH($A$3,GeneralRevenueFundCashBalancesTable[County]),MATCH(H58,GeneralRevenueFundCashBalancesTable[#Headers]))</f>
        <v>444284</v>
      </c>
      <c r="I59" s="229">
        <f>INDEX(GeneralRevenueFundCashBalancesTable[],MATCH($A$3,GeneralRevenueFundCashBalancesTable[County]),MATCH(I58,GeneralRevenueFundCashBalancesTable[#Headers]))</f>
        <v>493392</v>
      </c>
      <c r="J59" s="229">
        <f>INDEX(GeneralRevenueFundCashBalancesTable[],MATCH($A$3,GeneralRevenueFundCashBalancesTable[County]),MATCH(J58,GeneralRevenueFundCashBalancesTable[#Headers]))</f>
        <v>233655.09000000032</v>
      </c>
      <c r="K59" s="229">
        <f>INDEX(GeneralRevenueFundCashBalancesTable[],MATCH($A$3,GeneralRevenueFundCashBalancesTable[County]),MATCH(K58,GeneralRevenueFundCashBalancesTable[#Headers]))</f>
        <v>291937.27</v>
      </c>
      <c r="L59" s="229">
        <f>INDEX(GeneralRevenueFundCashBalancesTable[],MATCH($A$3,GeneralRevenueFundCashBalancesTable[County]),MATCH(L58,GeneralRevenueFundCashBalancesTable[#Headers]))</f>
        <v>499610.88</v>
      </c>
      <c r="M59" s="229">
        <f>INDEX(GeneralRevenueFundCashBalancesTable[],MATCH($A$3,GeneralRevenueFundCashBalancesTable[County]),MATCH(M58,GeneralRevenueFundCashBalancesTable[#Headers]))</f>
        <v>866092.45</v>
      </c>
      <c r="N59" s="229">
        <f>INDEX(GeneralRevenueFundCashBalancesTable[],MATCH($A$3,GeneralRevenueFundCashBalancesTable[County]),MATCH(N58,GeneralRevenueFundCashBalancesTable[#Headers]))</f>
        <v>712960.75</v>
      </c>
      <c r="O59" s="229">
        <f>INDEX(GeneralRevenueFundCashBalancesTable[],MATCH($A$3,GeneralRevenueFundCashBalancesTable[County]),MATCH(O58,GeneralRevenueFundCashBalancesTable[#Headers]))</f>
        <v>1091265.3899999999</v>
      </c>
      <c r="P59" s="229">
        <f>INDEX(GeneralRevenueFundCashBalancesTable[],MATCH($A$3,GeneralRevenueFundCashBalancesTable[County]),MATCH(P58,GeneralRevenueFundCashBalancesTable[#Headers]))</f>
        <v>1168739.01</v>
      </c>
      <c r="Q59" s="229">
        <f>INDEX(GeneralRevenueFundCashBalancesTable[],MATCH($A$3,GeneralRevenueFundCashBalancesTable[County]),MATCH(Q58,GeneralRevenueFundCashBalancesTable[#Headers]))</f>
        <v>1361010.42</v>
      </c>
      <c r="R59" s="229">
        <f>INDEX(GeneralRevenueFundCashBalancesTable[],MATCH($A$3,GeneralRevenueFundCashBalancesTable[County]),MATCH(R58,GeneralRevenueFundCashBalancesTable[#Headers]))</f>
        <v>1234282.3400000001</v>
      </c>
      <c r="S59" s="229">
        <f>INDEX(GeneralRevenueFundCashBalancesTable[],MATCH($A$3,GeneralRevenueFundCashBalancesTable[County]),MATCH(S58,GeneralRevenueFundCashBalancesTable[#Headers]))</f>
        <v>999189.83</v>
      </c>
      <c r="T59" s="229">
        <f>INDEX(GeneralRevenueFundCashBalancesTable[],MATCH($A$3,GeneralRevenueFundCashBalancesTable[County]),MATCH(T58,GeneralRevenueFundCashBalancesTable[#Headers]))</f>
        <v>1171766.48</v>
      </c>
      <c r="U59" s="229">
        <f>INDEX(GeneralRevenueFundCashBalancesTable[],MATCH($A$3,GeneralRevenueFundCashBalancesTable[County]),MATCH(U58,GeneralRevenueFundCashBalancesTable[#Headers]))</f>
        <v>764725.1</v>
      </c>
      <c r="V59" s="229">
        <f>INDEX(GeneralRevenueFundCashBalancesTable[],MATCH($A$3,GeneralRevenueFundCashBalancesTable[County]),MATCH(V58,GeneralRevenueFundCashBalancesTable[#Headers]))</f>
        <v>610035.25</v>
      </c>
      <c r="W59" s="229">
        <f>INDEX(GeneralRevenueFundCashBalancesTable[],MATCH($A$3,GeneralRevenueFundCashBalancesTable[County]),MATCH(W58,GeneralRevenueFundCashBalancesTable[#Headers]))</f>
        <v>68821.810000000056</v>
      </c>
      <c r="X59" s="229"/>
      <c r="Y59" s="229"/>
      <c r="Z59" s="229"/>
      <c r="AA59" s="545"/>
      <c r="AB59" s="543"/>
      <c r="AC59" s="543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</row>
    <row r="60" spans="1:115" ht="14.25" customHeight="1">
      <c r="A60" s="155" t="str">
        <f>CONCATENATE($A$5," County General Revenue Cash Balance")</f>
        <v>Andrew County General Revenue Cash Balance</v>
      </c>
      <c r="B60" s="229">
        <f>INDEX(GeneralRevenueFundCashBalancesTable[],MATCH($A$5,GeneralRevenueFundCashBalancesTable[County]),MATCH(B58,GeneralRevenueFundCashBalancesTable[#Headers],0))</f>
        <v>548299</v>
      </c>
      <c r="C60" s="229">
        <f>INDEX(GeneralRevenueFundCashBalancesTable[],MATCH($A$5,GeneralRevenueFundCashBalancesTable[County]),MATCH(C58,GeneralRevenueFundCashBalancesTable[#Headers]))</f>
        <v>780700</v>
      </c>
      <c r="D60" s="229">
        <f>INDEX(GeneralRevenueFundCashBalancesTable[],MATCH($A$5,GeneralRevenueFundCashBalancesTable[County]),MATCH(D58,GeneralRevenueFundCashBalancesTable[#Headers]))</f>
        <v>1115592</v>
      </c>
      <c r="E60" s="229">
        <f>INDEX(GeneralRevenueFundCashBalancesTable[],MATCH($A$5,GeneralRevenueFundCashBalancesTable[County]),MATCH(E58,GeneralRevenueFundCashBalancesTable[#Headers]))</f>
        <v>1264998</v>
      </c>
      <c r="F60" s="229">
        <f>INDEX(GeneralRevenueFundCashBalancesTable[],MATCH($A$5,GeneralRevenueFundCashBalancesTable[County]),MATCH(F58,GeneralRevenueFundCashBalancesTable[#Headers]))</f>
        <v>1326837</v>
      </c>
      <c r="G60" s="229">
        <f>INDEX(GeneralRevenueFundCashBalancesTable[],MATCH($A$5,GeneralRevenueFundCashBalancesTable[County]),MATCH(G58,GeneralRevenueFundCashBalancesTable[#Headers]))</f>
        <v>1319696</v>
      </c>
      <c r="H60" s="229">
        <f>INDEX(GeneralRevenueFundCashBalancesTable[],MATCH($A$5,GeneralRevenueFundCashBalancesTable[County]),MATCH(H58,GeneralRevenueFundCashBalancesTable[#Headers]))</f>
        <v>1334449</v>
      </c>
      <c r="I60" s="229">
        <f>INDEX(GeneralRevenueFundCashBalancesTable[],MATCH($A$5,GeneralRevenueFundCashBalancesTable[County]),MATCH(I58,GeneralRevenueFundCashBalancesTable[#Headers]))</f>
        <v>1490228</v>
      </c>
      <c r="J60" s="229">
        <f>INDEX(GeneralRevenueFundCashBalancesTable[],MATCH($A$5,GeneralRevenueFundCashBalancesTable[County]),MATCH(J58,GeneralRevenueFundCashBalancesTable[#Headers]))</f>
        <v>1742250</v>
      </c>
      <c r="K60" s="229">
        <f>INDEX(GeneralRevenueFundCashBalancesTable[],MATCH($A$5,GeneralRevenueFundCashBalancesTable[County]),MATCH(K58,GeneralRevenueFundCashBalancesTable[#Headers]))</f>
        <v>1611262</v>
      </c>
      <c r="L60" s="229">
        <f>INDEX(GeneralRevenueFundCashBalancesTable[],MATCH($A$5,GeneralRevenueFundCashBalancesTable[County]),MATCH(L58,GeneralRevenueFundCashBalancesTable[#Headers]))</f>
        <v>1384700.36</v>
      </c>
      <c r="M60" s="229">
        <f>INDEX(GeneralRevenueFundCashBalancesTable[],MATCH($A$5,GeneralRevenueFundCashBalancesTable[County]),MATCH(M58,GeneralRevenueFundCashBalancesTable[#Headers]))</f>
        <v>1144283</v>
      </c>
      <c r="N60" s="229">
        <f>INDEX(GeneralRevenueFundCashBalancesTable[],MATCH($A$5,GeneralRevenueFundCashBalancesTable[County]),MATCH(N58,GeneralRevenueFundCashBalancesTable[#Headers]))</f>
        <v>1278772</v>
      </c>
      <c r="O60" s="229">
        <f>INDEX(GeneralRevenueFundCashBalancesTable[],MATCH($A$5,GeneralRevenueFundCashBalancesTable[County]),MATCH(O58,GeneralRevenueFundCashBalancesTable[#Headers]))</f>
        <v>1133844</v>
      </c>
      <c r="P60" s="229">
        <f>INDEX(GeneralRevenueFundCashBalancesTable[],MATCH($A$5,GeneralRevenueFundCashBalancesTable[County]),MATCH(P58,GeneralRevenueFundCashBalancesTable[#Headers]))</f>
        <v>536944</v>
      </c>
      <c r="Q60" s="229">
        <f>INDEX(GeneralRevenueFundCashBalancesTable[],MATCH($A$5,GeneralRevenueFundCashBalancesTable[County]),MATCH(Q58,GeneralRevenueFundCashBalancesTable[#Headers]))</f>
        <v>539927</v>
      </c>
      <c r="R60" s="229">
        <f>INDEX(GeneralRevenueFundCashBalancesTable[],MATCH($A$5,GeneralRevenueFundCashBalancesTable[County]),MATCH(R58,GeneralRevenueFundCashBalancesTable[#Headers]))</f>
        <v>520125</v>
      </c>
      <c r="S60" s="229">
        <f>INDEX(GeneralRevenueFundCashBalancesTable[],MATCH($A$5,GeneralRevenueFundCashBalancesTable[County]),MATCH(S58,GeneralRevenueFundCashBalancesTable[#Headers]))</f>
        <v>223375</v>
      </c>
      <c r="T60" s="229">
        <f>INDEX(GeneralRevenueFundCashBalancesTable[],MATCH($A$5,GeneralRevenueFundCashBalancesTable[County]),MATCH(T58,GeneralRevenueFundCashBalancesTable[#Headers]))</f>
        <v>480403</v>
      </c>
      <c r="U60" s="229">
        <f>INDEX(GeneralRevenueFundCashBalancesTable[],MATCH($A$5,GeneralRevenueFundCashBalancesTable[County]),MATCH(U58,GeneralRevenueFundCashBalancesTable[#Headers]))</f>
        <v>508712</v>
      </c>
      <c r="V60" s="229">
        <f>INDEX(GeneralRevenueFundCashBalancesTable[],MATCH($A$5,GeneralRevenueFundCashBalancesTable[County]),MATCH(V58,GeneralRevenueFundCashBalancesTable[#Headers]))</f>
        <v>314123</v>
      </c>
      <c r="W60" s="229">
        <f>INDEX(GeneralRevenueFundCashBalancesTable[],MATCH($A$5,GeneralRevenueFundCashBalancesTable[County]),MATCH(W58,GeneralRevenueFundCashBalancesTable[#Headers]))</f>
        <v>3537.4300000001676</v>
      </c>
      <c r="X60" s="229"/>
      <c r="Y60" s="229"/>
      <c r="Z60" s="229"/>
      <c r="AA60" s="545"/>
      <c r="AB60" s="543"/>
      <c r="AC60" s="543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</row>
    <row r="61" spans="1:115" ht="14.25" customHeight="1">
      <c r="A61" s="170"/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80"/>
      <c r="P61" s="170"/>
      <c r="Q61" s="170"/>
      <c r="R61" s="170"/>
      <c r="S61" s="170"/>
      <c r="T61" s="170"/>
      <c r="U61" s="170"/>
      <c r="V61" s="170"/>
      <c r="W61" s="170"/>
      <c r="X61" s="17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</row>
    <row r="62" spans="1:115" ht="14.25" customHeight="1">
      <c r="A62" s="166" t="str">
        <f>CONCATENATE($A$3," County Detailed General Revenue Receipts")</f>
        <v>Adair County Detailed General Revenue Receipts</v>
      </c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233"/>
      <c r="P62" s="167"/>
      <c r="Q62" s="167"/>
      <c r="R62" s="167"/>
      <c r="S62" s="170"/>
      <c r="T62" s="170"/>
      <c r="U62" s="170"/>
      <c r="V62" s="170"/>
      <c r="W62" s="170"/>
      <c r="X62" s="17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</row>
    <row r="63" spans="1:115" ht="14.25" customHeight="1">
      <c r="A63" s="307" t="s">
        <v>434</v>
      </c>
      <c r="B63" s="308" t="s">
        <v>409</v>
      </c>
      <c r="C63" s="308" t="s">
        <v>410</v>
      </c>
      <c r="D63" s="308" t="s">
        <v>411</v>
      </c>
      <c r="E63" s="308" t="s">
        <v>412</v>
      </c>
      <c r="F63" s="308" t="s">
        <v>413</v>
      </c>
      <c r="G63" s="308" t="s">
        <v>414</v>
      </c>
      <c r="H63" s="308" t="s">
        <v>415</v>
      </c>
      <c r="I63" s="308" t="s">
        <v>416</v>
      </c>
      <c r="J63" s="308" t="s">
        <v>417</v>
      </c>
      <c r="K63" s="308" t="s">
        <v>418</v>
      </c>
      <c r="L63" s="308" t="s">
        <v>419</v>
      </c>
      <c r="M63" s="308" t="s">
        <v>420</v>
      </c>
      <c r="N63" s="308" t="s">
        <v>421</v>
      </c>
      <c r="O63" s="313" t="s">
        <v>422</v>
      </c>
      <c r="P63" s="302" t="s">
        <v>423</v>
      </c>
      <c r="Q63" s="302" t="s">
        <v>355</v>
      </c>
      <c r="R63" s="302" t="s">
        <v>399</v>
      </c>
      <c r="S63" s="302" t="s">
        <v>424</v>
      </c>
      <c r="T63" s="302" t="s">
        <v>446</v>
      </c>
      <c r="U63" s="302" t="s">
        <v>523</v>
      </c>
      <c r="V63" s="302" t="s">
        <v>524</v>
      </c>
      <c r="W63" s="302" t="s">
        <v>525</v>
      </c>
      <c r="X63" s="302"/>
      <c r="Y63" s="30"/>
      <c r="Z63" s="30"/>
      <c r="AA63" s="544"/>
      <c r="AB63" s="543"/>
      <c r="AC63" s="543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</row>
    <row r="64" spans="1:115" ht="15.75" customHeight="1">
      <c r="A64" s="158" t="s">
        <v>138</v>
      </c>
      <c r="B64" s="229">
        <f>INDEX(GeneralRevenueFundReceiptsPropertyTaxesTable[],MATCH($A$3,GeneralRevenueFundReceiptsPropertyTaxesTable[County]),MATCH(B63,GeneralRevenueFundReceiptsPropertyTaxesTable[#Headers],0))</f>
        <v>0</v>
      </c>
      <c r="C64" s="229">
        <f>INDEX(GeneralRevenueFundReceiptsPropertyTaxesTable[],MATCH($A$3,GeneralRevenueFundReceiptsPropertyTaxesTable[County]),MATCH(C63,GeneralRevenueFundReceiptsPropertyTaxesTable[#Headers]))</f>
        <v>22166.84</v>
      </c>
      <c r="D64" s="229">
        <f>INDEX(GeneralRevenueFundReceiptsPropertyTaxesTable[],MATCH($A$3,GeneralRevenueFundReceiptsPropertyTaxesTable[County]),MATCH(D63,GeneralRevenueFundReceiptsPropertyTaxesTable[#Headers]))</f>
        <v>0</v>
      </c>
      <c r="E64" s="229">
        <f>INDEX(GeneralRevenueFundReceiptsPropertyTaxesTable[],MATCH($A$3,GeneralRevenueFundReceiptsPropertyTaxesTable[County]),MATCH(E63,GeneralRevenueFundReceiptsPropertyTaxesTable[#Headers]))</f>
        <v>0</v>
      </c>
      <c r="F64" s="229">
        <f>INDEX(GeneralRevenueFundReceiptsPropertyTaxesTable[],MATCH($A$3,GeneralRevenueFundReceiptsPropertyTaxesTable[County]),MATCH(F63,GeneralRevenueFundReceiptsPropertyTaxesTable[#Headers]))</f>
        <v>0</v>
      </c>
      <c r="G64" s="229">
        <f>INDEX(GeneralRevenueFundReceiptsPropertyTaxesTable[],MATCH($A$3,GeneralRevenueFundReceiptsPropertyTaxesTable[County]),MATCH(G63,GeneralRevenueFundReceiptsPropertyTaxesTable[#Headers]))</f>
        <v>0</v>
      </c>
      <c r="H64" s="229">
        <f>INDEX(GeneralRevenueFundReceiptsPropertyTaxesTable[],MATCH($A$3,GeneralRevenueFundReceiptsPropertyTaxesTable[County]),MATCH(H63,GeneralRevenueFundReceiptsPropertyTaxesTable[#Headers]))</f>
        <v>0</v>
      </c>
      <c r="I64" s="229">
        <f>INDEX(GeneralRevenueFundReceiptsPropertyTaxesTable[],MATCH($A$3,GeneralRevenueFundReceiptsPropertyTaxesTable[County]),MATCH(I63,GeneralRevenueFundReceiptsPropertyTaxesTable[#Headers]))</f>
        <v>0</v>
      </c>
      <c r="J64" s="229">
        <f>INDEX(GeneralRevenueFundReceiptsPropertyTaxesTable[],MATCH($A$3,GeneralRevenueFundReceiptsPropertyTaxesTable[County]),MATCH(J63,GeneralRevenueFundReceiptsPropertyTaxesTable[#Headers]))</f>
        <v>0</v>
      </c>
      <c r="K64" s="229">
        <f>INDEX(GeneralRevenueFundReceiptsPropertyTaxesTable[],MATCH($A$3,GeneralRevenueFundReceiptsPropertyTaxesTable[County]),MATCH(K63,GeneralRevenueFundReceiptsPropertyTaxesTable[#Headers]))</f>
        <v>0</v>
      </c>
      <c r="L64" s="229">
        <f>INDEX(GeneralRevenueFundReceiptsPropertyTaxesTable[],MATCH($A$3,GeneralRevenueFundReceiptsPropertyTaxesTable[County]),MATCH(L63,GeneralRevenueFundReceiptsPropertyTaxesTable[#Headers]))</f>
        <v>0</v>
      </c>
      <c r="M64" s="229">
        <f>INDEX(GeneralRevenueFundReceiptsPropertyTaxesTable[],MATCH($A$3,GeneralRevenueFundReceiptsPropertyTaxesTable[County]),MATCH(M63,GeneralRevenueFundReceiptsPropertyTaxesTable[#Headers]))</f>
        <v>0</v>
      </c>
      <c r="N64" s="229">
        <f>INDEX(GeneralRevenueFundReceiptsPropertyTaxesTable[],MATCH($A$3,GeneralRevenueFundReceiptsPropertyTaxesTable[County]),MATCH(N63,GeneralRevenueFundReceiptsPropertyTaxesTable[#Headers]))</f>
        <v>0</v>
      </c>
      <c r="O64" s="229">
        <f>INDEX(GeneralRevenueFundReceiptsPropertyTaxesTable[],MATCH($A$3,GeneralRevenueFundReceiptsPropertyTaxesTable[County]),MATCH(O63,GeneralRevenueFundReceiptsPropertyTaxesTable[#Headers]))</f>
        <v>0</v>
      </c>
      <c r="P64" s="229">
        <f>INDEX(GeneralRevenueFundReceiptsPropertyTaxesTable[],MATCH($A$3,GeneralRevenueFundReceiptsPropertyTaxesTable[County]),MATCH(P63,GeneralRevenueFundReceiptsPropertyTaxesTable[#Headers]))</f>
        <v>0</v>
      </c>
      <c r="Q64" s="229">
        <f>INDEX(GeneralRevenueFundReceiptsPropertyTaxesTable[],MATCH($A$3,GeneralRevenueFundReceiptsPropertyTaxesTable[County]),MATCH(Q63,GeneralRevenueFundReceiptsPropertyTaxesTable[#Headers]))</f>
        <v>0</v>
      </c>
      <c r="R64" s="229">
        <f>INDEX(GeneralRevenueFundReceiptsPropertyTaxesTable[],MATCH($A$3,GeneralRevenueFundReceiptsPropertyTaxesTable[County]),MATCH(R63,GeneralRevenueFundReceiptsPropertyTaxesTable[#Headers]))</f>
        <v>0</v>
      </c>
      <c r="S64" s="229">
        <f>INDEX(GeneralRevenueFundReceiptsPropertyTaxesTable[],MATCH($A$3,GeneralRevenueFundReceiptsPropertyTaxesTable[County]),MATCH(S63,GeneralRevenueFundReceiptsPropertyTaxesTable[#Headers]))</f>
        <v>0</v>
      </c>
      <c r="T64" s="229">
        <f>INDEX(GeneralRevenueFundReceiptsPropertyTaxesTable[],MATCH($A$3,GeneralRevenueFundReceiptsPropertyTaxesTable[County]),MATCH(T63,GeneralRevenueFundReceiptsPropertyTaxesTable[#Headers]))</f>
        <v>0</v>
      </c>
      <c r="U64" s="229">
        <f>INDEX(GeneralRevenueFundReceiptsPropertyTaxesTable[],MATCH($A$3,GeneralRevenueFundReceiptsPropertyTaxesTable[County]),MATCH(U63,GeneralRevenueFundReceiptsPropertyTaxesTable[#Headers]))</f>
        <v>0</v>
      </c>
      <c r="V64" s="229">
        <f>INDEX(GeneralRevenueFundReceiptsPropertyTaxesTable[],MATCH($A$3,GeneralRevenueFundReceiptsPropertyTaxesTable[County]),MATCH(V63,GeneralRevenueFundReceiptsPropertyTaxesTable[#Headers]))</f>
        <v>0</v>
      </c>
      <c r="W64" s="229">
        <f>INDEX(GeneralRevenueFundReceiptsPropertyTaxesTable[],MATCH($A$3,GeneralRevenueFundReceiptsPropertyTaxesTable[County]),MATCH(W63,GeneralRevenueFundReceiptsPropertyTaxesTable[#Headers]))</f>
        <v>0</v>
      </c>
      <c r="X64" s="229"/>
      <c r="Y64" s="229"/>
      <c r="Z64" s="229"/>
      <c r="AA64" s="545"/>
      <c r="AB64" s="543"/>
      <c r="AC64" s="543"/>
      <c r="AD64" s="81" t="s">
        <v>163</v>
      </c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1" t="s">
        <v>159</v>
      </c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</row>
    <row r="65" spans="1:114" ht="13.5" customHeight="1">
      <c r="A65" s="158" t="s">
        <v>99</v>
      </c>
      <c r="B65" s="229">
        <f>INDEX(GeneralRevenueFundReceiptsSalesTaxesTable[],MATCH($A$3,GeneralRevenueFundReceiptsSalesTaxesTable[County]),MATCH(B63,GeneralRevenueFundReceiptsSalesTaxesTable[#Headers],0))</f>
        <v>1157564.3999999999</v>
      </c>
      <c r="C65" s="229">
        <f>INDEX(GeneralRevenueFundReceiptsSalesTaxesTable[],MATCH($A$3,GeneralRevenueFundReceiptsSalesTaxesTable[County]),MATCH(C63,GeneralRevenueFundReceiptsSalesTaxesTable[#Headers]))</f>
        <v>1152675.68</v>
      </c>
      <c r="D65" s="229">
        <f>INDEX(GeneralRevenueFundReceiptsSalesTaxesTable[],MATCH($A$3,GeneralRevenueFundReceiptsSalesTaxesTable[County]),MATCH(D63,GeneralRevenueFundReceiptsSalesTaxesTable[#Headers]))</f>
        <v>1105558.51</v>
      </c>
      <c r="E65" s="229">
        <f>INDEX(GeneralRevenueFundReceiptsSalesTaxesTable[],MATCH($A$3,GeneralRevenueFundReceiptsSalesTaxesTable[County]),MATCH(E63,GeneralRevenueFundReceiptsSalesTaxesTable[#Headers]))</f>
        <v>1165263.96</v>
      </c>
      <c r="F65" s="229">
        <f>INDEX(GeneralRevenueFundReceiptsSalesTaxesTable[],MATCH($A$3,GeneralRevenueFundReceiptsSalesTaxesTable[County]),MATCH(F63,GeneralRevenueFundReceiptsSalesTaxesTable[#Headers]))</f>
        <v>1282925.1499999999</v>
      </c>
      <c r="G65" s="229">
        <f>INDEX(GeneralRevenueFundReceiptsSalesTaxesTable[],MATCH($A$3,GeneralRevenueFundReceiptsSalesTaxesTable[County]),MATCH(G63,GeneralRevenueFundReceiptsSalesTaxesTable[#Headers]))</f>
        <v>1297332.3999999999</v>
      </c>
      <c r="H65" s="229">
        <f>INDEX(GeneralRevenueFundReceiptsSalesTaxesTable[],MATCH($A$3,GeneralRevenueFundReceiptsSalesTaxesTable[County]),MATCH(H63,GeneralRevenueFundReceiptsSalesTaxesTable[#Headers]))</f>
        <v>1381756.74</v>
      </c>
      <c r="I65" s="229">
        <f>INDEX(GeneralRevenueFundReceiptsSalesTaxesTable[],MATCH($A$3,GeneralRevenueFundReceiptsSalesTaxesTable[County]),MATCH(I63,GeneralRevenueFundReceiptsSalesTaxesTable[#Headers]))</f>
        <v>1250917.08</v>
      </c>
      <c r="J65" s="229">
        <f>INDEX(GeneralRevenueFundReceiptsSalesTaxesTable[],MATCH($A$3,GeneralRevenueFundReceiptsSalesTaxesTable[County]),MATCH(J63,GeneralRevenueFundReceiptsSalesTaxesTable[#Headers]))</f>
        <v>1304053.42</v>
      </c>
      <c r="K65" s="229">
        <f>INDEX(GeneralRevenueFundReceiptsSalesTaxesTable[],MATCH($A$3,GeneralRevenueFundReceiptsSalesTaxesTable[County]),MATCH(K63,GeneralRevenueFundReceiptsSalesTaxesTable[#Headers]))</f>
        <v>1332659.94</v>
      </c>
      <c r="L65" s="229">
        <f>INDEX(GeneralRevenueFundReceiptsSalesTaxesTable[],MATCH($A$3,GeneralRevenueFundReceiptsSalesTaxesTable[County]),MATCH(L63,GeneralRevenueFundReceiptsSalesTaxesTable[#Headers]))</f>
        <v>1381840.76</v>
      </c>
      <c r="M65" s="229">
        <f>INDEX(GeneralRevenueFundReceiptsSalesTaxesTable[],MATCH($A$3,GeneralRevenueFundReceiptsSalesTaxesTable[County]),MATCH(M63,GeneralRevenueFundReceiptsSalesTaxesTable[#Headers]))</f>
        <v>1490439.31</v>
      </c>
      <c r="N65" s="229">
        <f>INDEX(GeneralRevenueFundReceiptsSalesTaxesTable[],MATCH($A$3,GeneralRevenueFundReceiptsSalesTaxesTable[County]),MATCH(N63,GeneralRevenueFundReceiptsSalesTaxesTable[#Headers]))</f>
        <v>1427777.59</v>
      </c>
      <c r="O65" s="229">
        <f>INDEX(GeneralRevenueFundReceiptsSalesTaxesTable[],MATCH($A$3,GeneralRevenueFundReceiptsSalesTaxesTable[County]),MATCH(O63,GeneralRevenueFundReceiptsSalesTaxesTable[#Headers]))</f>
        <v>1418935.51</v>
      </c>
      <c r="P65" s="229">
        <f>INDEX(GeneralRevenueFundReceiptsSalesTaxesTable[],MATCH($A$3,GeneralRevenueFundReceiptsSalesTaxesTable[County]),MATCH(P63,GeneralRevenueFundReceiptsSalesTaxesTable[#Headers]))</f>
        <v>1422506.58</v>
      </c>
      <c r="Q65" s="229">
        <f>INDEX(GeneralRevenueFundReceiptsSalesTaxesTable[],MATCH($A$3,GeneralRevenueFundReceiptsSalesTaxesTable[County]),MATCH(Q63,GeneralRevenueFundReceiptsSalesTaxesTable[#Headers]))</f>
        <v>1481257.78</v>
      </c>
      <c r="R65" s="229">
        <f>INDEX(GeneralRevenueFundReceiptsSalesTaxesTable[],MATCH($A$3,GeneralRevenueFundReceiptsSalesTaxesTable[County]),MATCH(R63,GeneralRevenueFundReceiptsSalesTaxesTable[#Headers]))</f>
        <v>1452769.11</v>
      </c>
      <c r="S65" s="229">
        <f>INDEX(GeneralRevenueFundReceiptsSalesTaxesTable[],MATCH($A$3,GeneralRevenueFundReceiptsSalesTaxesTable[County]),MATCH(S63,GeneralRevenueFundReceiptsSalesTaxesTable[#Headers]))</f>
        <v>1492855.53</v>
      </c>
      <c r="T65" s="229">
        <f>INDEX(GeneralRevenueFundReceiptsSalesTaxesTable[],MATCH($A$3,GeneralRevenueFundReceiptsSalesTaxesTable[County]),MATCH(T63,GeneralRevenueFundReceiptsSalesTaxesTable[#Headers]))</f>
        <v>1569975.7</v>
      </c>
      <c r="U65" s="229">
        <f>INDEX(GeneralRevenueFundReceiptsSalesTaxesTable[],MATCH($A$3,GeneralRevenueFundReceiptsSalesTaxesTable[County]),MATCH(U63,GeneralRevenueFundReceiptsSalesTaxesTable[#Headers]))</f>
        <v>1578283.97</v>
      </c>
      <c r="V65" s="229">
        <f>INDEX(GeneralRevenueFundReceiptsSalesTaxesTable[],MATCH($A$3,GeneralRevenueFundReceiptsSalesTaxesTable[County]),MATCH(V63,GeneralRevenueFundReceiptsSalesTaxesTable[#Headers]))</f>
        <v>1587760.07</v>
      </c>
      <c r="W65" s="229">
        <f>INDEX(GeneralRevenueFundReceiptsSalesTaxesTable[],MATCH($A$3,GeneralRevenueFundReceiptsSalesTaxesTable[County]),MATCH(W63,GeneralRevenueFundReceiptsSalesTaxesTable[#Headers]))</f>
        <v>1600000</v>
      </c>
      <c r="X65" s="229"/>
      <c r="Y65" s="229"/>
      <c r="Z65" s="229"/>
      <c r="AA65" s="545"/>
      <c r="AB65" s="543"/>
      <c r="AC65" s="543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</row>
    <row r="66" spans="1:114" ht="19.5" customHeight="1">
      <c r="A66" s="158" t="s">
        <v>100</v>
      </c>
      <c r="B66" s="229">
        <f>INDEX(GeneralRevenueFundReceiptsIntergovernmentalTable[],MATCH($A$3,GeneralRevenueFundReceiptsIntergovernmentalTable[County]),MATCH(B63,GeneralRevenueFundReceiptsIntergovernmentalTable[#Headers],0))</f>
        <v>192927.4</v>
      </c>
      <c r="C66" s="229">
        <f>INDEX(GeneralRevenueFundReceiptsIntergovernmentalTable[],MATCH($A$3,GeneralRevenueFundReceiptsIntergovernmentalTable[County]),MATCH(C63,GeneralRevenueFundReceiptsIntergovernmentalTable[#Headers]))</f>
        <v>310335.76</v>
      </c>
      <c r="D66" s="229">
        <f>INDEX(GeneralRevenueFundReceiptsIntergovernmentalTable[],MATCH($A$3,GeneralRevenueFundReceiptsIntergovernmentalTable[County]),MATCH(D63,GeneralRevenueFundReceiptsIntergovernmentalTable[#Headers]))</f>
        <v>199363.01</v>
      </c>
      <c r="E66" s="229">
        <f>INDEX(GeneralRevenueFundReceiptsIntergovernmentalTable[],MATCH($A$3,GeneralRevenueFundReceiptsIntergovernmentalTable[County]),MATCH(E63,GeneralRevenueFundReceiptsIntergovernmentalTable[#Headers]))</f>
        <v>187945.8</v>
      </c>
      <c r="F66" s="229">
        <f>INDEX(GeneralRevenueFundReceiptsIntergovernmentalTable[],MATCH($A$3,GeneralRevenueFundReceiptsIntergovernmentalTable[County]),MATCH(F63,GeneralRevenueFundReceiptsIntergovernmentalTable[#Headers]))</f>
        <v>256585.03</v>
      </c>
      <c r="G66" s="229">
        <f>INDEX(GeneralRevenueFundReceiptsIntergovernmentalTable[],MATCH($A$3,GeneralRevenueFundReceiptsIntergovernmentalTable[County]),MATCH(G63,GeneralRevenueFundReceiptsIntergovernmentalTable[#Headers]))</f>
        <v>166799.88</v>
      </c>
      <c r="H66" s="229">
        <f>INDEX(GeneralRevenueFundReceiptsIntergovernmentalTable[],MATCH($A$3,GeneralRevenueFundReceiptsIntergovernmentalTable[County]),MATCH(H63,GeneralRevenueFundReceiptsIntergovernmentalTable[#Headers]))</f>
        <v>200254.6</v>
      </c>
      <c r="I66" s="229">
        <f>INDEX(GeneralRevenueFundReceiptsIntergovernmentalTable[],MATCH($A$3,GeneralRevenueFundReceiptsIntergovernmentalTable[County]),MATCH(I63,GeneralRevenueFundReceiptsIntergovernmentalTable[#Headers]))</f>
        <v>561636.24</v>
      </c>
      <c r="J66" s="229">
        <f>INDEX(GeneralRevenueFundReceiptsIntergovernmentalTable[],MATCH($A$3,GeneralRevenueFundReceiptsIntergovernmentalTable[County]),MATCH(J63,GeneralRevenueFundReceiptsIntergovernmentalTable[#Headers]))</f>
        <v>81962.909999999989</v>
      </c>
      <c r="K66" s="229">
        <f>INDEX(GeneralRevenueFundReceiptsIntergovernmentalTable[],MATCH($A$3,GeneralRevenueFundReceiptsIntergovernmentalTable[County]),MATCH(K63,GeneralRevenueFundReceiptsIntergovernmentalTable[#Headers]))</f>
        <v>111430.34</v>
      </c>
      <c r="L66" s="229">
        <f>INDEX(GeneralRevenueFundReceiptsIntergovernmentalTable[],MATCH($A$3,GeneralRevenueFundReceiptsIntergovernmentalTable[County]),MATCH(L63,GeneralRevenueFundReceiptsIntergovernmentalTable[#Headers]))</f>
        <v>106691.78000000001</v>
      </c>
      <c r="M66" s="229">
        <f>INDEX(GeneralRevenueFundReceiptsIntergovernmentalTable[],MATCH($A$3,GeneralRevenueFundReceiptsIntergovernmentalTable[County]),MATCH(M63,GeneralRevenueFundReceiptsIntergovernmentalTable[#Headers]))</f>
        <v>110194.38</v>
      </c>
      <c r="N66" s="229">
        <f>INDEX(GeneralRevenueFundReceiptsIntergovernmentalTable[],MATCH($A$3,GeneralRevenueFundReceiptsIntergovernmentalTable[County]),MATCH(N63,GeneralRevenueFundReceiptsIntergovernmentalTable[#Headers]))</f>
        <v>265568.13</v>
      </c>
      <c r="O66" s="229">
        <f>INDEX(GeneralRevenueFundReceiptsIntergovernmentalTable[],MATCH($A$3,GeneralRevenueFundReceiptsIntergovernmentalTable[County]),MATCH(O63,GeneralRevenueFundReceiptsIntergovernmentalTable[#Headers]))</f>
        <v>357409.6</v>
      </c>
      <c r="P66" s="229">
        <f>INDEX(GeneralRevenueFundReceiptsIntergovernmentalTable[],MATCH($A$3,GeneralRevenueFundReceiptsIntergovernmentalTable[County]),MATCH(P63,GeneralRevenueFundReceiptsIntergovernmentalTable[#Headers]))</f>
        <v>490543.92</v>
      </c>
      <c r="Q66" s="229">
        <f>INDEX(GeneralRevenueFundReceiptsIntergovernmentalTable[],MATCH($A$3,GeneralRevenueFundReceiptsIntergovernmentalTable[County]),MATCH(Q63,GeneralRevenueFundReceiptsIntergovernmentalTable[#Headers]))</f>
        <v>384195.63999999996</v>
      </c>
      <c r="R66" s="229">
        <f>INDEX(GeneralRevenueFundReceiptsIntergovernmentalTable[],MATCH($A$3,GeneralRevenueFundReceiptsIntergovernmentalTable[County]),MATCH(R63,GeneralRevenueFundReceiptsIntergovernmentalTable[#Headers]))</f>
        <v>467343.3</v>
      </c>
      <c r="S66" s="229">
        <f>INDEX(GeneralRevenueFundReceiptsIntergovernmentalTable[],MATCH($A$3,GeneralRevenueFundReceiptsIntergovernmentalTable[County]),MATCH(S63,GeneralRevenueFundReceiptsIntergovernmentalTable[#Headers]))</f>
        <v>223861.86000000002</v>
      </c>
      <c r="T66" s="229">
        <f>INDEX(GeneralRevenueFundReceiptsIntergovernmentalTable[],MATCH($A$3,GeneralRevenueFundReceiptsIntergovernmentalTable[County]),MATCH(T63,GeneralRevenueFundReceiptsIntergovernmentalTable[#Headers]))</f>
        <v>38790.5</v>
      </c>
      <c r="U66" s="229">
        <f>INDEX(GeneralRevenueFundReceiptsIntergovernmentalTable[],MATCH($A$3,GeneralRevenueFundReceiptsIntergovernmentalTable[County]),MATCH(U63,GeneralRevenueFundReceiptsIntergovernmentalTable[#Headers]))</f>
        <v>147460.99</v>
      </c>
      <c r="V66" s="229">
        <f>INDEX(GeneralRevenueFundReceiptsIntergovernmentalTable[],MATCH($A$3,GeneralRevenueFundReceiptsIntergovernmentalTable[County]),MATCH(V63,GeneralRevenueFundReceiptsIntergovernmentalTable[#Headers]))</f>
        <v>161933.01</v>
      </c>
      <c r="W66" s="229">
        <f>INDEX(GeneralRevenueFundReceiptsIntergovernmentalTable[],MATCH($A$3,GeneralRevenueFundReceiptsIntergovernmentalTable[County]),MATCH(W63,GeneralRevenueFundReceiptsIntergovernmentalTable[#Headers]))</f>
        <v>123733.45999999999</v>
      </c>
      <c r="X66" s="229"/>
      <c r="Y66" s="229"/>
      <c r="Z66" s="229"/>
      <c r="AA66" s="545"/>
      <c r="AB66" s="543"/>
      <c r="AC66" s="543"/>
      <c r="AD66" s="81" t="s">
        <v>176</v>
      </c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1" t="s">
        <v>177</v>
      </c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</row>
    <row r="67" spans="1:114" ht="16.5" customHeight="1">
      <c r="A67" s="158" t="s">
        <v>104</v>
      </c>
      <c r="B67" s="229">
        <f>INDEX(GeneralRevenueFundReceiptsChargesforServicesTable[],MATCH($A$3,GeneralRevenueFundReceiptsChargesforServicesTable[County]),MATCH(B63,GeneralRevenueFundReceiptsChargesforServicesTable[#Headers],0))</f>
        <v>270098.36</v>
      </c>
      <c r="C67" s="229">
        <f>INDEX(GeneralRevenueFundReceiptsChargesforServicesTable[],MATCH($A$3,GeneralRevenueFundReceiptsChargesforServicesTable[County]),MATCH(C63,GeneralRevenueFundReceiptsChargesforServicesTable[#Headers]))</f>
        <v>310335.76</v>
      </c>
      <c r="D67" s="229">
        <f>INDEX(GeneralRevenueFundReceiptsChargesforServicesTable[],MATCH($A$3,GeneralRevenueFundReceiptsChargesforServicesTable[County]),MATCH(D63,GeneralRevenueFundReceiptsChargesforServicesTable[#Headers]))</f>
        <v>289982.56</v>
      </c>
      <c r="E67" s="229">
        <f>INDEX(GeneralRevenueFundReceiptsChargesforServicesTable[],MATCH($A$3,GeneralRevenueFundReceiptsChargesforServicesTable[County]),MATCH(E63,GeneralRevenueFundReceiptsChargesforServicesTable[#Headers]))</f>
        <v>357097.02</v>
      </c>
      <c r="F67" s="229">
        <f>INDEX(GeneralRevenueFundReceiptsChargesforServicesTable[],MATCH($A$3,GeneralRevenueFundReceiptsChargesforServicesTable[County]),MATCH(F63,GeneralRevenueFundReceiptsChargesforServicesTable[#Headers]))</f>
        <v>315796.96000000002</v>
      </c>
      <c r="G67" s="229">
        <f>INDEX(GeneralRevenueFundReceiptsChargesforServicesTable[],MATCH($A$3,GeneralRevenueFundReceiptsChargesforServicesTable[County]),MATCH(G63,GeneralRevenueFundReceiptsChargesforServicesTable[#Headers]))</f>
        <v>315066.44</v>
      </c>
      <c r="H67" s="229">
        <f>INDEX(GeneralRevenueFundReceiptsChargesforServicesTable[],MATCH($A$3,GeneralRevenueFundReceiptsChargesforServicesTable[County]),MATCH(H63,GeneralRevenueFundReceiptsChargesforServicesTable[#Headers]))</f>
        <v>380483.74</v>
      </c>
      <c r="I67" s="229">
        <f>INDEX(GeneralRevenueFundReceiptsChargesforServicesTable[],MATCH($A$3,GeneralRevenueFundReceiptsChargesforServicesTable[County]),MATCH(I63,GeneralRevenueFundReceiptsChargesforServicesTable[#Headers]))</f>
        <v>408462.72</v>
      </c>
      <c r="J67" s="229">
        <f>INDEX(GeneralRevenueFundReceiptsChargesforServicesTable[],MATCH($A$3,GeneralRevenueFundReceiptsChargesforServicesTable[County]),MATCH(J63,GeneralRevenueFundReceiptsChargesforServicesTable[#Headers]))</f>
        <v>304044.64</v>
      </c>
      <c r="K67" s="229">
        <f>INDEX(GeneralRevenueFundReceiptsChargesforServicesTable[],MATCH($A$3,GeneralRevenueFundReceiptsChargesforServicesTable[County]),MATCH(K63,GeneralRevenueFundReceiptsChargesforServicesTable[#Headers]))</f>
        <v>341121.74000000005</v>
      </c>
      <c r="L67" s="229">
        <f>INDEX(GeneralRevenueFundReceiptsChargesforServicesTable[],MATCH($A$3,GeneralRevenueFundReceiptsChargesforServicesTable[County]),MATCH(L63,GeneralRevenueFundReceiptsChargesforServicesTable[#Headers]))</f>
        <v>371162.68000000005</v>
      </c>
      <c r="M67" s="229">
        <f>INDEX(GeneralRevenueFundReceiptsChargesforServicesTable[],MATCH($A$3,GeneralRevenueFundReceiptsChargesforServicesTable[County]),MATCH(M63,GeneralRevenueFundReceiptsChargesforServicesTable[#Headers]))</f>
        <v>373667.83</v>
      </c>
      <c r="N67" s="229">
        <f>INDEX(GeneralRevenueFundReceiptsChargesforServicesTable[],MATCH($A$3,GeneralRevenueFundReceiptsChargesforServicesTable[County]),MATCH(N63,GeneralRevenueFundReceiptsChargesforServicesTable[#Headers]))</f>
        <v>351950.05</v>
      </c>
      <c r="O67" s="229">
        <f>INDEX(GeneralRevenueFundReceiptsChargesforServicesTable[],MATCH($A$3,GeneralRevenueFundReceiptsChargesforServicesTable[County]),MATCH(O63,GeneralRevenueFundReceiptsChargesforServicesTable[#Headers]))</f>
        <v>367981.55000000005</v>
      </c>
      <c r="P67" s="229">
        <f>INDEX(GeneralRevenueFundReceiptsChargesforServicesTable[],MATCH($A$3,GeneralRevenueFundReceiptsChargesforServicesTable[County]),MATCH(P63,GeneralRevenueFundReceiptsChargesforServicesTable[#Headers]))</f>
        <v>371120.68999999994</v>
      </c>
      <c r="Q67" s="229">
        <f>INDEX(GeneralRevenueFundReceiptsChargesforServicesTable[],MATCH($A$3,GeneralRevenueFundReceiptsChargesforServicesTable[County]),MATCH(Q63,GeneralRevenueFundReceiptsChargesforServicesTable[#Headers]))</f>
        <v>379232.82000000007</v>
      </c>
      <c r="R67" s="229">
        <f>INDEX(GeneralRevenueFundReceiptsChargesforServicesTable[],MATCH($A$3,GeneralRevenueFundReceiptsChargesforServicesTable[County]),MATCH(R63,GeneralRevenueFundReceiptsChargesforServicesTable[#Headers]))</f>
        <v>407275.12999999995</v>
      </c>
      <c r="S67" s="229">
        <f>INDEX(GeneralRevenueFundReceiptsChargesforServicesTable[],MATCH($A$3,GeneralRevenueFundReceiptsChargesforServicesTable[County]),MATCH(S63,GeneralRevenueFundReceiptsChargesforServicesTable[#Headers]))</f>
        <v>401151.36</v>
      </c>
      <c r="T67" s="229">
        <f>INDEX(GeneralRevenueFundReceiptsChargesforServicesTable[],MATCH($A$3,GeneralRevenueFundReceiptsChargesforServicesTable[County]),MATCH(T63,GeneralRevenueFundReceiptsChargesforServicesTable[#Headers]))</f>
        <v>390941.35</v>
      </c>
      <c r="U67" s="229">
        <f>INDEX(GeneralRevenueFundReceiptsChargesforServicesTable[],MATCH($A$3,GeneralRevenueFundReceiptsChargesforServicesTable[County]),MATCH(U63,GeneralRevenueFundReceiptsChargesforServicesTable[#Headers]))</f>
        <v>392468.51</v>
      </c>
      <c r="V67" s="229">
        <f>INDEX(GeneralRevenueFundReceiptsChargesforServicesTable[],MATCH($A$3,GeneralRevenueFundReceiptsChargesforServicesTable[County]),MATCH(V63,GeneralRevenueFundReceiptsChargesforServicesTable[#Headers]))</f>
        <v>394577.08000000007</v>
      </c>
      <c r="W67" s="229">
        <f>INDEX(GeneralRevenueFundReceiptsChargesforServicesTable[],MATCH($A$3,GeneralRevenueFundReceiptsChargesforServicesTable[County]),MATCH(W63,GeneralRevenueFundReceiptsChargesforServicesTable[#Headers]))</f>
        <v>378320</v>
      </c>
      <c r="X67" s="229"/>
      <c r="Y67" s="229"/>
      <c r="Z67" s="229"/>
      <c r="AA67" s="545"/>
      <c r="AB67" s="543"/>
      <c r="AC67" s="543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542" t="s">
        <v>492</v>
      </c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</row>
    <row r="68" spans="1:114" ht="16.5" customHeight="1">
      <c r="A68" s="158" t="s">
        <v>101</v>
      </c>
      <c r="B68" s="229">
        <f>INDEX(GeneralRevenueFundReceiptsInterestTable[],MATCH($A$3,GeneralRevenueFundReceiptsInterestTable[County]),MATCH(B63,GeneralRevenueFundReceiptsInterestTable[#Headers],0))</f>
        <v>19292.740000000002</v>
      </c>
      <c r="C68" s="229">
        <f>INDEX(GeneralRevenueFundReceiptsInterestTable[],MATCH($A$3,GeneralRevenueFundReceiptsInterestTable[County]),MATCH(C63,GeneralRevenueFundReceiptsInterestTable[#Headers]))</f>
        <v>0</v>
      </c>
      <c r="D68" s="229">
        <f>INDEX(GeneralRevenueFundReceiptsInterestTable[],MATCH($A$3,GeneralRevenueFundReceiptsInterestTable[County]),MATCH(D63,GeneralRevenueFundReceiptsInterestTable[#Headers]))</f>
        <v>18123.91</v>
      </c>
      <c r="E68" s="229">
        <f>INDEX(GeneralRevenueFundReceiptsInterestTable[],MATCH($A$3,GeneralRevenueFundReceiptsInterestTable[County]),MATCH(E63,GeneralRevenueFundReceiptsInterestTable[#Headers]))</f>
        <v>18794.580000000002</v>
      </c>
      <c r="F68" s="229">
        <f>INDEX(GeneralRevenueFundReceiptsInterestTable[],MATCH($A$3,GeneralRevenueFundReceiptsInterestTable[County]),MATCH(F63,GeneralRevenueFundReceiptsInterestTable[#Headers]))</f>
        <v>19737.310000000001</v>
      </c>
      <c r="G68" s="229">
        <f>INDEX(GeneralRevenueFundReceiptsInterestTable[],MATCH($A$3,GeneralRevenueFundReceiptsInterestTable[County]),MATCH(G63,GeneralRevenueFundReceiptsInterestTable[#Headers]))</f>
        <v>18533.32</v>
      </c>
      <c r="H68" s="229">
        <f>INDEX(GeneralRevenueFundReceiptsInterestTable[],MATCH($A$3,GeneralRevenueFundReceiptsInterestTable[County]),MATCH(H63,GeneralRevenueFundReceiptsInterestTable[#Headers]))</f>
        <v>20025.46</v>
      </c>
      <c r="I68" s="229">
        <f>INDEX(GeneralRevenueFundReceiptsInterestTable[],MATCH($A$3,GeneralRevenueFundReceiptsInterestTable[County]),MATCH(I63,GeneralRevenueFundReceiptsInterestTable[#Headers]))</f>
        <v>25528.92</v>
      </c>
      <c r="J68" s="229">
        <f>INDEX(GeneralRevenueFundReceiptsInterestTable[],MATCH($A$3,GeneralRevenueFundReceiptsInterestTable[County]),MATCH(J63,GeneralRevenueFundReceiptsInterestTable[#Headers]))</f>
        <v>8572.64</v>
      </c>
      <c r="K68" s="229">
        <f>INDEX(GeneralRevenueFundReceiptsInterestTable[],MATCH($A$3,GeneralRevenueFundReceiptsInterestTable[County]),MATCH(K63,GeneralRevenueFundReceiptsInterestTable[#Headers]))</f>
        <v>6579.78</v>
      </c>
      <c r="L68" s="229">
        <f>INDEX(GeneralRevenueFundReceiptsInterestTable[],MATCH($A$3,GeneralRevenueFundReceiptsInterestTable[County]),MATCH(L63,GeneralRevenueFundReceiptsInterestTable[#Headers]))</f>
        <v>15201.97</v>
      </c>
      <c r="M68" s="229">
        <f>INDEX(GeneralRevenueFundReceiptsInterestTable[],MATCH($A$3,GeneralRevenueFundReceiptsInterestTable[County]),MATCH(M63,GeneralRevenueFundReceiptsInterestTable[#Headers]))</f>
        <v>33298.03</v>
      </c>
      <c r="N68" s="229">
        <f>INDEX(GeneralRevenueFundReceiptsInterestTable[],MATCH($A$3,GeneralRevenueFundReceiptsInterestTable[County]),MATCH(N63,GeneralRevenueFundReceiptsInterestTable[#Headers]))</f>
        <v>54662.75</v>
      </c>
      <c r="O68" s="229">
        <f>INDEX(GeneralRevenueFundReceiptsInterestTable[],MATCH($A$3,GeneralRevenueFundReceiptsInterestTable[County]),MATCH(O63,GeneralRevenueFundReceiptsInterestTable[#Headers]))</f>
        <v>42168.94</v>
      </c>
      <c r="P68" s="229">
        <f>INDEX(GeneralRevenueFundReceiptsInterestTable[],MATCH($A$3,GeneralRevenueFundReceiptsInterestTable[County]),MATCH(P63,GeneralRevenueFundReceiptsInterestTable[#Headers]))</f>
        <v>38846.160000000003</v>
      </c>
      <c r="Q68" s="229">
        <f>INDEX(GeneralRevenueFundReceiptsInterestTable[],MATCH($A$3,GeneralRevenueFundReceiptsInterestTable[County]),MATCH(Q63,GeneralRevenueFundReceiptsInterestTable[#Headers]))</f>
        <v>35112.21</v>
      </c>
      <c r="R68" s="229">
        <f>INDEX(GeneralRevenueFundReceiptsInterestTable[],MATCH($A$3,GeneralRevenueFundReceiptsInterestTable[County]),MATCH(R63,GeneralRevenueFundReceiptsInterestTable[#Headers]))</f>
        <v>22262.63</v>
      </c>
      <c r="S68" s="229">
        <f>INDEX(GeneralRevenueFundReceiptsInterestTable[],MATCH($A$3,GeneralRevenueFundReceiptsInterestTable[County]),MATCH(S63,GeneralRevenueFundReceiptsInterestTable[#Headers]))</f>
        <v>18533.57</v>
      </c>
      <c r="T68" s="229">
        <f>INDEX(GeneralRevenueFundReceiptsInterestTable[],MATCH($A$3,GeneralRevenueFundReceiptsInterestTable[County]),MATCH(T63,GeneralRevenueFundReceiptsInterestTable[#Headers]))</f>
        <v>11711.73</v>
      </c>
      <c r="U68" s="229">
        <f>INDEX(GeneralRevenueFundReceiptsInterestTable[],MATCH($A$3,GeneralRevenueFundReceiptsInterestTable[County]),MATCH(U63,GeneralRevenueFundReceiptsInterestTable[#Headers]))</f>
        <v>11235.35</v>
      </c>
      <c r="V68" s="229">
        <f>INDEX(GeneralRevenueFundReceiptsInterestTable[],MATCH($A$3,GeneralRevenueFundReceiptsInterestTable[County]),MATCH(V63,GeneralRevenueFundReceiptsInterestTable[#Headers]))</f>
        <v>5494.65</v>
      </c>
      <c r="W68" s="229">
        <f>INDEX(GeneralRevenueFundReceiptsInterestTable[],MATCH($A$3,GeneralRevenueFundReceiptsInterestTable[County]),MATCH(W63,GeneralRevenueFundReceiptsInterestTable[#Headers]))</f>
        <v>6000</v>
      </c>
      <c r="X68" s="229"/>
      <c r="Y68" s="229"/>
      <c r="Z68" s="229"/>
      <c r="AA68" s="545"/>
      <c r="AB68" s="543"/>
      <c r="AC68" s="543"/>
      <c r="AD68" s="81" t="s">
        <v>164</v>
      </c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3" t="s">
        <v>161</v>
      </c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</row>
    <row r="69" spans="1:114" ht="14.25" customHeight="1">
      <c r="A69" s="158" t="s">
        <v>102</v>
      </c>
      <c r="B69" s="229">
        <f>INDEX(GeneralRevenueFundReceiptsOtherTable[],MATCH($A$3,GeneralRevenueFundReceiptsOtherTable[County]),MATCH(B63,GeneralRevenueFundReceiptsOtherTable[#Headers],0))</f>
        <v>289391.09999999998</v>
      </c>
      <c r="C69" s="229">
        <f>INDEX(GeneralRevenueFundReceiptsOtherTable[],MATCH($A$3,GeneralRevenueFundReceiptsOtherTable[County]),MATCH(C63,GeneralRevenueFundReceiptsOtherTable[#Headers]))</f>
        <v>421169.96</v>
      </c>
      <c r="D69" s="229">
        <f>INDEX(GeneralRevenueFundReceiptsOtherTable[],MATCH($A$3,GeneralRevenueFundReceiptsOtherTable[County]),MATCH(D63,GeneralRevenueFundReceiptsOtherTable[#Headers]))</f>
        <v>199363.01</v>
      </c>
      <c r="E69" s="229">
        <f>INDEX(GeneralRevenueFundReceiptsOtherTable[],MATCH($A$3,GeneralRevenueFundReceiptsOtherTable[County]),MATCH(E63,GeneralRevenueFundReceiptsOtherTable[#Headers]))</f>
        <v>150356.64000000001</v>
      </c>
      <c r="F69" s="229">
        <f>INDEX(GeneralRevenueFundReceiptsOtherTable[],MATCH($A$3,GeneralRevenueFundReceiptsOtherTable[County]),MATCH(F63,GeneralRevenueFundReceiptsOtherTable[#Headers]))</f>
        <v>98686.55</v>
      </c>
      <c r="G69" s="229">
        <f>INDEX(GeneralRevenueFundReceiptsOtherTable[],MATCH($A$3,GeneralRevenueFundReceiptsOtherTable[County]),MATCH(G63,GeneralRevenueFundReceiptsOtherTable[#Headers]))</f>
        <v>55599.96</v>
      </c>
      <c r="H69" s="229">
        <f>INDEX(GeneralRevenueFundReceiptsOtherTable[],MATCH($A$3,GeneralRevenueFundReceiptsOtherTable[County]),MATCH(H63,GeneralRevenueFundReceiptsOtherTable[#Headers]))</f>
        <v>20025.46</v>
      </c>
      <c r="I69" s="229">
        <f>INDEX(GeneralRevenueFundReceiptsOtherTable[],MATCH($A$3,GeneralRevenueFundReceiptsOtherTable[County]),MATCH(I63,GeneralRevenueFundReceiptsOtherTable[#Headers]))</f>
        <v>306347.03999999998</v>
      </c>
      <c r="J69" s="229">
        <f>INDEX(GeneralRevenueFundReceiptsOtherTable[],MATCH($A$3,GeneralRevenueFundReceiptsOtherTable[County]),MATCH(J63,GeneralRevenueFundReceiptsOtherTable[#Headers]))</f>
        <v>172749.35</v>
      </c>
      <c r="K69" s="229">
        <f>INDEX(GeneralRevenueFundReceiptsOtherTable[],MATCH($A$3,GeneralRevenueFundReceiptsOtherTable[County]),MATCH(K63,GeneralRevenueFundReceiptsOtherTable[#Headers]))</f>
        <v>114611.95</v>
      </c>
      <c r="L69" s="229">
        <f>INDEX(GeneralRevenueFundReceiptsOtherTable[],MATCH($A$3,GeneralRevenueFundReceiptsOtherTable[County]),MATCH(L63,GeneralRevenueFundReceiptsOtherTable[#Headers]))</f>
        <v>87055.83</v>
      </c>
      <c r="M69" s="229">
        <f>INDEX(GeneralRevenueFundReceiptsOtherTable[],MATCH($A$3,GeneralRevenueFundReceiptsOtherTable[County]),MATCH(M63,GeneralRevenueFundReceiptsOtherTable[#Headers]))</f>
        <v>84861.140000000014</v>
      </c>
      <c r="N69" s="229">
        <f>INDEX(GeneralRevenueFundReceiptsOtherTable[],MATCH($A$3,GeneralRevenueFundReceiptsOtherTable[County]),MATCH(N63,GeneralRevenueFundReceiptsOtherTable[#Headers]))</f>
        <v>98154.67</v>
      </c>
      <c r="O69" s="229">
        <f>INDEX(GeneralRevenueFundReceiptsOtherTable[],MATCH($A$3,GeneralRevenueFundReceiptsOtherTable[County]),MATCH(O63,GeneralRevenueFundReceiptsOtherTable[#Headers]))</f>
        <v>100501.01</v>
      </c>
      <c r="P69" s="229">
        <f>INDEX(GeneralRevenueFundReceiptsOtherTable[],MATCH($A$3,GeneralRevenueFundReceiptsOtherTable[County]),MATCH(P63,GeneralRevenueFundReceiptsOtherTable[#Headers]))</f>
        <v>79177.960000000006</v>
      </c>
      <c r="Q69" s="229">
        <f>INDEX(GeneralRevenueFundReceiptsOtherTable[],MATCH($A$3,GeneralRevenueFundReceiptsOtherTable[County]),MATCH(Q63,GeneralRevenueFundReceiptsOtherTable[#Headers]))</f>
        <v>110902.18000000001</v>
      </c>
      <c r="R69" s="229">
        <f>INDEX(GeneralRevenueFundReceiptsOtherTable[],MATCH($A$3,GeneralRevenueFundReceiptsOtherTable[County]),MATCH(R63,GeneralRevenueFundReceiptsOtherTable[#Headers]))</f>
        <v>80514.559999999998</v>
      </c>
      <c r="S69" s="229">
        <f>INDEX(GeneralRevenueFundReceiptsOtherTable[],MATCH($A$3,GeneralRevenueFundReceiptsOtherTable[County]),MATCH(S63,GeneralRevenueFundReceiptsOtherTable[#Headers]))</f>
        <v>164389.51</v>
      </c>
      <c r="T69" s="229">
        <f>INDEX(GeneralRevenueFundReceiptsOtherTable[],MATCH($A$3,GeneralRevenueFundReceiptsOtherTable[County]),MATCH(T63,GeneralRevenueFundReceiptsOtherTable[#Headers]))</f>
        <v>123425.78</v>
      </c>
      <c r="U69" s="229">
        <f>INDEX(GeneralRevenueFundReceiptsOtherTable[],MATCH($A$3,GeneralRevenueFundReceiptsOtherTable[County]),MATCH(U63,GeneralRevenueFundReceiptsOtherTable[#Headers]))</f>
        <v>77155.86</v>
      </c>
      <c r="V69" s="229">
        <f>INDEX(GeneralRevenueFundReceiptsOtherTable[],MATCH($A$3,GeneralRevenueFundReceiptsOtherTable[County]),MATCH(V63,GeneralRevenueFundReceiptsOtherTable[#Headers]))</f>
        <v>83418.91</v>
      </c>
      <c r="W69" s="229">
        <f>INDEX(GeneralRevenueFundReceiptsOtherTable[],MATCH($A$3,GeneralRevenueFundReceiptsOtherTable[County]),MATCH(W63,GeneralRevenueFundReceiptsOtherTable[#Headers]))</f>
        <v>113907</v>
      </c>
      <c r="X69" s="229"/>
      <c r="Y69" s="229"/>
      <c r="Z69" s="229"/>
      <c r="AA69" s="545"/>
      <c r="AB69" s="543"/>
      <c r="AC69" s="543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3" t="s">
        <v>162</v>
      </c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143" t="s">
        <v>261</v>
      </c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</row>
    <row r="70" spans="1:114" ht="14.25" customHeight="1">
      <c r="A70" s="176"/>
      <c r="B70" s="176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232"/>
      <c r="P70" s="176"/>
      <c r="Q70" s="176"/>
      <c r="R70" s="176"/>
      <c r="S70" s="170"/>
      <c r="T70" s="170"/>
      <c r="U70" s="170"/>
      <c r="V70" s="170"/>
      <c r="W70" s="170"/>
      <c r="X70" s="17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</row>
    <row r="71" spans="1:114" ht="14.25" customHeight="1">
      <c r="A71" s="166" t="str">
        <f>CONCATENATE($A$5," County Detailed General Revenue Receipts")</f>
        <v>Andrew County Detailed General Revenue Receipts</v>
      </c>
      <c r="B71" s="167"/>
      <c r="C71" s="167"/>
      <c r="D71" s="167"/>
      <c r="E71" s="167"/>
      <c r="F71" s="167"/>
      <c r="G71" s="167"/>
      <c r="H71" s="167"/>
      <c r="I71" s="167"/>
      <c r="J71" s="167"/>
      <c r="K71" s="167" t="s">
        <v>94</v>
      </c>
      <c r="L71" s="167"/>
      <c r="M71" s="167"/>
      <c r="N71" s="167"/>
      <c r="O71" s="233"/>
      <c r="P71" s="167"/>
      <c r="Q71" s="167"/>
      <c r="R71" s="167"/>
      <c r="S71" s="170"/>
      <c r="T71" s="170"/>
      <c r="U71" s="170"/>
      <c r="V71" s="170"/>
      <c r="W71" s="170"/>
      <c r="X71" s="17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</row>
    <row r="72" spans="1:114" ht="16.5" customHeight="1">
      <c r="A72" s="307" t="s">
        <v>434</v>
      </c>
      <c r="B72" s="308" t="s">
        <v>409</v>
      </c>
      <c r="C72" s="308" t="s">
        <v>410</v>
      </c>
      <c r="D72" s="308" t="s">
        <v>411</v>
      </c>
      <c r="E72" s="308" t="s">
        <v>412</v>
      </c>
      <c r="F72" s="308" t="s">
        <v>413</v>
      </c>
      <c r="G72" s="308" t="s">
        <v>414</v>
      </c>
      <c r="H72" s="308" t="s">
        <v>415</v>
      </c>
      <c r="I72" s="308" t="s">
        <v>416</v>
      </c>
      <c r="J72" s="308" t="s">
        <v>417</v>
      </c>
      <c r="K72" s="308" t="s">
        <v>418</v>
      </c>
      <c r="L72" s="308" t="s">
        <v>419</v>
      </c>
      <c r="M72" s="308" t="s">
        <v>420</v>
      </c>
      <c r="N72" s="308" t="s">
        <v>421</v>
      </c>
      <c r="O72" s="313" t="s">
        <v>422</v>
      </c>
      <c r="P72" s="302" t="s">
        <v>423</v>
      </c>
      <c r="Q72" s="302" t="s">
        <v>355</v>
      </c>
      <c r="R72" s="302" t="s">
        <v>399</v>
      </c>
      <c r="S72" s="302" t="s">
        <v>424</v>
      </c>
      <c r="T72" s="302" t="s">
        <v>446</v>
      </c>
      <c r="U72" s="302" t="s">
        <v>523</v>
      </c>
      <c r="V72" s="302" t="s">
        <v>524</v>
      </c>
      <c r="W72" s="302" t="s">
        <v>525</v>
      </c>
      <c r="X72" s="302"/>
      <c r="Y72" s="30"/>
      <c r="Z72" s="30"/>
      <c r="AA72" s="544"/>
      <c r="AB72" s="543"/>
      <c r="AC72" s="543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</row>
    <row r="73" spans="1:114" ht="15" customHeight="1">
      <c r="A73" s="158" t="s">
        <v>138</v>
      </c>
      <c r="B73" s="229">
        <f>INDEX(GeneralRevenueFundReceiptsPropertyTaxesTable[],MATCH($A$5,GeneralRevenueFundReceiptsPropertyTaxesTable[County]),MATCH(B72,GeneralRevenueFundReceiptsPropertyTaxesTable[#Headers],0))</f>
        <v>209246.64</v>
      </c>
      <c r="C73" s="229">
        <f>INDEX(GeneralRevenueFundReceiptsPropertyTaxesTable[],MATCH($A$5,GeneralRevenueFundReceiptsPropertyTaxesTable[County]),MATCH(C72,GeneralRevenueFundReceiptsPropertyTaxesTable[#Headers]))</f>
        <v>241177.08</v>
      </c>
      <c r="D73" s="229">
        <f>INDEX(GeneralRevenueFundReceiptsPropertyTaxesTable[],MATCH($A$5,GeneralRevenueFundReceiptsPropertyTaxesTable[County]),MATCH(D72,GeneralRevenueFundReceiptsPropertyTaxesTable[#Headers]))</f>
        <v>230537.79</v>
      </c>
      <c r="E73" s="229">
        <f>INDEX(GeneralRevenueFundReceiptsPropertyTaxesTable[],MATCH($A$5,GeneralRevenueFundReceiptsPropertyTaxesTable[County]),MATCH(E72,GeneralRevenueFundReceiptsPropertyTaxesTable[#Headers]))</f>
        <v>269793.12</v>
      </c>
      <c r="F73" s="229">
        <f>INDEX(GeneralRevenueFundReceiptsPropertyTaxesTable[],MATCH($A$5,GeneralRevenueFundReceiptsPropertyTaxesTable[County]),MATCH(F72,GeneralRevenueFundReceiptsPropertyTaxesTable[#Headers]))</f>
        <v>212403.28</v>
      </c>
      <c r="G73" s="229">
        <f>INDEX(GeneralRevenueFundReceiptsPropertyTaxesTable[],MATCH($A$5,GeneralRevenueFundReceiptsPropertyTaxesTable[County]),MATCH(G72,GeneralRevenueFundReceiptsPropertyTaxesTable[#Headers]))</f>
        <v>313520.21999999997</v>
      </c>
      <c r="H73" s="229">
        <f>INDEX(GeneralRevenueFundReceiptsPropertyTaxesTable[],MATCH($A$5,GeneralRevenueFundReceiptsPropertyTaxesTable[County]),MATCH(H72,GeneralRevenueFundReceiptsPropertyTaxesTable[#Headers]))</f>
        <v>318608.65000000002</v>
      </c>
      <c r="I73" s="229">
        <f>INDEX(GeneralRevenueFundReceiptsPropertyTaxesTable[],MATCH($A$5,GeneralRevenueFundReceiptsPropertyTaxesTable[County]),MATCH(I72,GeneralRevenueFundReceiptsPropertyTaxesTable[#Headers]))</f>
        <v>274946.75</v>
      </c>
      <c r="J73" s="229">
        <f>INDEX(GeneralRevenueFundReceiptsPropertyTaxesTable[],MATCH($A$5,GeneralRevenueFundReceiptsPropertyTaxesTable[County]),MATCH(J72,GeneralRevenueFundReceiptsPropertyTaxesTable[#Headers]))</f>
        <v>348664</v>
      </c>
      <c r="K73" s="229">
        <f>INDEX(GeneralRevenueFundReceiptsPropertyTaxesTable[],MATCH($A$5,GeneralRevenueFundReceiptsPropertyTaxesTable[County]),MATCH(K72,GeneralRevenueFundReceiptsPropertyTaxesTable[#Headers]))</f>
        <v>318133</v>
      </c>
      <c r="L73" s="229">
        <f>INDEX(GeneralRevenueFundReceiptsPropertyTaxesTable[],MATCH($A$5,GeneralRevenueFundReceiptsPropertyTaxesTable[County]),MATCH(L72,GeneralRevenueFundReceiptsPropertyTaxesTable[#Headers]))</f>
        <v>376774</v>
      </c>
      <c r="M73" s="229">
        <f>INDEX(GeneralRevenueFundReceiptsPropertyTaxesTable[],MATCH($A$5,GeneralRevenueFundReceiptsPropertyTaxesTable[County]),MATCH(M72,GeneralRevenueFundReceiptsPropertyTaxesTable[#Headers]))</f>
        <v>325959</v>
      </c>
      <c r="N73" s="229">
        <f>INDEX(GeneralRevenueFundReceiptsPropertyTaxesTable[],MATCH($A$5,GeneralRevenueFundReceiptsPropertyTaxesTable[County]),MATCH(N72,GeneralRevenueFundReceiptsPropertyTaxesTable[#Headers]))</f>
        <v>416336</v>
      </c>
      <c r="O73" s="229">
        <f>INDEX(GeneralRevenueFundReceiptsPropertyTaxesTable[],MATCH($A$5,GeneralRevenueFundReceiptsPropertyTaxesTable[County]),MATCH(O72,GeneralRevenueFundReceiptsPropertyTaxesTable[#Headers]))</f>
        <v>460093</v>
      </c>
      <c r="P73" s="229">
        <f>INDEX(GeneralRevenueFundReceiptsPropertyTaxesTable[],MATCH($A$5,GeneralRevenueFundReceiptsPropertyTaxesTable[County]),MATCH(P72,GeneralRevenueFundReceiptsPropertyTaxesTable[#Headers]))</f>
        <v>420511</v>
      </c>
      <c r="Q73" s="229">
        <f>INDEX(GeneralRevenueFundReceiptsPropertyTaxesTable[],MATCH($A$5,GeneralRevenueFundReceiptsPropertyTaxesTable[County]),MATCH(Q72,GeneralRevenueFundReceiptsPropertyTaxesTable[#Headers]))</f>
        <v>468403</v>
      </c>
      <c r="R73" s="229">
        <f>INDEX(GeneralRevenueFundReceiptsPropertyTaxesTable[],MATCH($A$5,GeneralRevenueFundReceiptsPropertyTaxesTable[County]),MATCH(R72,GeneralRevenueFundReceiptsPropertyTaxesTable[#Headers]))</f>
        <v>450543</v>
      </c>
      <c r="S73" s="229">
        <f>INDEX(GeneralRevenueFundReceiptsPropertyTaxesTable[],MATCH($A$5,GeneralRevenueFundReceiptsPropertyTaxesTable[County]),MATCH(S72,GeneralRevenueFundReceiptsPropertyTaxesTable[#Headers]))</f>
        <v>435764</v>
      </c>
      <c r="T73" s="229">
        <f>INDEX(GeneralRevenueFundReceiptsPropertyTaxesTable[],MATCH($A$5,GeneralRevenueFundReceiptsPropertyTaxesTable[County]),MATCH(T72,GeneralRevenueFundReceiptsPropertyTaxesTable[#Headers]))</f>
        <v>535706</v>
      </c>
      <c r="U73" s="229">
        <f>INDEX(GeneralRevenueFundReceiptsPropertyTaxesTable[],MATCH($A$5,GeneralRevenueFundReceiptsPropertyTaxesTable[County]),MATCH(U72,GeneralRevenueFundReceiptsPropertyTaxesTable[#Headers]))</f>
        <v>596503</v>
      </c>
      <c r="V73" s="229">
        <f>INDEX(GeneralRevenueFundReceiptsPropertyTaxesTable[],MATCH($A$5,GeneralRevenueFundReceiptsPropertyTaxesTable[County]),MATCH(V72,GeneralRevenueFundReceiptsPropertyTaxesTable[#Headers]))</f>
        <v>616557</v>
      </c>
      <c r="W73" s="229">
        <f>INDEX(GeneralRevenueFundReceiptsPropertyTaxesTable[],MATCH($A$5,GeneralRevenueFundReceiptsPropertyTaxesTable[County]),MATCH(W72,GeneralRevenueFundReceiptsPropertyTaxesTable[#Headers]))</f>
        <v>640000</v>
      </c>
      <c r="X73" s="229"/>
      <c r="Y73" s="229"/>
      <c r="Z73" s="229"/>
      <c r="AA73" s="545"/>
      <c r="AB73" s="543"/>
      <c r="AC73" s="543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</row>
    <row r="74" spans="1:114" ht="14.25" customHeight="1">
      <c r="A74" s="158" t="s">
        <v>99</v>
      </c>
      <c r="B74" s="229">
        <f>INDEX(GeneralRevenueFundReceiptsSalesTaxesTable[],MATCH($A$5,GeneralRevenueFundReceiptsSalesTaxesTable[County]),MATCH(B72,GeneralRevenueFundReceiptsSalesTaxesTable[#Headers],0))</f>
        <v>318418.8</v>
      </c>
      <c r="C74" s="229">
        <f>INDEX(GeneralRevenueFundReceiptsSalesTaxesTable[],MATCH($A$5,GeneralRevenueFundReceiptsSalesTaxesTable[County]),MATCH(C72,GeneralRevenueFundReceiptsSalesTaxesTable[#Headers]))</f>
        <v>335550.71999999997</v>
      </c>
      <c r="D74" s="229">
        <f>INDEX(GeneralRevenueFundReceiptsSalesTaxesTable[],MATCH($A$5,GeneralRevenueFundReceiptsSalesTaxesTable[County]),MATCH(D72,GeneralRevenueFundReceiptsSalesTaxesTable[#Headers]))</f>
        <v>373251.66</v>
      </c>
      <c r="E74" s="229">
        <f>INDEX(GeneralRevenueFundReceiptsSalesTaxesTable[],MATCH($A$5,GeneralRevenueFundReceiptsSalesTaxesTable[County]),MATCH(E72,GeneralRevenueFundReceiptsSalesTaxesTable[#Headers]))</f>
        <v>382206.92</v>
      </c>
      <c r="F74" s="229">
        <f>INDEX(GeneralRevenueFundReceiptsSalesTaxesTable[],MATCH($A$5,GeneralRevenueFundReceiptsSalesTaxesTable[County]),MATCH(F72,GeneralRevenueFundReceiptsSalesTaxesTable[#Headers]))</f>
        <v>413627.44</v>
      </c>
      <c r="G74" s="229">
        <f>INDEX(GeneralRevenueFundReceiptsSalesTaxesTable[],MATCH($A$5,GeneralRevenueFundReceiptsSalesTaxesTable[County]),MATCH(G72,GeneralRevenueFundReceiptsSalesTaxesTable[#Headers]))</f>
        <v>487698.12</v>
      </c>
      <c r="H74" s="229">
        <f>INDEX(GeneralRevenueFundReceiptsSalesTaxesTable[],MATCH($A$5,GeneralRevenueFundReceiptsSalesTaxesTable[County]),MATCH(H72,GeneralRevenueFundReceiptsSalesTaxesTable[#Headers]))</f>
        <v>443281.6</v>
      </c>
      <c r="I74" s="229">
        <f>INDEX(GeneralRevenueFundReceiptsSalesTaxesTable[],MATCH($A$5,GeneralRevenueFundReceiptsSalesTaxesTable[County]),MATCH(I72,GeneralRevenueFundReceiptsSalesTaxesTable[#Headers]))</f>
        <v>465294.5</v>
      </c>
      <c r="J74" s="229">
        <f>INDEX(GeneralRevenueFundReceiptsSalesTaxesTable[],MATCH($A$5,GeneralRevenueFundReceiptsSalesTaxesTable[County]),MATCH(J72,GeneralRevenueFundReceiptsSalesTaxesTable[#Headers]))</f>
        <v>464771</v>
      </c>
      <c r="K74" s="229">
        <f>INDEX(GeneralRevenueFundReceiptsSalesTaxesTable[],MATCH($A$5,GeneralRevenueFundReceiptsSalesTaxesTable[County]),MATCH(K72,GeneralRevenueFundReceiptsSalesTaxesTable[#Headers]))</f>
        <v>495764</v>
      </c>
      <c r="L74" s="229">
        <f>INDEX(GeneralRevenueFundReceiptsSalesTaxesTable[],MATCH($A$5,GeneralRevenueFundReceiptsSalesTaxesTable[County]),MATCH(L72,GeneralRevenueFundReceiptsSalesTaxesTable[#Headers]))</f>
        <v>371107</v>
      </c>
      <c r="M74" s="229">
        <f>INDEX(GeneralRevenueFundReceiptsSalesTaxesTable[],MATCH($A$5,GeneralRevenueFundReceiptsSalesTaxesTable[County]),MATCH(M72,GeneralRevenueFundReceiptsSalesTaxesTable[#Headers]))</f>
        <v>484468</v>
      </c>
      <c r="N74" s="229">
        <f>INDEX(GeneralRevenueFundReceiptsSalesTaxesTable[],MATCH($A$5,GeneralRevenueFundReceiptsSalesTaxesTable[County]),MATCH(N72,GeneralRevenueFundReceiptsSalesTaxesTable[#Headers]))</f>
        <v>486616</v>
      </c>
      <c r="O74" s="229">
        <f>INDEX(GeneralRevenueFundReceiptsSalesTaxesTable[],MATCH($A$5,GeneralRevenueFundReceiptsSalesTaxesTable[County]),MATCH(O72,GeneralRevenueFundReceiptsSalesTaxesTable[#Headers]))</f>
        <v>453668</v>
      </c>
      <c r="P74" s="229">
        <f>INDEX(GeneralRevenueFundReceiptsSalesTaxesTable[],MATCH($A$5,GeneralRevenueFundReceiptsSalesTaxesTable[County]),MATCH(P72,GeneralRevenueFundReceiptsSalesTaxesTable[#Headers]))</f>
        <v>459849</v>
      </c>
      <c r="Q74" s="229">
        <f>INDEX(GeneralRevenueFundReceiptsSalesTaxesTable[],MATCH($A$5,GeneralRevenueFundReceiptsSalesTaxesTable[County]),MATCH(Q72,GeneralRevenueFundReceiptsSalesTaxesTable[#Headers]))</f>
        <v>438595</v>
      </c>
      <c r="R74" s="229">
        <f>INDEX(GeneralRevenueFundReceiptsSalesTaxesTable[],MATCH($A$5,GeneralRevenueFundReceiptsSalesTaxesTable[County]),MATCH(R72,GeneralRevenueFundReceiptsSalesTaxesTable[#Headers]))</f>
        <v>506071</v>
      </c>
      <c r="S74" s="229">
        <f>INDEX(GeneralRevenueFundReceiptsSalesTaxesTable[],MATCH($A$5,GeneralRevenueFundReceiptsSalesTaxesTable[County]),MATCH(S72,GeneralRevenueFundReceiptsSalesTaxesTable[#Headers]))</f>
        <v>472970</v>
      </c>
      <c r="T74" s="229">
        <f>INDEX(GeneralRevenueFundReceiptsSalesTaxesTable[],MATCH($A$5,GeneralRevenueFundReceiptsSalesTaxesTable[County]),MATCH(T72,GeneralRevenueFundReceiptsSalesTaxesTable[#Headers]))</f>
        <v>498575</v>
      </c>
      <c r="U74" s="229">
        <f>INDEX(GeneralRevenueFundReceiptsSalesTaxesTable[],MATCH($A$5,GeneralRevenueFundReceiptsSalesTaxesTable[County]),MATCH(U72,GeneralRevenueFundReceiptsSalesTaxesTable[#Headers]))</f>
        <v>518483</v>
      </c>
      <c r="V74" s="229">
        <f>INDEX(GeneralRevenueFundReceiptsSalesTaxesTable[],MATCH($A$5,GeneralRevenueFundReceiptsSalesTaxesTable[County]),MATCH(V72,GeneralRevenueFundReceiptsSalesTaxesTable[#Headers]))</f>
        <v>538191</v>
      </c>
      <c r="W74" s="229">
        <f>INDEX(GeneralRevenueFundReceiptsSalesTaxesTable[],MATCH($A$5,GeneralRevenueFundReceiptsSalesTaxesTable[County]),MATCH(W72,GeneralRevenueFundReceiptsSalesTaxesTable[#Headers]))</f>
        <v>550000</v>
      </c>
      <c r="X74" s="229"/>
      <c r="Y74" s="229"/>
      <c r="Z74" s="229"/>
      <c r="AA74" s="545"/>
      <c r="AB74" s="543"/>
      <c r="AC74" s="543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</row>
    <row r="75" spans="1:114" ht="14.25" customHeight="1">
      <c r="A75" s="158" t="s">
        <v>100</v>
      </c>
      <c r="B75" s="229">
        <f>INDEX(GeneralRevenueFundReceiptsIntergovernmentalTable[],MATCH($A$5,GeneralRevenueFundReceiptsIntergovernmentalTable[County]),MATCH(B72,GeneralRevenueFundReceiptsIntergovernmentalTable[#Headers],0))</f>
        <v>9097.68</v>
      </c>
      <c r="C75" s="229">
        <f>INDEX(GeneralRevenueFundReceiptsIntergovernmentalTable[],MATCH($A$5,GeneralRevenueFundReceiptsIntergovernmentalTable[County]),MATCH(C72,GeneralRevenueFundReceiptsIntergovernmentalTable[#Headers]))</f>
        <v>94373.64</v>
      </c>
      <c r="D75" s="229">
        <f>INDEX(GeneralRevenueFundReceiptsIntergovernmentalTable[],MATCH($A$5,GeneralRevenueFundReceiptsIntergovernmentalTable[County]),MATCH(D72,GeneralRevenueFundReceiptsIntergovernmentalTable[#Headers]))</f>
        <v>65867.94</v>
      </c>
      <c r="E75" s="229">
        <f>INDEX(GeneralRevenueFundReceiptsIntergovernmentalTable[],MATCH($A$5,GeneralRevenueFundReceiptsIntergovernmentalTable[County]),MATCH(E72,GeneralRevenueFundReceiptsIntergovernmentalTable[#Headers]))</f>
        <v>56206.9</v>
      </c>
      <c r="F75" s="229">
        <f>INDEX(GeneralRevenueFundReceiptsIntergovernmentalTable[],MATCH($A$5,GeneralRevenueFundReceiptsIntergovernmentalTable[County]),MATCH(F72,GeneralRevenueFundReceiptsIntergovernmentalTable[#Headers]))</f>
        <v>11179.12</v>
      </c>
      <c r="G75" s="229">
        <f>INDEX(GeneralRevenueFundReceiptsIntergovernmentalTable[],MATCH($A$5,GeneralRevenueFundReceiptsIntergovernmentalTable[County]),MATCH(G72,GeneralRevenueFundReceiptsIntergovernmentalTable[#Headers]))</f>
        <v>0</v>
      </c>
      <c r="H75" s="229">
        <f>INDEX(GeneralRevenueFundReceiptsIntergovernmentalTable[],MATCH($A$5,GeneralRevenueFundReceiptsIntergovernmentalTable[County]),MATCH(H72,GeneralRevenueFundReceiptsIntergovernmentalTable[#Headers]))</f>
        <v>180083.15</v>
      </c>
      <c r="I75" s="229">
        <f>INDEX(GeneralRevenueFundReceiptsIntergovernmentalTable[],MATCH($A$5,GeneralRevenueFundReceiptsIntergovernmentalTable[County]),MATCH(I72,GeneralRevenueFundReceiptsIntergovernmentalTable[#Headers]))</f>
        <v>697941.75</v>
      </c>
      <c r="J75" s="229">
        <f>INDEX(GeneralRevenueFundReceiptsIntergovernmentalTable[],MATCH($A$5,GeneralRevenueFundReceiptsIntergovernmentalTable[County]),MATCH(J72,GeneralRevenueFundReceiptsIntergovernmentalTable[#Headers]))</f>
        <v>144711</v>
      </c>
      <c r="K75" s="229">
        <f>INDEX(GeneralRevenueFundReceiptsIntergovernmentalTable[],MATCH($A$5,GeneralRevenueFundReceiptsIntergovernmentalTable[County]),MATCH(K72,GeneralRevenueFundReceiptsIntergovernmentalTable[#Headers]))</f>
        <v>173723</v>
      </c>
      <c r="L75" s="229">
        <f>INDEX(GeneralRevenueFundReceiptsIntergovernmentalTable[],MATCH($A$5,GeneralRevenueFundReceiptsIntergovernmentalTable[County]),MATCH(L72,GeneralRevenueFundReceiptsIntergovernmentalTable[#Headers]))</f>
        <v>136681</v>
      </c>
      <c r="M75" s="229">
        <f>INDEX(GeneralRevenueFundReceiptsIntergovernmentalTable[],MATCH($A$5,GeneralRevenueFundReceiptsIntergovernmentalTable[County]),MATCH(M72,GeneralRevenueFundReceiptsIntergovernmentalTable[#Headers]))</f>
        <v>182098</v>
      </c>
      <c r="N75" s="229">
        <f>INDEX(GeneralRevenueFundReceiptsIntergovernmentalTable[],MATCH($A$5,GeneralRevenueFundReceiptsIntergovernmentalTable[County]),MATCH(N72,GeneralRevenueFundReceiptsIntergovernmentalTable[#Headers]))</f>
        <v>644801</v>
      </c>
      <c r="O75" s="229">
        <f>INDEX(GeneralRevenueFundReceiptsIntergovernmentalTable[],MATCH($A$5,GeneralRevenueFundReceiptsIntergovernmentalTable[County]),MATCH(O72,GeneralRevenueFundReceiptsIntergovernmentalTable[#Headers]))</f>
        <v>442043</v>
      </c>
      <c r="P75" s="229">
        <f>INDEX(GeneralRevenueFundReceiptsIntergovernmentalTable[],MATCH($A$5,GeneralRevenueFundReceiptsIntergovernmentalTable[County]),MATCH(P72,GeneralRevenueFundReceiptsIntergovernmentalTable[#Headers]))</f>
        <v>641678</v>
      </c>
      <c r="Q75" s="229">
        <f>INDEX(GeneralRevenueFundReceiptsIntergovernmentalTable[],MATCH($A$5,GeneralRevenueFundReceiptsIntergovernmentalTable[County]),MATCH(Q72,GeneralRevenueFundReceiptsIntergovernmentalTable[#Headers]))</f>
        <v>208390</v>
      </c>
      <c r="R75" s="229">
        <f>INDEX(GeneralRevenueFundReceiptsIntergovernmentalTable[],MATCH($A$5,GeneralRevenueFundReceiptsIntergovernmentalTable[County]),MATCH(R72,GeneralRevenueFundReceiptsIntergovernmentalTable[#Headers]))</f>
        <v>200040</v>
      </c>
      <c r="S75" s="229">
        <f>INDEX(GeneralRevenueFundReceiptsIntergovernmentalTable[],MATCH($A$5,GeneralRevenueFundReceiptsIntergovernmentalTable[County]),MATCH(S72,GeneralRevenueFundReceiptsIntergovernmentalTable[#Headers]))</f>
        <v>166678</v>
      </c>
      <c r="T75" s="229">
        <f>INDEX(GeneralRevenueFundReceiptsIntergovernmentalTable[],MATCH($A$5,GeneralRevenueFundReceiptsIntergovernmentalTable[County]),MATCH(T72,GeneralRevenueFundReceiptsIntergovernmentalTable[#Headers]))</f>
        <v>168272</v>
      </c>
      <c r="U75" s="229">
        <f>INDEX(GeneralRevenueFundReceiptsIntergovernmentalTable[],MATCH($A$5,GeneralRevenueFundReceiptsIntergovernmentalTable[County]),MATCH(U72,GeneralRevenueFundReceiptsIntergovernmentalTable[#Headers]))</f>
        <v>128123</v>
      </c>
      <c r="V75" s="229">
        <f>INDEX(GeneralRevenueFundReceiptsIntergovernmentalTable[],MATCH($A$5,GeneralRevenueFundReceiptsIntergovernmentalTable[County]),MATCH(V72,GeneralRevenueFundReceiptsIntergovernmentalTable[#Headers]))</f>
        <v>153596</v>
      </c>
      <c r="W75" s="229">
        <f>INDEX(GeneralRevenueFundReceiptsIntergovernmentalTable[],MATCH($A$5,GeneralRevenueFundReceiptsIntergovernmentalTable[County]),MATCH(W72,GeneralRevenueFundReceiptsIntergovernmentalTable[#Headers]))</f>
        <v>176506</v>
      </c>
      <c r="X75" s="229"/>
      <c r="Y75" s="229"/>
      <c r="Z75" s="229"/>
      <c r="AA75" s="545"/>
      <c r="AB75" s="543"/>
      <c r="AC75" s="543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</row>
    <row r="76" spans="1:114" ht="14.25" customHeight="1">
      <c r="A76" s="158" t="s">
        <v>104</v>
      </c>
      <c r="B76" s="229">
        <f>INDEX(GeneralRevenueFundReceiptsChargesforServicesTable[],MATCH($A$5,GeneralRevenueFundReceiptsChargesforServicesTable[County]),MATCH(B72,GeneralRevenueFundReceiptsChargesforServicesTable[#Headers],0))</f>
        <v>291125.76000000001</v>
      </c>
      <c r="C76" s="229">
        <f>INDEX(GeneralRevenueFundReceiptsChargesforServicesTable[],MATCH($A$5,GeneralRevenueFundReceiptsChargesforServicesTable[County]),MATCH(C72,GeneralRevenueFundReceiptsChargesforServicesTable[#Headers]))</f>
        <v>230691.12</v>
      </c>
      <c r="D76" s="229">
        <f>INDEX(GeneralRevenueFundReceiptsChargesforServicesTable[],MATCH($A$5,GeneralRevenueFundReceiptsChargesforServicesTable[County]),MATCH(D72,GeneralRevenueFundReceiptsChargesforServicesTable[#Headers]))</f>
        <v>296405.73</v>
      </c>
      <c r="E76" s="229">
        <f>INDEX(GeneralRevenueFundReceiptsChargesforServicesTable[],MATCH($A$5,GeneralRevenueFundReceiptsChargesforServicesTable[County]),MATCH(E72,GeneralRevenueFundReceiptsChargesforServicesTable[#Headers]))</f>
        <v>269793.12</v>
      </c>
      <c r="F76" s="229">
        <f>INDEX(GeneralRevenueFundReceiptsChargesforServicesTable[],MATCH($A$5,GeneralRevenueFundReceiptsChargesforServicesTable[County]),MATCH(F72,GeneralRevenueFundReceiptsChargesforServicesTable[#Headers]))</f>
        <v>268298.88</v>
      </c>
      <c r="G76" s="229">
        <f>INDEX(GeneralRevenueFundReceiptsChargesforServicesTable[],MATCH($A$5,GeneralRevenueFundReceiptsChargesforServicesTable[County]),MATCH(G72,GeneralRevenueFundReceiptsChargesforServicesTable[#Headers]))</f>
        <v>267072.78000000003</v>
      </c>
      <c r="H76" s="229">
        <f>INDEX(GeneralRevenueFundReceiptsChargesforServicesTable[],MATCH($A$5,GeneralRevenueFundReceiptsChargesforServicesTable[County]),MATCH(H72,GeneralRevenueFundReceiptsChargesforServicesTable[#Headers]))</f>
        <v>346313.75</v>
      </c>
      <c r="I76" s="229">
        <f>INDEX(GeneralRevenueFundReceiptsChargesforServicesTable[],MATCH($A$5,GeneralRevenueFundReceiptsChargesforServicesTable[County]),MATCH(I72,GeneralRevenueFundReceiptsChargesforServicesTable[#Headers]))</f>
        <v>465294.5</v>
      </c>
      <c r="J76" s="229">
        <f>INDEX(GeneralRevenueFundReceiptsChargesforServicesTable[],MATCH($A$5,GeneralRevenueFundReceiptsChargesforServicesTable[County]),MATCH(J72,GeneralRevenueFundReceiptsChargesforServicesTable[#Headers]))</f>
        <v>420677</v>
      </c>
      <c r="K76" s="229">
        <f>INDEX(GeneralRevenueFundReceiptsChargesforServicesTable[],MATCH($A$5,GeneralRevenueFundReceiptsChargesforServicesTable[County]),MATCH(K72,GeneralRevenueFundReceiptsChargesforServicesTable[#Headers]))</f>
        <v>411789</v>
      </c>
      <c r="L76" s="229">
        <f>INDEX(GeneralRevenueFundReceiptsChargesforServicesTable[],MATCH($A$5,GeneralRevenueFundReceiptsChargesforServicesTable[County]),MATCH(L72,GeneralRevenueFundReceiptsChargesforServicesTable[#Headers]))</f>
        <v>359960</v>
      </c>
      <c r="M76" s="229">
        <f>INDEX(GeneralRevenueFundReceiptsChargesforServicesTable[],MATCH($A$5,GeneralRevenueFundReceiptsChargesforServicesTable[County]),MATCH(M72,GeneralRevenueFundReceiptsChargesforServicesTable[#Headers]))</f>
        <v>341087</v>
      </c>
      <c r="N76" s="229">
        <f>INDEX(GeneralRevenueFundReceiptsChargesforServicesTable[],MATCH($A$5,GeneralRevenueFundReceiptsChargesforServicesTable[County]),MATCH(N72,GeneralRevenueFundReceiptsChargesforServicesTable[#Headers]))</f>
        <v>408676</v>
      </c>
      <c r="O76" s="229">
        <f>INDEX(GeneralRevenueFundReceiptsChargesforServicesTable[],MATCH($A$5,GeneralRevenueFundReceiptsChargesforServicesTable[County]),MATCH(O72,GeneralRevenueFundReceiptsChargesforServicesTable[#Headers]))</f>
        <v>398851</v>
      </c>
      <c r="P76" s="229">
        <f>INDEX(GeneralRevenueFundReceiptsChargesforServicesTable[],MATCH($A$5,GeneralRevenueFundReceiptsChargesforServicesTable[County]),MATCH(P72,GeneralRevenueFundReceiptsChargesforServicesTable[#Headers]))</f>
        <v>378991</v>
      </c>
      <c r="Q76" s="229">
        <f>INDEX(GeneralRevenueFundReceiptsChargesforServicesTable[],MATCH($A$5,GeneralRevenueFundReceiptsChargesforServicesTable[County]),MATCH(Q72,GeneralRevenueFundReceiptsChargesforServicesTable[#Headers]))</f>
        <v>442779</v>
      </c>
      <c r="R76" s="229">
        <f>INDEX(GeneralRevenueFundReceiptsChargesforServicesTable[],MATCH($A$5,GeneralRevenueFundReceiptsChargesforServicesTable[County]),MATCH(R72,GeneralRevenueFundReceiptsChargesforServicesTable[#Headers]))</f>
        <v>481994</v>
      </c>
      <c r="S76" s="229">
        <f>INDEX(GeneralRevenueFundReceiptsChargesforServicesTable[],MATCH($A$5,GeneralRevenueFundReceiptsChargesforServicesTable[County]),MATCH(S72,GeneralRevenueFundReceiptsChargesforServicesTable[#Headers]))</f>
        <v>449530</v>
      </c>
      <c r="T76" s="229">
        <f>INDEX(GeneralRevenueFundReceiptsChargesforServicesTable[],MATCH($A$5,GeneralRevenueFundReceiptsChargesforServicesTable[County]),MATCH(T72,GeneralRevenueFundReceiptsChargesforServicesTable[#Headers]))</f>
        <v>446521</v>
      </c>
      <c r="U76" s="229">
        <f>INDEX(GeneralRevenueFundReceiptsChargesforServicesTable[],MATCH($A$5,GeneralRevenueFundReceiptsChargesforServicesTable[County]),MATCH(U72,GeneralRevenueFundReceiptsChargesforServicesTable[#Headers]))</f>
        <v>442704</v>
      </c>
      <c r="V76" s="229">
        <f>INDEX(GeneralRevenueFundReceiptsChargesforServicesTable[],MATCH($A$5,GeneralRevenueFundReceiptsChargesforServicesTable[County]),MATCH(V72,GeneralRevenueFundReceiptsChargesforServicesTable[#Headers]))</f>
        <v>507207</v>
      </c>
      <c r="W76" s="229">
        <f>INDEX(GeneralRevenueFundReceiptsChargesforServicesTable[],MATCH($A$5,GeneralRevenueFundReceiptsChargesforServicesTable[County]),MATCH(W72,GeneralRevenueFundReceiptsChargesforServicesTable[#Headers]))</f>
        <v>466585</v>
      </c>
      <c r="X76" s="229"/>
      <c r="Y76" s="229"/>
      <c r="Z76" s="229"/>
      <c r="AA76" s="545"/>
      <c r="AB76" s="543"/>
      <c r="AC76" s="543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</row>
    <row r="77" spans="1:114" ht="14.25" customHeight="1">
      <c r="A77" s="158" t="s">
        <v>101</v>
      </c>
      <c r="B77" s="229">
        <f>INDEX(GeneralRevenueFundReceiptsInterestTable[],MATCH($A$5,GeneralRevenueFundReceiptsInterestTable[County]),MATCH(B72,GeneralRevenueFundReceiptsInterestTable[#Headers],0))</f>
        <v>54586.080000000002</v>
      </c>
      <c r="C77" s="229">
        <f>INDEX(GeneralRevenueFundReceiptsInterestTable[],MATCH($A$5,GeneralRevenueFundReceiptsInterestTable[County]),MATCH(C72,GeneralRevenueFundReceiptsInterestTable[#Headers]))</f>
        <v>62915.76</v>
      </c>
      <c r="D77" s="229">
        <f>INDEX(GeneralRevenueFundReceiptsInterestTable[],MATCH($A$5,GeneralRevenueFundReceiptsInterestTable[County]),MATCH(D72,GeneralRevenueFundReceiptsInterestTable[#Headers]))</f>
        <v>76845.929999999993</v>
      </c>
      <c r="E77" s="229">
        <f>INDEX(GeneralRevenueFundReceiptsInterestTable[],MATCH($A$5,GeneralRevenueFundReceiptsInterestTable[County]),MATCH(E72,GeneralRevenueFundReceiptsInterestTable[#Headers]))</f>
        <v>67448.28</v>
      </c>
      <c r="F77" s="229">
        <f>INDEX(GeneralRevenueFundReceiptsInterestTable[],MATCH($A$5,GeneralRevenueFundReceiptsInterestTable[County]),MATCH(F72,GeneralRevenueFundReceiptsInterestTable[#Headers]))</f>
        <v>100612.08</v>
      </c>
      <c r="G77" s="229">
        <f>INDEX(GeneralRevenueFundReceiptsInterestTable[],MATCH($A$5,GeneralRevenueFundReceiptsInterestTable[County]),MATCH(G72,GeneralRevenueFundReceiptsInterestTable[#Headers]))</f>
        <v>69671.16</v>
      </c>
      <c r="H77" s="229">
        <f>INDEX(GeneralRevenueFundReceiptsInterestTable[],MATCH($A$5,GeneralRevenueFundReceiptsInterestTable[County]),MATCH(H72,GeneralRevenueFundReceiptsInterestTable[#Headers]))</f>
        <v>27705.1</v>
      </c>
      <c r="I77" s="229">
        <f>INDEX(GeneralRevenueFundReceiptsInterestTable[],MATCH($A$5,GeneralRevenueFundReceiptsInterestTable[County]),MATCH(I72,GeneralRevenueFundReceiptsInterestTable[#Headers]))</f>
        <v>21149.75</v>
      </c>
      <c r="J77" s="229">
        <f>INDEX(GeneralRevenueFundReceiptsInterestTable[],MATCH($A$5,GeneralRevenueFundReceiptsInterestTable[County]),MATCH(J72,GeneralRevenueFundReceiptsInterestTable[#Headers]))</f>
        <v>22864</v>
      </c>
      <c r="K77" s="229">
        <f>INDEX(GeneralRevenueFundReceiptsInterestTable[],MATCH($A$5,GeneralRevenueFundReceiptsInterestTable[County]),MATCH(K72,GeneralRevenueFundReceiptsInterestTable[#Headers]))</f>
        <v>59564</v>
      </c>
      <c r="L77" s="229">
        <f>INDEX(GeneralRevenueFundReceiptsInterestTable[],MATCH($A$5,GeneralRevenueFundReceiptsInterestTable[County]),MATCH(L72,GeneralRevenueFundReceiptsInterestTable[#Headers]))</f>
        <v>80835</v>
      </c>
      <c r="M77" s="229">
        <f>INDEX(GeneralRevenueFundReceiptsInterestTable[],MATCH($A$5,GeneralRevenueFundReceiptsInterestTable[County]),MATCH(M72,GeneralRevenueFundReceiptsInterestTable[#Headers]))</f>
        <v>76556</v>
      </c>
      <c r="N77" s="229">
        <f>INDEX(GeneralRevenueFundReceiptsInterestTable[],MATCH($A$5,GeneralRevenueFundReceiptsInterestTable[County]),MATCH(N72,GeneralRevenueFundReceiptsInterestTable[#Headers]))</f>
        <v>29740</v>
      </c>
      <c r="O77" s="229">
        <f>INDEX(GeneralRevenueFundReceiptsInterestTable[],MATCH($A$5,GeneralRevenueFundReceiptsInterestTable[County]),MATCH(O72,GeneralRevenueFundReceiptsInterestTable[#Headers]))</f>
        <v>2707</v>
      </c>
      <c r="P77" s="229">
        <f>INDEX(GeneralRevenueFundReceiptsInterestTable[],MATCH($A$5,GeneralRevenueFundReceiptsInterestTable[County]),MATCH(P72,GeneralRevenueFundReceiptsInterestTable[#Headers]))</f>
        <v>1613</v>
      </c>
      <c r="Q77" s="229">
        <f>INDEX(GeneralRevenueFundReceiptsInterestTable[],MATCH($A$5,GeneralRevenueFundReceiptsInterestTable[County]),MATCH(Q72,GeneralRevenueFundReceiptsInterestTable[#Headers]))</f>
        <v>1138</v>
      </c>
      <c r="R77" s="229">
        <f>INDEX(GeneralRevenueFundReceiptsInterestTable[],MATCH($A$5,GeneralRevenueFundReceiptsInterestTable[County]),MATCH(R72,GeneralRevenueFundReceiptsInterestTable[#Headers]))</f>
        <v>1019</v>
      </c>
      <c r="S77" s="229">
        <f>INDEX(GeneralRevenueFundReceiptsInterestTable[],MATCH($A$5,GeneralRevenueFundReceiptsInterestTable[County]),MATCH(S72,GeneralRevenueFundReceiptsInterestTable[#Headers]))</f>
        <v>680</v>
      </c>
      <c r="T77" s="229">
        <f>INDEX(GeneralRevenueFundReceiptsInterestTable[],MATCH($A$5,GeneralRevenueFundReceiptsInterestTable[County]),MATCH(T72,GeneralRevenueFundReceiptsInterestTable[#Headers]))</f>
        <v>779</v>
      </c>
      <c r="U77" s="229">
        <f>INDEX(GeneralRevenueFundReceiptsInterestTable[],MATCH($A$5,GeneralRevenueFundReceiptsInterestTable[County]),MATCH(U72,GeneralRevenueFundReceiptsInterestTable[#Headers]))</f>
        <v>840</v>
      </c>
      <c r="V77" s="229">
        <f>INDEX(GeneralRevenueFundReceiptsInterestTable[],MATCH($A$5,GeneralRevenueFundReceiptsInterestTable[County]),MATCH(V72,GeneralRevenueFundReceiptsInterestTable[#Headers]))</f>
        <v>718</v>
      </c>
      <c r="W77" s="229">
        <f>INDEX(GeneralRevenueFundReceiptsInterestTable[],MATCH($A$5,GeneralRevenueFundReceiptsInterestTable[County]),MATCH(W72,GeneralRevenueFundReceiptsInterestTable[#Headers]))</f>
        <v>700</v>
      </c>
      <c r="X77" s="229"/>
      <c r="Y77" s="229"/>
      <c r="Z77" s="229"/>
      <c r="AA77" s="545"/>
      <c r="AB77" s="543"/>
      <c r="AC77" s="543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</row>
    <row r="78" spans="1:114" ht="14.25" customHeight="1">
      <c r="A78" s="158" t="s">
        <v>102</v>
      </c>
      <c r="B78" s="229">
        <f>INDEX(GeneralRevenueFundReceiptsOtherTable[],MATCH($A$5,GeneralRevenueFundReceiptsOtherTable[County]),MATCH(B72,GeneralRevenueFundReceiptsOtherTable[#Headers],0))</f>
        <v>27293.040000000001</v>
      </c>
      <c r="C78" s="229">
        <f>INDEX(GeneralRevenueFundReceiptsOtherTable[],MATCH($A$5,GeneralRevenueFundReceiptsOtherTable[County]),MATCH(C72,GeneralRevenueFundReceiptsOtherTable[#Headers]))</f>
        <v>83887.679999999993</v>
      </c>
      <c r="D78" s="229">
        <f>INDEX(GeneralRevenueFundReceiptsOtherTable[],MATCH($A$5,GeneralRevenueFundReceiptsOtherTable[County]),MATCH(D72,GeneralRevenueFundReceiptsOtherTable[#Headers]))</f>
        <v>54889.95</v>
      </c>
      <c r="E78" s="229">
        <f>INDEX(GeneralRevenueFundReceiptsOtherTable[],MATCH($A$5,GeneralRevenueFundReceiptsOtherTable[County]),MATCH(E72,GeneralRevenueFundReceiptsOtherTable[#Headers]))</f>
        <v>78689.66</v>
      </c>
      <c r="F78" s="229">
        <f>INDEX(GeneralRevenueFundReceiptsOtherTable[],MATCH($A$5,GeneralRevenueFundReceiptsOtherTable[County]),MATCH(F72,GeneralRevenueFundReceiptsOtherTable[#Headers]))</f>
        <v>111791.2</v>
      </c>
      <c r="G78" s="229">
        <f>INDEX(GeneralRevenueFundReceiptsOtherTable[],MATCH($A$5,GeneralRevenueFundReceiptsOtherTable[County]),MATCH(G72,GeneralRevenueFundReceiptsOtherTable[#Headers]))</f>
        <v>23223.72</v>
      </c>
      <c r="H78" s="229">
        <f>INDEX(GeneralRevenueFundReceiptsOtherTable[],MATCH($A$5,GeneralRevenueFundReceiptsOtherTable[County]),MATCH(H72,GeneralRevenueFundReceiptsOtherTable[#Headers]))</f>
        <v>69262.75</v>
      </c>
      <c r="I78" s="229">
        <f>INDEX(GeneralRevenueFundReceiptsOtherTable[],MATCH($A$5,GeneralRevenueFundReceiptsOtherTable[County]),MATCH(I72,GeneralRevenueFundReceiptsOtherTable[#Headers]))</f>
        <v>190347.75</v>
      </c>
      <c r="J78" s="229">
        <f>INDEX(GeneralRevenueFundReceiptsOtherTable[],MATCH($A$5,GeneralRevenueFundReceiptsOtherTable[County]),MATCH(J72,GeneralRevenueFundReceiptsOtherTable[#Headers]))</f>
        <v>220111</v>
      </c>
      <c r="K78" s="229">
        <f>INDEX(GeneralRevenueFundReceiptsOtherTable[],MATCH($A$5,GeneralRevenueFundReceiptsOtherTable[County]),MATCH(K72,GeneralRevenueFundReceiptsOtherTable[#Headers]))</f>
        <v>136152</v>
      </c>
      <c r="L78" s="229">
        <f>INDEX(GeneralRevenueFundReceiptsOtherTable[],MATCH($A$5,GeneralRevenueFundReceiptsOtherTable[County]),MATCH(L72,GeneralRevenueFundReceiptsOtherTable[#Headers]))</f>
        <v>328937</v>
      </c>
      <c r="M78" s="229">
        <f>INDEX(GeneralRevenueFundReceiptsOtherTable[],MATCH($A$5,GeneralRevenueFundReceiptsOtherTable[County]),MATCH(M72,GeneralRevenueFundReceiptsOtherTable[#Headers]))</f>
        <v>114104</v>
      </c>
      <c r="N78" s="229">
        <f>INDEX(GeneralRevenueFundReceiptsOtherTable[],MATCH($A$5,GeneralRevenueFundReceiptsOtherTable[County]),MATCH(N72,GeneralRevenueFundReceiptsOtherTable[#Headers]))</f>
        <v>297120</v>
      </c>
      <c r="O78" s="229">
        <f>INDEX(GeneralRevenueFundReceiptsOtherTable[],MATCH($A$5,GeneralRevenueFundReceiptsOtherTable[County]),MATCH(O72,GeneralRevenueFundReceiptsOtherTable[#Headers]))</f>
        <v>119308</v>
      </c>
      <c r="P78" s="229">
        <f>INDEX(GeneralRevenueFundReceiptsOtherTable[],MATCH($A$5,GeneralRevenueFundReceiptsOtherTable[County]),MATCH(P72,GeneralRevenueFundReceiptsOtherTable[#Headers]))</f>
        <v>208586</v>
      </c>
      <c r="Q78" s="229">
        <f>INDEX(GeneralRevenueFundReceiptsOtherTable[],MATCH($A$5,GeneralRevenueFundReceiptsOtherTable[County]),MATCH(Q72,GeneralRevenueFundReceiptsOtherTable[#Headers]))</f>
        <v>115885</v>
      </c>
      <c r="R78" s="229">
        <f>INDEX(GeneralRevenueFundReceiptsOtherTable[],MATCH($A$5,GeneralRevenueFundReceiptsOtherTable[County]),MATCH(R72,GeneralRevenueFundReceiptsOtherTable[#Headers]))</f>
        <v>167613</v>
      </c>
      <c r="S78" s="229">
        <f>INDEX(GeneralRevenueFundReceiptsOtherTable[],MATCH($A$5,GeneralRevenueFundReceiptsOtherTable[County]),MATCH(S72,GeneralRevenueFundReceiptsOtherTable[#Headers]))</f>
        <v>829399</v>
      </c>
      <c r="T78" s="229">
        <f>INDEX(GeneralRevenueFundReceiptsOtherTable[],MATCH($A$5,GeneralRevenueFundReceiptsOtherTable[County]),MATCH(T72,GeneralRevenueFundReceiptsOtherTable[#Headers]))</f>
        <v>429369</v>
      </c>
      <c r="U78" s="229">
        <f>INDEX(GeneralRevenueFundReceiptsOtherTable[],MATCH($A$5,GeneralRevenueFundReceiptsOtherTable[County]),MATCH(U72,GeneralRevenueFundReceiptsOtherTable[#Headers]))</f>
        <v>584890</v>
      </c>
      <c r="V78" s="229">
        <f>INDEX(GeneralRevenueFundReceiptsOtherTable[],MATCH($A$5,GeneralRevenueFundReceiptsOtherTable[County]),MATCH(V72,GeneralRevenueFundReceiptsOtherTable[#Headers]))</f>
        <v>499929</v>
      </c>
      <c r="W78" s="229">
        <f>INDEX(GeneralRevenueFundReceiptsOtherTable[],MATCH($A$5,GeneralRevenueFundReceiptsOtherTable[County]),MATCH(W72,GeneralRevenueFundReceiptsOtherTable[#Headers]))</f>
        <v>530125</v>
      </c>
      <c r="X78" s="229"/>
      <c r="Y78" s="229"/>
      <c r="Z78" s="229"/>
      <c r="AA78" s="545"/>
      <c r="AB78" s="543"/>
      <c r="AC78" s="543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</row>
    <row r="79" spans="1:114" ht="14.25" customHeight="1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80"/>
      <c r="P79" s="170"/>
      <c r="Q79" s="170"/>
      <c r="R79" s="170"/>
      <c r="S79" s="170"/>
      <c r="T79" s="170"/>
      <c r="U79" s="170"/>
      <c r="V79" s="170"/>
      <c r="W79" s="170"/>
      <c r="X79" s="17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</row>
    <row r="80" spans="1:114" ht="14.25" customHeight="1">
      <c r="A80" s="169" t="str">
        <f>CONCATENATE($A$3," County Detailed General Revenue Expenditures")</f>
        <v>Adair County Detailed General Revenue Expenditures</v>
      </c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234"/>
      <c r="P80" s="162"/>
      <c r="Q80" s="162"/>
      <c r="R80" s="162"/>
      <c r="S80" s="170"/>
      <c r="T80" s="170"/>
      <c r="U80" s="170"/>
      <c r="V80" s="170"/>
      <c r="W80" s="170"/>
      <c r="X80" s="17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</row>
    <row r="81" spans="1:111" ht="14.25" customHeight="1">
      <c r="A81" s="306" t="s">
        <v>434</v>
      </c>
      <c r="B81" s="309" t="s">
        <v>409</v>
      </c>
      <c r="C81" s="309" t="s">
        <v>410</v>
      </c>
      <c r="D81" s="309" t="s">
        <v>411</v>
      </c>
      <c r="E81" s="309" t="s">
        <v>412</v>
      </c>
      <c r="F81" s="309" t="s">
        <v>413</v>
      </c>
      <c r="G81" s="309" t="s">
        <v>414</v>
      </c>
      <c r="H81" s="309" t="s">
        <v>415</v>
      </c>
      <c r="I81" s="309" t="s">
        <v>416</v>
      </c>
      <c r="J81" s="309" t="s">
        <v>417</v>
      </c>
      <c r="K81" s="308" t="s">
        <v>418</v>
      </c>
      <c r="L81" s="308" t="s">
        <v>419</v>
      </c>
      <c r="M81" s="308" t="s">
        <v>420</v>
      </c>
      <c r="N81" s="308" t="s">
        <v>421</v>
      </c>
      <c r="O81" s="313" t="s">
        <v>422</v>
      </c>
      <c r="P81" s="302" t="s">
        <v>423</v>
      </c>
      <c r="Q81" s="302" t="s">
        <v>355</v>
      </c>
      <c r="R81" s="302" t="s">
        <v>399</v>
      </c>
      <c r="S81" s="302" t="s">
        <v>424</v>
      </c>
      <c r="T81" s="302" t="s">
        <v>446</v>
      </c>
      <c r="U81" s="302" t="s">
        <v>523</v>
      </c>
      <c r="V81" s="302" t="s">
        <v>524</v>
      </c>
      <c r="W81" s="302" t="s">
        <v>525</v>
      </c>
      <c r="X81" s="302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</row>
    <row r="82" spans="1:111" ht="14.25" customHeight="1">
      <c r="A82" s="153" t="s">
        <v>133</v>
      </c>
      <c r="B82" s="229">
        <f>INDEX(CountyDisbursementsCentralGovt[],MATCH($A$3,CountyDisbursementsCentralGovt[County]),MATCH(B81,CountyDisbursementsCentralGovt[#Headers],0))</f>
        <v>499269.28</v>
      </c>
      <c r="C82" s="229">
        <f>INDEX(CountyDisbursementsCentralGovt[],MATCH($A$3,CountyDisbursementsCentralGovt[County]),MATCH(C81,CountyDisbursementsCentralGovt[#Headers]))</f>
        <v>443537</v>
      </c>
      <c r="D82" s="229">
        <f>INDEX(CountyDisbursementsCentralGovt[],MATCH($A$3,CountyDisbursementsCentralGovt[County]),MATCH(D81,CountyDisbursementsCentralGovt[#Headers]))</f>
        <v>529472.70000000007</v>
      </c>
      <c r="E82" s="229">
        <f>INDEX(CountyDisbursementsCentralGovt[],MATCH($A$3,CountyDisbursementsCentralGovt[County]),MATCH(E81,CountyDisbursementsCentralGovt[#Headers]))</f>
        <v>536491.76</v>
      </c>
      <c r="F82" s="229">
        <f>INDEX(CountyDisbursementsCentralGovt[],MATCH($A$3,CountyDisbursementsCentralGovt[County]),MATCH(F81,CountyDisbursementsCentralGovt[#Headers]))</f>
        <v>580567.35</v>
      </c>
      <c r="G82" s="229">
        <f>INDEX(CountyDisbursementsCentralGovt[],MATCH($A$3,CountyDisbursementsCentralGovt[County]),MATCH(G81,CountyDisbursementsCentralGovt[#Headers]))</f>
        <v>523729.5</v>
      </c>
      <c r="H82" s="229">
        <f>INDEX(CountyDisbursementsCentralGovt[],MATCH($A$3,CountyDisbursementsCentralGovt[County]),MATCH(H81,CountyDisbursementsCentralGovt[#Headers]))</f>
        <v>602034.88</v>
      </c>
      <c r="I82" s="229">
        <f>INDEX(CountyDisbursementsCentralGovt[],MATCH($A$3,CountyDisbursementsCentralGovt[County]),MATCH(I81,CountyDisbursementsCentralGovt[#Headers]))</f>
        <v>701059.52</v>
      </c>
      <c r="J82" s="229">
        <f>INDEX(CountyDisbursementsCentralGovt[],MATCH($A$3,CountyDisbursementsCentralGovt[County]),MATCH(J81,CountyDisbursementsCentralGovt[#Headers]))</f>
        <v>627569.48</v>
      </c>
      <c r="K82" s="229">
        <f>INDEX(CountyDisbursementsCentralGovt[],MATCH($A$3,CountyDisbursementsCentralGovt[County]),MATCH(K81,CountyDisbursementsCentralGovt[#Headers]))</f>
        <v>532271.22</v>
      </c>
      <c r="L82" s="229">
        <f>INDEX(CountyDisbursementsCentralGovt[],MATCH($A$3,CountyDisbursementsCentralGovt[County]),MATCH(L81,CountyDisbursementsCentralGovt[#Headers]))</f>
        <v>630498.35</v>
      </c>
      <c r="M82" s="229">
        <f>INDEX(CountyDisbursementsCentralGovt[],MATCH($A$3,CountyDisbursementsCentralGovt[County]),MATCH(M81,CountyDisbursementsCentralGovt[#Headers]))</f>
        <v>584529.38</v>
      </c>
      <c r="N82" s="229">
        <f>INDEX(CountyDisbursementsCentralGovt[],MATCH($A$3,CountyDisbursementsCentralGovt[County]),MATCH(N81,CountyDisbursementsCentralGovt[#Headers]))</f>
        <v>696650.74000000011</v>
      </c>
      <c r="O82" s="229">
        <f>INDEX(CountyDisbursementsCentralGovt[],MATCH($A$3,CountyDisbursementsCentralGovt[County]),MATCH(O81,CountyDisbursementsCentralGovt[#Headers]))</f>
        <v>626065.61</v>
      </c>
      <c r="P82" s="229">
        <f>INDEX(CountyDisbursementsCentralGovt[],MATCH($A$3,CountyDisbursementsCentralGovt[County]),MATCH(P81,CountyDisbursementsCentralGovt[#Headers]))</f>
        <v>718365.01</v>
      </c>
      <c r="Q82" s="229">
        <f>INDEX(CountyDisbursementsCentralGovt[],MATCH($A$3,CountyDisbursementsCentralGovt[County]),MATCH(Q81,CountyDisbursementsCentralGovt[#Headers]))</f>
        <v>672178.41999999993</v>
      </c>
      <c r="R82" s="229">
        <f>INDEX(CountyDisbursementsCentralGovt[],MATCH($A$3,CountyDisbursementsCentralGovt[County]),MATCH(R81,CountyDisbursementsCentralGovt[#Headers]))</f>
        <v>877363.63</v>
      </c>
      <c r="S82" s="229">
        <f>INDEX(CountyDisbursementsCentralGovt[],MATCH($A$3,CountyDisbursementsCentralGovt[County]),MATCH(S81,CountyDisbursementsCentralGovt[#Headers]))</f>
        <v>794891.17000000016</v>
      </c>
      <c r="T82" s="229">
        <f>INDEX(CountyDisbursementsCentralGovt[],MATCH($A$3,CountyDisbursementsCentralGovt[County]),MATCH(T81,CountyDisbursementsCentralGovt[#Headers]))</f>
        <v>986398.7</v>
      </c>
      <c r="U82" s="229">
        <f>INDEX(CountyDisbursementsCentralGovt[],MATCH($A$3,CountyDisbursementsCentralGovt[County]),MATCH(U81,CountyDisbursementsCentralGovt[#Headers]))</f>
        <v>1005599.07</v>
      </c>
      <c r="V82" s="229">
        <f>INDEX(CountyDisbursementsCentralGovt[],MATCH($A$3,CountyDisbursementsCentralGovt[County]),MATCH(V81,CountyDisbursementsCentralGovt[#Headers]))</f>
        <v>884067.71</v>
      </c>
      <c r="W82" s="229">
        <f>INDEX(CountyDisbursementsCentralGovt[],MATCH($A$3,CountyDisbursementsCentralGovt[County]),MATCH(W81,CountyDisbursementsCentralGovt[#Headers]))</f>
        <v>904508.04</v>
      </c>
      <c r="X82" s="229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</row>
    <row r="83" spans="1:111" ht="14.25" customHeight="1">
      <c r="A83" s="153" t="s">
        <v>135</v>
      </c>
      <c r="B83" s="229">
        <f>INDEX(CountyDisbursementsLawEnforcement[],MATCH($A$3,CountyDisbursementsLawEnforcement[County]),MATCH(B81,CountyDisbursementsLawEnforcement[#Headers],0))</f>
        <v>520976.64000000001</v>
      </c>
      <c r="C83" s="229">
        <f>INDEX(CountyDisbursementsLawEnforcement[],MATCH($A$3,CountyDisbursementsLawEnforcement[County]),MATCH(C81,CountyDisbursementsLawEnforcement[#Headers]))</f>
        <v>554421.25</v>
      </c>
      <c r="D83" s="229">
        <f>INDEX(CountyDisbursementsLawEnforcement[],MATCH($A$3,CountyDisbursementsLawEnforcement[County]),MATCH(D81,CountyDisbursementsLawEnforcement[#Headers]))</f>
        <v>105894.54</v>
      </c>
      <c r="E83" s="229">
        <f>INDEX(CountyDisbursementsLawEnforcement[],MATCH($A$3,CountyDisbursementsLawEnforcement[County]),MATCH(E81,CountyDisbursementsLawEnforcement[#Headers]))</f>
        <v>134122.94</v>
      </c>
      <c r="F83" s="229">
        <f>INDEX(CountyDisbursementsLawEnforcement[],MATCH($A$3,CountyDisbursementsLawEnforcement[County]),MATCH(F81,CountyDisbursementsLawEnforcement[#Headers]))</f>
        <v>87964.75</v>
      </c>
      <c r="G83" s="229">
        <f>INDEX(CountyDisbursementsLawEnforcement[],MATCH($A$3,CountyDisbursementsLawEnforcement[County]),MATCH(G81,CountyDisbursementsLawEnforcement[#Headers]))</f>
        <v>34915.300000000003</v>
      </c>
      <c r="H83" s="229">
        <f>INDEX(CountyDisbursementsLawEnforcement[],MATCH($A$3,CountyDisbursementsLawEnforcement[County]),MATCH(H81,CountyDisbursementsLawEnforcement[#Headers]))</f>
        <v>0</v>
      </c>
      <c r="I83" s="229">
        <f>INDEX(CountyDisbursementsLawEnforcement[],MATCH($A$3,CountyDisbursementsLawEnforcement[County]),MATCH(I81,CountyDisbursementsLawEnforcement[#Headers]))</f>
        <v>0</v>
      </c>
      <c r="J83" s="229">
        <f>INDEX(CountyDisbursementsLawEnforcement[],MATCH($A$3,CountyDisbursementsLawEnforcement[County]),MATCH(J81,CountyDisbursementsLawEnforcement[#Headers]))</f>
        <v>0</v>
      </c>
      <c r="K83" s="229">
        <f>INDEX(CountyDisbursementsLawEnforcement[],MATCH($A$3,CountyDisbursementsLawEnforcement[County]),MATCH(K81,CountyDisbursementsLawEnforcement[#Headers]))</f>
        <v>0</v>
      </c>
      <c r="L83" s="229">
        <f>INDEX(CountyDisbursementsLawEnforcement[],MATCH($A$3,CountyDisbursementsLawEnforcement[County]),MATCH(L81,CountyDisbursementsLawEnforcement[#Headers]))</f>
        <v>0</v>
      </c>
      <c r="M83" s="229">
        <f>INDEX(CountyDisbursementsLawEnforcement[],MATCH($A$3,CountyDisbursementsLawEnforcement[County]),MATCH(M81,CountyDisbursementsLawEnforcement[#Headers]))</f>
        <v>0</v>
      </c>
      <c r="N83" s="229">
        <f>INDEX(CountyDisbursementsLawEnforcement[],MATCH($A$3,CountyDisbursementsLawEnforcement[County]),MATCH(N81,CountyDisbursementsLawEnforcement[#Headers]))</f>
        <v>0</v>
      </c>
      <c r="O83" s="229">
        <f>INDEX(CountyDisbursementsLawEnforcement[],MATCH($A$3,CountyDisbursementsLawEnforcement[County]),MATCH(O81,CountyDisbursementsLawEnforcement[#Headers]))</f>
        <v>0</v>
      </c>
      <c r="P83" s="229">
        <f>INDEX(CountyDisbursementsLawEnforcement[],MATCH($A$3,CountyDisbursementsLawEnforcement[County]),MATCH(P81,CountyDisbursementsLawEnforcement[#Headers]))</f>
        <v>0</v>
      </c>
      <c r="Q83" s="229">
        <f>INDEX(CountyDisbursementsLawEnforcement[],MATCH($A$3,CountyDisbursementsLawEnforcement[County]),MATCH(Q81,CountyDisbursementsLawEnforcement[#Headers]))</f>
        <v>0</v>
      </c>
      <c r="R83" s="229">
        <f>INDEX(CountyDisbursementsLawEnforcement[],MATCH($A$3,CountyDisbursementsLawEnforcement[County]),MATCH(R81,CountyDisbursementsLawEnforcement[#Headers]))</f>
        <v>0</v>
      </c>
      <c r="S83" s="229">
        <f>INDEX(CountyDisbursementsLawEnforcement[],MATCH($A$3,CountyDisbursementsLawEnforcement[County]),MATCH(S81,CountyDisbursementsLawEnforcement[#Headers]))</f>
        <v>0</v>
      </c>
      <c r="T83" s="229">
        <f>INDEX(CountyDisbursementsLawEnforcement[],MATCH($A$3,CountyDisbursementsLawEnforcement[County]),MATCH(T81,CountyDisbursementsLawEnforcement[#Headers]))</f>
        <v>0</v>
      </c>
      <c r="U83" s="229">
        <f>INDEX(CountyDisbursementsLawEnforcement[],MATCH($A$3,CountyDisbursementsLawEnforcement[County]),MATCH(U81,CountyDisbursementsLawEnforcement[#Headers]))</f>
        <v>0</v>
      </c>
      <c r="V83" s="229">
        <f>INDEX(CountyDisbursementsLawEnforcement[],MATCH($A$3,CountyDisbursementsLawEnforcement[County]),MATCH(V81,CountyDisbursementsLawEnforcement[#Headers]))</f>
        <v>0</v>
      </c>
      <c r="W83" s="229">
        <f>INDEX(CountyDisbursementsLawEnforcement[],MATCH($A$3,CountyDisbursementsLawEnforcement[County]),MATCH(W81,CountyDisbursementsLawEnforcement[#Headers]))</f>
        <v>0</v>
      </c>
      <c r="X83" s="229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</row>
    <row r="84" spans="1:111" ht="14.25" customHeight="1">
      <c r="A84" s="153" t="s">
        <v>134</v>
      </c>
      <c r="B84" s="229">
        <f>INDEX(CountyDisbursementsCourt[],MATCH($A$3,CountyDisbursementsCourt[County]),MATCH(B81,CountyDisbursementsCourt[#Headers],0))</f>
        <v>390732.48000000004</v>
      </c>
      <c r="C84" s="229">
        <f>INDEX(CountyDisbursementsCourt[],MATCH($A$3,CountyDisbursementsCourt[County]),MATCH(C81,CountyDisbursementsCourt[#Headers]))</f>
        <v>443537</v>
      </c>
      <c r="D84" s="229">
        <f>INDEX(CountyDisbursementsCourt[],MATCH($A$3,CountyDisbursementsCourt[County]),MATCH(D81,CountyDisbursementsCourt[#Headers]))</f>
        <v>370630.89</v>
      </c>
      <c r="E84" s="229">
        <f>INDEX(CountyDisbursementsCourt[],MATCH($A$3,CountyDisbursementsCourt[County]),MATCH(E81,CountyDisbursementsCourt[#Headers]))</f>
        <v>344887.56</v>
      </c>
      <c r="F84" s="229">
        <f>INDEX(CountyDisbursementsCourt[],MATCH($A$3,CountyDisbursementsCourt[County]),MATCH(F81,CountyDisbursementsCourt[#Headers]))</f>
        <v>281487.2</v>
      </c>
      <c r="G84" s="229">
        <f>INDEX(CountyDisbursementsCourt[],MATCH($A$3,CountyDisbursementsCourt[County]),MATCH(G81,CountyDisbursementsCourt[#Headers]))</f>
        <v>226949.45</v>
      </c>
      <c r="H84" s="229">
        <f>INDEX(CountyDisbursementsCourt[],MATCH($A$3,CountyDisbursementsCourt[County]),MATCH(H81,CountyDisbursementsCourt[#Headers]))</f>
        <v>285970.34999999998</v>
      </c>
      <c r="I84" s="229">
        <f>INDEX(CountyDisbursementsCourt[],MATCH($A$3,CountyDisbursementsCourt[County]),MATCH(I81,CountyDisbursementsCourt[#Headers]))</f>
        <v>75113.52</v>
      </c>
      <c r="J84" s="229">
        <f>INDEX(CountyDisbursementsCourt[],MATCH($A$3,CountyDisbursementsCourt[County]),MATCH(J81,CountyDisbursementsCourt[#Headers]))</f>
        <v>83872.41</v>
      </c>
      <c r="K84" s="229">
        <f>INDEX(CountyDisbursementsCourt[],MATCH($A$3,CountyDisbursementsCourt[County]),MATCH(K81,CountyDisbursementsCourt[#Headers]))</f>
        <v>79975.37</v>
      </c>
      <c r="L84" s="229">
        <f>INDEX(CountyDisbursementsCourt[],MATCH($A$3,CountyDisbursementsCourt[County]),MATCH(L81,CountyDisbursementsCourt[#Headers]))</f>
        <v>73576.069999999992</v>
      </c>
      <c r="M84" s="229">
        <f>INDEX(CountyDisbursementsCourt[],MATCH($A$3,CountyDisbursementsCourt[County]),MATCH(M81,CountyDisbursementsCourt[#Headers]))</f>
        <v>63498.729999999996</v>
      </c>
      <c r="N84" s="229">
        <f>INDEX(CountyDisbursementsCourt[],MATCH($A$3,CountyDisbursementsCourt[County]),MATCH(N81,CountyDisbursementsCourt[#Headers]))</f>
        <v>106840.65</v>
      </c>
      <c r="O84" s="229">
        <f>INDEX(CountyDisbursementsCourt[],MATCH($A$3,CountyDisbursementsCourt[County]),MATCH(O81,CountyDisbursementsCourt[#Headers]))</f>
        <v>94073.52</v>
      </c>
      <c r="P84" s="229">
        <f>INDEX(CountyDisbursementsCourt[],MATCH($A$3,CountyDisbursementsCourt[County]),MATCH(P81,CountyDisbursementsCourt[#Headers]))</f>
        <v>153153.9</v>
      </c>
      <c r="Q84" s="229">
        <f>INDEX(CountyDisbursementsCourt[],MATCH($A$3,CountyDisbursementsCourt[County]),MATCH(Q81,CountyDisbursementsCourt[#Headers]))</f>
        <v>97606.400000000009</v>
      </c>
      <c r="R84" s="229">
        <f>INDEX(CountyDisbursementsCourt[],MATCH($A$3,CountyDisbursementsCourt[County]),MATCH(R81,CountyDisbursementsCourt[#Headers]))</f>
        <v>106253.83</v>
      </c>
      <c r="S84" s="229">
        <f>INDEX(CountyDisbursementsCourt[],MATCH($A$3,CountyDisbursementsCourt[County]),MATCH(S81,CountyDisbursementsCourt[#Headers]))</f>
        <v>148467.82999999999</v>
      </c>
      <c r="T84" s="229">
        <f>INDEX(CountyDisbursementsCourt[],MATCH($A$3,CountyDisbursementsCourt[County]),MATCH(T81,CountyDisbursementsCourt[#Headers]))</f>
        <v>39121.949999999997</v>
      </c>
      <c r="U84" s="229">
        <f>INDEX(CountyDisbursementsCourt[],MATCH($A$3,CountyDisbursementsCourt[County]),MATCH(U81,CountyDisbursementsCourt[#Headers]))</f>
        <v>401678.84999999992</v>
      </c>
      <c r="V84" s="229">
        <f>INDEX(CountyDisbursementsCourt[],MATCH($A$3,CountyDisbursementsCourt[County]),MATCH(V81,CountyDisbursementsCourt[#Headers]))</f>
        <v>214402.21</v>
      </c>
      <c r="W84" s="229">
        <f>INDEX(CountyDisbursementsCourt[],MATCH($A$3,CountyDisbursementsCourt[County]),MATCH(W81,CountyDisbursementsCourt[#Headers]))</f>
        <v>339362.83999999997</v>
      </c>
      <c r="X84" s="229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</row>
    <row r="85" spans="1:111" ht="14.25" customHeight="1">
      <c r="A85" s="153" t="s">
        <v>118</v>
      </c>
      <c r="B85" s="229">
        <f>INDEX(CountyDisbursementsFringeBenefits[],MATCH($A$3,CountyDisbursementsFringeBenefits[County]),MATCH(B81,CountyDisbursementsFringeBenefits[#Headers],0))</f>
        <v>238780.96</v>
      </c>
      <c r="C85" s="229">
        <f>INDEX(CountyDisbursementsFringeBenefits[],MATCH($A$3,CountyDisbursementsFringeBenefits[County]),MATCH(C81,CountyDisbursementsFringeBenefits[#Headers]))</f>
        <v>266122.2</v>
      </c>
      <c r="D85" s="229">
        <f>INDEX(CountyDisbursementsFringeBenefits[],MATCH($A$3,CountyDisbursementsFringeBenefits[County]),MATCH(D81,CountyDisbursementsFringeBenefits[#Headers]))</f>
        <v>176490.9</v>
      </c>
      <c r="E85" s="229">
        <f>INDEX(CountyDisbursementsFringeBenefits[],MATCH($A$3,CountyDisbursementsFringeBenefits[County]),MATCH(E81,CountyDisbursementsFringeBenefits[#Headers]))</f>
        <v>229925.04</v>
      </c>
      <c r="F85" s="229">
        <f>INDEX(CountyDisbursementsFringeBenefits[],MATCH($A$3,CountyDisbursementsFringeBenefits[County]),MATCH(F81,CountyDisbursementsFringeBenefits[#Headers]))</f>
        <v>263894.25</v>
      </c>
      <c r="G85" s="229">
        <f>INDEX(CountyDisbursementsFringeBenefits[],MATCH($A$3,CountyDisbursementsFringeBenefits[County]),MATCH(G81,CountyDisbursementsFringeBenefits[#Headers]))</f>
        <v>192034.15</v>
      </c>
      <c r="H85" s="229">
        <f>INDEX(CountyDisbursementsFringeBenefits[],MATCH($A$3,CountyDisbursementsFringeBenefits[County]),MATCH(H81,CountyDisbursementsFringeBenefits[#Headers]))</f>
        <v>133452.82999999999</v>
      </c>
      <c r="I85" s="229">
        <f>INDEX(CountyDisbursementsFringeBenefits[],MATCH($A$3,CountyDisbursementsFringeBenefits[County]),MATCH(I81,CountyDisbursementsFringeBenefits[#Headers]))</f>
        <v>150227.04</v>
      </c>
      <c r="J85" s="229">
        <f>INDEX(CountyDisbursementsFringeBenefits[],MATCH($A$3,CountyDisbursementsFringeBenefits[County]),MATCH(J81,CountyDisbursementsFringeBenefits[#Headers]))</f>
        <v>222180.56</v>
      </c>
      <c r="K85" s="229">
        <f>INDEX(CountyDisbursementsFringeBenefits[],MATCH($A$3,CountyDisbursementsFringeBenefits[County]),MATCH(K81,CountyDisbursementsFringeBenefits[#Headers]))</f>
        <v>243292.00999999998</v>
      </c>
      <c r="L85" s="229">
        <f>INDEX(CountyDisbursementsFringeBenefits[],MATCH($A$3,CountyDisbursementsFringeBenefits[County]),MATCH(L81,CountyDisbursementsFringeBenefits[#Headers]))</f>
        <v>244287.68</v>
      </c>
      <c r="M85" s="229">
        <f>INDEX(CountyDisbursementsFringeBenefits[],MATCH($A$3,CountyDisbursementsFringeBenefits[County]),MATCH(M81,CountyDisbursementsFringeBenefits[#Headers]))</f>
        <v>249534.93000000002</v>
      </c>
      <c r="N85" s="229">
        <f>INDEX(CountyDisbursementsFringeBenefits[],MATCH($A$3,CountyDisbursementsFringeBenefits[County]),MATCH(N81,CountyDisbursementsFringeBenefits[#Headers]))</f>
        <v>274933.40000000002</v>
      </c>
      <c r="O85" s="229">
        <f>INDEX(CountyDisbursementsFringeBenefits[],MATCH($A$3,CountyDisbursementsFringeBenefits[County]),MATCH(O81,CountyDisbursementsFringeBenefits[#Headers]))</f>
        <v>283245.64999999997</v>
      </c>
      <c r="P85" s="229">
        <f>INDEX(CountyDisbursementsFringeBenefits[],MATCH($A$3,CountyDisbursementsFringeBenefits[County]),MATCH(P81,CountyDisbursementsFringeBenefits[#Headers]))</f>
        <v>357041.81</v>
      </c>
      <c r="Q85" s="229">
        <f>INDEX(CountyDisbursementsFringeBenefits[],MATCH($A$3,CountyDisbursementsFringeBenefits[County]),MATCH(Q81,CountyDisbursementsFringeBenefits[#Headers]))</f>
        <v>359697.54000000004</v>
      </c>
      <c r="R85" s="229">
        <f>INDEX(CountyDisbursementsFringeBenefits[],MATCH($A$3,CountyDisbursementsFringeBenefits[County]),MATCH(R81,CountyDisbursementsFringeBenefits[#Headers]))</f>
        <v>405579.9</v>
      </c>
      <c r="S85" s="229">
        <f>INDEX(CountyDisbursementsFringeBenefits[],MATCH($A$3,CountyDisbursementsFringeBenefits[County]),MATCH(S81,CountyDisbursementsFringeBenefits[#Headers]))</f>
        <v>397611</v>
      </c>
      <c r="T85" s="229">
        <f>INDEX(CountyDisbursementsFringeBenefits[],MATCH($A$3,CountyDisbursementsFringeBenefits[County]),MATCH(T81,CountyDisbursementsFringeBenefits[#Headers]))</f>
        <v>401241.33</v>
      </c>
      <c r="U85" s="229">
        <f>INDEX(CountyDisbursementsFringeBenefits[],MATCH($A$3,CountyDisbursementsFringeBenefits[County]),MATCH(U81,CountyDisbursementsFringeBenefits[#Headers]))</f>
        <v>393666.12</v>
      </c>
      <c r="V85" s="229">
        <f>INDEX(CountyDisbursementsFringeBenefits[],MATCH($A$3,CountyDisbursementsFringeBenefits[County]),MATCH(V81,CountyDisbursementsFringeBenefits[#Headers]))</f>
        <v>365114.93000000011</v>
      </c>
      <c r="W85" s="229">
        <f>INDEX(CountyDisbursementsFringeBenefits[],MATCH($A$3,CountyDisbursementsFringeBenefits[County]),MATCH(W81,CountyDisbursementsFringeBenefits[#Headers]))</f>
        <v>525799</v>
      </c>
      <c r="X85" s="229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</row>
    <row r="86" spans="1:111" ht="14.25" customHeight="1">
      <c r="A86" s="153" t="s">
        <v>128</v>
      </c>
      <c r="B86" s="229">
        <f>INDEX(CountyDisbursementsProsecutingAttorney[],MATCH($A$3,CountyDisbursementsProsecutingAttorney[County]),MATCH(B81,CountyDisbursementsProsecutingAttorney[#Headers],0))</f>
        <v>151951.51999999999</v>
      </c>
      <c r="C86" s="229">
        <f>INDEX(CountyDisbursementsProsecutingAttorney[],MATCH($A$3,CountyDisbursementsProsecutingAttorney[County]),MATCH(C81,CountyDisbursementsProsecutingAttorney[#Headers]))</f>
        <v>155237.95000000001</v>
      </c>
      <c r="D86" s="229">
        <f>INDEX(CountyDisbursementsProsecutingAttorney[],MATCH($A$3,CountyDisbursementsProsecutingAttorney[County]),MATCH(D81,CountyDisbursementsProsecutingAttorney[#Headers]))</f>
        <v>141192.72</v>
      </c>
      <c r="E86" s="229">
        <f>INDEX(CountyDisbursementsProsecutingAttorney[],MATCH($A$3,CountyDisbursementsProsecutingAttorney[County]),MATCH(E81,CountyDisbursementsProsecutingAttorney[#Headers]))</f>
        <v>172443.78</v>
      </c>
      <c r="F86" s="229">
        <f>INDEX(CountyDisbursementsProsecutingAttorney[],MATCH($A$3,CountyDisbursementsProsecutingAttorney[County]),MATCH(F81,CountyDisbursementsProsecutingAttorney[#Headers]))</f>
        <v>175929.5</v>
      </c>
      <c r="G86" s="229">
        <f>INDEX(CountyDisbursementsProsecutingAttorney[],MATCH($A$3,CountyDisbursementsProsecutingAttorney[County]),MATCH(G81,CountyDisbursementsProsecutingAttorney[#Headers]))</f>
        <v>174576.5</v>
      </c>
      <c r="H86" s="229">
        <f>INDEX(CountyDisbursementsProsecutingAttorney[],MATCH($A$3,CountyDisbursementsProsecutingAttorney[County]),MATCH(H81,CountyDisbursementsProsecutingAttorney[#Headers]))</f>
        <v>171582.21</v>
      </c>
      <c r="I86" s="229">
        <f>INDEX(CountyDisbursementsProsecutingAttorney[],MATCH($A$3,CountyDisbursementsProsecutingAttorney[County]),MATCH(I81,CountyDisbursementsProsecutingAttorney[#Headers]))</f>
        <v>200302.72</v>
      </c>
      <c r="J86" s="229">
        <f>INDEX(CountyDisbursementsProsecutingAttorney[],MATCH($A$3,CountyDisbursementsProsecutingAttorney[County]),MATCH(J81,CountyDisbursementsProsecutingAttorney[#Headers]))</f>
        <v>208224.53999999998</v>
      </c>
      <c r="K86" s="229">
        <f>INDEX(CountyDisbursementsProsecutingAttorney[],MATCH($A$3,CountyDisbursementsProsecutingAttorney[County]),MATCH(K81,CountyDisbursementsProsecutingAttorney[#Headers]))</f>
        <v>218643.87000000002</v>
      </c>
      <c r="L86" s="229">
        <f>INDEX(CountyDisbursementsProsecutingAttorney[],MATCH($A$3,CountyDisbursementsProsecutingAttorney[County]),MATCH(L81,CountyDisbursementsProsecutingAttorney[#Headers]))</f>
        <v>217860.31</v>
      </c>
      <c r="M86" s="229">
        <f>INDEX(CountyDisbursementsProsecutingAttorney[],MATCH($A$3,CountyDisbursementsProsecutingAttorney[County]),MATCH(M81,CountyDisbursementsProsecutingAttorney[#Headers]))</f>
        <v>222369.58000000002</v>
      </c>
      <c r="N86" s="229">
        <f>INDEX(CountyDisbursementsProsecutingAttorney[],MATCH($A$3,CountyDisbursementsProsecutingAttorney[County]),MATCH(N81,CountyDisbursementsProsecutingAttorney[#Headers]))</f>
        <v>235089.53000000003</v>
      </c>
      <c r="O86" s="229">
        <f>INDEX(CountyDisbursementsProsecutingAttorney[],MATCH($A$3,CountyDisbursementsProsecutingAttorney[County]),MATCH(O81,CountyDisbursementsProsecutingAttorney[#Headers]))</f>
        <v>230986.61999999997</v>
      </c>
      <c r="P86" s="229">
        <f>INDEX(CountyDisbursementsProsecutingAttorney[],MATCH($A$3,CountyDisbursementsProsecutingAttorney[County]),MATCH(P81,CountyDisbursementsProsecutingAttorney[#Headers]))</f>
        <v>226141.84</v>
      </c>
      <c r="Q86" s="229">
        <f>INDEX(CountyDisbursementsProsecutingAttorney[],MATCH($A$3,CountyDisbursementsProsecutingAttorney[County]),MATCH(Q81,CountyDisbursementsProsecutingAttorney[#Headers]))</f>
        <v>235702.90999999997</v>
      </c>
      <c r="R86" s="229">
        <f>INDEX(CountyDisbursementsProsecutingAttorney[],MATCH($A$3,CountyDisbursementsProsecutingAttorney[County]),MATCH(R81,CountyDisbursementsProsecutingAttorney[#Headers]))</f>
        <v>247589.16999999998</v>
      </c>
      <c r="S86" s="229">
        <f>INDEX(CountyDisbursementsProsecutingAttorney[],MATCH($A$3,CountyDisbursementsProsecutingAttorney[County]),MATCH(S81,CountyDisbursementsProsecutingAttorney[#Headers]))</f>
        <v>278611.17</v>
      </c>
      <c r="T86" s="229">
        <f>INDEX(CountyDisbursementsProsecutingAttorney[],MATCH($A$3,CountyDisbursementsProsecutingAttorney[County]),MATCH(T81,CountyDisbursementsProsecutingAttorney[#Headers]))</f>
        <v>281672.8</v>
      </c>
      <c r="U86" s="229">
        <f>INDEX(CountyDisbursementsProsecutingAttorney[],MATCH($A$3,CountyDisbursementsProsecutingAttorney[County]),MATCH(U81,CountyDisbursementsProsecutingAttorney[#Headers]))</f>
        <v>303686.68</v>
      </c>
      <c r="V86" s="229">
        <f>INDEX(CountyDisbursementsProsecutingAttorney[],MATCH($A$3,CountyDisbursementsProsecutingAttorney[County]),MATCH(V81,CountyDisbursementsProsecutingAttorney[#Headers]))</f>
        <v>311647.76</v>
      </c>
      <c r="W86" s="229">
        <f>INDEX(CountyDisbursementsProsecutingAttorney[],MATCH($A$3,CountyDisbursementsProsecutingAttorney[County]),MATCH(W81,CountyDisbursementsProsecutingAttorney[#Headers]))</f>
        <v>341056</v>
      </c>
      <c r="X86" s="229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</row>
    <row r="87" spans="1:111" ht="14.25" customHeight="1">
      <c r="A87" s="153" t="s">
        <v>258</v>
      </c>
      <c r="B87" s="229">
        <f>INDEX(CountyDisbursementsPublicAdministrator[],MATCH($A$3,CountyDisbursementsPublicAdministrator[County]),MATCH(B81,CountyDisbursementsPublicAdministrator[#Headers],0))</f>
        <v>21707.360000000001</v>
      </c>
      <c r="C87" s="229">
        <f>INDEX(CountyDisbursementsPublicAdministrator[],MATCH($A$3,CountyDisbursementsPublicAdministrator[County]),MATCH(C81,CountyDisbursementsPublicAdministrator[#Headers]))</f>
        <v>44353.7</v>
      </c>
      <c r="D87" s="229">
        <f>INDEX(CountyDisbursementsPublicAdministrator[],MATCH($A$3,CountyDisbursementsPublicAdministrator[County]),MATCH(D81,CountyDisbursementsPublicAdministrator[#Headers]))</f>
        <v>70596.36</v>
      </c>
      <c r="E87" s="229">
        <f>INDEX(CountyDisbursementsPublicAdministrator[],MATCH($A$3,CountyDisbursementsPublicAdministrator[County]),MATCH(E81,CountyDisbursementsPublicAdministrator[#Headers]))</f>
        <v>57481.259999999995</v>
      </c>
      <c r="F87" s="229">
        <f>INDEX(CountyDisbursementsPublicAdministrator[],MATCH($A$3,CountyDisbursementsPublicAdministrator[County]),MATCH(F81,CountyDisbursementsPublicAdministrator[#Headers]))</f>
        <v>87964.75</v>
      </c>
      <c r="G87" s="229">
        <f>INDEX(CountyDisbursementsPublicAdministrator[],MATCH($A$3,CountyDisbursementsPublicAdministrator[County]),MATCH(G81,CountyDisbursementsPublicAdministrator[#Headers]))</f>
        <v>69830.600000000006</v>
      </c>
      <c r="H87" s="229">
        <f>INDEX(CountyDisbursementsPublicAdministrator[],MATCH($A$3,CountyDisbursementsPublicAdministrator[County]),MATCH(H81,CountyDisbursementsPublicAdministrator[#Headers]))</f>
        <v>76258.759999999995</v>
      </c>
      <c r="I87" s="229">
        <f>INDEX(CountyDisbursementsPublicAdministrator[],MATCH($A$3,CountyDisbursementsPublicAdministrator[County]),MATCH(I81,CountyDisbursementsPublicAdministrator[#Headers]))</f>
        <v>75113.52</v>
      </c>
      <c r="J87" s="229">
        <f>INDEX(CountyDisbursementsPublicAdministrator[],MATCH($A$3,CountyDisbursementsPublicAdministrator[County]),MATCH(J81,CountyDisbursementsPublicAdministrator[#Headers]))</f>
        <v>78511.459999999992</v>
      </c>
      <c r="K87" s="229">
        <f>INDEX(CountyDisbursementsPublicAdministrator[],MATCH($A$3,CountyDisbursementsPublicAdministrator[County]),MATCH(K81,CountyDisbursementsPublicAdministrator[#Headers]))</f>
        <v>84885.040000000008</v>
      </c>
      <c r="L87" s="229">
        <f>INDEX(CountyDisbursementsPublicAdministrator[],MATCH($A$3,CountyDisbursementsPublicAdministrator[County]),MATCH(L81,CountyDisbursementsPublicAdministrator[#Headers]))</f>
        <v>90921.670000000013</v>
      </c>
      <c r="M87" s="229">
        <f>INDEX(CountyDisbursementsPublicAdministrator[],MATCH($A$3,CountyDisbursementsPublicAdministrator[County]),MATCH(M81,CountyDisbursementsPublicAdministrator[#Headers]))</f>
        <v>89481.09</v>
      </c>
      <c r="N87" s="229">
        <f>INDEX(CountyDisbursementsPublicAdministrator[],MATCH($A$3,CountyDisbursementsPublicAdministrator[County]),MATCH(N81,CountyDisbursementsPublicAdministrator[#Headers]))</f>
        <v>102529.52</v>
      </c>
      <c r="O87" s="229">
        <f>INDEX(CountyDisbursementsPublicAdministrator[],MATCH($A$3,CountyDisbursementsPublicAdministrator[County]),MATCH(O81,CountyDisbursementsPublicAdministrator[#Headers]))</f>
        <v>90125.61</v>
      </c>
      <c r="P87" s="229">
        <f>INDEX(CountyDisbursementsPublicAdministrator[],MATCH($A$3,CountyDisbursementsPublicAdministrator[County]),MATCH(P81,CountyDisbursementsPublicAdministrator[#Headers]))</f>
        <v>112901.23000000001</v>
      </c>
      <c r="Q87" s="229">
        <f>INDEX(CountyDisbursementsPublicAdministrator[],MATCH($A$3,CountyDisbursementsPublicAdministrator[County]),MATCH(Q81,CountyDisbursementsPublicAdministrator[#Headers]))</f>
        <v>118660.09999999999</v>
      </c>
      <c r="R87" s="229">
        <f>INDEX(CountyDisbursementsPublicAdministrator[],MATCH($A$3,CountyDisbursementsPublicAdministrator[County]),MATCH(R81,CountyDisbursementsPublicAdministrator[#Headers]))</f>
        <v>122147.80000000002</v>
      </c>
      <c r="S87" s="229">
        <f>INDEX(CountyDisbursementsPublicAdministrator[],MATCH($A$3,CountyDisbursementsPublicAdministrator[County]),MATCH(S81,CountyDisbursementsPublicAdministrator[#Headers]))</f>
        <v>129443.44</v>
      </c>
      <c r="T87" s="229">
        <f>INDEX(CountyDisbursementsPublicAdministrator[],MATCH($A$3,CountyDisbursementsPublicAdministrator[County]),MATCH(T81,CountyDisbursementsPublicAdministrator[#Headers]))</f>
        <v>143636.11000000002</v>
      </c>
      <c r="U87" s="229">
        <f>INDEX(CountyDisbursementsPublicAdministrator[],MATCH($A$3,CountyDisbursementsPublicAdministrator[County]),MATCH(U81,CountyDisbursementsPublicAdministrator[#Headers]))</f>
        <v>150587.31</v>
      </c>
      <c r="V87" s="229">
        <f>INDEX(CountyDisbursementsPublicAdministrator[],MATCH($A$3,CountyDisbursementsPublicAdministrator[County]),MATCH(V81,CountyDisbursementsPublicAdministrator[#Headers]))</f>
        <v>174829.24</v>
      </c>
      <c r="W87" s="229">
        <f>INDEX(CountyDisbursementsPublicAdministrator[],MATCH($A$3,CountyDisbursementsPublicAdministrator[County]),MATCH(W81,CountyDisbursementsPublicAdministrator[#Headers]))</f>
        <v>168441.91999999998</v>
      </c>
      <c r="X87" s="229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</row>
    <row r="88" spans="1:111" ht="14.25" customHeight="1">
      <c r="A88" s="177" t="s">
        <v>256</v>
      </c>
      <c r="B88" s="229">
        <f>INDEX(CountyDisbursementsHealthWelfare[],MATCH($A$3,CountyDisbursementsHealthWelfare[County]),MATCH(B81,CountyDisbursementsHealthWelfare[#Headers],0))</f>
        <v>260488.32000000001</v>
      </c>
      <c r="C88" s="229">
        <f>INDEX(CountyDisbursementsHealthWelfare[],MATCH($A$3,CountyDisbursementsHealthWelfare[County]),MATCH(C81,CountyDisbursementsHealthWelfare[#Headers]))</f>
        <v>310475.90000000002</v>
      </c>
      <c r="D88" s="229">
        <f>INDEX(CountyDisbursementsHealthWelfare[],MATCH($A$3,CountyDisbursementsHealthWelfare[County]),MATCH(D81,CountyDisbursementsHealthWelfare[#Headers]))</f>
        <v>282385.44</v>
      </c>
      <c r="E88" s="229">
        <f>INDEX(CountyDisbursementsHealthWelfare[],MATCH($A$3,CountyDisbursementsHealthWelfare[County]),MATCH(E81,CountyDisbursementsHealthWelfare[#Headers]))</f>
        <v>402368.82</v>
      </c>
      <c r="F88" s="229">
        <f>INDEX(CountyDisbursementsHealthWelfare[],MATCH($A$3,CountyDisbursementsHealthWelfare[County]),MATCH(F81,CountyDisbursementsHealthWelfare[#Headers]))</f>
        <v>281487.2</v>
      </c>
      <c r="G88" s="229">
        <f>INDEX(CountyDisbursementsHealthWelfare[],MATCH($A$3,CountyDisbursementsHealthWelfare[County]),MATCH(G81,CountyDisbursementsHealthWelfare[#Headers]))</f>
        <v>453898.9</v>
      </c>
      <c r="H88" s="229">
        <f>INDEX(CountyDisbursementsHealthWelfare[],MATCH($A$3,CountyDisbursementsHealthWelfare[County]),MATCH(H81,CountyDisbursementsHealthWelfare[#Headers]))</f>
        <v>228776.28</v>
      </c>
      <c r="I88" s="229">
        <f>INDEX(CountyDisbursementsHealthWelfare[],MATCH($A$3,CountyDisbursementsHealthWelfare[County]),MATCH(I81,CountyDisbursementsHealthWelfare[#Headers]))</f>
        <v>901362.24</v>
      </c>
      <c r="J88" s="229">
        <f>INDEX(CountyDisbursementsHealthWelfare[],MATCH($A$3,CountyDisbursementsHealthWelfare[County]),MATCH(J81,CountyDisbursementsHealthWelfare[#Headers]))</f>
        <v>305637.69999999995</v>
      </c>
      <c r="K88" s="229">
        <f>INDEX(CountyDisbursementsHealthWelfare[],MATCH($A$3,CountyDisbursementsHealthWelfare[County]),MATCH(K81,CountyDisbursementsHealthWelfare[#Headers]))</f>
        <v>259800.54000000004</v>
      </c>
      <c r="L88" s="229">
        <f>INDEX(CountyDisbursementsHealthWelfare[],MATCH($A$3,CountyDisbursementsHealthWelfare[County]),MATCH(L81,CountyDisbursementsHealthWelfare[#Headers]))</f>
        <v>320738.44999999995</v>
      </c>
      <c r="M88" s="229">
        <f>INDEX(CountyDisbursementsHealthWelfare[],MATCH($A$3,CountyDisbursementsHealthWelfare[County]),MATCH(M81,CountyDisbursementsHealthWelfare[#Headers]))</f>
        <v>277536.04000000004</v>
      </c>
      <c r="N88" s="229">
        <f>INDEX(CountyDisbursementsHealthWelfare[],MATCH($A$3,CountyDisbursementsHealthWelfare[County]),MATCH(N81,CountyDisbursementsHealthWelfare[#Headers]))</f>
        <v>560572.55999999994</v>
      </c>
      <c r="O88" s="229">
        <f>INDEX(CountyDisbursementsHealthWelfare[],MATCH($A$3,CountyDisbursementsHealthWelfare[County]),MATCH(O81,CountyDisbursementsHealthWelfare[#Headers]))</f>
        <v>572060.96000000008</v>
      </c>
      <c r="P88" s="229">
        <f>INDEX(CountyDisbursementsHealthWelfare[],MATCH($A$3,CountyDisbursementsHealthWelfare[County]),MATCH(P81,CountyDisbursementsHealthWelfare[#Headers]))</f>
        <v>744002.12000000011</v>
      </c>
      <c r="Q88" s="229">
        <f>INDEX(CountyDisbursementsHealthWelfare[],MATCH($A$3,CountyDisbursementsHealthWelfare[County]),MATCH(Q81,CountyDisbursementsHealthWelfare[#Headers]))</f>
        <v>532917.27</v>
      </c>
      <c r="R88" s="229">
        <f>INDEX(CountyDisbursementsHealthWelfare[],MATCH($A$3,CountyDisbursementsHealthWelfare[County]),MATCH(R81,CountyDisbursementsHealthWelfare[#Headers]))</f>
        <v>617558.22000000009</v>
      </c>
      <c r="S88" s="229">
        <f>INDEX(CountyDisbursementsHealthWelfare[],MATCH($A$3,CountyDisbursementsHealthWelfare[County]),MATCH(S81,CountyDisbursementsHealthWelfare[#Headers]))</f>
        <v>542768.24</v>
      </c>
      <c r="T88" s="229">
        <f>INDEX(CountyDisbursementsHealthWelfare[],MATCH($A$3,CountyDisbursementsHealthWelfare[County]),MATCH(T81,CountyDisbursementsHealthWelfare[#Headers]))</f>
        <v>427663.46</v>
      </c>
      <c r="U88" s="229">
        <f>INDEX(CountyDisbursementsHealthWelfare[],MATCH($A$3,CountyDisbursementsHealthWelfare[County]),MATCH(U81,CountyDisbursementsHealthWelfare[#Headers]))</f>
        <v>395173.78</v>
      </c>
      <c r="V88" s="229">
        <f>INDEX(CountyDisbursementsHealthWelfare[],MATCH($A$3,CountyDisbursementsHealthWelfare[County]),MATCH(V81,CountyDisbursementsHealthWelfare[#Headers]))</f>
        <v>352811.72</v>
      </c>
      <c r="W88" s="229">
        <f>INDEX(CountyDisbursementsHealthWelfare[],MATCH($A$3,CountyDisbursementsHealthWelfare[County]),MATCH(W81,CountyDisbursementsHealthWelfare[#Headers]))</f>
        <v>443006.1</v>
      </c>
      <c r="X88" s="229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</row>
    <row r="89" spans="1:111" ht="14.25" customHeight="1">
      <c r="A89" s="153" t="s">
        <v>132</v>
      </c>
      <c r="B89" s="229">
        <f>INDEX(CountyDisbursementsOperatingTransfers[],MATCH($A$3,CountyDisbursementsOperatingTransfers[County]),MATCH(B81,CountyDisbursementsOperatingTransfers[#Headers],0))</f>
        <v>86829.440000000002</v>
      </c>
      <c r="C89" s="229">
        <f>INDEX(CountyDisbursementsOperatingTransfers[],MATCH($A$3,CountyDisbursementsOperatingTransfers[County]),MATCH(C81,CountyDisbursementsOperatingTransfers[#Headers]))</f>
        <v>0</v>
      </c>
      <c r="D89" s="229">
        <f>INDEX(CountyDisbursementsOperatingTransfers[],MATCH($A$3,CountyDisbursementsOperatingTransfers[County]),MATCH(D81,CountyDisbursementsOperatingTransfers[#Headers]))</f>
        <v>88245.45</v>
      </c>
      <c r="E89" s="229">
        <f>INDEX(CountyDisbursementsOperatingTransfers[],MATCH($A$3,CountyDisbursementsOperatingTransfers[County]),MATCH(E81,CountyDisbursementsOperatingTransfers[#Headers]))</f>
        <v>38320.839999999997</v>
      </c>
      <c r="F89" s="229">
        <f>INDEX(CountyDisbursementsOperatingTransfers[],MATCH($A$3,CountyDisbursementsOperatingTransfers[County]),MATCH(F81,CountyDisbursementsOperatingTransfers[#Headers]))</f>
        <v>0</v>
      </c>
      <c r="G89" s="229">
        <f>INDEX(CountyDisbursementsOperatingTransfers[],MATCH($A$3,CountyDisbursementsOperatingTransfers[County]),MATCH(G81,CountyDisbursementsOperatingTransfers[#Headers]))</f>
        <v>69830.600000000006</v>
      </c>
      <c r="H89" s="229">
        <f>INDEX(CountyDisbursementsOperatingTransfers[],MATCH($A$3,CountyDisbursementsOperatingTransfers[County]),MATCH(H81,CountyDisbursementsOperatingTransfers[#Headers]))</f>
        <v>400358.49</v>
      </c>
      <c r="I89" s="229">
        <f>INDEX(CountyDisbursementsOperatingTransfers[],MATCH($A$3,CountyDisbursementsOperatingTransfers[County]),MATCH(I81,CountyDisbursementsOperatingTransfers[#Headers]))</f>
        <v>400605.44</v>
      </c>
      <c r="J89" s="229">
        <f>INDEX(CountyDisbursementsOperatingTransfers[],MATCH($A$3,CountyDisbursementsOperatingTransfers[County]),MATCH(J81,CountyDisbursementsOperatingTransfers[#Headers]))</f>
        <v>595392.38</v>
      </c>
      <c r="K89" s="229">
        <f>INDEX(CountyDisbursementsOperatingTransfers[],MATCH($A$3,CountyDisbursementsOperatingTransfers[County]),MATCH(K81,CountyDisbursementsOperatingTransfers[#Headers]))</f>
        <v>418220</v>
      </c>
      <c r="L89" s="229">
        <f>INDEX(CountyDisbursementsOperatingTransfers[],MATCH($A$3,CountyDisbursementsOperatingTransfers[County]),MATCH(L81,CountyDisbursementsOperatingTransfers[#Headers]))</f>
        <v>189602.94</v>
      </c>
      <c r="M89" s="229">
        <f>INDEX(CountyDisbursementsOperatingTransfers[],MATCH($A$3,CountyDisbursementsOperatingTransfers[County]),MATCH(M81,CountyDisbursementsOperatingTransfers[#Headers]))</f>
        <v>163963</v>
      </c>
      <c r="N89" s="229">
        <f>INDEX(CountyDisbursementsOperatingTransfers[],MATCH($A$3,CountyDisbursementsOperatingTransfers[County]),MATCH(N81,CountyDisbursementsOperatingTransfers[#Headers]))</f>
        <v>338335.93</v>
      </c>
      <c r="O89" s="229">
        <f>INDEX(CountyDisbursementsOperatingTransfers[],MATCH($A$3,CountyDisbursementsOperatingTransfers[County]),MATCH(O81,CountyDisbursementsOperatingTransfers[#Headers]))</f>
        <v>170384</v>
      </c>
      <c r="P89" s="229">
        <f>INDEX(CountyDisbursementsOperatingTransfers[],MATCH($A$3,CountyDisbursementsOperatingTransfers[County]),MATCH(P81,CountyDisbursementsOperatingTransfers[#Headers]))</f>
        <v>111263</v>
      </c>
      <c r="Q89" s="229">
        <f>INDEX(CountyDisbursementsOperatingTransfers[],MATCH($A$3,CountyDisbursementsOperatingTransfers[County]),MATCH(Q81,CountyDisbursementsOperatingTransfers[#Headers]))</f>
        <v>183200</v>
      </c>
      <c r="R89" s="229">
        <f>INDEX(CountyDisbursementsOperatingTransfers[],MATCH($A$3,CountyDisbursementsOperatingTransfers[County]),MATCH(R81,CountyDisbursementsOperatingTransfers[#Headers]))</f>
        <v>183600</v>
      </c>
      <c r="S89" s="229">
        <f>INDEX(CountyDisbursementsOperatingTransfers[],MATCH($A$3,CountyDisbursementsOperatingTransfers[County]),MATCH(S81,CountyDisbursementsOperatingTransfers[#Headers]))</f>
        <v>218700</v>
      </c>
      <c r="T89" s="229">
        <f>INDEX(CountyDisbursementsOperatingTransfers[],MATCH($A$3,CountyDisbursementsOperatingTransfers[County]),MATCH(T81,CountyDisbursementsOperatingTransfers[#Headers]))</f>
        <v>226790</v>
      </c>
      <c r="U89" s="229">
        <f>INDEX(CountyDisbursementsOperatingTransfers[],MATCH($A$3,CountyDisbursementsOperatingTransfers[County]),MATCH(U81,CountyDisbursementsOperatingTransfers[#Headers]))</f>
        <v>93500</v>
      </c>
      <c r="V89" s="229">
        <f>INDEX(CountyDisbursementsOperatingTransfers[],MATCH($A$3,CountyDisbursementsOperatingTransfers[County]),MATCH(V81,CountyDisbursementsOperatingTransfers[#Headers]))</f>
        <v>85000</v>
      </c>
      <c r="W89" s="229">
        <f>INDEX(CountyDisbursementsOperatingTransfers[],MATCH($A$3,CountyDisbursementsOperatingTransfers[County]),MATCH(W81,CountyDisbursementsOperatingTransfers[#Headers]))</f>
        <v>0</v>
      </c>
      <c r="X89" s="229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</row>
    <row r="90" spans="1:111" ht="14.25" customHeight="1">
      <c r="A90" s="155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70"/>
      <c r="T90" s="170"/>
      <c r="U90" s="170"/>
      <c r="V90" s="170"/>
      <c r="W90" s="170"/>
      <c r="X90" s="17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</row>
    <row r="91" spans="1:111" ht="14.25" customHeight="1">
      <c r="A91" s="169" t="str">
        <f>CONCATENATE($A$5," County Detailed General Revenue Expenditures")</f>
        <v>Andrew County Detailed General Revenue Expenditures</v>
      </c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234"/>
      <c r="P91" s="162"/>
      <c r="Q91" s="162"/>
      <c r="R91" s="162"/>
      <c r="S91" s="170"/>
      <c r="T91" s="170"/>
      <c r="U91" s="170"/>
      <c r="V91" s="170"/>
      <c r="W91" s="170"/>
      <c r="X91" s="17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</row>
    <row r="92" spans="1:111" ht="14.25" customHeight="1">
      <c r="A92" s="306" t="s">
        <v>434</v>
      </c>
      <c r="B92" s="309" t="s">
        <v>409</v>
      </c>
      <c r="C92" s="309" t="s">
        <v>410</v>
      </c>
      <c r="D92" s="309" t="s">
        <v>411</v>
      </c>
      <c r="E92" s="309" t="s">
        <v>412</v>
      </c>
      <c r="F92" s="309" t="s">
        <v>413</v>
      </c>
      <c r="G92" s="309" t="s">
        <v>414</v>
      </c>
      <c r="H92" s="309" t="s">
        <v>415</v>
      </c>
      <c r="I92" s="309" t="s">
        <v>416</v>
      </c>
      <c r="J92" s="309" t="s">
        <v>417</v>
      </c>
      <c r="K92" s="308" t="s">
        <v>418</v>
      </c>
      <c r="L92" s="308" t="s">
        <v>419</v>
      </c>
      <c r="M92" s="308" t="s">
        <v>420</v>
      </c>
      <c r="N92" s="308" t="s">
        <v>421</v>
      </c>
      <c r="O92" s="313" t="s">
        <v>422</v>
      </c>
      <c r="P92" s="302" t="s">
        <v>423</v>
      </c>
      <c r="Q92" s="302" t="s">
        <v>355</v>
      </c>
      <c r="R92" s="302" t="s">
        <v>399</v>
      </c>
      <c r="S92" s="302" t="s">
        <v>424</v>
      </c>
      <c r="T92" s="302" t="s">
        <v>446</v>
      </c>
      <c r="U92" s="302" t="s">
        <v>523</v>
      </c>
      <c r="V92" s="302" t="s">
        <v>524</v>
      </c>
      <c r="W92" s="302" t="s">
        <v>525</v>
      </c>
      <c r="X92" s="302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</row>
    <row r="93" spans="1:111" ht="14.25" customHeight="1">
      <c r="A93" s="153" t="s">
        <v>133</v>
      </c>
      <c r="B93" s="229">
        <f>INDEX(CountyDisbursementsCentralGovt[],MATCH($A$5,CountyDisbursementsCentralGovt[County]),MATCH(B92,CountyDisbursementsCentralGovt[#Headers],0))</f>
        <v>297680.88</v>
      </c>
      <c r="C93" s="229">
        <f>INDEX(CountyDisbursementsCentralGovt[],MATCH($A$5,CountyDisbursementsCentralGovt[County]),MATCH(C92,CountyDisbursementsCentralGovt[#Headers]))</f>
        <v>285668.25</v>
      </c>
      <c r="D93" s="229">
        <f>INDEX(CountyDisbursementsCentralGovt[],MATCH($A$5,CountyDisbursementsCentralGovt[County]),MATCH(D92,CountyDisbursementsCentralGovt[#Headers]))</f>
        <v>314570.45999999996</v>
      </c>
      <c r="E93" s="229">
        <f>INDEX(CountyDisbursementsCentralGovt[],MATCH($A$5,CountyDisbursementsCentralGovt[County]),MATCH(E92,CountyDisbursementsCentralGovt[#Headers]))</f>
        <v>350903.52</v>
      </c>
      <c r="F93" s="229">
        <f>INDEX(CountyDisbursementsCentralGovt[],MATCH($A$5,CountyDisbursementsCentralGovt[County]),MATCH(F92,CountyDisbursementsCentralGovt[#Headers]))</f>
        <v>432989.93</v>
      </c>
      <c r="G93" s="229">
        <f>INDEX(CountyDisbursementsCentralGovt[],MATCH($A$5,CountyDisbursementsCentralGovt[County]),MATCH(G92,CountyDisbursementsCentralGovt[#Headers]))</f>
        <v>461545.20000000007</v>
      </c>
      <c r="H93" s="229">
        <f>INDEX(CountyDisbursementsCentralGovt[],MATCH($A$5,CountyDisbursementsCentralGovt[County]),MATCH(H92,CountyDisbursementsCentralGovt[#Headers]))</f>
        <v>478215.99</v>
      </c>
      <c r="I93" s="229">
        <f>INDEX(CountyDisbursementsCentralGovt[],MATCH($A$5,CountyDisbursementsCentralGovt[County]),MATCH(I92,CountyDisbursementsCentralGovt[#Headers]))</f>
        <v>391839.19999999995</v>
      </c>
      <c r="J93" s="229">
        <f>INDEX(CountyDisbursementsCentralGovt[],MATCH($A$5,CountyDisbursementsCentralGovt[County]),MATCH(J92,CountyDisbursementsCentralGovt[#Headers]))</f>
        <v>487854</v>
      </c>
      <c r="K93" s="229">
        <f>INDEX(CountyDisbursementsCentralGovt[],MATCH($A$5,CountyDisbursementsCentralGovt[County]),MATCH(K92,CountyDisbursementsCentralGovt[#Headers]))</f>
        <v>522981</v>
      </c>
      <c r="L93" s="229">
        <f>INDEX(CountyDisbursementsCentralGovt[],MATCH($A$5,CountyDisbursementsCentralGovt[County]),MATCH(L92,CountyDisbursementsCentralGovt[#Headers]))</f>
        <v>484203</v>
      </c>
      <c r="M93" s="229">
        <f>INDEX(CountyDisbursementsCentralGovt[],MATCH($A$5,CountyDisbursementsCentralGovt[County]),MATCH(M92,CountyDisbursementsCentralGovt[#Headers]))</f>
        <v>526339</v>
      </c>
      <c r="N93" s="229">
        <f>INDEX(CountyDisbursementsCentralGovt[],MATCH($A$5,CountyDisbursementsCentralGovt[County]),MATCH(N92,CountyDisbursementsCentralGovt[#Headers]))</f>
        <v>535828</v>
      </c>
      <c r="O93" s="229">
        <f>INDEX(CountyDisbursementsCentralGovt[],MATCH($A$5,CountyDisbursementsCentralGovt[County]),MATCH(O92,CountyDisbursementsCentralGovt[#Headers]))</f>
        <v>490279</v>
      </c>
      <c r="P93" s="229">
        <f>INDEX(CountyDisbursementsCentralGovt[],MATCH($A$5,CountyDisbursementsCentralGovt[County]),MATCH(P92,CountyDisbursementsCentralGovt[#Headers]))</f>
        <v>523057</v>
      </c>
      <c r="Q93" s="229">
        <f>INDEX(CountyDisbursementsCentralGovt[],MATCH($A$5,CountyDisbursementsCentralGovt[County]),MATCH(Q92,CountyDisbursementsCentralGovt[#Headers]))</f>
        <v>508449</v>
      </c>
      <c r="R93" s="229">
        <f>INDEX(CountyDisbursementsCentralGovt[],MATCH($A$5,CountyDisbursementsCentralGovt[County]),MATCH(R92,CountyDisbursementsCentralGovt[#Headers]))</f>
        <v>575309</v>
      </c>
      <c r="S93" s="229">
        <f>INDEX(CountyDisbursementsCentralGovt[],MATCH($A$5,CountyDisbursementsCentralGovt[County]),MATCH(S92,CountyDisbursementsCentralGovt[#Headers]))</f>
        <v>514534</v>
      </c>
      <c r="T93" s="229">
        <f>INDEX(CountyDisbursementsCentralGovt[],MATCH($A$5,CountyDisbursementsCentralGovt[County]),MATCH(T92,CountyDisbursementsCentralGovt[#Headers]))</f>
        <v>504521</v>
      </c>
      <c r="U93" s="229">
        <f>INDEX(CountyDisbursementsCentralGovt[],MATCH($A$5,CountyDisbursementsCentralGovt[County]),MATCH(U92,CountyDisbursementsCentralGovt[#Headers]))</f>
        <v>474412</v>
      </c>
      <c r="V93" s="229">
        <f>INDEX(CountyDisbursementsCentralGovt[],MATCH($A$5,CountyDisbursementsCentralGovt[County]),MATCH(V92,CountyDisbursementsCentralGovt[#Headers]))</f>
        <v>561917</v>
      </c>
      <c r="W93" s="229">
        <f>INDEX(CountyDisbursementsCentralGovt[],MATCH($A$5,CountyDisbursementsCentralGovt[County]),MATCH(W92,CountyDisbursementsCentralGovt[#Headers]))</f>
        <v>544572</v>
      </c>
      <c r="X93" s="229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</row>
    <row r="94" spans="1:111" ht="14.25" customHeight="1">
      <c r="A94" s="153" t="s">
        <v>135</v>
      </c>
      <c r="B94" s="229">
        <f>INDEX(CountyDisbursementsLawEnforcement[],MATCH($A$5,CountyDisbursementsLawEnforcement[County]),MATCH(B92,CountyDisbursementsLawEnforcement[#Headers],0))</f>
        <v>0</v>
      </c>
      <c r="C94" s="229">
        <f>INDEX(CountyDisbursementsLawEnforcement[],MATCH($A$5,CountyDisbursementsLawEnforcement[County]),MATCH(C92,CountyDisbursementsLawEnforcement[#Headers]))</f>
        <v>0</v>
      </c>
      <c r="D94" s="229">
        <f>INDEX(CountyDisbursementsLawEnforcement[],MATCH($A$5,CountyDisbursementsLawEnforcement[County]),MATCH(D92,CountyDisbursementsLawEnforcement[#Headers]))</f>
        <v>0</v>
      </c>
      <c r="E94" s="229">
        <f>INDEX(CountyDisbursementsLawEnforcement[],MATCH($A$5,CountyDisbursementsLawEnforcement[County]),MATCH(E92,CountyDisbursementsLawEnforcement[#Headers]))</f>
        <v>0</v>
      </c>
      <c r="F94" s="229">
        <f>INDEX(CountyDisbursementsLawEnforcement[],MATCH($A$5,CountyDisbursementsLawEnforcement[County]),MATCH(F92,CountyDisbursementsLawEnforcement[#Headers]))</f>
        <v>0</v>
      </c>
      <c r="G94" s="229">
        <f>INDEX(CountyDisbursementsLawEnforcement[],MATCH($A$5,CountyDisbursementsLawEnforcement[County]),MATCH(G92,CountyDisbursementsLawEnforcement[#Headers]))</f>
        <v>0</v>
      </c>
      <c r="H94" s="229">
        <f>INDEX(CountyDisbursementsLawEnforcement[],MATCH($A$5,CountyDisbursementsLawEnforcement[County]),MATCH(H92,CountyDisbursementsLawEnforcement[#Headers]))</f>
        <v>0</v>
      </c>
      <c r="I94" s="229">
        <f>INDEX(CountyDisbursementsLawEnforcement[],MATCH($A$5,CountyDisbursementsLawEnforcement[County]),MATCH(I92,CountyDisbursementsLawEnforcement[#Headers]))</f>
        <v>0</v>
      </c>
      <c r="J94" s="229">
        <f>INDEX(CountyDisbursementsLawEnforcement[],MATCH($A$5,CountyDisbursementsLawEnforcement[County]),MATCH(J92,CountyDisbursementsLawEnforcement[#Headers]))</f>
        <v>0</v>
      </c>
      <c r="K94" s="229">
        <f>INDEX(CountyDisbursementsLawEnforcement[],MATCH($A$5,CountyDisbursementsLawEnforcement[County]),MATCH(K92,CountyDisbursementsLawEnforcement[#Headers]))</f>
        <v>0</v>
      </c>
      <c r="L94" s="229">
        <f>INDEX(CountyDisbursementsLawEnforcement[],MATCH($A$5,CountyDisbursementsLawEnforcement[County]),MATCH(L92,CountyDisbursementsLawEnforcement[#Headers]))</f>
        <v>0</v>
      </c>
      <c r="M94" s="229">
        <f>INDEX(CountyDisbursementsLawEnforcement[],MATCH($A$5,CountyDisbursementsLawEnforcement[County]),MATCH(M92,CountyDisbursementsLawEnforcement[#Headers]))</f>
        <v>0</v>
      </c>
      <c r="N94" s="229">
        <f>INDEX(CountyDisbursementsLawEnforcement[],MATCH($A$5,CountyDisbursementsLawEnforcement[County]),MATCH(N92,CountyDisbursementsLawEnforcement[#Headers]))</f>
        <v>0</v>
      </c>
      <c r="O94" s="229">
        <f>INDEX(CountyDisbursementsLawEnforcement[],MATCH($A$5,CountyDisbursementsLawEnforcement[County]),MATCH(O92,CountyDisbursementsLawEnforcement[#Headers]))</f>
        <v>0</v>
      </c>
      <c r="P94" s="229">
        <f>INDEX(CountyDisbursementsLawEnforcement[],MATCH($A$5,CountyDisbursementsLawEnforcement[County]),MATCH(P92,CountyDisbursementsLawEnforcement[#Headers]))</f>
        <v>0</v>
      </c>
      <c r="Q94" s="229">
        <f>INDEX(CountyDisbursementsLawEnforcement[],MATCH($A$5,CountyDisbursementsLawEnforcement[County]),MATCH(Q92,CountyDisbursementsLawEnforcement[#Headers]))</f>
        <v>0</v>
      </c>
      <c r="R94" s="229">
        <f>INDEX(CountyDisbursementsLawEnforcement[],MATCH($A$5,CountyDisbursementsLawEnforcement[County]),MATCH(R92,CountyDisbursementsLawEnforcement[#Headers]))</f>
        <v>0</v>
      </c>
      <c r="S94" s="229">
        <f>INDEX(CountyDisbursementsLawEnforcement[],MATCH($A$5,CountyDisbursementsLawEnforcement[County]),MATCH(S92,CountyDisbursementsLawEnforcement[#Headers]))</f>
        <v>0</v>
      </c>
      <c r="T94" s="229">
        <f>INDEX(CountyDisbursementsLawEnforcement[],MATCH($A$5,CountyDisbursementsLawEnforcement[County]),MATCH(T92,CountyDisbursementsLawEnforcement[#Headers]))</f>
        <v>0</v>
      </c>
      <c r="U94" s="229">
        <f>INDEX(CountyDisbursementsLawEnforcement[],MATCH($A$5,CountyDisbursementsLawEnforcement[County]),MATCH(U92,CountyDisbursementsLawEnforcement[#Headers]))</f>
        <v>0</v>
      </c>
      <c r="V94" s="229">
        <f>INDEX(CountyDisbursementsLawEnforcement[],MATCH($A$5,CountyDisbursementsLawEnforcement[County]),MATCH(V92,CountyDisbursementsLawEnforcement[#Headers]))</f>
        <v>0</v>
      </c>
      <c r="W94" s="229">
        <f>INDEX(CountyDisbursementsLawEnforcement[],MATCH($A$5,CountyDisbursementsLawEnforcement[County]),MATCH(W92,CountyDisbursementsLawEnforcement[#Headers]))</f>
        <v>0</v>
      </c>
      <c r="X94" s="229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</row>
    <row r="95" spans="1:111" ht="14.25" customHeight="1">
      <c r="A95" s="153" t="s">
        <v>134</v>
      </c>
      <c r="B95" s="229">
        <f>INDEX(CountyDisbursementsCourt[],MATCH($A$5,CountyDisbursementsCourt[County]),MATCH(B92,CountyDisbursementsCourt[#Headers],0))</f>
        <v>63788.76</v>
      </c>
      <c r="C95" s="229">
        <f>INDEX(CountyDisbursementsCourt[],MATCH($A$5,CountyDisbursementsCourt[County]),MATCH(C92,CountyDisbursementsCourt[#Headers]))</f>
        <v>89781.45</v>
      </c>
      <c r="D95" s="229">
        <f>INDEX(CountyDisbursementsCourt[],MATCH($A$5,CountyDisbursementsCourt[County]),MATCH(D92,CountyDisbursementsCourt[#Headers]))</f>
        <v>82781.7</v>
      </c>
      <c r="E95" s="229">
        <f>INDEX(CountyDisbursementsCourt[],MATCH($A$5,CountyDisbursementsCourt[County]),MATCH(E92,CountyDisbursementsCourt[#Headers]))</f>
        <v>68231.239999999991</v>
      </c>
      <c r="F95" s="229">
        <f>INDEX(CountyDisbursementsCourt[],MATCH($A$5,CountyDisbursementsCourt[County]),MATCH(F92,CountyDisbursementsCourt[#Headers]))</f>
        <v>63364.38</v>
      </c>
      <c r="G95" s="229">
        <f>INDEX(CountyDisbursementsCourt[],MATCH($A$5,CountyDisbursementsCourt[County]),MATCH(G92,CountyDisbursementsCourt[#Headers]))</f>
        <v>92309.04</v>
      </c>
      <c r="H95" s="229">
        <f>INDEX(CountyDisbursementsCourt[],MATCH($A$5,CountyDisbursementsCourt[County]),MATCH(H92,CountyDisbursementsCourt[#Headers]))</f>
        <v>123345.18</v>
      </c>
      <c r="I95" s="229">
        <f>INDEX(CountyDisbursementsCourt[],MATCH($A$5,CountyDisbursementsCourt[County]),MATCH(I92,CountyDisbursementsCourt[#Headers]))</f>
        <v>117551.76</v>
      </c>
      <c r="J95" s="229">
        <f>INDEX(CountyDisbursementsCourt[],MATCH($A$5,CountyDisbursementsCourt[County]),MATCH(J92,CountyDisbursementsCourt[#Headers]))</f>
        <v>70852</v>
      </c>
      <c r="K95" s="229">
        <f>INDEX(CountyDisbursementsCourt[],MATCH($A$5,CountyDisbursementsCourt[County]),MATCH(K92,CountyDisbursementsCourt[#Headers]))</f>
        <v>74011</v>
      </c>
      <c r="L95" s="229">
        <f>INDEX(CountyDisbursementsCourt[],MATCH($A$5,CountyDisbursementsCourt[County]),MATCH(L92,CountyDisbursementsCourt[#Headers]))</f>
        <v>76318</v>
      </c>
      <c r="M95" s="229">
        <f>INDEX(CountyDisbursementsCourt[],MATCH($A$5,CountyDisbursementsCourt[County]),MATCH(M92,CountyDisbursementsCourt[#Headers]))</f>
        <v>100143</v>
      </c>
      <c r="N95" s="229">
        <f>INDEX(CountyDisbursementsCourt[],MATCH($A$5,CountyDisbursementsCourt[County]),MATCH(N92,CountyDisbursementsCourt[#Headers]))</f>
        <v>104452</v>
      </c>
      <c r="O95" s="229">
        <f>INDEX(CountyDisbursementsCourt[],MATCH($A$5,CountyDisbursementsCourt[County]),MATCH(O92,CountyDisbursementsCourt[#Headers]))</f>
        <v>99306</v>
      </c>
      <c r="P95" s="229">
        <f>INDEX(CountyDisbursementsCourt[],MATCH($A$5,CountyDisbursementsCourt[County]),MATCH(P92,CountyDisbursementsCourt[#Headers]))</f>
        <v>115252</v>
      </c>
      <c r="Q95" s="229">
        <f>INDEX(CountyDisbursementsCourt[],MATCH($A$5,CountyDisbursementsCourt[County]),MATCH(Q92,CountyDisbursementsCourt[#Headers]))</f>
        <v>114211</v>
      </c>
      <c r="R95" s="229">
        <f>INDEX(CountyDisbursementsCourt[],MATCH($A$5,CountyDisbursementsCourt[County]),MATCH(R92,CountyDisbursementsCourt[#Headers]))</f>
        <v>107370</v>
      </c>
      <c r="S95" s="229">
        <f>INDEX(CountyDisbursementsCourt[],MATCH($A$5,CountyDisbursementsCourt[County]),MATCH(S92,CountyDisbursementsCourt[#Headers]))</f>
        <v>115862</v>
      </c>
      <c r="T95" s="229">
        <f>INDEX(CountyDisbursementsCourt[],MATCH($A$5,CountyDisbursementsCourt[County]),MATCH(T92,CountyDisbursementsCourt[#Headers]))</f>
        <v>101836</v>
      </c>
      <c r="U95" s="229">
        <f>INDEX(CountyDisbursementsCourt[],MATCH($A$5,CountyDisbursementsCourt[County]),MATCH(U92,CountyDisbursementsCourt[#Headers]))</f>
        <v>101013</v>
      </c>
      <c r="V95" s="229">
        <f>INDEX(CountyDisbursementsCourt[],MATCH($A$5,CountyDisbursementsCourt[County]),MATCH(V92,CountyDisbursementsCourt[#Headers]))</f>
        <v>108374</v>
      </c>
      <c r="W95" s="229">
        <f>INDEX(CountyDisbursementsCourt[],MATCH($A$5,CountyDisbursementsCourt[County]),MATCH(W92,CountyDisbursementsCourt[#Headers]))</f>
        <v>169881</v>
      </c>
      <c r="X95" s="229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</row>
    <row r="96" spans="1:111" ht="14.25" customHeight="1">
      <c r="A96" s="153" t="s">
        <v>118</v>
      </c>
      <c r="B96" s="229">
        <f>INDEX(CountyDisbursementsFringeBenefits[],MATCH($A$5,CountyDisbursementsFringeBenefits[County]),MATCH(B92,CountyDisbursementsFringeBenefits[#Headers],0))</f>
        <v>63788.76</v>
      </c>
      <c r="C96" s="229">
        <f>INDEX(CountyDisbursementsFringeBenefits[],MATCH($A$5,CountyDisbursementsFringeBenefits[County]),MATCH(C92,CountyDisbursementsFringeBenefits[#Headers]))</f>
        <v>97943.4</v>
      </c>
      <c r="D96" s="229">
        <f>INDEX(CountyDisbursementsFringeBenefits[],MATCH($A$5,CountyDisbursementsFringeBenefits[County]),MATCH(D92,CountyDisbursementsFringeBenefits[#Headers]))</f>
        <v>91059.87</v>
      </c>
      <c r="E96" s="229">
        <f>INDEX(CountyDisbursementsFringeBenefits[],MATCH($A$5,CountyDisbursementsFringeBenefits[County]),MATCH(E92,CountyDisbursementsFringeBenefits[#Headers]))</f>
        <v>116967.84</v>
      </c>
      <c r="F96" s="229">
        <f>INDEX(CountyDisbursementsFringeBenefits[],MATCH($A$5,CountyDisbursementsFringeBenefits[County]),MATCH(F92,CountyDisbursementsFringeBenefits[#Headers]))</f>
        <v>126728.76</v>
      </c>
      <c r="G96" s="229">
        <f>INDEX(CountyDisbursementsFringeBenefits[],MATCH($A$5,CountyDisbursementsFringeBenefits[County]),MATCH(G92,CountyDisbursementsFringeBenefits[#Headers]))</f>
        <v>138463.56</v>
      </c>
      <c r="H96" s="229">
        <f>INDEX(CountyDisbursementsFringeBenefits[],MATCH($A$5,CountyDisbursementsFringeBenefits[County]),MATCH(H92,CountyDisbursementsFringeBenefits[#Headers]))</f>
        <v>150755.22</v>
      </c>
      <c r="I96" s="229">
        <f>INDEX(CountyDisbursementsFringeBenefits[],MATCH($A$5,CountyDisbursementsFringeBenefits[County]),MATCH(I92,CountyDisbursementsFringeBenefits[#Headers]))</f>
        <v>195919.6</v>
      </c>
      <c r="J96" s="229">
        <f>INDEX(CountyDisbursementsFringeBenefits[],MATCH($A$5,CountyDisbursementsFringeBenefits[County]),MATCH(J92,CountyDisbursementsFringeBenefits[#Headers]))</f>
        <v>211001</v>
      </c>
      <c r="K96" s="229">
        <f>INDEX(CountyDisbursementsFringeBenefits[],MATCH($A$5,CountyDisbursementsFringeBenefits[County]),MATCH(K92,CountyDisbursementsFringeBenefits[#Headers]))</f>
        <v>212412</v>
      </c>
      <c r="L96" s="229">
        <f>INDEX(CountyDisbursementsFringeBenefits[],MATCH($A$5,CountyDisbursementsFringeBenefits[County]),MATCH(L92,CountyDisbursementsFringeBenefits[#Headers]))</f>
        <v>203255</v>
      </c>
      <c r="M96" s="229">
        <f>INDEX(CountyDisbursementsFringeBenefits[],MATCH($A$5,CountyDisbursementsFringeBenefits[County]),MATCH(M92,CountyDisbursementsFringeBenefits[#Headers]))</f>
        <v>214698</v>
      </c>
      <c r="N96" s="229">
        <f>INDEX(CountyDisbursementsFringeBenefits[],MATCH($A$5,CountyDisbursementsFringeBenefits[County]),MATCH(N92,CountyDisbursementsFringeBenefits[#Headers]))</f>
        <v>258340</v>
      </c>
      <c r="O96" s="229">
        <f>INDEX(CountyDisbursementsFringeBenefits[],MATCH($A$5,CountyDisbursementsFringeBenefits[County]),MATCH(O92,CountyDisbursementsFringeBenefits[#Headers]))</f>
        <v>264901</v>
      </c>
      <c r="P96" s="229">
        <f>INDEX(CountyDisbursementsFringeBenefits[],MATCH($A$5,CountyDisbursementsFringeBenefits[County]),MATCH(P92,CountyDisbursementsFringeBenefits[#Headers]))</f>
        <v>223331</v>
      </c>
      <c r="Q96" s="229">
        <f>INDEX(CountyDisbursementsFringeBenefits[],MATCH($A$5,CountyDisbursementsFringeBenefits[County]),MATCH(Q92,CountyDisbursementsFringeBenefits[#Headers]))</f>
        <v>257884</v>
      </c>
      <c r="R96" s="229">
        <f>INDEX(CountyDisbursementsFringeBenefits[],MATCH($A$5,CountyDisbursementsFringeBenefits[County]),MATCH(R92,CountyDisbursementsFringeBenefits[#Headers]))</f>
        <v>274457</v>
      </c>
      <c r="S96" s="229">
        <f>INDEX(CountyDisbursementsFringeBenefits[],MATCH($A$5,CountyDisbursementsFringeBenefits[County]),MATCH(S92,CountyDisbursementsFringeBenefits[#Headers]))</f>
        <v>235918</v>
      </c>
      <c r="T96" s="229">
        <f>INDEX(CountyDisbursementsFringeBenefits[],MATCH($A$5,CountyDisbursementsFringeBenefits[County]),MATCH(T92,CountyDisbursementsFringeBenefits[#Headers]))</f>
        <v>206859</v>
      </c>
      <c r="U96" s="229">
        <f>INDEX(CountyDisbursementsFringeBenefits[],MATCH($A$5,CountyDisbursementsFringeBenefits[County]),MATCH(U92,CountyDisbursementsFringeBenefits[#Headers]))</f>
        <v>215363</v>
      </c>
      <c r="V96" s="229">
        <f>INDEX(CountyDisbursementsFringeBenefits[],MATCH($A$5,CountyDisbursementsFringeBenefits[County]),MATCH(V92,CountyDisbursementsFringeBenefits[#Headers]))</f>
        <v>236210</v>
      </c>
      <c r="W96" s="229">
        <f>INDEX(CountyDisbursementsFringeBenefits[],MATCH($A$5,CountyDisbursementsFringeBenefits[County]),MATCH(W92,CountyDisbursementsFringeBenefits[#Headers]))</f>
        <v>244102.57</v>
      </c>
      <c r="X96" s="229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</row>
    <row r="97" spans="1:111" ht="14.25" customHeight="1">
      <c r="A97" s="153" t="s">
        <v>128</v>
      </c>
      <c r="B97" s="229">
        <f>INDEX(CountyDisbursementsProsecutingAttorney[],MATCH($A$5,CountyDisbursementsProsecutingAttorney[County]),MATCH(B92,CountyDisbursementsProsecutingAttorney[#Headers],0))</f>
        <v>56701.120000000003</v>
      </c>
      <c r="C97" s="229">
        <f>INDEX(CountyDisbursementsProsecutingAttorney[],MATCH($A$5,CountyDisbursementsProsecutingAttorney[County]),MATCH(C92,CountyDisbursementsProsecutingAttorney[#Headers]))</f>
        <v>57133.65</v>
      </c>
      <c r="D97" s="229">
        <f>INDEX(CountyDisbursementsProsecutingAttorney[],MATCH($A$5,CountyDisbursementsProsecutingAttorney[County]),MATCH(D92,CountyDisbursementsProsecutingAttorney[#Headers]))</f>
        <v>66225.36</v>
      </c>
      <c r="E97" s="229">
        <f>INDEX(CountyDisbursementsProsecutingAttorney[],MATCH($A$5,CountyDisbursementsProsecutingAttorney[County]),MATCH(E92,CountyDisbursementsProsecutingAttorney[#Headers]))</f>
        <v>77978.559999999998</v>
      </c>
      <c r="F97" s="229">
        <f>INDEX(CountyDisbursementsProsecutingAttorney[],MATCH($A$5,CountyDisbursementsProsecutingAttorney[County]),MATCH(F92,CountyDisbursementsProsecutingAttorney[#Headers]))</f>
        <v>84485.84</v>
      </c>
      <c r="G97" s="229">
        <f>INDEX(CountyDisbursementsProsecutingAttorney[],MATCH($A$5,CountyDisbursementsProsecutingAttorney[County]),MATCH(G92,CountyDisbursementsProsecutingAttorney[#Headers]))</f>
        <v>80770.41</v>
      </c>
      <c r="H97" s="229">
        <f>INDEX(CountyDisbursementsProsecutingAttorney[],MATCH($A$5,CountyDisbursementsProsecutingAttorney[County]),MATCH(H92,CountyDisbursementsProsecutingAttorney[#Headers]))</f>
        <v>95935.14</v>
      </c>
      <c r="I97" s="229">
        <f>INDEX(CountyDisbursementsProsecutingAttorney[],MATCH($A$5,CountyDisbursementsProsecutingAttorney[County]),MATCH(I92,CountyDisbursementsProsecutingAttorney[#Headers]))</f>
        <v>78367.839999999997</v>
      </c>
      <c r="J97" s="229">
        <f>INDEX(CountyDisbursementsProsecutingAttorney[],MATCH($A$5,CountyDisbursementsProsecutingAttorney[County]),MATCH(J92,CountyDisbursementsProsecutingAttorney[#Headers]))</f>
        <v>90612</v>
      </c>
      <c r="K97" s="229">
        <f>INDEX(CountyDisbursementsProsecutingAttorney[],MATCH($A$5,CountyDisbursementsProsecutingAttorney[County]),MATCH(K92,CountyDisbursementsProsecutingAttorney[#Headers]))</f>
        <v>88149</v>
      </c>
      <c r="L97" s="229">
        <f>INDEX(CountyDisbursementsProsecutingAttorney[],MATCH($A$5,CountyDisbursementsProsecutingAttorney[County]),MATCH(L92,CountyDisbursementsProsecutingAttorney[#Headers]))</f>
        <v>101474</v>
      </c>
      <c r="M97" s="229">
        <f>INDEX(CountyDisbursementsProsecutingAttorney[],MATCH($A$5,CountyDisbursementsProsecutingAttorney[County]),MATCH(M92,CountyDisbursementsProsecutingAttorney[#Headers]))</f>
        <v>103805</v>
      </c>
      <c r="N97" s="229">
        <f>INDEX(CountyDisbursementsProsecutingAttorney[],MATCH($A$5,CountyDisbursementsProsecutingAttorney[County]),MATCH(N92,CountyDisbursementsProsecutingAttorney[#Headers]))</f>
        <v>101412</v>
      </c>
      <c r="O97" s="229">
        <f>INDEX(CountyDisbursementsProsecutingAttorney[],MATCH($A$5,CountyDisbursementsProsecutingAttorney[County]),MATCH(O92,CountyDisbursementsProsecutingAttorney[#Headers]))</f>
        <v>103952</v>
      </c>
      <c r="P97" s="229">
        <f>INDEX(CountyDisbursementsProsecutingAttorney[],MATCH($A$5,CountyDisbursementsProsecutingAttorney[County]),MATCH(P92,CountyDisbursementsProsecutingAttorney[#Headers]))</f>
        <v>108576</v>
      </c>
      <c r="Q97" s="229">
        <f>INDEX(CountyDisbursementsProsecutingAttorney[],MATCH($A$5,CountyDisbursementsProsecutingAttorney[County]),MATCH(Q92,CountyDisbursementsProsecutingAttorney[#Headers]))</f>
        <v>105022</v>
      </c>
      <c r="R97" s="229">
        <f>INDEX(CountyDisbursementsProsecutingAttorney[],MATCH($A$5,CountyDisbursementsProsecutingAttorney[County]),MATCH(R92,CountyDisbursementsProsecutingAttorney[#Headers]))</f>
        <v>103747</v>
      </c>
      <c r="S97" s="229">
        <f>INDEX(CountyDisbursementsProsecutingAttorney[],MATCH($A$5,CountyDisbursementsProsecutingAttorney[County]),MATCH(S92,CountyDisbursementsProsecutingAttorney[#Headers]))</f>
        <v>116934</v>
      </c>
      <c r="T97" s="229">
        <f>INDEX(CountyDisbursementsProsecutingAttorney[],MATCH($A$5,CountyDisbursementsProsecutingAttorney[County]),MATCH(T92,CountyDisbursementsProsecutingAttorney[#Headers]))</f>
        <v>117704</v>
      </c>
      <c r="U97" s="229">
        <f>INDEX(CountyDisbursementsProsecutingAttorney[],MATCH($A$5,CountyDisbursementsProsecutingAttorney[County]),MATCH(U92,CountyDisbursementsProsecutingAttorney[#Headers]))</f>
        <v>139333</v>
      </c>
      <c r="V97" s="229">
        <f>INDEX(CountyDisbursementsProsecutingAttorney[],MATCH($A$5,CountyDisbursementsProsecutingAttorney[County]),MATCH(V92,CountyDisbursementsProsecutingAttorney[#Headers]))</f>
        <v>140589</v>
      </c>
      <c r="W97" s="229">
        <f>INDEX(CountyDisbursementsProsecutingAttorney[],MATCH($A$5,CountyDisbursementsProsecutingAttorney[County]),MATCH(W92,CountyDisbursementsProsecutingAttorney[#Headers]))</f>
        <v>153200</v>
      </c>
      <c r="X97" s="229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</row>
    <row r="98" spans="1:111" ht="14.25" customHeight="1">
      <c r="A98" s="153" t="s">
        <v>257</v>
      </c>
      <c r="B98" s="229">
        <f>INDEX(CountyDisbursementsPublicAdministrator[],MATCH($A$5,CountyDisbursementsPublicAdministrator[County]),MATCH(B92,CountyDisbursementsPublicAdministrator[#Headers],0))</f>
        <v>14175.28</v>
      </c>
      <c r="C98" s="229">
        <f>INDEX(CountyDisbursementsPublicAdministrator[],MATCH($A$5,CountyDisbursementsPublicAdministrator[County]),MATCH(C92,CountyDisbursementsPublicAdministrator[#Headers]))</f>
        <v>24485.85</v>
      </c>
      <c r="D98" s="229">
        <f>INDEX(CountyDisbursementsPublicAdministrator[],MATCH($A$5,CountyDisbursementsPublicAdministrator[County]),MATCH(D92,CountyDisbursementsPublicAdministrator[#Headers]))</f>
        <v>24834.510000000002</v>
      </c>
      <c r="E98" s="229">
        <f>INDEX(CountyDisbursementsPublicAdministrator[],MATCH($A$5,CountyDisbursementsPublicAdministrator[County]),MATCH(E92,CountyDisbursementsPublicAdministrator[#Headers]))</f>
        <v>29241.96</v>
      </c>
      <c r="F98" s="229">
        <f>INDEX(CountyDisbursementsPublicAdministrator[],MATCH($A$5,CountyDisbursementsPublicAdministrator[County]),MATCH(F92,CountyDisbursementsPublicAdministrator[#Headers]))</f>
        <v>31682.19</v>
      </c>
      <c r="G98" s="229">
        <f>INDEX(CountyDisbursementsPublicAdministrator[],MATCH($A$5,CountyDisbursementsPublicAdministrator[County]),MATCH(G92,CountyDisbursementsPublicAdministrator[#Headers]))</f>
        <v>34615.89</v>
      </c>
      <c r="H98" s="229">
        <f>INDEX(CountyDisbursementsPublicAdministrator[],MATCH($A$5,CountyDisbursementsPublicAdministrator[County]),MATCH(H92,CountyDisbursementsPublicAdministrator[#Headers]))</f>
        <v>41115.06</v>
      </c>
      <c r="I98" s="229">
        <f>INDEX(CountyDisbursementsPublicAdministrator[],MATCH($A$5,CountyDisbursementsPublicAdministrator[County]),MATCH(I92,CountyDisbursementsPublicAdministrator[#Headers]))</f>
        <v>39183.919999999998</v>
      </c>
      <c r="J98" s="229">
        <f>INDEX(CountyDisbursementsPublicAdministrator[],MATCH($A$5,CountyDisbursementsPublicAdministrator[County]),MATCH(J92,CountyDisbursementsPublicAdministrator[#Headers]))</f>
        <v>43462</v>
      </c>
      <c r="K98" s="229">
        <f>INDEX(CountyDisbursementsPublicAdministrator[],MATCH($A$5,CountyDisbursementsPublicAdministrator[County]),MATCH(K92,CountyDisbursementsPublicAdministrator[#Headers]))</f>
        <v>45579</v>
      </c>
      <c r="L98" s="229">
        <f>INDEX(CountyDisbursementsPublicAdministrator[],MATCH($A$5,CountyDisbursementsPublicAdministrator[County]),MATCH(L92,CountyDisbursementsPublicAdministrator[#Headers]))</f>
        <v>47657</v>
      </c>
      <c r="M98" s="229">
        <f>INDEX(CountyDisbursementsPublicAdministrator[],MATCH($A$5,CountyDisbursementsPublicAdministrator[County]),MATCH(M92,CountyDisbursementsPublicAdministrator[#Headers]))</f>
        <v>43062</v>
      </c>
      <c r="N98" s="229">
        <f>INDEX(CountyDisbursementsPublicAdministrator[],MATCH($A$5,CountyDisbursementsPublicAdministrator[County]),MATCH(N92,CountyDisbursementsPublicAdministrator[#Headers]))</f>
        <v>41491</v>
      </c>
      <c r="O98" s="229">
        <f>INDEX(CountyDisbursementsPublicAdministrator[],MATCH($A$5,CountyDisbursementsPublicAdministrator[County]),MATCH(O92,CountyDisbursementsPublicAdministrator[#Headers]))</f>
        <v>48277</v>
      </c>
      <c r="P98" s="229">
        <f>INDEX(CountyDisbursementsPublicAdministrator[],MATCH($A$5,CountyDisbursementsPublicAdministrator[County]),MATCH(P92,CountyDisbursementsPublicAdministrator[#Headers]))</f>
        <v>44295</v>
      </c>
      <c r="Q98" s="229">
        <f>INDEX(CountyDisbursementsPublicAdministrator[],MATCH($A$5,CountyDisbursementsPublicAdministrator[County]),MATCH(Q92,CountyDisbursementsPublicAdministrator[#Headers]))</f>
        <v>46284</v>
      </c>
      <c r="R98" s="229">
        <f>INDEX(CountyDisbursementsPublicAdministrator[],MATCH($A$5,CountyDisbursementsPublicAdministrator[County]),MATCH(R92,CountyDisbursementsPublicAdministrator[#Headers]))</f>
        <v>46027</v>
      </c>
      <c r="S98" s="229">
        <f>INDEX(CountyDisbursementsPublicAdministrator[],MATCH($A$5,CountyDisbursementsPublicAdministrator[County]),MATCH(S92,CountyDisbursementsPublicAdministrator[#Headers]))</f>
        <v>45249</v>
      </c>
      <c r="T98" s="229">
        <f>INDEX(CountyDisbursementsPublicAdministrator[],MATCH($A$5,CountyDisbursementsPublicAdministrator[County]),MATCH(T92,CountyDisbursementsPublicAdministrator[#Headers]))</f>
        <v>41192</v>
      </c>
      <c r="U98" s="229">
        <f>INDEX(CountyDisbursementsPublicAdministrator[],MATCH($A$5,CountyDisbursementsPublicAdministrator[County]),MATCH(U92,CountyDisbursementsPublicAdministrator[#Headers]))</f>
        <v>40491</v>
      </c>
      <c r="V98" s="229">
        <f>INDEX(CountyDisbursementsPublicAdministrator[],MATCH($A$5,CountyDisbursementsPublicAdministrator[County]),MATCH(V92,CountyDisbursementsPublicAdministrator[#Headers]))</f>
        <v>42262</v>
      </c>
      <c r="W98" s="229">
        <f>INDEX(CountyDisbursementsPublicAdministrator[],MATCH($A$5,CountyDisbursementsPublicAdministrator[County]),MATCH(W92,CountyDisbursementsPublicAdministrator[#Headers]))</f>
        <v>57380</v>
      </c>
      <c r="X98" s="229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</row>
    <row r="99" spans="1:111" ht="18" customHeight="1">
      <c r="A99" s="177" t="s">
        <v>256</v>
      </c>
      <c r="B99" s="229">
        <f>INDEX(CountyDisbursementsHealthWelfare[],MATCH($A$5,CountyDisbursementsHealthWelfare[County]),MATCH(B92,CountyDisbursementsHealthWelfare[#Headers],0))</f>
        <v>170103.36</v>
      </c>
      <c r="C99" s="229">
        <f>INDEX(CountyDisbursementsHealthWelfare[],MATCH($A$5,CountyDisbursementsHealthWelfare[County]),MATCH(C92,CountyDisbursementsHealthWelfare[#Headers]))</f>
        <v>212210.7</v>
      </c>
      <c r="D99" s="229">
        <f>INDEX(CountyDisbursementsHealthWelfare[],MATCH($A$5,CountyDisbursementsHealthWelfare[County]),MATCH(D92,CountyDisbursementsHealthWelfare[#Headers]))</f>
        <v>215232.42</v>
      </c>
      <c r="E99" s="229">
        <f>INDEX(CountyDisbursementsHealthWelfare[],MATCH($A$5,CountyDisbursementsHealthWelfare[County]),MATCH(E92,CountyDisbursementsHealthWelfare[#Headers]))</f>
        <v>243683</v>
      </c>
      <c r="F99" s="229">
        <f>INDEX(CountyDisbursementsHealthWelfare[],MATCH($A$5,CountyDisbursementsHealthWelfare[County]),MATCH(F92,CountyDisbursementsHealthWelfare[#Headers]))</f>
        <v>211214.6</v>
      </c>
      <c r="G99" s="229">
        <f>INDEX(CountyDisbursementsHealthWelfare[],MATCH($A$5,CountyDisbursementsHealthWelfare[County]),MATCH(G92,CountyDisbursementsHealthWelfare[#Headers]))</f>
        <v>253849.86000000002</v>
      </c>
      <c r="H99" s="229">
        <f>INDEX(CountyDisbursementsHealthWelfare[],MATCH($A$5,CountyDisbursementsHealthWelfare[County]),MATCH(H92,CountyDisbursementsHealthWelfare[#Headers]))</f>
        <v>424855.62</v>
      </c>
      <c r="I99" s="229">
        <f>INDEX(CountyDisbursementsHealthWelfare[],MATCH($A$5,CountyDisbursementsHealthWelfare[County]),MATCH(I92,CountyDisbursementsHealthWelfare[#Headers]))</f>
        <v>1077557.8</v>
      </c>
      <c r="J99" s="229">
        <f>INDEX(CountyDisbursementsHealthWelfare[],MATCH($A$5,CountyDisbursementsHealthWelfare[County]),MATCH(J92,CountyDisbursementsHealthWelfare[#Headers]))</f>
        <v>415995</v>
      </c>
      <c r="K99" s="229">
        <f>INDEX(CountyDisbursementsHealthWelfare[],MATCH($A$5,CountyDisbursementsHealthWelfare[County]),MATCH(K92,CountyDisbursementsHealthWelfare[#Headers]))</f>
        <v>509143</v>
      </c>
      <c r="L99" s="229">
        <f>INDEX(CountyDisbursementsHealthWelfare[],MATCH($A$5,CountyDisbursementsHealthWelfare[County]),MATCH(L92,CountyDisbursementsHealthWelfare[#Headers]))</f>
        <v>665047</v>
      </c>
      <c r="M99" s="229">
        <f>INDEX(CountyDisbursementsHealthWelfare[],MATCH($A$5,CountyDisbursementsHealthWelfare[County]),MATCH(M92,CountyDisbursementsHealthWelfare[#Headers]))</f>
        <v>777416</v>
      </c>
      <c r="N99" s="229">
        <f>INDEX(CountyDisbursementsHealthWelfare[],MATCH($A$5,CountyDisbursementsHealthWelfare[County]),MATCH(N92,CountyDisbursementsHealthWelfare[#Headers]))</f>
        <v>923026</v>
      </c>
      <c r="O99" s="229">
        <f>INDEX(CountyDisbursementsHealthWelfare[],MATCH($A$5,CountyDisbursementsHealthWelfare[County]),MATCH(O92,CountyDisbursementsHealthWelfare[#Headers]))</f>
        <v>721345</v>
      </c>
      <c r="P99" s="229">
        <f>INDEX(CountyDisbursementsHealthWelfare[],MATCH($A$5,CountyDisbursementsHealthWelfare[County]),MATCH(P92,CountyDisbursementsHealthWelfare[#Headers]))</f>
        <v>914724</v>
      </c>
      <c r="Q99" s="229">
        <f>INDEX(CountyDisbursementsHealthWelfare[],MATCH($A$5,CountyDisbursementsHealthWelfare[County]),MATCH(Q92,CountyDisbursementsHealthWelfare[#Headers]))</f>
        <v>644255</v>
      </c>
      <c r="R99" s="229">
        <f>INDEX(CountyDisbursementsHealthWelfare[],MATCH($A$5,CountyDisbursementsHealthWelfare[County]),MATCH(R92,CountyDisbursementsHealthWelfare[#Headers]))</f>
        <v>493315</v>
      </c>
      <c r="S99" s="229">
        <f>INDEX(CountyDisbursementsHealthWelfare[],MATCH($A$5,CountyDisbursementsHealthWelfare[County]),MATCH(S92,CountyDisbursementsHealthWelfare[#Headers]))</f>
        <v>913311</v>
      </c>
      <c r="T99" s="229">
        <f>INDEX(CountyDisbursementsHealthWelfare[],MATCH($A$5,CountyDisbursementsHealthWelfare[County]),MATCH(T92,CountyDisbursementsHealthWelfare[#Headers]))</f>
        <v>446047</v>
      </c>
      <c r="U99" s="229">
        <f>INDEX(CountyDisbursementsHealthWelfare[],MATCH($A$5,CountyDisbursementsHealthWelfare[County]),MATCH(U92,CountyDisbursementsHealthWelfare[#Headers]))</f>
        <v>767930</v>
      </c>
      <c r="V99" s="229">
        <f>INDEX(CountyDisbursementsHealthWelfare[],MATCH($A$5,CountyDisbursementsHealthWelfare[County]),MATCH(V92,CountyDisbursementsHealthWelfare[#Headers]))</f>
        <v>716552</v>
      </c>
      <c r="W99" s="229">
        <f>INDEX(CountyDisbursementsHealthWelfare[],MATCH($A$5,CountyDisbursementsHealthWelfare[County]),MATCH(W92,CountyDisbursementsHealthWelfare[#Headers]))</f>
        <v>748708</v>
      </c>
      <c r="X99" s="229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76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</row>
    <row r="100" spans="1:111" ht="14.25" customHeight="1">
      <c r="A100" s="153" t="s">
        <v>132</v>
      </c>
      <c r="B100" s="229">
        <f>INDEX(CountyDisbursementsOperatingTransfers[],MATCH($A$5,CountyDisbursementsOperatingTransfers[County]),MATCH(B92,CountyDisbursementsOperatingTransfers[#Headers],0))</f>
        <v>42525.84</v>
      </c>
      <c r="C100" s="229">
        <f>INDEX(CountyDisbursementsOperatingTransfers[],MATCH($A$5,CountyDisbursementsOperatingTransfers[County]),MATCH(C92,CountyDisbursementsOperatingTransfers[#Headers]))</f>
        <v>48971.7</v>
      </c>
      <c r="D100" s="229">
        <f>INDEX(CountyDisbursementsOperatingTransfers[],MATCH($A$5,CountyDisbursementsOperatingTransfers[County]),MATCH(D92,CountyDisbursementsOperatingTransfers[#Headers]))</f>
        <v>33112.68</v>
      </c>
      <c r="E100" s="229">
        <f>INDEX(CountyDisbursementsOperatingTransfers[],MATCH($A$5,CountyDisbursementsOperatingTransfers[County]),MATCH(E92,CountyDisbursementsOperatingTransfers[#Headers]))</f>
        <v>87725.88</v>
      </c>
      <c r="F100" s="229">
        <f>INDEX(CountyDisbursementsOperatingTransfers[],MATCH($A$5,CountyDisbursementsOperatingTransfers[County]),MATCH(F92,CountyDisbursementsOperatingTransfers[#Headers]))</f>
        <v>105607.3</v>
      </c>
      <c r="G100" s="229">
        <f>INDEX(CountyDisbursementsOperatingTransfers[],MATCH($A$5,CountyDisbursementsOperatingTransfers[County]),MATCH(G92,CountyDisbursementsOperatingTransfers[#Headers]))</f>
        <v>92309.04</v>
      </c>
      <c r="H100" s="229">
        <f>INDEX(CountyDisbursementsOperatingTransfers[],MATCH($A$5,CountyDisbursementsOperatingTransfers[County]),MATCH(H92,CountyDisbursementsOperatingTransfers[#Headers]))</f>
        <v>41115.06</v>
      </c>
      <c r="I100" s="229">
        <f>INDEX(CountyDisbursementsOperatingTransfers[],MATCH($A$5,CountyDisbursementsOperatingTransfers[County]),MATCH(I92,CountyDisbursementsOperatingTransfers[#Headers]))</f>
        <v>58775.88</v>
      </c>
      <c r="J100" s="229">
        <f>INDEX(CountyDisbursementsOperatingTransfers[],MATCH($A$5,CountyDisbursementsOperatingTransfers[County]),MATCH(J92,CountyDisbursementsOperatingTransfers[#Headers]))</f>
        <v>50000</v>
      </c>
      <c r="K100" s="229">
        <f>INDEX(CountyDisbursementsOperatingTransfers[],MATCH($A$5,CountyDisbursementsOperatingTransfers[County]),MATCH(K92,CountyDisbursementsOperatingTransfers[#Headers]))</f>
        <v>260000</v>
      </c>
      <c r="L100" s="229">
        <f>INDEX(CountyDisbursementsOperatingTransfers[],MATCH($A$5,CountyDisbursementsOperatingTransfers[County]),MATCH(L92,CountyDisbursementsOperatingTransfers[#Headers]))</f>
        <v>300000</v>
      </c>
      <c r="M100" s="229">
        <f>INDEX(CountyDisbursementsOperatingTransfers[],MATCH($A$5,CountyDisbursementsOperatingTransfers[County]),MATCH(M92,CountyDisbursementsOperatingTransfers[#Headers]))</f>
        <v>0</v>
      </c>
      <c r="N100" s="229">
        <f>INDEX(CountyDisbursementsOperatingTransfers[],MATCH($A$5,CountyDisbursementsOperatingTransfers[County]),MATCH(N92,CountyDisbursementsOperatingTransfers[#Headers]))</f>
        <v>180000</v>
      </c>
      <c r="O100" s="229">
        <f>INDEX(CountyDisbursementsOperatingTransfers[],MATCH($A$5,CountyDisbursementsOperatingTransfers[County]),MATCH(O92,CountyDisbursementsOperatingTransfers[#Headers]))</f>
        <v>288000</v>
      </c>
      <c r="P100" s="229">
        <f>INDEX(CountyDisbursementsOperatingTransfers[],MATCH($A$5,CountyDisbursementsOperatingTransfers[County]),MATCH(P92,CountyDisbursementsOperatingTransfers[#Headers]))</f>
        <v>788159</v>
      </c>
      <c r="Q100" s="229">
        <f>INDEX(CountyDisbursementsOperatingTransfers[],MATCH($A$5,CountyDisbursementsOperatingTransfers[County]),MATCH(Q92,CountyDisbursementsOperatingTransfers[#Headers]))</f>
        <v>425303</v>
      </c>
      <c r="R100" s="229">
        <f>INDEX(CountyDisbursementsOperatingTransfers[],MATCH($A$5,CountyDisbursementsOperatingTransfers[County]),MATCH(R92,CountyDisbursementsOperatingTransfers[#Headers]))</f>
        <v>566192</v>
      </c>
      <c r="S100" s="229">
        <f>INDEX(CountyDisbursementsOperatingTransfers[],MATCH($A$5,CountyDisbursementsOperatingTransfers[County]),MATCH(S92,CountyDisbursementsOperatingTransfers[#Headers]))</f>
        <v>620000</v>
      </c>
      <c r="T100" s="229">
        <f>INDEX(CountyDisbursementsOperatingTransfers[],MATCH($A$5,CountyDisbursementsOperatingTransfers[County]),MATCH(T92,CountyDisbursementsOperatingTransfers[#Headers]))</f>
        <v>570000</v>
      </c>
      <c r="U100" s="229">
        <f>INDEX(CountyDisbursementsOperatingTransfers[],MATCH($A$5,CountyDisbursementsOperatingTransfers[County]),MATCH(U92,CountyDisbursementsOperatingTransfers[#Headers]))</f>
        <v>648629</v>
      </c>
      <c r="V100" s="229">
        <f>INDEX(CountyDisbursementsOperatingTransfers[],MATCH($A$5,CountyDisbursementsOperatingTransfers[County]),MATCH(V92,CountyDisbursementsOperatingTransfers[#Headers]))</f>
        <v>961887</v>
      </c>
      <c r="W100" s="229">
        <f>INDEX(CountyDisbursementsOperatingTransfers[],MATCH($A$5,CountyDisbursementsOperatingTransfers[County]),MATCH(W92,CountyDisbursementsOperatingTransfers[#Headers]))</f>
        <v>1012020</v>
      </c>
      <c r="X100" s="229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</row>
    <row r="101" spans="1:111" ht="14.25" customHeight="1"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</row>
    <row r="102" spans="1:111"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</row>
    <row r="103" spans="1:111"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</row>
    <row r="104" spans="1:111"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</row>
    <row r="105" spans="1:111"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</row>
    <row r="106" spans="1:111"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</row>
    <row r="107" spans="1:111"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</row>
    <row r="122" spans="6:18"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</row>
    <row r="133" spans="1:18">
      <c r="A133" s="35"/>
      <c r="J133" s="36"/>
      <c r="K133" s="36"/>
      <c r="L133" s="36"/>
      <c r="M133" s="36"/>
      <c r="N133" s="36"/>
      <c r="O133" s="36"/>
      <c r="P133" s="36"/>
      <c r="Q133" s="36"/>
      <c r="R133" s="36"/>
    </row>
  </sheetData>
  <dataConsolidate/>
  <phoneticPr fontId="3" type="noConversion"/>
  <dataValidations count="1">
    <dataValidation type="list" allowBlank="1" showInputMessage="1" showErrorMessage="1" sqref="A3 A5" xr:uid="{00000000-0002-0000-0600-000000000000}">
      <formula1>List</formula1>
    </dataValidation>
  </dataValidations>
  <pageMargins left="0.7" right="0.7" top="0.75" bottom="0.75" header="0.3" footer="0.3"/>
  <pageSetup orientation="portrait" horizontalDpi="4294967293" verticalDpi="300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</sheetPr>
  <dimension ref="A1:BE82"/>
  <sheetViews>
    <sheetView zoomScale="80" zoomScaleNormal="80" workbookViewId="0">
      <selection activeCell="C3" sqref="C3"/>
    </sheetView>
  </sheetViews>
  <sheetFormatPr baseColWidth="10" defaultColWidth="9.1640625" defaultRowHeight="13"/>
  <cols>
    <col min="1" max="1" width="55.5" style="33" customWidth="1"/>
    <col min="2" max="2" width="16.1640625" style="33" customWidth="1"/>
    <col min="3" max="3" width="20" style="33" customWidth="1"/>
    <col min="4" max="4" width="17.1640625" style="33" customWidth="1"/>
    <col min="5" max="5" width="16.5" style="33" customWidth="1"/>
    <col min="6" max="18" width="18.6640625" style="33" customWidth="1"/>
    <col min="19" max="24" width="18.5" style="33" customWidth="1"/>
    <col min="25" max="16384" width="9.1640625" style="33"/>
  </cols>
  <sheetData>
    <row r="1" spans="1:57" ht="36.75" customHeight="1">
      <c r="A1" s="151" t="s">
        <v>281</v>
      </c>
      <c r="B1" s="152"/>
      <c r="C1" s="152"/>
      <c r="D1" s="38" t="s">
        <v>255</v>
      </c>
      <c r="S1" s="235" t="s">
        <v>94</v>
      </c>
      <c r="T1" s="235"/>
      <c r="U1" s="235"/>
      <c r="V1" s="235"/>
      <c r="W1" s="235"/>
      <c r="X1" s="235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</row>
    <row r="2" spans="1:57" ht="24" thickBot="1">
      <c r="A2" s="34" t="s">
        <v>144</v>
      </c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</row>
    <row r="3" spans="1:57" ht="21" customHeight="1" thickTop="1" thickBot="1">
      <c r="A3" s="230" t="s">
        <v>9</v>
      </c>
      <c r="E3" s="24" t="s">
        <v>253</v>
      </c>
      <c r="F3" s="24"/>
      <c r="G3" s="24"/>
      <c r="H3" s="24"/>
      <c r="I3" s="72"/>
      <c r="J3" s="72"/>
      <c r="K3" s="72"/>
      <c r="L3" s="72"/>
      <c r="M3" s="72"/>
      <c r="N3" s="72"/>
      <c r="O3" s="72"/>
      <c r="P3" s="72"/>
      <c r="Q3" s="72"/>
      <c r="R3" s="72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</row>
    <row r="4" spans="1:57" ht="25" thickTop="1" thickBot="1">
      <c r="A4" s="34" t="s">
        <v>145</v>
      </c>
      <c r="E4" s="14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</row>
    <row r="5" spans="1:57" ht="22.5" customHeight="1" thickTop="1" thickBot="1">
      <c r="A5" s="230" t="s">
        <v>6</v>
      </c>
      <c r="E5" s="834" t="s">
        <v>321</v>
      </c>
      <c r="F5" s="835"/>
      <c r="G5" s="835"/>
      <c r="H5" s="835"/>
      <c r="I5" s="835"/>
      <c r="J5" s="14"/>
      <c r="K5" s="14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7" ht="14" thickTop="1">
      <c r="E6" s="834" t="s">
        <v>534</v>
      </c>
      <c r="F6" s="836"/>
      <c r="G6" s="836"/>
      <c r="H6" s="836"/>
      <c r="I6" s="837"/>
      <c r="J6" s="18"/>
      <c r="K6" s="18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</row>
    <row r="7" spans="1:57">
      <c r="E7" s="834" t="s">
        <v>536</v>
      </c>
      <c r="F7" s="838"/>
      <c r="G7" s="838"/>
      <c r="H7" s="838"/>
      <c r="I7" s="838"/>
      <c r="J7" s="207"/>
      <c r="K7" s="20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</row>
    <row r="8" spans="1:57" ht="15" customHeight="1">
      <c r="A8" s="115"/>
      <c r="E8" s="525"/>
      <c r="F8" s="207"/>
      <c r="G8" s="207"/>
      <c r="H8" s="207"/>
      <c r="I8" s="207"/>
      <c r="J8" s="207"/>
      <c r="K8" s="207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</row>
    <row r="9" spans="1:57" ht="24" customHeight="1">
      <c r="Z9" s="136" t="s">
        <v>493</v>
      </c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1" t="s">
        <v>154</v>
      </c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</row>
    <row r="10" spans="1:57" ht="21" customHeight="1">
      <c r="A10" s="154" t="str">
        <f>CONCATENATE($A$3," County and ", $A$5, " County Tax Bases: Property Assessed Values and Taxable Sales")</f>
        <v>Bollinger County and Barton County Tax Bases: Property Assessed Values and Taxable Sales</v>
      </c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</row>
    <row r="11" spans="1:57" ht="16">
      <c r="A11" s="154" t="s">
        <v>435</v>
      </c>
      <c r="B11" s="302" t="s">
        <v>409</v>
      </c>
      <c r="C11" s="302" t="s">
        <v>410</v>
      </c>
      <c r="D11" s="302" t="s">
        <v>411</v>
      </c>
      <c r="E11" s="302" t="s">
        <v>412</v>
      </c>
      <c r="F11" s="302" t="s">
        <v>413</v>
      </c>
      <c r="G11" s="302" t="s">
        <v>414</v>
      </c>
      <c r="H11" s="302" t="s">
        <v>415</v>
      </c>
      <c r="I11" s="302" t="s">
        <v>416</v>
      </c>
      <c r="J11" s="302" t="s">
        <v>417</v>
      </c>
      <c r="K11" s="302" t="s">
        <v>418</v>
      </c>
      <c r="L11" s="302" t="s">
        <v>419</v>
      </c>
      <c r="M11" s="302" t="s">
        <v>420</v>
      </c>
      <c r="N11" s="302" t="s">
        <v>421</v>
      </c>
      <c r="O11" s="302" t="s">
        <v>422</v>
      </c>
      <c r="P11" s="302" t="s">
        <v>423</v>
      </c>
      <c r="Q11" s="302" t="s">
        <v>355</v>
      </c>
      <c r="R11" s="302" t="s">
        <v>399</v>
      </c>
      <c r="S11" s="302" t="s">
        <v>424</v>
      </c>
      <c r="T11" s="302" t="s">
        <v>446</v>
      </c>
      <c r="U11" s="302" t="s">
        <v>523</v>
      </c>
      <c r="V11" s="302" t="s">
        <v>524</v>
      </c>
      <c r="W11" s="302" t="s">
        <v>525</v>
      </c>
      <c r="X11" s="302"/>
    </row>
    <row r="12" spans="1:57" ht="16">
      <c r="A12" s="155" t="str">
        <f>CONCATENATE($A$3," County Property Assessed Values")</f>
        <v>Bollinger County Property Assessed Values</v>
      </c>
      <c r="B12" s="171">
        <f>INDEX(PropertyBaseAssessedValuesTable[],MATCH($A$3,PropertyBaseAssessedValuesTable[County]),MATCH(B11,PropertyBaseAssessedValuesTable[#Headers],0))</f>
        <v>63000390</v>
      </c>
      <c r="C12" s="171">
        <f>INDEX(PropertyBaseAssessedValuesTable[],MATCH($A$3,PropertyBaseAssessedValuesTable[County]),MATCH(C11,PropertyBaseAssessedValuesTable[#Headers]))</f>
        <v>73685016</v>
      </c>
      <c r="D12" s="171">
        <f>INDEX(PropertyBaseAssessedValuesTable[],MATCH($A$3,PropertyBaseAssessedValuesTable[County]),MATCH(D11,PropertyBaseAssessedValuesTable[#Headers]))</f>
        <v>75332162</v>
      </c>
      <c r="E12" s="171">
        <f>INDEX(PropertyBaseAssessedValuesTable[],MATCH($A$3,PropertyBaseAssessedValuesTable[County]),MATCH(E11,PropertyBaseAssessedValuesTable[#Headers]))</f>
        <v>78751438</v>
      </c>
      <c r="F12" s="171">
        <f>INDEX(PropertyBaseAssessedValuesTable[],MATCH($A$3,PropertyBaseAssessedValuesTable[County]),MATCH(F11,PropertyBaseAssessedValuesTable[#Headers]))</f>
        <v>83373278</v>
      </c>
      <c r="G12" s="171">
        <f>INDEX(PropertyBaseAssessedValuesTable[],MATCH($A$3,PropertyBaseAssessedValuesTable[County]),MATCH(G11,PropertyBaseAssessedValuesTable[#Headers]))</f>
        <v>88079901</v>
      </c>
      <c r="H12" s="171">
        <f>INDEX(PropertyBaseAssessedValuesTable[],MATCH($A$3,PropertyBaseAssessedValuesTable[County]),MATCH(H11,PropertyBaseAssessedValuesTable[#Headers]))</f>
        <v>89974929</v>
      </c>
      <c r="I12" s="171">
        <f>INDEX(PropertyBaseAssessedValuesTable[],MATCH($A$3,PropertyBaseAssessedValuesTable[County]),MATCH(I11,PropertyBaseAssessedValuesTable[#Headers]))</f>
        <v>95944303</v>
      </c>
      <c r="J12" s="171">
        <f>INDEX(PropertyBaseAssessedValuesTable[],MATCH($A$3,PropertyBaseAssessedValuesTable[County]),MATCH(J11,PropertyBaseAssessedValuesTable[#Headers]))</f>
        <v>97346191.627981886</v>
      </c>
      <c r="K12" s="171">
        <f>INDEX(PropertyBaseAssessedValuesTable[],MATCH($A$3,PropertyBaseAssessedValuesTable[County]),MATCH(K11,PropertyBaseAssessedValuesTable[#Headers]))</f>
        <v>100565436.47539529</v>
      </c>
      <c r="L12" s="171">
        <f>INDEX(PropertyBaseAssessedValuesTable[],MATCH($A$3,PropertyBaseAssessedValuesTable[County]),MATCH(L11,PropertyBaseAssessedValuesTable[#Headers]))</f>
        <v>103377486.02063678</v>
      </c>
      <c r="M12" s="171">
        <f>INDEX(PropertyBaseAssessedValuesTable[],MATCH($A$3,PropertyBaseAssessedValuesTable[County]),MATCH(M11,PropertyBaseAssessedValuesTable[#Headers]))</f>
        <v>109540479.2031185</v>
      </c>
      <c r="N12" s="171">
        <f>INDEX(PropertyBaseAssessedValuesTable[],MATCH($A$3,PropertyBaseAssessedValuesTable[County]),MATCH(N11,PropertyBaseAssessedValuesTable[#Headers]))</f>
        <v>108322752.79696156</v>
      </c>
      <c r="O12" s="171">
        <f>INDEX(PropertyBaseAssessedValuesTable[],MATCH($A$3,PropertyBaseAssessedValuesTable[County]),MATCH(O11,PropertyBaseAssessedValuesTable[#Headers]))</f>
        <v>108934964.55618444</v>
      </c>
      <c r="P12" s="171">
        <f>INDEX(PropertyBaseAssessedValuesTable[],MATCH($A$3,PropertyBaseAssessedValuesTable[County]),MATCH(P11,PropertyBaseAssessedValuesTable[#Headers]))</f>
        <v>110269235</v>
      </c>
      <c r="Q12" s="171">
        <f>INDEX(PropertyBaseAssessedValuesTable[],MATCH($A$3,PropertyBaseAssessedValuesTable[County]),MATCH(Q11,PropertyBaseAssessedValuesTable[#Headers]))</f>
        <v>113915542</v>
      </c>
      <c r="R12" s="171">
        <f>INDEX(PropertyBaseAssessedValuesTable[],MATCH($A$3,PropertyBaseAssessedValuesTable[County]),MATCH(R11,PropertyBaseAssessedValuesTable[#Headers]))</f>
        <v>118413473</v>
      </c>
      <c r="S12" s="171">
        <f>INDEX(PropertyBaseAssessedValuesTable[],MATCH($A$3,PropertyBaseAssessedValuesTable[County]),MATCH(S11,PropertyBaseAssessedValuesTable[#Headers]))</f>
        <v>122039918</v>
      </c>
      <c r="T12" s="171">
        <f>INDEX(PropertyBaseAssessedValuesTable[],MATCH($A$3,PropertyBaseAssessedValuesTable[County]),MATCH(T11,PropertyBaseAssessedValuesTable[#Headers]))</f>
        <v>121900307</v>
      </c>
      <c r="U12" s="171">
        <f>INDEX(PropertyBaseAssessedValuesTable[],MATCH($A$3,PropertyBaseAssessedValuesTable[County]),MATCH(U11,PropertyBaseAssessedValuesTable[#Headers]))</f>
        <v>124878878</v>
      </c>
      <c r="V12" s="171">
        <f>INDEX(PropertyBaseAssessedValuesTable[],MATCH($A$3,PropertyBaseAssessedValuesTable[County]),MATCH(V11,PropertyBaseAssessedValuesTable[#Headers]))</f>
        <v>128315648</v>
      </c>
      <c r="W12" s="171">
        <f>INDEX(PropertyBaseAssessedValuesTable[],MATCH($A$3,PropertyBaseAssessedValuesTable[County]),MATCH(W11,PropertyBaseAssessedValuesTable[#Headers]))</f>
        <v>137169709</v>
      </c>
      <c r="X12" s="171"/>
    </row>
    <row r="13" spans="1:57" ht="16">
      <c r="A13" s="155" t="str">
        <f>CONCATENATE($A$3," County Taxable Sales")</f>
        <v>Bollinger County Taxable Sales</v>
      </c>
      <c r="B13" s="178">
        <f>INDEX(SalesBaseTaxableSalesTable[],MATCH($A$3,SalesBaseTaxableSalesTable[County]),MATCH(B11,SalesBaseTaxableSalesTable[#Headers],0))</f>
        <v>30064109.350000001</v>
      </c>
      <c r="C13" s="178">
        <f>INDEX(SalesBaseTaxableSalesTable[],MATCH($A$3,SalesBaseTaxableSalesTable[County]),MATCH(C11,SalesBaseTaxableSalesTable[#Headers]))</f>
        <v>32663119.27</v>
      </c>
      <c r="D13" s="178">
        <f>INDEX(SalesBaseTaxableSalesTable[],MATCH($A$3,SalesBaseTaxableSalesTable[County]),MATCH(D11,SalesBaseTaxableSalesTable[#Headers]))</f>
        <v>32694808.309999999</v>
      </c>
      <c r="E13" s="178">
        <f>INDEX(SalesBaseTaxableSalesTable[],MATCH($A$3,SalesBaseTaxableSalesTable[County]),MATCH(E11,SalesBaseTaxableSalesTable[#Headers]))</f>
        <v>34337823.719999999</v>
      </c>
      <c r="F13" s="178">
        <f>INDEX(SalesBaseTaxableSalesTable[],MATCH($A$3,SalesBaseTaxableSalesTable[County]),MATCH(F11,SalesBaseTaxableSalesTable[#Headers]))</f>
        <v>36660184.969999999</v>
      </c>
      <c r="G13" s="178">
        <f>INDEX(SalesBaseTaxableSalesTable[],MATCH($A$3,SalesBaseTaxableSalesTable[County]),MATCH(G11,SalesBaseTaxableSalesTable[#Headers]))</f>
        <v>38137949.68</v>
      </c>
      <c r="H13" s="178">
        <f>INDEX(SalesBaseTaxableSalesTable[],MATCH($A$3,SalesBaseTaxableSalesTable[County]),MATCH(H11,SalesBaseTaxableSalesTable[#Headers]))</f>
        <v>40743073.109999999</v>
      </c>
      <c r="I13" s="178">
        <f>INDEX(SalesBaseTaxableSalesTable[],MATCH($A$3,SalesBaseTaxableSalesTable[County]),MATCH(I11,SalesBaseTaxableSalesTable[#Headers]))</f>
        <v>37875021.219999999</v>
      </c>
      <c r="J13" s="178">
        <f>INDEX(SalesBaseTaxableSalesTable[],MATCH($A$3,SalesBaseTaxableSalesTable[County]),MATCH(J11,SalesBaseTaxableSalesTable[#Headers]))</f>
        <v>37886336.469999999</v>
      </c>
      <c r="K13" s="178">
        <f>INDEX(SalesBaseTaxableSalesTable[],MATCH($A$3,SalesBaseTaxableSalesTable[County]),MATCH(K11,SalesBaseTaxableSalesTable[#Headers]))</f>
        <v>40686465.259999998</v>
      </c>
      <c r="L13" s="178">
        <f>INDEX(SalesBaseTaxableSalesTable[],MATCH($A$3,SalesBaseTaxableSalesTable[County]),MATCH(L11,SalesBaseTaxableSalesTable[#Headers]))</f>
        <v>41559726.170000002</v>
      </c>
      <c r="M13" s="178">
        <f>INDEX(SalesBaseTaxableSalesTable[],MATCH($A$3,SalesBaseTaxableSalesTable[County]),MATCH(M11,SalesBaseTaxableSalesTable[#Headers]))</f>
        <v>50007946.18</v>
      </c>
      <c r="N13" s="178">
        <f>INDEX(SalesBaseTaxableSalesTable[],MATCH($A$3,SalesBaseTaxableSalesTable[County]),MATCH(N11,SalesBaseTaxableSalesTable[#Headers]))</f>
        <v>46472664.18</v>
      </c>
      <c r="O13" s="178">
        <f>INDEX(SalesBaseTaxableSalesTable[],MATCH($A$3,SalesBaseTaxableSalesTable[County]),MATCH(O11,SalesBaseTaxableSalesTable[#Headers]))</f>
        <v>46132296.68</v>
      </c>
      <c r="P13" s="178">
        <f>INDEX(SalesBaseTaxableSalesTable[],MATCH($A$3,SalesBaseTaxableSalesTable[County]),MATCH(P11,SalesBaseTaxableSalesTable[#Headers]))</f>
        <v>46016267.100000001</v>
      </c>
      <c r="Q13" s="178">
        <f>INDEX(SalesBaseTaxableSalesTable[],MATCH($A$3,SalesBaseTaxableSalesTable[County]),MATCH(Q11,SalesBaseTaxableSalesTable[#Headers]))</f>
        <v>46901628.700000003</v>
      </c>
      <c r="R13" s="178">
        <f>INDEX(SalesBaseTaxableSalesTable[],MATCH($A$3,SalesBaseTaxableSalesTable[County]),MATCH(R11,SalesBaseTaxableSalesTable[#Headers]))</f>
        <v>46768806.380000003</v>
      </c>
      <c r="S13" s="178">
        <f>INDEX(SalesBaseTaxableSalesTable[],MATCH($A$3,SalesBaseTaxableSalesTable[County]),MATCH(S11,SalesBaseTaxableSalesTable[#Headers]))</f>
        <v>48695137.990000002</v>
      </c>
      <c r="T13" s="178">
        <f>INDEX(SalesBaseTaxableSalesTable[],MATCH($A$3,SalesBaseTaxableSalesTable[County]),MATCH(T11,SalesBaseTaxableSalesTable[#Headers]))</f>
        <v>50796820.850000001</v>
      </c>
      <c r="U13" s="178">
        <f>INDEX(SalesBaseTaxableSalesTable[],MATCH($A$3,SalesBaseTaxableSalesTable[County]),MATCH(U11,SalesBaseTaxableSalesTable[#Headers]))</f>
        <v>53110108.969999999</v>
      </c>
      <c r="V13" s="178">
        <f>INDEX(SalesBaseTaxableSalesTable[],MATCH($A$3,SalesBaseTaxableSalesTable[County]),MATCH(V11,SalesBaseTaxableSalesTable[#Headers]))</f>
        <v>53242761.479999997</v>
      </c>
      <c r="W13" s="178">
        <f>INDEX(SalesBaseTaxableSalesTable[],MATCH($A$3,SalesBaseTaxableSalesTable[County]),MATCH(W11,SalesBaseTaxableSalesTable[#Headers]))</f>
        <v>52942688.590000004</v>
      </c>
      <c r="X13" s="178"/>
    </row>
    <row r="14" spans="1:57" ht="16">
      <c r="A14" s="155" t="str">
        <f>CONCATENATE($A$5," County Property Assessed Values")</f>
        <v>Barton County Property Assessed Values</v>
      </c>
      <c r="B14" s="171">
        <f>INDEX(PropertyBaseAssessedValuesTable[],MATCH($A$5,PropertyBaseAssessedValuesTable[County]),MATCH(B11,PropertyBaseAssessedValuesTable[#Headers],0))</f>
        <v>97462636</v>
      </c>
      <c r="C14" s="171">
        <f>INDEX(PropertyBaseAssessedValuesTable[],MATCH($A$5,PropertyBaseAssessedValuesTable[County]),MATCH(C11,PropertyBaseAssessedValuesTable[#Headers]))</f>
        <v>103305702</v>
      </c>
      <c r="D14" s="171">
        <f>INDEX(PropertyBaseAssessedValuesTable[],MATCH($A$5,PropertyBaseAssessedValuesTable[County]),MATCH(D11,PropertyBaseAssessedValuesTable[#Headers]))</f>
        <v>109748815</v>
      </c>
      <c r="E14" s="171">
        <f>INDEX(PropertyBaseAssessedValuesTable[],MATCH($A$5,PropertyBaseAssessedValuesTable[County]),MATCH(E11,PropertyBaseAssessedValuesTable[#Headers]))</f>
        <v>120448330</v>
      </c>
      <c r="F14" s="171">
        <f>INDEX(PropertyBaseAssessedValuesTable[],MATCH($A$5,PropertyBaseAssessedValuesTable[County]),MATCH(F11,PropertyBaseAssessedValuesTable[#Headers]))</f>
        <v>126081191</v>
      </c>
      <c r="G14" s="171">
        <f>INDEX(PropertyBaseAssessedValuesTable[],MATCH($A$5,PropertyBaseAssessedValuesTable[County]),MATCH(G11,PropertyBaseAssessedValuesTable[#Headers]))</f>
        <v>129857352</v>
      </c>
      <c r="H14" s="171">
        <f>INDEX(PropertyBaseAssessedValuesTable[],MATCH($A$5,PropertyBaseAssessedValuesTable[County]),MATCH(H11,PropertyBaseAssessedValuesTable[#Headers]))</f>
        <v>131934004</v>
      </c>
      <c r="I14" s="171">
        <f>INDEX(PropertyBaseAssessedValuesTable[],MATCH($A$5,PropertyBaseAssessedValuesTable[County]),MATCH(I11,PropertyBaseAssessedValuesTable[#Headers]))</f>
        <v>140444121</v>
      </c>
      <c r="J14" s="171">
        <f>INDEX(PropertyBaseAssessedValuesTable[],MATCH($A$5,PropertyBaseAssessedValuesTable[County]),MATCH(J11,PropertyBaseAssessedValuesTable[#Headers]))</f>
        <v>144608050.94903433</v>
      </c>
      <c r="K14" s="171">
        <f>INDEX(PropertyBaseAssessedValuesTable[],MATCH($A$5,PropertyBaseAssessedValuesTable[County]),MATCH(K11,PropertyBaseAssessedValuesTable[#Headers]))</f>
        <v>160215197.86937359</v>
      </c>
      <c r="L14" s="171">
        <f>INDEX(PropertyBaseAssessedValuesTable[],MATCH($A$5,PropertyBaseAssessedValuesTable[County]),MATCH(L11,PropertyBaseAssessedValuesTable[#Headers]))</f>
        <v>164746973.16112328</v>
      </c>
      <c r="M14" s="171">
        <f>INDEX(PropertyBaseAssessedValuesTable[],MATCH($A$5,PropertyBaseAssessedValuesTable[County]),MATCH(M11,PropertyBaseAssessedValuesTable[#Headers]))</f>
        <v>175312981.70158517</v>
      </c>
      <c r="N14" s="171">
        <f>INDEX(PropertyBaseAssessedValuesTable[],MATCH($A$5,PropertyBaseAssessedValuesTable[County]),MATCH(N11,PropertyBaseAssessedValuesTable[#Headers]))</f>
        <v>180077771.50942314</v>
      </c>
      <c r="O14" s="171">
        <f>INDEX(PropertyBaseAssessedValuesTable[],MATCH($A$5,PropertyBaseAssessedValuesTable[County]),MATCH(O11,PropertyBaseAssessedValuesTable[#Headers]))</f>
        <v>173780524.80936211</v>
      </c>
      <c r="P14" s="171">
        <f>INDEX(PropertyBaseAssessedValuesTable[],MATCH($A$5,PropertyBaseAssessedValuesTable[County]),MATCH(P11,PropertyBaseAssessedValuesTable[#Headers]))</f>
        <v>176133708</v>
      </c>
      <c r="Q14" s="171">
        <f>INDEX(PropertyBaseAssessedValuesTable[],MATCH($A$5,PropertyBaseAssessedValuesTable[County]),MATCH(Q11,PropertyBaseAssessedValuesTable[#Headers]))</f>
        <v>165538096</v>
      </c>
      <c r="R14" s="171">
        <f>INDEX(PropertyBaseAssessedValuesTable[],MATCH($A$5,PropertyBaseAssessedValuesTable[County]),MATCH(R11,PropertyBaseAssessedValuesTable[#Headers]))</f>
        <v>173074791</v>
      </c>
      <c r="S14" s="171">
        <f>INDEX(PropertyBaseAssessedValuesTable[],MATCH($A$5,PropertyBaseAssessedValuesTable[County]),MATCH(S11,PropertyBaseAssessedValuesTable[#Headers]))</f>
        <v>177756562</v>
      </c>
      <c r="T14" s="171">
        <f>INDEX(PropertyBaseAssessedValuesTable[],MATCH($A$5,PropertyBaseAssessedValuesTable[County]),MATCH(T11,PropertyBaseAssessedValuesTable[#Headers]))</f>
        <v>173487441</v>
      </c>
      <c r="U14" s="171">
        <f>INDEX(PropertyBaseAssessedValuesTable[],MATCH($A$5,PropertyBaseAssessedValuesTable[County]),MATCH(U11,PropertyBaseAssessedValuesTable[#Headers]))</f>
        <v>181787659</v>
      </c>
      <c r="V14" s="171">
        <f>INDEX(PropertyBaseAssessedValuesTable[],MATCH($A$5,PropertyBaseAssessedValuesTable[County]),MATCH(V11,PropertyBaseAssessedValuesTable[#Headers]))</f>
        <v>183962804</v>
      </c>
      <c r="W14" s="171">
        <f>INDEX(PropertyBaseAssessedValuesTable[],MATCH($A$5,PropertyBaseAssessedValuesTable[County]),MATCH(W11,PropertyBaseAssessedValuesTable[#Headers]))</f>
        <v>184140010</v>
      </c>
      <c r="X14" s="171"/>
    </row>
    <row r="15" spans="1:57" ht="16">
      <c r="A15" s="155" t="str">
        <f>CONCATENATE($A$5," County Taxable Sales")</f>
        <v>Barton County Taxable Sales</v>
      </c>
      <c r="B15" s="178">
        <f>INDEX(SalesBaseTaxableSalesTable[],MATCH($A$5,SalesBaseTaxableSalesTable[County]),MATCH(B11,SalesBaseTaxableSalesTable[#Headers],0))</f>
        <v>62135913.369999997</v>
      </c>
      <c r="C15" s="178">
        <f>INDEX(SalesBaseTaxableSalesTable[],MATCH($A$5,SalesBaseTaxableSalesTable[County]),MATCH(C11,SalesBaseTaxableSalesTable[#Headers]))</f>
        <v>65812488.5</v>
      </c>
      <c r="D15" s="178">
        <f>INDEX(SalesBaseTaxableSalesTable[],MATCH($A$5,SalesBaseTaxableSalesTable[County]),MATCH(D11,SalesBaseTaxableSalesTable[#Headers]))</f>
        <v>69838095.150000006</v>
      </c>
      <c r="E15" s="178">
        <f>INDEX(SalesBaseTaxableSalesTable[],MATCH($A$5,SalesBaseTaxableSalesTable[County]),MATCH(E11,SalesBaseTaxableSalesTable[#Headers]))</f>
        <v>69825246.370000005</v>
      </c>
      <c r="F15" s="178">
        <f>INDEX(SalesBaseTaxableSalesTable[],MATCH($A$5,SalesBaseTaxableSalesTable[County]),MATCH(F11,SalesBaseTaxableSalesTable[#Headers]))</f>
        <v>70964258.900000006</v>
      </c>
      <c r="G15" s="178">
        <f>INDEX(SalesBaseTaxableSalesTable[],MATCH($A$5,SalesBaseTaxableSalesTable[County]),MATCH(G11,SalesBaseTaxableSalesTable[#Headers]))</f>
        <v>71426733.400000006</v>
      </c>
      <c r="H15" s="178">
        <f>INDEX(SalesBaseTaxableSalesTable[],MATCH($A$5,SalesBaseTaxableSalesTable[County]),MATCH(H11,SalesBaseTaxableSalesTable[#Headers]))</f>
        <v>74208150.599999994</v>
      </c>
      <c r="I15" s="178">
        <f>INDEX(SalesBaseTaxableSalesTable[],MATCH($A$5,SalesBaseTaxableSalesTable[County]),MATCH(I11,SalesBaseTaxableSalesTable[#Headers]))</f>
        <v>74984801.25</v>
      </c>
      <c r="J15" s="178">
        <f>INDEX(SalesBaseTaxableSalesTable[],MATCH($A$5,SalesBaseTaxableSalesTable[County]),MATCH(J11,SalesBaseTaxableSalesTable[#Headers]))</f>
        <v>83626746.150000006</v>
      </c>
      <c r="K15" s="178">
        <f>INDEX(SalesBaseTaxableSalesTable[],MATCH($A$5,SalesBaseTaxableSalesTable[County]),MATCH(K11,SalesBaseTaxableSalesTable[#Headers]))</f>
        <v>89400607.959999993</v>
      </c>
      <c r="L15" s="178">
        <f>INDEX(SalesBaseTaxableSalesTable[],MATCH($A$5,SalesBaseTaxableSalesTable[County]),MATCH(L11,SalesBaseTaxableSalesTable[#Headers]))</f>
        <v>89986246.579999998</v>
      </c>
      <c r="M15" s="178">
        <f>INDEX(SalesBaseTaxableSalesTable[],MATCH($A$5,SalesBaseTaxableSalesTable[County]),MATCH(M11,SalesBaseTaxableSalesTable[#Headers]))</f>
        <v>92387726.049999997</v>
      </c>
      <c r="N15" s="178">
        <f>INDEX(SalesBaseTaxableSalesTable[],MATCH($A$5,SalesBaseTaxableSalesTable[County]),MATCH(N11,SalesBaseTaxableSalesTable[#Headers]))</f>
        <v>91145639.909999996</v>
      </c>
      <c r="O15" s="178">
        <f>INDEX(SalesBaseTaxableSalesTable[],MATCH($A$5,SalesBaseTaxableSalesTable[County]),MATCH(O11,SalesBaseTaxableSalesTable[#Headers]))</f>
        <v>87704558.609999999</v>
      </c>
      <c r="P15" s="178">
        <f>INDEX(SalesBaseTaxableSalesTable[],MATCH($A$5,SalesBaseTaxableSalesTable[County]),MATCH(P11,SalesBaseTaxableSalesTable[#Headers]))</f>
        <v>86503530.859999999</v>
      </c>
      <c r="Q15" s="178">
        <f>INDEX(SalesBaseTaxableSalesTable[],MATCH($A$5,SalesBaseTaxableSalesTable[County]),MATCH(Q11,SalesBaseTaxableSalesTable[#Headers]))</f>
        <v>91483942.769999996</v>
      </c>
      <c r="R15" s="178">
        <f>INDEX(SalesBaseTaxableSalesTable[],MATCH($A$5,SalesBaseTaxableSalesTable[County]),MATCH(R11,SalesBaseTaxableSalesTable[#Headers]))</f>
        <v>92543900.420000002</v>
      </c>
      <c r="S15" s="178">
        <f>INDEX(SalesBaseTaxableSalesTable[],MATCH($A$5,SalesBaseTaxableSalesTable[County]),MATCH(S11,SalesBaseTaxableSalesTable[#Headers]))</f>
        <v>93018318.75</v>
      </c>
      <c r="T15" s="178">
        <f>INDEX(SalesBaseTaxableSalesTable[],MATCH($A$5,SalesBaseTaxableSalesTable[County]),MATCH(T11,SalesBaseTaxableSalesTable[#Headers]))</f>
        <v>91910389.890000001</v>
      </c>
      <c r="U15" s="178">
        <f>INDEX(SalesBaseTaxableSalesTable[],MATCH($A$5,SalesBaseTaxableSalesTable[County]),MATCH(U11,SalesBaseTaxableSalesTable[#Headers]))</f>
        <v>93610036.549999997</v>
      </c>
      <c r="V15" s="178">
        <f>INDEX(SalesBaseTaxableSalesTable[],MATCH($A$5,SalesBaseTaxableSalesTable[County]),MATCH(V11,SalesBaseTaxableSalesTable[#Headers]))</f>
        <v>95703934.340000004</v>
      </c>
      <c r="W15" s="178">
        <f>INDEX(SalesBaseTaxableSalesTable[],MATCH($A$5,SalesBaseTaxableSalesTable[County]),MATCH(W11,SalesBaseTaxableSalesTable[#Headers]))</f>
        <v>90500968.310000002</v>
      </c>
      <c r="X15" s="178"/>
    </row>
    <row r="16" spans="1:57" ht="16">
      <c r="A16" s="170"/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</row>
    <row r="17" spans="1:24" ht="16">
      <c r="A17" s="154" t="str">
        <f>CONCATENATE($A$3," County and ", $A$5, " County per Capita Tax Bases: Property Assessed Values and Taxable Sales")</f>
        <v>Bollinger County and Barton County per Capita Tax Bases: Property Assessed Values and Taxable Sales</v>
      </c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</row>
    <row r="18" spans="1:24" ht="16">
      <c r="A18" s="154" t="s">
        <v>435</v>
      </c>
      <c r="B18" s="302" t="s">
        <v>409</v>
      </c>
      <c r="C18" s="302" t="s">
        <v>410</v>
      </c>
      <c r="D18" s="302" t="s">
        <v>411</v>
      </c>
      <c r="E18" s="302" t="s">
        <v>412</v>
      </c>
      <c r="F18" s="302" t="s">
        <v>413</v>
      </c>
      <c r="G18" s="302" t="s">
        <v>414</v>
      </c>
      <c r="H18" s="302" t="s">
        <v>415</v>
      </c>
      <c r="I18" s="302" t="s">
        <v>416</v>
      </c>
      <c r="J18" s="302" t="s">
        <v>417</v>
      </c>
      <c r="K18" s="302" t="s">
        <v>418</v>
      </c>
      <c r="L18" s="302" t="s">
        <v>419</v>
      </c>
      <c r="M18" s="302" t="s">
        <v>420</v>
      </c>
      <c r="N18" s="302" t="s">
        <v>421</v>
      </c>
      <c r="O18" s="302" t="s">
        <v>422</v>
      </c>
      <c r="P18" s="302" t="s">
        <v>423</v>
      </c>
      <c r="Q18" s="302" t="s">
        <v>355</v>
      </c>
      <c r="R18" s="302" t="s">
        <v>399</v>
      </c>
      <c r="S18" s="302" t="s">
        <v>424</v>
      </c>
      <c r="T18" s="302" t="s">
        <v>446</v>
      </c>
      <c r="U18" s="302" t="s">
        <v>523</v>
      </c>
      <c r="V18" s="302" t="s">
        <v>524</v>
      </c>
      <c r="W18" s="302" t="s">
        <v>525</v>
      </c>
      <c r="X18" s="302"/>
    </row>
    <row r="19" spans="1:24" ht="16">
      <c r="A19" s="155" t="str">
        <f>CONCATENATE($A$3," Property Assessed Values")</f>
        <v>Bollinger Property Assessed Values</v>
      </c>
      <c r="B19" s="171">
        <f>INDEX(PropertyBaseAssessedValuesPerCapitaTable[],MATCH($A$3,PropertyBaseAssessedValuesPerCapitaTable[County]),MATCH(B18,PropertyBaseAssessedValuesPerCapitaTable[#Headers],0))</f>
        <v>5516.6716287215413</v>
      </c>
      <c r="C19" s="171">
        <f>INDEX(PropertyBaseAssessedValuesPerCapitaTable[],MATCH($A$3,PropertyBaseAssessedValuesPerCapitaTable[County]),MATCH(C18,PropertyBaseAssessedValuesPerCapitaTable[#Headers]))</f>
        <v>6400.1577347346474</v>
      </c>
      <c r="D19" s="171">
        <f>INDEX(PropertyBaseAssessedValuesPerCapitaTable[],MATCH($A$3,PropertyBaseAssessedValuesPerCapitaTable[County]),MATCH(D18,PropertyBaseAssessedValuesPerCapitaTable[#Headers]))</f>
        <v>6484.6485323233192</v>
      </c>
      <c r="E19" s="171">
        <f>INDEX(PropertyBaseAssessedValuesPerCapitaTable[],MATCH($A$3,PropertyBaseAssessedValuesPerCapitaTable[County]),MATCH(E18,PropertyBaseAssessedValuesPerCapitaTable[#Headers]))</f>
        <v>6622.7767218905055</v>
      </c>
      <c r="F19" s="171">
        <f>INDEX(PropertyBaseAssessedValuesPerCapitaTable[],MATCH($A$3,PropertyBaseAssessedValuesPerCapitaTable[County]),MATCH(F18,PropertyBaseAssessedValuesPerCapitaTable[#Headers]))</f>
        <v>6920.6672200547855</v>
      </c>
      <c r="G19" s="171">
        <f>INDEX(PropertyBaseAssessedValuesPerCapitaTable[],MATCH($A$3,PropertyBaseAssessedValuesPerCapitaTable[County]),MATCH(G18,PropertyBaseAssessedValuesPerCapitaTable[#Headers]))</f>
        <v>7164.4624206930212</v>
      </c>
      <c r="H19" s="171">
        <f>INDEX(PropertyBaseAssessedValuesPerCapitaTable[],MATCH($A$3,PropertyBaseAssessedValuesPerCapitaTable[County]),MATCH(H18,PropertyBaseAssessedValuesPerCapitaTable[#Headers]))</f>
        <v>7275.404625212258</v>
      </c>
      <c r="I19" s="171">
        <f>INDEX(PropertyBaseAssessedValuesPerCapitaTable[],MATCH($A$3,PropertyBaseAssessedValuesPerCapitaTable[County]),MATCH(I18,PropertyBaseAssessedValuesPerCapitaTable[#Headers]))</f>
        <v>7737.4437903225808</v>
      </c>
      <c r="J19" s="171">
        <f>INDEX(PropertyBaseAssessedValuesPerCapitaTable[],MATCH($A$3,PropertyBaseAssessedValuesPerCapitaTable[County]),MATCH(J18,PropertyBaseAssessedValuesPerCapitaTable[#Headers]))</f>
        <v>7833.4426352282844</v>
      </c>
      <c r="K19" s="171">
        <f>INDEX(PropertyBaseAssessedValuesPerCapitaTable[],MATCH($A$3,PropertyBaseAssessedValuesPerCapitaTable[County]),MATCH(K18,PropertyBaseAssessedValuesPerCapitaTable[#Headers]))</f>
        <v>8067.1776412157305</v>
      </c>
      <c r="L19" s="171">
        <f>INDEX(PropertyBaseAssessedValuesPerCapitaTable[],MATCH($A$3,PropertyBaseAssessedValuesPerCapitaTable[County]),MATCH(L18,PropertyBaseAssessedValuesPerCapitaTable[#Headers]))</f>
        <v>8272.8461924325202</v>
      </c>
      <c r="M19" s="171">
        <f>INDEX(PropertyBaseAssessedValuesPerCapitaTable[],MATCH($A$3,PropertyBaseAssessedValuesPerCapitaTable[County]),MATCH(M18,PropertyBaseAssessedValuesPerCapitaTable[#Headers]))</f>
        <v>8725.5439862289713</v>
      </c>
      <c r="N19" s="171">
        <f>INDEX(PropertyBaseAssessedValuesPerCapitaTable[],MATCH($A$3,PropertyBaseAssessedValuesPerCapitaTable[County]),MATCH(N18,PropertyBaseAssessedValuesPerCapitaTable[#Headers]))</f>
        <v>8715.3232598730028</v>
      </c>
      <c r="O19" s="171">
        <f>INDEX(PropertyBaseAssessedValuesPerCapitaTable[],MATCH($A$3,PropertyBaseAssessedValuesPerCapitaTable[County]),MATCH(O18,PropertyBaseAssessedValuesPerCapitaTable[#Headers]))</f>
        <v>8776.5843180941374</v>
      </c>
      <c r="P19" s="171">
        <f>INDEX(PropertyBaseAssessedValuesPerCapitaTable[],MATCH($A$3,PropertyBaseAssessedValuesPerCapitaTable[County]),MATCH(P18,PropertyBaseAssessedValuesPerCapitaTable[#Headers]))</f>
        <v>8936.6427587324742</v>
      </c>
      <c r="Q19" s="171">
        <f>INDEX(PropertyBaseAssessedValuesPerCapitaTable[],MATCH($A$3,PropertyBaseAssessedValuesPerCapitaTable[County]),MATCH(Q18,PropertyBaseAssessedValuesPerCapitaTable[#Headers]))</f>
        <v>9199.349269159331</v>
      </c>
      <c r="R19" s="171">
        <f>INDEX(PropertyBaseAssessedValuesPerCapitaTable[],MATCH($A$3,PropertyBaseAssessedValuesPerCapitaTable[County]),MATCH(R18,PropertyBaseAssessedValuesPerCapitaTable[#Headers]))</f>
        <v>9563.3559198837029</v>
      </c>
      <c r="S19" s="171">
        <f>INDEX(PropertyBaseAssessedValuesPerCapitaTable[],MATCH($A$3,PropertyBaseAssessedValuesPerCapitaTable[County]),MATCH(S18,PropertyBaseAssessedValuesPerCapitaTable[#Headers]))</f>
        <v>9771.0102481985596</v>
      </c>
      <c r="T19" s="171">
        <f>INDEX(PropertyBaseAssessedValuesPerCapitaTable[],MATCH($A$3,PropertyBaseAssessedValuesPerCapitaTable[County]),MATCH(T18,PropertyBaseAssessedValuesPerCapitaTable[#Headers]))</f>
        <v>9856.1050291073734</v>
      </c>
      <c r="U19" s="171">
        <f>INDEX(PropertyBaseAssessedValuesPerCapitaTable[],MATCH($A$3,PropertyBaseAssessedValuesPerCapitaTable[County]),MATCH(U18,PropertyBaseAssessedValuesPerCapitaTable[#Headers]))</f>
        <v>10268.800098676096</v>
      </c>
      <c r="V19" s="171">
        <f>INDEX(PropertyBaseAssessedValuesPerCapitaTable[],MATCH($A$3,PropertyBaseAssessedValuesPerCapitaTable[County]),MATCH(V18,PropertyBaseAssessedValuesPerCapitaTable[#Headers]))</f>
        <v>10646.83438433455</v>
      </c>
      <c r="W19" s="171">
        <f>INDEX(PropertyBaseAssessedValuesPerCapitaTable[],MATCH($A$3,PropertyBaseAssessedValuesPerCapitaTable[County]),MATCH(W18,PropertyBaseAssessedValuesPerCapitaTable[#Headers]))</f>
        <v>11146.571509832602</v>
      </c>
      <c r="X19" s="171"/>
    </row>
    <row r="20" spans="1:24" ht="16">
      <c r="A20" s="155" t="str">
        <f>CONCATENATE($A$3," County Taxable Sales")</f>
        <v>Bollinger County Taxable Sales</v>
      </c>
      <c r="B20" s="178">
        <f>INDEX(SalesBaseTaxableSalesPerCapitaTable[],MATCH($A$3,SalesBaseTaxableSalesPerCapitaTable[County]),MATCH(B18,SalesBaseTaxableSalesPerCapitaTable[#Headers],0))</f>
        <v>2632.5840061295971</v>
      </c>
      <c r="C20" s="178">
        <f>INDEX(SalesBaseTaxableSalesPerCapitaTable[],MATCH($A$3,SalesBaseTaxableSalesPerCapitaTable[County]),MATCH(C18,SalesBaseTaxableSalesPerCapitaTable[#Headers]))</f>
        <v>2837.0641249022842</v>
      </c>
      <c r="D20" s="178">
        <f>INDEX(SalesBaseTaxableSalesPerCapitaTable[],MATCH($A$3,SalesBaseTaxableSalesPerCapitaTable[County]),MATCH(D18,SalesBaseTaxableSalesPerCapitaTable[#Headers]))</f>
        <v>2814.3934156839114</v>
      </c>
      <c r="E20" s="178">
        <f>INDEX(SalesBaseTaxableSalesPerCapitaTable[],MATCH($A$3,SalesBaseTaxableSalesPerCapitaTable[County]),MATCH(E18,SalesBaseTaxableSalesPerCapitaTable[#Headers]))</f>
        <v>2887.7153914725423</v>
      </c>
      <c r="F20" s="178">
        <f>INDEX(SalesBaseTaxableSalesPerCapitaTable[],MATCH($A$3,SalesBaseTaxableSalesPerCapitaTable[County]),MATCH(F18,SalesBaseTaxableSalesPerCapitaTable[#Headers]))</f>
        <v>3043.0966190752883</v>
      </c>
      <c r="G20" s="178">
        <f>INDEX(SalesBaseTaxableSalesPerCapitaTable[],MATCH($A$3,SalesBaseTaxableSalesPerCapitaTable[County]),MATCH(G18,SalesBaseTaxableSalesPerCapitaTable[#Headers]))</f>
        <v>3102.1595640149667</v>
      </c>
      <c r="H20" s="178">
        <f>INDEX(SalesBaseTaxableSalesPerCapitaTable[],MATCH($A$3,SalesBaseTaxableSalesPerCapitaTable[County]),MATCH(H18,SalesBaseTaxableSalesPerCapitaTable[#Headers]))</f>
        <v>3294.4993215816285</v>
      </c>
      <c r="I20" s="178">
        <f>INDEX(SalesBaseTaxableSalesPerCapitaTable[],MATCH($A$3,SalesBaseTaxableSalesPerCapitaTable[County]),MATCH(I18,SalesBaseTaxableSalesPerCapitaTable[#Headers]))</f>
        <v>3054.4371951612902</v>
      </c>
      <c r="J20" s="178">
        <f>INDEX(SalesBaseTaxableSalesPerCapitaTable[],MATCH($A$3,SalesBaseTaxableSalesPerCapitaTable[County]),MATCH(J18,SalesBaseTaxableSalesPerCapitaTable[#Headers]))</f>
        <v>3048.7113921300393</v>
      </c>
      <c r="K20" s="178">
        <f>INDEX(SalesBaseTaxableSalesPerCapitaTable[],MATCH($A$3,SalesBaseTaxableSalesPerCapitaTable[County]),MATCH(K18,SalesBaseTaxableSalesPerCapitaTable[#Headers]))</f>
        <v>3263.7947424995987</v>
      </c>
      <c r="L20" s="178">
        <f>INDEX(SalesBaseTaxableSalesPerCapitaTable[],MATCH($A$3,SalesBaseTaxableSalesPerCapitaTable[County]),MATCH(L18,SalesBaseTaxableSalesPerCapitaTable[#Headers]))</f>
        <v>3325.84236315621</v>
      </c>
      <c r="M20" s="178">
        <f>INDEX(SalesBaseTaxableSalesPerCapitaTable[],MATCH($A$3,SalesBaseTaxableSalesPerCapitaTable[County]),MATCH(M18,SalesBaseTaxableSalesPerCapitaTable[#Headers]))</f>
        <v>3983.4272885136211</v>
      </c>
      <c r="N20" s="178">
        <f>INDEX(SalesBaseTaxableSalesPerCapitaTable[],MATCH($A$3,SalesBaseTaxableSalesPerCapitaTable[County]),MATCH(N18,SalesBaseTaxableSalesPerCapitaTable[#Headers]))</f>
        <v>3739.0509437605601</v>
      </c>
      <c r="O20" s="178">
        <f>INDEX(SalesBaseTaxableSalesPerCapitaTable[],MATCH($A$3,SalesBaseTaxableSalesPerCapitaTable[County]),MATCH(O18,SalesBaseTaxableSalesPerCapitaTable[#Headers]))</f>
        <v>3716.7496519497258</v>
      </c>
      <c r="P20" s="178">
        <f>INDEX(SalesBaseTaxableSalesPerCapitaTable[],MATCH($A$3,SalesBaseTaxableSalesPerCapitaTable[County]),MATCH(P18,SalesBaseTaxableSalesPerCapitaTable[#Headers]))</f>
        <v>3729.3352054461466</v>
      </c>
      <c r="Q20" s="178">
        <f>INDEX(SalesBaseTaxableSalesPerCapitaTable[],MATCH($A$3,SalesBaseTaxableSalesPerCapitaTable[County]),MATCH(Q18,SalesBaseTaxableSalesPerCapitaTable[#Headers]))</f>
        <v>3787.5820641201649</v>
      </c>
      <c r="R20" s="178">
        <f>INDEX(SalesBaseTaxableSalesPerCapitaTable[],MATCH($A$3,SalesBaseTaxableSalesPerCapitaTable[County]),MATCH(R18,SalesBaseTaxableSalesPerCapitaTable[#Headers]))</f>
        <v>3777.1609093845909</v>
      </c>
      <c r="S20" s="178">
        <f>INDEX(SalesBaseTaxableSalesPerCapitaTable[],MATCH($A$3,SalesBaseTaxableSalesPerCapitaTable[County]),MATCH(S18,SalesBaseTaxableSalesPerCapitaTable[#Headers]))</f>
        <v>3898.7300232185748</v>
      </c>
      <c r="T20" s="178">
        <f>INDEX(SalesBaseTaxableSalesPerCapitaTable[],MATCH($A$3,SalesBaseTaxableSalesPerCapitaTable[County]),MATCH(T18,SalesBaseTaxableSalesPerCapitaTable[#Headers]))</f>
        <v>4107.1168216364813</v>
      </c>
      <c r="U20" s="178">
        <f>INDEX(SalesBaseTaxableSalesPerCapitaTable[],MATCH($A$3,SalesBaseTaxableSalesPerCapitaTable[County]),MATCH(U18,SalesBaseTaxableSalesPerCapitaTable[#Headers]))</f>
        <v>4367.2484968341414</v>
      </c>
      <c r="V20" s="178">
        <f>INDEX(SalesBaseTaxableSalesPerCapitaTable[],MATCH($A$3,SalesBaseTaxableSalesPerCapitaTable[County]),MATCH(V18,SalesBaseTaxableSalesPerCapitaTable[#Headers]))</f>
        <v>4417.7531928310655</v>
      </c>
      <c r="W20" s="178">
        <f>INDEX(SalesBaseTaxableSalesPerCapitaTable[],MATCH($A$3,SalesBaseTaxableSalesPerCapitaTable[County]),MATCH(W18,SalesBaseTaxableSalesPerCapitaTable[#Headers]))</f>
        <v>4302.184998374777</v>
      </c>
      <c r="X20" s="178"/>
    </row>
    <row r="21" spans="1:24" ht="16">
      <c r="A21" s="155" t="str">
        <f>CONCATENATE($A$5," County Property Assessed Values")</f>
        <v>Barton County Property Assessed Values</v>
      </c>
      <c r="B21" s="171">
        <f>INDEX(PropertyBaseAssessedValuesPerCapitaTable[],MATCH($A$5,PropertyBaseAssessedValuesPerCapitaTable[County]),MATCH(B18,PropertyBaseAssessedValuesPerCapitaTable[#Headers],0))</f>
        <v>8034.1798697551731</v>
      </c>
      <c r="C21" s="171">
        <f>INDEX(PropertyBaseAssessedValuesPerCapitaTable[],MATCH($A$5,PropertyBaseAssessedValuesPerCapitaTable[County]),MATCH(C18,PropertyBaseAssessedValuesPerCapitaTable[#Headers]))</f>
        <v>8469.0688637481562</v>
      </c>
      <c r="D21" s="171">
        <f>INDEX(PropertyBaseAssessedValuesPerCapitaTable[],MATCH($A$5,PropertyBaseAssessedValuesPerCapitaTable[County]),MATCH(D18,PropertyBaseAssessedValuesPerCapitaTable[#Headers]))</f>
        <v>8857.1394560568151</v>
      </c>
      <c r="E21" s="171">
        <f>INDEX(PropertyBaseAssessedValuesPerCapitaTable[],MATCH($A$5,PropertyBaseAssessedValuesPerCapitaTable[County]),MATCH(E18,PropertyBaseAssessedValuesPerCapitaTable[#Headers]))</f>
        <v>9640.4938370417804</v>
      </c>
      <c r="F21" s="171">
        <f>INDEX(PropertyBaseAssessedValuesPerCapitaTable[],MATCH($A$5,PropertyBaseAssessedValuesPerCapitaTable[County]),MATCH(F18,PropertyBaseAssessedValuesPerCapitaTable[#Headers]))</f>
        <v>10052.718147025993</v>
      </c>
      <c r="G21" s="171">
        <f>INDEX(PropertyBaseAssessedValuesPerCapitaTable[],MATCH($A$5,PropertyBaseAssessedValuesPerCapitaTable[County]),MATCH(G18,PropertyBaseAssessedValuesPerCapitaTable[#Headers]))</f>
        <v>10237.88647114475</v>
      </c>
      <c r="H21" s="171">
        <f>INDEX(PropertyBaseAssessedValuesPerCapitaTable[],MATCH($A$5,PropertyBaseAssessedValuesPerCapitaTable[County]),MATCH(H18,PropertyBaseAssessedValuesPerCapitaTable[#Headers]))</f>
        <v>10323.474491392801</v>
      </c>
      <c r="I21" s="171">
        <f>INDEX(PropertyBaseAssessedValuesPerCapitaTable[],MATCH($A$5,PropertyBaseAssessedValuesPerCapitaTable[County]),MATCH(I18,PropertyBaseAssessedValuesPerCapitaTable[#Headers]))</f>
        <v>10866.923630454967</v>
      </c>
      <c r="J21" s="171">
        <f>INDEX(PropertyBaseAssessedValuesPerCapitaTable[],MATCH($A$5,PropertyBaseAssessedValuesPerCapitaTable[County]),MATCH(J18,PropertyBaseAssessedValuesPerCapitaTable[#Headers]))</f>
        <v>11174.410860755299</v>
      </c>
      <c r="K21" s="171">
        <f>INDEX(PropertyBaseAssessedValuesPerCapitaTable[],MATCH($A$5,PropertyBaseAssessedValuesPerCapitaTable[County]),MATCH(K18,PropertyBaseAssessedValuesPerCapitaTable[#Headers]))</f>
        <v>12347.040526308076</v>
      </c>
      <c r="L21" s="171">
        <f>INDEX(PropertyBaseAssessedValuesPerCapitaTable[],MATCH($A$5,PropertyBaseAssessedValuesPerCapitaTable[County]),MATCH(L18,PropertyBaseAssessedValuesPerCapitaTable[#Headers]))</f>
        <v>12700.198362713789</v>
      </c>
      <c r="M21" s="171">
        <f>INDEX(PropertyBaseAssessedValuesPerCapitaTable[],MATCH($A$5,PropertyBaseAssessedValuesPerCapitaTable[County]),MATCH(M18,PropertyBaseAssessedValuesPerCapitaTable[#Headers]))</f>
        <v>13729.57801719674</v>
      </c>
      <c r="N21" s="171">
        <f>INDEX(PropertyBaseAssessedValuesPerCapitaTable[],MATCH($A$5,PropertyBaseAssessedValuesPerCapitaTable[County]),MATCH(N18,PropertyBaseAssessedValuesPerCapitaTable[#Headers]))</f>
        <v>14304.374573788476</v>
      </c>
      <c r="O21" s="171">
        <f>INDEX(PropertyBaseAssessedValuesPerCapitaTable[],MATCH($A$5,PropertyBaseAssessedValuesPerCapitaTable[County]),MATCH(O18,PropertyBaseAssessedValuesPerCapitaTable[#Headers]))</f>
        <v>13953.791939084802</v>
      </c>
      <c r="P21" s="171">
        <f>INDEX(PropertyBaseAssessedValuesPerCapitaTable[],MATCH($A$5,PropertyBaseAssessedValuesPerCapitaTable[County]),MATCH(P18,PropertyBaseAssessedValuesPerCapitaTable[#Headers]))</f>
        <v>14230.726993617192</v>
      </c>
      <c r="Q21" s="171">
        <f>INDEX(PropertyBaseAssessedValuesPerCapitaTable[],MATCH($A$5,PropertyBaseAssessedValuesPerCapitaTable[County]),MATCH(Q18,PropertyBaseAssessedValuesPerCapitaTable[#Headers]))</f>
        <v>13367.094315245478</v>
      </c>
      <c r="R21" s="171">
        <f>INDEX(PropertyBaseAssessedValuesPerCapitaTable[],MATCH($A$5,PropertyBaseAssessedValuesPerCapitaTable[County]),MATCH(R18,PropertyBaseAssessedValuesPerCapitaTable[#Headers]))</f>
        <v>14028.920402042637</v>
      </c>
      <c r="S21" s="171">
        <f>INDEX(PropertyBaseAssessedValuesPerCapitaTable[],MATCH($A$5,PropertyBaseAssessedValuesPerCapitaTable[County]),MATCH(S18,PropertyBaseAssessedValuesPerCapitaTable[#Headers]))</f>
        <v>14481.186313645621</v>
      </c>
      <c r="T21" s="171">
        <f>INDEX(PropertyBaseAssessedValuesPerCapitaTable[],MATCH($A$5,PropertyBaseAssessedValuesPerCapitaTable[County]),MATCH(T18,PropertyBaseAssessedValuesPerCapitaTable[#Headers]))</f>
        <v>14428.429890219561</v>
      </c>
      <c r="U21" s="171">
        <f>INDEX(PropertyBaseAssessedValuesPerCapitaTable[],MATCH($A$5,PropertyBaseAssessedValuesPerCapitaTable[County]),MATCH(U18,PropertyBaseAssessedValuesPerCapitaTable[#Headers]))</f>
        <v>15305.856613622969</v>
      </c>
      <c r="V21" s="171">
        <f>INDEX(PropertyBaseAssessedValuesPerCapitaTable[],MATCH($A$5,PropertyBaseAssessedValuesPerCapitaTable[County]),MATCH(V18,PropertyBaseAssessedValuesPerCapitaTable[#Headers]))</f>
        <v>15448.673496808868</v>
      </c>
      <c r="W21" s="171">
        <f>INDEX(PropertyBaseAssessedValuesPerCapitaTable[],MATCH($A$5,PropertyBaseAssessedValuesPerCapitaTable[County]),MATCH(W18,PropertyBaseAssessedValuesPerCapitaTable[#Headers]))</f>
        <v>15539.24135021097</v>
      </c>
      <c r="X21" s="171"/>
    </row>
    <row r="22" spans="1:24" ht="16">
      <c r="A22" s="155" t="str">
        <f>CONCATENATE($A$5," County Taxable Sales")</f>
        <v>Barton County Taxable Sales</v>
      </c>
      <c r="B22" s="178">
        <f>INDEX(SalesBaseTaxableSalesPerCapitaTable[],MATCH($A$5,SalesBaseTaxableSalesPerCapitaTable[County]),MATCH(B18,SalesBaseTaxableSalesPerCapitaTable[#Headers],0))</f>
        <v>5122.076776028357</v>
      </c>
      <c r="C22" s="178">
        <f>INDEX(SalesBaseTaxableSalesPerCapitaTable[],MATCH($A$5,SalesBaseTaxableSalesPerCapitaTable[County]),MATCH(C18,SalesBaseTaxableSalesPerCapitaTable[#Headers]))</f>
        <v>5395.3507542220032</v>
      </c>
      <c r="D22" s="178">
        <f>INDEX(SalesBaseTaxableSalesPerCapitaTable[],MATCH($A$5,SalesBaseTaxableSalesPerCapitaTable[County]),MATCH(D18,SalesBaseTaxableSalesPerCapitaTable[#Headers]))</f>
        <v>5636.1952344443553</v>
      </c>
      <c r="E22" s="178">
        <f>INDEX(SalesBaseTaxableSalesPerCapitaTable[],MATCH($A$5,SalesBaseTaxableSalesPerCapitaTable[County]),MATCH(E18,SalesBaseTaxableSalesPerCapitaTable[#Headers]))</f>
        <v>5588.7022866976149</v>
      </c>
      <c r="F22" s="178">
        <f>INDEX(SalesBaseTaxableSalesPerCapitaTable[],MATCH($A$5,SalesBaseTaxableSalesPerCapitaTable[County]),MATCH(F18,SalesBaseTaxableSalesPerCapitaTable[#Headers]))</f>
        <v>5658.1293972253234</v>
      </c>
      <c r="G22" s="178">
        <f>INDEX(SalesBaseTaxableSalesPerCapitaTable[],MATCH($A$5,SalesBaseTaxableSalesPerCapitaTable[County]),MATCH(G18,SalesBaseTaxableSalesPerCapitaTable[#Headers]))</f>
        <v>5631.2467202775151</v>
      </c>
      <c r="H22" s="178">
        <f>INDEX(SalesBaseTaxableSalesPerCapitaTable[],MATCH($A$5,SalesBaseTaxableSalesPerCapitaTable[County]),MATCH(H18,SalesBaseTaxableSalesPerCapitaTable[#Headers]))</f>
        <v>5806.5845539906095</v>
      </c>
      <c r="I22" s="178">
        <f>INDEX(SalesBaseTaxableSalesPerCapitaTable[],MATCH($A$5,SalesBaseTaxableSalesPerCapitaTable[County]),MATCH(I18,SalesBaseTaxableSalesPerCapitaTable[#Headers]))</f>
        <v>5801.9809076137417</v>
      </c>
      <c r="J22" s="178">
        <f>INDEX(SalesBaseTaxableSalesPerCapitaTable[],MATCH($A$5,SalesBaseTaxableSalesPerCapitaTable[County]),MATCH(J18,SalesBaseTaxableSalesPerCapitaTable[#Headers]))</f>
        <v>6462.1548682482035</v>
      </c>
      <c r="K22" s="178">
        <f>INDEX(SalesBaseTaxableSalesPerCapitaTable[],MATCH($A$5,SalesBaseTaxableSalesPerCapitaTable[County]),MATCH(K18,SalesBaseTaxableSalesPerCapitaTable[#Headers]))</f>
        <v>6889.689269420468</v>
      </c>
      <c r="L22" s="178">
        <f>INDEX(SalesBaseTaxableSalesPerCapitaTable[],MATCH($A$5,SalesBaseTaxableSalesPerCapitaTable[County]),MATCH(L18,SalesBaseTaxableSalesPerCapitaTable[#Headers]))</f>
        <v>6936.9601125501076</v>
      </c>
      <c r="M22" s="178">
        <f>INDEX(SalesBaseTaxableSalesPerCapitaTable[],MATCH($A$5,SalesBaseTaxableSalesPerCapitaTable[County]),MATCH(M18,SalesBaseTaxableSalesPerCapitaTable[#Headers]))</f>
        <v>7235.3141240504347</v>
      </c>
      <c r="N22" s="178">
        <f>INDEX(SalesBaseTaxableSalesPerCapitaTable[],MATCH($A$5,SalesBaseTaxableSalesPerCapitaTable[County]),MATCH(N18,SalesBaseTaxableSalesPerCapitaTable[#Headers]))</f>
        <v>7240.1016689173084</v>
      </c>
      <c r="O22" s="178">
        <f>INDEX(SalesBaseTaxableSalesPerCapitaTable[],MATCH($A$5,SalesBaseTaxableSalesPerCapitaTable[County]),MATCH(O18,SalesBaseTaxableSalesPerCapitaTable[#Headers]))</f>
        <v>7042.2802802312508</v>
      </c>
      <c r="P22" s="178">
        <f>INDEX(SalesBaseTaxableSalesPerCapitaTable[],MATCH($A$5,SalesBaseTaxableSalesPerCapitaTable[County]),MATCH(P18,SalesBaseTaxableSalesPerCapitaTable[#Headers]))</f>
        <v>6989.0547677143086</v>
      </c>
      <c r="Q22" s="178">
        <f>INDEX(SalesBaseTaxableSalesPerCapitaTable[],MATCH($A$5,SalesBaseTaxableSalesPerCapitaTable[County]),MATCH(Q18,SalesBaseTaxableSalesPerCapitaTable[#Headers]))</f>
        <v>7387.2692805232555</v>
      </c>
      <c r="R22" s="178">
        <f>INDEX(SalesBaseTaxableSalesPerCapitaTable[],MATCH($A$5,SalesBaseTaxableSalesPerCapitaTable[County]),MATCH(R18,SalesBaseTaxableSalesPerCapitaTable[#Headers]))</f>
        <v>7501.3293685661019</v>
      </c>
      <c r="S22" s="178">
        <f>INDEX(SalesBaseTaxableSalesPerCapitaTable[],MATCH($A$5,SalesBaseTaxableSalesPerCapitaTable[County]),MATCH(S18,SalesBaseTaxableSalesPerCapitaTable[#Headers]))</f>
        <v>7577.8671079429732</v>
      </c>
      <c r="T22" s="178">
        <f>INDEX(SalesBaseTaxableSalesPerCapitaTable[],MATCH($A$5,SalesBaseTaxableSalesPerCapitaTable[County]),MATCH(T18,SalesBaseTaxableSalesPerCapitaTable[#Headers]))</f>
        <v>7643.911334830339</v>
      </c>
      <c r="U22" s="178">
        <f>INDEX(SalesBaseTaxableSalesPerCapitaTable[],MATCH($A$5,SalesBaseTaxableSalesPerCapitaTable[County]),MATCH(U18,SalesBaseTaxableSalesPerCapitaTable[#Headers]))</f>
        <v>7881.6230150711453</v>
      </c>
      <c r="V22" s="178">
        <f>INDEX(SalesBaseTaxableSalesPerCapitaTable[],MATCH($A$5,SalesBaseTaxableSalesPerCapitaTable[County]),MATCH(V18,SalesBaseTaxableSalesPerCapitaTable[#Headers]))</f>
        <v>8036.9444356734975</v>
      </c>
      <c r="W22" s="178">
        <f>INDEX(SalesBaseTaxableSalesPerCapitaTable[],MATCH($A$5,SalesBaseTaxableSalesPerCapitaTable[County]),MATCH(W18,SalesBaseTaxableSalesPerCapitaTable[#Headers]))</f>
        <v>7637.2125156118145</v>
      </c>
      <c r="X22" s="178"/>
    </row>
    <row r="23" spans="1:24" ht="16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</row>
    <row r="24" spans="1:24" ht="16">
      <c r="A24" s="170"/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</row>
    <row r="25" spans="1:24" ht="16">
      <c r="A25" s="154" t="str">
        <f>CONCATENATE($A$3," County and ", $A$5," County Cumulative Growth Rates: General Revenue Property Tax Receipts and Property Assessed Values")</f>
        <v>Bollinger County and Barton County Cumulative Growth Rates: General Revenue Property Tax Receipts and Property Assessed Values</v>
      </c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</row>
    <row r="26" spans="1:24" ht="16">
      <c r="A26" s="303" t="s">
        <v>435</v>
      </c>
      <c r="B26" s="302" t="s">
        <v>409</v>
      </c>
      <c r="C26" s="302" t="s">
        <v>410</v>
      </c>
      <c r="D26" s="302" t="s">
        <v>411</v>
      </c>
      <c r="E26" s="302" t="s">
        <v>412</v>
      </c>
      <c r="F26" s="302" t="s">
        <v>413</v>
      </c>
      <c r="G26" s="302" t="s">
        <v>414</v>
      </c>
      <c r="H26" s="302" t="s">
        <v>415</v>
      </c>
      <c r="I26" s="302" t="s">
        <v>416</v>
      </c>
      <c r="J26" s="302" t="s">
        <v>417</v>
      </c>
      <c r="K26" s="302" t="s">
        <v>418</v>
      </c>
      <c r="L26" s="302" t="s">
        <v>419</v>
      </c>
      <c r="M26" s="302" t="s">
        <v>420</v>
      </c>
      <c r="N26" s="302" t="s">
        <v>421</v>
      </c>
      <c r="O26" s="302" t="s">
        <v>422</v>
      </c>
      <c r="P26" s="302" t="s">
        <v>423</v>
      </c>
      <c r="Q26" s="302" t="s">
        <v>355</v>
      </c>
      <c r="R26" s="302" t="s">
        <v>399</v>
      </c>
      <c r="S26" s="302" t="s">
        <v>424</v>
      </c>
      <c r="T26" s="302" t="s">
        <v>446</v>
      </c>
      <c r="U26" s="302" t="s">
        <v>523</v>
      </c>
      <c r="V26" s="302" t="s">
        <v>524</v>
      </c>
      <c r="W26" s="302" t="s">
        <v>525</v>
      </c>
      <c r="X26" s="302"/>
    </row>
    <row r="27" spans="1:24" ht="16">
      <c r="A27" s="155" t="str">
        <f>CONCATENATE($A$3," County Property Tax Receipts")</f>
        <v>Bollinger County Property Tax Receipts</v>
      </c>
      <c r="B27" s="179"/>
      <c r="C27" s="179">
        <f>INDEX('3-AGF Receipts &amp; Balances'!$A$115:$S$203,MATCH($A$3,'3-AGF Receipts &amp; Balances'!$A$115:$A$203),MATCH(C26,'3-AGF Receipts &amp; Balances'!$A$114:$S$114))</f>
        <v>-6.1018366787305947E-2</v>
      </c>
      <c r="D27" s="179">
        <f>INDEX('3-AGF Receipts &amp; Balances'!$A$115:$S$203,MATCH($A$3,'3-AGF Receipts &amp; Balances'!$A$115:$A$203),MATCH(D26,'3-AGF Receipts &amp; Balances'!$A$114:$S$114))</f>
        <v>0.10410487330235206</v>
      </c>
      <c r="E27" s="179">
        <f>INDEX('3-AGF Receipts &amp; Balances'!$A$115:$S$203,MATCH($A$3,'3-AGF Receipts &amp; Balances'!$A$115:$A$203),MATCH(E26,'3-AGF Receipts &amp; Balances'!$A$114:$S$114))</f>
        <v>0.19851111386361575</v>
      </c>
      <c r="F27" s="179">
        <f>INDEX('3-AGF Receipts &amp; Balances'!$A$115:$S$203,MATCH($A$3,'3-AGF Receipts &amp; Balances'!$A$115:$A$203),MATCH(F26,'3-AGF Receipts &amp; Balances'!$A$114:$S$114))</f>
        <v>0.3559801183783125</v>
      </c>
      <c r="G27" s="179">
        <f>INDEX('3-AGF Receipts &amp; Balances'!$A$115:$S$203,MATCH($A$3,'3-AGF Receipts &amp; Balances'!$A$115:$A$203),MATCH(G26,'3-AGF Receipts &amp; Balances'!$A$114:$S$114))</f>
        <v>0.29838884083044986</v>
      </c>
      <c r="H27" s="179">
        <f>INDEX('3-AGF Receipts &amp; Balances'!$A$115:$S$203,MATCH($A$3,'3-AGF Receipts &amp; Balances'!$A$115:$A$203),MATCH(H26,'3-AGF Receipts &amp; Balances'!$A$114:$S$114))</f>
        <v>0.44224014993349819</v>
      </c>
      <c r="I27" s="179">
        <f>INDEX('3-AGF Receipts &amp; Balances'!$A$115:$S$203,MATCH($A$3,'3-AGF Receipts &amp; Balances'!$A$115:$A$203),MATCH(I26,'3-AGF Receipts &amp; Balances'!$A$114:$S$114))</f>
        <v>0.57521455737956828</v>
      </c>
      <c r="J27" s="179">
        <f>INDEX('3-AGF Receipts &amp; Balances'!$A$115:$S$203,MATCH($A$3,'3-AGF Receipts &amp; Balances'!$A$115:$A$203),MATCH(J26,'3-AGF Receipts &amp; Balances'!$A$114:$S$114))</f>
        <v>-8.7549412612536195E-2</v>
      </c>
      <c r="K27" s="179">
        <f>INDEX('3-AGF Receipts &amp; Balances'!$A$115:$S$203,MATCH($A$3,'3-AGF Receipts &amp; Balances'!$A$115:$A$203),MATCH(K26,'3-AGF Receipts &amp; Balances'!$A$114:$S$114))</f>
        <v>-0.18968192121006591</v>
      </c>
      <c r="L27" s="179">
        <f>INDEX('3-AGF Receipts &amp; Balances'!$A$115:$S$203,MATCH($A$3,'3-AGF Receipts &amp; Balances'!$A$115:$A$203),MATCH(L26,'3-AGF Receipts &amp; Balances'!$A$114:$S$114))</f>
        <v>-0.50454160528728198</v>
      </c>
      <c r="M27" s="179">
        <f>INDEX('3-AGF Receipts &amp; Balances'!$A$115:$S$203,MATCH($A$3,'3-AGF Receipts &amp; Balances'!$A$115:$A$203),MATCH(M26,'3-AGF Receipts &amp; Balances'!$A$114:$S$114))</f>
        <v>-0.47276634789128702</v>
      </c>
      <c r="N27" s="179">
        <f>INDEX('3-AGF Receipts &amp; Balances'!$A$115:$S$203,MATCH($A$3,'3-AGF Receipts &amp; Balances'!$A$115:$A$203),MATCH(N26,'3-AGF Receipts &amp; Balances'!$A$114:$S$114))</f>
        <v>0.32773089136113864</v>
      </c>
      <c r="O27" s="179">
        <f>INDEX('3-AGF Receipts &amp; Balances'!$A$115:$S$203,MATCH($A$3,'3-AGF Receipts &amp; Balances'!$A$115:$A$203),MATCH(O26,'3-AGF Receipts &amp; Balances'!$A$114:$S$114))</f>
        <v>0.87551201004678969</v>
      </c>
      <c r="P27" s="179">
        <f>INDEX('3-AGF Receipts &amp; Balances'!$A$115:$S$203,MATCH($A$3,'3-AGF Receipts &amp; Balances'!$A$115:$A$203),MATCH(P26,'3-AGF Receipts &amp; Balances'!$A$114:$S$114))</f>
        <v>1.0183254721355255</v>
      </c>
      <c r="Q27" s="179">
        <f>INDEX('3-AGF Receipts &amp; Balances'!$A$115:$S$203,MATCH($A$3,'3-AGF Receipts &amp; Balances'!$A$115:$A$203),MATCH(Q26,'3-AGF Receipts &amp; Balances'!$A$114:$S$114))</f>
        <v>0.9957115018784739</v>
      </c>
      <c r="R27" s="179">
        <f>INDEX('3-AGF Receipts &amp; Balances'!$A$115:$S$203,MATCH($A$3,'3-AGF Receipts &amp; Balances'!$A$115:$A$203),MATCH(R26,'3-AGF Receipts &amp; Balances'!$A$114:$S$114))</f>
        <v>-1</v>
      </c>
      <c r="S27" s="179">
        <f>INDEX('3-AGF Receipts &amp; Balances'!$A$115:$S$203,MATCH($A$3,'3-AGF Receipts &amp; Balances'!$A$115:$A$203),MATCH(S26,'3-AGF Receipts &amp; Balances'!$A$114:$S$114))</f>
        <v>1.1312432272927186</v>
      </c>
      <c r="T27" s="179">
        <f>INDEX('3-AGF Receipts &amp; Balances'!$A$115:$S$203,MATCH($A$3,'3-AGF Receipts &amp; Balances'!$A$115:$A$203),MATCH(T26,'3-AGF Receipts &amp; Balances'!$A$114:$S$114))</f>
        <v>1.1312432272927186</v>
      </c>
      <c r="U27" s="179">
        <f>INDEX('3-AGF Receipts &amp; Balances'!$A$115:$S$203,MATCH($A$3,'3-AGF Receipts &amp; Balances'!$A$115:$A$203),MATCH(U26,'3-AGF Receipts &amp; Balances'!$A$114:$S$114))</f>
        <v>1.1312432272927186</v>
      </c>
      <c r="V27" s="179">
        <f>INDEX('3-AGF Receipts &amp; Balances'!$A$115:$S$203,MATCH($A$3,'3-AGF Receipts &amp; Balances'!$A$115:$A$203),MATCH(V26,'3-AGF Receipts &amp; Balances'!$A$114:$S$114))</f>
        <v>1.1312432272927186</v>
      </c>
      <c r="W27" s="179">
        <f>INDEX('3-AGF Receipts &amp; Balances'!$A$115:$S$203,MATCH($A$3,'3-AGF Receipts &amp; Balances'!$A$115:$A$203),MATCH(W26,'3-AGF Receipts &amp; Balances'!$A$114:$S$114))</f>
        <v>1.1312432272927186</v>
      </c>
      <c r="X27" s="179"/>
    </row>
    <row r="28" spans="1:24" ht="16">
      <c r="A28" s="155" t="str">
        <f>CONCATENATE($A$3," County Property Assessed Values")</f>
        <v>Bollinger County Property Assessed Values</v>
      </c>
      <c r="B28" s="179"/>
      <c r="C28" s="179">
        <f>INDEX(PropertyBaseAssessedValuesCGRTable[],MATCH($A$3,PropertyBaseAssessedValuesCGRTable[County]),MATCH(C26,PropertyBaseAssessedValuesCGRTable[#Headers]))</f>
        <v>0.16959618821407296</v>
      </c>
      <c r="D28" s="179">
        <f>INDEX(PropertyBaseAssessedValuesCGRTable[],MATCH($A$3,PropertyBaseAssessedValuesCGRTable[County]),MATCH(D26,PropertyBaseAssessedValuesCGRTable[#Headers]))</f>
        <v>0.19574120096716863</v>
      </c>
      <c r="E28" s="179">
        <f>INDEX(PropertyBaseAssessedValuesCGRTable[],MATCH($A$3,PropertyBaseAssessedValuesCGRTable[County]),MATCH(E26,PropertyBaseAssessedValuesCGRTable[#Headers]))</f>
        <v>0.25001508720819032</v>
      </c>
      <c r="F28" s="179">
        <f>INDEX(PropertyBaseAssessedValuesCGRTable[],MATCH($A$3,PropertyBaseAssessedValuesCGRTable[County]),MATCH(F26,PropertyBaseAssessedValuesCGRTable[#Headers]))</f>
        <v>0.32337717274448619</v>
      </c>
      <c r="G28" s="179">
        <f>INDEX(PropertyBaseAssessedValuesCGRTable[],MATCH($A$3,PropertyBaseAssessedValuesCGRTable[County]),MATCH(G26,PropertyBaseAssessedValuesCGRTable[#Headers]))</f>
        <v>0.39808501185468853</v>
      </c>
      <c r="H28" s="179">
        <f>INDEX(PropertyBaseAssessedValuesCGRTable[],MATCH($A$3,PropertyBaseAssessedValuesCGRTable[County]),MATCH(H26,PropertyBaseAssessedValuesCGRTable[#Headers]))</f>
        <v>0.4281646351713061</v>
      </c>
      <c r="I28" s="179">
        <f>INDEX(PropertyBaseAssessedValuesCGRTable[],MATCH($A$3,PropertyBaseAssessedValuesCGRTable[County]),MATCH(I26,PropertyBaseAssessedValuesCGRTable[#Headers]))</f>
        <v>0.52291601686910194</v>
      </c>
      <c r="J28" s="179">
        <f>INDEX(PropertyBaseAssessedValuesCGRTable[],MATCH($A$3,PropertyBaseAssessedValuesCGRTable[County]),MATCH(J26,PropertyBaseAssessedValuesCGRTable[#Headers]))</f>
        <v>0.54516807956239455</v>
      </c>
      <c r="K28" s="179">
        <f>INDEX(PropertyBaseAssessedValuesCGRTable[],MATCH($A$3,PropertyBaseAssessedValuesCGRTable[County]),MATCH(K26,PropertyBaseAssessedValuesCGRTable[#Headers]))</f>
        <v>0.59626688779855641</v>
      </c>
      <c r="L28" s="179">
        <f>INDEX(PropertyBaseAssessedValuesCGRTable[],MATCH($A$3,PropertyBaseAssessedValuesCGRTable[County]),MATCH(L26,PropertyBaseAssessedValuesCGRTable[#Headers]))</f>
        <v>0.6409023185513103</v>
      </c>
      <c r="M28" s="179">
        <f>INDEX(PropertyBaseAssessedValuesCGRTable[],MATCH($A$3,PropertyBaseAssessedValuesCGRTable[County]),MATCH(M26,PropertyBaseAssessedValuesCGRTable[#Headers]))</f>
        <v>0.7387270015807601</v>
      </c>
      <c r="N28" s="179">
        <f>INDEX(PropertyBaseAssessedValuesCGRTable[],MATCH($A$3,PropertyBaseAssessedValuesCGRTable[County]),MATCH(N26,PropertyBaseAssessedValuesCGRTable[#Headers]))</f>
        <v>0.71939813066175562</v>
      </c>
      <c r="O28" s="179">
        <f>INDEX(PropertyBaseAssessedValuesCGRTable[],MATCH($A$3,PropertyBaseAssessedValuesCGRTable[County]),MATCH(O26,PropertyBaseAssessedValuesCGRTable[#Headers]))</f>
        <v>0.7291157174770575</v>
      </c>
      <c r="P28" s="179">
        <f>INDEX(PropertyBaseAssessedValuesCGRTable[],MATCH($A$3,PropertyBaseAssessedValuesCGRTable[County]),MATCH(P26,PropertyBaseAssessedValuesCGRTable[#Headers]))</f>
        <v>0.75029448230399842</v>
      </c>
      <c r="Q28" s="179">
        <f>INDEX(PropertyBaseAssessedValuesCGRTable[],MATCH($A$3,PropertyBaseAssessedValuesCGRTable[County]),MATCH(Q26,PropertyBaseAssessedValuesCGRTable[#Headers]))</f>
        <v>0.80817201290341223</v>
      </c>
      <c r="R28" s="179">
        <f>INDEX(PropertyBaseAssessedValuesCGRTable[],MATCH($A$3,PropertyBaseAssessedValuesCGRTable[County]),MATCH(R26,PropertyBaseAssessedValuesCGRTable[#Headers]))</f>
        <v>0.87956730109131065</v>
      </c>
      <c r="S28" s="179">
        <f>INDEX(PropertyBaseAssessedValuesCGRTable[],MATCH($A$3,PropertyBaseAssessedValuesCGRTable[County]),MATCH(S26,PropertyBaseAssessedValuesCGRTable[#Headers]))</f>
        <v>0.93712956380111301</v>
      </c>
      <c r="T28" s="179">
        <f>INDEX(PropertyBaseAssessedValuesCGRTable[],MATCH($A$3,PropertyBaseAssessedValuesCGRTable[County]),MATCH(T26,PropertyBaseAssessedValuesCGRTable[#Headers]))</f>
        <v>0.93491352990037047</v>
      </c>
      <c r="U28" s="179">
        <f>INDEX(PropertyBaseAssessedValuesCGRTable[],MATCH($A$3,PropertyBaseAssessedValuesCGRTable[County]),MATCH(U26,PropertyBaseAssessedValuesCGRTable[#Headers]))</f>
        <v>0.98219214198515281</v>
      </c>
      <c r="V28" s="179">
        <f>INDEX(PropertyBaseAssessedValuesCGRTable[],MATCH($A$3,PropertyBaseAssessedValuesCGRTable[County]),MATCH(V26,PropertyBaseAssessedValuesCGRTable[#Headers]))</f>
        <v>1.0367437090468805</v>
      </c>
      <c r="W28" s="179">
        <f>INDEX(PropertyBaseAssessedValuesCGRTable[],MATCH($A$3,PropertyBaseAssessedValuesCGRTable[County]),MATCH(W26,PropertyBaseAssessedValuesCGRTable[#Headers]))</f>
        <v>1.1772834898323645</v>
      </c>
      <c r="X28" s="179"/>
    </row>
    <row r="29" spans="1:24" ht="16">
      <c r="A29" s="155" t="str">
        <f>CONCATENATE($A$5," County Property Tax Receipts")</f>
        <v>Barton County Property Tax Receipts</v>
      </c>
      <c r="B29" s="179"/>
      <c r="C29" s="179">
        <f>INDEX('3-AGF Receipts &amp; Balances'!$A$115:$S$203,MATCH($A$5,'3-AGF Receipts &amp; Balances'!$A$115:$A$203),MATCH(C26,'3-AGF Receipts &amp; Balances'!$A$114:$S$114))</f>
        <v>4.1879811351358057E-2</v>
      </c>
      <c r="D29" s="179">
        <f>INDEX('3-AGF Receipts &amp; Balances'!$A$115:$S$203,MATCH($A$5,'3-AGF Receipts &amp; Balances'!$A$115:$A$203),MATCH(D26,'3-AGF Receipts &amp; Balances'!$A$114:$S$114))</f>
        <v>9.3143707345069743E-2</v>
      </c>
      <c r="E29" s="179">
        <f>INDEX('3-AGF Receipts &amp; Balances'!$A$115:$S$203,MATCH($A$5,'3-AGF Receipts &amp; Balances'!$A$115:$A$203),MATCH(E26,'3-AGF Receipts &amp; Balances'!$A$114:$S$114))</f>
        <v>0.13164855456711871</v>
      </c>
      <c r="F29" s="179">
        <f>INDEX('3-AGF Receipts &amp; Balances'!$A$115:$S$203,MATCH($A$5,'3-AGF Receipts &amp; Balances'!$A$115:$A$203),MATCH(F26,'3-AGF Receipts &amp; Balances'!$A$114:$S$114))</f>
        <v>0.18981365955907117</v>
      </c>
      <c r="G29" s="179">
        <f>INDEX('3-AGF Receipts &amp; Balances'!$A$115:$S$203,MATCH($A$5,'3-AGF Receipts &amp; Balances'!$A$115:$A$203),MATCH(G26,'3-AGF Receipts &amp; Balances'!$A$114:$S$114))</f>
        <v>0.60923327178130726</v>
      </c>
      <c r="H29" s="179">
        <f>INDEX('3-AGF Receipts &amp; Balances'!$A$115:$S$203,MATCH($A$5,'3-AGF Receipts &amp; Balances'!$A$115:$A$203),MATCH(H26,'3-AGF Receipts &amp; Balances'!$A$114:$S$114))</f>
        <v>0.63788732548129112</v>
      </c>
      <c r="I29" s="179">
        <f>INDEX('3-AGF Receipts &amp; Balances'!$A$115:$S$203,MATCH($A$5,'3-AGF Receipts &amp; Balances'!$A$115:$A$203),MATCH(I26,'3-AGF Receipts &amp; Balances'!$A$114:$S$114))</f>
        <v>0.63589650213976456</v>
      </c>
      <c r="J29" s="179">
        <f>INDEX('3-AGF Receipts &amp; Balances'!$A$115:$S$203,MATCH($A$5,'3-AGF Receipts &amp; Balances'!$A$115:$A$203),MATCH(J26,'3-AGF Receipts &amp; Balances'!$A$114:$S$114))</f>
        <v>0.67065169247276957</v>
      </c>
      <c r="K29" s="179">
        <f>INDEX('3-AGF Receipts &amp; Balances'!$A$115:$S$203,MATCH($A$5,'3-AGF Receipts &amp; Balances'!$A$115:$A$203),MATCH(K26,'3-AGF Receipts &amp; Balances'!$A$114:$S$114))</f>
        <v>0.70952889306167255</v>
      </c>
      <c r="L29" s="179">
        <f>INDEX('3-AGF Receipts &amp; Balances'!$A$115:$S$203,MATCH($A$5,'3-AGF Receipts &amp; Balances'!$A$115:$A$203),MATCH(L26,'3-AGF Receipts &amp; Balances'!$A$114:$S$114))</f>
        <v>0.92099909231556243</v>
      </c>
      <c r="M29" s="179">
        <f>INDEX('3-AGF Receipts &amp; Balances'!$A$115:$S$203,MATCH($A$5,'3-AGF Receipts &amp; Balances'!$A$115:$A$203),MATCH(M26,'3-AGF Receipts &amp; Balances'!$A$114:$S$114))</f>
        <v>1.0311813778088312</v>
      </c>
      <c r="N29" s="179">
        <f>INDEX('3-AGF Receipts &amp; Balances'!$A$115:$S$203,MATCH($A$5,'3-AGF Receipts &amp; Balances'!$A$115:$A$203),MATCH(N26,'3-AGF Receipts &amp; Balances'!$A$114:$S$114))</f>
        <v>1.040218647456612</v>
      </c>
      <c r="O29" s="179">
        <f>INDEX('3-AGF Receipts &amp; Balances'!$A$115:$S$203,MATCH($A$5,'3-AGF Receipts &amp; Balances'!$A$115:$A$203),MATCH(O26,'3-AGF Receipts &amp; Balances'!$A$114:$S$114))</f>
        <v>1.1062600983792685</v>
      </c>
      <c r="P29" s="179">
        <f>INDEX('3-AGF Receipts &amp; Balances'!$A$115:$S$203,MATCH($A$5,'3-AGF Receipts &amp; Balances'!$A$115:$A$203),MATCH(P26,'3-AGF Receipts &amp; Balances'!$A$114:$S$114))</f>
        <v>1.1223180810116158</v>
      </c>
      <c r="Q29" s="179">
        <f>INDEX('3-AGF Receipts &amp; Balances'!$A$115:$S$203,MATCH($A$5,'3-AGF Receipts &amp; Balances'!$A$115:$A$203),MATCH(Q26,'3-AGF Receipts &amp; Balances'!$A$114:$S$114))</f>
        <v>0.71467984628629166</v>
      </c>
      <c r="R29" s="179">
        <f>INDEX('3-AGF Receipts &amp; Balances'!$A$115:$S$203,MATCH($A$5,'3-AGF Receipts &amp; Balances'!$A$115:$A$203),MATCH(R26,'3-AGF Receipts &amp; Balances'!$A$114:$S$114))</f>
        <v>-0.14850017623426359</v>
      </c>
      <c r="S29" s="179">
        <f>INDEX('3-AGF Receipts &amp; Balances'!$A$115:$S$203,MATCH($A$5,'3-AGF Receipts &amp; Balances'!$A$115:$A$203),MATCH(S26,'3-AGF Receipts &amp; Balances'!$A$114:$S$114))</f>
        <v>1.0379437828294804</v>
      </c>
      <c r="T29" s="179">
        <f>INDEX('3-AGF Receipts &amp; Balances'!$A$115:$S$203,MATCH($A$5,'3-AGF Receipts &amp; Balances'!$A$115:$A$203),MATCH(T26,'3-AGF Receipts &amp; Balances'!$A$114:$S$114))</f>
        <v>1.0379437828294804</v>
      </c>
      <c r="U29" s="179">
        <f>INDEX('3-AGF Receipts &amp; Balances'!$A$115:$S$203,MATCH($A$5,'3-AGF Receipts &amp; Balances'!$A$115:$A$203),MATCH(U26,'3-AGF Receipts &amp; Balances'!$A$114:$S$114))</f>
        <v>1.0379437828294804</v>
      </c>
      <c r="V29" s="179">
        <f>INDEX('3-AGF Receipts &amp; Balances'!$A$115:$S$203,MATCH($A$5,'3-AGF Receipts &amp; Balances'!$A$115:$A$203),MATCH(V26,'3-AGF Receipts &amp; Balances'!$A$114:$S$114))</f>
        <v>1.0379437828294804</v>
      </c>
      <c r="W29" s="179">
        <f>INDEX('3-AGF Receipts &amp; Balances'!$A$115:$S$203,MATCH($A$5,'3-AGF Receipts &amp; Balances'!$A$115:$A$203),MATCH(W26,'3-AGF Receipts &amp; Balances'!$A$114:$S$114))</f>
        <v>1.0379437828294804</v>
      </c>
      <c r="X29" s="179"/>
    </row>
    <row r="30" spans="1:24" ht="16">
      <c r="A30" s="155" t="str">
        <f>CONCATENATE($A$5," County Property Assessed Values")</f>
        <v>Barton County Property Assessed Values</v>
      </c>
      <c r="B30" s="179"/>
      <c r="C30" s="179">
        <f>INDEX(PropertyBaseAssessedValuesCGRTable[],MATCH($A$5,PropertyBaseAssessedValuesCGRTable[County]),MATCH(C26,PropertyBaseAssessedValuesCGRTable[#Headers]))</f>
        <v>5.9951856832601985E-2</v>
      </c>
      <c r="D30" s="179">
        <f>INDEX(PropertyBaseAssessedValuesCGRTable[],MATCH($A$5,PropertyBaseAssessedValuesCGRTable[County]),MATCH(D26,PropertyBaseAssessedValuesCGRTable[#Headers]))</f>
        <v>0.12606040123930159</v>
      </c>
      <c r="E30" s="179">
        <f>INDEX(PropertyBaseAssessedValuesCGRTable[],MATCH($A$5,PropertyBaseAssessedValuesCGRTable[County]),MATCH(E26,PropertyBaseAssessedValuesCGRTable[#Headers]))</f>
        <v>0.23584108683454857</v>
      </c>
      <c r="F30" s="179">
        <f>INDEX(PropertyBaseAssessedValuesCGRTable[],MATCH($A$5,PropertyBaseAssessedValuesCGRTable[County]),MATCH(F26,PropertyBaseAssessedValuesCGRTable[#Headers]))</f>
        <v>0.29363616842868889</v>
      </c>
      <c r="G30" s="179">
        <f>INDEX(PropertyBaseAssessedValuesCGRTable[],MATCH($A$5,PropertyBaseAssessedValuesCGRTable[County]),MATCH(G26,PropertyBaseAssessedValuesCGRTable[#Headers]))</f>
        <v>0.33238087260434862</v>
      </c>
      <c r="H30" s="179">
        <f>INDEX(PropertyBaseAssessedValuesCGRTable[],MATCH($A$5,PropertyBaseAssessedValuesCGRTable[County]),MATCH(H26,PropertyBaseAssessedValuesCGRTable[#Headers]))</f>
        <v>0.35368803281700689</v>
      </c>
      <c r="I30" s="179">
        <f>INDEX(PropertyBaseAssessedValuesCGRTable[],MATCH($A$5,PropertyBaseAssessedValuesCGRTable[County]),MATCH(I26,PropertyBaseAssessedValuesCGRTable[#Headers]))</f>
        <v>0.44100474565452957</v>
      </c>
      <c r="J30" s="179">
        <f>INDEX(PropertyBaseAssessedValuesCGRTable[],MATCH($A$5,PropertyBaseAssessedValuesCGRTable[County]),MATCH(J26,PropertyBaseAssessedValuesCGRTable[#Headers]))</f>
        <v>0.48372809195345723</v>
      </c>
      <c r="K30" s="179">
        <f>INDEX(PropertyBaseAssessedValuesCGRTable[],MATCH($A$5,PropertyBaseAssessedValuesCGRTable[County]),MATCH(K26,PropertyBaseAssessedValuesCGRTable[#Headers]))</f>
        <v>0.64386276059036196</v>
      </c>
      <c r="L30" s="179">
        <f>INDEX(PropertyBaseAssessedValuesCGRTable[],MATCH($A$5,PropertyBaseAssessedValuesCGRTable[County]),MATCH(L26,PropertyBaseAssessedValuesCGRTable[#Headers]))</f>
        <v>0.69036032599326858</v>
      </c>
      <c r="M30" s="179">
        <f>INDEX(PropertyBaseAssessedValuesCGRTable[],MATCH($A$5,PropertyBaseAssessedValuesCGRTable[County]),MATCH(M26,PropertyBaseAssessedValuesCGRTable[#Headers]))</f>
        <v>0.79877118962373617</v>
      </c>
      <c r="N30" s="179">
        <f>INDEX(PropertyBaseAssessedValuesCGRTable[],MATCH($A$5,PropertyBaseAssessedValuesCGRTable[County]),MATCH(N26,PropertyBaseAssessedValuesCGRTable[#Headers]))</f>
        <v>0.84765956370627138</v>
      </c>
      <c r="O30" s="179">
        <f>INDEX(PropertyBaseAssessedValuesCGRTable[],MATCH($A$5,PropertyBaseAssessedValuesCGRTable[County]),MATCH(O26,PropertyBaseAssessedValuesCGRTable[#Headers]))</f>
        <v>0.78304765745677263</v>
      </c>
      <c r="P30" s="179">
        <f>INDEX(PropertyBaseAssessedValuesCGRTable[],MATCH($A$5,PropertyBaseAssessedValuesCGRTable[County]),MATCH(P26,PropertyBaseAssessedValuesCGRTable[#Headers]))</f>
        <v>0.80719212232265092</v>
      </c>
      <c r="Q30" s="179">
        <f>INDEX(PropertyBaseAssessedValuesCGRTable[],MATCH($A$5,PropertyBaseAssessedValuesCGRTable[County]),MATCH(Q26,PropertyBaseAssessedValuesCGRTable[#Headers]))</f>
        <v>0.69847751706612982</v>
      </c>
      <c r="R30" s="179">
        <f>INDEX(PropertyBaseAssessedValuesCGRTable[],MATCH($A$5,PropertyBaseAssessedValuesCGRTable[County]),MATCH(R26,PropertyBaseAssessedValuesCGRTable[#Headers]))</f>
        <v>0.77580658704942063</v>
      </c>
      <c r="S30" s="179">
        <f>INDEX(PropertyBaseAssessedValuesCGRTable[],MATCH($A$5,PropertyBaseAssessedValuesCGRTable[County]),MATCH(S26,PropertyBaseAssessedValuesCGRTable[#Headers]))</f>
        <v>0.82384315975200995</v>
      </c>
      <c r="T30" s="179">
        <f>INDEX(PropertyBaseAssessedValuesCGRTable[],MATCH($A$5,PropertyBaseAssessedValuesCGRTable[County]),MATCH(T26,PropertyBaseAssessedValuesCGRTable[#Headers]))</f>
        <v>0.78004051727063894</v>
      </c>
      <c r="U30" s="179">
        <f>INDEX(PropertyBaseAssessedValuesCGRTable[],MATCH($A$5,PropertyBaseAssessedValuesCGRTable[County]),MATCH(U26,PropertyBaseAssessedValuesCGRTable[#Headers]))</f>
        <v>0.86520359453442242</v>
      </c>
      <c r="V30" s="179">
        <f>INDEX(PropertyBaseAssessedValuesCGRTable[],MATCH($A$5,PropertyBaseAssessedValuesCGRTable[County]),MATCH(V26,PropertyBaseAssessedValuesCGRTable[#Headers]))</f>
        <v>0.88752132663434224</v>
      </c>
      <c r="W30" s="179">
        <f>INDEX(PropertyBaseAssessedValuesCGRTable[],MATCH($A$5,PropertyBaseAssessedValuesCGRTable[County]),MATCH(W26,PropertyBaseAssessedValuesCGRTable[#Headers]))</f>
        <v>0.88933952083955536</v>
      </c>
      <c r="X30" s="179"/>
    </row>
    <row r="31" spans="1:24" ht="16">
      <c r="A31" s="170"/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76"/>
    </row>
    <row r="32" spans="1:24" ht="16">
      <c r="A32" s="170"/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</row>
    <row r="33" spans="1:57" ht="16">
      <c r="A33" s="154" t="str">
        <f>CONCATENATE($A$3," County and ", $A$5," County Cumulative Growth Rates: General Revenue Sales Tax Receipts and Taxable Sales ")</f>
        <v xml:space="preserve">Bollinger County and Barton County Cumulative Growth Rates: General Revenue Sales Tax Receipts and Taxable Sales </v>
      </c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</row>
    <row r="34" spans="1:57" ht="16">
      <c r="A34" s="303" t="s">
        <v>435</v>
      </c>
      <c r="B34" s="302" t="s">
        <v>409</v>
      </c>
      <c r="C34" s="302" t="s">
        <v>410</v>
      </c>
      <c r="D34" s="302" t="s">
        <v>411</v>
      </c>
      <c r="E34" s="302" t="s">
        <v>412</v>
      </c>
      <c r="F34" s="302" t="s">
        <v>413</v>
      </c>
      <c r="G34" s="302" t="s">
        <v>414</v>
      </c>
      <c r="H34" s="302" t="s">
        <v>415</v>
      </c>
      <c r="I34" s="302" t="s">
        <v>416</v>
      </c>
      <c r="J34" s="302" t="s">
        <v>417</v>
      </c>
      <c r="K34" s="302" t="s">
        <v>418</v>
      </c>
      <c r="L34" s="302" t="s">
        <v>419</v>
      </c>
      <c r="M34" s="302" t="s">
        <v>420</v>
      </c>
      <c r="N34" s="302" t="s">
        <v>421</v>
      </c>
      <c r="O34" s="302" t="s">
        <v>422</v>
      </c>
      <c r="P34" s="302" t="s">
        <v>423</v>
      </c>
      <c r="Q34" s="302" t="s">
        <v>355</v>
      </c>
      <c r="R34" s="302" t="s">
        <v>399</v>
      </c>
      <c r="S34" s="302" t="s">
        <v>424</v>
      </c>
      <c r="T34" s="302" t="s">
        <v>446</v>
      </c>
      <c r="U34" s="302" t="s">
        <v>523</v>
      </c>
      <c r="V34" s="302" t="s">
        <v>524</v>
      </c>
      <c r="W34" s="302" t="s">
        <v>525</v>
      </c>
      <c r="X34" s="302"/>
    </row>
    <row r="35" spans="1:57" ht="16">
      <c r="A35" s="155" t="str">
        <f>CONCATENATE($A$3," County Sales Tax Receipts")</f>
        <v>Bollinger County Sales Tax Receipts</v>
      </c>
      <c r="B35" s="179"/>
      <c r="C35" s="179">
        <f>INDEX('3-AGF Receipts &amp; Balances'!$AW$115:$BO$203,MATCH($A$3,'3-AGF Receipts &amp; Balances'!$AW$115:$AW$203),MATCH(C34,'3-AGF Receipts &amp; Balances'!$AW$114:$BO$114))</f>
        <v>1.8849036497452006E-2</v>
      </c>
      <c r="D35" s="179">
        <f>INDEX('3-AGF Receipts &amp; Balances'!$AW$115:$BO$203,MATCH($A$3,'3-AGF Receipts &amp; Balances'!$AW$115:$AW$203),MATCH(D34,'3-AGF Receipts &amp; Balances'!$AW$114:$BO$114))</f>
        <v>3.5574225993930293E-2</v>
      </c>
      <c r="E35" s="179">
        <f>INDEX('3-AGF Receipts &amp; Balances'!$AW$115:$BO$203,MATCH($A$3,'3-AGF Receipts &amp; Balances'!$AW$115:$AW$203),MATCH(E34,'3-AGF Receipts &amp; Balances'!$AW$114:$BO$114))</f>
        <v>0.10856200389819236</v>
      </c>
      <c r="F35" s="179">
        <f>INDEX('3-AGF Receipts &amp; Balances'!$AW$115:$BO$203,MATCH($A$3,'3-AGF Receipts &amp; Balances'!$AW$115:$AW$203),MATCH(F34,'3-AGF Receipts &amp; Balances'!$AW$114:$BO$114))</f>
        <v>0.21570631302883184</v>
      </c>
      <c r="G35" s="179">
        <f>INDEX('3-AGF Receipts &amp; Balances'!$AW$115:$BO$203,MATCH($A$3,'3-AGF Receipts &amp; Balances'!$AW$115:$AW$203),MATCH(G34,'3-AGF Receipts &amp; Balances'!$AW$114:$BO$114))</f>
        <v>0.26555601956807057</v>
      </c>
      <c r="H35" s="179">
        <f>INDEX('3-AGF Receipts &amp; Balances'!$AW$115:$BO$203,MATCH($A$3,'3-AGF Receipts &amp; Balances'!$AW$115:$AW$203),MATCH(H34,'3-AGF Receipts &amp; Balances'!$AW$114:$BO$114))</f>
        <v>0.27314992545853645</v>
      </c>
      <c r="I35" s="179">
        <f>INDEX('3-AGF Receipts &amp; Balances'!$AW$115:$BO$203,MATCH($A$3,'3-AGF Receipts &amp; Balances'!$AW$115:$AW$203),MATCH(I34,'3-AGF Receipts &amp; Balances'!$AW$114:$BO$114))</f>
        <v>0.30362584058998748</v>
      </c>
      <c r="J35" s="179">
        <f>INDEX('3-AGF Receipts &amp; Balances'!$AW$115:$BO$203,MATCH($A$3,'3-AGF Receipts &amp; Balances'!$AW$115:$AW$203),MATCH(J34,'3-AGF Receipts &amp; Balances'!$AW$114:$BO$114))</f>
        <v>0.92295949252968268</v>
      </c>
      <c r="K35" s="179">
        <f>INDEX('3-AGF Receipts &amp; Balances'!$AW$115:$BO$203,MATCH($A$3,'3-AGF Receipts &amp; Balances'!$AW$115:$AW$203),MATCH(K34,'3-AGF Receipts &amp; Balances'!$AW$114:$BO$114))</f>
        <v>0.98221381203345326</v>
      </c>
      <c r="L35" s="179">
        <f>INDEX('3-AGF Receipts &amp; Balances'!$AW$115:$BO$203,MATCH($A$3,'3-AGF Receipts &amp; Balances'!$AW$115:$AW$203),MATCH(L34,'3-AGF Receipts &amp; Balances'!$AW$114:$BO$114))</f>
        <v>1.0208981044961869</v>
      </c>
      <c r="M35" s="179">
        <f>INDEX('3-AGF Receipts &amp; Balances'!$AW$115:$BO$203,MATCH($A$3,'3-AGF Receipts &amp; Balances'!$AW$115:$AW$203),MATCH(M34,'3-AGF Receipts &amp; Balances'!$AW$114:$BO$114))</f>
        <v>1.0601743250658302</v>
      </c>
      <c r="N35" s="179">
        <f>INDEX('3-AGF Receipts &amp; Balances'!$AW$115:$BO$203,MATCH($A$3,'3-AGF Receipts &amp; Balances'!$AW$115:$AW$203),MATCH(N34,'3-AGF Receipts &amp; Balances'!$AW$114:$BO$114))</f>
        <v>1.0765082609556034</v>
      </c>
      <c r="O35" s="179">
        <f>INDEX('3-AGF Receipts &amp; Balances'!$AW$115:$BO$203,MATCH($A$3,'3-AGF Receipts &amp; Balances'!$AW$115:$AW$203),MATCH(O34,'3-AGF Receipts &amp; Balances'!$AW$114:$BO$114))</f>
        <v>0.88012183632744745</v>
      </c>
      <c r="P35" s="179">
        <f>INDEX('3-AGF Receipts &amp; Balances'!$AW$115:$BO$203,MATCH($A$3,'3-AGF Receipts &amp; Balances'!$AW$115:$AW$203),MATCH(P34,'3-AGF Receipts &amp; Balances'!$AW$114:$BO$114))</f>
        <v>1.0874666737806453</v>
      </c>
      <c r="Q35" s="179">
        <f>INDEX('3-AGF Receipts &amp; Balances'!$AW$115:$BO$203,MATCH($A$3,'3-AGF Receipts &amp; Balances'!$AW$115:$AW$203),MATCH(Q34,'3-AGF Receipts &amp; Balances'!$AW$114:$BO$114))</f>
        <v>1.0851493926410154</v>
      </c>
      <c r="R35" s="179">
        <f>INDEX('3-AGF Receipts &amp; Balances'!$AW$115:$BO$203,MATCH($A$3,'3-AGF Receipts &amp; Balances'!$AW$115:$AW$203),MATCH(R34,'3-AGF Receipts &amp; Balances'!$AW$114:$BO$114))</f>
        <v>-1</v>
      </c>
      <c r="S35" s="179">
        <f>INDEX('3-AGF Receipts &amp; Balances'!$AW$115:$BO$203,MATCH($A$3,'3-AGF Receipts &amp; Balances'!$AW$115:$AW$203),MATCH(S34,'3-AGF Receipts &amp; Balances'!$AW$114:$BO$114))</f>
        <v>1.1089023694117428</v>
      </c>
      <c r="T35" s="179">
        <f>INDEX('3-AGF Receipts &amp; Balances'!$AW$115:$BO$203,MATCH($A$3,'3-AGF Receipts &amp; Balances'!$AW$115:$AW$203),MATCH(T34,'3-AGF Receipts &amp; Balances'!$AW$114:$BO$114))</f>
        <v>1.1089023694117428</v>
      </c>
      <c r="U35" s="179">
        <f>INDEX('3-AGF Receipts &amp; Balances'!$AW$115:$BO$203,MATCH($A$3,'3-AGF Receipts &amp; Balances'!$AW$115:$AW$203),MATCH(U34,'3-AGF Receipts &amp; Balances'!$AW$114:$BO$114))</f>
        <v>1.1089023694117428</v>
      </c>
      <c r="V35" s="179">
        <f>INDEX('3-AGF Receipts &amp; Balances'!$AW$115:$BO$203,MATCH($A$3,'3-AGF Receipts &amp; Balances'!$AW$115:$AW$203),MATCH(V34,'3-AGF Receipts &amp; Balances'!$AW$114:$BO$114))</f>
        <v>1.1089023694117428</v>
      </c>
      <c r="W35" s="179">
        <f>INDEX('3-AGF Receipts &amp; Balances'!$AW$115:$BO$203,MATCH($A$3,'3-AGF Receipts &amp; Balances'!$AW$115:$AW$203),MATCH(W34,'3-AGF Receipts &amp; Balances'!$AW$114:$BO$114))</f>
        <v>1.1089023694117428</v>
      </c>
      <c r="X35" s="179"/>
    </row>
    <row r="36" spans="1:57" ht="16">
      <c r="A36" s="155" t="str">
        <f>CONCATENATE($A$3," County Taxable Sales")</f>
        <v>Bollinger County Taxable Sales</v>
      </c>
      <c r="B36" s="179"/>
      <c r="C36" s="179">
        <f>INDEX(SalesBaseTaxableSalesCGRTable[],MATCH($A$3,SalesBaseTaxableSalesCGRTable[County]),MATCH(C34,SalesBaseTaxableSalesCGRTable[#Headers]))</f>
        <v>8.6448924521357814E-2</v>
      </c>
      <c r="D36" s="179">
        <f>INDEX(SalesBaseTaxableSalesCGRTable[],MATCH($A$3,SalesBaseTaxableSalesCGRTable[County]),MATCH(D34,SalesBaseTaxableSalesCGRTable[#Headers]))</f>
        <v>8.7502973375128343E-2</v>
      </c>
      <c r="E36" s="179">
        <f>INDEX(SalesBaseTaxableSalesCGRTable[],MATCH($A$3,SalesBaseTaxableSalesCGRTable[County]),MATCH(E34,SalesBaseTaxableSalesCGRTable[#Headers]))</f>
        <v>0.14215336700137426</v>
      </c>
      <c r="F36" s="179">
        <f>INDEX(SalesBaseTaxableSalesCGRTable[],MATCH($A$3,SalesBaseTaxableSalesCGRTable[County]),MATCH(F34,SalesBaseTaxableSalesCGRTable[#Headers]))</f>
        <v>0.21940033357415914</v>
      </c>
      <c r="G36" s="179">
        <f>INDEX(SalesBaseTaxableSalesCGRTable[],MATCH($A$3,SalesBaseTaxableSalesCGRTable[County]),MATCH(G34,SalesBaseTaxableSalesCGRTable[#Headers]))</f>
        <v>0.26855411667134577</v>
      </c>
      <c r="H36" s="179">
        <f>INDEX(SalesBaseTaxableSalesCGRTable[],MATCH($A$3,SalesBaseTaxableSalesCGRTable[County]),MATCH(H34,SalesBaseTaxableSalesCGRTable[#Headers]))</f>
        <v>0.35520639030671958</v>
      </c>
      <c r="I36" s="179">
        <f>INDEX(SalesBaseTaxableSalesCGRTable[],MATCH($A$3,SalesBaseTaxableSalesCGRTable[County]),MATCH(I34,SalesBaseTaxableSalesCGRTable[#Headers]))</f>
        <v>0.25980852381379449</v>
      </c>
      <c r="J36" s="179">
        <f>INDEX(SalesBaseTaxableSalesCGRTable[],MATCH($A$3,SalesBaseTaxableSalesCGRTable[County]),MATCH(J34,SalesBaseTaxableSalesCGRTable[#Headers]))</f>
        <v>0.26018489451775484</v>
      </c>
      <c r="K36" s="179">
        <f>INDEX(SalesBaseTaxableSalesCGRTable[],MATCH($A$3,SalesBaseTaxableSalesCGRTable[County]),MATCH(K34,SalesBaseTaxableSalesCGRTable[#Headers]))</f>
        <v>0.35332348569973504</v>
      </c>
      <c r="L36" s="179">
        <f>INDEX(SalesBaseTaxableSalesCGRTable[],MATCH($A$3,SalesBaseTaxableSalesCGRTable[County]),MATCH(L34,SalesBaseTaxableSalesCGRTable[#Headers]))</f>
        <v>0.38237011069147137</v>
      </c>
      <c r="M36" s="179">
        <f>INDEX(SalesBaseTaxableSalesCGRTable[],MATCH($A$3,SalesBaseTaxableSalesCGRTable[County]),MATCH(M34,SalesBaseTaxableSalesCGRTable[#Headers]))</f>
        <v>0.66337693885483417</v>
      </c>
      <c r="N36" s="179">
        <f>INDEX(SalesBaseTaxableSalesCGRTable[],MATCH($A$3,SalesBaseTaxableSalesCGRTable[County]),MATCH(N34,SalesBaseTaxableSalesCGRTable[#Headers]))</f>
        <v>0.54578549588730785</v>
      </c>
      <c r="O36" s="179">
        <f>INDEX(SalesBaseTaxableSalesCGRTable[],MATCH($A$3,SalesBaseTaxableSalesCGRTable[County]),MATCH(O34,SalesBaseTaxableSalesCGRTable[#Headers]))</f>
        <v>0.53446410611861339</v>
      </c>
      <c r="P36" s="179">
        <f>INDEX(SalesBaseTaxableSalesCGRTable[],MATCH($A$3,SalesBaseTaxableSalesCGRTable[County]),MATCH(P34,SalesBaseTaxableSalesCGRTable[#Headers]))</f>
        <v>0.53060470091724166</v>
      </c>
      <c r="Q36" s="179">
        <f>INDEX(SalesBaseTaxableSalesCGRTable[],MATCH($A$3,SalesBaseTaxableSalesCGRTable[County]),MATCH(Q34,SalesBaseTaxableSalesCGRTable[#Headers]))</f>
        <v>0.56005382211663624</v>
      </c>
      <c r="R36" s="179">
        <f>INDEX(SalesBaseTaxableSalesCGRTable[],MATCH($A$3,SalesBaseTaxableSalesCGRTable[County]),MATCH(R34,SalesBaseTaxableSalesCGRTable[#Headers]))</f>
        <v>0.55563585255519965</v>
      </c>
      <c r="S36" s="179">
        <f>INDEX(SalesBaseTaxableSalesCGRTable[],MATCH($A$3,SalesBaseTaxableSalesCGRTable[County]),MATCH(S34,SalesBaseTaxableSalesCGRTable[#Headers]))</f>
        <v>0.61970998119723109</v>
      </c>
      <c r="T36" s="179">
        <f>INDEX(SalesBaseTaxableSalesCGRTable[],MATCH($A$3,SalesBaseTaxableSalesCGRTable[County]),MATCH(T34,SalesBaseTaxableSalesCGRTable[#Headers]))</f>
        <v>0.68961668741402438</v>
      </c>
      <c r="U36" s="179">
        <f>INDEX(SalesBaseTaxableSalesCGRTable[],MATCH($A$3,SalesBaseTaxableSalesCGRTable[County]),MATCH(U34,SalesBaseTaxableSalesCGRTable[#Headers]))</f>
        <v>0.76656186124469361</v>
      </c>
      <c r="V36" s="179">
        <f>INDEX(SalesBaseTaxableSalesCGRTable[],MATCH($A$3,SalesBaseTaxableSalesCGRTable[County]),MATCH(V34,SalesBaseTaxableSalesCGRTable[#Headers]))</f>
        <v>0.77097418254301264</v>
      </c>
      <c r="W36" s="179">
        <f>INDEX(SalesBaseTaxableSalesCGRTable[],MATCH($A$3,SalesBaseTaxableSalesCGRTable[County]),MATCH(W34,SalesBaseTaxableSalesCGRTable[#Headers]))</f>
        <v>0.76099308227136953</v>
      </c>
      <c r="X36" s="179"/>
    </row>
    <row r="37" spans="1:57" ht="16">
      <c r="A37" s="155" t="str">
        <f>CONCATENATE($A$5," County Sales Tax Receipts")</f>
        <v>Barton County Sales Tax Receipts</v>
      </c>
      <c r="B37" s="179"/>
      <c r="C37" s="179">
        <f>INDEX('3-AGF Receipts &amp; Balances'!$AW$115:$BO$203,MATCH($A$5,'3-AGF Receipts &amp; Balances'!$AW$115:$AW$203),MATCH(C34,'3-AGF Receipts &amp; Balances'!$AW$114:$BO$114))</f>
        <v>6.0484807982632359E-2</v>
      </c>
      <c r="D37" s="179">
        <f>INDEX('3-AGF Receipts &amp; Balances'!$AW$115:$BO$203,MATCH($A$5,'3-AGF Receipts &amp; Balances'!$AW$115:$AW$203),MATCH(D34,'3-AGF Receipts &amp; Balances'!$AW$114:$BO$114))</f>
        <v>5.4102860654174335E-2</v>
      </c>
      <c r="E37" s="179">
        <f>INDEX('3-AGF Receipts &amp; Balances'!$AW$115:$BO$203,MATCH($A$5,'3-AGF Receipts &amp; Balances'!$AW$115:$AW$203),MATCH(E34,'3-AGF Receipts &amp; Balances'!$AW$114:$BO$114))</f>
        <v>0.11144054466413446</v>
      </c>
      <c r="F37" s="179">
        <f>INDEX('3-AGF Receipts &amp; Balances'!$AW$115:$BO$203,MATCH($A$5,'3-AGF Receipts &amp; Balances'!$AW$115:$AW$203),MATCH(F34,'3-AGF Receipts &amp; Balances'!$AW$114:$BO$114))</f>
        <v>0.21106033205119742</v>
      </c>
      <c r="G37" s="179">
        <f>INDEX('3-AGF Receipts &amp; Balances'!$AW$115:$BO$203,MATCH($A$5,'3-AGF Receipts &amp; Balances'!$AW$115:$AW$203),MATCH(G34,'3-AGF Receipts &amp; Balances'!$AW$114:$BO$114))</f>
        <v>0.21214973718591967</v>
      </c>
      <c r="H37" s="179">
        <f>INDEX('3-AGF Receipts &amp; Balances'!$AW$115:$BO$203,MATCH($A$5,'3-AGF Receipts &amp; Balances'!$AW$115:$AW$203),MATCH(H34,'3-AGF Receipts &amp; Balances'!$AW$114:$BO$114))</f>
        <v>0.25500457407008015</v>
      </c>
      <c r="I37" s="179">
        <f>INDEX('3-AGF Receipts &amp; Balances'!$AW$115:$BO$203,MATCH($A$5,'3-AGF Receipts &amp; Balances'!$AW$115:$AW$203),MATCH(I34,'3-AGF Receipts &amp; Balances'!$AW$114:$BO$114))</f>
        <v>0.23860735162010743</v>
      </c>
      <c r="J37" s="179">
        <f>INDEX('3-AGF Receipts &amp; Balances'!$AW$115:$BO$203,MATCH($A$5,'3-AGF Receipts &amp; Balances'!$AW$115:$AW$203),MATCH(J34,'3-AGF Receipts &amp; Balances'!$AW$114:$BO$114))</f>
        <v>0.34208950450321984</v>
      </c>
      <c r="K37" s="179">
        <f>INDEX('3-AGF Receipts &amp; Balances'!$AW$115:$BO$203,MATCH($A$5,'3-AGF Receipts &amp; Balances'!$AW$115:$AW$203),MATCH(K34,'3-AGF Receipts &amp; Balances'!$AW$114:$BO$114))</f>
        <v>0.44378773106517683</v>
      </c>
      <c r="L37" s="179">
        <f>INDEX('3-AGF Receipts &amp; Balances'!$AW$115:$BO$203,MATCH($A$5,'3-AGF Receipts &amp; Balances'!$AW$115:$AW$203),MATCH(L34,'3-AGF Receipts &amp; Balances'!$AW$114:$BO$114))</f>
        <v>0.41855760164550665</v>
      </c>
      <c r="M37" s="179">
        <f>INDEX('3-AGF Receipts &amp; Balances'!$AW$115:$BO$203,MATCH($A$5,'3-AGF Receipts &amp; Balances'!$AW$115:$AW$203),MATCH(M34,'3-AGF Receipts &amp; Balances'!$AW$114:$BO$114))</f>
        <v>0.48020681458462194</v>
      </c>
      <c r="N37" s="179">
        <f>INDEX('3-AGF Receipts &amp; Balances'!$AW$115:$BO$203,MATCH($A$5,'3-AGF Receipts &amp; Balances'!$AW$115:$AW$203),MATCH(N34,'3-AGF Receipts &amp; Balances'!$AW$114:$BO$114))</f>
        <v>0.43907541400569999</v>
      </c>
      <c r="O37" s="179">
        <f>INDEX('3-AGF Receipts &amp; Balances'!$AW$115:$BO$203,MATCH($A$5,'3-AGF Receipts &amp; Balances'!$AW$115:$AW$203),MATCH(O34,'3-AGF Receipts &amp; Balances'!$AW$114:$BO$114))</f>
        <v>0.37252823647207067</v>
      </c>
      <c r="P37" s="179">
        <f>INDEX('3-AGF Receipts &amp; Balances'!$AW$115:$BO$203,MATCH($A$5,'3-AGF Receipts &amp; Balances'!$AW$115:$AW$203),MATCH(P34,'3-AGF Receipts &amp; Balances'!$AW$114:$BO$114))</f>
        <v>0.40624108802712083</v>
      </c>
      <c r="Q37" s="179">
        <f>INDEX('3-AGF Receipts &amp; Balances'!$AW$115:$BO$203,MATCH($A$5,'3-AGF Receipts &amp; Balances'!$AW$115:$AW$203),MATCH(Q34,'3-AGF Receipts &amp; Balances'!$AW$114:$BO$114))</f>
        <v>0.41222492081712081</v>
      </c>
      <c r="R37" s="179">
        <f>INDEX('3-AGF Receipts &amp; Balances'!$AW$115:$BO$203,MATCH($A$5,'3-AGF Receipts &amp; Balances'!$AW$115:$AW$203),MATCH(R34,'3-AGF Receipts &amp; Balances'!$AW$114:$BO$114))</f>
        <v>0.42360250239286462</v>
      </c>
      <c r="S37" s="179">
        <f>INDEX('3-AGF Receipts &amp; Balances'!$AW$115:$BO$203,MATCH($A$5,'3-AGF Receipts &amp; Balances'!$AW$115:$AW$203),MATCH(S34,'3-AGF Receipts &amp; Balances'!$AW$114:$BO$114))</f>
        <v>0.45411773807889944</v>
      </c>
      <c r="T37" s="179">
        <f>INDEX('3-AGF Receipts &amp; Balances'!$AW$115:$BO$203,MATCH($A$5,'3-AGF Receipts &amp; Balances'!$AW$115:$AW$203),MATCH(T34,'3-AGF Receipts &amp; Balances'!$AW$114:$BO$114))</f>
        <v>0.45411773807889944</v>
      </c>
      <c r="U37" s="179">
        <f>INDEX('3-AGF Receipts &amp; Balances'!$AW$115:$BO$203,MATCH($A$5,'3-AGF Receipts &amp; Balances'!$AW$115:$AW$203),MATCH(U34,'3-AGF Receipts &amp; Balances'!$AW$114:$BO$114))</f>
        <v>0.45411773807889944</v>
      </c>
      <c r="V37" s="179">
        <f>INDEX('3-AGF Receipts &amp; Balances'!$AW$115:$BO$203,MATCH($A$5,'3-AGF Receipts &amp; Balances'!$AW$115:$AW$203),MATCH(V34,'3-AGF Receipts &amp; Balances'!$AW$114:$BO$114))</f>
        <v>0.45411773807889944</v>
      </c>
      <c r="W37" s="179">
        <f>INDEX('3-AGF Receipts &amp; Balances'!$AW$115:$BO$203,MATCH($A$5,'3-AGF Receipts &amp; Balances'!$AW$115:$AW$203),MATCH(W34,'3-AGF Receipts &amp; Balances'!$AW$114:$BO$114))</f>
        <v>0.45411773807889944</v>
      </c>
      <c r="X37" s="179"/>
    </row>
    <row r="38" spans="1:57" ht="16">
      <c r="A38" s="155" t="str">
        <f>CONCATENATE($A$5," County Taxable Sales")</f>
        <v>Barton County Taxable Sales</v>
      </c>
      <c r="B38" s="179"/>
      <c r="C38" s="179">
        <f>INDEX(SalesBaseTaxableSalesCGRTable[],MATCH($A$5,SalesBaseTaxableSalesCGRTable[County]),MATCH(C34,SalesBaseTaxableSalesCGRTable[#Headers]))</f>
        <v>5.9169889530828072E-2</v>
      </c>
      <c r="D38" s="179">
        <f>INDEX(SalesBaseTaxableSalesCGRTable[],MATCH($A$5,SalesBaseTaxableSalesCGRTable[County]),MATCH(D34,SalesBaseTaxableSalesCGRTable[#Headers]))</f>
        <v>0.12395700589666908</v>
      </c>
      <c r="E38" s="179">
        <f>INDEX(SalesBaseTaxableSalesCGRTable[],MATCH($A$5,SalesBaseTaxableSalesCGRTable[County]),MATCH(E34,SalesBaseTaxableSalesCGRTable[#Headers]))</f>
        <v>0.12375022081372533</v>
      </c>
      <c r="F38" s="179">
        <f>INDEX(SalesBaseTaxableSalesCGRTable[],MATCH($A$5,SalesBaseTaxableSalesCGRTable[County]),MATCH(F34,SalesBaseTaxableSalesCGRTable[#Headers]))</f>
        <v>0.1420812063617696</v>
      </c>
      <c r="G38" s="179">
        <f>INDEX(SalesBaseTaxableSalesCGRTable[],MATCH($A$5,SalesBaseTaxableSalesCGRTable[County]),MATCH(G34,SalesBaseTaxableSalesCGRTable[#Headers]))</f>
        <v>0.14952415641942962</v>
      </c>
      <c r="H38" s="179">
        <f>INDEX(SalesBaseTaxableSalesCGRTable[],MATCH($A$5,SalesBaseTaxableSalesCGRTable[County]),MATCH(H34,SalesBaseTaxableSalesCGRTable[#Headers]))</f>
        <v>0.19428759593688735</v>
      </c>
      <c r="I38" s="179">
        <f>INDEX(SalesBaseTaxableSalesCGRTable[],MATCH($A$5,SalesBaseTaxableSalesCGRTable[County]),MATCH(I34,SalesBaseTaxableSalesCGRTable[#Headers]))</f>
        <v>0.20678681913773247</v>
      </c>
      <c r="J38" s="179">
        <f>INDEX(SalesBaseTaxableSalesCGRTable[],MATCH($A$5,SalesBaseTaxableSalesCGRTable[County]),MATCH(J34,SalesBaseTaxableSalesCGRTable[#Headers]))</f>
        <v>0.34586813992785137</v>
      </c>
      <c r="K38" s="179">
        <f>INDEX(SalesBaseTaxableSalesCGRTable[],MATCH($A$5,SalesBaseTaxableSalesCGRTable[County]),MATCH(K34,SalesBaseTaxableSalesCGRTable[#Headers]))</f>
        <v>0.43879124183219514</v>
      </c>
      <c r="L38" s="179">
        <f>INDEX(SalesBaseTaxableSalesCGRTable[],MATCH($A$5,SalesBaseTaxableSalesCGRTable[County]),MATCH(L34,SalesBaseTaxableSalesCGRTable[#Headers]))</f>
        <v>0.44821636473193766</v>
      </c>
      <c r="M38" s="179">
        <f>INDEX(SalesBaseTaxableSalesCGRTable[],MATCH($A$5,SalesBaseTaxableSalesCGRTable[County]),MATCH(M34,SalesBaseTaxableSalesCGRTable[#Headers]))</f>
        <v>0.48686518052546979</v>
      </c>
      <c r="N38" s="179">
        <f>INDEX(SalesBaseTaxableSalesCGRTable[],MATCH($A$5,SalesBaseTaxableSalesCGRTable[County]),MATCH(N34,SalesBaseTaxableSalesCGRTable[#Headers]))</f>
        <v>0.46687535382728051</v>
      </c>
      <c r="O38" s="179">
        <f>INDEX(SalesBaseTaxableSalesCGRTable[],MATCH($A$5,SalesBaseTaxableSalesCGRTable[County]),MATCH(O34,SalesBaseTaxableSalesCGRTable[#Headers]))</f>
        <v>0.411495443669536</v>
      </c>
      <c r="P38" s="179">
        <f>INDEX(SalesBaseTaxableSalesCGRTable[],MATCH($A$5,SalesBaseTaxableSalesCGRTable[County]),MATCH(P34,SalesBaseTaxableSalesCGRTable[#Headers]))</f>
        <v>0.39216640053069529</v>
      </c>
      <c r="Q38" s="179">
        <f>INDEX(SalesBaseTaxableSalesCGRTable[],MATCH($A$5,SalesBaseTaxableSalesCGRTable[County]),MATCH(Q34,SalesBaseTaxableSalesCGRTable[#Headers]))</f>
        <v>0.47231991626551995</v>
      </c>
      <c r="R38" s="179">
        <f>INDEX(SalesBaseTaxableSalesCGRTable[],MATCH($A$5,SalesBaseTaxableSalesCGRTable[County]),MATCH(R34,SalesBaseTaxableSalesCGRTable[#Headers]))</f>
        <v>0.48937861215509815</v>
      </c>
      <c r="S38" s="179">
        <f>INDEX(SalesBaseTaxableSalesCGRTable[],MATCH($A$5,SalesBaseTaxableSalesCGRTable[County]),MATCH(S34,SalesBaseTaxableSalesCGRTable[#Headers]))</f>
        <v>0.49701378325453921</v>
      </c>
      <c r="T38" s="179">
        <f>INDEX(SalesBaseTaxableSalesCGRTable[],MATCH($A$5,SalesBaseTaxableSalesCGRTable[County]),MATCH(T34,SalesBaseTaxableSalesCGRTable[#Headers]))</f>
        <v>0.47918305059269467</v>
      </c>
      <c r="U38" s="179">
        <f>INDEX(SalesBaseTaxableSalesCGRTable[],MATCH($A$5,SalesBaseTaxableSalesCGRTable[County]),MATCH(U34,SalesBaseTaxableSalesCGRTable[#Headers]))</f>
        <v>0.50653674297151485</v>
      </c>
      <c r="V38" s="179">
        <f>INDEX(SalesBaseTaxableSalesCGRTable[],MATCH($A$5,SalesBaseTaxableSalesCGRTable[County]),MATCH(V34,SalesBaseTaxableSalesCGRTable[#Headers]))</f>
        <v>0.54023541538872866</v>
      </c>
      <c r="W38" s="179">
        <f>INDEX(SalesBaseTaxableSalesCGRTable[],MATCH($A$5,SalesBaseTaxableSalesCGRTable[County]),MATCH(W34,SalesBaseTaxableSalesCGRTable[#Headers]))</f>
        <v>0.45650016876866273</v>
      </c>
      <c r="X38" s="179"/>
    </row>
    <row r="41" spans="1:57"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</row>
    <row r="42" spans="1:57"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</row>
    <row r="43" spans="1:57" ht="25.5" customHeight="1">
      <c r="A43" s="35"/>
      <c r="Z43" s="81" t="s">
        <v>154</v>
      </c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1" t="s">
        <v>154</v>
      </c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</row>
    <row r="44" spans="1:57" ht="15.75" customHeight="1">
      <c r="A44" s="35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</row>
    <row r="45" spans="1:57">
      <c r="A45" s="35"/>
    </row>
    <row r="46" spans="1:57">
      <c r="A46" s="35"/>
    </row>
    <row r="47" spans="1:57">
      <c r="A47" s="35"/>
    </row>
    <row r="48" spans="1:57">
      <c r="A48" s="35"/>
    </row>
    <row r="49" spans="1:18">
      <c r="A49" s="35"/>
    </row>
    <row r="50" spans="1:18">
      <c r="A50" s="35"/>
    </row>
    <row r="51" spans="1:18">
      <c r="A51" s="35"/>
    </row>
    <row r="52" spans="1:18">
      <c r="A52" s="35"/>
    </row>
    <row r="53" spans="1:18">
      <c r="A53" s="35"/>
    </row>
    <row r="54" spans="1:18">
      <c r="A54" s="35"/>
    </row>
    <row r="55" spans="1:18">
      <c r="A55" s="35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</row>
    <row r="56" spans="1:18">
      <c r="A56" s="35"/>
    </row>
    <row r="57" spans="1:18">
      <c r="A57" s="35"/>
    </row>
    <row r="58" spans="1:18">
      <c r="A58" s="35"/>
    </row>
    <row r="59" spans="1:18">
      <c r="A59" s="35"/>
    </row>
    <row r="60" spans="1:18">
      <c r="A60" s="35"/>
    </row>
    <row r="61" spans="1:18">
      <c r="A61" s="35"/>
    </row>
    <row r="62" spans="1:18">
      <c r="A62" s="35"/>
    </row>
    <row r="63" spans="1:18">
      <c r="A63" s="35"/>
    </row>
    <row r="64" spans="1:18">
      <c r="A64" s="35"/>
    </row>
    <row r="65" spans="1:18">
      <c r="A65" s="35"/>
    </row>
    <row r="66" spans="1:18">
      <c r="A66" s="35"/>
      <c r="J66" s="36"/>
      <c r="K66" s="36"/>
      <c r="L66" s="36"/>
      <c r="M66" s="36"/>
      <c r="N66" s="36"/>
      <c r="O66" s="36"/>
      <c r="P66" s="36"/>
      <c r="Q66" s="36"/>
      <c r="R66" s="36"/>
    </row>
    <row r="67" spans="1:18">
      <c r="A67" s="35"/>
      <c r="J67" s="36"/>
      <c r="K67" s="36"/>
      <c r="L67" s="36"/>
      <c r="M67" s="36"/>
      <c r="N67" s="36"/>
      <c r="O67" s="36"/>
      <c r="P67" s="36"/>
      <c r="Q67" s="36"/>
      <c r="R67" s="36"/>
    </row>
    <row r="68" spans="1:18">
      <c r="J68" s="36"/>
      <c r="K68" s="36"/>
      <c r="L68" s="36"/>
      <c r="M68" s="36"/>
      <c r="N68" s="36"/>
      <c r="O68" s="36"/>
      <c r="P68" s="36"/>
      <c r="Q68" s="36"/>
      <c r="R68" s="36"/>
    </row>
    <row r="69" spans="1:18">
      <c r="J69" s="36"/>
      <c r="K69" s="36"/>
      <c r="L69" s="36"/>
      <c r="M69" s="36"/>
      <c r="N69" s="36"/>
      <c r="O69" s="36"/>
      <c r="P69" s="36"/>
      <c r="Q69" s="36"/>
      <c r="R69" s="36"/>
    </row>
    <row r="70" spans="1:18">
      <c r="J70" s="36"/>
      <c r="K70" s="36"/>
      <c r="L70" s="36"/>
      <c r="M70" s="36"/>
      <c r="N70" s="36"/>
      <c r="O70" s="36"/>
      <c r="P70" s="36"/>
      <c r="Q70" s="36"/>
      <c r="R70" s="36"/>
    </row>
    <row r="71" spans="1:18">
      <c r="J71" s="36"/>
      <c r="K71" s="36"/>
      <c r="L71" s="36"/>
      <c r="M71" s="36"/>
      <c r="N71" s="36"/>
      <c r="O71" s="36"/>
      <c r="P71" s="36"/>
      <c r="Q71" s="36"/>
      <c r="R71" s="36"/>
    </row>
    <row r="72" spans="1:18">
      <c r="J72" s="36"/>
      <c r="K72" s="36"/>
      <c r="L72" s="36"/>
      <c r="M72" s="36"/>
      <c r="N72" s="36"/>
      <c r="O72" s="36"/>
      <c r="P72" s="36"/>
      <c r="Q72" s="36"/>
      <c r="R72" s="36"/>
    </row>
    <row r="73" spans="1:18">
      <c r="J73" s="36"/>
      <c r="K73" s="36"/>
      <c r="L73" s="36"/>
      <c r="M73" s="36"/>
      <c r="N73" s="36"/>
      <c r="O73" s="36"/>
      <c r="P73" s="36"/>
      <c r="Q73" s="36"/>
      <c r="R73" s="36"/>
    </row>
    <row r="82" spans="19:24">
      <c r="S82" s="36"/>
      <c r="T82" s="36"/>
      <c r="U82" s="36"/>
      <c r="V82" s="36"/>
      <c r="W82" s="36"/>
      <c r="X82" s="36"/>
    </row>
  </sheetData>
  <phoneticPr fontId="3" type="noConversion"/>
  <dataValidations count="1">
    <dataValidation type="list" allowBlank="1" showInputMessage="1" showErrorMessage="1" sqref="A3 A5" xr:uid="{00000000-0002-0000-0700-000000000000}">
      <formula1>List</formula1>
    </dataValidation>
  </dataValidations>
  <pageMargins left="0.7" right="0.7" top="0.75" bottom="0.75" header="0.3" footer="0.3"/>
  <pageSetup orientation="portrait" horizontalDpi="4294967293" verticalDpi="0" r:id="rId1"/>
  <drawing r:id="rId2"/>
  <tableParts count="4"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FF00"/>
  </sheetPr>
  <dimension ref="A1:BV110"/>
  <sheetViews>
    <sheetView zoomScale="75" zoomScaleNormal="75" workbookViewId="0">
      <selection activeCell="B3" sqref="B3"/>
    </sheetView>
  </sheetViews>
  <sheetFormatPr baseColWidth="10" defaultColWidth="8.83203125" defaultRowHeight="13"/>
  <cols>
    <col min="1" max="1" width="54.5" customWidth="1"/>
    <col min="2" max="2" width="15.5" customWidth="1"/>
    <col min="3" max="3" width="14.83203125" customWidth="1"/>
    <col min="4" max="4" width="15.5" customWidth="1"/>
    <col min="5" max="5" width="15.1640625" customWidth="1"/>
    <col min="6" max="6" width="14.1640625" customWidth="1"/>
    <col min="7" max="7" width="14.5" customWidth="1"/>
    <col min="8" max="8" width="14.83203125" customWidth="1"/>
    <col min="9" max="9" width="13.6640625" customWidth="1"/>
    <col min="10" max="10" width="14" customWidth="1"/>
    <col min="11" max="11" width="14.5" customWidth="1"/>
    <col min="12" max="12" width="15.5" customWidth="1"/>
    <col min="13" max="13" width="16.33203125" customWidth="1"/>
    <col min="14" max="15" width="15.5" customWidth="1"/>
    <col min="16" max="17" width="15.5" style="148" customWidth="1"/>
    <col min="18" max="18" width="13.1640625" customWidth="1"/>
    <col min="19" max="19" width="13.6640625" customWidth="1"/>
    <col min="20" max="24" width="13.6640625" style="799" customWidth="1"/>
  </cols>
  <sheetData>
    <row r="1" spans="1:70" ht="37">
      <c r="A1" s="31" t="s">
        <v>283</v>
      </c>
      <c r="B1" s="33"/>
      <c r="C1" s="33"/>
      <c r="E1" s="37"/>
      <c r="F1" s="38" t="s">
        <v>255</v>
      </c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</row>
    <row r="2" spans="1:70" ht="24" thickBot="1">
      <c r="A2" s="9" t="s">
        <v>144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N2" s="33"/>
      <c r="O2" s="33"/>
      <c r="P2" s="33"/>
      <c r="Q2" s="33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</row>
    <row r="3" spans="1:70" ht="25" thickTop="1" thickBot="1">
      <c r="A3" s="230" t="s">
        <v>1</v>
      </c>
      <c r="B3" s="33"/>
      <c r="C3" s="33"/>
      <c r="D3" s="33"/>
      <c r="E3" s="142" t="s">
        <v>276</v>
      </c>
      <c r="F3" s="24"/>
      <c r="G3" s="149"/>
      <c r="H3" s="149"/>
      <c r="I3" s="150"/>
      <c r="J3" s="72"/>
      <c r="K3" s="72"/>
      <c r="L3" s="72"/>
      <c r="N3" s="72"/>
      <c r="O3" s="72"/>
      <c r="P3" s="72"/>
      <c r="Q3" s="72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</row>
    <row r="4" spans="1:70" ht="25" thickTop="1" thickBot="1">
      <c r="A4" s="9" t="s">
        <v>145</v>
      </c>
      <c r="B4" s="33"/>
      <c r="C4" s="33"/>
      <c r="D4" s="33"/>
      <c r="E4" s="14"/>
      <c r="F4" s="14"/>
      <c r="G4" s="14"/>
      <c r="H4" s="14"/>
      <c r="I4" s="72"/>
      <c r="J4" s="72"/>
      <c r="K4" s="72"/>
      <c r="L4" s="72"/>
      <c r="M4" s="160" t="s">
        <v>609</v>
      </c>
      <c r="N4" s="72"/>
      <c r="O4" s="72"/>
      <c r="P4" s="72"/>
      <c r="Q4" s="72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</row>
    <row r="5" spans="1:70" ht="25" thickTop="1" thickBot="1">
      <c r="A5" s="230" t="s">
        <v>45</v>
      </c>
      <c r="B5" s="33"/>
      <c r="C5" s="33"/>
      <c r="D5" s="33"/>
      <c r="E5" s="830" t="s">
        <v>321</v>
      </c>
      <c r="F5" s="835"/>
      <c r="G5" s="835"/>
      <c r="H5" s="835"/>
      <c r="I5" s="835"/>
      <c r="J5" s="835"/>
      <c r="K5" s="835"/>
      <c r="L5" s="37"/>
      <c r="M5" s="153" t="s">
        <v>489</v>
      </c>
      <c r="N5" s="33"/>
      <c r="O5" s="33"/>
      <c r="P5" s="33"/>
      <c r="Q5" s="33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</row>
    <row r="6" spans="1:70" ht="17" thickTop="1">
      <c r="A6" s="33"/>
      <c r="B6" s="33"/>
      <c r="C6" s="33"/>
      <c r="D6" s="33"/>
      <c r="E6" s="830" t="s">
        <v>534</v>
      </c>
      <c r="F6" s="836"/>
      <c r="G6" s="836"/>
      <c r="H6" s="836"/>
      <c r="I6" s="837"/>
      <c r="J6" s="837"/>
      <c r="K6" s="837"/>
      <c r="L6" s="37"/>
      <c r="M6" s="170" t="s">
        <v>608</v>
      </c>
      <c r="N6" s="33"/>
      <c r="O6" s="33"/>
      <c r="P6" s="33"/>
      <c r="Q6" s="33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</row>
    <row r="7" spans="1:70" ht="16">
      <c r="A7" s="33"/>
      <c r="B7" s="33"/>
      <c r="C7" s="33"/>
      <c r="D7" s="33"/>
      <c r="E7" s="830" t="s">
        <v>537</v>
      </c>
      <c r="F7" s="838"/>
      <c r="G7" s="838"/>
      <c r="H7" s="838"/>
      <c r="I7" s="838"/>
      <c r="J7" s="838"/>
      <c r="K7" s="838"/>
      <c r="L7" s="37"/>
      <c r="M7" s="153" t="s">
        <v>640</v>
      </c>
      <c r="N7" s="33"/>
      <c r="O7" s="33"/>
      <c r="P7" s="33"/>
      <c r="Q7" s="33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</row>
    <row r="8" spans="1:70" ht="17.25" customHeight="1">
      <c r="A8" s="115"/>
      <c r="B8" s="33"/>
      <c r="C8" s="33"/>
      <c r="D8" s="33"/>
      <c r="E8" s="160"/>
      <c r="F8" s="207"/>
      <c r="G8" s="207"/>
      <c r="H8" s="207"/>
      <c r="I8" s="207"/>
      <c r="J8" s="207"/>
      <c r="K8" s="207"/>
      <c r="L8" s="37"/>
      <c r="M8" s="33"/>
      <c r="N8" s="33"/>
      <c r="O8" s="33"/>
      <c r="P8" s="33"/>
      <c r="Q8" s="33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</row>
    <row r="9" spans="1:70" ht="18" customHeight="1">
      <c r="A9" s="33"/>
      <c r="B9" s="33"/>
      <c r="C9" s="33"/>
      <c r="D9" s="33"/>
      <c r="E9" s="176"/>
      <c r="F9" s="37"/>
      <c r="G9" s="37"/>
      <c r="H9" s="37"/>
      <c r="I9" s="37"/>
      <c r="J9" s="37"/>
      <c r="K9" s="37"/>
      <c r="L9" s="37"/>
      <c r="M9" s="33"/>
      <c r="N9" s="33"/>
      <c r="O9" s="33"/>
      <c r="P9" s="33"/>
      <c r="Q9" s="33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</row>
    <row r="10" spans="1:70" ht="16">
      <c r="A10" s="175" t="str">
        <f>CONCATENATE($A$3," County and ",$A$5," County Population" )</f>
        <v>Adair County and Maries County Population</v>
      </c>
      <c r="B10" s="155"/>
      <c r="C10" s="170"/>
      <c r="D10" s="154"/>
      <c r="E10" s="155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53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</row>
    <row r="11" spans="1:70" ht="16">
      <c r="A11" s="154" t="s">
        <v>435</v>
      </c>
      <c r="B11" s="302" t="s">
        <v>409</v>
      </c>
      <c r="C11" s="302" t="s">
        <v>410</v>
      </c>
      <c r="D11" s="302" t="s">
        <v>411</v>
      </c>
      <c r="E11" s="302" t="s">
        <v>412</v>
      </c>
      <c r="F11" s="302" t="s">
        <v>413</v>
      </c>
      <c r="G11" s="302" t="s">
        <v>414</v>
      </c>
      <c r="H11" s="302" t="s">
        <v>415</v>
      </c>
      <c r="I11" s="302" t="s">
        <v>416</v>
      </c>
      <c r="J11" s="302" t="s">
        <v>417</v>
      </c>
      <c r="K11" s="302" t="s">
        <v>418</v>
      </c>
      <c r="L11" s="302" t="s">
        <v>419</v>
      </c>
      <c r="M11" s="302" t="s">
        <v>420</v>
      </c>
      <c r="N11" s="302" t="s">
        <v>421</v>
      </c>
      <c r="O11" s="302" t="s">
        <v>422</v>
      </c>
      <c r="P11" s="302" t="s">
        <v>423</v>
      </c>
      <c r="Q11" s="302" t="s">
        <v>355</v>
      </c>
      <c r="R11" s="302" t="s">
        <v>399</v>
      </c>
      <c r="S11" s="302" t="s">
        <v>424</v>
      </c>
      <c r="T11" s="302" t="s">
        <v>446</v>
      </c>
      <c r="U11" s="302" t="s">
        <v>523</v>
      </c>
      <c r="V11" s="302" t="s">
        <v>524</v>
      </c>
      <c r="W11" s="302" t="s">
        <v>525</v>
      </c>
      <c r="X11" s="302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</row>
    <row r="12" spans="1:70" ht="16">
      <c r="A12" s="158" t="str">
        <f>CONCATENATE($A$3," County Population")</f>
        <v>Adair County Population</v>
      </c>
      <c r="B12" s="163">
        <f>INDEX(Population[],MATCH($A$3,Population[County]),MATCH(B11,Population[#Headers],0))</f>
        <v>24883</v>
      </c>
      <c r="C12" s="163">
        <f>INDEX(Population[],MATCH($A$3,Population[County]),MATCH(C11,Population[#Headers]))</f>
        <v>24871</v>
      </c>
      <c r="D12" s="163">
        <f>INDEX(Population[],MATCH($A$3,Population[County]),MATCH(D11,Population[#Headers]))</f>
        <v>24887</v>
      </c>
      <c r="E12" s="163">
        <f>INDEX(Population[],MATCH($A$3,Population[County]),MATCH(E11,Population[#Headers]))</f>
        <v>24961</v>
      </c>
      <c r="F12" s="163">
        <f>INDEX(Population[],MATCH($A$3,Population[County]),MATCH(F11,Population[#Headers]))</f>
        <v>24956</v>
      </c>
      <c r="G12" s="163">
        <f>INDEX(Population[],MATCH($A$3,Population[County]),MATCH(G11,Population[#Headers]))</f>
        <v>24967</v>
      </c>
      <c r="H12" s="163">
        <f>INDEX(Population[],MATCH($A$3,Population[County]),MATCH(H11,Population[#Headers]))</f>
        <v>25072</v>
      </c>
      <c r="I12" s="163">
        <f>INDEX(Population[],MATCH($A$3,Population[County]),MATCH(I11,Population[#Headers]))</f>
        <v>24958</v>
      </c>
      <c r="J12" s="163">
        <f>INDEX(Population[],MATCH($A$3,Population[County]),MATCH(J11,Population[#Headers]))</f>
        <v>24988</v>
      </c>
      <c r="K12" s="163">
        <f>INDEX(Population[],MATCH($A$3,Population[County]),MATCH(K11,Population[#Headers]))</f>
        <v>24849</v>
      </c>
      <c r="L12" s="163">
        <f>INDEX(Population[],MATCH($A$3,Population[County]),MATCH(L11,Population[#Headers]))</f>
        <v>25007</v>
      </c>
      <c r="M12" s="163">
        <f>INDEX(Population[],MATCH($A$3,Population[County]),MATCH(M11,Population[#Headers]))</f>
        <v>24983</v>
      </c>
      <c r="N12" s="163">
        <f>INDEX(Population[],MATCH($A$3,Population[County]),MATCH(N11,Population[#Headers]))</f>
        <v>25399</v>
      </c>
      <c r="O12" s="163">
        <f>INDEX(Population[],MATCH($A$3,Population[County]),MATCH(O11,Population[#Headers]))</f>
        <v>25577</v>
      </c>
      <c r="P12" s="163">
        <f>INDEX(Population[],MATCH($A$3,Population[County]),MATCH(P11,Population[#Headers]))</f>
        <v>25597</v>
      </c>
      <c r="Q12" s="163">
        <f>INDEX(Population[],MATCH($A$3,Population[County]),MATCH(Q11,Population[#Headers]))</f>
        <v>25556</v>
      </c>
      <c r="R12" s="163">
        <f>INDEX(Population[],MATCH($A$3,Population[County]),MATCH(R11,Population[#Headers]))</f>
        <v>25581</v>
      </c>
      <c r="S12" s="163">
        <f>INDEX(Population[],MATCH($A$3,Population[County]),MATCH(S11,Population[#Headers]))</f>
        <v>25572</v>
      </c>
      <c r="T12" s="163">
        <f>INDEX(Population[],MATCH($A$3,Population[County]),MATCH(T11,Population[#Headers]))</f>
        <v>25564</v>
      </c>
      <c r="U12" s="163">
        <f>INDEX(Population[],MATCH($A$3,Population[County]),MATCH(U11,Population[#Headers]))</f>
        <v>25430</v>
      </c>
      <c r="V12" s="163">
        <f>INDEX(Population[],MATCH($A$3,Population[County]),MATCH(V11,Population[#Headers]))</f>
        <v>25359</v>
      </c>
      <c r="W12" s="163">
        <f>INDEX(Population[],MATCH($A$3,Population[County]),MATCH(W11,Population[#Headers]))</f>
        <v>25377</v>
      </c>
      <c r="X12" s="163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</row>
    <row r="13" spans="1:70" ht="16">
      <c r="A13" s="158" t="str">
        <f>CONCATENATE($A$5," County Population")</f>
        <v>Maries County Population</v>
      </c>
      <c r="B13" s="163">
        <f>INDEX(Population[],MATCH($A$5,Population[County]),MATCH(B11,Population[#Headers],0))</f>
        <v>8451</v>
      </c>
      <c r="C13" s="163">
        <f>INDEX(Population[],MATCH($A$5,Population[County]),MATCH(C11,Population[#Headers]))</f>
        <v>8567</v>
      </c>
      <c r="D13" s="163">
        <f>INDEX(Population[],MATCH($A$5,Population[County]),MATCH(D11,Population[#Headers]))</f>
        <v>8695</v>
      </c>
      <c r="E13" s="163">
        <f>INDEX(Population[],MATCH($A$5,Population[County]),MATCH(E11,Population[#Headers]))</f>
        <v>8776</v>
      </c>
      <c r="F13" s="163">
        <f>INDEX(Population[],MATCH($A$5,Population[County]),MATCH(F11,Population[#Headers]))</f>
        <v>8918</v>
      </c>
      <c r="G13" s="163">
        <f>INDEX(Population[],MATCH($A$5,Population[County]),MATCH(G11,Population[#Headers]))</f>
        <v>8822</v>
      </c>
      <c r="H13" s="163">
        <f>INDEX(Population[],MATCH($A$5,Population[County]),MATCH(H11,Population[#Headers]))</f>
        <v>8824</v>
      </c>
      <c r="I13" s="163">
        <f>INDEX(Population[],MATCH($A$5,Population[County]),MATCH(I11,Population[#Headers]))</f>
        <v>8850</v>
      </c>
      <c r="J13" s="163">
        <f>INDEX(Population[],MATCH($A$5,Population[County]),MATCH(J11,Population[#Headers]))</f>
        <v>9077</v>
      </c>
      <c r="K13" s="163">
        <f>INDEX(Population[],MATCH($A$5,Population[County]),MATCH(K11,Population[#Headers]))</f>
        <v>9170</v>
      </c>
      <c r="L13" s="163">
        <f>INDEX(Population[],MATCH($A$5,Population[County]),MATCH(L11,Population[#Headers]))</f>
        <v>9235</v>
      </c>
      <c r="M13" s="163">
        <f>INDEX(Population[],MATCH($A$5,Population[County]),MATCH(M11,Population[#Headers]))</f>
        <v>9281</v>
      </c>
      <c r="N13" s="163">
        <f>INDEX(Population[],MATCH($A$5,Population[County]),MATCH(N11,Population[#Headers]))</f>
        <v>9191</v>
      </c>
      <c r="O13" s="163">
        <f>INDEX(Population[],MATCH($A$5,Population[County]),MATCH(O11,Population[#Headers]))</f>
        <v>9122</v>
      </c>
      <c r="P13" s="163">
        <f>INDEX(Population[],MATCH($A$5,Population[County]),MATCH(P11,Population[#Headers]))</f>
        <v>12190</v>
      </c>
      <c r="Q13" s="163">
        <f>INDEX(Population[],MATCH($A$5,Population[County]),MATCH(Q11,Population[#Headers]))</f>
        <v>12322</v>
      </c>
      <c r="R13" s="163">
        <f>INDEX(Population[],MATCH($A$5,Population[County]),MATCH(R11,Population[#Headers]))</f>
        <v>12448</v>
      </c>
      <c r="S13" s="163">
        <f>INDEX(Population[],MATCH($A$5,Population[County]),MATCH(S11,Population[#Headers]))</f>
        <v>9018</v>
      </c>
      <c r="T13" s="163">
        <f>INDEX(Population[],MATCH($A$5,Population[County]),MATCH(T11,Population[#Headers]))</f>
        <v>8998</v>
      </c>
      <c r="U13" s="163">
        <f>INDEX(Population[],MATCH($A$5,Population[County]),MATCH(U11,Population[#Headers]))</f>
        <v>8958</v>
      </c>
      <c r="V13" s="163">
        <f>INDEX(Population[],MATCH($A$5,Population[County]),MATCH(V11,Population[#Headers]))</f>
        <v>8858</v>
      </c>
      <c r="W13" s="163">
        <f>INDEX(Population[],MATCH($A$5,Population[County]),MATCH(W11,Population[#Headers]))</f>
        <v>8867</v>
      </c>
      <c r="X13" s="163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</row>
    <row r="14" spans="1:70" ht="16">
      <c r="A14" s="155"/>
      <c r="B14" s="165"/>
      <c r="C14" s="180"/>
      <c r="D14" s="976"/>
      <c r="E14" s="976"/>
      <c r="F14" s="976"/>
      <c r="G14" s="976"/>
      <c r="H14" s="976"/>
      <c r="I14" s="165"/>
      <c r="J14" s="170"/>
      <c r="K14" s="170"/>
      <c r="L14" s="170"/>
      <c r="M14" s="170"/>
      <c r="N14" s="170"/>
      <c r="O14" s="170"/>
      <c r="P14" s="170"/>
      <c r="Q14" s="170"/>
      <c r="R14" s="153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</row>
    <row r="15" spans="1:70" ht="16">
      <c r="A15" s="175" t="str">
        <f>CONCATENATE($A$3," County and ",$A$5," County Real per Capita Income" )</f>
        <v>Adair County and Maries County Real per Capita Income</v>
      </c>
      <c r="B15" s="165"/>
      <c r="C15" s="180"/>
      <c r="D15" s="976"/>
      <c r="E15" s="976"/>
      <c r="F15" s="976"/>
      <c r="G15" s="976"/>
      <c r="H15" s="976"/>
      <c r="I15" s="165"/>
      <c r="J15" s="170"/>
      <c r="K15" s="170"/>
      <c r="L15" s="170"/>
      <c r="M15" s="170"/>
      <c r="N15" s="170"/>
      <c r="O15" s="170"/>
      <c r="P15" s="170"/>
      <c r="Q15" s="170"/>
      <c r="R15" s="153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</row>
    <row r="16" spans="1:70" ht="16">
      <c r="A16" s="303" t="s">
        <v>435</v>
      </c>
      <c r="B16" s="302" t="s">
        <v>409</v>
      </c>
      <c r="C16" s="302" t="s">
        <v>410</v>
      </c>
      <c r="D16" s="302" t="s">
        <v>411</v>
      </c>
      <c r="E16" s="302" t="s">
        <v>412</v>
      </c>
      <c r="F16" s="302" t="s">
        <v>413</v>
      </c>
      <c r="G16" s="302" t="s">
        <v>414</v>
      </c>
      <c r="H16" s="302" t="s">
        <v>415</v>
      </c>
      <c r="I16" s="302" t="s">
        <v>416</v>
      </c>
      <c r="J16" s="302" t="s">
        <v>417</v>
      </c>
      <c r="K16" s="302" t="s">
        <v>418</v>
      </c>
      <c r="L16" s="302" t="s">
        <v>419</v>
      </c>
      <c r="M16" s="302" t="s">
        <v>420</v>
      </c>
      <c r="N16" s="302" t="s">
        <v>421</v>
      </c>
      <c r="O16" s="302" t="s">
        <v>422</v>
      </c>
      <c r="P16" s="302" t="s">
        <v>423</v>
      </c>
      <c r="Q16" s="302" t="s">
        <v>355</v>
      </c>
      <c r="R16" s="302" t="s">
        <v>399</v>
      </c>
      <c r="S16" s="302" t="s">
        <v>424</v>
      </c>
      <c r="T16" s="302" t="s">
        <v>446</v>
      </c>
      <c r="U16" s="302" t="s">
        <v>523</v>
      </c>
      <c r="V16" s="302" t="s">
        <v>524</v>
      </c>
      <c r="W16" s="302" t="s">
        <v>525</v>
      </c>
      <c r="X16" s="302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</row>
    <row r="17" spans="1:70" ht="16">
      <c r="A17" s="158" t="str">
        <f>CONCATENATE($A$3," County Real per Capita Income")</f>
        <v>Adair County Real per Capita Income</v>
      </c>
      <c r="B17" s="426">
        <f>INDEX(RealPercapitaIncome[],MATCH($A$3,RealPercapitaIncome[AreaName]),MATCH(B16,RealPercapitaIncome[#Headers],0))</f>
        <v>17519.913193746735</v>
      </c>
      <c r="C17" s="426">
        <f>INDEX(RealPercapitaIncome[],MATCH($A$3,RealPercapitaIncome[AreaName]),MATCH(C16,RealPercapitaIncome[#Headers]))</f>
        <v>18009.953340545624</v>
      </c>
      <c r="D17" s="426">
        <f>INDEX(RealPercapitaIncome[],MATCH($A$3,RealPercapitaIncome[AreaName]),MATCH(D16,RealPercapitaIncome[#Headers]))</f>
        <v>18058.475499441527</v>
      </c>
      <c r="E17" s="426">
        <f>INDEX(RealPercapitaIncome[],MATCH($A$3,RealPercapitaIncome[AreaName]),MATCH(E16,RealPercapitaIncome[#Headers]))</f>
        <v>18298.335511441066</v>
      </c>
      <c r="F17" s="426">
        <f>INDEX(RealPercapitaIncome[],MATCH($A$3,RealPercapitaIncome[AreaName]),MATCH(F16,RealPercapitaIncome[#Headers]))</f>
        <v>18849.987057360329</v>
      </c>
      <c r="G17" s="426">
        <f>INDEX(RealPercapitaIncome[],MATCH($A$3,RealPercapitaIncome[AreaName]),MATCH(G16,RealPercapitaIncome[#Headers]))</f>
        <v>19064.373103496051</v>
      </c>
      <c r="H17" s="426">
        <f>INDEX(RealPercapitaIncome[],MATCH($A$3,RealPercapitaIncome[AreaName]),MATCH(H16,RealPercapitaIncome[#Headers]))</f>
        <v>18512.828379447845</v>
      </c>
      <c r="I17" s="426">
        <f>INDEX(RealPercapitaIncome[],MATCH($A$3,RealPercapitaIncome[AreaName]),MATCH(I16,RealPercapitaIncome[#Headers]))</f>
        <v>18468.038326127025</v>
      </c>
      <c r="J17" s="426">
        <f>INDEX(RealPercapitaIncome[],MATCH($A$3,RealPercapitaIncome[AreaName]),MATCH(J16,RealPercapitaIncome[#Headers]))</f>
        <v>18844.786672827948</v>
      </c>
      <c r="K17" s="426">
        <f>INDEX(RealPercapitaIncome[],MATCH($A$3,RealPercapitaIncome[AreaName]),MATCH(K16,RealPercapitaIncome[#Headers]))</f>
        <v>18889.293235906778</v>
      </c>
      <c r="L17" s="426">
        <f>INDEX(RealPercapitaIncome[],MATCH($A$3,RealPercapitaIncome[AreaName]),MATCH(L16,RealPercapitaIncome[#Headers]))</f>
        <v>18956.804237670596</v>
      </c>
      <c r="M17" s="426">
        <f>INDEX(RealPercapitaIncome[],MATCH($A$3,RealPercapitaIncome[AreaName]),MATCH(M16,RealPercapitaIncome[#Headers]))</f>
        <v>19427.184788981449</v>
      </c>
      <c r="N17" s="426">
        <f>INDEX(RealPercapitaIncome[],MATCH($A$3,RealPercapitaIncome[AreaName]),MATCH(N16,RealPercapitaIncome[#Headers]))</f>
        <v>19811.818005880839</v>
      </c>
      <c r="O17" s="426">
        <f>INDEX(RealPercapitaIncome[],MATCH($A$3,RealPercapitaIncome[AreaName]),MATCH(O16,RealPercapitaIncome[#Headers]))</f>
        <v>20570.68787126978</v>
      </c>
      <c r="P17" s="426">
        <f>INDEX(RealPercapitaIncome[],MATCH($A$3,RealPercapitaIncome[AreaName]),MATCH(P16,RealPercapitaIncome[#Headers]))</f>
        <v>19801.417420731243</v>
      </c>
      <c r="Q17" s="426">
        <f>INDEX(RealPercapitaIncome[],MATCH($A$3,RealPercapitaIncome[AreaName]),MATCH(Q16,RealPercapitaIncome[#Headers]))</f>
        <v>20039.768371950286</v>
      </c>
      <c r="R17" s="426">
        <f>INDEX(RealPercapitaIncome[],MATCH($A$3,RealPercapitaIncome[AreaName]),MATCH(R16,RealPercapitaIncome[#Headers]))</f>
        <v>20199.668053504647</v>
      </c>
      <c r="S17" s="426">
        <f>INDEX(RealPercapitaIncome[],MATCH($A$3,RealPercapitaIncome[AreaName]),MATCH(S16,RealPercapitaIncome[#Headers]))</f>
        <v>20625.212087819978</v>
      </c>
      <c r="T17" s="426">
        <f>INDEX(RealPercapitaIncome[],MATCH($A$3,RealPercapitaIncome[AreaName]),MATCH(T16,RealPercapitaIncome[#Headers]))</f>
        <v>19594.562346615272</v>
      </c>
      <c r="U17" s="426">
        <f>INDEX(RealPercapitaIncome[],MATCH($A$3,RealPercapitaIncome[AreaName]),MATCH(U16,RealPercapitaIncome[#Headers]))</f>
        <v>19942.817599818718</v>
      </c>
      <c r="V17" s="426">
        <f>INDEX(RealPercapitaIncome[],MATCH($A$3,RealPercapitaIncome[AreaName]),MATCH(V16,RealPercapitaIncome[#Headers]))</f>
        <v>19727.727478724195</v>
      </c>
      <c r="W17" s="426">
        <f>INDEX(RealPercapitaIncome[],MATCH($A$3,RealPercapitaIncome[AreaName]),MATCH(W16,RealPercapitaIncome[#Headers]))</f>
        <v>20506.990966563644</v>
      </c>
      <c r="X17" s="426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</row>
    <row r="18" spans="1:70" ht="16">
      <c r="A18" s="158" t="str">
        <f>CONCATENATE($A$5," County Real per Capita Income")</f>
        <v>Maries County Real per Capita Income</v>
      </c>
      <c r="B18" s="426">
        <f>INDEX(RealPercapitaIncome[],MATCH($A$5,RealPercapitaIncome[AreaName]),MATCH(B16,RealPercapitaIncome[#Headers],0))</f>
        <v>17241.983197254762</v>
      </c>
      <c r="C18" s="426">
        <f>INDEX(RealPercapitaIncome[],MATCH($A$5,RealPercapitaIncome[AreaName]),MATCH(C16,RealPercapitaIncome[#Headers]))</f>
        <v>18245.426648004894</v>
      </c>
      <c r="D18" s="426">
        <f>INDEX(RealPercapitaIncome[],MATCH($A$5,RealPercapitaIncome[AreaName]),MATCH(D16,RealPercapitaIncome[#Headers]))</f>
        <v>18133.41706149434</v>
      </c>
      <c r="E18" s="426">
        <f>INDEX(RealPercapitaIncome[],MATCH($A$5,RealPercapitaIncome[AreaName]),MATCH(E16,RealPercapitaIncome[#Headers]))</f>
        <v>18495.138164655105</v>
      </c>
      <c r="F18" s="426">
        <f>INDEX(RealPercapitaIncome[],MATCH($A$5,RealPercapitaIncome[AreaName]),MATCH(F16,RealPercapitaIncome[#Headers]))</f>
        <v>18392.496130052132</v>
      </c>
      <c r="G18" s="426">
        <f>INDEX(RealPercapitaIncome[],MATCH($A$5,RealPercapitaIncome[AreaName]),MATCH(G16,RealPercapitaIncome[#Headers]))</f>
        <v>19220.643210002814</v>
      </c>
      <c r="H18" s="426">
        <f>INDEX(RealPercapitaIncome[],MATCH($A$5,RealPercapitaIncome[AreaName]),MATCH(H16,RealPercapitaIncome[#Headers]))</f>
        <v>18847.124069632722</v>
      </c>
      <c r="I18" s="426">
        <f>INDEX(RealPercapitaIncome[],MATCH($A$5,RealPercapitaIncome[AreaName]),MATCH(I16,RealPercapitaIncome[#Headers]))</f>
        <v>19097.01547531319</v>
      </c>
      <c r="J18" s="426">
        <f>INDEX(RealPercapitaIncome[],MATCH($A$5,RealPercapitaIncome[AreaName]),MATCH(J16,RealPercapitaIncome[#Headers]))</f>
        <v>19897.022433736005</v>
      </c>
      <c r="K18" s="426">
        <f>INDEX(RealPercapitaIncome[],MATCH($A$5,RealPercapitaIncome[AreaName]),MATCH(K16,RealPercapitaIncome[#Headers]))</f>
        <v>19692.257528473096</v>
      </c>
      <c r="L18" s="426">
        <f>INDEX(RealPercapitaIncome[],MATCH($A$5,RealPercapitaIncome[AreaName]),MATCH(L16,RealPercapitaIncome[#Headers]))</f>
        <v>19437.799230412253</v>
      </c>
      <c r="M18" s="426">
        <f>INDEX(RealPercapitaIncome[],MATCH($A$5,RealPercapitaIncome[AreaName]),MATCH(M16,RealPercapitaIncome[#Headers]))</f>
        <v>19783.262572541571</v>
      </c>
      <c r="N18" s="426">
        <f>INDEX(RealPercapitaIncome[],MATCH($A$5,RealPercapitaIncome[AreaName]),MATCH(N16,RealPercapitaIncome[#Headers]))</f>
        <v>21195.475954127625</v>
      </c>
      <c r="O18" s="426">
        <f>INDEX(RealPercapitaIncome[],MATCH($A$5,RealPercapitaIncome[AreaName]),MATCH(O16,RealPercapitaIncome[#Headers]))</f>
        <v>21991.341874501293</v>
      </c>
      <c r="P18" s="426">
        <f>INDEX(RealPercapitaIncome[],MATCH($A$5,RealPercapitaIncome[AreaName]),MATCH(P16,RealPercapitaIncome[#Headers]))</f>
        <v>16896.497646155607</v>
      </c>
      <c r="Q18" s="426">
        <f>INDEX(RealPercapitaIncome[],MATCH($A$5,RealPercapitaIncome[AreaName]),MATCH(Q16,RealPercapitaIncome[#Headers]))</f>
        <v>17016.785056665969</v>
      </c>
      <c r="R18" s="426">
        <f>INDEX(RealPercapitaIncome[],MATCH($A$5,RealPercapitaIncome[AreaName]),MATCH(R16,RealPercapitaIncome[#Headers]))</f>
        <v>17159.717044839159</v>
      </c>
      <c r="S18" s="426">
        <f>INDEX(RealPercapitaIncome[],MATCH($A$5,RealPercapitaIncome[AreaName]),MATCH(S16,RealPercapitaIncome[#Headers]))</f>
        <v>24282.831975955884</v>
      </c>
      <c r="T18" s="426">
        <f>INDEX(RealPercapitaIncome[],MATCH($A$5,RealPercapitaIncome[AreaName]),MATCH(T16,RealPercapitaIncome[#Headers]))</f>
        <v>21754.820605804631</v>
      </c>
      <c r="U18" s="426">
        <f>INDEX(RealPercapitaIncome[],MATCH($A$5,RealPercapitaIncome[AreaName]),MATCH(U16,RealPercapitaIncome[#Headers]))</f>
        <v>22128.741017644177</v>
      </c>
      <c r="V18" s="426">
        <f>INDEX(RealPercapitaIncome[],MATCH($A$5,RealPercapitaIncome[AreaName]),MATCH(V16,RealPercapitaIncome[#Headers]))</f>
        <v>22014.230491092876</v>
      </c>
      <c r="W18" s="426">
        <f>INDEX(RealPercapitaIncome[],MATCH($A$5,RealPercapitaIncome[AreaName]),MATCH(W16,RealPercapitaIncome[#Headers]))</f>
        <v>20454.225544314428</v>
      </c>
      <c r="X18" s="426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</row>
    <row r="19" spans="1:70" ht="16">
      <c r="A19" s="170"/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53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</row>
    <row r="20" spans="1:70" ht="16">
      <c r="A20" s="175" t="str">
        <f>CONCATENATE($A$3," County and ",$A$5," County General Revenue Receipts &amp; Expenditures: Real per Capita" )</f>
        <v>Adair County and Maries County General Revenue Receipts &amp; Expenditures: Real per Capita</v>
      </c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3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</row>
    <row r="21" spans="1:70" ht="16">
      <c r="A21" s="311" t="s">
        <v>435</v>
      </c>
      <c r="B21" s="302" t="s">
        <v>409</v>
      </c>
      <c r="C21" s="302" t="s">
        <v>410</v>
      </c>
      <c r="D21" s="302" t="s">
        <v>411</v>
      </c>
      <c r="E21" s="302" t="s">
        <v>412</v>
      </c>
      <c r="F21" s="302" t="s">
        <v>413</v>
      </c>
      <c r="G21" s="302" t="s">
        <v>414</v>
      </c>
      <c r="H21" s="302" t="s">
        <v>415</v>
      </c>
      <c r="I21" s="302" t="s">
        <v>416</v>
      </c>
      <c r="J21" s="302" t="s">
        <v>417</v>
      </c>
      <c r="K21" s="302" t="s">
        <v>418</v>
      </c>
      <c r="L21" s="302" t="s">
        <v>419</v>
      </c>
      <c r="M21" s="302" t="s">
        <v>420</v>
      </c>
      <c r="N21" s="302" t="s">
        <v>421</v>
      </c>
      <c r="O21" s="302" t="s">
        <v>422</v>
      </c>
      <c r="P21" s="302" t="s">
        <v>423</v>
      </c>
      <c r="Q21" s="302" t="s">
        <v>355</v>
      </c>
      <c r="R21" s="302" t="s">
        <v>399</v>
      </c>
      <c r="S21" s="302" t="s">
        <v>424</v>
      </c>
      <c r="T21" s="302" t="s">
        <v>446</v>
      </c>
      <c r="U21" s="302" t="s">
        <v>523</v>
      </c>
      <c r="V21" s="302" t="s">
        <v>524</v>
      </c>
      <c r="W21" s="302" t="s">
        <v>525</v>
      </c>
      <c r="X21" s="302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</row>
    <row r="22" spans="1:70" ht="16">
      <c r="A22" s="158" t="str">
        <f>CONCATENATE($A$3," County General Revenue Receipts")</f>
        <v>Adair County General Revenue Receipts</v>
      </c>
      <c r="B22" s="165">
        <f>(INDEX(GeneralRevenueFundReceiptsTotalReceiptsTable[],MATCH($A$3,GeneralRevenueFundReceiptsTotalReceiptsTable[County]),MATCH(B21,GeneralRevenueFundReceiptsTotalReceiptsTable[#Headers],0))/INDEX(Population[],MATCH($A$3,Population[County]),MATCH(B21,Population[#Headers],0)))/(INDEX(MCINormalized[],1,MATCH(B21,MCINormalized[#Headers],0))/100)</f>
        <v>77.533818269501268</v>
      </c>
      <c r="C22" s="165">
        <f>(INDEX(GeneralRevenueFundReceiptsTotalReceiptsTable[],MATCH($A$3,GeneralRevenueFundReceiptsTotalReceiptsTable[County]),MATCH(C21,GeneralRevenueFundReceiptsTotalReceiptsTable[#Headers]))/INDEX(Population[],MATCH($A$3,Population[County]),MATCH(C21,Population[#Headers])))/(INDEX(MCINormalized[],1,MATCH(C21,MCINormalized[#Headers]))/100)</f>
        <v>86.702914787481745</v>
      </c>
      <c r="D22" s="165">
        <f>(INDEX(GeneralRevenueFundReceiptsTotalReceiptsTable[],MATCH($A$3,GeneralRevenueFundReceiptsTotalReceiptsTable[County]),MATCH(D21,GeneralRevenueFundReceiptsTotalReceiptsTable[#Headers]))/INDEX(Population[],MATCH($A$3,Population[County]),MATCH(D21,Population[#Headers])))/(INDEX(MCINormalized[],1,MATCH(D21,MCINormalized[#Headers]))/100)</f>
        <v>71.221720333173621</v>
      </c>
      <c r="E22" s="165">
        <f>(INDEX(GeneralRevenueFundReceiptsTotalReceiptsTable[],MATCH($A$3,GeneralRevenueFundReceiptsTotalReceiptsTable[County]),MATCH(E21,GeneralRevenueFundReceiptsTotalReceiptsTable[#Headers]))/INDEX(Population[],MATCH($A$3,Population[County]),MATCH(E21,Population[#Headers])))/(INDEX(MCINormalized[],1,MATCH(E21,MCINormalized[#Headers]))/100)</f>
        <v>71.713833919053968</v>
      </c>
      <c r="F22" s="165">
        <f>(INDEX(GeneralRevenueFundReceiptsTotalReceiptsTable[],MATCH($A$3,GeneralRevenueFundReceiptsTotalReceiptsTable[County]),MATCH(F21,GeneralRevenueFundReceiptsTotalReceiptsTable[#Headers]))/INDEX(Population[],MATCH($A$3,Population[County]),MATCH(F21,Population[#Headers])))/(INDEX(MCINormalized[],1,MATCH(F21,MCINormalized[#Headers]))/100)</f>
        <v>72.79615835532222</v>
      </c>
      <c r="G22" s="165">
        <f>(INDEX(GeneralRevenueFundReceiptsTotalReceiptsTable[],MATCH($A$3,GeneralRevenueFundReceiptsTotalReceiptsTable[County]),MATCH(G21,GeneralRevenueFundReceiptsTotalReceiptsTable[#Headers]))/INDEX(Population[],MATCH($A$3,Population[County]),MATCH(G21,Population[#Headers])))/(INDEX(MCINormalized[],1,MATCH(G21,MCINormalized[#Headers]))/100)</f>
        <v>66.687437498799227</v>
      </c>
      <c r="H22" s="165">
        <f>(INDEX(GeneralRevenueFundReceiptsTotalReceiptsTable[],MATCH($A$3,GeneralRevenueFundReceiptsTotalReceiptsTable[County]),MATCH(H21,GeneralRevenueFundReceiptsTotalReceiptsTable[#Headers]))/INDEX(Population[],MATCH($A$3,Population[County]),MATCH(H21,Population[#Headers])))/(INDEX(MCINormalized[],1,MATCH(H21,MCINormalized[#Headers]))/100)</f>
        <v>71.209218867814329</v>
      </c>
      <c r="I22" s="165">
        <f>(INDEX(GeneralRevenueFundReceiptsTotalReceiptsTable[],MATCH($A$3,GeneralRevenueFundReceiptsTotalReceiptsTable[County]),MATCH(I21,GeneralRevenueFundReceiptsTotalReceiptsTable[#Headers]))/INDEX(Population[],MATCH($A$3,Population[County]),MATCH(I21,Population[#Headers])))/(INDEX(MCINormalized[],1,MATCH(I21,MCINormalized[#Headers]))/100)</f>
        <v>88.595735209586849</v>
      </c>
      <c r="J22" s="165">
        <f>(INDEX(GeneralRevenueFundReceiptsTotalReceiptsTable[],MATCH($A$3,GeneralRevenueFundReceiptsTotalReceiptsTable[County]),MATCH(J21,GeneralRevenueFundReceiptsTotalReceiptsTable[#Headers]))/INDEX(Population[],MATCH($A$3,Population[County]),MATCH(J21,Population[#Headers])))/(INDEX(MCINormalized[],1,MATCH(J21,MCINormalized[#Headers]))/100)</f>
        <v>62.419580478599023</v>
      </c>
      <c r="K22" s="165">
        <f>(INDEX(GeneralRevenueFundReceiptsTotalReceiptsTable[],MATCH($A$3,GeneralRevenueFundReceiptsTotalReceiptsTable[County]),MATCH(K21,GeneralRevenueFundReceiptsTotalReceiptsTable[#Headers]))/INDEX(Population[],MATCH($A$3,Population[County]),MATCH(K21,Population[#Headers])))/(INDEX(MCINormalized[],1,MATCH(K21,MCINormalized[#Headers]))/100)</f>
        <v>61.622936493212777</v>
      </c>
      <c r="L22" s="165">
        <f>(INDEX(GeneralRevenueFundReceiptsTotalReceiptsTable[],MATCH($A$3,GeneralRevenueFundReceiptsTotalReceiptsTable[County]),MATCH(L21,GeneralRevenueFundReceiptsTotalReceiptsTable[#Headers]))/INDEX(Population[],MATCH($A$3,Population[County]),MATCH(L21,Population[#Headers])))/(INDEX(MCINormalized[],1,MATCH(L21,MCINormalized[#Headers]))/100)</f>
        <v>61.340661136310388</v>
      </c>
      <c r="M22" s="165">
        <f>(INDEX(GeneralRevenueFundReceiptsTotalReceiptsTable[],MATCH($A$3,GeneralRevenueFundReceiptsTotalReceiptsTable[County]),MATCH(M21,GeneralRevenueFundReceiptsTotalReceiptsTable[#Headers]))/INDEX(Population[],MATCH($A$3,Population[County]),MATCH(M21,Population[#Headers])))/(INDEX(MCINormalized[],1,MATCH(M21,MCINormalized[#Headers]))/100)</f>
        <v>61.418530080936314</v>
      </c>
      <c r="N22" s="165">
        <f>(INDEX(GeneralRevenueFundReceiptsTotalReceiptsTable[],MATCH($A$3,GeneralRevenueFundReceiptsTotalReceiptsTable[County]),MATCH(N21,GeneralRevenueFundReceiptsTotalReceiptsTable[#Headers]))/INDEX(Population[],MATCH($A$3,Population[County]),MATCH(N21,Population[#Headers])))/(INDEX(MCINormalized[],1,MATCH(N21,MCINormalized[#Headers]))/100)</f>
        <v>59.832382387294764</v>
      </c>
      <c r="O22" s="165">
        <f>(INDEX(GeneralRevenueFundReceiptsTotalReceiptsTable[],MATCH($A$3,GeneralRevenueFundReceiptsTotalReceiptsTable[County]),MATCH(O21,GeneralRevenueFundReceiptsTotalReceiptsTable[#Headers]))/INDEX(Population[],MATCH($A$3,Population[County]),MATCH(O21,Population[#Headers])))/(INDEX(MCINormalized[],1,MATCH(O21,MCINormalized[#Headers]))/100)</f>
        <v>66.984122397320789</v>
      </c>
      <c r="P22" s="165">
        <f>(INDEX(GeneralRevenueFundReceiptsTotalReceiptsTable[],MATCH($A$3,GeneralRevenueFundReceiptsTotalReceiptsTable[County]),MATCH(P21,GeneralRevenueFundReceiptsTotalReceiptsTable[#Headers]))/INDEX(Population[],MATCH($A$3,Population[County]),MATCH(P21,Population[#Headers])))/(INDEX(MCINormalized[],1,MATCH(P21,MCINormalized[#Headers]))/100)</f>
        <v>66.376001525297752</v>
      </c>
      <c r="Q22" s="165">
        <f>(INDEX(GeneralRevenueFundReceiptsTotalReceiptsTable[],MATCH($A$3,GeneralRevenueFundReceiptsTotalReceiptsTable[County]),MATCH(Q21,GeneralRevenueFundReceiptsTotalReceiptsTable[#Headers]))/INDEX(Population[],MATCH($A$3,Population[County]),MATCH(Q21,Population[#Headers])))/(INDEX(MCINormalized[],1,MATCH(Q21,MCINormalized[#Headers]))/100)</f>
        <v>61.088458352440512</v>
      </c>
      <c r="R22" s="165">
        <f>(INDEX(GeneralRevenueFundReceiptsTotalReceiptsTable[],MATCH($A$3,GeneralRevenueFundReceiptsTotalReceiptsTable[County]),MATCH(R21,GeneralRevenueFundReceiptsTotalReceiptsTable[#Headers]))/INDEX(Population[],MATCH($A$3,Population[County]),MATCH(R21,Population[#Headers])))/(INDEX(MCINormalized[],1,MATCH(R21,MCINormalized[#Headers]))/100)</f>
        <v>60.542969187920313</v>
      </c>
      <c r="S22" s="165">
        <f>(INDEX(GeneralRevenueFundReceiptsTotalReceiptsTable[],MATCH($A$3,GeneralRevenueFundReceiptsTotalReceiptsTable[County]),MATCH(S21,GeneralRevenueFundReceiptsTotalReceiptsTable[#Headers]))/INDEX(Population[],MATCH($A$3,Population[County]),MATCH(S21,Population[#Headers])))/(INDEX(MCINormalized[],1,MATCH(S21,MCINormalized[#Headers]))/100)</f>
        <v>56.605194532811716</v>
      </c>
      <c r="T22" s="165">
        <f>(INDEX(GeneralRevenueFundReceiptsTotalReceiptsTable[],MATCH($A$3,GeneralRevenueFundReceiptsTotalReceiptsTable[County]),MATCH(T21,GeneralRevenueFundReceiptsTotalReceiptsTable[#Headers]))/INDEX(Population[],MATCH($A$3,Population[County]),MATCH(T21,Population[#Headers])))/(INDEX(MCINormalized[],1,MATCH(T21,MCINormalized[#Headers]))/100)</f>
        <v>62.683745831497362</v>
      </c>
      <c r="U22" s="165">
        <f>(INDEX(GeneralRevenueFundReceiptsTotalReceiptsTable[],MATCH($A$3,GeneralRevenueFundReceiptsTotalReceiptsTable[County]),MATCH(U21,GeneralRevenueFundReceiptsTotalReceiptsTable[#Headers]))/INDEX(Population[],MATCH($A$3,Population[County]),MATCH(U21,Population[#Headers])))/(INDEX(MCINormalized[],1,MATCH(U21,MCINormalized[#Headers]))/100)</f>
        <v>56.794518219323457</v>
      </c>
      <c r="V22" s="165">
        <f>(INDEX(GeneralRevenueFundReceiptsTotalReceiptsTable[],MATCH($A$3,GeneralRevenueFundReceiptsTotalReceiptsTable[County]),MATCH(V21,GeneralRevenueFundReceiptsTotalReceiptsTable[#Headers]))/INDEX(Population[],MATCH($A$3,Population[County]),MATCH(V21,Population[#Headers])))/(INDEX(MCINormalized[],1,MATCH(V21,MCINormalized[#Headers]))/100)</f>
        <v>53.869001154262371</v>
      </c>
      <c r="W22" s="165">
        <f>(INDEX(GeneralRevenueFundReceiptsTotalReceiptsTable[],MATCH($A$3,GeneralRevenueFundReceiptsTotalReceiptsTable[County]),MATCH(W21,GeneralRevenueFundReceiptsTotalReceiptsTable[#Headers]))/INDEX(Population[],MATCH($A$3,Population[County]),MATCH(W21,Population[#Headers])))/(INDEX(MCINormalized[],1,MATCH(W21,MCINormalized[#Headers]))/100)</f>
        <v>52.547445779456169</v>
      </c>
      <c r="X22" s="165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</row>
    <row r="23" spans="1:70" ht="16">
      <c r="A23" s="158" t="str">
        <f>CONCATENATE($A$3," County General Revenue Expenditures")</f>
        <v>Adair County General Revenue Expenditures</v>
      </c>
      <c r="B23" s="165">
        <f>(INDEX(GeneralRevenueFundTotalExpendituresTable[],MATCH($A$3,GeneralRevenueFundTotalExpendituresTable[County]),MATCH(B21,GeneralRevenueFundTotalExpendituresTable[#Headers],0))/INDEX(Population[],MATCH($A$3,Population[County]),MATCH(B21,Population[#Headers],0)))/(INDEX(MCINormalized[],1,MATCH(B21,MCINormalized[#Headers],0))/100)</f>
        <v>87.237712494474138</v>
      </c>
      <c r="C23" s="165">
        <f>(INDEX(GeneralRevenueFundTotalExpendituresTable[],MATCH($A$3,GeneralRevenueFundTotalExpendituresTable[County]),MATCH(C21,GeneralRevenueFundTotalExpendituresTable[#Headers]))/INDEX(Population[],MATCH($A$3,Population[County]),MATCH(C21,Population[#Headers])))/(INDEX(MCINormalized[],1,MATCH(C21,MCINormalized[#Headers]))/100)</f>
        <v>86.742067692317192</v>
      </c>
      <c r="D23" s="165">
        <f>(INDEX(GeneralRevenueFundTotalExpendituresTable[],MATCH($A$3,GeneralRevenueFundTotalExpendituresTable[County]),MATCH(D21,GeneralRevenueFundTotalExpendituresTable[#Headers]))/INDEX(Population[],MATCH($A$3,Population[County]),MATCH(D21,Population[#Headers])))/(INDEX(MCINormalized[],1,MATCH(D21,MCINormalized[#Headers]))/100)</f>
        <v>69.355815169850842</v>
      </c>
      <c r="E23" s="165">
        <f>(INDEX(GeneralRevenueFundTotalExpendituresTable[],MATCH($A$3,GeneralRevenueFundTotalExpendituresTable[County]),MATCH(E21,GeneralRevenueFundTotalExpendituresTable[#Headers]))/INDEX(Population[],MATCH($A$3,Population[County]),MATCH(E21,Population[#Headers])))/(INDEX(MCINormalized[],1,MATCH(E21,MCINormalized[#Headers]))/100)</f>
        <v>73.109757052262935</v>
      </c>
      <c r="F23" s="165">
        <f>(INDEX(GeneralRevenueFundTotalExpendituresTable[],MATCH($A$3,GeneralRevenueFundTotalExpendituresTable[County]),MATCH(F21,GeneralRevenueFundTotalExpendituresTable[#Headers]))/INDEX(Population[],MATCH($A$3,Population[County]),MATCH(F21,Population[#Headers])))/(INDEX(MCINormalized[],1,MATCH(F21,MCINormalized[#Headers]))/100)</f>
        <v>64.887219896595127</v>
      </c>
      <c r="G23" s="165">
        <f>(INDEX(GeneralRevenueFundTotalExpendituresTable[],MATCH($A$3,GeneralRevenueFundTotalExpendituresTable[County]),MATCH(G21,GeneralRevenueFundTotalExpendituresTable[#Headers]))/INDEX(Population[],MATCH($A$3,Population[County]),MATCH(G21,Population[#Headers])))/(INDEX(MCINormalized[],1,MATCH(G21,MCINormalized[#Headers]))/100)</f>
        <v>62.816912633619474</v>
      </c>
      <c r="H23" s="165">
        <f>(INDEX(GeneralRevenueFundTotalExpendituresTable[],MATCH($A$3,GeneralRevenueFundTotalExpendituresTable[County]),MATCH(H21,GeneralRevenueFundTotalExpendituresTable[#Headers]))/INDEX(Population[],MATCH($A$3,Population[County]),MATCH(H21,Population[#Headers])))/(INDEX(MCINormalized[],1,MATCH(H21,MCINormalized[#Headers]))/100)</f>
        <v>67.79278392891004</v>
      </c>
      <c r="I23" s="165">
        <f>(INDEX(GeneralRevenueFundTotalExpendituresTable[],MATCH($A$3,GeneralRevenueFundTotalExpendituresTable[County]),MATCH(I21,GeneralRevenueFundTotalExpendituresTable[#Headers]))/INDEX(Population[],MATCH($A$3,Population[County]),MATCH(I21,Population[#Headers])))/(INDEX(MCINormalized[],1,MATCH(I21,MCINormalized[#Headers]))/100)</f>
        <v>86.89148788354548</v>
      </c>
      <c r="J23" s="165">
        <f>(INDEX(GeneralRevenueFundTotalExpendituresTable[],MATCH($A$3,GeneralRevenueFundTotalExpendituresTable[County]),MATCH(J21,GeneralRevenueFundTotalExpendituresTable[#Headers]))/INDEX(Population[],MATCH($A$3,Population[County]),MATCH(J21,Population[#Headers])))/(INDEX(MCINormalized[],1,MATCH(J21,MCINormalized[#Headers]))/100)</f>
        <v>71.024044169098332</v>
      </c>
      <c r="K23" s="165">
        <f>(INDEX(GeneralRevenueFundTotalExpendituresTable[],MATCH($A$3,GeneralRevenueFundTotalExpendituresTable[County]),MATCH(K21,GeneralRevenueFundTotalExpendituresTable[#Headers]))/INDEX(Population[],MATCH($A$3,Population[County]),MATCH(K21,Population[#Headers])))/(INDEX(MCINormalized[],1,MATCH(K21,MCINormalized[#Headers]))/100)</f>
        <v>59.776353639577472</v>
      </c>
      <c r="L23" s="165">
        <f>(INDEX(GeneralRevenueFundTotalExpendituresTable[],MATCH($A$3,GeneralRevenueFundTotalExpendituresTable[County]),MATCH(L21,GeneralRevenueFundTotalExpendituresTable[#Headers]))/INDEX(Population[],MATCH($A$3,Population[County]),MATCH(L21,Population[#Headers])))/(INDEX(MCINormalized[],1,MATCH(L21,MCINormalized[#Headers]))/100)</f>
        <v>55.075122613882378</v>
      </c>
      <c r="M23" s="165">
        <f>(INDEX(GeneralRevenueFundTotalExpendituresTable[],MATCH($A$3,GeneralRevenueFundTotalExpendituresTable[County]),MATCH(M21,GeneralRevenueFundTotalExpendituresTable[#Headers]))/INDEX(Population[],MATCH($A$3,Population[County]),MATCH(M21,Population[#Headers])))/(INDEX(MCINormalized[],1,MATCH(M21,MCINormalized[#Headers]))/100)</f>
        <v>50.667782978101741</v>
      </c>
      <c r="N23" s="165">
        <f>(INDEX(GeneralRevenueFundTotalExpendituresTable[],MATCH($A$3,GeneralRevenueFundTotalExpendituresTable[County]),MATCH(N21,GeneralRevenueFundTotalExpendituresTable[#Headers]))/INDEX(Population[],MATCH($A$3,Population[County]),MATCH(N21,Population[#Headers])))/(INDEX(MCINormalized[],1,MATCH(N21,MCINormalized[#Headers]))/100)</f>
        <v>63.988172832200469</v>
      </c>
      <c r="O23" s="165">
        <f>(INDEX(GeneralRevenueFundTotalExpendituresTable[],MATCH($A$3,GeneralRevenueFundTotalExpendituresTable[County]),MATCH(O21,GeneralRevenueFundTotalExpendituresTable[#Headers]))/INDEX(Population[],MATCH($A$3,Population[County]),MATCH(O21,Population[#Headers])))/(INDEX(MCINormalized[],1,MATCH(O21,MCINormalized[#Headers]))/100)</f>
        <v>56.620994111771552</v>
      </c>
      <c r="P23" s="165">
        <f>(INDEX(GeneralRevenueFundTotalExpendituresTable[],MATCH($A$3,GeneralRevenueFundTotalExpendituresTable[County]),MATCH(P21,GeneralRevenueFundTotalExpendituresTable[#Headers]))/INDEX(Population[],MATCH($A$3,Population[County]),MATCH(P21,Population[#Headers])))/(INDEX(MCINormalized[],1,MATCH(P21,MCINormalized[#Headers]))/100)</f>
        <v>64.31932766658035</v>
      </c>
      <c r="Q23" s="165">
        <f>(INDEX(GeneralRevenueFundTotalExpendituresTable[],MATCH($A$3,GeneralRevenueFundTotalExpendituresTable[County]),MATCH(Q21,GeneralRevenueFundTotalExpendituresTable[#Headers]))/INDEX(Population[],MATCH($A$3,Population[County]),MATCH(Q21,Population[#Headers])))/(INDEX(MCINormalized[],1,MATCH(Q21,MCINormalized[#Headers]))/100)</f>
        <v>56.194840425726063</v>
      </c>
      <c r="R23" s="165">
        <f>(INDEX(GeneralRevenueFundTotalExpendituresTable[],MATCH($A$3,GeneralRevenueFundTotalExpendituresTable[County]),MATCH(R21,GeneralRevenueFundTotalExpendituresTable[#Headers]))/INDEX(Population[],MATCH($A$3,Population[County]),MATCH(R21,Population[#Headers])))/(INDEX(MCINormalized[],1,MATCH(R21,MCINormalized[#Headers]))/100)</f>
        <v>63.696008667733345</v>
      </c>
      <c r="S23" s="165">
        <f>(INDEX(GeneralRevenueFundTotalExpendituresTable[],MATCH($A$3,GeneralRevenueFundTotalExpendituresTable[County]),MATCH(S21,GeneralRevenueFundTotalExpendituresTable[#Headers]))/INDEX(Population[],MATCH($A$3,Population[County]),MATCH(S21,Population[#Headers])))/(INDEX(MCINormalized[],1,MATCH(S21,MCINormalized[#Headers]))/100)</f>
        <v>62.368343769739297</v>
      </c>
      <c r="T23" s="165">
        <f>(INDEX(GeneralRevenueFundTotalExpendituresTable[],MATCH($A$3,GeneralRevenueFundTotalExpendituresTable[County]),MATCH(T21,GeneralRevenueFundTotalExpendituresTable[#Headers]))/INDEX(Population[],MATCH($A$3,Population[County]),MATCH(T21,Population[#Headers])))/(INDEX(MCINormalized[],1,MATCH(T21,MCINormalized[#Headers]))/100)</f>
        <v>60.171898933675841</v>
      </c>
      <c r="U23" s="165">
        <f>(INDEX(GeneralRevenueFundTotalExpendituresTable[],MATCH($A$3,GeneralRevenueFundTotalExpendituresTable[County]),MATCH(U21,GeneralRevenueFundTotalExpendituresTable[#Headers]))/INDEX(Population[],MATCH($A$3,Population[County]),MATCH(U21,Population[#Headers])))/(INDEX(MCINormalized[],1,MATCH(U21,MCINormalized[#Headers]))/100)</f>
        <v>66.676592399151914</v>
      </c>
      <c r="V23" s="165">
        <f>(INDEX(GeneralRevenueFundTotalExpendituresTable[],MATCH($A$3,GeneralRevenueFundTotalExpendituresTable[County]),MATCH(V21,GeneralRevenueFundTotalExpendituresTable[#Headers]))/INDEX(Population[],MATCH($A$3,Population[County]),MATCH(V21,Population[#Headers])))/(INDEX(MCINormalized[],1,MATCH(V21,MCINormalized[#Headers]))/100)</f>
        <v>57.600439653286841</v>
      </c>
      <c r="W23" s="165">
        <f>(INDEX(GeneralRevenueFundTotalExpendituresTable[],MATCH($A$3,GeneralRevenueFundTotalExpendituresTable[County]),MATCH(W21,GeneralRevenueFundTotalExpendituresTable[#Headers]))/INDEX(Population[],MATCH($A$3,Population[County]),MATCH(W21,Population[#Headers])))/(INDEX(MCINormalized[],1,MATCH(W21,MCINormalized[#Headers]))/100)</f>
        <v>65.198639783781744</v>
      </c>
      <c r="X23" s="165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</row>
    <row r="24" spans="1:70" ht="16">
      <c r="A24" s="158" t="str">
        <f>CONCATENATE($A$5," County General Revenue Receipts")</f>
        <v>Maries County General Revenue Receipts</v>
      </c>
      <c r="B24" s="165">
        <f>(INDEX(GeneralRevenueFundReceiptsTotalReceiptsTable[],MATCH($A$5,GeneralRevenueFundReceiptsTotalReceiptsTable[County]),MATCH(B21,GeneralRevenueFundReceiptsTotalReceiptsTable[#Headers],0))/INDEX(Population[],MATCH($A$5,Population[County]),MATCH(B21,Population[#Headers],0)))/(INDEX(MCINormalized[],1,MATCH(B21,MCINormalized[#Headers],0))/100)</f>
        <v>88.037865341379714</v>
      </c>
      <c r="C24" s="165">
        <f>(INDEX(GeneralRevenueFundReceiptsTotalReceiptsTable[],MATCH($A$5,GeneralRevenueFundReceiptsTotalReceiptsTable[County]),MATCH(C21,GeneralRevenueFundReceiptsTotalReceiptsTable[#Headers]))/INDEX(Population[],MATCH($A$5,Population[County]),MATCH(C21,Population[#Headers])))/(INDEX(MCINormalized[],1,MATCH(C21,MCINormalized[#Headers]))/100)</f>
        <v>89.982837735538823</v>
      </c>
      <c r="D24" s="165">
        <f>(INDEX(GeneralRevenueFundReceiptsTotalReceiptsTable[],MATCH($A$5,GeneralRevenueFundReceiptsTotalReceiptsTable[County]),MATCH(D21,GeneralRevenueFundReceiptsTotalReceiptsTable[#Headers]))/INDEX(Population[],MATCH($A$5,Population[County]),MATCH(D21,Population[#Headers])))/(INDEX(MCINormalized[],1,MATCH(D21,MCINormalized[#Headers]))/100)</f>
        <v>97.187956627667333</v>
      </c>
      <c r="E24" s="165">
        <f>(INDEX(GeneralRevenueFundReceiptsTotalReceiptsTable[],MATCH($A$5,GeneralRevenueFundReceiptsTotalReceiptsTable[County]),MATCH(E21,GeneralRevenueFundReceiptsTotalReceiptsTable[#Headers]))/INDEX(Population[],MATCH($A$5,Population[County]),MATCH(E21,Population[#Headers])))/(INDEX(MCINormalized[],1,MATCH(E21,MCINormalized[#Headers]))/100)</f>
        <v>94.98790241487076</v>
      </c>
      <c r="F24" s="165">
        <f>(INDEX(GeneralRevenueFundReceiptsTotalReceiptsTable[],MATCH($A$5,GeneralRevenueFundReceiptsTotalReceiptsTable[County]),MATCH(F21,GeneralRevenueFundReceiptsTotalReceiptsTable[#Headers]))/INDEX(Population[],MATCH($A$5,Population[County]),MATCH(F21,Population[#Headers])))/(INDEX(MCINormalized[],1,MATCH(F21,MCINormalized[#Headers]))/100)</f>
        <v>104.75201503680746</v>
      </c>
      <c r="G24" s="165">
        <f>(INDEX(GeneralRevenueFundReceiptsTotalReceiptsTable[],MATCH($A$5,GeneralRevenueFundReceiptsTotalReceiptsTable[County]),MATCH(G21,GeneralRevenueFundReceiptsTotalReceiptsTable[#Headers]))/INDEX(Population[],MATCH($A$5,Population[County]),MATCH(G21,Population[#Headers])))/(INDEX(MCINormalized[],1,MATCH(G21,MCINormalized[#Headers]))/100)</f>
        <v>102.66361673421767</v>
      </c>
      <c r="H24" s="165">
        <f>(INDEX(GeneralRevenueFundReceiptsTotalReceiptsTable[],MATCH($A$5,GeneralRevenueFundReceiptsTotalReceiptsTable[County]),MATCH(H21,GeneralRevenueFundReceiptsTotalReceiptsTable[#Headers]))/INDEX(Population[],MATCH($A$5,Population[County]),MATCH(H21,Population[#Headers])))/(INDEX(MCINormalized[],1,MATCH(H21,MCINormalized[#Headers]))/100)</f>
        <v>115.77369565477328</v>
      </c>
      <c r="I24" s="165">
        <f>(INDEX(GeneralRevenueFundReceiptsTotalReceiptsTable[],MATCH($A$5,GeneralRevenueFundReceiptsTotalReceiptsTable[County]),MATCH(I21,GeneralRevenueFundReceiptsTotalReceiptsTable[#Headers]))/INDEX(Population[],MATCH($A$5,Population[County]),MATCH(I21,Population[#Headers])))/(INDEX(MCINormalized[],1,MATCH(I21,MCINormalized[#Headers]))/100)</f>
        <v>102.75796657860808</v>
      </c>
      <c r="J24" s="165">
        <f>(INDEX(GeneralRevenueFundReceiptsTotalReceiptsTable[],MATCH($A$5,GeneralRevenueFundReceiptsTotalReceiptsTable[County]),MATCH(J21,GeneralRevenueFundReceiptsTotalReceiptsTable[#Headers]))/INDEX(Population[],MATCH($A$5,Population[County]),MATCH(J21,Population[#Headers])))/(INDEX(MCINormalized[],1,MATCH(J21,MCINormalized[#Headers]))/100)</f>
        <v>113.59306555511129</v>
      </c>
      <c r="K24" s="165">
        <f>(INDEX(GeneralRevenueFundReceiptsTotalReceiptsTable[],MATCH($A$5,GeneralRevenueFundReceiptsTotalReceiptsTable[County]),MATCH(K21,GeneralRevenueFundReceiptsTotalReceiptsTable[#Headers]))/INDEX(Population[],MATCH($A$5,Population[County]),MATCH(K21,Population[#Headers])))/(INDEX(MCINormalized[],1,MATCH(K21,MCINormalized[#Headers]))/100)</f>
        <v>102.89595657673196</v>
      </c>
      <c r="L24" s="165">
        <f>(INDEX(GeneralRevenueFundReceiptsTotalReceiptsTable[],MATCH($A$5,GeneralRevenueFundReceiptsTotalReceiptsTable[County]),MATCH(L21,GeneralRevenueFundReceiptsTotalReceiptsTable[#Headers]))/INDEX(Population[],MATCH($A$5,Population[County]),MATCH(L21,Population[#Headers])))/(INDEX(MCINormalized[],1,MATCH(L21,MCINormalized[#Headers]))/100)</f>
        <v>96.32617661845461</v>
      </c>
      <c r="M24" s="165">
        <f>(INDEX(GeneralRevenueFundReceiptsTotalReceiptsTable[],MATCH($A$5,GeneralRevenueFundReceiptsTotalReceiptsTable[County]),MATCH(M21,GeneralRevenueFundReceiptsTotalReceiptsTable[#Headers]))/INDEX(Population[],MATCH($A$5,Population[County]),MATCH(M21,Population[#Headers])))/(INDEX(MCINormalized[],1,MATCH(M21,MCINormalized[#Headers]))/100)</f>
        <v>94.655080391541674</v>
      </c>
      <c r="N24" s="165">
        <f>(INDEX(GeneralRevenueFundReceiptsTotalReceiptsTable[],MATCH($A$5,GeneralRevenueFundReceiptsTotalReceiptsTable[County]),MATCH(N21,GeneralRevenueFundReceiptsTotalReceiptsTable[#Headers]))/INDEX(Population[],MATCH($A$5,Population[County]),MATCH(N21,Population[#Headers])))/(INDEX(MCINormalized[],1,MATCH(N21,MCINormalized[#Headers]))/100)</f>
        <v>83.20707114941041</v>
      </c>
      <c r="O24" s="165">
        <f>(INDEX(GeneralRevenueFundReceiptsTotalReceiptsTable[],MATCH($A$5,GeneralRevenueFundReceiptsTotalReceiptsTable[County]),MATCH(O21,GeneralRevenueFundReceiptsTotalReceiptsTable[#Headers]))/INDEX(Population[],MATCH($A$5,Population[County]),MATCH(O21,Population[#Headers])))/(INDEX(MCINormalized[],1,MATCH(O21,MCINormalized[#Headers]))/100)</f>
        <v>94.304667339005334</v>
      </c>
      <c r="P24" s="165">
        <f>(INDEX(GeneralRevenueFundReceiptsTotalReceiptsTable[],MATCH($A$5,GeneralRevenueFundReceiptsTotalReceiptsTable[County]),MATCH(P21,GeneralRevenueFundReceiptsTotalReceiptsTable[#Headers]))/INDEX(Population[],MATCH($A$5,Population[County]),MATCH(P21,Population[#Headers])))/(INDEX(MCINormalized[],1,MATCH(P21,MCINormalized[#Headers]))/100)</f>
        <v>60.144266940270079</v>
      </c>
      <c r="Q24" s="165">
        <f>(INDEX(GeneralRevenueFundReceiptsTotalReceiptsTable[],MATCH($A$5,GeneralRevenueFundReceiptsTotalReceiptsTable[County]),MATCH(Q21,GeneralRevenueFundReceiptsTotalReceiptsTable[#Headers]))/INDEX(Population[],MATCH($A$5,Population[County]),MATCH(Q21,Population[#Headers])))/(INDEX(MCINormalized[],1,MATCH(Q21,MCINormalized[#Headers]))/100)</f>
        <v>55.06212495825087</v>
      </c>
      <c r="R24" s="165">
        <f>(INDEX(GeneralRevenueFundReceiptsTotalReceiptsTable[],MATCH($A$5,GeneralRevenueFundReceiptsTotalReceiptsTable[County]),MATCH(R21,GeneralRevenueFundReceiptsTotalReceiptsTable[#Headers]))/INDEX(Population[],MATCH($A$5,Population[County]),MATCH(R21,Population[#Headers])))/(INDEX(MCINormalized[],1,MATCH(R21,MCINormalized[#Headers]))/100)</f>
        <v>0</v>
      </c>
      <c r="S24" s="165">
        <f>(INDEX(GeneralRevenueFundReceiptsTotalReceiptsTable[],MATCH($A$5,GeneralRevenueFundReceiptsTotalReceiptsTable[County]),MATCH(S21,GeneralRevenueFundReceiptsTotalReceiptsTable[#Headers]))/INDEX(Population[],MATCH($A$5,Population[County]),MATCH(S21,Population[#Headers])))/(INDEX(MCINormalized[],1,MATCH(S21,MCINormalized[#Headers]))/100)</f>
        <v>0</v>
      </c>
      <c r="T24" s="165">
        <f>(INDEX(GeneralRevenueFundReceiptsTotalReceiptsTable[],MATCH($A$5,GeneralRevenueFundReceiptsTotalReceiptsTable[County]),MATCH(T21,GeneralRevenueFundReceiptsTotalReceiptsTable[#Headers]))/INDEX(Population[],MATCH($A$5,Population[County]),MATCH(T21,Population[#Headers])))/(INDEX(MCINormalized[],1,MATCH(T21,MCINormalized[#Headers]))/100)</f>
        <v>0</v>
      </c>
      <c r="U24" s="165">
        <f>(INDEX(GeneralRevenueFundReceiptsTotalReceiptsTable[],MATCH($A$5,GeneralRevenueFundReceiptsTotalReceiptsTable[County]),MATCH(U21,GeneralRevenueFundReceiptsTotalReceiptsTable[#Headers]))/INDEX(Population[],MATCH($A$5,Population[County]),MATCH(U21,Population[#Headers])))/(INDEX(MCINormalized[],1,MATCH(U21,MCINormalized[#Headers]))/100)</f>
        <v>0</v>
      </c>
      <c r="V24" s="165">
        <f>(INDEX(GeneralRevenueFundReceiptsTotalReceiptsTable[],MATCH($A$5,GeneralRevenueFundReceiptsTotalReceiptsTable[County]),MATCH(V21,GeneralRevenueFundReceiptsTotalReceiptsTable[#Headers]))/INDEX(Population[],MATCH($A$5,Population[County]),MATCH(V21,Population[#Headers])))/(INDEX(MCINormalized[],1,MATCH(V21,MCINormalized[#Headers]))/100)</f>
        <v>0</v>
      </c>
      <c r="W24" s="165">
        <f>(INDEX(GeneralRevenueFundReceiptsTotalReceiptsTable[],MATCH($A$5,GeneralRevenueFundReceiptsTotalReceiptsTable[County]),MATCH(W21,GeneralRevenueFundReceiptsTotalReceiptsTable[#Headers]))/INDEX(Population[],MATCH($A$5,Population[County]),MATCH(W21,Population[#Headers])))/(INDEX(MCINormalized[],1,MATCH(W21,MCINormalized[#Headers]))/100)</f>
        <v>0</v>
      </c>
      <c r="X24" s="165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</row>
    <row r="25" spans="1:70" ht="16">
      <c r="A25" s="158" t="str">
        <f>CONCATENATE($A$5," County General Revenue Expenditures")</f>
        <v>Maries County General Revenue Expenditures</v>
      </c>
      <c r="B25" s="165">
        <f>(INDEX(GeneralRevenueFundTotalExpendituresTable[],MATCH($A$5,GeneralRevenueFundTotalExpendituresTable[County]),MATCH(B21,GeneralRevenueFundTotalExpendituresTable[#Headers],0))/INDEX(Population[],MATCH($A$5,Population[County]),MATCH(B21,Population[#Headers],0)))/(INDEX(MCINormalized[],1,MATCH(B21,MCINormalized[#Headers],0))/100)</f>
        <v>95.120695775647846</v>
      </c>
      <c r="C25" s="165">
        <f>(INDEX(GeneralRevenueFundTotalExpendituresTable[],MATCH($A$5,GeneralRevenueFundTotalExpendituresTable[County]),MATCH(C21,GeneralRevenueFundTotalExpendituresTable[#Headers]))/INDEX(Population[],MATCH($A$5,Population[County]),MATCH(C21,Population[#Headers])))/(INDEX(MCINormalized[],1,MATCH(C21,MCINormalized[#Headers]))/100)</f>
        <v>90.494161925346901</v>
      </c>
      <c r="D25" s="165">
        <f>(INDEX(GeneralRevenueFundTotalExpendituresTable[],MATCH($A$5,GeneralRevenueFundTotalExpendituresTable[County]),MATCH(D21,GeneralRevenueFundTotalExpendituresTable[#Headers]))/INDEX(Population[],MATCH($A$5,Population[County]),MATCH(D21,Population[#Headers])))/(INDEX(MCINormalized[],1,MATCH(D21,MCINormalized[#Headers]))/100)</f>
        <v>96.326945589227392</v>
      </c>
      <c r="E25" s="165">
        <f>(INDEX(GeneralRevenueFundTotalExpendituresTable[],MATCH($A$5,GeneralRevenueFundTotalExpendituresTable[County]),MATCH(E21,GeneralRevenueFundTotalExpendituresTable[#Headers]))/INDEX(Population[],MATCH($A$5,Population[County]),MATCH(E21,Population[#Headers])))/(INDEX(MCINormalized[],1,MATCH(E21,MCINormalized[#Headers]))/100)</f>
        <v>92.358957177335668</v>
      </c>
      <c r="F25" s="165">
        <f>(INDEX(GeneralRevenueFundTotalExpendituresTable[],MATCH($A$5,GeneralRevenueFundTotalExpendituresTable[County]),MATCH(F21,GeneralRevenueFundTotalExpendituresTable[#Headers]))/INDEX(Population[],MATCH($A$5,Population[County]),MATCH(F21,Population[#Headers])))/(INDEX(MCINormalized[],1,MATCH(F21,MCINormalized[#Headers]))/100)</f>
        <v>105.80208863920258</v>
      </c>
      <c r="G25" s="165">
        <f>(INDEX(GeneralRevenueFundTotalExpendituresTable[],MATCH($A$5,GeneralRevenueFundTotalExpendituresTable[County]),MATCH(G21,GeneralRevenueFundTotalExpendituresTable[#Headers]))/INDEX(Population[],MATCH($A$5,Population[County]),MATCH(G21,Population[#Headers])))/(INDEX(MCINormalized[],1,MATCH(G21,MCINormalized[#Headers]))/100)</f>
        <v>110.00865399325042</v>
      </c>
      <c r="H25" s="165">
        <f>(INDEX(GeneralRevenueFundTotalExpendituresTable[],MATCH($A$5,GeneralRevenueFundTotalExpendituresTable[County]),MATCH(H21,GeneralRevenueFundTotalExpendituresTable[#Headers]))/INDEX(Population[],MATCH($A$5,Population[County]),MATCH(H21,Population[#Headers])))/(INDEX(MCINormalized[],1,MATCH(H21,MCINormalized[#Headers]))/100)</f>
        <v>109.84307010220384</v>
      </c>
      <c r="I25" s="165">
        <f>(INDEX(GeneralRevenueFundTotalExpendituresTable[],MATCH($A$5,GeneralRevenueFundTotalExpendituresTable[County]),MATCH(I21,GeneralRevenueFundTotalExpendituresTable[#Headers]))/INDEX(Population[],MATCH($A$5,Population[County]),MATCH(I21,Population[#Headers])))/(INDEX(MCINormalized[],1,MATCH(I21,MCINormalized[#Headers]))/100)</f>
        <v>94.419200897959328</v>
      </c>
      <c r="J25" s="165">
        <f>(INDEX(GeneralRevenueFundTotalExpendituresTable[],MATCH($A$5,GeneralRevenueFundTotalExpendituresTable[County]),MATCH(J21,GeneralRevenueFundTotalExpendituresTable[#Headers]))/INDEX(Population[],MATCH($A$5,Population[County]),MATCH(J21,Population[#Headers])))/(INDEX(MCINormalized[],1,MATCH(J21,MCINormalized[#Headers]))/100)</f>
        <v>115.6338902771048</v>
      </c>
      <c r="K25" s="165">
        <f>(INDEX(GeneralRevenueFundTotalExpendituresTable[],MATCH($A$5,GeneralRevenueFundTotalExpendituresTable[County]),MATCH(K21,GeneralRevenueFundTotalExpendituresTable[#Headers]))/INDEX(Population[],MATCH($A$5,Population[County]),MATCH(K21,Population[#Headers])))/(INDEX(MCINormalized[],1,MATCH(K21,MCINormalized[#Headers]))/100)</f>
        <v>109.27577272612943</v>
      </c>
      <c r="L25" s="165">
        <f>(INDEX(GeneralRevenueFundTotalExpendituresTable[],MATCH($A$5,GeneralRevenueFundTotalExpendituresTable[County]),MATCH(L21,GeneralRevenueFundTotalExpendituresTable[#Headers]))/INDEX(Population[],MATCH($A$5,Population[County]),MATCH(L21,Population[#Headers])))/(INDEX(MCINormalized[],1,MATCH(L21,MCINormalized[#Headers]))/100)</f>
        <v>99.795731978497912</v>
      </c>
      <c r="M25" s="165">
        <f>(INDEX(GeneralRevenueFundTotalExpendituresTable[],MATCH($A$5,GeneralRevenueFundTotalExpendituresTable[County]),MATCH(M21,GeneralRevenueFundTotalExpendituresTable[#Headers]))/INDEX(Population[],MATCH($A$5,Population[County]),MATCH(M21,Population[#Headers])))/(INDEX(MCINormalized[],1,MATCH(M21,MCINormalized[#Headers]))/100)</f>
        <v>95.781994271226949</v>
      </c>
      <c r="N25" s="165">
        <f>(INDEX(GeneralRevenueFundTotalExpendituresTable[],MATCH($A$5,GeneralRevenueFundTotalExpendituresTable[County]),MATCH(N21,GeneralRevenueFundTotalExpendituresTable[#Headers]))/INDEX(Population[],MATCH($A$5,Population[County]),MATCH(N21,Population[#Headers])))/(INDEX(MCINormalized[],1,MATCH(N21,MCINormalized[#Headers]))/100)</f>
        <v>86.518395971238007</v>
      </c>
      <c r="O25" s="165">
        <f>(INDEX(GeneralRevenueFundTotalExpendituresTable[],MATCH($A$5,GeneralRevenueFundTotalExpendituresTable[County]),MATCH(O21,GeneralRevenueFundTotalExpendituresTable[#Headers]))/INDEX(Population[],MATCH($A$5,Population[County]),MATCH(O21,Population[#Headers])))/(INDEX(MCINormalized[],1,MATCH(O21,MCINormalized[#Headers]))/100)</f>
        <v>89.190533365525326</v>
      </c>
      <c r="P25" s="165">
        <f>(INDEX(GeneralRevenueFundTotalExpendituresTable[],MATCH($A$5,GeneralRevenueFundTotalExpendituresTable[County]),MATCH(P21,GeneralRevenueFundTotalExpendituresTable[#Headers]))/INDEX(Population[],MATCH($A$5,Population[County]),MATCH(P21,Population[#Headers])))/(INDEX(MCINormalized[],1,MATCH(P21,MCINormalized[#Headers]))/100)</f>
        <v>60.634032385371022</v>
      </c>
      <c r="Q25" s="165">
        <f>(INDEX(GeneralRevenueFundTotalExpendituresTable[],MATCH($A$5,GeneralRevenueFundTotalExpendituresTable[County]),MATCH(Q21,GeneralRevenueFundTotalExpendituresTable[#Headers]))/INDEX(Population[],MATCH($A$5,Population[County]),MATCH(Q21,Population[#Headers])))/(INDEX(MCINormalized[],1,MATCH(Q21,MCINormalized[#Headers]))/100)</f>
        <v>52.409683528951483</v>
      </c>
      <c r="R25" s="165">
        <f>(INDEX(GeneralRevenueFundTotalExpendituresTable[],MATCH($A$5,GeneralRevenueFundTotalExpendituresTable[County]),MATCH(R21,GeneralRevenueFundTotalExpendituresTable[#Headers]))/INDEX(Population[],MATCH($A$5,Population[County]),MATCH(R21,Population[#Headers])))/(INDEX(MCINormalized[],1,MATCH(R21,MCINormalized[#Headers]))/100)</f>
        <v>0</v>
      </c>
      <c r="S25" s="165">
        <f>(INDEX(GeneralRevenueFundTotalExpendituresTable[],MATCH($A$5,GeneralRevenueFundTotalExpendituresTable[County]),MATCH(S21,GeneralRevenueFundTotalExpendituresTable[#Headers]))/INDEX(Population[],MATCH($A$5,Population[County]),MATCH(S21,Population[#Headers])))/(INDEX(MCINormalized[],1,MATCH(S21,MCINormalized[#Headers]))/100)</f>
        <v>0</v>
      </c>
      <c r="T25" s="165">
        <f>(INDEX(GeneralRevenueFundTotalExpendituresTable[],MATCH($A$5,GeneralRevenueFundTotalExpendituresTable[County]),MATCH(T21,GeneralRevenueFundTotalExpendituresTable[#Headers]))/INDEX(Population[],MATCH($A$5,Population[County]),MATCH(T21,Population[#Headers])))/(INDEX(MCINormalized[],1,MATCH(T21,MCINormalized[#Headers]))/100)</f>
        <v>0</v>
      </c>
      <c r="U25" s="165">
        <f>(INDEX(GeneralRevenueFundTotalExpendituresTable[],MATCH($A$5,GeneralRevenueFundTotalExpendituresTable[County]),MATCH(U21,GeneralRevenueFundTotalExpendituresTable[#Headers]))/INDEX(Population[],MATCH($A$5,Population[County]),MATCH(U21,Population[#Headers])))/(INDEX(MCINormalized[],1,MATCH(U21,MCINormalized[#Headers]))/100)</f>
        <v>0</v>
      </c>
      <c r="V25" s="165">
        <f>(INDEX(GeneralRevenueFundTotalExpendituresTable[],MATCH($A$5,GeneralRevenueFundTotalExpendituresTable[County]),MATCH(V21,GeneralRevenueFundTotalExpendituresTable[#Headers]))/INDEX(Population[],MATCH($A$5,Population[County]),MATCH(V21,Population[#Headers])))/(INDEX(MCINormalized[],1,MATCH(V21,MCINormalized[#Headers]))/100)</f>
        <v>0</v>
      </c>
      <c r="W25" s="165">
        <f>(INDEX(GeneralRevenueFundTotalExpendituresTable[],MATCH($A$5,GeneralRevenueFundTotalExpendituresTable[County]),MATCH(W21,GeneralRevenueFundTotalExpendituresTable[#Headers]))/INDEX(Population[],MATCH($A$5,Population[County]),MATCH(W21,Population[#Headers])))/(INDEX(MCINormalized[],1,MATCH(W21,MCINormalized[#Headers]))/100)</f>
        <v>0</v>
      </c>
      <c r="X25" s="165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</row>
    <row r="26" spans="1:70" ht="16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53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</row>
    <row r="27" spans="1:70" ht="16">
      <c r="A27" s="175" t="str">
        <f>CONCATENATE($A$3," County and ",$A$5," County General Revenue Property Assessed Values and Taxable Sales: Real per Capita")</f>
        <v>Adair County and Maries County General Revenue Property Assessed Values and Taxable Sales: Real per Capita</v>
      </c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3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</row>
    <row r="28" spans="1:70" ht="16">
      <c r="A28" s="312" t="s">
        <v>435</v>
      </c>
      <c r="B28" s="302" t="s">
        <v>409</v>
      </c>
      <c r="C28" s="302" t="s">
        <v>410</v>
      </c>
      <c r="D28" s="302" t="s">
        <v>411</v>
      </c>
      <c r="E28" s="302" t="s">
        <v>412</v>
      </c>
      <c r="F28" s="302" t="s">
        <v>413</v>
      </c>
      <c r="G28" s="302" t="s">
        <v>414</v>
      </c>
      <c r="H28" s="302" t="s">
        <v>415</v>
      </c>
      <c r="I28" s="302" t="s">
        <v>416</v>
      </c>
      <c r="J28" s="302" t="s">
        <v>417</v>
      </c>
      <c r="K28" s="302" t="s">
        <v>418</v>
      </c>
      <c r="L28" s="302" t="s">
        <v>419</v>
      </c>
      <c r="M28" s="302" t="s">
        <v>420</v>
      </c>
      <c r="N28" s="302" t="s">
        <v>421</v>
      </c>
      <c r="O28" s="302" t="s">
        <v>422</v>
      </c>
      <c r="P28" s="302" t="s">
        <v>423</v>
      </c>
      <c r="Q28" s="302" t="s">
        <v>355</v>
      </c>
      <c r="R28" s="302" t="s">
        <v>399</v>
      </c>
      <c r="S28" s="302" t="s">
        <v>424</v>
      </c>
      <c r="T28" s="302" t="s">
        <v>446</v>
      </c>
      <c r="U28" s="302" t="s">
        <v>523</v>
      </c>
      <c r="V28" s="302" t="s">
        <v>524</v>
      </c>
      <c r="W28" s="302" t="s">
        <v>525</v>
      </c>
      <c r="X28" s="302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</row>
    <row r="29" spans="1:70" s="134" customFormat="1" ht="16">
      <c r="A29" s="155" t="str">
        <f>CONCATENATE($A$3," Property Assessed Values")</f>
        <v>Adair Property Assessed Values</v>
      </c>
      <c r="B29" s="165">
        <f>(INDEX(PropertyBaseAssessedValuesTable[],MATCH($A$3,PropertyBaseAssessedValuesTable[County]),MATCH(B28,PropertyBaseAssessedValuesTable[#Headers],0))/INDEX(Population[],MATCH($A$3,Population[County]),MATCH(B28,Population[#Headers],0)))/(INDEX(MCINormalized[],1,MATCH(B28,MCINormalized[#Headers],0))/100)</f>
        <v>6325.9342523007672</v>
      </c>
      <c r="C29" s="165">
        <f>(INDEX(PropertyBaseAssessedValuesTable[],MATCH($A$3,PropertyBaseAssessedValuesTable[County]),MATCH(C28,PropertyBaseAssessedValuesTable[#Headers]))/INDEX(Population[],MATCH($A$3,Population[County]),MATCH(C28,Population[#Headers])))/(INDEX(MCINormalized[],1,MATCH(C28,MCINormalized[#Headers]))/100)</f>
        <v>6850.865026330448</v>
      </c>
      <c r="D29" s="165">
        <f>(INDEX(PropertyBaseAssessedValuesTable[],MATCH($A$3,PropertyBaseAssessedValuesTable[County]),MATCH(D28,PropertyBaseAssessedValuesTable[#Headers]))/INDEX(Population[],MATCH($A$3,Population[County]),MATCH(D28,Population[#Headers])))/(INDEX(MCINormalized[],1,MATCH(D28,MCINormalized[#Headers]))/100)</f>
        <v>7101.1103566539023</v>
      </c>
      <c r="E29" s="165">
        <f>(INDEX(PropertyBaseAssessedValuesTable[],MATCH($A$3,PropertyBaseAssessedValuesTable[County]),MATCH(E28,PropertyBaseAssessedValuesTable[#Headers]))/INDEX(Population[],MATCH($A$3,Population[County]),MATCH(E28,Population[#Headers])))/(INDEX(MCINormalized[],1,MATCH(E28,MCINormalized[#Headers]))/100)</f>
        <v>7115.4002502680914</v>
      </c>
      <c r="F29" s="165">
        <f>(INDEX(PropertyBaseAssessedValuesTable[],MATCH($A$3,PropertyBaseAssessedValuesTable[County]),MATCH(F28,PropertyBaseAssessedValuesTable[#Headers]))/INDEX(Population[],MATCH($A$3,Population[County]),MATCH(F28,Population[#Headers])))/(INDEX(MCINormalized[],1,MATCH(F28,MCINormalized[#Headers]))/100)</f>
        <v>7111.8300939041883</v>
      </c>
      <c r="G29" s="165">
        <f>(INDEX(PropertyBaseAssessedValuesTable[],MATCH($A$3,PropertyBaseAssessedValuesTable[County]),MATCH(G28,PropertyBaseAssessedValuesTable[#Headers]))/INDEX(Population[],MATCH($A$3,Population[County]),MATCH(G28,Population[#Headers])))/(INDEX(MCINormalized[],1,MATCH(G28,MCINormalized[#Headers]))/100)</f>
        <v>7377.7320995421269</v>
      </c>
      <c r="H29" s="165">
        <f>(INDEX(PropertyBaseAssessedValuesTable[],MATCH($A$3,PropertyBaseAssessedValuesTable[County]),MATCH(H28,PropertyBaseAssessedValuesTable[#Headers]))/INDEX(Population[],MATCH($A$3,Population[County]),MATCH(H28,Population[#Headers])))/(INDEX(MCINormalized[],1,MATCH(H28,MCINormalized[#Headers]))/100)</f>
        <v>7488.569927762429</v>
      </c>
      <c r="I29" s="165">
        <f>(INDEX(PropertyBaseAssessedValuesTable[],MATCH($A$3,PropertyBaseAssessedValuesTable[County]),MATCH(I28,PropertyBaseAssessedValuesTable[#Headers]))/INDEX(Population[],MATCH($A$3,Population[County]),MATCH(I28,Population[#Headers])))/(INDEX(MCINormalized[],1,MATCH(I28,MCINormalized[#Headers]))/100)</f>
        <v>7473.086870778604</v>
      </c>
      <c r="J29" s="165">
        <f>(INDEX(PropertyBaseAssessedValuesTable[],MATCH($A$3,PropertyBaseAssessedValuesTable[County]),MATCH(J28,PropertyBaseAssessedValuesTable[#Headers]))/INDEX(Population[],MATCH($A$3,Population[County]),MATCH(J28,Population[#Headers])))/(INDEX(MCINormalized[],1,MATCH(J28,MCINormalized[#Headers]))/100)</f>
        <v>7002.0492226184797</v>
      </c>
      <c r="K29" s="165">
        <f>(INDEX(PropertyBaseAssessedValuesTable[],MATCH($A$3,PropertyBaseAssessedValuesTable[County]),MATCH(K28,PropertyBaseAssessedValuesTable[#Headers]))/INDEX(Population[],MATCH($A$3,Population[County]),MATCH(K28,Population[#Headers])))/(INDEX(MCINormalized[],1,MATCH(K28,MCINormalized[#Headers]))/100)</f>
        <v>7028.1093759155447</v>
      </c>
      <c r="L29" s="165">
        <f>(INDEX(PropertyBaseAssessedValuesTable[],MATCH($A$3,PropertyBaseAssessedValuesTable[County]),MATCH(L28,PropertyBaseAssessedValuesTable[#Headers]))/INDEX(Population[],MATCH($A$3,Population[County]),MATCH(L28,Population[#Headers])))/(INDEX(MCINormalized[],1,MATCH(L28,MCINormalized[#Headers]))/100)</f>
        <v>6912.051715669103</v>
      </c>
      <c r="M29" s="165">
        <f>(INDEX(PropertyBaseAssessedValuesTable[],MATCH($A$3,PropertyBaseAssessedValuesTable[County]),MATCH(M28,PropertyBaseAssessedValuesTable[#Headers]))/INDEX(Population[],MATCH($A$3,Population[County]),MATCH(M28,Population[#Headers])))/(INDEX(MCINormalized[],1,MATCH(M28,MCINormalized[#Headers]))/100)</f>
        <v>7140.3610560059078</v>
      </c>
      <c r="N29" s="165">
        <f>(INDEX(PropertyBaseAssessedValuesTable[],MATCH($A$3,PropertyBaseAssessedValuesTable[County]),MATCH(N28,PropertyBaseAssessedValuesTable[#Headers]))/INDEX(Population[],MATCH($A$3,Population[County]),MATCH(N28,Population[#Headers])))/(INDEX(MCINormalized[],1,MATCH(N28,MCINormalized[#Headers]))/100)</f>
        <v>6644.4363865192126</v>
      </c>
      <c r="O29" s="165">
        <f>(INDEX(PropertyBaseAssessedValuesTable[],MATCH($A$3,PropertyBaseAssessedValuesTable[County]),MATCH(O28,PropertyBaseAssessedValuesTable[#Headers]))/INDEX(Population[],MATCH($A$3,Population[County]),MATCH(O28,Population[#Headers])))/(INDEX(MCINormalized[],1,MATCH(O28,MCINormalized[#Headers]))/100)</f>
        <v>6735.7943013040076</v>
      </c>
      <c r="P29" s="165">
        <f>(INDEX(PropertyBaseAssessedValuesTable[],MATCH($A$3,PropertyBaseAssessedValuesTable[County]),MATCH(P28,PropertyBaseAssessedValuesTable[#Headers]))/INDEX(Population[],MATCH($A$3,Population[County]),MATCH(P28,Population[#Headers])))/(INDEX(MCINormalized[],1,MATCH(P28,MCINormalized[#Headers]))/100)</f>
        <v>6570.790390960552</v>
      </c>
      <c r="Q29" s="165">
        <f>(INDEX(PropertyBaseAssessedValuesTable[],MATCH($A$3,PropertyBaseAssessedValuesTable[County]),MATCH(Q28,PropertyBaseAssessedValuesTable[#Headers]))/INDEX(Population[],MATCH($A$3,Population[County]),MATCH(Q28,Population[#Headers])))/(INDEX(MCINormalized[],1,MATCH(Q28,MCINormalized[#Headers]))/100)</f>
        <v>6510.6451892744399</v>
      </c>
      <c r="R29" s="165">
        <f>(INDEX(PropertyBaseAssessedValuesTable[],MATCH($A$3,PropertyBaseAssessedValuesTable[County]),MATCH(R28,PropertyBaseAssessedValuesTable[#Headers]))/INDEX(Population[],MATCH($A$3,Population[County]),MATCH(R28,Population[#Headers])))/(INDEX(MCINormalized[],1,MATCH(R28,MCINormalized[#Headers]))/100)</f>
        <v>6512.2641691623667</v>
      </c>
      <c r="S29" s="165">
        <f>(INDEX(PropertyBaseAssessedValuesTable[],MATCH($A$3,PropertyBaseAssessedValuesTable[County]),MATCH(S28,PropertyBaseAssessedValuesTable[#Headers]))/INDEX(Population[],MATCH($A$3,Population[County]),MATCH(S28,Population[#Headers])))/(INDEX(MCINormalized[],1,MATCH(S28,MCINormalized[#Headers]))/100)</f>
        <v>6599.0073612708293</v>
      </c>
      <c r="T29" s="165">
        <f>(INDEX(PropertyBaseAssessedValuesTable[],MATCH($A$3,PropertyBaseAssessedValuesTable[County]),MATCH(T28,PropertyBaseAssessedValuesTable[#Headers]))/INDEX(Population[],MATCH($A$3,Population[County]),MATCH(T28,Population[#Headers])))/(INDEX(MCINormalized[],1,MATCH(T28,MCINormalized[#Headers]))/100)</f>
        <v>6526.0235181666749</v>
      </c>
      <c r="U29" s="165">
        <f>(INDEX(PropertyBaseAssessedValuesTable[],MATCH($A$3,PropertyBaseAssessedValuesTable[County]),MATCH(U28,PropertyBaseAssessedValuesTable[#Headers]))/INDEX(Population[],MATCH($A$3,Population[County]),MATCH(U28,Population[#Headers])))/(INDEX(MCINormalized[],1,MATCH(U28,MCINormalized[#Headers]))/100)</f>
        <v>6838.3746001607842</v>
      </c>
      <c r="V29" s="165">
        <f>(INDEX(PropertyBaseAssessedValuesTable[],MATCH($A$3,PropertyBaseAssessedValuesTable[County]),MATCH(V28,PropertyBaseAssessedValuesTable[#Headers]))/INDEX(Population[],MATCH($A$3,Population[County]),MATCH(V28,Population[#Headers])))/(INDEX(MCINormalized[],1,MATCH(V28,MCINormalized[#Headers]))/100)</f>
        <v>6851.7741947816667</v>
      </c>
      <c r="W29" s="165">
        <f>(INDEX(PropertyBaseAssessedValuesTable[],MATCH($A$3,PropertyBaseAssessedValuesTable[County]),MATCH(W28,PropertyBaseAssessedValuesTable[#Headers]))/INDEX(Population[],MATCH($A$3,Population[County]),MATCH(W28,Population[#Headers])))/(INDEX(MCINormalized[],1,MATCH(W28,MCINormalized[#Headers]))/100)</f>
        <v>6780.2455933469428</v>
      </c>
      <c r="X29" s="165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</row>
    <row r="30" spans="1:70" s="134" customFormat="1" ht="16">
      <c r="A30" s="155" t="str">
        <f>CONCATENATE($A$3," County Taxable Sales")</f>
        <v>Adair County Taxable Sales</v>
      </c>
      <c r="B30" s="164">
        <f>(INDEX(SalesBaseTaxableSalesTable[],MATCH($A$3,SalesBaseTaxableSalesTable[County]),MATCH(B28,SalesBaseTaxableSalesTable[#Headers],0))/INDEX(Population[],MATCH($A$3,Population[County]),MATCH(B28,Population[#Headers],0)))/(INDEX(MCINormalized[],1,MATCH(B28,MCINormalized[#Headers],0))/100)</f>
        <v>10134.364984125708</v>
      </c>
      <c r="C30" s="164">
        <f>(INDEX(SalesBaseTaxableSalesTable[],MATCH($A$3,SalesBaseTaxableSalesTable[County]),MATCH(C28,SalesBaseTaxableSalesTable[#Headers]))/INDEX(Population[],MATCH($A$3,Population[County]),MATCH(C28,Population[#Headers])))/(INDEX(MCINormalized[],1,MATCH(C28,MCINormalized[#Headers]))/100)</f>
        <v>8465.3169944716083</v>
      </c>
      <c r="D30" s="164">
        <f>(INDEX(SalesBaseTaxableSalesTable[],MATCH($A$3,SalesBaseTaxableSalesTable[County]),MATCH(D28,SalesBaseTaxableSalesTable[#Headers]))/INDEX(Population[],MATCH($A$3,Population[County]),MATCH(D28,Population[#Headers])))/(INDEX(MCINormalized[],1,MATCH(D28,MCINormalized[#Headers]))/100)</f>
        <v>9008.9732242148002</v>
      </c>
      <c r="E30" s="164">
        <f>(INDEX(SalesBaseTaxableSalesTable[],MATCH($A$3,SalesBaseTaxableSalesTable[County]),MATCH(E28,SalesBaseTaxableSalesTable[#Headers]))/INDEX(Population[],MATCH($A$3,Population[County]),MATCH(E28,Population[#Headers])))/(INDEX(MCINormalized[],1,MATCH(E28,MCINormalized[#Headers]))/100)</f>
        <v>8895.9003493820346</v>
      </c>
      <c r="F30" s="164">
        <f>(INDEX(SalesBaseTaxableSalesTable[],MATCH($A$3,SalesBaseTaxableSalesTable[County]),MATCH(F28,SalesBaseTaxableSalesTable[#Headers]))/INDEX(Population[],MATCH($A$3,Population[County]),MATCH(F28,Population[#Headers])))/(INDEX(MCINormalized[],1,MATCH(F28,MCINormalized[#Headers]))/100)</f>
        <v>8802.3751162584831</v>
      </c>
      <c r="G30" s="164">
        <f>(INDEX(SalesBaseTaxableSalesTable[],MATCH($A$3,SalesBaseTaxableSalesTable[County]),MATCH(G28,SalesBaseTaxableSalesTable[#Headers]))/INDEX(Population[],MATCH($A$3,Population[County]),MATCH(G28,Population[#Headers])))/(INDEX(MCINormalized[],1,MATCH(G28,MCINormalized[#Headers]))/100)</f>
        <v>8706.7163851470923</v>
      </c>
      <c r="H30" s="164">
        <f>(INDEX(SalesBaseTaxableSalesTable[],MATCH($A$3,SalesBaseTaxableSalesTable[County]),MATCH(H28,SalesBaseTaxableSalesTable[#Headers]))/INDEX(Population[],MATCH($A$3,Population[County]),MATCH(H28,Population[#Headers])))/(INDEX(MCINormalized[],1,MATCH(H28,MCINormalized[#Headers]))/100)</f>
        <v>9357.844678886393</v>
      </c>
      <c r="I30" s="164">
        <f>(INDEX(SalesBaseTaxableSalesTable[],MATCH($A$3,SalesBaseTaxableSalesTable[County]),MATCH(I28,SalesBaseTaxableSalesTable[#Headers]))/INDEX(Population[],MATCH($A$3,Population[County]),MATCH(I28,Population[#Headers])))/(INDEX(MCINormalized[],1,MATCH(I28,MCINormalized[#Headers]))/100)</f>
        <v>8323.910349396634</v>
      </c>
      <c r="J30" s="164">
        <f>(INDEX(SalesBaseTaxableSalesTable[],MATCH($A$3,SalesBaseTaxableSalesTable[County]),MATCH(J28,SalesBaseTaxableSalesTable[#Headers]))/INDEX(Population[],MATCH($A$3,Population[County]),MATCH(J28,Population[#Headers])))/(INDEX(MCINormalized[],1,MATCH(J28,MCINormalized[#Headers]))/100)</f>
        <v>8104.0176950369405</v>
      </c>
      <c r="K30" s="164">
        <f>(INDEX(SalesBaseTaxableSalesTable[],MATCH($A$3,SalesBaseTaxableSalesTable[County]),MATCH(K28,SalesBaseTaxableSalesTable[#Headers]))/INDEX(Population[],MATCH($A$3,Population[County]),MATCH(K28,Population[#Headers])))/(INDEX(MCINormalized[],1,MATCH(K28,MCINormalized[#Headers]))/100)</f>
        <v>8145.666488327437</v>
      </c>
      <c r="L30" s="164">
        <f>(INDEX(SalesBaseTaxableSalesTable[],MATCH($A$3,SalesBaseTaxableSalesTable[County]),MATCH(L28,SalesBaseTaxableSalesTable[#Headers]))/INDEX(Population[],MATCH($A$3,Population[County]),MATCH(L28,Population[#Headers])))/(INDEX(MCINormalized[],1,MATCH(L28,MCINormalized[#Headers]))/100)</f>
        <v>8049.5630609536447</v>
      </c>
      <c r="M30" s="164">
        <f>(INDEX(SalesBaseTaxableSalesTable[],MATCH($A$3,SalesBaseTaxableSalesTable[County]),MATCH(M28,SalesBaseTaxableSalesTable[#Headers]))/INDEX(Population[],MATCH($A$3,Population[County]),MATCH(M28,Population[#Headers])))/(INDEX(MCINormalized[],1,MATCH(M28,MCINormalized[#Headers]))/100)</f>
        <v>7925.4327588388442</v>
      </c>
      <c r="N30" s="164">
        <f>(INDEX(SalesBaseTaxableSalesTable[],MATCH($A$3,SalesBaseTaxableSalesTable[County]),MATCH(N28,SalesBaseTaxableSalesTable[#Headers]))/INDEX(Population[],MATCH($A$3,Population[County]),MATCH(N28,Population[#Headers])))/(INDEX(MCINormalized[],1,MATCH(N28,MCINormalized[#Headers]))/100)</f>
        <v>7477.5638770333107</v>
      </c>
      <c r="O30" s="164">
        <f>(INDEX(SalesBaseTaxableSalesTable[],MATCH($A$3,SalesBaseTaxableSalesTable[County]),MATCH(O28,SalesBaseTaxableSalesTable[#Headers]))/INDEX(Population[],MATCH($A$3,Population[County]),MATCH(O28,Population[#Headers])))/(INDEX(MCINormalized[],1,MATCH(O28,MCINormalized[#Headers]))/100)</f>
        <v>7503.0890054087704</v>
      </c>
      <c r="P30" s="164">
        <f>(INDEX(SalesBaseTaxableSalesTable[],MATCH($A$3,SalesBaseTaxableSalesTable[County]),MATCH(P28,SalesBaseTaxableSalesTable[#Headers]))/INDEX(Population[],MATCH($A$3,Population[County]),MATCH(P28,Population[#Headers])))/(INDEX(MCINormalized[],1,MATCH(P28,MCINormalized[#Headers]))/100)</f>
        <v>7241.003775465073</v>
      </c>
      <c r="Q30" s="164">
        <f>(INDEX(SalesBaseTaxableSalesTable[],MATCH($A$3,SalesBaseTaxableSalesTable[County]),MATCH(Q28,SalesBaseTaxableSalesTable[#Headers]))/INDEX(Population[],MATCH($A$3,Population[County]),MATCH(Q28,Population[#Headers])))/(INDEX(MCINormalized[],1,MATCH(Q28,MCINormalized[#Headers]))/100)</f>
        <v>7146.8369848759658</v>
      </c>
      <c r="R30" s="164">
        <f>(INDEX(SalesBaseTaxableSalesTable[],MATCH($A$3,SalesBaseTaxableSalesTable[County]),MATCH(R28,SalesBaseTaxableSalesTable[#Headers]))/INDEX(Population[],MATCH($A$3,Population[County]),MATCH(R28,Population[#Headers])))/(INDEX(MCINormalized[],1,MATCH(R28,MCINormalized[#Headers]))/100)</f>
        <v>6998.5719327693687</v>
      </c>
      <c r="S30" s="164">
        <f>(INDEX(SalesBaseTaxableSalesTable[],MATCH($A$3,SalesBaseTaxableSalesTable[County]),MATCH(S28,SalesBaseTaxableSalesTable[#Headers]))/INDEX(Population[],MATCH($A$3,Population[County]),MATCH(S28,Population[#Headers])))/(INDEX(MCINormalized[],1,MATCH(S28,MCINormalized[#Headers]))/100)</f>
        <v>7550.6139346811078</v>
      </c>
      <c r="T30" s="164">
        <f>(INDEX(SalesBaseTaxableSalesTable[],MATCH($A$3,SalesBaseTaxableSalesTable[County]),MATCH(T28,SalesBaseTaxableSalesTable[#Headers]))/INDEX(Population[],MATCH($A$3,Population[County]),MATCH(T28,Population[#Headers])))/(INDEX(MCINormalized[],1,MATCH(T28,MCINormalized[#Headers]))/100)</f>
        <v>7692.9675718599465</v>
      </c>
      <c r="U30" s="164">
        <f>(INDEX(SalesBaseTaxableSalesTable[],MATCH($A$3,SalesBaseTaxableSalesTable[County]),MATCH(U28,SalesBaseTaxableSalesTable[#Headers]))/INDEX(Population[],MATCH($A$3,Population[County]),MATCH(U28,Population[#Headers])))/(INDEX(MCINormalized[],1,MATCH(U28,MCINormalized[#Headers]))/100)</f>
        <v>7769.807188016106</v>
      </c>
      <c r="V30" s="164">
        <f>(INDEX(SalesBaseTaxableSalesTable[],MATCH($A$3,SalesBaseTaxableSalesTable[County]),MATCH(V28,SalesBaseTaxableSalesTable[#Headers]))/INDEX(Population[],MATCH($A$3,Population[County]),MATCH(V28,Population[#Headers])))/(INDEX(MCINormalized[],1,MATCH(V28,MCINormalized[#Headers]))/100)</f>
        <v>8041.3375046100718</v>
      </c>
      <c r="W30" s="164">
        <f>(INDEX(SalesBaseTaxableSalesTable[],MATCH($A$3,SalesBaseTaxableSalesTable[County]),MATCH(W28,SalesBaseTaxableSalesTable[#Headers]))/INDEX(Population[],MATCH($A$3,Population[County]),MATCH(W28,Population[#Headers])))/(INDEX(MCINormalized[],1,MATCH(W28,MCINormalized[#Headers]))/100)</f>
        <v>8095.8656024709317</v>
      </c>
      <c r="X30" s="16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</row>
    <row r="31" spans="1:70" s="134" customFormat="1" ht="16">
      <c r="A31" s="155" t="str">
        <f>CONCATENATE($A$5," Property Assessed Values")</f>
        <v>Maries Property Assessed Values</v>
      </c>
      <c r="B31" s="165">
        <f>(INDEX(PropertyBaseAssessedValuesTable[],MATCH($A$5,PropertyBaseAssessedValuesTable[County]),MATCH(B28,PropertyBaseAssessedValuesTable[#Headers],0))/INDEX(Population[],MATCH($A$5,Population[County]),MATCH(B28,Population[#Headers],0)))/(INDEX(MCINormalized[],1,MATCH(B28,MCINormalized[#Headers],0))/100)</f>
        <v>7149.5492841083897</v>
      </c>
      <c r="C31" s="165">
        <f>(INDEX(PropertyBaseAssessedValuesTable[],MATCH($A$5,PropertyBaseAssessedValuesTable[County]),MATCH(C28,PropertyBaseAssessedValuesTable[#Headers]))/INDEX(Population[],MATCH($A$5,Population[County]),MATCH(C28,Population[#Headers])))/(INDEX(MCINormalized[],1,MATCH(C28,MCINormalized[#Headers]))/100)</f>
        <v>7752.1969426622873</v>
      </c>
      <c r="D31" s="165">
        <f>(INDEX(PropertyBaseAssessedValuesTable[],MATCH($A$5,PropertyBaseAssessedValuesTable[County]),MATCH(D28,PropertyBaseAssessedValuesTable[#Headers]))/INDEX(Population[],MATCH($A$5,Population[County]),MATCH(D28,Population[#Headers])))/(INDEX(MCINormalized[],1,MATCH(D28,MCINormalized[#Headers]))/100)</f>
        <v>7867.506078864234</v>
      </c>
      <c r="E31" s="165">
        <f>(INDEX(PropertyBaseAssessedValuesTable[],MATCH($A$5,PropertyBaseAssessedValuesTable[County]),MATCH(E28,PropertyBaseAssessedValuesTable[#Headers]))/INDEX(Population[],MATCH($A$5,Population[County]),MATCH(E28,Population[#Headers])))/(INDEX(MCINormalized[],1,MATCH(E28,MCINormalized[#Headers]))/100)</f>
        <v>7885.5119067099977</v>
      </c>
      <c r="F31" s="165">
        <f>(INDEX(PropertyBaseAssessedValuesTable[],MATCH($A$5,PropertyBaseAssessedValuesTable[County]),MATCH(F28,PropertyBaseAssessedValuesTable[#Headers]))/INDEX(Population[],MATCH($A$5,Population[County]),MATCH(F28,Population[#Headers])))/(INDEX(MCINormalized[],1,MATCH(F28,MCINormalized[#Headers]))/100)</f>
        <v>7983.1957090488622</v>
      </c>
      <c r="G31" s="165">
        <f>(INDEX(PropertyBaseAssessedValuesTable[],MATCH($A$5,PropertyBaseAssessedValuesTable[County]),MATCH(G28,PropertyBaseAssessedValuesTable[#Headers]))/INDEX(Population[],MATCH($A$5,Population[County]),MATCH(G28,Population[#Headers])))/(INDEX(MCINormalized[],1,MATCH(G28,MCINormalized[#Headers]))/100)</f>
        <v>8289.7413524577314</v>
      </c>
      <c r="H31" s="165">
        <f>(INDEX(PropertyBaseAssessedValuesTable[],MATCH($A$5,PropertyBaseAssessedValuesTable[County]),MATCH(H28,PropertyBaseAssessedValuesTable[#Headers]))/INDEX(Population[],MATCH($A$5,Population[County]),MATCH(H28,Population[#Headers])))/(INDEX(MCINormalized[],1,MATCH(H28,MCINormalized[#Headers]))/100)</f>
        <v>8425.7023043860227</v>
      </c>
      <c r="I31" s="165">
        <f>(INDEX(PropertyBaseAssessedValuesTable[],MATCH($A$5,PropertyBaseAssessedValuesTable[County]),MATCH(I28,PropertyBaseAssessedValuesTable[#Headers]))/INDEX(Population[],MATCH($A$5,Population[County]),MATCH(I28,Population[#Headers])))/(INDEX(MCINormalized[],1,MATCH(I28,MCINormalized[#Headers]))/100)</f>
        <v>8531.6497094406677</v>
      </c>
      <c r="J31" s="165">
        <f>(INDEX(PropertyBaseAssessedValuesTable[],MATCH($A$5,PropertyBaseAssessedValuesTable[County]),MATCH(J28,PropertyBaseAssessedValuesTable[#Headers]))/INDEX(Population[],MATCH($A$5,Population[County]),MATCH(J28,Population[#Headers])))/(INDEX(MCINormalized[],1,MATCH(J28,MCINormalized[#Headers]))/100)</f>
        <v>7997.8346853784451</v>
      </c>
      <c r="K31" s="165">
        <f>(INDEX(PropertyBaseAssessedValuesTable[],MATCH($A$5,PropertyBaseAssessedValuesTable[County]),MATCH(K28,PropertyBaseAssessedValuesTable[#Headers]))/INDEX(Population[],MATCH($A$5,Population[County]),MATCH(K28,Population[#Headers])))/(INDEX(MCINormalized[],1,MATCH(K28,MCINormalized[#Headers]))/100)</f>
        <v>8598.7220808709972</v>
      </c>
      <c r="L31" s="165">
        <f>(INDEX(PropertyBaseAssessedValuesTable[],MATCH($A$5,PropertyBaseAssessedValuesTable[County]),MATCH(L28,PropertyBaseAssessedValuesTable[#Headers]))/INDEX(Population[],MATCH($A$5,Population[County]),MATCH(L28,Population[#Headers])))/(INDEX(MCINormalized[],1,MATCH(L28,MCINormalized[#Headers]))/100)</f>
        <v>8467.9049057148386</v>
      </c>
      <c r="M31" s="165">
        <f>(INDEX(PropertyBaseAssessedValuesTable[],MATCH($A$5,PropertyBaseAssessedValuesTable[County]),MATCH(M28,PropertyBaseAssessedValuesTable[#Headers]))/INDEX(Population[],MATCH($A$5,Population[County]),MATCH(M28,Population[#Headers])))/(INDEX(MCINormalized[],1,MATCH(M28,MCINormalized[#Headers]))/100)</f>
        <v>8647.934078987415</v>
      </c>
      <c r="N31" s="165">
        <f>(INDEX(PropertyBaseAssessedValuesTable[],MATCH($A$5,PropertyBaseAssessedValuesTable[County]),MATCH(N28,PropertyBaseAssessedValuesTable[#Headers]))/INDEX(Population[],MATCH($A$5,Population[County]),MATCH(N28,Population[#Headers])))/(INDEX(MCINormalized[],1,MATCH(N28,MCINormalized[#Headers]))/100)</f>
        <v>8093.4551305993427</v>
      </c>
      <c r="O31" s="165">
        <f>(INDEX(PropertyBaseAssessedValuesTable[],MATCH($A$5,PropertyBaseAssessedValuesTable[County]),MATCH(O28,PropertyBaseAssessedValuesTable[#Headers]))/INDEX(Population[],MATCH($A$5,Population[County]),MATCH(O28,Population[#Headers])))/(INDEX(MCINormalized[],1,MATCH(O28,MCINormalized[#Headers]))/100)</f>
        <v>8319.9776223538101</v>
      </c>
      <c r="P31" s="165">
        <f>(INDEX(PropertyBaseAssessedValuesTable[],MATCH($A$5,PropertyBaseAssessedValuesTable[County]),MATCH(P28,PropertyBaseAssessedValuesTable[#Headers]))/INDEX(Population[],MATCH($A$5,Population[County]),MATCH(P28,Population[#Headers])))/(INDEX(MCINormalized[],1,MATCH(P28,MCINormalized[#Headers]))/100)</f>
        <v>6087.4480684844129</v>
      </c>
      <c r="Q31" s="165">
        <f>(INDEX(PropertyBaseAssessedValuesTable[],MATCH($A$5,PropertyBaseAssessedValuesTable[County]),MATCH(Q28,PropertyBaseAssessedValuesTable[#Headers]))/INDEX(Population[],MATCH($A$5,Population[County]),MATCH(Q28,Population[#Headers])))/(INDEX(MCINormalized[],1,MATCH(Q28,MCINormalized[#Headers]))/100)</f>
        <v>5901.2870166713974</v>
      </c>
      <c r="R31" s="165">
        <f>(INDEX(PropertyBaseAssessedValuesTable[],MATCH($A$5,PropertyBaseAssessedValuesTable[County]),MATCH(R28,PropertyBaseAssessedValuesTable[#Headers]))/INDEX(Population[],MATCH($A$5,Population[County]),MATCH(R28,Population[#Headers])))/(INDEX(MCINormalized[],1,MATCH(R28,MCINormalized[#Headers]))/100)</f>
        <v>5852.5791430943773</v>
      </c>
      <c r="S31" s="165">
        <f>(INDEX(PropertyBaseAssessedValuesTable[],MATCH($A$5,PropertyBaseAssessedValuesTable[County]),MATCH(S28,PropertyBaseAssessedValuesTable[#Headers]))/INDEX(Population[],MATCH($A$5,Population[County]),MATCH(S28,Population[#Headers])))/(INDEX(MCINormalized[],1,MATCH(S28,MCINormalized[#Headers]))/100)</f>
        <v>8249.18371872639</v>
      </c>
      <c r="T31" s="165">
        <f>(INDEX(PropertyBaseAssessedValuesTable[],MATCH($A$5,PropertyBaseAssessedValuesTable[County]),MATCH(T28,PropertyBaseAssessedValuesTable[#Headers]))/INDEX(Population[],MATCH($A$5,Population[County]),MATCH(T28,Population[#Headers])))/(INDEX(MCINormalized[],1,MATCH(T28,MCINormalized[#Headers]))/100)</f>
        <v>8219.2216860371518</v>
      </c>
      <c r="U31" s="165">
        <f>(INDEX(PropertyBaseAssessedValuesTable[],MATCH($A$5,PropertyBaseAssessedValuesTable[County]),MATCH(U28,PropertyBaseAssessedValuesTable[#Headers]))/INDEX(Population[],MATCH($A$5,Population[County]),MATCH(U28,Population[#Headers])))/(INDEX(MCINormalized[],1,MATCH(U28,MCINormalized[#Headers]))/100)</f>
        <v>8774.8454063520949</v>
      </c>
      <c r="V31" s="165">
        <f>(INDEX(PropertyBaseAssessedValuesTable[],MATCH($A$5,PropertyBaseAssessedValuesTable[County]),MATCH(V28,PropertyBaseAssessedValuesTable[#Headers]))/INDEX(Population[],MATCH($A$5,Population[County]),MATCH(V28,Population[#Headers])))/(INDEX(MCINormalized[],1,MATCH(V28,MCINormalized[#Headers]))/100)</f>
        <v>9170.1916926019003</v>
      </c>
      <c r="W31" s="165">
        <f>(INDEX(PropertyBaseAssessedValuesTable[],MATCH($A$5,PropertyBaseAssessedValuesTable[County]),MATCH(W28,PropertyBaseAssessedValuesTable[#Headers]))/INDEX(Population[],MATCH($A$5,Population[County]),MATCH(W28,Population[#Headers])))/(INDEX(MCINormalized[],1,MATCH(W28,MCINormalized[#Headers]))/100)</f>
        <v>9042.3940154237207</v>
      </c>
      <c r="X31" s="165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</row>
    <row r="32" spans="1:70" s="134" customFormat="1" ht="16">
      <c r="A32" s="155" t="str">
        <f>CONCATENATE($A$5," County Taxable Sales")</f>
        <v>Maries County Taxable Sales</v>
      </c>
      <c r="B32" s="164">
        <f>(INDEX(SalesBaseTaxableSalesTable[],MATCH($A$5,SalesBaseTaxableSalesTable[County]),MATCH(B28,SalesBaseTaxableSalesTable[#Headers],0))/INDEX(Population[],MATCH($A$5,Population[County]),MATCH(B28,Population[#Headers],0)))/(INDEX(MCINormalized[],1,MATCH(B28,MCINormalized[#Headers],0))/100)</f>
        <v>3221.2347083185423</v>
      </c>
      <c r="C32" s="164">
        <f>(INDEX(SalesBaseTaxableSalesTable[],MATCH($A$5,SalesBaseTaxableSalesTable[County]),MATCH(C28,SalesBaseTaxableSalesTable[#Headers]))/INDEX(Population[],MATCH($A$5,Population[County]),MATCH(C28,Population[#Headers])))/(INDEX(MCINormalized[],1,MATCH(C28,MCINormalized[#Headers]))/100)</f>
        <v>3302.1242823280363</v>
      </c>
      <c r="D32" s="164">
        <f>(INDEX(SalesBaseTaxableSalesTable[],MATCH($A$5,SalesBaseTaxableSalesTable[County]),MATCH(D28,SalesBaseTaxableSalesTable[#Headers]))/INDEX(Population[],MATCH($A$5,Population[County]),MATCH(D28,Population[#Headers])))/(INDEX(MCINormalized[],1,MATCH(D28,MCINormalized[#Headers]))/100)</f>
        <v>3406.3868017680252</v>
      </c>
      <c r="E32" s="164">
        <f>(INDEX(SalesBaseTaxableSalesTable[],MATCH($A$5,SalesBaseTaxableSalesTable[County]),MATCH(E28,SalesBaseTaxableSalesTable[#Headers]))/INDEX(Population[],MATCH($A$5,Population[County]),MATCH(E28,Population[#Headers])))/(INDEX(MCINormalized[],1,MATCH(E28,MCINormalized[#Headers]))/100)</f>
        <v>3472.3771913481473</v>
      </c>
      <c r="F32" s="164">
        <f>(INDEX(SalesBaseTaxableSalesTable[],MATCH($A$5,SalesBaseTaxableSalesTable[County]),MATCH(F28,SalesBaseTaxableSalesTable[#Headers]))/INDEX(Population[],MATCH($A$5,Population[County]),MATCH(F28,Population[#Headers])))/(INDEX(MCINormalized[],1,MATCH(F28,MCINormalized[#Headers]))/100)</f>
        <v>3470.5720485922147</v>
      </c>
      <c r="G32" s="164">
        <f>(INDEX(SalesBaseTaxableSalesTable[],MATCH($A$5,SalesBaseTaxableSalesTable[County]),MATCH(G28,SalesBaseTaxableSalesTable[#Headers]))/INDEX(Population[],MATCH($A$5,Population[County]),MATCH(G28,Population[#Headers])))/(INDEX(MCINormalized[],1,MATCH(G28,MCINormalized[#Headers]))/100)</f>
        <v>3345.6459765128934</v>
      </c>
      <c r="H32" s="164">
        <f>(INDEX(SalesBaseTaxableSalesTable[],MATCH($A$5,SalesBaseTaxableSalesTable[County]),MATCH(H28,SalesBaseTaxableSalesTable[#Headers]))/INDEX(Population[],MATCH($A$5,Population[County]),MATCH(H28,Population[#Headers])))/(INDEX(MCINormalized[],1,MATCH(H28,MCINormalized[#Headers]))/100)</f>
        <v>3098.1619925216305</v>
      </c>
      <c r="I32" s="164">
        <f>(INDEX(SalesBaseTaxableSalesTable[],MATCH($A$5,SalesBaseTaxableSalesTable[County]),MATCH(I28,SalesBaseTaxableSalesTable[#Headers]))/INDEX(Population[],MATCH($A$5,Population[County]),MATCH(I28,Population[#Headers])))/(INDEX(MCINormalized[],1,MATCH(I28,MCINormalized[#Headers]))/100)</f>
        <v>3156.2845294992926</v>
      </c>
      <c r="J32" s="164">
        <f>(INDEX(SalesBaseTaxableSalesTable[],MATCH($A$5,SalesBaseTaxableSalesTable[County]),MATCH(J28,SalesBaseTaxableSalesTable[#Headers]))/INDEX(Population[],MATCH($A$5,Population[County]),MATCH(J28,Population[#Headers])))/(INDEX(MCINormalized[],1,MATCH(J28,MCINormalized[#Headers]))/100)</f>
        <v>3249.8971382298764</v>
      </c>
      <c r="K32" s="164">
        <f>(INDEX(SalesBaseTaxableSalesTable[],MATCH($A$5,SalesBaseTaxableSalesTable[County]),MATCH(K28,SalesBaseTaxableSalesTable[#Headers]))/INDEX(Population[],MATCH($A$5,Population[County]),MATCH(K28,Population[#Headers])))/(INDEX(MCINormalized[],1,MATCH(K28,MCINormalized[#Headers]))/100)</f>
        <v>3142.8299631068567</v>
      </c>
      <c r="L32" s="164">
        <f>(INDEX(SalesBaseTaxableSalesTable[],MATCH($A$5,SalesBaseTaxableSalesTable[County]),MATCH(L28,SalesBaseTaxableSalesTable[#Headers]))/INDEX(Population[],MATCH($A$5,Population[County]),MATCH(L28,Population[#Headers])))/(INDEX(MCINormalized[],1,MATCH(L28,MCINormalized[#Headers]))/100)</f>
        <v>3013.7769754911433</v>
      </c>
      <c r="M32" s="164">
        <f>(INDEX(SalesBaseTaxableSalesTable[],MATCH($A$5,SalesBaseTaxableSalesTable[County]),MATCH(M28,SalesBaseTaxableSalesTable[#Headers]))/INDEX(Population[],MATCH($A$5,Population[County]),MATCH(M28,Population[#Headers])))/(INDEX(MCINormalized[],1,MATCH(M28,MCINormalized[#Headers]))/100)</f>
        <v>2930.3580242040348</v>
      </c>
      <c r="N32" s="164">
        <f>(INDEX(SalesBaseTaxableSalesTable[],MATCH($A$5,SalesBaseTaxableSalesTable[County]),MATCH(N28,SalesBaseTaxableSalesTable[#Headers]))/INDEX(Population[],MATCH($A$5,Population[County]),MATCH(N28,Population[#Headers])))/(INDEX(MCINormalized[],1,MATCH(N28,MCINormalized[#Headers]))/100)</f>
        <v>2858.4808381429016</v>
      </c>
      <c r="O32" s="164">
        <f>(INDEX(SalesBaseTaxableSalesTable[],MATCH($A$5,SalesBaseTaxableSalesTable[County]),MATCH(O28,SalesBaseTaxableSalesTable[#Headers]))/INDEX(Population[],MATCH($A$5,Population[County]),MATCH(O28,Population[#Headers])))/(INDEX(MCINormalized[],1,MATCH(O28,MCINormalized[#Headers]))/100)</f>
        <v>2868.9648359242292</v>
      </c>
      <c r="P32" s="164">
        <f>(INDEX(SalesBaseTaxableSalesTable[],MATCH($A$5,SalesBaseTaxableSalesTable[County]),MATCH(P28,SalesBaseTaxableSalesTable[#Headers]))/INDEX(Population[],MATCH($A$5,Population[County]),MATCH(P28,Population[#Headers])))/(INDEX(MCINormalized[],1,MATCH(P28,MCINormalized[#Headers]))/100)</f>
        <v>2145.056245239557</v>
      </c>
      <c r="Q32" s="164">
        <f>(INDEX(SalesBaseTaxableSalesTable[],MATCH($A$5,SalesBaseTaxableSalesTable[County]),MATCH(Q28,SalesBaseTaxableSalesTable[#Headers]))/INDEX(Population[],MATCH($A$5,Population[County]),MATCH(Q28,Population[#Headers])))/(INDEX(MCINormalized[],1,MATCH(Q28,MCINormalized[#Headers]))/100)</f>
        <v>2021.3923041410112</v>
      </c>
      <c r="R32" s="164">
        <f>(INDEX(SalesBaseTaxableSalesTable[],MATCH($A$5,SalesBaseTaxableSalesTable[County]),MATCH(R28,SalesBaseTaxableSalesTable[#Headers]))/INDEX(Population[],MATCH($A$5,Population[County]),MATCH(R28,Population[#Headers])))/(INDEX(MCINormalized[],1,MATCH(R28,MCINormalized[#Headers]))/100)</f>
        <v>1943.2886096335324</v>
      </c>
      <c r="S32" s="164">
        <f>(INDEX(SalesBaseTaxableSalesTable[],MATCH($A$5,SalesBaseTaxableSalesTable[County]),MATCH(S28,SalesBaseTaxableSalesTable[#Headers]))/INDEX(Population[],MATCH($A$5,Population[County]),MATCH(S28,Population[#Headers])))/(INDEX(MCINormalized[],1,MATCH(S28,MCINormalized[#Headers]))/100)</f>
        <v>2790.2583019020271</v>
      </c>
      <c r="T32" s="164">
        <f>(INDEX(SalesBaseTaxableSalesTable[],MATCH($A$5,SalesBaseTaxableSalesTable[County]),MATCH(T28,SalesBaseTaxableSalesTable[#Headers]))/INDEX(Population[],MATCH($A$5,Population[County]),MATCH(T28,Population[#Headers])))/(INDEX(MCINormalized[],1,MATCH(T28,MCINormalized[#Headers]))/100)</f>
        <v>2918.6033604405948</v>
      </c>
      <c r="U32" s="164">
        <f>(INDEX(SalesBaseTaxableSalesTable[],MATCH($A$5,SalesBaseTaxableSalesTable[County]),MATCH(U28,SalesBaseTaxableSalesTable[#Headers]))/INDEX(Population[],MATCH($A$5,Population[County]),MATCH(U28,Population[#Headers])))/(INDEX(MCINormalized[],1,MATCH(U28,MCINormalized[#Headers]))/100)</f>
        <v>3023.0442701296283</v>
      </c>
      <c r="V32" s="164">
        <f>(INDEX(SalesBaseTaxableSalesTable[],MATCH($A$5,SalesBaseTaxableSalesTable[County]),MATCH(V28,SalesBaseTaxableSalesTable[#Headers]))/INDEX(Population[],MATCH($A$5,Population[County]),MATCH(V28,Population[#Headers])))/(INDEX(MCINormalized[],1,MATCH(V28,MCINormalized[#Headers]))/100)</f>
        <v>3158.6600316970002</v>
      </c>
      <c r="W32" s="164">
        <f>(INDEX(SalesBaseTaxableSalesTable[],MATCH($A$5,SalesBaseTaxableSalesTable[County]),MATCH(W28,SalesBaseTaxableSalesTable[#Headers]))/INDEX(Population[],MATCH($A$5,Population[County]),MATCH(W28,Population[#Headers])))/(INDEX(MCINormalized[],1,MATCH(W28,MCINormalized[#Headers]))/100)</f>
        <v>3109.317223634474</v>
      </c>
      <c r="X32" s="16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</row>
    <row r="33" spans="1:74" s="134" customFormat="1" ht="16">
      <c r="A33" s="155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53"/>
      <c r="T33" s="799"/>
      <c r="U33" s="799"/>
      <c r="V33" s="799"/>
      <c r="W33" s="799"/>
      <c r="X33" s="799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</row>
    <row r="34" spans="1:74" s="134" customFormat="1" ht="16">
      <c r="A34" s="175" t="str">
        <f>CONCATENATE($A$3," County and ",$A$5," County General Revenue Property Tax and Sales Tax Receipts: Real per Capita")</f>
        <v>Adair County and Maries County General Revenue Property Tax and Sales Tax Receipts: Real per Capita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53"/>
      <c r="T34" s="799"/>
      <c r="U34" s="799"/>
      <c r="V34" s="799"/>
      <c r="W34" s="799"/>
      <c r="X34" s="799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</row>
    <row r="35" spans="1:74" s="134" customFormat="1" ht="16">
      <c r="A35" s="311" t="s">
        <v>435</v>
      </c>
      <c r="B35" s="302" t="s">
        <v>409</v>
      </c>
      <c r="C35" s="302" t="s">
        <v>410</v>
      </c>
      <c r="D35" s="302" t="s">
        <v>411</v>
      </c>
      <c r="E35" s="302" t="s">
        <v>412</v>
      </c>
      <c r="F35" s="302" t="s">
        <v>413</v>
      </c>
      <c r="G35" s="302" t="s">
        <v>414</v>
      </c>
      <c r="H35" s="302" t="s">
        <v>415</v>
      </c>
      <c r="I35" s="302" t="s">
        <v>416</v>
      </c>
      <c r="J35" s="302" t="s">
        <v>417</v>
      </c>
      <c r="K35" s="302" t="s">
        <v>418</v>
      </c>
      <c r="L35" s="302" t="s">
        <v>419</v>
      </c>
      <c r="M35" s="302" t="s">
        <v>420</v>
      </c>
      <c r="N35" s="302" t="s">
        <v>421</v>
      </c>
      <c r="O35" s="302" t="s">
        <v>422</v>
      </c>
      <c r="P35" s="302" t="s">
        <v>423</v>
      </c>
      <c r="Q35" s="302" t="s">
        <v>355</v>
      </c>
      <c r="R35" s="302" t="s">
        <v>399</v>
      </c>
      <c r="S35" s="302" t="s">
        <v>424</v>
      </c>
      <c r="T35" s="302" t="s">
        <v>446</v>
      </c>
      <c r="U35" s="302" t="s">
        <v>523</v>
      </c>
      <c r="V35" s="302" t="s">
        <v>524</v>
      </c>
      <c r="W35" s="302" t="s">
        <v>525</v>
      </c>
      <c r="X35" s="302"/>
      <c r="Y35" s="30"/>
      <c r="Z35" s="30"/>
      <c r="AA35" s="30"/>
      <c r="AB35" s="539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</row>
    <row r="36" spans="1:74" s="134" customFormat="1" ht="16">
      <c r="A36" s="155" t="str">
        <f>CONCATENATE($A$3," County Property Tax Receipts")</f>
        <v>Adair County Property Tax Receipts</v>
      </c>
      <c r="B36" s="165">
        <f>(INDEX(GeneralRevenueFundReceiptsPropertyTaxesTable[],MATCH($A$3,GeneralRevenueFundReceiptsPropertyTaxesTable[County]),MATCH(B35,GeneralRevenueFundReceiptsPropertyTaxesTable[#Headers],0))/INDEX(Population[],MATCH($A$3,Population[County]),MATCH(B35,Population[#Headers],0)))/(INDEX(MCINormalized[],1,MATCH(B35,MCINormalized[#Headers],0))/100)</f>
        <v>0</v>
      </c>
      <c r="C36" s="165">
        <f>(INDEX(GeneralRevenueFundReceiptsPropertyTaxesTable[],MATCH($A$3,GeneralRevenueFundReceiptsPropertyTaxesTable[County]),MATCH(C35,GeneralRevenueFundReceiptsPropertyTaxesTable[#Headers]))/INDEX(Population[],MATCH($A$3,Population[County]),MATCH(C35,Population[#Headers])))/(INDEX(MCINormalized[],1,MATCH(C35,MCINormalized[#Headers]))/100)</f>
        <v>0.86702914787481744</v>
      </c>
      <c r="D36" s="165">
        <f>(INDEX(GeneralRevenueFundReceiptsPropertyTaxesTable[],MATCH($A$3,GeneralRevenueFundReceiptsPropertyTaxesTable[County]),MATCH(D35,GeneralRevenueFundReceiptsPropertyTaxesTable[#Headers]))/INDEX(Population[],MATCH($A$3,Population[County]),MATCH(D35,Population[#Headers])))/(INDEX(MCINormalized[],1,MATCH(D35,MCINormalized[#Headers]))/100)</f>
        <v>0</v>
      </c>
      <c r="E36" s="165">
        <f>(INDEX(GeneralRevenueFundReceiptsPropertyTaxesTable[],MATCH($A$3,GeneralRevenueFundReceiptsPropertyTaxesTable[County]),MATCH(E35,GeneralRevenueFundReceiptsPropertyTaxesTable[#Headers]))/INDEX(Population[],MATCH($A$3,Population[County]),MATCH(E35,Population[#Headers])))/(INDEX(MCINormalized[],1,MATCH(E35,MCINormalized[#Headers]))/100)</f>
        <v>0</v>
      </c>
      <c r="F36" s="165">
        <f>(INDEX(GeneralRevenueFundReceiptsPropertyTaxesTable[],MATCH($A$3,GeneralRevenueFundReceiptsPropertyTaxesTable[County]),MATCH(F35,GeneralRevenueFundReceiptsPropertyTaxesTable[#Headers]))/INDEX(Population[],MATCH($A$3,Population[County]),MATCH(F35,Population[#Headers])))/(INDEX(MCINormalized[],1,MATCH(F35,MCINormalized[#Headers]))/100)</f>
        <v>0</v>
      </c>
      <c r="G36" s="165">
        <f>(INDEX(GeneralRevenueFundReceiptsPropertyTaxesTable[],MATCH($A$3,GeneralRevenueFundReceiptsPropertyTaxesTable[County]),MATCH(G35,GeneralRevenueFundReceiptsPropertyTaxesTable[#Headers]))/INDEX(Population[],MATCH($A$3,Population[County]),MATCH(G35,Population[#Headers])))/(INDEX(MCINormalized[],1,MATCH(G35,MCINormalized[#Headers]))/100)</f>
        <v>0</v>
      </c>
      <c r="H36" s="165">
        <f>(INDEX(GeneralRevenueFundReceiptsPropertyTaxesTable[],MATCH($A$3,GeneralRevenueFundReceiptsPropertyTaxesTable[County]),MATCH(H35,GeneralRevenueFundReceiptsPropertyTaxesTable[#Headers]))/INDEX(Population[],MATCH($A$3,Population[County]),MATCH(H35,Population[#Headers])))/(INDEX(MCINormalized[],1,MATCH(H35,MCINormalized[#Headers]))/100)</f>
        <v>0</v>
      </c>
      <c r="I36" s="165">
        <f>(INDEX(GeneralRevenueFundReceiptsPropertyTaxesTable[],MATCH($A$3,GeneralRevenueFundReceiptsPropertyTaxesTable[County]),MATCH(I35,GeneralRevenueFundReceiptsPropertyTaxesTable[#Headers]))/INDEX(Population[],MATCH($A$3,Population[County]),MATCH(I35,Population[#Headers])))/(INDEX(MCINormalized[],1,MATCH(I35,MCINormalized[#Headers]))/100)</f>
        <v>0</v>
      </c>
      <c r="J36" s="165">
        <f>(INDEX(GeneralRevenueFundReceiptsPropertyTaxesTable[],MATCH($A$3,GeneralRevenueFundReceiptsPropertyTaxesTable[County]),MATCH(J35,GeneralRevenueFundReceiptsPropertyTaxesTable[#Headers]))/INDEX(Population[],MATCH($A$3,Population[County]),MATCH(J35,Population[#Headers])))/(INDEX(MCINormalized[],1,MATCH(J35,MCINormalized[#Headers]))/100)</f>
        <v>0</v>
      </c>
      <c r="K36" s="165">
        <f>(INDEX(GeneralRevenueFundReceiptsPropertyTaxesTable[],MATCH($A$3,GeneralRevenueFundReceiptsPropertyTaxesTable[County]),MATCH(K35,GeneralRevenueFundReceiptsPropertyTaxesTable[#Headers]))/INDEX(Population[],MATCH($A$3,Population[County]),MATCH(K35,Population[#Headers])))/(INDEX(MCINormalized[],1,MATCH(K35,MCINormalized[#Headers]))/100)</f>
        <v>0</v>
      </c>
      <c r="L36" s="165">
        <f>(INDEX(GeneralRevenueFundReceiptsPropertyTaxesTable[],MATCH($A$3,GeneralRevenueFundReceiptsPropertyTaxesTable[County]),MATCH(L35,GeneralRevenueFundReceiptsPropertyTaxesTable[#Headers]))/INDEX(Population[],MATCH($A$3,Population[County]),MATCH(L35,Population[#Headers])))/(INDEX(MCINormalized[],1,MATCH(L35,MCINormalized[#Headers]))/100)</f>
        <v>0</v>
      </c>
      <c r="M36" s="165">
        <f>(INDEX(GeneralRevenueFundReceiptsPropertyTaxesTable[],MATCH($A$3,GeneralRevenueFundReceiptsPropertyTaxesTable[County]),MATCH(M35,GeneralRevenueFundReceiptsPropertyTaxesTable[#Headers]))/INDEX(Population[],MATCH($A$3,Population[County]),MATCH(M35,Population[#Headers])))/(INDEX(MCINormalized[],1,MATCH(M35,MCINormalized[#Headers]))/100)</f>
        <v>0</v>
      </c>
      <c r="N36" s="165">
        <f>(INDEX(GeneralRevenueFundReceiptsPropertyTaxesTable[],MATCH($A$3,GeneralRevenueFundReceiptsPropertyTaxesTable[County]),MATCH(N35,GeneralRevenueFundReceiptsPropertyTaxesTable[#Headers]))/INDEX(Population[],MATCH($A$3,Population[County]),MATCH(N35,Population[#Headers])))/(INDEX(MCINormalized[],1,MATCH(N35,MCINormalized[#Headers]))/100)</f>
        <v>0</v>
      </c>
      <c r="O36" s="165">
        <f>(INDEX(GeneralRevenueFundReceiptsPropertyTaxesTable[],MATCH($A$3,GeneralRevenueFundReceiptsPropertyTaxesTable[County]),MATCH(O35,GeneralRevenueFundReceiptsPropertyTaxesTable[#Headers]))/INDEX(Population[],MATCH($A$3,Population[County]),MATCH(O35,Population[#Headers])))/(INDEX(MCINormalized[],1,MATCH(O35,MCINormalized[#Headers]))/100)</f>
        <v>0</v>
      </c>
      <c r="P36" s="165">
        <f>(INDEX(GeneralRevenueFundReceiptsPropertyTaxesTable[],MATCH($A$3,GeneralRevenueFundReceiptsPropertyTaxesTable[County]),MATCH(P35,GeneralRevenueFundReceiptsPropertyTaxesTable[#Headers]))/INDEX(Population[],MATCH($A$3,Population[County]),MATCH(P35,Population[#Headers])))/(INDEX(MCINormalized[],1,MATCH(P35,MCINormalized[#Headers]))/100)</f>
        <v>0</v>
      </c>
      <c r="Q36" s="165">
        <f>(INDEX(GeneralRevenueFundReceiptsPropertyTaxesTable[],MATCH($A$3,GeneralRevenueFundReceiptsPropertyTaxesTable[County]),MATCH(Q35,GeneralRevenueFundReceiptsPropertyTaxesTable[#Headers]))/INDEX(Population[],MATCH($A$3,Population[County]),MATCH(Q35,Population[#Headers])))/(INDEX(MCINormalized[],1,MATCH(Q35,MCINormalized[#Headers]))/100)</f>
        <v>0</v>
      </c>
      <c r="R36" s="165">
        <f>(INDEX(GeneralRevenueFundReceiptsPropertyTaxesTable[],MATCH($A$3,GeneralRevenueFundReceiptsPropertyTaxesTable[County]),MATCH(R35,GeneralRevenueFundReceiptsPropertyTaxesTable[#Headers]))/INDEX(Population[],MATCH($A$3,Population[County]),MATCH(R35,Population[#Headers])))/(INDEX(MCINormalized[],1,MATCH(R35,MCINormalized[#Headers]))/100)</f>
        <v>0</v>
      </c>
      <c r="S36" s="165">
        <f>(INDEX(GeneralRevenueFundReceiptsPropertyTaxesTable[],MATCH($A$3,GeneralRevenueFundReceiptsPropertyTaxesTable[County]),MATCH(S35,GeneralRevenueFundReceiptsPropertyTaxesTable[#Headers]))/INDEX(Population[],MATCH($A$3,Population[County]),MATCH(S35,Population[#Headers])))/(INDEX(MCINormalized[],1,MATCH(S35,MCINormalized[#Headers]))/100)</f>
        <v>0</v>
      </c>
      <c r="T36" s="165">
        <f>(INDEX(GeneralRevenueFundReceiptsPropertyTaxesTable[],MATCH($A$3,GeneralRevenueFundReceiptsPropertyTaxesTable[County]),MATCH(T35,GeneralRevenueFundReceiptsPropertyTaxesTable[#Headers]))/INDEX(Population[],MATCH($A$3,Population[County]),MATCH(T35,Population[#Headers])))/(INDEX(MCINormalized[],1,MATCH(T35,MCINormalized[#Headers]))/100)</f>
        <v>0</v>
      </c>
      <c r="U36" s="165">
        <f>(INDEX(GeneralRevenueFundReceiptsPropertyTaxesTable[],MATCH($A$3,GeneralRevenueFundReceiptsPropertyTaxesTable[County]),MATCH(U35,GeneralRevenueFundReceiptsPropertyTaxesTable[#Headers]))/INDEX(Population[],MATCH($A$3,Population[County]),MATCH(U35,Population[#Headers])))/(INDEX(MCINormalized[],1,MATCH(U35,MCINormalized[#Headers]))/100)</f>
        <v>0</v>
      </c>
      <c r="V36" s="165">
        <f>(INDEX(GeneralRevenueFundReceiptsPropertyTaxesTable[],MATCH($A$3,GeneralRevenueFundReceiptsPropertyTaxesTable[County]),MATCH(V35,GeneralRevenueFundReceiptsPropertyTaxesTable[#Headers]))/INDEX(Population[],MATCH($A$3,Population[County]),MATCH(V35,Population[#Headers])))/(INDEX(MCINormalized[],1,MATCH(V35,MCINormalized[#Headers]))/100)</f>
        <v>0</v>
      </c>
      <c r="W36" s="165">
        <f>(INDEX(GeneralRevenueFundReceiptsPropertyTaxesTable[],MATCH($A$3,GeneralRevenueFundReceiptsPropertyTaxesTable[County]),MATCH(W35,GeneralRevenueFundReceiptsPropertyTaxesTable[#Headers]))/INDEX(Population[],MATCH($A$3,Population[County]),MATCH(W35,Population[#Headers])))/(INDEX(MCINormalized[],1,MATCH(W35,MCINormalized[#Headers]))/100)</f>
        <v>0</v>
      </c>
      <c r="X36" s="165"/>
      <c r="Y36" s="165"/>
      <c r="Z36" s="165"/>
      <c r="AA36" s="165"/>
      <c r="AB36" s="539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</row>
    <row r="37" spans="1:74" s="134" customFormat="1" ht="16">
      <c r="A37" s="155" t="str">
        <f>CONCATENATE($A$3," County Sales Tax Receipts")</f>
        <v>Adair County Sales Tax Receipts</v>
      </c>
      <c r="B37" s="165">
        <f>(INDEX(GeneralRevenueFundReceiptsSalesTaxesTable[],MATCH($A$3,GeneralRevenueFundReceiptsSalesTaxesTable[County]),MATCH(B35,GeneralRevenueFundReceiptsSalesTaxesTable[#Headers],0))/INDEX(Population[],MATCH($A$3,Population[County]),MATCH(B35,Population[#Headers],0)))/(INDEX(MCINormalized[],1,MATCH(B35,MCINormalized[#Headers],0))/100)</f>
        <v>46.520290961700759</v>
      </c>
      <c r="C37" s="165">
        <f>(INDEX(GeneralRevenueFundReceiptsSalesTaxesTable[],MATCH($A$3,GeneralRevenueFundReceiptsSalesTaxesTable[County]),MATCH(C35,GeneralRevenueFundReceiptsSalesTaxesTable[#Headers]))/INDEX(Population[],MATCH($A$3,Population[County]),MATCH(C35,Population[#Headers])))/(INDEX(MCINormalized[],1,MATCH(C35,MCINormalized[#Headers]))/100)</f>
        <v>45.085515689490506</v>
      </c>
      <c r="D37" s="165">
        <f>(INDEX(GeneralRevenueFundReceiptsSalesTaxesTable[],MATCH($A$3,GeneralRevenueFundReceiptsSalesTaxesTable[County]),MATCH(D35,GeneralRevenueFundReceiptsSalesTaxesTable[#Headers]))/INDEX(Population[],MATCH($A$3,Population[County]),MATCH(D35,Population[#Headers])))/(INDEX(MCINormalized[],1,MATCH(D35,MCINormalized[#Headers]))/100)</f>
        <v>43.445249403235913</v>
      </c>
      <c r="E37" s="165">
        <f>(INDEX(GeneralRevenueFundReceiptsSalesTaxesTable[],MATCH($A$3,GeneralRevenueFundReceiptsSalesTaxesTable[County]),MATCH(E35,GeneralRevenueFundReceiptsSalesTaxesTable[#Headers]))/INDEX(Population[],MATCH($A$3,Population[County]),MATCH(E35,Population[#Headers])))/(INDEX(MCINormalized[],1,MATCH(E35,MCINormalized[#Headers]))/100)</f>
        <v>44.462577029813453</v>
      </c>
      <c r="F37" s="165">
        <f>(INDEX(GeneralRevenueFundReceiptsSalesTaxesTable[],MATCH($A$3,GeneralRevenueFundReceiptsSalesTaxesTable[County]),MATCH(F35,GeneralRevenueFundReceiptsSalesTaxesTable[#Headers]))/INDEX(Population[],MATCH($A$3,Population[County]),MATCH(F35,Population[#Headers])))/(INDEX(MCINormalized[],1,MATCH(F35,MCINormalized[#Headers]))/100)</f>
        <v>47.317502930959435</v>
      </c>
      <c r="G37" s="165">
        <f>(INDEX(GeneralRevenueFundReceiptsSalesTaxesTable[],MATCH($A$3,GeneralRevenueFundReceiptsSalesTaxesTable[County]),MATCH(G35,GeneralRevenueFundReceiptsSalesTaxesTable[#Headers]))/INDEX(Population[],MATCH($A$3,Population[County]),MATCH(G35,Population[#Headers])))/(INDEX(MCINormalized[],1,MATCH(G35,MCINormalized[#Headers]))/100)</f>
        <v>46.681206249159452</v>
      </c>
      <c r="H37" s="165">
        <f>(INDEX(GeneralRevenueFundReceiptsSalesTaxesTable[],MATCH($A$3,GeneralRevenueFundReceiptsSalesTaxesTable[County]),MATCH(H35,GeneralRevenueFundReceiptsSalesTaxesTable[#Headers]))/INDEX(Population[],MATCH($A$3,Population[County]),MATCH(H35,Population[#Headers])))/(INDEX(MCINormalized[],1,MATCH(H35,MCINormalized[#Headers]))/100)</f>
        <v>49.134361018791878</v>
      </c>
      <c r="I37" s="165">
        <f>(INDEX(GeneralRevenueFundReceiptsSalesTaxesTable[],MATCH($A$3,GeneralRevenueFundReceiptsSalesTaxesTable[County]),MATCH(I35,GeneralRevenueFundReceiptsSalesTaxesTable[#Headers]))/INDEX(Population[],MATCH($A$3,Population[County]),MATCH(I35,Population[#Headers])))/(INDEX(MCINormalized[],1,MATCH(I35,MCINormalized[#Headers]))/100)</f>
        <v>43.41191025269756</v>
      </c>
      <c r="J37" s="165">
        <f>(INDEX(GeneralRevenueFundReceiptsSalesTaxesTable[],MATCH($A$3,GeneralRevenueFundReceiptsSalesTaxesTable[County]),MATCH(J35,GeneralRevenueFundReceiptsSalesTaxesTable[#Headers]))/INDEX(Population[],MATCH($A$3,Population[County]),MATCH(J35,Population[#Headers])))/(INDEX(MCINormalized[],1,MATCH(J35,MCINormalized[#Headers]))/100)</f>
        <v>43.150552737224842</v>
      </c>
      <c r="K37" s="165">
        <f>(INDEX(GeneralRevenueFundReceiptsSalesTaxesTable[],MATCH($A$3,GeneralRevenueFundReceiptsSalesTaxesTable[County]),MATCH(K35,GeneralRevenueFundReceiptsSalesTaxesTable[#Headers]))/INDEX(Population[],MATCH($A$3,Population[County]),MATCH(K35,Population[#Headers])))/(INDEX(MCINormalized[],1,MATCH(K35,MCINormalized[#Headers]))/100)</f>
        <v>42.223317572037821</v>
      </c>
      <c r="L37" s="165">
        <f>(INDEX(GeneralRevenueFundReceiptsSalesTaxesTable[],MATCH($A$3,GeneralRevenueFundReceiptsSalesTaxesTable[County]),MATCH(L35,GeneralRevenueFundReceiptsSalesTaxesTable[#Headers]))/INDEX(Population[],MATCH($A$3,Population[County]),MATCH(L35,Population[#Headers])))/(INDEX(MCINormalized[],1,MATCH(L35,MCINormalized[#Headers]))/100)</f>
        <v>41.690306792669467</v>
      </c>
      <c r="M37" s="165">
        <f>(INDEX(GeneralRevenueFundReceiptsSalesTaxesTable[],MATCH($A$3,GeneralRevenueFundReceiptsSalesTaxesTable[County]),MATCH(M35,GeneralRevenueFundReceiptsSalesTaxesTable[#Headers]))/INDEX(Population[],MATCH($A$3,Population[County]),MATCH(M35,Population[#Headers])))/(INDEX(MCINormalized[],1,MATCH(M35,MCINormalized[#Headers]))/100)</f>
        <v>43.722078831776606</v>
      </c>
      <c r="N37" s="165">
        <f>(INDEX(GeneralRevenueFundReceiptsSalesTaxesTable[],MATCH($A$3,GeneralRevenueFundReceiptsSalesTaxesTable[County]),MATCH(N35,GeneralRevenueFundReceiptsSalesTaxesTable[#Headers]))/INDEX(Population[],MATCH($A$3,Population[County]),MATCH(N35,Population[#Headers])))/(INDEX(MCINormalized[],1,MATCH(N35,MCINormalized[#Headers]))/100)</f>
        <v>38.836748550202621</v>
      </c>
      <c r="O37" s="165">
        <f>(INDEX(GeneralRevenueFundReceiptsSalesTaxesTable[],MATCH($A$3,GeneralRevenueFundReceiptsSalesTaxesTable[County]),MATCH(O35,GeneralRevenueFundReceiptsSalesTaxesTable[#Headers]))/INDEX(Population[],MATCH($A$3,Population[County]),MATCH(O35,Population[#Headers])))/(INDEX(MCINormalized[],1,MATCH(O35,MCINormalized[#Headers]))/100)</f>
        <v>38.869760410687086</v>
      </c>
      <c r="P37" s="165">
        <f>(INDEX(GeneralRevenueFundReceiptsSalesTaxesTable[],MATCH($A$3,GeneralRevenueFundReceiptsSalesTaxesTable[County]),MATCH(P35,GeneralRevenueFundReceiptsSalesTaxesTable[#Headers]))/INDEX(Population[],MATCH($A$3,Population[County]),MATCH(P35,Population[#Headers])))/(INDEX(MCINormalized[],1,MATCH(P35,MCINormalized[#Headers]))/100)</f>
        <v>37.762945592828871</v>
      </c>
      <c r="Q37" s="165">
        <f>(INDEX(GeneralRevenueFundReceiptsSalesTaxesTable[],MATCH($A$3,GeneralRevenueFundReceiptsSalesTaxesTable[County]),MATCH(Q35,GeneralRevenueFundReceiptsSalesTaxesTable[#Headers]))/INDEX(Population[],MATCH($A$3,Population[County]),MATCH(Q35,Population[#Headers])))/(INDEX(MCINormalized[],1,MATCH(Q35,MCINormalized[#Headers]))/100)</f>
        <v>37.70040291634227</v>
      </c>
      <c r="R37" s="165">
        <f>(INDEX(GeneralRevenueFundReceiptsSalesTaxesTable[],MATCH($A$3,GeneralRevenueFundReceiptsSalesTaxesTable[County]),MATCH(R35,GeneralRevenueFundReceiptsSalesTaxesTable[#Headers]))/INDEX(Population[],MATCH($A$3,Population[County]),MATCH(R35,Population[#Headers])))/(INDEX(MCINormalized[],1,MATCH(R35,MCINormalized[#Headers]))/100)</f>
        <v>36.145409595748902</v>
      </c>
      <c r="S37" s="165">
        <f>(INDEX(GeneralRevenueFundReceiptsSalesTaxesTable[],MATCH($A$3,GeneralRevenueFundReceiptsSalesTaxesTable[County]),MATCH(S35,GeneralRevenueFundReceiptsSalesTaxesTable[#Headers]))/INDEX(Population[],MATCH($A$3,Population[County]),MATCH(S35,Population[#Headers])))/(INDEX(MCINormalized[],1,MATCH(S35,MCINormalized[#Headers]))/100)</f>
        <v>36.596441156558328</v>
      </c>
      <c r="T37" s="165">
        <f>(INDEX(GeneralRevenueFundReceiptsSalesTaxesTable[],MATCH($A$3,GeneralRevenueFundReceiptsSalesTaxesTable[County]),MATCH(T35,GeneralRevenueFundReceiptsSalesTaxesTable[#Headers]))/INDEX(Population[],MATCH($A$3,Population[County]),MATCH(T35,Population[#Headers])))/(INDEX(MCINormalized[],1,MATCH(T35,MCINormalized[#Headers]))/100)</f>
        <v>37.689009144765329</v>
      </c>
      <c r="U37" s="165">
        <f>(INDEX(GeneralRevenueFundReceiptsSalesTaxesTable[],MATCH($A$3,GeneralRevenueFundReceiptsSalesTaxesTable[County]),MATCH(U35,GeneralRevenueFundReceiptsSalesTaxesTable[#Headers]))/INDEX(Population[],MATCH($A$3,Population[County]),MATCH(U35,Population[#Headers])))/(INDEX(MCINormalized[],1,MATCH(U35,MCINormalized[#Headers]))/100)</f>
        <v>38.317281816345407</v>
      </c>
      <c r="V37" s="165">
        <f>(INDEX(GeneralRevenueFundReceiptsSalesTaxesTable[],MATCH($A$3,GeneralRevenueFundReceiptsSalesTaxesTable[County]),MATCH(V35,GeneralRevenueFundReceiptsSalesTaxesTable[#Headers]))/INDEX(Population[],MATCH($A$3,Population[County]),MATCH(V35,Population[#Headers])))/(INDEX(MCINormalized[],1,MATCH(V35,MCINormalized[#Headers]))/100)</f>
        <v>38.300050406744724</v>
      </c>
      <c r="W37" s="165">
        <f>(INDEX(GeneralRevenueFundReceiptsSalesTaxesTable[],MATCH($A$3,GeneralRevenueFundReceiptsSalesTaxesTable[County]),MATCH(W35,GeneralRevenueFundReceiptsSalesTaxesTable[#Headers]))/INDEX(Population[],MATCH($A$3,Population[County]),MATCH(W35,Population[#Headers])))/(INDEX(MCINormalized[],1,MATCH(W35,MCINormalized[#Headers]))/100)</f>
        <v>37.400975125305308</v>
      </c>
      <c r="X37" s="165"/>
      <c r="Y37" s="165"/>
      <c r="Z37" s="165"/>
      <c r="AA37" s="165"/>
      <c r="AB37" s="539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74"/>
    </row>
    <row r="38" spans="1:74" ht="16">
      <c r="A38" s="155" t="str">
        <f>CONCATENATE($A$5," County Property Tax Receipts")</f>
        <v>Maries County Property Tax Receipts</v>
      </c>
      <c r="B38" s="165">
        <f>(INDEX(GeneralRevenueFundReceiptsPropertyTaxesTable[],MATCH($A$5,GeneralRevenueFundReceiptsPropertyTaxesTable[County]),MATCH(B35,GeneralRevenueFundReceiptsPropertyTaxesTable[#Headers],0))/INDEX(Population[],MATCH($A$5,Population[County]),MATCH(B35,Population[#Headers],0)))/(INDEX(MCINormalized[],1,MATCH(B35,MCINormalized[#Headers],0))/100)</f>
        <v>25.530980949000121</v>
      </c>
      <c r="C38" s="165">
        <f>(INDEX(GeneralRevenueFundReceiptsPropertyTaxesTable[],MATCH($A$5,GeneralRevenueFundReceiptsPropertyTaxesTable[County]),MATCH(C35,GeneralRevenueFundReceiptsPropertyTaxesTable[#Headers]))/INDEX(Population[],MATCH($A$5,Population[County]),MATCH(C35,Population[#Headers])))/(INDEX(MCINormalized[],1,MATCH(C35,MCINormalized[#Headers]))/100)</f>
        <v>24.295366188595487</v>
      </c>
      <c r="D38" s="165">
        <f>(INDEX(GeneralRevenueFundReceiptsPropertyTaxesTable[],MATCH($A$5,GeneralRevenueFundReceiptsPropertyTaxesTable[County]),MATCH(D35,GeneralRevenueFundReceiptsPropertyTaxesTable[#Headers]))/INDEX(Population[],MATCH($A$5,Population[County]),MATCH(D35,Population[#Headers])))/(INDEX(MCINormalized[],1,MATCH(D35,MCINormalized[#Headers]))/100)</f>
        <v>25.268868723193506</v>
      </c>
      <c r="E38" s="165">
        <f>(INDEX(GeneralRevenueFundReceiptsPropertyTaxesTable[],MATCH($A$5,GeneralRevenueFundReceiptsPropertyTaxesTable[County]),MATCH(E35,GeneralRevenueFundReceiptsPropertyTaxesTable[#Headers]))/INDEX(Population[],MATCH($A$5,Population[County]),MATCH(E35,Population[#Headers])))/(INDEX(MCINormalized[],1,MATCH(E35,MCINormalized[#Headers]))/100)</f>
        <v>25.646733652015104</v>
      </c>
      <c r="F38" s="165">
        <f>(INDEX(GeneralRevenueFundReceiptsPropertyTaxesTable[],MATCH($A$5,GeneralRevenueFundReceiptsPropertyTaxesTable[County]),MATCH(F35,GeneralRevenueFundReceiptsPropertyTaxesTable[#Headers]))/INDEX(Population[],MATCH($A$5,Population[County]),MATCH(F35,Population[#Headers])))/(INDEX(MCINormalized[],1,MATCH(F35,MCINormalized[#Headers]))/100)</f>
        <v>26.188003759201866</v>
      </c>
      <c r="G38" s="165">
        <f>(INDEX(GeneralRevenueFundReceiptsPropertyTaxesTable[],MATCH($A$5,GeneralRevenueFundReceiptsPropertyTaxesTable[County]),MATCH(G35,GeneralRevenueFundReceiptsPropertyTaxesTable[#Headers]))/INDEX(Population[],MATCH($A$5,Population[County]),MATCH(G35,Population[#Headers])))/(INDEX(MCINormalized[],1,MATCH(G35,MCINormalized[#Headers]))/100)</f>
        <v>25.665904183554417</v>
      </c>
      <c r="H38" s="165">
        <f>(INDEX(GeneralRevenueFundReceiptsPropertyTaxesTable[],MATCH($A$5,GeneralRevenueFundReceiptsPropertyTaxesTable[County]),MATCH(H35,GeneralRevenueFundReceiptsPropertyTaxesTable[#Headers]))/INDEX(Population[],MATCH($A$5,Population[County]),MATCH(H35,Population[#Headers])))/(INDEX(MCINormalized[],1,MATCH(H35,MCINormalized[#Headers]))/100)</f>
        <v>26.627950000597856</v>
      </c>
      <c r="I38" s="165">
        <f>(INDEX(GeneralRevenueFundReceiptsPropertyTaxesTable[],MATCH($A$5,GeneralRevenueFundReceiptsPropertyTaxesTable[County]),MATCH(I35,GeneralRevenueFundReceiptsPropertyTaxesTable[#Headers]))/INDEX(Population[],MATCH($A$5,Population[County]),MATCH(I35,Population[#Headers])))/(INDEX(MCINormalized[],1,MATCH(I35,MCINormalized[#Headers]))/100)</f>
        <v>27.744650976224182</v>
      </c>
      <c r="J38" s="165">
        <f>(INDEX(GeneralRevenueFundReceiptsPropertyTaxesTable[],MATCH($A$5,GeneralRevenueFundReceiptsPropertyTaxesTable[County]),MATCH(J35,GeneralRevenueFundReceiptsPropertyTaxesTable[#Headers]))/INDEX(Population[],MATCH($A$5,Population[County]),MATCH(J35,Population[#Headers])))/(INDEX(MCINormalized[],1,MATCH(J35,MCINormalized[#Headers]))/100)</f>
        <v>27.889631544936044</v>
      </c>
      <c r="K38" s="165">
        <f>(INDEX(GeneralRevenueFundReceiptsPropertyTaxesTable[],MATCH($A$5,GeneralRevenueFundReceiptsPropertyTaxesTable[County]),MATCH(K35,GeneralRevenueFundReceiptsPropertyTaxesTable[#Headers]))/INDEX(Population[],MATCH($A$5,Population[County]),MATCH(K35,Population[#Headers])))/(INDEX(MCINormalized[],1,MATCH(K35,MCINormalized[#Headers]))/100)</f>
        <v>25.460624687620076</v>
      </c>
      <c r="L38" s="165">
        <f>(INDEX(GeneralRevenueFundReceiptsPropertyTaxesTable[],MATCH($A$5,GeneralRevenueFundReceiptsPropertyTaxesTable[County]),MATCH(L35,GeneralRevenueFundReceiptsPropertyTaxesTable[#Headers]))/INDEX(Population[],MATCH($A$5,Population[County]),MATCH(L35,Population[#Headers])))/(INDEX(MCINormalized[],1,MATCH(L35,MCINormalized[#Headers]))/100)</f>
        <v>25.562736870600965</v>
      </c>
      <c r="M38" s="165">
        <f>(INDEX(GeneralRevenueFundReceiptsPropertyTaxesTable[],MATCH($A$5,GeneralRevenueFundReceiptsPropertyTaxesTable[County]),MATCH(M35,GeneralRevenueFundReceiptsPropertyTaxesTable[#Headers]))/INDEX(Population[],MATCH($A$5,Population[County]),MATCH(M35,Population[#Headers])))/(INDEX(MCINormalized[],1,MATCH(M35,MCINormalized[#Headers]))/100)</f>
        <v>27.031640392088811</v>
      </c>
      <c r="N38" s="165">
        <f>(INDEX(GeneralRevenueFundReceiptsPropertyTaxesTable[],MATCH($A$5,GeneralRevenueFundReceiptsPropertyTaxesTable[County]),MATCH(N35,GeneralRevenueFundReceiptsPropertyTaxesTable[#Headers]))/INDEX(Population[],MATCH($A$5,Population[County]),MATCH(N35,Population[#Headers])))/(INDEX(MCINormalized[],1,MATCH(N35,MCINormalized[#Headers]))/100)</f>
        <v>27.386757989081516</v>
      </c>
      <c r="O38" s="165">
        <f>(INDEX(GeneralRevenueFundReceiptsPropertyTaxesTable[],MATCH($A$5,GeneralRevenueFundReceiptsPropertyTaxesTable[County]),MATCH(O35,GeneralRevenueFundReceiptsPropertyTaxesTable[#Headers]))/INDEX(Population[],MATCH($A$5,Population[County]),MATCH(O35,Population[#Headers])))/(INDEX(MCINormalized[],1,MATCH(O35,MCINormalized[#Headers]))/100)</f>
        <v>29.437588974301967</v>
      </c>
      <c r="P38" s="165">
        <f>(INDEX(GeneralRevenueFundReceiptsPropertyTaxesTable[],MATCH($A$5,GeneralRevenueFundReceiptsPropertyTaxesTable[County]),MATCH(P35,GeneralRevenueFundReceiptsPropertyTaxesTable[#Headers]))/INDEX(Population[],MATCH($A$5,Population[County]),MATCH(P35,Population[#Headers])))/(INDEX(MCINormalized[],1,MATCH(P35,MCINormalized[#Headers]))/100)</f>
        <v>21.690823006589923</v>
      </c>
      <c r="Q38" s="165">
        <f>(INDEX(GeneralRevenueFundReceiptsPropertyTaxesTable[],MATCH($A$5,GeneralRevenueFundReceiptsPropertyTaxesTable[County]),MATCH(Q35,GeneralRevenueFundReceiptsPropertyTaxesTable[#Headers]))/INDEX(Population[],MATCH($A$5,Population[County]),MATCH(Q35,Population[#Headers])))/(INDEX(MCINormalized[],1,MATCH(Q35,MCINormalized[#Headers]))/100)</f>
        <v>21.690180371340503</v>
      </c>
      <c r="R38" s="165">
        <f>(INDEX(GeneralRevenueFundReceiptsPropertyTaxesTable[],MATCH($A$5,GeneralRevenueFundReceiptsPropertyTaxesTable[County]),MATCH(R35,GeneralRevenueFundReceiptsPropertyTaxesTable[#Headers]))/INDEX(Population[],MATCH($A$5,Population[County]),MATCH(R35,Population[#Headers])))/(INDEX(MCINormalized[],1,MATCH(R35,MCINormalized[#Headers]))/100)</f>
        <v>0</v>
      </c>
      <c r="S38" s="165">
        <f>(INDEX(GeneralRevenueFundReceiptsPropertyTaxesTable[],MATCH($A$5,GeneralRevenueFundReceiptsPropertyTaxesTable[County]),MATCH(S35,GeneralRevenueFundReceiptsPropertyTaxesTable[#Headers]))/INDEX(Population[],MATCH($A$5,Population[County]),MATCH(S35,Population[#Headers])))/(INDEX(MCINormalized[],1,MATCH(S35,MCINormalized[#Headers]))/100)</f>
        <v>0</v>
      </c>
      <c r="T38" s="165">
        <f>(INDEX(GeneralRevenueFundReceiptsPropertyTaxesTable[],MATCH($A$5,GeneralRevenueFundReceiptsPropertyTaxesTable[County]),MATCH(T35,GeneralRevenueFundReceiptsPropertyTaxesTable[#Headers]))/INDEX(Population[],MATCH($A$5,Population[County]),MATCH(T35,Population[#Headers])))/(INDEX(MCINormalized[],1,MATCH(T35,MCINormalized[#Headers]))/100)</f>
        <v>0</v>
      </c>
      <c r="U38" s="165">
        <f>(INDEX(GeneralRevenueFundReceiptsPropertyTaxesTable[],MATCH($A$5,GeneralRevenueFundReceiptsPropertyTaxesTable[County]),MATCH(U35,GeneralRevenueFundReceiptsPropertyTaxesTable[#Headers]))/INDEX(Population[],MATCH($A$5,Population[County]),MATCH(U35,Population[#Headers])))/(INDEX(MCINormalized[],1,MATCH(U35,MCINormalized[#Headers]))/100)</f>
        <v>0</v>
      </c>
      <c r="V38" s="165">
        <f>(INDEX(GeneralRevenueFundReceiptsPropertyTaxesTable[],MATCH($A$5,GeneralRevenueFundReceiptsPropertyTaxesTable[County]),MATCH(V35,GeneralRevenueFundReceiptsPropertyTaxesTable[#Headers]))/INDEX(Population[],MATCH($A$5,Population[County]),MATCH(V35,Population[#Headers])))/(INDEX(MCINormalized[],1,MATCH(V35,MCINormalized[#Headers]))/100)</f>
        <v>0</v>
      </c>
      <c r="W38" s="165">
        <f>(INDEX(GeneralRevenueFundReceiptsPropertyTaxesTable[],MATCH($A$5,GeneralRevenueFundReceiptsPropertyTaxesTable[County]),MATCH(W35,GeneralRevenueFundReceiptsPropertyTaxesTable[#Headers]))/INDEX(Population[],MATCH($A$5,Population[County]),MATCH(W35,Population[#Headers])))/(INDEX(MCINormalized[],1,MATCH(W35,MCINormalized[#Headers]))/100)</f>
        <v>0</v>
      </c>
      <c r="X38" s="165"/>
      <c r="Y38" s="165"/>
      <c r="Z38" s="165"/>
      <c r="AA38" s="165"/>
      <c r="AB38" s="539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</row>
    <row r="39" spans="1:74" ht="16">
      <c r="A39" s="155" t="str">
        <f>CONCATENATE($A$5," County Sales Tax Receipts")</f>
        <v>Maries County Sales Tax Receipts</v>
      </c>
      <c r="B39" s="165">
        <f>(INDEX(GeneralRevenueFundReceiptsSalesTaxesTable[],MATCH($A$5,GeneralRevenueFundReceiptsSalesTaxesTable[County]),MATCH(B35,GeneralRevenueFundReceiptsSalesTaxesTable[#Headers],0))/INDEX(Population[],MATCH($A$5,Population[County]),MATCH(B35,Population[#Headers],0)))/(INDEX(MCINormalized[],1,MATCH(B35,MCINormalized[#Headers],0))/100)</f>
        <v>36.095524789965687</v>
      </c>
      <c r="C39" s="165">
        <f>(INDEX(GeneralRevenueFundReceiptsSalesTaxesTable[],MATCH($A$5,GeneralRevenueFundReceiptsSalesTaxesTable[County]),MATCH(C35,GeneralRevenueFundReceiptsSalesTaxesTable[#Headers]))/INDEX(Population[],MATCH($A$5,Population[County]),MATCH(C35,Population[#Headers])))/(INDEX(MCINormalized[],1,MATCH(C35,MCINormalized[#Headers]))/100)</f>
        <v>38.692620226281704</v>
      </c>
      <c r="D39" s="165">
        <f>(INDEX(GeneralRevenueFundReceiptsSalesTaxesTable[],MATCH($A$5,GeneralRevenueFundReceiptsSalesTaxesTable[County]),MATCH(D35,GeneralRevenueFundReceiptsSalesTaxesTable[#Headers]))/INDEX(Population[],MATCH($A$5,Population[County]),MATCH(D35,Population[#Headers])))/(INDEX(MCINormalized[],1,MATCH(D35,MCINormalized[#Headers]))/100)</f>
        <v>39.847062217343606</v>
      </c>
      <c r="E39" s="165">
        <f>(INDEX(GeneralRevenueFundReceiptsSalesTaxesTable[],MATCH($A$5,GeneralRevenueFundReceiptsSalesTaxesTable[County]),MATCH(E35,GeneralRevenueFundReceiptsSalesTaxesTable[#Headers]))/INDEX(Population[],MATCH($A$5,Population[County]),MATCH(E35,Population[#Headers])))/(INDEX(MCINormalized[],1,MATCH(E35,MCINormalized[#Headers]))/100)</f>
        <v>41.794677062543137</v>
      </c>
      <c r="F39" s="165">
        <f>(INDEX(GeneralRevenueFundReceiptsSalesTaxesTable[],MATCH($A$5,GeneralRevenueFundReceiptsSalesTaxesTable[County]),MATCH(F35,GeneralRevenueFundReceiptsSalesTaxesTable[#Headers]))/INDEX(Population[],MATCH($A$5,Population[County]),MATCH(F35,Population[#Headers])))/(INDEX(MCINormalized[],1,MATCH(F35,MCINormalized[#Headers]))/100)</f>
        <v>45.043366465827205</v>
      </c>
      <c r="G39" s="165">
        <f>(INDEX(GeneralRevenueFundReceiptsSalesTaxesTable[],MATCH($A$5,GeneralRevenueFundReceiptsSalesTaxesTable[County]),MATCH(G35,GeneralRevenueFundReceiptsSalesTaxesTable[#Headers]))/INDEX(Population[],MATCH($A$5,Population[County]),MATCH(G35,Population[#Headers])))/(INDEX(MCINormalized[],1,MATCH(G35,MCINormalized[#Headers]))/100)</f>
        <v>40.038810526344889</v>
      </c>
      <c r="H39" s="165">
        <f>(INDEX(GeneralRevenueFundReceiptsSalesTaxesTable[],MATCH($A$5,GeneralRevenueFundReceiptsSalesTaxesTable[County]),MATCH(H35,GeneralRevenueFundReceiptsSalesTaxesTable[#Headers]))/INDEX(Population[],MATCH($A$5,Population[County]),MATCH(H35,Population[#Headers])))/(INDEX(MCINormalized[],1,MATCH(H35,MCINormalized[#Headers]))/100)</f>
        <v>34.732108696431986</v>
      </c>
      <c r="I39" s="165">
        <f>(INDEX(GeneralRevenueFundReceiptsSalesTaxesTable[],MATCH($A$5,GeneralRevenueFundReceiptsSalesTaxesTable[County]),MATCH(I35,GeneralRevenueFundReceiptsSalesTaxesTable[#Headers]))/INDEX(Population[],MATCH($A$5,Population[County]),MATCH(I35,Population[#Headers])))/(INDEX(MCINormalized[],1,MATCH(I35,MCINormalized[#Headers]))/100)</f>
        <v>27.744650976224182</v>
      </c>
      <c r="J39" s="165">
        <f>(INDEX(GeneralRevenueFundReceiptsSalesTaxesTable[],MATCH($A$5,GeneralRevenueFundReceiptsSalesTaxesTable[County]),MATCH(J35,GeneralRevenueFundReceiptsSalesTaxesTable[#Headers]))/INDEX(Population[],MATCH($A$5,Population[County]),MATCH(J35,Population[#Headers])))/(INDEX(MCINormalized[],1,MATCH(J35,MCINormalized[#Headers]))/100)</f>
        <v>43.07466462636414</v>
      </c>
      <c r="K39" s="165">
        <f>(INDEX(GeneralRevenueFundReceiptsSalesTaxesTable[],MATCH($A$5,GeneralRevenueFundReceiptsSalesTaxesTable[County]),MATCH(K35,GeneralRevenueFundReceiptsSalesTaxesTable[#Headers]))/INDEX(Population[],MATCH($A$5,Population[County]),MATCH(K35,Population[#Headers])))/(INDEX(MCINormalized[],1,MATCH(K35,MCINormalized[#Headers]))/100)</f>
        <v>41.589604902749137</v>
      </c>
      <c r="L39" s="165">
        <f>(INDEX(GeneralRevenueFundReceiptsSalesTaxesTable[],MATCH($A$5,GeneralRevenueFundReceiptsSalesTaxesTable[County]),MATCH(L35,GeneralRevenueFundReceiptsSalesTaxesTable[#Headers]))/INDEX(Population[],MATCH($A$5,Population[County]),MATCH(L35,Population[#Headers])))/(INDEX(MCINormalized[],1,MATCH(L35,MCINormalized[#Headers]))/100)</f>
        <v>38.964832933714895</v>
      </c>
      <c r="M39" s="165">
        <f>(INDEX(GeneralRevenueFundReceiptsSalesTaxesTable[],MATCH($A$5,GeneralRevenueFundReceiptsSalesTaxesTable[County]),MATCH(M35,GeneralRevenueFundReceiptsSalesTaxesTable[#Headers]))/INDEX(Population[],MATCH($A$5,Population[County]),MATCH(M35,Population[#Headers])))/(INDEX(MCINormalized[],1,MATCH(M35,MCINormalized[#Headers]))/100)</f>
        <v>39.010993149693299</v>
      </c>
      <c r="N39" s="165">
        <f>(INDEX(GeneralRevenueFundReceiptsSalesTaxesTable[],MATCH($A$5,GeneralRevenueFundReceiptsSalesTaxesTable[County]),MATCH(N35,GeneralRevenueFundReceiptsSalesTaxesTable[#Headers]))/INDEX(Population[],MATCH($A$5,Population[County]),MATCH(N35,Population[#Headers])))/(INDEX(MCINormalized[],1,MATCH(N35,MCINormalized[#Headers]))/100)</f>
        <v>23.805051904561797</v>
      </c>
      <c r="O39" s="165">
        <f>(INDEX(GeneralRevenueFundReceiptsSalesTaxesTable[],MATCH($A$5,GeneralRevenueFundReceiptsSalesTaxesTable[County]),MATCH(O35,GeneralRevenueFundReceiptsSalesTaxesTable[#Headers]))/INDEX(Population[],MATCH($A$5,Population[County]),MATCH(O35,Population[#Headers])))/(INDEX(MCINormalized[],1,MATCH(O35,MCINormalized[#Headers]))/100)</f>
        <v>25.132017071302769</v>
      </c>
      <c r="P39" s="165">
        <f>(INDEX(GeneralRevenueFundReceiptsSalesTaxesTable[],MATCH($A$5,GeneralRevenueFundReceiptsSalesTaxesTable[County]),MATCH(P35,GeneralRevenueFundReceiptsSalesTaxesTable[#Headers]))/INDEX(Population[],MATCH($A$5,Population[County]),MATCH(P35,Population[#Headers])))/(INDEX(MCINormalized[],1,MATCH(P35,MCINormalized[#Headers]))/100)</f>
        <v>19.997882354676005</v>
      </c>
      <c r="Q39" s="165">
        <f>(INDEX(GeneralRevenueFundReceiptsSalesTaxesTable[],MATCH($A$5,GeneralRevenueFundReceiptsSalesTaxesTable[County]),MATCH(Q35,GeneralRevenueFundReceiptsSalesTaxesTable[#Headers]))/INDEX(Population[],MATCH($A$5,Population[County]),MATCH(Q35,Population[#Headers])))/(INDEX(MCINormalized[],1,MATCH(Q35,MCINormalized[#Headers]))/100)</f>
        <v>18.538479448363489</v>
      </c>
      <c r="R39" s="165">
        <f>(INDEX(GeneralRevenueFundReceiptsSalesTaxesTable[],MATCH($A$5,GeneralRevenueFundReceiptsSalesTaxesTable[County]),MATCH(R35,GeneralRevenueFundReceiptsSalesTaxesTable[#Headers]))/INDEX(Population[],MATCH($A$5,Population[County]),MATCH(R35,Population[#Headers])))/(INDEX(MCINormalized[],1,MATCH(R35,MCINormalized[#Headers]))/100)</f>
        <v>0</v>
      </c>
      <c r="S39" s="165">
        <f>(INDEX(GeneralRevenueFundReceiptsSalesTaxesTable[],MATCH($A$5,GeneralRevenueFundReceiptsSalesTaxesTable[County]),MATCH(S35,GeneralRevenueFundReceiptsSalesTaxesTable[#Headers]))/INDEX(Population[],MATCH($A$5,Population[County]),MATCH(S35,Population[#Headers])))/(INDEX(MCINormalized[],1,MATCH(S35,MCINormalized[#Headers]))/100)</f>
        <v>0</v>
      </c>
      <c r="T39" s="165">
        <f>(INDEX(GeneralRevenueFundReceiptsSalesTaxesTable[],MATCH($A$5,GeneralRevenueFundReceiptsSalesTaxesTable[County]),MATCH(T35,GeneralRevenueFundReceiptsSalesTaxesTable[#Headers]))/INDEX(Population[],MATCH($A$5,Population[County]),MATCH(T35,Population[#Headers])))/(INDEX(MCINormalized[],1,MATCH(T35,MCINormalized[#Headers]))/100)</f>
        <v>0</v>
      </c>
      <c r="U39" s="165">
        <f>(INDEX(GeneralRevenueFundReceiptsSalesTaxesTable[],MATCH($A$5,GeneralRevenueFundReceiptsSalesTaxesTable[County]),MATCH(U35,GeneralRevenueFundReceiptsSalesTaxesTable[#Headers]))/INDEX(Population[],MATCH($A$5,Population[County]),MATCH(U35,Population[#Headers])))/(INDEX(MCINormalized[],1,MATCH(U35,MCINormalized[#Headers]))/100)</f>
        <v>0</v>
      </c>
      <c r="V39" s="165">
        <f>(INDEX(GeneralRevenueFundReceiptsSalesTaxesTable[],MATCH($A$5,GeneralRevenueFundReceiptsSalesTaxesTable[County]),MATCH(V35,GeneralRevenueFundReceiptsSalesTaxesTable[#Headers]))/INDEX(Population[],MATCH($A$5,Population[County]),MATCH(V35,Population[#Headers])))/(INDEX(MCINormalized[],1,MATCH(V35,MCINormalized[#Headers]))/100)</f>
        <v>0</v>
      </c>
      <c r="W39" s="165">
        <f>(INDEX(GeneralRevenueFundReceiptsSalesTaxesTable[],MATCH($A$5,GeneralRevenueFundReceiptsSalesTaxesTable[County]),MATCH(W35,GeneralRevenueFundReceiptsSalesTaxesTable[#Headers]))/INDEX(Population[],MATCH($A$5,Population[County]),MATCH(W35,Population[#Headers])))/(INDEX(MCINormalized[],1,MATCH(W35,MCINormalized[#Headers]))/100)</f>
        <v>0</v>
      </c>
      <c r="X39" s="165"/>
      <c r="Y39" s="165"/>
      <c r="Z39" s="165"/>
      <c r="AA39" s="165"/>
      <c r="AB39" s="539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</row>
    <row r="40" spans="1:74" ht="16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53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</row>
    <row r="41" spans="1:74" ht="16">
      <c r="A41" s="166" t="str">
        <f>CONCATENATE($A$3," County Detailed General Revenue Receipts: Real per Capita")</f>
        <v>Adair County Detailed General Revenue Receipts: Real per Capita</v>
      </c>
      <c r="B41" s="167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 t="s">
        <v>94</v>
      </c>
      <c r="O41" s="167"/>
      <c r="P41" s="167"/>
      <c r="Q41" s="167"/>
      <c r="R41" s="153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</row>
    <row r="42" spans="1:74" ht="16">
      <c r="A42" s="307" t="s">
        <v>434</v>
      </c>
      <c r="B42" s="308" t="s">
        <v>409</v>
      </c>
      <c r="C42" s="308" t="s">
        <v>410</v>
      </c>
      <c r="D42" s="308" t="s">
        <v>411</v>
      </c>
      <c r="E42" s="308" t="s">
        <v>412</v>
      </c>
      <c r="F42" s="308" t="s">
        <v>413</v>
      </c>
      <c r="G42" s="308" t="s">
        <v>414</v>
      </c>
      <c r="H42" s="308" t="s">
        <v>415</v>
      </c>
      <c r="I42" s="308" t="s">
        <v>416</v>
      </c>
      <c r="J42" s="308" t="s">
        <v>417</v>
      </c>
      <c r="K42" s="308" t="s">
        <v>418</v>
      </c>
      <c r="L42" s="308" t="s">
        <v>419</v>
      </c>
      <c r="M42" s="308" t="s">
        <v>420</v>
      </c>
      <c r="N42" s="308" t="s">
        <v>421</v>
      </c>
      <c r="O42" s="308" t="s">
        <v>422</v>
      </c>
      <c r="P42" s="302" t="s">
        <v>423</v>
      </c>
      <c r="Q42" s="302" t="s">
        <v>355</v>
      </c>
      <c r="R42" s="302" t="s">
        <v>399</v>
      </c>
      <c r="S42" s="302" t="s">
        <v>424</v>
      </c>
      <c r="T42" s="302" t="s">
        <v>446</v>
      </c>
      <c r="U42" s="302" t="s">
        <v>523</v>
      </c>
      <c r="V42" s="302" t="s">
        <v>524</v>
      </c>
      <c r="W42" s="302" t="s">
        <v>525</v>
      </c>
      <c r="X42" s="302"/>
      <c r="Y42" s="302"/>
      <c r="Z42" s="302"/>
      <c r="AA42" s="302"/>
      <c r="AB42" s="539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</row>
    <row r="43" spans="1:74" ht="16">
      <c r="A43" s="158" t="s">
        <v>138</v>
      </c>
      <c r="B43" s="165">
        <f>(INDEX(GeneralRevenueFundReceiptsPropertyTaxesTable[],MATCH($A$3,GeneralRevenueFundReceiptsPropertyTaxesTable[County]),MATCH(B42,GeneralRevenueFundReceiptsPropertyTaxesTable[#Headers],0))/INDEX(Population[],MATCH($A$3,Population[County]),MATCH(B42,Population[#Headers],0)))/(INDEX(MCINormalized[],1,MATCH(B42,MCINormalized[#Headers],0))/100)</f>
        <v>0</v>
      </c>
      <c r="C43" s="165">
        <f>(INDEX(GeneralRevenueFundReceiptsPropertyTaxesTable[],MATCH($A$3,GeneralRevenueFundReceiptsPropertyTaxesTable[County]),MATCH(C42,GeneralRevenueFundReceiptsPropertyTaxesTable[#Headers]))/INDEX(Population[],MATCH($A$3,Population[County]),MATCH(C42,Population[#Headers])))/(INDEX(MCINormalized[],1,MATCH(C42,MCINormalized[#Headers]))/100)</f>
        <v>0.86702914787481744</v>
      </c>
      <c r="D43" s="165">
        <f>(INDEX(GeneralRevenueFundReceiptsPropertyTaxesTable[],MATCH($A$3,GeneralRevenueFundReceiptsPropertyTaxesTable[County]),MATCH(D42,GeneralRevenueFundReceiptsPropertyTaxesTable[#Headers]))/INDEX(Population[],MATCH($A$3,Population[County]),MATCH(D42,Population[#Headers])))/(INDEX(MCINormalized[],1,MATCH(D42,MCINormalized[#Headers]))/100)</f>
        <v>0</v>
      </c>
      <c r="E43" s="165">
        <f>(INDEX(GeneralRevenueFundReceiptsPropertyTaxesTable[],MATCH($A$3,GeneralRevenueFundReceiptsPropertyTaxesTable[County]),MATCH(E42,GeneralRevenueFundReceiptsPropertyTaxesTable[#Headers]))/INDEX(Population[],MATCH($A$3,Population[County]),MATCH(E42,Population[#Headers])))/(INDEX(MCINormalized[],1,MATCH(E42,MCINormalized[#Headers]))/100)</f>
        <v>0</v>
      </c>
      <c r="F43" s="165">
        <f>(INDEX(GeneralRevenueFundReceiptsPropertyTaxesTable[],MATCH($A$3,GeneralRevenueFundReceiptsPropertyTaxesTable[County]),MATCH(F42,GeneralRevenueFundReceiptsPropertyTaxesTable[#Headers]))/INDEX(Population[],MATCH($A$3,Population[County]),MATCH(F42,Population[#Headers])))/(INDEX(MCINormalized[],1,MATCH(F42,MCINormalized[#Headers]))/100)</f>
        <v>0</v>
      </c>
      <c r="G43" s="165">
        <f>(INDEX(GeneralRevenueFundReceiptsPropertyTaxesTable[],MATCH($A$3,GeneralRevenueFundReceiptsPropertyTaxesTable[County]),MATCH(G42,GeneralRevenueFundReceiptsPropertyTaxesTable[#Headers]))/INDEX(Population[],MATCH($A$3,Population[County]),MATCH(G42,Population[#Headers])))/(INDEX(MCINormalized[],1,MATCH(G42,MCINormalized[#Headers]))/100)</f>
        <v>0</v>
      </c>
      <c r="H43" s="165">
        <f>(INDEX(GeneralRevenueFundReceiptsPropertyTaxesTable[],MATCH($A$3,GeneralRevenueFundReceiptsPropertyTaxesTable[County]),MATCH(H42,GeneralRevenueFundReceiptsPropertyTaxesTable[#Headers]))/INDEX(Population[],MATCH($A$3,Population[County]),MATCH(H42,Population[#Headers])))/(INDEX(MCINormalized[],1,MATCH(H42,MCINormalized[#Headers]))/100)</f>
        <v>0</v>
      </c>
      <c r="I43" s="165">
        <f>(INDEX(GeneralRevenueFundReceiptsPropertyTaxesTable[],MATCH($A$3,GeneralRevenueFundReceiptsPropertyTaxesTable[County]),MATCH(I42,GeneralRevenueFundReceiptsPropertyTaxesTable[#Headers]))/INDEX(Population[],MATCH($A$3,Population[County]),MATCH(I42,Population[#Headers])))/(INDEX(MCINormalized[],1,MATCH(I42,MCINormalized[#Headers]))/100)</f>
        <v>0</v>
      </c>
      <c r="J43" s="165">
        <f>(INDEX(GeneralRevenueFundReceiptsPropertyTaxesTable[],MATCH($A$3,GeneralRevenueFundReceiptsPropertyTaxesTable[County]),MATCH(J42,GeneralRevenueFundReceiptsPropertyTaxesTable[#Headers]))/INDEX(Population[],MATCH($A$3,Population[County]),MATCH(J42,Population[#Headers])))/(INDEX(MCINormalized[],1,MATCH(J42,MCINormalized[#Headers]))/100)</f>
        <v>0</v>
      </c>
      <c r="K43" s="165">
        <f>(INDEX(GeneralRevenueFundReceiptsPropertyTaxesTable[],MATCH($A$3,GeneralRevenueFundReceiptsPropertyTaxesTable[County]),MATCH(K42,GeneralRevenueFundReceiptsPropertyTaxesTable[#Headers]))/INDEX(Population[],MATCH($A$3,Population[County]),MATCH(K42,Population[#Headers])))/(INDEX(MCINormalized[],1,MATCH(K42,MCINormalized[#Headers]))/100)</f>
        <v>0</v>
      </c>
      <c r="L43" s="165">
        <f>(INDEX(GeneralRevenueFundReceiptsPropertyTaxesTable[],MATCH($A$3,GeneralRevenueFundReceiptsPropertyTaxesTable[County]),MATCH(L42,GeneralRevenueFundReceiptsPropertyTaxesTable[#Headers]))/INDEX(Population[],MATCH($A$3,Population[County]),MATCH(L42,Population[#Headers])))/(INDEX(MCINormalized[],1,MATCH(L42,MCINormalized[#Headers]))/100)</f>
        <v>0</v>
      </c>
      <c r="M43" s="165">
        <f>(INDEX(GeneralRevenueFundReceiptsPropertyTaxesTable[],MATCH($A$3,GeneralRevenueFundReceiptsPropertyTaxesTable[County]),MATCH(M42,GeneralRevenueFundReceiptsPropertyTaxesTable[#Headers]))/INDEX(Population[],MATCH($A$3,Population[County]),MATCH(M42,Population[#Headers])))/(INDEX(MCINormalized[],1,MATCH(M42,MCINormalized[#Headers]))/100)</f>
        <v>0</v>
      </c>
      <c r="N43" s="165">
        <f>(INDEX(GeneralRevenueFundReceiptsPropertyTaxesTable[],MATCH($A$3,GeneralRevenueFundReceiptsPropertyTaxesTable[County]),MATCH(N42,GeneralRevenueFundReceiptsPropertyTaxesTable[#Headers]))/INDEX(Population[],MATCH($A$3,Population[County]),MATCH(N42,Population[#Headers])))/(INDEX(MCINormalized[],1,MATCH(N42,MCINormalized[#Headers]))/100)</f>
        <v>0</v>
      </c>
      <c r="O43" s="165">
        <f>(INDEX(GeneralRevenueFundReceiptsPropertyTaxesTable[],MATCH($A$3,GeneralRevenueFundReceiptsPropertyTaxesTable[County]),MATCH(O42,GeneralRevenueFundReceiptsPropertyTaxesTable[#Headers]))/INDEX(Population[],MATCH($A$3,Population[County]),MATCH(O42,Population[#Headers])))/(INDEX(MCINormalized[],1,MATCH(O42,MCINormalized[#Headers]))/100)</f>
        <v>0</v>
      </c>
      <c r="P43" s="165">
        <f>(INDEX(GeneralRevenueFundReceiptsPropertyTaxesTable[],MATCH($A$3,GeneralRevenueFundReceiptsPropertyTaxesTable[County]),MATCH(P42,GeneralRevenueFundReceiptsPropertyTaxesTable[#Headers]))/INDEX(Population[],MATCH($A$3,Population[County]),MATCH(P42,Population[#Headers])))/(INDEX(MCINormalized[],1,MATCH(P42,MCINormalized[#Headers]))/100)</f>
        <v>0</v>
      </c>
      <c r="Q43" s="165">
        <f>(INDEX(GeneralRevenueFundReceiptsPropertyTaxesTable[],MATCH($A$3,GeneralRevenueFundReceiptsPropertyTaxesTable[County]),MATCH(Q42,GeneralRevenueFundReceiptsPropertyTaxesTable[#Headers]))/INDEX(Population[],MATCH($A$3,Population[County]),MATCH(Q42,Population[#Headers])))/(INDEX(MCINormalized[],1,MATCH(Q42,MCINormalized[#Headers]))/100)</f>
        <v>0</v>
      </c>
      <c r="R43" s="165">
        <f>(INDEX(GeneralRevenueFundReceiptsPropertyTaxesTable[],MATCH($A$3,GeneralRevenueFundReceiptsPropertyTaxesTable[County]),MATCH(R42,GeneralRevenueFundReceiptsPropertyTaxesTable[#Headers]))/INDEX(Population[],MATCH($A$3,Population[County]),MATCH(R42,Population[#Headers])))/(INDEX(MCINormalized[],1,MATCH(R42,MCINormalized[#Headers]))/100)</f>
        <v>0</v>
      </c>
      <c r="S43" s="165">
        <f>(INDEX(GeneralRevenueFundReceiptsPropertyTaxesTable[],MATCH($A$3,GeneralRevenueFundReceiptsPropertyTaxesTable[County]),MATCH(S42,GeneralRevenueFundReceiptsPropertyTaxesTable[#Headers]))/INDEX(Population[],MATCH($A$3,Population[County]),MATCH(S42,Population[#Headers])))/(INDEX(MCINormalized[],1,MATCH(S42,MCINormalized[#Headers]))/100)</f>
        <v>0</v>
      </c>
      <c r="T43" s="165">
        <f>(INDEX(GeneralRevenueFundReceiptsPropertyTaxesTable[],MATCH($A$3,GeneralRevenueFundReceiptsPropertyTaxesTable[County]),MATCH(T42,GeneralRevenueFundReceiptsPropertyTaxesTable[#Headers]))/INDEX(Population[],MATCH($A$3,Population[County]),MATCH(T42,Population[#Headers])))/(INDEX(MCINormalized[],1,MATCH(T42,MCINormalized[#Headers]))/100)</f>
        <v>0</v>
      </c>
      <c r="U43" s="165">
        <f>(INDEX(GeneralRevenueFundReceiptsPropertyTaxesTable[],MATCH($A$3,GeneralRevenueFundReceiptsPropertyTaxesTable[County]),MATCH(U42,GeneralRevenueFundReceiptsPropertyTaxesTable[#Headers]))/INDEX(Population[],MATCH($A$3,Population[County]),MATCH(U42,Population[#Headers])))/(INDEX(MCINormalized[],1,MATCH(U42,MCINormalized[#Headers]))/100)</f>
        <v>0</v>
      </c>
      <c r="V43" s="165">
        <f>(INDEX(GeneralRevenueFundReceiptsPropertyTaxesTable[],MATCH($A$3,GeneralRevenueFundReceiptsPropertyTaxesTable[County]),MATCH(V42,GeneralRevenueFundReceiptsPropertyTaxesTable[#Headers]))/INDEX(Population[],MATCH($A$3,Population[County]),MATCH(V42,Population[#Headers])))/(INDEX(MCINormalized[],1,MATCH(V42,MCINormalized[#Headers]))/100)</f>
        <v>0</v>
      </c>
      <c r="W43" s="165">
        <f>(INDEX(GeneralRevenueFundReceiptsPropertyTaxesTable[],MATCH($A$3,GeneralRevenueFundReceiptsPropertyTaxesTable[County]),MATCH(W42,GeneralRevenueFundReceiptsPropertyTaxesTable[#Headers]))/INDEX(Population[],MATCH($A$3,Population[County]),MATCH(W42,Population[#Headers])))/(INDEX(MCINormalized[],1,MATCH(W42,MCINormalized[#Headers]))/100)</f>
        <v>0</v>
      </c>
      <c r="X43" s="165"/>
      <c r="Y43" s="165"/>
      <c r="Z43" s="165"/>
      <c r="AA43" s="165"/>
      <c r="AB43" s="539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</row>
    <row r="44" spans="1:74" ht="16">
      <c r="A44" s="158" t="s">
        <v>99</v>
      </c>
      <c r="B44" s="165">
        <f>(INDEX(GeneralRevenueFundReceiptsSalesTaxesTable[],MATCH($A$3,GeneralRevenueFundReceiptsSalesTaxesTable[County]),MATCH(B42,GeneralRevenueFundReceiptsSalesTaxesTable[#Headers],0))/INDEX(Population[],MATCH($A$3,Population[County]),MATCH(B42,Population[#Headers],0)))/(INDEX(MCINormalized[],1,MATCH(B42,MCINormalized[#Headers],0))/100)</f>
        <v>46.520290961700759</v>
      </c>
      <c r="C44" s="165">
        <f>(INDEX(GeneralRevenueFundReceiptsSalesTaxesTable[],MATCH($A$3,GeneralRevenueFundReceiptsSalesTaxesTable[County]),MATCH(C42,GeneralRevenueFundReceiptsSalesTaxesTable[#Headers]))/INDEX(Population[],MATCH($A$3,Population[County]),MATCH(C42,Population[#Headers])))/(INDEX(MCINormalized[],1,MATCH(C42,MCINormalized[#Headers]))/100)</f>
        <v>45.085515689490506</v>
      </c>
      <c r="D44" s="165">
        <f>(INDEX(GeneralRevenueFundReceiptsSalesTaxesTable[],MATCH($A$3,GeneralRevenueFundReceiptsSalesTaxesTable[County]),MATCH(D42,GeneralRevenueFundReceiptsSalesTaxesTable[#Headers]))/INDEX(Population[],MATCH($A$3,Population[County]),MATCH(D42,Population[#Headers])))/(INDEX(MCINormalized[],1,MATCH(D42,MCINormalized[#Headers]))/100)</f>
        <v>43.445249403235913</v>
      </c>
      <c r="E44" s="165">
        <f>(INDEX(GeneralRevenueFundReceiptsSalesTaxesTable[],MATCH($A$3,GeneralRevenueFundReceiptsSalesTaxesTable[County]),MATCH(E42,GeneralRevenueFundReceiptsSalesTaxesTable[#Headers]))/INDEX(Population[],MATCH($A$3,Population[County]),MATCH(E42,Population[#Headers])))/(INDEX(MCINormalized[],1,MATCH(E42,MCINormalized[#Headers]))/100)</f>
        <v>44.462577029813453</v>
      </c>
      <c r="F44" s="165">
        <f>(INDEX(GeneralRevenueFundReceiptsSalesTaxesTable[],MATCH($A$3,GeneralRevenueFundReceiptsSalesTaxesTable[County]),MATCH(F42,GeneralRevenueFundReceiptsSalesTaxesTable[#Headers]))/INDEX(Population[],MATCH($A$3,Population[County]),MATCH(F42,Population[#Headers])))/(INDEX(MCINormalized[],1,MATCH(F42,MCINormalized[#Headers]))/100)</f>
        <v>47.317502930959435</v>
      </c>
      <c r="G44" s="165">
        <f>(INDEX(GeneralRevenueFundReceiptsSalesTaxesTable[],MATCH($A$3,GeneralRevenueFundReceiptsSalesTaxesTable[County]),MATCH(G42,GeneralRevenueFundReceiptsSalesTaxesTable[#Headers]))/INDEX(Population[],MATCH($A$3,Population[County]),MATCH(G42,Population[#Headers])))/(INDEX(MCINormalized[],1,MATCH(G42,MCINormalized[#Headers]))/100)</f>
        <v>46.681206249159452</v>
      </c>
      <c r="H44" s="165">
        <f>(INDEX(GeneralRevenueFundReceiptsSalesTaxesTable[],MATCH($A$3,GeneralRevenueFundReceiptsSalesTaxesTable[County]),MATCH(H42,GeneralRevenueFundReceiptsSalesTaxesTable[#Headers]))/INDEX(Population[],MATCH($A$3,Population[County]),MATCH(H42,Population[#Headers])))/(INDEX(MCINormalized[],1,MATCH(H42,MCINormalized[#Headers]))/100)</f>
        <v>49.134361018791878</v>
      </c>
      <c r="I44" s="165">
        <f>(INDEX(GeneralRevenueFundReceiptsSalesTaxesTable[],MATCH($A$3,GeneralRevenueFundReceiptsSalesTaxesTable[County]),MATCH(I42,GeneralRevenueFundReceiptsSalesTaxesTable[#Headers]))/INDEX(Population[],MATCH($A$3,Population[County]),MATCH(I42,Population[#Headers])))/(INDEX(MCINormalized[],1,MATCH(I42,MCINormalized[#Headers]))/100)</f>
        <v>43.41191025269756</v>
      </c>
      <c r="J44" s="165">
        <f>(INDEX(GeneralRevenueFundReceiptsSalesTaxesTable[],MATCH($A$3,GeneralRevenueFundReceiptsSalesTaxesTable[County]),MATCH(J42,GeneralRevenueFundReceiptsSalesTaxesTable[#Headers]))/INDEX(Population[],MATCH($A$3,Population[County]),MATCH(J42,Population[#Headers])))/(INDEX(MCINormalized[],1,MATCH(J42,MCINormalized[#Headers]))/100)</f>
        <v>43.150552737224842</v>
      </c>
      <c r="K44" s="165">
        <f>(INDEX(GeneralRevenueFundReceiptsSalesTaxesTable[],MATCH($A$3,GeneralRevenueFundReceiptsSalesTaxesTable[County]),MATCH(K42,GeneralRevenueFundReceiptsSalesTaxesTable[#Headers]))/INDEX(Population[],MATCH($A$3,Population[County]),MATCH(K42,Population[#Headers])))/(INDEX(MCINormalized[],1,MATCH(K42,MCINormalized[#Headers]))/100)</f>
        <v>42.223317572037821</v>
      </c>
      <c r="L44" s="165">
        <f>(INDEX(GeneralRevenueFundReceiptsSalesTaxesTable[],MATCH($A$3,GeneralRevenueFundReceiptsSalesTaxesTable[County]),MATCH(L42,GeneralRevenueFundReceiptsSalesTaxesTable[#Headers]))/INDEX(Population[],MATCH($A$3,Population[County]),MATCH(L42,Population[#Headers])))/(INDEX(MCINormalized[],1,MATCH(L42,MCINormalized[#Headers]))/100)</f>
        <v>41.690306792669467</v>
      </c>
      <c r="M44" s="165">
        <f>(INDEX(GeneralRevenueFundReceiptsSalesTaxesTable[],MATCH($A$3,GeneralRevenueFundReceiptsSalesTaxesTable[County]),MATCH(M42,GeneralRevenueFundReceiptsSalesTaxesTable[#Headers]))/INDEX(Population[],MATCH($A$3,Population[County]),MATCH(M42,Population[#Headers])))/(INDEX(MCINormalized[],1,MATCH(M42,MCINormalized[#Headers]))/100)</f>
        <v>43.722078831776606</v>
      </c>
      <c r="N44" s="165">
        <f>(INDEX(GeneralRevenueFundReceiptsSalesTaxesTable[],MATCH($A$3,GeneralRevenueFundReceiptsSalesTaxesTable[County]),MATCH(N42,GeneralRevenueFundReceiptsSalesTaxesTable[#Headers]))/INDEX(Population[],MATCH($A$3,Population[County]),MATCH(N42,Population[#Headers])))/(INDEX(MCINormalized[],1,MATCH(N42,MCINormalized[#Headers]))/100)</f>
        <v>38.836748550202621</v>
      </c>
      <c r="O44" s="165">
        <f>(INDEX(GeneralRevenueFundReceiptsSalesTaxesTable[],MATCH($A$3,GeneralRevenueFundReceiptsSalesTaxesTable[County]),MATCH(O42,GeneralRevenueFundReceiptsSalesTaxesTable[#Headers]))/INDEX(Population[],MATCH($A$3,Population[County]),MATCH(O42,Population[#Headers])))/(INDEX(MCINormalized[],1,MATCH(O42,MCINormalized[#Headers]))/100)</f>
        <v>38.869760410687086</v>
      </c>
      <c r="P44" s="165">
        <f>(INDEX(GeneralRevenueFundReceiptsSalesTaxesTable[],MATCH($A$3,GeneralRevenueFundReceiptsSalesTaxesTable[County]),MATCH(P42,GeneralRevenueFundReceiptsSalesTaxesTable[#Headers]))/INDEX(Population[],MATCH($A$3,Population[County]),MATCH(P42,Population[#Headers])))/(INDEX(MCINormalized[],1,MATCH(P42,MCINormalized[#Headers]))/100)</f>
        <v>37.762945592828871</v>
      </c>
      <c r="Q44" s="165">
        <f>(INDEX(GeneralRevenueFundReceiptsSalesTaxesTable[],MATCH($A$3,GeneralRevenueFundReceiptsSalesTaxesTable[County]),MATCH(Q42,GeneralRevenueFundReceiptsSalesTaxesTable[#Headers]))/INDEX(Population[],MATCH($A$3,Population[County]),MATCH(Q42,Population[#Headers])))/(INDEX(MCINormalized[],1,MATCH(Q42,MCINormalized[#Headers]))/100)</f>
        <v>37.70040291634227</v>
      </c>
      <c r="R44" s="165">
        <f>(INDEX(GeneralRevenueFundReceiptsSalesTaxesTable[],MATCH($A$3,GeneralRevenueFundReceiptsSalesTaxesTable[County]),MATCH(R42,GeneralRevenueFundReceiptsSalesTaxesTable[#Headers]))/INDEX(Population[],MATCH($A$3,Population[County]),MATCH(R42,Population[#Headers])))/(INDEX(MCINormalized[],1,MATCH(R42,MCINormalized[#Headers]))/100)</f>
        <v>36.145409595748902</v>
      </c>
      <c r="S44" s="165">
        <f>(INDEX(GeneralRevenueFundReceiptsSalesTaxesTable[],MATCH($A$3,GeneralRevenueFundReceiptsSalesTaxesTable[County]),MATCH(S42,GeneralRevenueFundReceiptsSalesTaxesTable[#Headers]))/INDEX(Population[],MATCH($A$3,Population[County]),MATCH(S42,Population[#Headers])))/(INDEX(MCINormalized[],1,MATCH(S42,MCINormalized[#Headers]))/100)</f>
        <v>36.596441156558328</v>
      </c>
      <c r="T44" s="165">
        <f>(INDEX(GeneralRevenueFundReceiptsSalesTaxesTable[],MATCH($A$3,GeneralRevenueFundReceiptsSalesTaxesTable[County]),MATCH(T42,GeneralRevenueFundReceiptsSalesTaxesTable[#Headers]))/INDEX(Population[],MATCH($A$3,Population[County]),MATCH(T42,Population[#Headers])))/(INDEX(MCINormalized[],1,MATCH(T42,MCINormalized[#Headers]))/100)</f>
        <v>37.689009144765329</v>
      </c>
      <c r="U44" s="165">
        <f>(INDEX(GeneralRevenueFundReceiptsSalesTaxesTable[],MATCH($A$3,GeneralRevenueFundReceiptsSalesTaxesTable[County]),MATCH(U42,GeneralRevenueFundReceiptsSalesTaxesTable[#Headers]))/INDEX(Population[],MATCH($A$3,Population[County]),MATCH(U42,Population[#Headers])))/(INDEX(MCINormalized[],1,MATCH(U42,MCINormalized[#Headers]))/100)</f>
        <v>38.317281816345407</v>
      </c>
      <c r="V44" s="165">
        <f>(INDEX(GeneralRevenueFundReceiptsSalesTaxesTable[],MATCH($A$3,GeneralRevenueFundReceiptsSalesTaxesTable[County]),MATCH(V42,GeneralRevenueFundReceiptsSalesTaxesTable[#Headers]))/INDEX(Population[],MATCH($A$3,Population[County]),MATCH(V42,Population[#Headers])))/(INDEX(MCINormalized[],1,MATCH(V42,MCINormalized[#Headers]))/100)</f>
        <v>38.300050406744724</v>
      </c>
      <c r="W44" s="165">
        <f>(INDEX(GeneralRevenueFundReceiptsSalesTaxesTable[],MATCH($A$3,GeneralRevenueFundReceiptsSalesTaxesTable[County]),MATCH(W42,GeneralRevenueFundReceiptsSalesTaxesTable[#Headers]))/INDEX(Population[],MATCH($A$3,Population[County]),MATCH(W42,Population[#Headers])))/(INDEX(MCINormalized[],1,MATCH(W42,MCINormalized[#Headers]))/100)</f>
        <v>37.400975125305308</v>
      </c>
      <c r="X44" s="165"/>
      <c r="Y44" s="165"/>
      <c r="Z44" s="165"/>
      <c r="AA44" s="165"/>
      <c r="AB44" s="539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</row>
    <row r="45" spans="1:74" ht="16">
      <c r="A45" s="158" t="s">
        <v>100</v>
      </c>
      <c r="B45" s="165">
        <f>(INDEX(GeneralRevenueFundReceiptsIntergovernmentalTable[],MATCH($A$3,GeneralRevenueFundReceiptsIntergovernmentalTable[County]),MATCH(B42,GeneralRevenueFundReceiptsIntergovernmentalTable[#Headers],0))/INDEX(Population[],MATCH($A$3,Population[County]),MATCH(B42,Population[#Headers],0)))/(INDEX(MCINormalized[],1,MATCH(B42,MCINormalized[#Headers],0))/100)</f>
        <v>7.7533818269501262</v>
      </c>
      <c r="C45" s="165">
        <f>(INDEX(GeneralRevenueFundReceiptsIntergovernmentalTable[],MATCH($A$3,GeneralRevenueFundReceiptsIntergovernmentalTable[County]),MATCH(C42,GeneralRevenueFundReceiptsIntergovernmentalTable[#Headers]))/INDEX(Population[],MATCH($A$3,Population[County]),MATCH(C42,Population[#Headers])))/(INDEX(MCINormalized[],1,MATCH(C42,MCINormalized[#Headers]))/100)</f>
        <v>12.138408070247444</v>
      </c>
      <c r="D45" s="165">
        <f>(INDEX(GeneralRevenueFundReceiptsIntergovernmentalTable[],MATCH($A$3,GeneralRevenueFundReceiptsIntergovernmentalTable[County]),MATCH(D42,GeneralRevenueFundReceiptsIntergovernmentalTable[#Headers]))/INDEX(Population[],MATCH($A$3,Population[County]),MATCH(D42,Population[#Headers])))/(INDEX(MCINormalized[],1,MATCH(D42,MCINormalized[#Headers]))/100)</f>
        <v>7.834389236649101</v>
      </c>
      <c r="E45" s="165">
        <f>(INDEX(GeneralRevenueFundReceiptsIntergovernmentalTable[],MATCH($A$3,GeneralRevenueFundReceiptsIntergovernmentalTable[County]),MATCH(E42,GeneralRevenueFundReceiptsIntergovernmentalTable[#Headers]))/INDEX(Population[],MATCH($A$3,Population[County]),MATCH(E42,Population[#Headers])))/(INDEX(MCINormalized[],1,MATCH(E42,MCINormalized[#Headers]))/100)</f>
        <v>7.1713833919053966</v>
      </c>
      <c r="F45" s="165">
        <f>(INDEX(GeneralRevenueFundReceiptsIntergovernmentalTable[],MATCH($A$3,GeneralRevenueFundReceiptsIntergovernmentalTable[County]),MATCH(F42,GeneralRevenueFundReceiptsIntergovernmentalTable[#Headers]))/INDEX(Population[],MATCH($A$3,Population[County]),MATCH(F42,Population[#Headers])))/(INDEX(MCINormalized[],1,MATCH(F42,MCINormalized[#Headers]))/100)</f>
        <v>9.4635005861918877</v>
      </c>
      <c r="G45" s="165">
        <f>(INDEX(GeneralRevenueFundReceiptsIntergovernmentalTable[],MATCH($A$3,GeneralRevenueFundReceiptsIntergovernmentalTable[County]),MATCH(G42,GeneralRevenueFundReceiptsIntergovernmentalTable[#Headers]))/INDEX(Population[],MATCH($A$3,Population[County]),MATCH(G42,Population[#Headers])))/(INDEX(MCINormalized[],1,MATCH(G42,MCINormalized[#Headers]))/100)</f>
        <v>6.0018693748919301</v>
      </c>
      <c r="H45" s="165">
        <f>(INDEX(GeneralRevenueFundReceiptsIntergovernmentalTable[],MATCH($A$3,GeneralRevenueFundReceiptsIntergovernmentalTable[County]),MATCH(H42,GeneralRevenueFundReceiptsIntergovernmentalTable[#Headers]))/INDEX(Population[],MATCH($A$3,Population[County]),MATCH(H42,Population[#Headers])))/(INDEX(MCINormalized[],1,MATCH(H42,MCINormalized[#Headers]))/100)</f>
        <v>7.1209218867814323</v>
      </c>
      <c r="I45" s="165">
        <f>(INDEX(GeneralRevenueFundReceiptsIntergovernmentalTable[],MATCH($A$3,GeneralRevenueFundReceiptsIntergovernmentalTable[County]),MATCH(I42,GeneralRevenueFundReceiptsIntergovernmentalTable[#Headers]))/INDEX(Population[],MATCH($A$3,Population[County]),MATCH(I42,Population[#Headers])))/(INDEX(MCINormalized[],1,MATCH(I42,MCINormalized[#Headers]))/100)</f>
        <v>19.491061746109107</v>
      </c>
      <c r="J45" s="165">
        <f>(INDEX(GeneralRevenueFundReceiptsIntergovernmentalTable[],MATCH($A$3,GeneralRevenueFundReceiptsIntergovernmentalTable[County]),MATCH(J42,GeneralRevenueFundReceiptsIntergovernmentalTable[#Headers]))/INDEX(Population[],MATCH($A$3,Population[County]),MATCH(J42,Population[#Headers])))/(INDEX(MCINormalized[],1,MATCH(J42,MCINormalized[#Headers]))/100)</f>
        <v>2.7121165561234544</v>
      </c>
      <c r="K45" s="165">
        <f>(INDEX(GeneralRevenueFundReceiptsIntergovernmentalTable[],MATCH($A$3,GeneralRevenueFundReceiptsIntergovernmentalTable[County]),MATCH(K42,GeneralRevenueFundReceiptsIntergovernmentalTable[#Headers]))/INDEX(Population[],MATCH($A$3,Population[County]),MATCH(K42,Population[#Headers])))/(INDEX(MCINormalized[],1,MATCH(K42,MCINormalized[#Headers]))/100)</f>
        <v>3.5305020371364568</v>
      </c>
      <c r="L45" s="165">
        <f>(INDEX(GeneralRevenueFundReceiptsIntergovernmentalTable[],MATCH($A$3,GeneralRevenueFundReceiptsIntergovernmentalTable[County]),MATCH(L42,GeneralRevenueFundReceiptsIntergovernmentalTable[#Headers]))/INDEX(Population[],MATCH($A$3,Population[County]),MATCH(L42,Population[#Headers])))/(INDEX(MCINormalized[],1,MATCH(L42,MCINormalized[#Headers]))/100)</f>
        <v>3.2189042103925183</v>
      </c>
      <c r="M45" s="165">
        <f>(INDEX(GeneralRevenueFundReceiptsIntergovernmentalTable[],MATCH($A$3,GeneralRevenueFundReceiptsIntergovernmentalTable[County]),MATCH(M42,GeneralRevenueFundReceiptsIntergovernmentalTable[#Headers]))/INDEX(Population[],MATCH($A$3,Population[County]),MATCH(M42,Population[#Headers])))/(INDEX(MCINormalized[],1,MATCH(M42,MCINormalized[#Headers]))/100)</f>
        <v>3.2325552183528674</v>
      </c>
      <c r="N45" s="165">
        <f>(INDEX(GeneralRevenueFundReceiptsIntergovernmentalTable[],MATCH($A$3,GeneralRevenueFundReceiptsIntergovernmentalTable[County]),MATCH(N42,GeneralRevenueFundReceiptsIntergovernmentalTable[#Headers]))/INDEX(Population[],MATCH($A$3,Population[County]),MATCH(N42,Population[#Headers])))/(INDEX(MCINormalized[],1,MATCH(N42,MCINormalized[#Headers]))/100)</f>
        <v>7.2236759842669329</v>
      </c>
      <c r="O45" s="165">
        <f>(INDEX(GeneralRevenueFundReceiptsIntergovernmentalTable[],MATCH($A$3,GeneralRevenueFundReceiptsIntergovernmentalTable[County]),MATCH(O42,GeneralRevenueFundReceiptsIntergovernmentalTable[#Headers]))/INDEX(Population[],MATCH($A$3,Population[County]),MATCH(O42,Population[#Headers])))/(INDEX(MCINormalized[],1,MATCH(O42,MCINormalized[#Headers]))/100)</f>
        <v>9.7907377908101729</v>
      </c>
      <c r="P45" s="165">
        <f>(INDEX(GeneralRevenueFundReceiptsIntergovernmentalTable[],MATCH($A$3,GeneralRevenueFundReceiptsIntergovernmentalTable[County]),MATCH(P42,GeneralRevenueFundReceiptsIntergovernmentalTable[#Headers]))/INDEX(Population[],MATCH($A$3,Population[County]),MATCH(P42,Population[#Headers])))/(INDEX(MCINormalized[],1,MATCH(P42,MCINormalized[#Headers]))/100)</f>
        <v>13.022353374177712</v>
      </c>
      <c r="Q45" s="165">
        <f>(INDEX(GeneralRevenueFundReceiptsIntergovernmentalTable[],MATCH($A$3,GeneralRevenueFundReceiptsIntergovernmentalTable[County]),MATCH(Q42,GeneralRevenueFundReceiptsIntergovernmentalTable[#Headers]))/INDEX(Population[],MATCH($A$3,Population[County]),MATCH(Q42,Population[#Headers])))/(INDEX(MCINormalized[],1,MATCH(Q42,MCINormalized[#Headers]))/100)</f>
        <v>9.7783995616900548</v>
      </c>
      <c r="R45" s="165">
        <f>(INDEX(GeneralRevenueFundReceiptsIntergovernmentalTable[],MATCH($A$3,GeneralRevenueFundReceiptsIntergovernmentalTable[County]),MATCH(R42,GeneralRevenueFundReceiptsIntergovernmentalTable[#Headers]))/INDEX(Population[],MATCH($A$3,Population[County]),MATCH(R42,Population[#Headers])))/(INDEX(MCINormalized[],1,MATCH(R42,MCINormalized[#Headers]))/100)</f>
        <v>11.627666698068047</v>
      </c>
      <c r="S45" s="165">
        <f>(INDEX(GeneralRevenueFundReceiptsIntergovernmentalTable[],MATCH($A$3,GeneralRevenueFundReceiptsIntergovernmentalTable[County]),MATCH(S42,GeneralRevenueFundReceiptsIntergovernmentalTable[#Headers]))/INDEX(Population[],MATCH($A$3,Population[County]),MATCH(S42,Population[#Headers])))/(INDEX(MCINormalized[],1,MATCH(S42,MCINormalized[#Headers]))/100)</f>
        <v>5.4878367143053008</v>
      </c>
      <c r="T45" s="165">
        <f>(INDEX(GeneralRevenueFundReceiptsIntergovernmentalTable[],MATCH($A$3,GeneralRevenueFundReceiptsIntergovernmentalTable[County]),MATCH(T42,GeneralRevenueFundReceiptsIntergovernmentalTable[#Headers]))/INDEX(Population[],MATCH($A$3,Population[County]),MATCH(T42,Population[#Headers])))/(INDEX(MCINormalized[],1,MATCH(T42,MCINormalized[#Headers]))/100)</f>
        <v>0.93120900484639313</v>
      </c>
      <c r="U45" s="165">
        <f>(INDEX(GeneralRevenueFundReceiptsIntergovernmentalTable[],MATCH($A$3,GeneralRevenueFundReceiptsIntergovernmentalTable[County]),MATCH(U42,GeneralRevenueFundReceiptsIntergovernmentalTable[#Headers]))/INDEX(Population[],MATCH($A$3,Population[County]),MATCH(U42,Population[#Headers])))/(INDEX(MCINormalized[],1,MATCH(U42,MCINormalized[#Headers]))/100)</f>
        <v>3.5800302215242619</v>
      </c>
      <c r="V45" s="165">
        <f>(INDEX(GeneralRevenueFundReceiptsIntergovernmentalTable[],MATCH($A$3,GeneralRevenueFundReceiptsIntergovernmentalTable[County]),MATCH(V42,GeneralRevenueFundReceiptsIntergovernmentalTable[#Headers]))/INDEX(Population[],MATCH($A$3,Population[County]),MATCH(V42,Population[#Headers])))/(INDEX(MCINormalized[],1,MATCH(V42,MCINormalized[#Headers]))/100)</f>
        <v>3.9061584698473353</v>
      </c>
      <c r="W45" s="165">
        <f>(INDEX(GeneralRevenueFundReceiptsIntergovernmentalTable[],MATCH($A$3,GeneralRevenueFundReceiptsIntergovernmentalTable[County]),MATCH(W42,GeneralRevenueFundReceiptsIntergovernmentalTable[#Headers]))/INDEX(Population[],MATCH($A$3,Population[County]),MATCH(W42,Population[#Headers])))/(INDEX(MCINormalized[],1,MATCH(W42,MCINormalized[#Headers]))/100)</f>
        <v>2.8923450372674742</v>
      </c>
      <c r="X45" s="165"/>
      <c r="Y45" s="165"/>
      <c r="Z45" s="165"/>
      <c r="AA45" s="165"/>
      <c r="AB45" s="539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</row>
    <row r="46" spans="1:74" ht="16">
      <c r="A46" s="158" t="s">
        <v>104</v>
      </c>
      <c r="B46" s="165">
        <f>(INDEX(GeneralRevenueFundReceiptsChargesforServicesTable[],MATCH($A$3,GeneralRevenueFundReceiptsChargesforServicesTable[County]),MATCH(B42,GeneralRevenueFundReceiptsChargesforServicesTable[#Headers],0))/INDEX(Population[],MATCH($A$3,Population[County]),MATCH(B42,Population[#Headers],0)))/(INDEX(MCINormalized[],1,MATCH(B42,MCINormalized[#Headers],0))/100)</f>
        <v>10.854734557730177</v>
      </c>
      <c r="C46" s="165">
        <f>(INDEX(GeneralRevenueFundReceiptsChargesforServicesTable[],MATCH($A$3,GeneralRevenueFundReceiptsChargesforServicesTable[County]),MATCH(C42,GeneralRevenueFundReceiptsChargesforServicesTable[#Headers]))/INDEX(Population[],MATCH($A$3,Population[County]),MATCH(C42,Population[#Headers])))/(INDEX(MCINormalized[],1,MATCH(C42,MCINormalized[#Headers]))/100)</f>
        <v>12.138408070247444</v>
      </c>
      <c r="D46" s="165">
        <f>(INDEX(GeneralRevenueFundReceiptsChargesforServicesTable[],MATCH($A$3,GeneralRevenueFundReceiptsChargesforServicesTable[County]),MATCH(D42,GeneralRevenueFundReceiptsChargesforServicesTable[#Headers]))/INDEX(Population[],MATCH($A$3,Population[County]),MATCH(D42,Population[#Headers])))/(INDEX(MCINormalized[],1,MATCH(D42,MCINormalized[#Headers]))/100)</f>
        <v>11.395475253307781</v>
      </c>
      <c r="E46" s="165">
        <f>(INDEX(GeneralRevenueFundReceiptsChargesforServicesTable[],MATCH($A$3,GeneralRevenueFundReceiptsChargesforServicesTable[County]),MATCH(E42,GeneralRevenueFundReceiptsChargesforServicesTable[#Headers]))/INDEX(Population[],MATCH($A$3,Population[County]),MATCH(E42,Population[#Headers])))/(INDEX(MCINormalized[],1,MATCH(E42,MCINormalized[#Headers]))/100)</f>
        <v>13.625628444620254</v>
      </c>
      <c r="F46" s="165">
        <f>(INDEX(GeneralRevenueFundReceiptsChargesforServicesTable[],MATCH($A$3,GeneralRevenueFundReceiptsChargesforServicesTable[County]),MATCH(F42,GeneralRevenueFundReceiptsChargesforServicesTable[#Headers]))/INDEX(Population[],MATCH($A$3,Population[County]),MATCH(F42,Population[#Headers])))/(INDEX(MCINormalized[],1,MATCH(F42,MCINormalized[#Headers]))/100)</f>
        <v>11.647385336851556</v>
      </c>
      <c r="G46" s="165">
        <f>(INDEX(GeneralRevenueFundReceiptsChargesforServicesTable[],MATCH($A$3,GeneralRevenueFundReceiptsChargesforServicesTable[County]),MATCH(G42,GeneralRevenueFundReceiptsChargesforServicesTable[#Headers]))/INDEX(Population[],MATCH($A$3,Population[County]),MATCH(G42,Population[#Headers])))/(INDEX(MCINormalized[],1,MATCH(G42,MCINormalized[#Headers]))/100)</f>
        <v>11.336864374795869</v>
      </c>
      <c r="H46" s="165">
        <f>(INDEX(GeneralRevenueFundReceiptsChargesforServicesTable[],MATCH($A$3,GeneralRevenueFundReceiptsChargesforServicesTable[County]),MATCH(H42,GeneralRevenueFundReceiptsChargesforServicesTable[#Headers]))/INDEX(Population[],MATCH($A$3,Population[County]),MATCH(H42,Population[#Headers])))/(INDEX(MCINormalized[],1,MATCH(H42,MCINormalized[#Headers]))/100)</f>
        <v>13.529751584884721</v>
      </c>
      <c r="I46" s="165">
        <f>(INDEX(GeneralRevenueFundReceiptsChargesforServicesTable[],MATCH($A$3,GeneralRevenueFundReceiptsChargesforServicesTable[County]),MATCH(I42,GeneralRevenueFundReceiptsChargesforServicesTable[#Headers]))/INDEX(Population[],MATCH($A$3,Population[County]),MATCH(I42,Population[#Headers])))/(INDEX(MCINormalized[],1,MATCH(I42,MCINormalized[#Headers]))/100)</f>
        <v>14.175317633533894</v>
      </c>
      <c r="J46" s="165">
        <f>(INDEX(GeneralRevenueFundReceiptsChargesforServicesTable[],MATCH($A$3,GeneralRevenueFundReceiptsChargesforServicesTable[County]),MATCH(J42,GeneralRevenueFundReceiptsChargesforServicesTable[#Headers]))/INDEX(Population[],MATCH($A$3,Population[County]),MATCH(J42,Population[#Headers])))/(INDEX(MCINormalized[],1,MATCH(J42,MCINormalized[#Headers]))/100)</f>
        <v>10.060703090514913</v>
      </c>
      <c r="K46" s="165">
        <f>(INDEX(GeneralRevenueFundReceiptsChargesforServicesTable[],MATCH($A$3,GeneralRevenueFundReceiptsChargesforServicesTable[County]),MATCH(K42,GeneralRevenueFundReceiptsChargesforServicesTable[#Headers]))/INDEX(Population[],MATCH($A$3,Population[County]),MATCH(K42,Population[#Headers])))/(INDEX(MCINormalized[],1,MATCH(K42,MCINormalized[#Headers]))/100)</f>
        <v>10.80792715863142</v>
      </c>
      <c r="L46" s="165">
        <f>(INDEX(GeneralRevenueFundReceiptsChargesforServicesTable[],MATCH($A$3,GeneralRevenueFundReceiptsChargesforServicesTable[County]),MATCH(L42,GeneralRevenueFundReceiptsChargesforServicesTable[#Headers]))/INDEX(Population[],MATCH($A$3,Population[County]),MATCH(L42,Population[#Headers])))/(INDEX(MCINormalized[],1,MATCH(L42,MCINormalized[#Headers]))/100)</f>
        <v>11.19802400327908</v>
      </c>
      <c r="M46" s="165">
        <f>(INDEX(GeneralRevenueFundReceiptsChargesforServicesTable[],MATCH($A$3,GeneralRevenueFundReceiptsChargesforServicesTable[County]),MATCH(M42,GeneralRevenueFundReceiptsChargesforServicesTable[#Headers]))/INDEX(Population[],MATCH($A$3,Population[County]),MATCH(M42,Population[#Headers])))/(INDEX(MCINormalized[],1,MATCH(M42,MCINormalized[#Headers]))/100)</f>
        <v>10.961556240863576</v>
      </c>
      <c r="N46" s="165">
        <f>(INDEX(GeneralRevenueFundReceiptsChargesforServicesTable[],MATCH($A$3,GeneralRevenueFundReceiptsChargesforServicesTable[County]),MATCH(N42,GeneralRevenueFundReceiptsChargesforServicesTable[#Headers]))/INDEX(Population[],MATCH($A$3,Population[County]),MATCH(N42,Population[#Headers])))/(INDEX(MCINormalized[],1,MATCH(N42,MCINormalized[#Headers]))/100)</f>
        <v>9.5733366946046807</v>
      </c>
      <c r="O46" s="165">
        <f>(INDEX(GeneralRevenueFundReceiptsChargesforServicesTable[],MATCH($A$3,GeneralRevenueFundReceiptsChargesforServicesTable[County]),MATCH(O42,GeneralRevenueFundReceiptsChargesforServicesTable[#Headers]))/INDEX(Population[],MATCH($A$3,Population[County]),MATCH(O42,Population[#Headers])))/(INDEX(MCINormalized[],1,MATCH(O42,MCINormalized[#Headers]))/100)</f>
        <v>10.08034162458396</v>
      </c>
      <c r="P46" s="165">
        <f>(INDEX(GeneralRevenueFundReceiptsChargesforServicesTable[],MATCH($A$3,GeneralRevenueFundReceiptsChargesforServicesTable[County]),MATCH(P42,GeneralRevenueFundReceiptsChargesforServicesTable[#Headers]))/INDEX(Population[],MATCH($A$3,Population[County]),MATCH(P42,Population[#Headers])))/(INDEX(MCINormalized[],1,MATCH(P42,MCINormalized[#Headers]))/100)</f>
        <v>9.8520531446983597</v>
      </c>
      <c r="Q46" s="165">
        <f>(INDEX(GeneralRevenueFundReceiptsChargesforServicesTable[],MATCH($A$3,GeneralRevenueFundReceiptsChargesforServicesTable[County]),MATCH(Q42,GeneralRevenueFundReceiptsChargesforServicesTable[#Headers]))/INDEX(Population[],MATCH($A$3,Population[County]),MATCH(Q42,Population[#Headers])))/(INDEX(MCINormalized[],1,MATCH(Q42,MCINormalized[#Headers]))/100)</f>
        <v>9.6520877771191902</v>
      </c>
      <c r="R46" s="165">
        <f>(INDEX(GeneralRevenueFundReceiptsChargesforServicesTable[],MATCH($A$3,GeneralRevenueFundReceiptsChargesforServicesTable[County]),MATCH(R42,GeneralRevenueFundReceiptsChargesforServicesTable[#Headers]))/INDEX(Population[],MATCH($A$3,Population[County]),MATCH(R42,Population[#Headers])))/(INDEX(MCINormalized[],1,MATCH(R42,MCINormalized[#Headers]))/100)</f>
        <v>10.133149370178911</v>
      </c>
      <c r="S46" s="165">
        <f>(INDEX(GeneralRevenueFundReceiptsChargesforServicesTable[],MATCH($A$3,GeneralRevenueFundReceiptsChargesforServicesTable[County]),MATCH(S42,GeneralRevenueFundReceiptsChargesforServicesTable[#Headers]))/INDEX(Population[],MATCH($A$3,Population[County]),MATCH(S42,Population[#Headers])))/(INDEX(MCINormalized[],1,MATCH(S42,MCINormalized[#Headers]))/100)</f>
        <v>9.8339804797543575</v>
      </c>
      <c r="T46" s="165">
        <f>(INDEX(GeneralRevenueFundReceiptsChargesforServicesTable[],MATCH($A$3,GeneralRevenueFundReceiptsChargesforServicesTable[County]),MATCH(T42,GeneralRevenueFundReceiptsChargesforServicesTable[#Headers]))/INDEX(Population[],MATCH($A$3,Population[County]),MATCH(T42,Population[#Headers])))/(INDEX(MCINormalized[],1,MATCH(T42,MCINormalized[#Headers]))/100)</f>
        <v>9.3849810001625507</v>
      </c>
      <c r="U46" s="165">
        <f>(INDEX(GeneralRevenueFundReceiptsChargesforServicesTable[],MATCH($A$3,GeneralRevenueFundReceiptsChargesforServicesTable[County]),MATCH(U42,GeneralRevenueFundReceiptsChargesforServicesTable[#Headers]))/INDEX(Population[],MATCH($A$3,Population[County]),MATCH(U42,Population[#Headers])))/(INDEX(MCINormalized[],1,MATCH(U42,MCINormalized[#Headers]))/100)</f>
        <v>9.5282767788050062</v>
      </c>
      <c r="V46" s="165">
        <f>(INDEX(GeneralRevenueFundReceiptsChargesforServicesTable[],MATCH($A$3,GeneralRevenueFundReceiptsChargesforServicesTable[County]),MATCH(V42,GeneralRevenueFundReceiptsChargesforServicesTable[#Headers]))/INDEX(Population[],MATCH($A$3,Population[County]),MATCH(V42,Population[#Headers])))/(INDEX(MCINormalized[],1,MATCH(V42,MCINormalized[#Headers]))/100)</f>
        <v>9.5180136715153356</v>
      </c>
      <c r="W46" s="165">
        <f>(INDEX(GeneralRevenueFundReceiptsChargesforServicesTable[],MATCH($A$3,GeneralRevenueFundReceiptsChargesforServicesTable[County]),MATCH(W42,GeneralRevenueFundReceiptsChargesforServicesTable[#Headers]))/INDEX(Population[],MATCH($A$3,Population[County]),MATCH(W42,Population[#Headers])))/(INDEX(MCINormalized[],1,MATCH(W42,MCINormalized[#Headers]))/100)</f>
        <v>8.8434605683784397</v>
      </c>
      <c r="X46" s="165"/>
      <c r="Y46" s="165"/>
      <c r="Z46" s="165"/>
      <c r="AA46" s="165"/>
      <c r="AB46" s="539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</row>
    <row r="47" spans="1:74" ht="16">
      <c r="A47" s="158" t="s">
        <v>101</v>
      </c>
      <c r="B47" s="165">
        <f>(INDEX(GeneralRevenueFundReceiptsInterestTable[],MATCH($A$3,GeneralRevenueFundReceiptsInterestTable[County]),MATCH(B42,GeneralRevenueFundReceiptsInterestTable[#Headers],0))/INDEX(Population[],MATCH($A$3,Population[County]),MATCH(B42,Population[#Headers],0)))/(INDEX(MCINormalized[],1,MATCH(B42,MCINormalized[#Headers],0))/100)</f>
        <v>0.77533818269501276</v>
      </c>
      <c r="C47" s="165">
        <f>(INDEX(GeneralRevenueFundReceiptsInterestTable[],MATCH($A$3,GeneralRevenueFundReceiptsInterestTable[County]),MATCH(C42,GeneralRevenueFundReceiptsInterestTable[#Headers]))/INDEX(Population[],MATCH($A$3,Population[County]),MATCH(C42,Population[#Headers])))/(INDEX(MCINormalized[],1,MATCH(C42,MCINormalized[#Headers]))/100)</f>
        <v>0</v>
      </c>
      <c r="D47" s="165">
        <f>(INDEX(GeneralRevenueFundReceiptsInterestTable[],MATCH($A$3,GeneralRevenueFundReceiptsInterestTable[County]),MATCH(D42,GeneralRevenueFundReceiptsInterestTable[#Headers]))/INDEX(Population[],MATCH($A$3,Population[County]),MATCH(D42,Population[#Headers])))/(INDEX(MCINormalized[],1,MATCH(D42,MCINormalized[#Headers]))/100)</f>
        <v>0.71221720333173633</v>
      </c>
      <c r="E47" s="165">
        <f>(INDEX(GeneralRevenueFundReceiptsInterestTable[],MATCH($A$3,GeneralRevenueFundReceiptsInterestTable[County]),MATCH(E42,GeneralRevenueFundReceiptsInterestTable[#Headers]))/INDEX(Population[],MATCH($A$3,Population[County]),MATCH(E42,Population[#Headers])))/(INDEX(MCINormalized[],1,MATCH(E42,MCINormalized[#Headers]))/100)</f>
        <v>0.7171383391905396</v>
      </c>
      <c r="F47" s="165">
        <f>(INDEX(GeneralRevenueFundReceiptsInterestTable[],MATCH($A$3,GeneralRevenueFundReceiptsInterestTable[County]),MATCH(F42,GeneralRevenueFundReceiptsInterestTable[#Headers]))/INDEX(Population[],MATCH($A$3,Population[County]),MATCH(F42,Population[#Headers])))/(INDEX(MCINormalized[],1,MATCH(F42,MCINormalized[#Headers]))/100)</f>
        <v>0.72796158355322227</v>
      </c>
      <c r="G47" s="165">
        <f>(INDEX(GeneralRevenueFundReceiptsInterestTable[],MATCH($A$3,GeneralRevenueFundReceiptsInterestTable[County]),MATCH(G42,GeneralRevenueFundReceiptsInterestTable[#Headers]))/INDEX(Population[],MATCH($A$3,Population[County]),MATCH(G42,Population[#Headers])))/(INDEX(MCINormalized[],1,MATCH(G42,MCINormalized[#Headers]))/100)</f>
        <v>0.66687437498799229</v>
      </c>
      <c r="H47" s="165">
        <f>(INDEX(GeneralRevenueFundReceiptsInterestTable[],MATCH($A$3,GeneralRevenueFundReceiptsInterestTable[County]),MATCH(H42,GeneralRevenueFundReceiptsInterestTable[#Headers]))/INDEX(Population[],MATCH($A$3,Population[County]),MATCH(H42,Population[#Headers])))/(INDEX(MCINormalized[],1,MATCH(H42,MCINormalized[#Headers]))/100)</f>
        <v>0.71209218867814317</v>
      </c>
      <c r="I47" s="165">
        <f>(INDEX(GeneralRevenueFundReceiptsInterestTable[],MATCH($A$3,GeneralRevenueFundReceiptsInterestTable[County]),MATCH(I42,GeneralRevenueFundReceiptsInterestTable[#Headers]))/INDEX(Population[],MATCH($A$3,Population[County]),MATCH(I42,Population[#Headers])))/(INDEX(MCINormalized[],1,MATCH(I42,MCINormalized[#Headers]))/100)</f>
        <v>0.88595735209586834</v>
      </c>
      <c r="J47" s="165">
        <f>(INDEX(GeneralRevenueFundReceiptsInterestTable[],MATCH($A$3,GeneralRevenueFundReceiptsInterestTable[County]),MATCH(J42,GeneralRevenueFundReceiptsInterestTable[#Headers]))/INDEX(Population[],MATCH($A$3,Population[County]),MATCH(J42,Population[#Headers])))/(INDEX(MCINormalized[],1,MATCH(J42,MCINormalized[#Headers]))/100)</f>
        <v>0.28366487809774166</v>
      </c>
      <c r="K47" s="165">
        <f>(INDEX(GeneralRevenueFundReceiptsInterestTable[],MATCH($A$3,GeneralRevenueFundReceiptsInterestTable[County]),MATCH(K42,GeneralRevenueFundReceiptsInterestTable[#Headers]))/INDEX(Population[],MATCH($A$3,Population[County]),MATCH(K42,Population[#Headers])))/(INDEX(MCINormalized[],1,MATCH(K42,MCINormalized[#Headers]))/100)</f>
        <v>0.20847039229988634</v>
      </c>
      <c r="L47" s="165">
        <f>(INDEX(GeneralRevenueFundReceiptsInterestTable[],MATCH($A$3,GeneralRevenueFundReceiptsInterestTable[County]),MATCH(L42,GeneralRevenueFundReceiptsInterestTable[#Headers]))/INDEX(Population[],MATCH($A$3,Population[County]),MATCH(L42,Population[#Headers])))/(INDEX(MCINormalized[],1,MATCH(L42,MCINormalized[#Headers]))/100)</f>
        <v>0.45864531681129272</v>
      </c>
      <c r="M47" s="165">
        <f>(INDEX(GeneralRevenueFundReceiptsInterestTable[],MATCH($A$3,GeneralRevenueFundReceiptsInterestTable[County]),MATCH(M42,GeneralRevenueFundReceiptsInterestTable[#Headers]))/INDEX(Population[],MATCH($A$3,Population[County]),MATCH(M42,Population[#Headers])))/(INDEX(MCINormalized[],1,MATCH(M42,MCINormalized[#Headers]))/100)</f>
        <v>0.97679864106835879</v>
      </c>
      <c r="N47" s="165">
        <f>(INDEX(GeneralRevenueFundReceiptsInterestTable[],MATCH($A$3,GeneralRevenueFundReceiptsInterestTable[County]),MATCH(N42,GeneralRevenueFundReceiptsInterestTable[#Headers]))/INDEX(Population[],MATCH($A$3,Population[County]),MATCH(N42,Population[#Headers])))/(INDEX(MCINormalized[],1,MATCH(N42,MCINormalized[#Headers]))/100)</f>
        <v>1.4868726695819536</v>
      </c>
      <c r="O47" s="165">
        <f>(INDEX(GeneralRevenueFundReceiptsInterestTable[],MATCH($A$3,GeneralRevenueFundReceiptsInterestTable[County]),MATCH(O42,GeneralRevenueFundReceiptsInterestTable[#Headers]))/INDEX(Population[],MATCH($A$3,Population[County]),MATCH(O42,Population[#Headers])))/(INDEX(MCINormalized[],1,MATCH(O42,MCINormalized[#Headers]))/100)</f>
        <v>1.1551593310767445</v>
      </c>
      <c r="P47" s="165">
        <f>(INDEX(GeneralRevenueFundReceiptsInterestTable[],MATCH($A$3,GeneralRevenueFundReceiptsInterestTable[County]),MATCH(P42,GeneralRevenueFundReceiptsInterestTable[#Headers]))/INDEX(Population[],MATCH($A$3,Population[County]),MATCH(P42,Population[#Headers])))/(INDEX(MCINormalized[],1,MATCH(P42,MCINormalized[#Headers]))/100)</f>
        <v>1.0312398179348494</v>
      </c>
      <c r="Q47" s="165">
        <f>(INDEX(GeneralRevenueFundReceiptsInterestTable[],MATCH($A$3,GeneralRevenueFundReceiptsInterestTable[County]),MATCH(Q42,GeneralRevenueFundReceiptsInterestTable[#Headers]))/INDEX(Population[],MATCH($A$3,Population[County]),MATCH(Q42,Population[#Headers])))/(INDEX(MCINormalized[],1,MATCH(Q42,MCINormalized[#Headers]))/100)</f>
        <v>0.89366245508139863</v>
      </c>
      <c r="R47" s="165">
        <f>(INDEX(GeneralRevenueFundReceiptsInterestTable[],MATCH($A$3,GeneralRevenueFundReceiptsInterestTable[County]),MATCH(R42,GeneralRevenueFundReceiptsInterestTable[#Headers]))/INDEX(Population[],MATCH($A$3,Population[County]),MATCH(R42,Population[#Headers])))/(INDEX(MCINormalized[],1,MATCH(R42,MCINormalized[#Headers]))/100)</f>
        <v>0.55390211320545446</v>
      </c>
      <c r="S47" s="165">
        <f>(INDEX(GeneralRevenueFundReceiptsInterestTable[],MATCH($A$3,GeneralRevenueFundReceiptsInterestTable[County]),MATCH(S42,GeneralRevenueFundReceiptsInterestTable[#Headers]))/INDEX(Population[],MATCH($A$3,Population[County]),MATCH(S42,Population[#Headers])))/(INDEX(MCINormalized[],1,MATCH(S42,MCINormalized[#Headers]))/100)</f>
        <v>0.45433914420771498</v>
      </c>
      <c r="T47" s="165">
        <f>(INDEX(GeneralRevenueFundReceiptsInterestTable[],MATCH($A$3,GeneralRevenueFundReceiptsInterestTable[County]),MATCH(T42,GeneralRevenueFundReceiptsInterestTable[#Headers]))/INDEX(Population[],MATCH($A$3,Population[County]),MATCH(T42,Population[#Headers])))/(INDEX(MCINormalized[],1,MATCH(T42,MCINormalized[#Headers]))/100)</f>
        <v>0.28115307712789595</v>
      </c>
      <c r="U47" s="165">
        <f>(INDEX(GeneralRevenueFundReceiptsInterestTable[],MATCH($A$3,GeneralRevenueFundReceiptsInterestTable[County]),MATCH(U42,GeneralRevenueFundReceiptsInterestTable[#Headers]))/INDEX(Population[],MATCH($A$3,Population[County]),MATCH(U42,Population[#Headers])))/(INDEX(MCINormalized[],1,MATCH(U42,MCINormalized[#Headers]))/100)</f>
        <v>0.27276971726151183</v>
      </c>
      <c r="V47" s="165">
        <f>(INDEX(GeneralRevenueFundReceiptsInterestTable[],MATCH($A$3,GeneralRevenueFundReceiptsInterestTable[County]),MATCH(V42,GeneralRevenueFundReceiptsInterestTable[#Headers]))/INDEX(Population[],MATCH($A$3,Population[County]),MATCH(V42,Population[#Headers])))/(INDEX(MCINormalized[],1,MATCH(V42,MCINormalized[#Headers]))/100)</f>
        <v>0.13254230027803879</v>
      </c>
      <c r="W47" s="165">
        <f>(INDEX(GeneralRevenueFundReceiptsInterestTable[],MATCH($A$3,GeneralRevenueFundReceiptsInterestTable[County]),MATCH(W42,GeneralRevenueFundReceiptsInterestTable[#Headers]))/INDEX(Population[],MATCH($A$3,Population[County]),MATCH(W42,Population[#Headers])))/(INDEX(MCINormalized[],1,MATCH(W42,MCINormalized[#Headers]))/100)</f>
        <v>0.1402536567198949</v>
      </c>
      <c r="X47" s="165"/>
      <c r="Y47" s="165"/>
      <c r="Z47" s="165"/>
      <c r="AA47" s="165"/>
      <c r="AB47" s="539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</row>
    <row r="48" spans="1:74" ht="16">
      <c r="A48" s="158" t="s">
        <v>102</v>
      </c>
      <c r="B48" s="165">
        <f>(INDEX(GeneralRevenueFundReceiptsOtherTable[],MATCH($A$3,GeneralRevenueFundReceiptsOtherTable[County]),MATCH(B42,GeneralRevenueFundReceiptsOtherTable[#Headers],0))/INDEX(Population[],MATCH($A$3,Population[County]),MATCH(B42,Population[#Headers],0)))/(INDEX(MCINormalized[],1,MATCH(B42,MCINormalized[#Headers],0))/100)</f>
        <v>11.63007274042519</v>
      </c>
      <c r="C48" s="165">
        <f>(INDEX(GeneralRevenueFundReceiptsOtherTable[],MATCH($A$3,GeneralRevenueFundReceiptsOtherTable[County]),MATCH(C42,GeneralRevenueFundReceiptsOtherTable[#Headers]))/INDEX(Population[],MATCH($A$3,Population[County]),MATCH(C42,Population[#Headers])))/(INDEX(MCINormalized[],1,MATCH(C42,MCINormalized[#Headers]))/100)</f>
        <v>16.473553809621531</v>
      </c>
      <c r="D48" s="165">
        <f>(INDEX(GeneralRevenueFundReceiptsOtherTable[],MATCH($A$3,GeneralRevenueFundReceiptsOtherTable[County]),MATCH(D42,GeneralRevenueFundReceiptsOtherTable[#Headers]))/INDEX(Population[],MATCH($A$3,Population[County]),MATCH(D42,Population[#Headers])))/(INDEX(MCINormalized[],1,MATCH(D42,MCINormalized[#Headers]))/100)</f>
        <v>7.834389236649101</v>
      </c>
      <c r="E48" s="165">
        <f>(INDEX(GeneralRevenueFundReceiptsOtherTable[],MATCH($A$3,GeneralRevenueFundReceiptsOtherTable[County]),MATCH(E42,GeneralRevenueFundReceiptsOtherTable[#Headers]))/INDEX(Population[],MATCH($A$3,Population[County]),MATCH(E42,Population[#Headers])))/(INDEX(MCINormalized[],1,MATCH(E42,MCINormalized[#Headers]))/100)</f>
        <v>5.7371067135243168</v>
      </c>
      <c r="F48" s="165">
        <f>(INDEX(GeneralRevenueFundReceiptsOtherTable[],MATCH($A$3,GeneralRevenueFundReceiptsOtherTable[County]),MATCH(F42,GeneralRevenueFundReceiptsOtherTable[#Headers]))/INDEX(Population[],MATCH($A$3,Population[County]),MATCH(F42,Population[#Headers])))/(INDEX(MCINormalized[],1,MATCH(F42,MCINormalized[#Headers]))/100)</f>
        <v>3.6398079177661109</v>
      </c>
      <c r="G48" s="165">
        <f>(INDEX(GeneralRevenueFundReceiptsOtherTable[],MATCH($A$3,GeneralRevenueFundReceiptsOtherTable[County]),MATCH(G42,GeneralRevenueFundReceiptsOtherTable[#Headers]))/INDEX(Population[],MATCH($A$3,Population[County]),MATCH(G42,Population[#Headers])))/(INDEX(MCINormalized[],1,MATCH(G42,MCINormalized[#Headers]))/100)</f>
        <v>2.0006231249639765</v>
      </c>
      <c r="H48" s="165">
        <f>(INDEX(GeneralRevenueFundReceiptsOtherTable[],MATCH($A$3,GeneralRevenueFundReceiptsOtherTable[County]),MATCH(H42,GeneralRevenueFundReceiptsOtherTable[#Headers]))/INDEX(Population[],MATCH($A$3,Population[County]),MATCH(H42,Population[#Headers])))/(INDEX(MCINormalized[],1,MATCH(H42,MCINormalized[#Headers]))/100)</f>
        <v>0.71209218867814317</v>
      </c>
      <c r="I48" s="165">
        <f>(INDEX(GeneralRevenueFundReceiptsOtherTable[],MATCH($A$3,GeneralRevenueFundReceiptsOtherTable[County]),MATCH(I42,GeneralRevenueFundReceiptsOtherTable[#Headers]))/INDEX(Population[],MATCH($A$3,Population[County]),MATCH(I42,Population[#Headers])))/(INDEX(MCINormalized[],1,MATCH(I42,MCINormalized[#Headers]))/100)</f>
        <v>10.631488225150422</v>
      </c>
      <c r="J48" s="165">
        <f>(INDEX(GeneralRevenueFundReceiptsOtherTable[],MATCH($A$3,GeneralRevenueFundReceiptsOtherTable[County]),MATCH(J42,GeneralRevenueFundReceiptsOtherTable[#Headers]))/INDEX(Population[],MATCH($A$3,Population[County]),MATCH(J42,Population[#Headers])))/(INDEX(MCINormalized[],1,MATCH(J42,MCINormalized[#Headers]))/100)</f>
        <v>5.7161998298323642</v>
      </c>
      <c r="K48" s="165">
        <f>(INDEX(GeneralRevenueFundReceiptsOtherTable[],MATCH($A$3,GeneralRevenueFundReceiptsOtherTable[County]),MATCH(K42,GeneralRevenueFundReceiptsOtherTable[#Headers]))/INDEX(Population[],MATCH($A$3,Population[County]),MATCH(K42,Population[#Headers])))/(INDEX(MCINormalized[],1,MATCH(K42,MCINormalized[#Headers]))/100)</f>
        <v>3.6313065450144162</v>
      </c>
      <c r="L48" s="165">
        <f>(INDEX(GeneralRevenueFundReceiptsOtherTable[],MATCH($A$3,GeneralRevenueFundReceiptsOtherTable[County]),MATCH(L42,GeneralRevenueFundReceiptsOtherTable[#Headers]))/INDEX(Population[],MATCH($A$3,Population[County]),MATCH(L42,Population[#Headers])))/(INDEX(MCINormalized[],1,MATCH(L42,MCINormalized[#Headers]))/100)</f>
        <v>2.626485168081508</v>
      </c>
      <c r="M48" s="165">
        <f>(INDEX(GeneralRevenueFundReceiptsOtherTable[],MATCH($A$3,GeneralRevenueFundReceiptsOtherTable[County]),MATCH(M42,GeneralRevenueFundReceiptsOtherTable[#Headers]))/INDEX(Population[],MATCH($A$3,Population[County]),MATCH(M42,Population[#Headers])))/(INDEX(MCINormalized[],1,MATCH(M42,MCINormalized[#Headers]))/100)</f>
        <v>2.4894039146313389</v>
      </c>
      <c r="N48" s="165">
        <f>(INDEX(GeneralRevenueFundReceiptsOtherTable[],MATCH($A$3,GeneralRevenueFundReceiptsOtherTable[County]),MATCH(N42,GeneralRevenueFundReceiptsOtherTable[#Headers]))/INDEX(Population[],MATCH($A$3,Population[County]),MATCH(N42,Population[#Headers])))/(INDEX(MCINormalized[],1,MATCH(N42,MCINormalized[#Headers]))/100)</f>
        <v>2.6698893892977518</v>
      </c>
      <c r="O48" s="165">
        <f>(INDEX(GeneralRevenueFundReceiptsOtherTable[],MATCH($A$3,GeneralRevenueFundReceiptsOtherTable[County]),MATCH(O42,GeneralRevenueFundReceiptsOtherTable[#Headers]))/INDEX(Population[],MATCH($A$3,Population[County]),MATCH(O42,Population[#Headers])))/(INDEX(MCINormalized[],1,MATCH(O42,MCINormalized[#Headers]))/100)</f>
        <v>2.7530850783571315</v>
      </c>
      <c r="P48" s="165">
        <f>(INDEX(GeneralRevenueFundReceiptsOtherTable[],MATCH($A$3,GeneralRevenueFundReceiptsOtherTable[County]),MATCH(P42,GeneralRevenueFundReceiptsOtherTable[#Headers]))/INDEX(Population[],MATCH($A$3,Population[County]),MATCH(P42,Population[#Headers])))/(INDEX(MCINormalized[],1,MATCH(P42,MCINormalized[#Headers]))/100)</f>
        <v>2.1019185694249516</v>
      </c>
      <c r="Q48" s="165">
        <f>(INDEX(GeneralRevenueFundReceiptsOtherTable[],MATCH($A$3,GeneralRevenueFundReceiptsOtherTable[County]),MATCH(Q42,GeneralRevenueFundReceiptsOtherTable[#Headers]))/INDEX(Population[],MATCH($A$3,Population[County]),MATCH(Q42,Population[#Headers])))/(INDEX(MCINormalized[],1,MATCH(Q42,MCINormalized[#Headers]))/100)</f>
        <v>2.8226396017988953</v>
      </c>
      <c r="R48" s="165">
        <f>(INDEX(GeneralRevenueFundReceiptsOtherTable[],MATCH($A$3,GeneralRevenueFundReceiptsOtherTable[County]),MATCH(R42,GeneralRevenueFundReceiptsOtherTable[#Headers]))/INDEX(Population[],MATCH($A$3,Population[County]),MATCH(R42,Population[#Headers])))/(INDEX(MCINormalized[],1,MATCH(R42,MCINormalized[#Headers]))/100)</f>
        <v>2.0032307471223008</v>
      </c>
      <c r="S48" s="165">
        <f>(INDEX(GeneralRevenueFundReceiptsOtherTable[],MATCH($A$3,GeneralRevenueFundReceiptsOtherTable[County]),MATCH(S42,GeneralRevenueFundReceiptsOtherTable[#Headers]))/INDEX(Population[],MATCH($A$3,Population[County]),MATCH(S42,Population[#Headers])))/(INDEX(MCINormalized[],1,MATCH(S42,MCINormalized[#Headers]))/100)</f>
        <v>4.0299083927233452</v>
      </c>
      <c r="T48" s="165">
        <f>(INDEX(GeneralRevenueFundReceiptsOtherTable[],MATCH($A$3,GeneralRevenueFundReceiptsOtherTable[County]),MATCH(T42,GeneralRevenueFundReceiptsOtherTable[#Headers]))/INDEX(Population[],MATCH($A$3,Population[County]),MATCH(T42,Population[#Headers])))/(INDEX(MCINormalized[],1,MATCH(T42,MCINormalized[#Headers]))/100)</f>
        <v>2.9629728352609495</v>
      </c>
      <c r="U48" s="165">
        <f>(INDEX(GeneralRevenueFundReceiptsOtherTable[],MATCH($A$3,GeneralRevenueFundReceiptsOtherTable[County]),MATCH(U42,GeneralRevenueFundReceiptsOtherTable[#Headers]))/INDEX(Population[],MATCH($A$3,Population[County]),MATCH(U42,Population[#Headers])))/(INDEX(MCINormalized[],1,MATCH(U42,MCINormalized[#Headers]))/100)</f>
        <v>1.873175478936463</v>
      </c>
      <c r="V48" s="165">
        <f>(INDEX(GeneralRevenueFundReceiptsOtherTable[],MATCH($A$3,GeneralRevenueFundReceiptsOtherTable[County]),MATCH(V42,GeneralRevenueFundReceiptsOtherTable[#Headers]))/INDEX(Population[],MATCH($A$3,Population[County]),MATCH(V42,Population[#Headers])))/(INDEX(MCINormalized[],1,MATCH(V42,MCINormalized[#Headers]))/100)</f>
        <v>2.0122363058769337</v>
      </c>
      <c r="W48" s="165">
        <f>(INDEX(GeneralRevenueFundReceiptsOtherTable[],MATCH($A$3,GeneralRevenueFundReceiptsOtherTable[County]),MATCH(W42,GeneralRevenueFundReceiptsOtherTable[#Headers]))/INDEX(Population[],MATCH($A$3,Population[County]),MATCH(W42,Population[#Headers])))/(INDEX(MCINormalized[],1,MATCH(W42,MCINormalized[#Headers]))/100)</f>
        <v>2.6626455459988447</v>
      </c>
      <c r="X48" s="165"/>
      <c r="Y48" s="165"/>
      <c r="Z48" s="165"/>
      <c r="AA48" s="165"/>
      <c r="AB48" s="539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</row>
    <row r="49" spans="1:74" ht="16">
      <c r="A49" s="176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53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</row>
    <row r="50" spans="1:74" ht="16">
      <c r="A50" s="166" t="str">
        <f>CONCATENATE($A$5," County Detailed General Revenue Receipts: Real per Capita")</f>
        <v>Maries County Detailed General Revenue Receipts: Real per Capita</v>
      </c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53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</row>
    <row r="51" spans="1:74" ht="16">
      <c r="A51" s="307" t="s">
        <v>434</v>
      </c>
      <c r="B51" s="168" t="s">
        <v>409</v>
      </c>
      <c r="C51" s="168" t="s">
        <v>410</v>
      </c>
      <c r="D51" s="168" t="s">
        <v>411</v>
      </c>
      <c r="E51" s="168" t="s">
        <v>412</v>
      </c>
      <c r="F51" s="168" t="s">
        <v>413</v>
      </c>
      <c r="G51" s="168" t="s">
        <v>414</v>
      </c>
      <c r="H51" s="168" t="s">
        <v>415</v>
      </c>
      <c r="I51" s="168" t="s">
        <v>416</v>
      </c>
      <c r="J51" s="168" t="s">
        <v>417</v>
      </c>
      <c r="K51" s="168" t="s">
        <v>418</v>
      </c>
      <c r="L51" s="168" t="s">
        <v>419</v>
      </c>
      <c r="M51" s="168" t="s">
        <v>420</v>
      </c>
      <c r="N51" s="168" t="s">
        <v>421</v>
      </c>
      <c r="O51" s="168" t="s">
        <v>422</v>
      </c>
      <c r="P51" s="302" t="s">
        <v>423</v>
      </c>
      <c r="Q51" s="302" t="s">
        <v>355</v>
      </c>
      <c r="R51" s="302" t="s">
        <v>399</v>
      </c>
      <c r="S51" s="302" t="s">
        <v>424</v>
      </c>
      <c r="T51" s="302" t="s">
        <v>446</v>
      </c>
      <c r="U51" s="302" t="s">
        <v>523</v>
      </c>
      <c r="V51" s="302" t="s">
        <v>524</v>
      </c>
      <c r="W51" s="302" t="s">
        <v>525</v>
      </c>
      <c r="X51" s="302"/>
      <c r="Y51" s="30"/>
      <c r="Z51" s="30"/>
      <c r="AA51" s="30"/>
      <c r="AB51" s="539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</row>
    <row r="52" spans="1:74" ht="16">
      <c r="A52" s="158" t="s">
        <v>138</v>
      </c>
      <c r="B52" s="165">
        <f>(INDEX(GeneralRevenueFundReceiptsPropertyTaxesTable[],MATCH($A$5,GeneralRevenueFundReceiptsPropertyTaxesTable[County]),MATCH(B51,GeneralRevenueFundReceiptsPropertyTaxesTable[#Headers],0))/INDEX(Population[],MATCH($A$5,Population[County]),MATCH(B51,Population[#Headers],0)))/(INDEX(MCINormalized[],1,MATCH(B51,MCINormalized[#Headers],0))/100)</f>
        <v>25.530980949000121</v>
      </c>
      <c r="C52" s="165">
        <f>(INDEX(GeneralRevenueFundReceiptsPropertyTaxesTable[],MATCH($A$5,GeneralRevenueFundReceiptsPropertyTaxesTable[County]),MATCH(C51,GeneralRevenueFundReceiptsPropertyTaxesTable[#Headers]))/INDEX(Population[],MATCH($A$5,Population[County]),MATCH(C51,Population[#Headers])))/(INDEX(MCINormalized[],1,MATCH(C51,MCINormalized[#Headers]))/100)</f>
        <v>24.295366188595487</v>
      </c>
      <c r="D52" s="165">
        <f>(INDEX(GeneralRevenueFundReceiptsPropertyTaxesTable[],MATCH($A$5,GeneralRevenueFundReceiptsPropertyTaxesTable[County]),MATCH(D51,GeneralRevenueFundReceiptsPropertyTaxesTable[#Headers]))/INDEX(Population[],MATCH($A$5,Population[County]),MATCH(D51,Population[#Headers])))/(INDEX(MCINormalized[],1,MATCH(D51,MCINormalized[#Headers]))/100)</f>
        <v>25.268868723193506</v>
      </c>
      <c r="E52" s="165">
        <f>(INDEX(GeneralRevenueFundReceiptsPropertyTaxesTable[],MATCH($A$5,GeneralRevenueFundReceiptsPropertyTaxesTable[County]),MATCH(E51,GeneralRevenueFundReceiptsPropertyTaxesTable[#Headers]))/INDEX(Population[],MATCH($A$5,Population[County]),MATCH(E51,Population[#Headers])))/(INDEX(MCINormalized[],1,MATCH(E51,MCINormalized[#Headers]))/100)</f>
        <v>25.646733652015104</v>
      </c>
      <c r="F52" s="165">
        <f>(INDEX(GeneralRevenueFundReceiptsPropertyTaxesTable[],MATCH($A$5,GeneralRevenueFundReceiptsPropertyTaxesTable[County]),MATCH(F51,GeneralRevenueFundReceiptsPropertyTaxesTable[#Headers]))/INDEX(Population[],MATCH($A$5,Population[County]),MATCH(F51,Population[#Headers])))/(INDEX(MCINormalized[],1,MATCH(F51,MCINormalized[#Headers]))/100)</f>
        <v>26.188003759201866</v>
      </c>
      <c r="G52" s="165">
        <f>(INDEX(GeneralRevenueFundReceiptsPropertyTaxesTable[],MATCH($A$5,GeneralRevenueFundReceiptsPropertyTaxesTable[County]),MATCH(G51,GeneralRevenueFundReceiptsPropertyTaxesTable[#Headers]))/INDEX(Population[],MATCH($A$5,Population[County]),MATCH(G51,Population[#Headers])))/(INDEX(MCINormalized[],1,MATCH(G51,MCINormalized[#Headers]))/100)</f>
        <v>25.665904183554417</v>
      </c>
      <c r="H52" s="165">
        <f>(INDEX(GeneralRevenueFundReceiptsPropertyTaxesTable[],MATCH($A$5,GeneralRevenueFundReceiptsPropertyTaxesTable[County]),MATCH(H51,GeneralRevenueFundReceiptsPropertyTaxesTable[#Headers]))/INDEX(Population[],MATCH($A$5,Population[County]),MATCH(H51,Population[#Headers])))/(INDEX(MCINormalized[],1,MATCH(H51,MCINormalized[#Headers]))/100)</f>
        <v>26.627950000597856</v>
      </c>
      <c r="I52" s="165">
        <f>(INDEX(GeneralRevenueFundReceiptsPropertyTaxesTable[],MATCH($A$5,GeneralRevenueFundReceiptsPropertyTaxesTable[County]),MATCH(I51,GeneralRevenueFundReceiptsPropertyTaxesTable[#Headers]))/INDEX(Population[],MATCH($A$5,Population[County]),MATCH(I51,Population[#Headers])))/(INDEX(MCINormalized[],1,MATCH(I51,MCINormalized[#Headers]))/100)</f>
        <v>27.744650976224182</v>
      </c>
      <c r="J52" s="165">
        <f>(INDEX(GeneralRevenueFundReceiptsPropertyTaxesTable[],MATCH($A$5,GeneralRevenueFundReceiptsPropertyTaxesTable[County]),MATCH(J51,GeneralRevenueFundReceiptsPropertyTaxesTable[#Headers]))/INDEX(Population[],MATCH($A$5,Population[County]),MATCH(J51,Population[#Headers])))/(INDEX(MCINormalized[],1,MATCH(J51,MCINormalized[#Headers]))/100)</f>
        <v>27.889631544936044</v>
      </c>
      <c r="K52" s="165">
        <f>(INDEX(GeneralRevenueFundReceiptsPropertyTaxesTable[],MATCH($A$5,GeneralRevenueFundReceiptsPropertyTaxesTable[County]),MATCH(K51,GeneralRevenueFundReceiptsPropertyTaxesTable[#Headers]))/INDEX(Population[],MATCH($A$5,Population[County]),MATCH(K51,Population[#Headers])))/(INDEX(MCINormalized[],1,MATCH(K51,MCINormalized[#Headers]))/100)</f>
        <v>25.460624687620076</v>
      </c>
      <c r="L52" s="165">
        <f>(INDEX(GeneralRevenueFundReceiptsPropertyTaxesTable[],MATCH($A$5,GeneralRevenueFundReceiptsPropertyTaxesTable[County]),MATCH(L51,GeneralRevenueFundReceiptsPropertyTaxesTable[#Headers]))/INDEX(Population[],MATCH($A$5,Population[County]),MATCH(L51,Population[#Headers])))/(INDEX(MCINormalized[],1,MATCH(L51,MCINormalized[#Headers]))/100)</f>
        <v>25.562736870600965</v>
      </c>
      <c r="M52" s="165">
        <f>(INDEX(GeneralRevenueFundReceiptsPropertyTaxesTable[],MATCH($A$5,GeneralRevenueFundReceiptsPropertyTaxesTable[County]),MATCH(M51,GeneralRevenueFundReceiptsPropertyTaxesTable[#Headers]))/INDEX(Population[],MATCH($A$5,Population[County]),MATCH(M51,Population[#Headers])))/(INDEX(MCINormalized[],1,MATCH(M51,MCINormalized[#Headers]))/100)</f>
        <v>27.031640392088811</v>
      </c>
      <c r="N52" s="165">
        <f>(INDEX(GeneralRevenueFundReceiptsPropertyTaxesTable[],MATCH($A$5,GeneralRevenueFundReceiptsPropertyTaxesTable[County]),MATCH(N51,GeneralRevenueFundReceiptsPropertyTaxesTable[#Headers]))/INDEX(Population[],MATCH($A$5,Population[County]),MATCH(N51,Population[#Headers])))/(INDEX(MCINormalized[],1,MATCH(N51,MCINormalized[#Headers]))/100)</f>
        <v>27.386757989081516</v>
      </c>
      <c r="O52" s="165">
        <f>(INDEX(GeneralRevenueFundReceiptsPropertyTaxesTable[],MATCH($A$5,GeneralRevenueFundReceiptsPropertyTaxesTable[County]),MATCH(O51,GeneralRevenueFundReceiptsPropertyTaxesTable[#Headers]))/INDEX(Population[],MATCH($A$5,Population[County]),MATCH(O51,Population[#Headers])))/(INDEX(MCINormalized[],1,MATCH(O51,MCINormalized[#Headers]))/100)</f>
        <v>29.437588974301967</v>
      </c>
      <c r="P52" s="165">
        <f>(INDEX(GeneralRevenueFundReceiptsPropertyTaxesTable[],MATCH($A$5,GeneralRevenueFundReceiptsPropertyTaxesTable[County]),MATCH(P51,GeneralRevenueFundReceiptsPropertyTaxesTable[#Headers]))/INDEX(Population[],MATCH($A$5,Population[County]),MATCH(P51,Population[#Headers])))/(INDEX(MCINormalized[],1,MATCH(P51,MCINormalized[#Headers]))/100)</f>
        <v>21.690823006589923</v>
      </c>
      <c r="Q52" s="165">
        <f>(INDEX(GeneralRevenueFundReceiptsPropertyTaxesTable[],MATCH($A$5,GeneralRevenueFundReceiptsPropertyTaxesTable[County]),MATCH(Q51,GeneralRevenueFundReceiptsPropertyTaxesTable[#Headers]))/INDEX(Population[],MATCH($A$5,Population[County]),MATCH(Q51,Population[#Headers])))/(INDEX(MCINormalized[],1,MATCH(Q51,MCINormalized[#Headers]))/100)</f>
        <v>21.690180371340503</v>
      </c>
      <c r="R52" s="165">
        <f>(INDEX(GeneralRevenueFundReceiptsPropertyTaxesTable[],MATCH($A$5,GeneralRevenueFundReceiptsPropertyTaxesTable[County]),MATCH(R51,GeneralRevenueFundReceiptsPropertyTaxesTable[#Headers]))/INDEX(Population[],MATCH($A$5,Population[County]),MATCH(R51,Population[#Headers])))/(INDEX(MCINormalized[],1,MATCH(R51,MCINormalized[#Headers]))/100)</f>
        <v>0</v>
      </c>
      <c r="S52" s="165">
        <f>(INDEX(GeneralRevenueFundReceiptsPropertyTaxesTable[],MATCH($A$5,GeneralRevenueFundReceiptsPropertyTaxesTable[County]),MATCH(S51,GeneralRevenueFundReceiptsPropertyTaxesTable[#Headers]))/INDEX(Population[],MATCH($A$5,Population[County]),MATCH(S51,Population[#Headers])))/(INDEX(MCINormalized[],1,MATCH(S51,MCINormalized[#Headers]))/100)</f>
        <v>0</v>
      </c>
      <c r="T52" s="165">
        <f>(INDEX(GeneralRevenueFundReceiptsPropertyTaxesTable[],MATCH($A$5,GeneralRevenueFundReceiptsPropertyTaxesTable[County]),MATCH(T51,GeneralRevenueFundReceiptsPropertyTaxesTable[#Headers]))/INDEX(Population[],MATCH($A$5,Population[County]),MATCH(T51,Population[#Headers])))/(INDEX(MCINormalized[],1,MATCH(T51,MCINormalized[#Headers]))/100)</f>
        <v>0</v>
      </c>
      <c r="U52" s="165">
        <f>(INDEX(GeneralRevenueFundReceiptsPropertyTaxesTable[],MATCH($A$5,GeneralRevenueFundReceiptsPropertyTaxesTable[County]),MATCH(U51,GeneralRevenueFundReceiptsPropertyTaxesTable[#Headers]))/INDEX(Population[],MATCH($A$5,Population[County]),MATCH(U51,Population[#Headers])))/(INDEX(MCINormalized[],1,MATCH(U51,MCINormalized[#Headers]))/100)</f>
        <v>0</v>
      </c>
      <c r="V52" s="165">
        <f>(INDEX(GeneralRevenueFundReceiptsPropertyTaxesTable[],MATCH($A$5,GeneralRevenueFundReceiptsPropertyTaxesTable[County]),MATCH(V51,GeneralRevenueFundReceiptsPropertyTaxesTable[#Headers]))/INDEX(Population[],MATCH($A$5,Population[County]),MATCH(V51,Population[#Headers])))/(INDEX(MCINormalized[],1,MATCH(V51,MCINormalized[#Headers]))/100)</f>
        <v>0</v>
      </c>
      <c r="W52" s="165">
        <f>(INDEX(GeneralRevenueFundReceiptsPropertyTaxesTable[],MATCH($A$5,GeneralRevenueFundReceiptsPropertyTaxesTable[County]),MATCH(W51,GeneralRevenueFundReceiptsPropertyTaxesTable[#Headers]))/INDEX(Population[],MATCH($A$5,Population[County]),MATCH(W51,Population[#Headers])))/(INDEX(MCINormalized[],1,MATCH(W51,MCINormalized[#Headers]))/100)</f>
        <v>0</v>
      </c>
      <c r="X52" s="165"/>
      <c r="Y52" s="165"/>
      <c r="Z52" s="165"/>
      <c r="AA52" s="165"/>
      <c r="AB52" s="539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</row>
    <row r="53" spans="1:74" ht="16">
      <c r="A53" s="158" t="s">
        <v>99</v>
      </c>
      <c r="B53" s="165">
        <f>(INDEX(GeneralRevenueFundReceiptsSalesTaxesTable[],MATCH($A$5,GeneralRevenueFundReceiptsSalesTaxesTable[County]),MATCH(B51,GeneralRevenueFundReceiptsSalesTaxesTable[#Headers],0))/INDEX(Population[],MATCH($A$5,Population[County]),MATCH(B51,Population[#Headers],0)))/(INDEX(MCINormalized[],1,MATCH(B51,MCINormalized[#Headers],0))/100)</f>
        <v>36.095524789965687</v>
      </c>
      <c r="C53" s="165">
        <f>(INDEX(GeneralRevenueFundReceiptsSalesTaxesTable[],MATCH($A$5,GeneralRevenueFundReceiptsSalesTaxesTable[County]),MATCH(C51,GeneralRevenueFundReceiptsSalesTaxesTable[#Headers]))/INDEX(Population[],MATCH($A$5,Population[County]),MATCH(C51,Population[#Headers])))/(INDEX(MCINormalized[],1,MATCH(C51,MCINormalized[#Headers]))/100)</f>
        <v>38.692620226281704</v>
      </c>
      <c r="D53" s="165">
        <f>(INDEX(GeneralRevenueFundReceiptsSalesTaxesTable[],MATCH($A$5,GeneralRevenueFundReceiptsSalesTaxesTable[County]),MATCH(D51,GeneralRevenueFundReceiptsSalesTaxesTable[#Headers]))/INDEX(Population[],MATCH($A$5,Population[County]),MATCH(D51,Population[#Headers])))/(INDEX(MCINormalized[],1,MATCH(D51,MCINormalized[#Headers]))/100)</f>
        <v>39.847062217343606</v>
      </c>
      <c r="E53" s="165">
        <f>(INDEX(GeneralRevenueFundReceiptsSalesTaxesTable[],MATCH($A$5,GeneralRevenueFundReceiptsSalesTaxesTable[County]),MATCH(E51,GeneralRevenueFundReceiptsSalesTaxesTable[#Headers]))/INDEX(Population[],MATCH($A$5,Population[County]),MATCH(E51,Population[#Headers])))/(INDEX(MCINormalized[],1,MATCH(E51,MCINormalized[#Headers]))/100)</f>
        <v>41.794677062543137</v>
      </c>
      <c r="F53" s="165">
        <f>(INDEX(GeneralRevenueFundReceiptsSalesTaxesTable[],MATCH($A$5,GeneralRevenueFundReceiptsSalesTaxesTable[County]),MATCH(F51,GeneralRevenueFundReceiptsSalesTaxesTable[#Headers]))/INDEX(Population[],MATCH($A$5,Population[County]),MATCH(F51,Population[#Headers])))/(INDEX(MCINormalized[],1,MATCH(F51,MCINormalized[#Headers]))/100)</f>
        <v>45.043366465827205</v>
      </c>
      <c r="G53" s="165">
        <f>(INDEX(GeneralRevenueFundReceiptsSalesTaxesTable[],MATCH($A$5,GeneralRevenueFundReceiptsSalesTaxesTable[County]),MATCH(G51,GeneralRevenueFundReceiptsSalesTaxesTable[#Headers]))/INDEX(Population[],MATCH($A$5,Population[County]),MATCH(G51,Population[#Headers])))/(INDEX(MCINormalized[],1,MATCH(G51,MCINormalized[#Headers]))/100)</f>
        <v>40.038810526344889</v>
      </c>
      <c r="H53" s="165">
        <f>(INDEX(GeneralRevenueFundReceiptsSalesTaxesTable[],MATCH($A$5,GeneralRevenueFundReceiptsSalesTaxesTable[County]),MATCH(H51,GeneralRevenueFundReceiptsSalesTaxesTable[#Headers]))/INDEX(Population[],MATCH($A$5,Population[County]),MATCH(H51,Population[#Headers])))/(INDEX(MCINormalized[],1,MATCH(H51,MCINormalized[#Headers]))/100)</f>
        <v>34.732108696431986</v>
      </c>
      <c r="I53" s="165">
        <f>(INDEX(GeneralRevenueFundReceiptsSalesTaxesTable[],MATCH($A$5,GeneralRevenueFundReceiptsSalesTaxesTable[County]),MATCH(I51,GeneralRevenueFundReceiptsSalesTaxesTable[#Headers]))/INDEX(Population[],MATCH($A$5,Population[County]),MATCH(I51,Population[#Headers])))/(INDEX(MCINormalized[],1,MATCH(I51,MCINormalized[#Headers]))/100)</f>
        <v>27.744650976224182</v>
      </c>
      <c r="J53" s="165">
        <f>(INDEX(GeneralRevenueFundReceiptsSalesTaxesTable[],MATCH($A$5,GeneralRevenueFundReceiptsSalesTaxesTable[County]),MATCH(J51,GeneralRevenueFundReceiptsSalesTaxesTable[#Headers]))/INDEX(Population[],MATCH($A$5,Population[County]),MATCH(J51,Population[#Headers])))/(INDEX(MCINormalized[],1,MATCH(J51,MCINormalized[#Headers]))/100)</f>
        <v>43.07466462636414</v>
      </c>
      <c r="K53" s="165">
        <f>(INDEX(GeneralRevenueFundReceiptsSalesTaxesTable[],MATCH($A$5,GeneralRevenueFundReceiptsSalesTaxesTable[County]),MATCH(K51,GeneralRevenueFundReceiptsSalesTaxesTable[#Headers]))/INDEX(Population[],MATCH($A$5,Population[County]),MATCH(K51,Population[#Headers])))/(INDEX(MCINormalized[],1,MATCH(K51,MCINormalized[#Headers]))/100)</f>
        <v>41.589604902749137</v>
      </c>
      <c r="L53" s="165">
        <f>(INDEX(GeneralRevenueFundReceiptsSalesTaxesTable[],MATCH($A$5,GeneralRevenueFundReceiptsSalesTaxesTable[County]),MATCH(L51,GeneralRevenueFundReceiptsSalesTaxesTable[#Headers]))/INDEX(Population[],MATCH($A$5,Population[County]),MATCH(L51,Population[#Headers])))/(INDEX(MCINormalized[],1,MATCH(L51,MCINormalized[#Headers]))/100)</f>
        <v>38.964832933714895</v>
      </c>
      <c r="M53" s="165">
        <f>(INDEX(GeneralRevenueFundReceiptsSalesTaxesTable[],MATCH($A$5,GeneralRevenueFundReceiptsSalesTaxesTable[County]),MATCH(M51,GeneralRevenueFundReceiptsSalesTaxesTable[#Headers]))/INDEX(Population[],MATCH($A$5,Population[County]),MATCH(M51,Population[#Headers])))/(INDEX(MCINormalized[],1,MATCH(M51,MCINormalized[#Headers]))/100)</f>
        <v>39.010993149693299</v>
      </c>
      <c r="N53" s="165">
        <f>(INDEX(GeneralRevenueFundReceiptsSalesTaxesTable[],MATCH($A$5,GeneralRevenueFundReceiptsSalesTaxesTable[County]),MATCH(N51,GeneralRevenueFundReceiptsSalesTaxesTable[#Headers]))/INDEX(Population[],MATCH($A$5,Population[County]),MATCH(N51,Population[#Headers])))/(INDEX(MCINormalized[],1,MATCH(N51,MCINormalized[#Headers]))/100)</f>
        <v>23.805051904561797</v>
      </c>
      <c r="O53" s="165">
        <f>(INDEX(GeneralRevenueFundReceiptsSalesTaxesTable[],MATCH($A$5,GeneralRevenueFundReceiptsSalesTaxesTable[County]),MATCH(O51,GeneralRevenueFundReceiptsSalesTaxesTable[#Headers]))/INDEX(Population[],MATCH($A$5,Population[County]),MATCH(O51,Population[#Headers])))/(INDEX(MCINormalized[],1,MATCH(O51,MCINormalized[#Headers]))/100)</f>
        <v>25.132017071302769</v>
      </c>
      <c r="P53" s="165">
        <f>(INDEX(GeneralRevenueFundReceiptsSalesTaxesTable[],MATCH($A$5,GeneralRevenueFundReceiptsSalesTaxesTable[County]),MATCH(P51,GeneralRevenueFundReceiptsSalesTaxesTable[#Headers]))/INDEX(Population[],MATCH($A$5,Population[County]),MATCH(P51,Population[#Headers])))/(INDEX(MCINormalized[],1,MATCH(P51,MCINormalized[#Headers]))/100)</f>
        <v>19.997882354676005</v>
      </c>
      <c r="Q53" s="165">
        <f>(INDEX(GeneralRevenueFundReceiptsSalesTaxesTable[],MATCH($A$5,GeneralRevenueFundReceiptsSalesTaxesTable[County]),MATCH(Q51,GeneralRevenueFundReceiptsSalesTaxesTable[#Headers]))/INDEX(Population[],MATCH($A$5,Population[County]),MATCH(Q51,Population[#Headers])))/(INDEX(MCINormalized[],1,MATCH(Q51,MCINormalized[#Headers]))/100)</f>
        <v>18.538479448363489</v>
      </c>
      <c r="R53" s="165">
        <f>(INDEX(GeneralRevenueFundReceiptsSalesTaxesTable[],MATCH($A$5,GeneralRevenueFundReceiptsSalesTaxesTable[County]),MATCH(R51,GeneralRevenueFundReceiptsSalesTaxesTable[#Headers]))/INDEX(Population[],MATCH($A$5,Population[County]),MATCH(R51,Population[#Headers])))/(INDEX(MCINormalized[],1,MATCH(R51,MCINormalized[#Headers]))/100)</f>
        <v>0</v>
      </c>
      <c r="S53" s="165">
        <f>(INDEX(GeneralRevenueFundReceiptsSalesTaxesTable[],MATCH($A$5,GeneralRevenueFundReceiptsSalesTaxesTable[County]),MATCH(S51,GeneralRevenueFundReceiptsSalesTaxesTable[#Headers]))/INDEX(Population[],MATCH($A$5,Population[County]),MATCH(S51,Population[#Headers])))/(INDEX(MCINormalized[],1,MATCH(S51,MCINormalized[#Headers]))/100)</f>
        <v>0</v>
      </c>
      <c r="T53" s="165">
        <f>(INDEX(GeneralRevenueFundReceiptsSalesTaxesTable[],MATCH($A$5,GeneralRevenueFundReceiptsSalesTaxesTable[County]),MATCH(T51,GeneralRevenueFundReceiptsSalesTaxesTable[#Headers]))/INDEX(Population[],MATCH($A$5,Population[County]),MATCH(T51,Population[#Headers])))/(INDEX(MCINormalized[],1,MATCH(T51,MCINormalized[#Headers]))/100)</f>
        <v>0</v>
      </c>
      <c r="U53" s="165">
        <f>(INDEX(GeneralRevenueFundReceiptsSalesTaxesTable[],MATCH($A$5,GeneralRevenueFundReceiptsSalesTaxesTable[County]),MATCH(U51,GeneralRevenueFundReceiptsSalesTaxesTable[#Headers]))/INDEX(Population[],MATCH($A$5,Population[County]),MATCH(U51,Population[#Headers])))/(INDEX(MCINormalized[],1,MATCH(U51,MCINormalized[#Headers]))/100)</f>
        <v>0</v>
      </c>
      <c r="V53" s="165">
        <f>(INDEX(GeneralRevenueFundReceiptsSalesTaxesTable[],MATCH($A$5,GeneralRevenueFundReceiptsSalesTaxesTable[County]),MATCH(V51,GeneralRevenueFundReceiptsSalesTaxesTable[#Headers]))/INDEX(Population[],MATCH($A$5,Population[County]),MATCH(V51,Population[#Headers])))/(INDEX(MCINormalized[],1,MATCH(V51,MCINormalized[#Headers]))/100)</f>
        <v>0</v>
      </c>
      <c r="W53" s="165">
        <f>(INDEX(GeneralRevenueFundReceiptsSalesTaxesTable[],MATCH($A$5,GeneralRevenueFundReceiptsSalesTaxesTable[County]),MATCH(W51,GeneralRevenueFundReceiptsSalesTaxesTable[#Headers]))/INDEX(Population[],MATCH($A$5,Population[County]),MATCH(W51,Population[#Headers])))/(INDEX(MCINormalized[],1,MATCH(W51,MCINormalized[#Headers]))/100)</f>
        <v>0</v>
      </c>
      <c r="X53" s="165"/>
      <c r="Y53" s="165"/>
      <c r="Z53" s="165"/>
      <c r="AA53" s="165"/>
      <c r="AB53" s="539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</row>
    <row r="54" spans="1:74" ht="16">
      <c r="A54" s="158" t="s">
        <v>100</v>
      </c>
      <c r="B54" s="165">
        <f>(INDEX(GeneralRevenueFundReceiptsIntergovernmentalTable[],MATCH($A$5,GeneralRevenueFundReceiptsIntergovernmentalTable[County]),MATCH(B51,GeneralRevenueFundReceiptsIntergovernmentalTable[#Headers],0))/INDEX(Population[],MATCH($A$5,Population[County]),MATCH(B51,Population[#Headers],0)))/(INDEX(MCINormalized[],1,MATCH(B51,MCINormalized[#Headers],0))/100)</f>
        <v>5.282271920482783</v>
      </c>
      <c r="C54" s="165">
        <f>(INDEX(GeneralRevenueFundReceiptsIntergovernmentalTable[],MATCH($A$5,GeneralRevenueFundReceiptsIntergovernmentalTable[County]),MATCH(C51,GeneralRevenueFundReceiptsIntergovernmentalTable[#Headers]))/INDEX(Population[],MATCH($A$5,Population[County]),MATCH(C51,Population[#Headers])))/(INDEX(MCINormalized[],1,MATCH(C51,MCINormalized[#Headers]))/100)</f>
        <v>3.5993135094215534</v>
      </c>
      <c r="D54" s="165">
        <f>(INDEX(GeneralRevenueFundReceiptsIntergovernmentalTable[],MATCH($A$5,GeneralRevenueFundReceiptsIntergovernmentalTable[County]),MATCH(D51,GeneralRevenueFundReceiptsIntergovernmentalTable[#Headers]))/INDEX(Population[],MATCH($A$5,Population[County]),MATCH(D51,Population[#Headers])))/(INDEX(MCINormalized[],1,MATCH(D51,MCINormalized[#Headers]))/100)</f>
        <v>3.8875182651066935</v>
      </c>
      <c r="E54" s="165">
        <f>(INDEX(GeneralRevenueFundReceiptsIntergovernmentalTable[],MATCH($A$5,GeneralRevenueFundReceiptsIntergovernmentalTable[County]),MATCH(E51,GeneralRevenueFundReceiptsIntergovernmentalTable[#Headers]))/INDEX(Population[],MATCH($A$5,Population[County]),MATCH(E51,Population[#Headers])))/(INDEX(MCINormalized[],1,MATCH(E51,MCINormalized[#Headers]))/100)</f>
        <v>3.7995160965948305</v>
      </c>
      <c r="F54" s="165">
        <f>(INDEX(GeneralRevenueFundReceiptsIntergovernmentalTable[],MATCH($A$5,GeneralRevenueFundReceiptsIntergovernmentalTable[County]),MATCH(F51,GeneralRevenueFundReceiptsIntergovernmentalTable[#Headers]))/INDEX(Population[],MATCH($A$5,Population[County]),MATCH(F51,Population[#Headers])))/(INDEX(MCINormalized[],1,MATCH(F51,MCINormalized[#Headers]))/100)</f>
        <v>4.1900806014722987</v>
      </c>
      <c r="G54" s="165">
        <f>(INDEX(GeneralRevenueFundReceiptsIntergovernmentalTable[],MATCH($A$5,GeneralRevenueFundReceiptsIntergovernmentalTable[County]),MATCH(G51,GeneralRevenueFundReceiptsIntergovernmentalTable[#Headers]))/INDEX(Population[],MATCH($A$5,Population[County]),MATCH(G51,Population[#Headers])))/(INDEX(MCINormalized[],1,MATCH(G51,MCINormalized[#Headers]))/100)</f>
        <v>2.0532723346843533</v>
      </c>
      <c r="H54" s="165">
        <f>(INDEX(GeneralRevenueFundReceiptsIntergovernmentalTable[],MATCH($A$5,GeneralRevenueFundReceiptsIntergovernmentalTable[County]),MATCH(H51,GeneralRevenueFundReceiptsIntergovernmentalTable[#Headers]))/INDEX(Population[],MATCH($A$5,Population[County]),MATCH(H51,Population[#Headers])))/(INDEX(MCINormalized[],1,MATCH(H51,MCINormalized[#Headers]))/100)</f>
        <v>11.577369565477328</v>
      </c>
      <c r="I54" s="165">
        <f>(INDEX(GeneralRevenueFundReceiptsIntergovernmentalTable[],MATCH($A$5,GeneralRevenueFundReceiptsIntergovernmentalTable[County]),MATCH(I51,GeneralRevenueFundReceiptsIntergovernmentalTable[#Headers]))/INDEX(Population[],MATCH($A$5,Population[County]),MATCH(I51,Population[#Headers])))/(INDEX(MCINormalized[],1,MATCH(I51,MCINormalized[#Headers]))/100)</f>
        <v>18.496433984149455</v>
      </c>
      <c r="J54" s="165">
        <f>(INDEX(GeneralRevenueFundReceiptsIntergovernmentalTable[],MATCH($A$5,GeneralRevenueFundReceiptsIntergovernmentalTable[County]),MATCH(J51,GeneralRevenueFundReceiptsIntergovernmentalTable[#Headers]))/INDEX(Population[],MATCH($A$5,Population[County]),MATCH(J51,Population[#Headers])))/(INDEX(MCINormalized[],1,MATCH(J51,MCINormalized[#Headers]))/100)</f>
        <v>6.8250666084343123</v>
      </c>
      <c r="K54" s="165">
        <f>(INDEX(GeneralRevenueFundReceiptsIntergovernmentalTable[],MATCH($A$5,GeneralRevenueFundReceiptsIntergovernmentalTable[County]),MATCH(K51,GeneralRevenueFundReceiptsIntergovernmentalTable[#Headers]))/INDEX(Population[],MATCH($A$5,Population[County]),MATCH(K51,Population[#Headers])))/(INDEX(MCINormalized[],1,MATCH(K51,MCINormalized[#Headers]))/100)</f>
        <v>10.427515352220109</v>
      </c>
      <c r="L54" s="165">
        <f>(INDEX(GeneralRevenueFundReceiptsIntergovernmentalTable[],MATCH($A$5,GeneralRevenueFundReceiptsIntergovernmentalTable[County]),MATCH(L51,GeneralRevenueFundReceiptsIntergovernmentalTable[#Headers]))/INDEX(Population[],MATCH($A$5,Population[County]),MATCH(L51,Population[#Headers])))/(INDEX(MCINormalized[],1,MATCH(L51,MCINormalized[#Headers]))/100)</f>
        <v>8.6296499149199448</v>
      </c>
      <c r="M54" s="165">
        <f>(INDEX(GeneralRevenueFundReceiptsIntergovernmentalTable[],MATCH($A$5,GeneralRevenueFundReceiptsIntergovernmentalTable[County]),MATCH(M51,GeneralRevenueFundReceiptsIntergovernmentalTable[#Headers]))/INDEX(Population[],MATCH($A$5,Population[County]),MATCH(M51,Population[#Headers])))/(INDEX(MCINormalized[],1,MATCH(M51,MCINormalized[#Headers]))/100)</f>
        <v>10.653367341889052</v>
      </c>
      <c r="N54" s="165">
        <f>(INDEX(GeneralRevenueFundReceiptsIntergovernmentalTable[],MATCH($A$5,GeneralRevenueFundReceiptsIntergovernmentalTable[County]),MATCH(N51,GeneralRevenueFundReceiptsIntergovernmentalTable[#Headers]))/INDEX(Population[],MATCH($A$5,Population[County]),MATCH(N51,Population[#Headers])))/(INDEX(MCINormalized[],1,MATCH(N51,MCINormalized[#Headers]))/100)</f>
        <v>9.8835363706074659</v>
      </c>
      <c r="O54" s="165">
        <f>(INDEX(GeneralRevenueFundReceiptsIntergovernmentalTable[],MATCH($A$5,GeneralRevenueFundReceiptsIntergovernmentalTable[County]),MATCH(O51,GeneralRevenueFundReceiptsIntergovernmentalTable[#Headers]))/INDEX(Population[],MATCH($A$5,Population[County]),MATCH(O51,Population[#Headers])))/(INDEX(MCINormalized[],1,MATCH(O51,MCINormalized[#Headers]))/100)</f>
        <v>10.208835420710216</v>
      </c>
      <c r="P54" s="165">
        <f>(INDEX(GeneralRevenueFundReceiptsIntergovernmentalTable[],MATCH($A$5,GeneralRevenueFundReceiptsIntergovernmentalTable[County]),MATCH(P51,GeneralRevenueFundReceiptsIntergovernmentalTable[#Headers]))/INDEX(Population[],MATCH($A$5,Population[County]),MATCH(P51,Population[#Headers])))/(INDEX(MCINormalized[],1,MATCH(P51,MCINormalized[#Headers]))/100)</f>
        <v>4.2053716075415819</v>
      </c>
      <c r="Q54" s="165">
        <f>(INDEX(GeneralRevenueFundReceiptsIntergovernmentalTable[],MATCH($A$5,GeneralRevenueFundReceiptsIntergovernmentalTable[County]),MATCH(Q51,GeneralRevenueFundReceiptsIntergovernmentalTable[#Headers]))/INDEX(Population[],MATCH($A$5,Population[County]),MATCH(Q51,Population[#Headers])))/(INDEX(MCINormalized[],1,MATCH(Q51,MCINormalized[#Headers]))/100)</f>
        <v>4.4096152531036763</v>
      </c>
      <c r="R54" s="165">
        <f>(INDEX(GeneralRevenueFundReceiptsIntergovernmentalTable[],MATCH($A$5,GeneralRevenueFundReceiptsIntergovernmentalTable[County]),MATCH(R51,GeneralRevenueFundReceiptsIntergovernmentalTable[#Headers]))/INDEX(Population[],MATCH($A$5,Population[County]),MATCH(R51,Population[#Headers])))/(INDEX(MCINormalized[],1,MATCH(R51,MCINormalized[#Headers]))/100)</f>
        <v>0</v>
      </c>
      <c r="S54" s="165">
        <f>(INDEX(GeneralRevenueFundReceiptsIntergovernmentalTable[],MATCH($A$5,GeneralRevenueFundReceiptsIntergovernmentalTable[County]),MATCH(S51,GeneralRevenueFundReceiptsIntergovernmentalTable[#Headers]))/INDEX(Population[],MATCH($A$5,Population[County]),MATCH(S51,Population[#Headers])))/(INDEX(MCINormalized[],1,MATCH(S51,MCINormalized[#Headers]))/100)</f>
        <v>0</v>
      </c>
      <c r="T54" s="165">
        <f>(INDEX(GeneralRevenueFundReceiptsIntergovernmentalTable[],MATCH($A$5,GeneralRevenueFundReceiptsIntergovernmentalTable[County]),MATCH(T51,GeneralRevenueFundReceiptsIntergovernmentalTable[#Headers]))/INDEX(Population[],MATCH($A$5,Population[County]),MATCH(T51,Population[#Headers])))/(INDEX(MCINormalized[],1,MATCH(T51,MCINormalized[#Headers]))/100)</f>
        <v>0</v>
      </c>
      <c r="U54" s="165">
        <f>(INDEX(GeneralRevenueFundReceiptsIntergovernmentalTable[],MATCH($A$5,GeneralRevenueFundReceiptsIntergovernmentalTable[County]),MATCH(U51,GeneralRevenueFundReceiptsIntergovernmentalTable[#Headers]))/INDEX(Population[],MATCH($A$5,Population[County]),MATCH(U51,Population[#Headers])))/(INDEX(MCINormalized[],1,MATCH(U51,MCINormalized[#Headers]))/100)</f>
        <v>0</v>
      </c>
      <c r="V54" s="165">
        <f>(INDEX(GeneralRevenueFundReceiptsIntergovernmentalTable[],MATCH($A$5,GeneralRevenueFundReceiptsIntergovernmentalTable[County]),MATCH(V51,GeneralRevenueFundReceiptsIntergovernmentalTable[#Headers]))/INDEX(Population[],MATCH($A$5,Population[County]),MATCH(V51,Population[#Headers])))/(INDEX(MCINormalized[],1,MATCH(V51,MCINormalized[#Headers]))/100)</f>
        <v>0</v>
      </c>
      <c r="W54" s="165">
        <f>(INDEX(GeneralRevenueFundReceiptsIntergovernmentalTable[],MATCH($A$5,GeneralRevenueFundReceiptsIntergovernmentalTable[County]),MATCH(W51,GeneralRevenueFundReceiptsIntergovernmentalTable[#Headers]))/INDEX(Population[],MATCH($A$5,Population[County]),MATCH(W51,Population[#Headers])))/(INDEX(MCINormalized[],1,MATCH(W51,MCINormalized[#Headers]))/100)</f>
        <v>0</v>
      </c>
      <c r="X54" s="165"/>
      <c r="Y54" s="165"/>
      <c r="Z54" s="165"/>
      <c r="AA54" s="165"/>
      <c r="AB54" s="539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</row>
    <row r="55" spans="1:74" ht="16">
      <c r="A55" s="158" t="s">
        <v>104</v>
      </c>
      <c r="B55" s="165">
        <f>(INDEX(GeneralRevenueFundReceiptsChargesforServicesTable[],MATCH($A$5,GeneralRevenueFundReceiptsChargesforServicesTable[County]),MATCH(B51,GeneralRevenueFundReceiptsChargesforServicesTable[#Headers],0))/INDEX(Population[],MATCH($A$5,Population[County]),MATCH(B51,Population[#Headers],0)))/(INDEX(MCINormalized[],1,MATCH(B51,MCINormalized[#Headers],0))/100)</f>
        <v>16.727194414862144</v>
      </c>
      <c r="C55" s="165">
        <f>(INDEX(GeneralRevenueFundReceiptsChargesforServicesTable[],MATCH($A$5,GeneralRevenueFundReceiptsChargesforServicesTable[County]),MATCH(C51,GeneralRevenueFundReceiptsChargesforServicesTable[#Headers]))/INDEX(Population[],MATCH($A$5,Population[County]),MATCH(C51,Population[#Headers])))/(INDEX(MCINormalized[],1,MATCH(C51,MCINormalized[#Headers]))/100)</f>
        <v>14.397254037686213</v>
      </c>
      <c r="D55" s="165">
        <f>(INDEX(GeneralRevenueFundReceiptsChargesforServicesTable[],MATCH($A$5,GeneralRevenueFundReceiptsChargesforServicesTable[County]),MATCH(D51,GeneralRevenueFundReceiptsChargesforServicesTable[#Headers]))/INDEX(Population[],MATCH($A$5,Population[County]),MATCH(D51,Population[#Headers])))/(INDEX(MCINormalized[],1,MATCH(D51,MCINormalized[#Headers]))/100)</f>
        <v>14.578193494150099</v>
      </c>
      <c r="E55" s="165">
        <f>(INDEX(GeneralRevenueFundReceiptsChargesforServicesTable[],MATCH($A$5,GeneralRevenueFundReceiptsChargesforServicesTable[County]),MATCH(E51,GeneralRevenueFundReceiptsChargesforServicesTable[#Headers]))/INDEX(Population[],MATCH($A$5,Population[County]),MATCH(E51,Population[#Headers])))/(INDEX(MCINormalized[],1,MATCH(E51,MCINormalized[#Headers]))/100)</f>
        <v>14.248185362230613</v>
      </c>
      <c r="F55" s="165">
        <f>(INDEX(GeneralRevenueFundReceiptsChargesforServicesTable[],MATCH($A$5,GeneralRevenueFundReceiptsChargesforServicesTable[County]),MATCH(F51,GeneralRevenueFundReceiptsChargesforServicesTable[#Headers]))/INDEX(Population[],MATCH($A$5,Population[County]),MATCH(F51,Population[#Headers])))/(INDEX(MCINormalized[],1,MATCH(F51,MCINormalized[#Headers]))/100)</f>
        <v>13.617761954784969</v>
      </c>
      <c r="G55" s="165">
        <f>(INDEX(GeneralRevenueFundReceiptsChargesforServicesTable[],MATCH($A$5,GeneralRevenueFundReceiptsChargesforServicesTable[County]),MATCH(G51,GeneralRevenueFundReceiptsChargesforServicesTable[#Headers]))/INDEX(Population[],MATCH($A$5,Population[County]),MATCH(G51,Population[#Headers])))/(INDEX(MCINormalized[],1,MATCH(G51,MCINormalized[#Headers]))/100)</f>
        <v>15.399542510132653</v>
      </c>
      <c r="H55" s="165">
        <f>(INDEX(GeneralRevenueFundReceiptsChargesforServicesTable[],MATCH($A$5,GeneralRevenueFundReceiptsChargesforServicesTable[County]),MATCH(H51,GeneralRevenueFundReceiptsChargesforServicesTable[#Headers]))/INDEX(Population[],MATCH($A$5,Population[County]),MATCH(H51,Population[#Headers])))/(INDEX(MCINormalized[],1,MATCH(H51,MCINormalized[#Headers]))/100)</f>
        <v>17.366054348215993</v>
      </c>
      <c r="I55" s="165">
        <f>(INDEX(GeneralRevenueFundReceiptsChargesforServicesTable[],MATCH($A$5,GeneralRevenueFundReceiptsChargesforServicesTable[County]),MATCH(I51,GeneralRevenueFundReceiptsChargesforServicesTable[#Headers]))/INDEX(Population[],MATCH($A$5,Population[County]),MATCH(I51,Population[#Headers])))/(INDEX(MCINormalized[],1,MATCH(I51,MCINormalized[#Headers]))/100)</f>
        <v>17.468854318363373</v>
      </c>
      <c r="J55" s="165">
        <f>(INDEX(GeneralRevenueFundReceiptsChargesforServicesTable[],MATCH($A$5,GeneralRevenueFundReceiptsChargesforServicesTable[County]),MATCH(J51,GeneralRevenueFundReceiptsChargesforServicesTable[#Headers]))/INDEX(Population[],MATCH($A$5,Population[County]),MATCH(J51,Population[#Headers])))/(INDEX(MCINormalized[],1,MATCH(J51,MCINormalized[#Headers]))/100)</f>
        <v>16.654984364181573</v>
      </c>
      <c r="K55" s="165">
        <f>(INDEX(GeneralRevenueFundReceiptsChargesforServicesTable[],MATCH($A$5,GeneralRevenueFundReceiptsChargesforServicesTable[County]),MATCH(K51,GeneralRevenueFundReceiptsChargesforServicesTable[#Headers]))/INDEX(Population[],MATCH($A$5,Population[County]),MATCH(K51,Population[#Headers])))/(INDEX(MCINormalized[],1,MATCH(K51,MCINormalized[#Headers]))/100)</f>
        <v>14.508440975479528</v>
      </c>
      <c r="L55" s="165">
        <f>(INDEX(GeneralRevenueFundReceiptsChargesforServicesTable[],MATCH($A$5,GeneralRevenueFundReceiptsChargesforServicesTable[County]),MATCH(L51,GeneralRevenueFundReceiptsChargesforServicesTable[#Headers]))/INDEX(Population[],MATCH($A$5,Population[County]),MATCH(L51,Population[#Headers])))/(INDEX(MCINormalized[],1,MATCH(L51,MCINormalized[#Headers]))/100)</f>
        <v>15.316319417588362</v>
      </c>
      <c r="M55" s="165">
        <f>(INDEX(GeneralRevenueFundReceiptsChargesforServicesTable[],MATCH($A$5,GeneralRevenueFundReceiptsChargesforServicesTable[County]),MATCH(M51,GeneralRevenueFundReceiptsChargesforServicesTable[#Headers]))/INDEX(Population[],MATCH($A$5,Population[County]),MATCH(M51,Population[#Headers])))/(INDEX(MCINormalized[],1,MATCH(M51,MCINormalized[#Headers]))/100)</f>
        <v>14.767696672226197</v>
      </c>
      <c r="N55" s="165">
        <f>(INDEX(GeneralRevenueFundReceiptsChargesforServicesTable[],MATCH($A$5,GeneralRevenueFundReceiptsChargesforServicesTable[County]),MATCH(N51,GeneralRevenueFundReceiptsChargesforServicesTable[#Headers]))/INDEX(Population[],MATCH($A$5,Population[County]),MATCH(N51,Population[#Headers])))/(INDEX(MCINormalized[],1,MATCH(N51,MCINormalized[#Headers]))/100)</f>
        <v>14.25849612907494</v>
      </c>
      <c r="O55" s="165">
        <f>(INDEX(GeneralRevenueFundReceiptsChargesforServicesTable[],MATCH($A$5,GeneralRevenueFundReceiptsChargesforServicesTable[County]),MATCH(O51,GeneralRevenueFundReceiptsChargesforServicesTable[#Headers]))/INDEX(Population[],MATCH($A$5,Population[County]),MATCH(O51,Population[#Headers])))/(INDEX(MCINormalized[],1,MATCH(O51,MCINormalized[#Headers]))/100)</f>
        <v>16.199353285534965</v>
      </c>
      <c r="P55" s="165">
        <f>(INDEX(GeneralRevenueFundReceiptsChargesforServicesTable[],MATCH($A$5,GeneralRevenueFundReceiptsChargesforServicesTable[County]),MATCH(P51,GeneralRevenueFundReceiptsChargesforServicesTable[#Headers]))/INDEX(Population[],MATCH($A$5,Population[County]),MATCH(P51,Population[#Headers])))/(INDEX(MCINormalized[],1,MATCH(P51,MCINormalized[#Headers]))/100)</f>
        <v>10.178882317422893</v>
      </c>
      <c r="Q55" s="165">
        <f>(INDEX(GeneralRevenueFundReceiptsChargesforServicesTable[],MATCH($A$5,GeneralRevenueFundReceiptsChargesforServicesTable[County]),MATCH(Q51,GeneralRevenueFundReceiptsChargesforServicesTable[#Headers]))/INDEX(Population[],MATCH($A$5,Population[County]),MATCH(Q51,Population[#Headers])))/(INDEX(MCINormalized[],1,MATCH(Q51,MCINormalized[#Headers]))/100)</f>
        <v>9.1782349274910864</v>
      </c>
      <c r="R55" s="165">
        <f>(INDEX(GeneralRevenueFundReceiptsChargesforServicesTable[],MATCH($A$5,GeneralRevenueFundReceiptsChargesforServicesTable[County]),MATCH(R51,GeneralRevenueFundReceiptsChargesforServicesTable[#Headers]))/INDEX(Population[],MATCH($A$5,Population[County]),MATCH(R51,Population[#Headers])))/(INDEX(MCINormalized[],1,MATCH(R51,MCINormalized[#Headers]))/100)</f>
        <v>0</v>
      </c>
      <c r="S55" s="165">
        <f>(INDEX(GeneralRevenueFundReceiptsChargesforServicesTable[],MATCH($A$5,GeneralRevenueFundReceiptsChargesforServicesTable[County]),MATCH(S51,GeneralRevenueFundReceiptsChargesforServicesTable[#Headers]))/INDEX(Population[],MATCH($A$5,Population[County]),MATCH(S51,Population[#Headers])))/(INDEX(MCINormalized[],1,MATCH(S51,MCINormalized[#Headers]))/100)</f>
        <v>0</v>
      </c>
      <c r="T55" s="165">
        <f>(INDEX(GeneralRevenueFundReceiptsChargesforServicesTable[],MATCH($A$5,GeneralRevenueFundReceiptsChargesforServicesTable[County]),MATCH(T51,GeneralRevenueFundReceiptsChargesforServicesTable[#Headers]))/INDEX(Population[],MATCH($A$5,Population[County]),MATCH(T51,Population[#Headers])))/(INDEX(MCINormalized[],1,MATCH(T51,MCINormalized[#Headers]))/100)</f>
        <v>0</v>
      </c>
      <c r="U55" s="165">
        <f>(INDEX(GeneralRevenueFundReceiptsChargesforServicesTable[],MATCH($A$5,GeneralRevenueFundReceiptsChargesforServicesTable[County]),MATCH(U51,GeneralRevenueFundReceiptsChargesforServicesTable[#Headers]))/INDEX(Population[],MATCH($A$5,Population[County]),MATCH(U51,Population[#Headers])))/(INDEX(MCINormalized[],1,MATCH(U51,MCINormalized[#Headers]))/100)</f>
        <v>0</v>
      </c>
      <c r="V55" s="165">
        <f>(INDEX(GeneralRevenueFundReceiptsChargesforServicesTable[],MATCH($A$5,GeneralRevenueFundReceiptsChargesforServicesTable[County]),MATCH(V51,GeneralRevenueFundReceiptsChargesforServicesTable[#Headers]))/INDEX(Population[],MATCH($A$5,Population[County]),MATCH(V51,Population[#Headers])))/(INDEX(MCINormalized[],1,MATCH(V51,MCINormalized[#Headers]))/100)</f>
        <v>0</v>
      </c>
      <c r="W55" s="165">
        <f>(INDEX(GeneralRevenueFundReceiptsChargesforServicesTable[],MATCH($A$5,GeneralRevenueFundReceiptsChargesforServicesTable[County]),MATCH(W51,GeneralRevenueFundReceiptsChargesforServicesTable[#Headers]))/INDEX(Population[],MATCH($A$5,Population[County]),MATCH(W51,Population[#Headers])))/(INDEX(MCINormalized[],1,MATCH(W51,MCINormalized[#Headers]))/100)</f>
        <v>0</v>
      </c>
      <c r="X55" s="165"/>
      <c r="Y55" s="165"/>
      <c r="Z55" s="165"/>
      <c r="AA55" s="165"/>
      <c r="AB55" s="539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</row>
    <row r="56" spans="1:74" ht="16">
      <c r="A56" s="158" t="s">
        <v>101</v>
      </c>
      <c r="B56" s="165">
        <f>(INDEX(GeneralRevenueFundReceiptsInterestTable[],MATCH($A$5,GeneralRevenueFundReceiptsInterestTable[County]),MATCH(B51,GeneralRevenueFundReceiptsInterestTable[#Headers],0))/INDEX(Population[],MATCH($A$5,Population[County]),MATCH(B51,Population[#Headers],0)))/(INDEX(MCINormalized[],1,MATCH(B51,MCINormalized[#Headers],0))/100)</f>
        <v>0.88037865341379717</v>
      </c>
      <c r="C56" s="165">
        <f>(INDEX(GeneralRevenueFundReceiptsInterestTable[],MATCH($A$5,GeneralRevenueFundReceiptsInterestTable[County]),MATCH(C51,GeneralRevenueFundReceiptsInterestTable[#Headers]))/INDEX(Population[],MATCH($A$5,Population[County]),MATCH(C51,Population[#Headers])))/(INDEX(MCINormalized[],1,MATCH(C51,MCINormalized[#Headers]))/100)</f>
        <v>0.89982837735538834</v>
      </c>
      <c r="D56" s="165">
        <f>(INDEX(GeneralRevenueFundReceiptsInterestTable[],MATCH($A$5,GeneralRevenueFundReceiptsInterestTable[County]),MATCH(D51,GeneralRevenueFundReceiptsInterestTable[#Headers]))/INDEX(Population[],MATCH($A$5,Population[County]),MATCH(D51,Population[#Headers])))/(INDEX(MCINormalized[],1,MATCH(D51,MCINormalized[#Headers]))/100)</f>
        <v>0.97187956627667338</v>
      </c>
      <c r="E56" s="165">
        <f>(INDEX(GeneralRevenueFundReceiptsInterestTable[],MATCH($A$5,GeneralRevenueFundReceiptsInterestTable[County]),MATCH(E51,GeneralRevenueFundReceiptsInterestTable[#Headers]))/INDEX(Population[],MATCH($A$5,Population[County]),MATCH(E51,Population[#Headers])))/(INDEX(MCINormalized[],1,MATCH(E51,MCINormalized[#Headers]))/100)</f>
        <v>0.94987902414870762</v>
      </c>
      <c r="F56" s="165">
        <f>(INDEX(GeneralRevenueFundReceiptsInterestTable[],MATCH($A$5,GeneralRevenueFundReceiptsInterestTable[County]),MATCH(F51,GeneralRevenueFundReceiptsInterestTable[#Headers]))/INDEX(Population[],MATCH($A$5,Population[County]),MATCH(F51,Population[#Headers])))/(INDEX(MCINormalized[],1,MATCH(F51,MCINormalized[#Headers]))/100)</f>
        <v>1.0475201503680747</v>
      </c>
      <c r="G56" s="165">
        <f>(INDEX(GeneralRevenueFundReceiptsInterestTable[],MATCH($A$5,GeneralRevenueFundReceiptsInterestTable[County]),MATCH(G51,GeneralRevenueFundReceiptsInterestTable[#Headers]))/INDEX(Population[],MATCH($A$5,Population[County]),MATCH(G51,Population[#Headers])))/(INDEX(MCINormalized[],1,MATCH(G51,MCINormalized[#Headers]))/100)</f>
        <v>0</v>
      </c>
      <c r="H56" s="165">
        <f>(INDEX(GeneralRevenueFundReceiptsInterestTable[],MATCH($A$5,GeneralRevenueFundReceiptsInterestTable[County]),MATCH(H51,GeneralRevenueFundReceiptsInterestTable[#Headers]))/INDEX(Population[],MATCH($A$5,Population[County]),MATCH(H51,Population[#Headers])))/(INDEX(MCINormalized[],1,MATCH(H51,MCINormalized[#Headers]))/100)</f>
        <v>0</v>
      </c>
      <c r="I56" s="165">
        <f>(INDEX(GeneralRevenueFundReceiptsInterestTable[],MATCH($A$5,GeneralRevenueFundReceiptsInterestTable[County]),MATCH(I51,GeneralRevenueFundReceiptsInterestTable[#Headers]))/INDEX(Population[],MATCH($A$5,Population[County]),MATCH(I51,Population[#Headers])))/(INDEX(MCINormalized[],1,MATCH(I51,MCINormalized[#Headers]))/100)</f>
        <v>0</v>
      </c>
      <c r="J56" s="165">
        <f>(INDEX(GeneralRevenueFundReceiptsInterestTable[],MATCH($A$5,GeneralRevenueFundReceiptsInterestTable[County]),MATCH(J51,GeneralRevenueFundReceiptsInterestTable[#Headers]))/INDEX(Population[],MATCH($A$5,Population[County]),MATCH(J51,Population[#Headers])))/(INDEX(MCINormalized[],1,MATCH(J51,MCINormalized[#Headers]))/100)</f>
        <v>0.14456297240687691</v>
      </c>
      <c r="K56" s="165">
        <f>(INDEX(GeneralRevenueFundReceiptsInterestTable[],MATCH($A$5,GeneralRevenueFundReceiptsInterestTable[County]),MATCH(K51,GeneralRevenueFundReceiptsInterestTable[#Headers]))/INDEX(Population[],MATCH($A$5,Population[County]),MATCH(K51,Population[#Headers])))/(INDEX(MCINormalized[],1,MATCH(K51,MCINormalized[#Headers]))/100)</f>
        <v>0.13788535199349125</v>
      </c>
      <c r="L56" s="165">
        <f>(INDEX(GeneralRevenueFundReceiptsInterestTable[],MATCH($A$5,GeneralRevenueFundReceiptsInterestTable[County]),MATCH(L51,GeneralRevenueFundReceiptsInterestTable[#Headers]))/INDEX(Population[],MATCH($A$5,Population[County]),MATCH(L51,Population[#Headers])))/(INDEX(MCINormalized[],1,MATCH(L51,MCINormalized[#Headers]))/100)</f>
        <v>6.2415886766184529E-2</v>
      </c>
      <c r="M56" s="165">
        <f>(INDEX(GeneralRevenueFundReceiptsInterestTable[],MATCH($A$5,GeneralRevenueFundReceiptsInterestTable[County]),MATCH(M51,GeneralRevenueFundReceiptsInterestTable[#Headers]))/INDEX(Population[],MATCH($A$5,Population[County]),MATCH(M51,Population[#Headers])))/(INDEX(MCINormalized[],1,MATCH(M51,MCINormalized[#Headers]))/100)</f>
        <v>8.4492877251996001E-2</v>
      </c>
      <c r="N56" s="165">
        <f>(INDEX(GeneralRevenueFundReceiptsInterestTable[],MATCH($A$5,GeneralRevenueFundReceiptsInterestTable[County]),MATCH(N51,GeneralRevenueFundReceiptsInterestTable[#Headers]))/INDEX(Population[],MATCH($A$5,Population[County]),MATCH(N51,Population[#Headers])))/(INDEX(MCINormalized[],1,MATCH(N51,MCINormalized[#Headers]))/100)</f>
        <v>8.3361918355733963E-2</v>
      </c>
      <c r="O56" s="165">
        <f>(INDEX(GeneralRevenueFundReceiptsInterestTable[],MATCH($A$5,GeneralRevenueFundReceiptsInterestTable[County]),MATCH(O51,GeneralRevenueFundReceiptsInterestTable[#Headers]))/INDEX(Population[],MATCH($A$5,Population[County]),MATCH(O51,Population[#Headers])))/(INDEX(MCINormalized[],1,MATCH(O51,MCINormalized[#Headers]))/100)</f>
        <v>4.4779299619104651E-2</v>
      </c>
      <c r="P56" s="165">
        <f>(INDEX(GeneralRevenueFundReceiptsInterestTable[],MATCH($A$5,GeneralRevenueFundReceiptsInterestTable[County]),MATCH(P51,GeneralRevenueFundReceiptsInterestTable[#Headers]))/INDEX(Population[],MATCH($A$5,Population[County]),MATCH(P51,Population[#Headers])))/(INDEX(MCINormalized[],1,MATCH(P51,MCINormalized[#Headers]))/100)</f>
        <v>4.4650821935562982E-2</v>
      </c>
      <c r="Q56" s="165">
        <f>(INDEX(GeneralRevenueFundReceiptsInterestTable[],MATCH($A$5,GeneralRevenueFundReceiptsInterestTable[County]),MATCH(Q51,GeneralRevenueFundReceiptsInterestTable[#Headers]))/INDEX(Population[],MATCH($A$5,Population[County]),MATCH(Q51,Population[#Headers])))/(INDEX(MCINormalized[],1,MATCH(Q51,MCINormalized[#Headers]))/100)</f>
        <v>6.1549647877787848E-2</v>
      </c>
      <c r="R56" s="165">
        <f>(INDEX(GeneralRevenueFundReceiptsInterestTable[],MATCH($A$5,GeneralRevenueFundReceiptsInterestTable[County]),MATCH(R51,GeneralRevenueFundReceiptsInterestTable[#Headers]))/INDEX(Population[],MATCH($A$5,Population[County]),MATCH(R51,Population[#Headers])))/(INDEX(MCINormalized[],1,MATCH(R51,MCINormalized[#Headers]))/100)</f>
        <v>0</v>
      </c>
      <c r="S56" s="165">
        <f>(INDEX(GeneralRevenueFundReceiptsInterestTable[],MATCH($A$5,GeneralRevenueFundReceiptsInterestTable[County]),MATCH(S51,GeneralRevenueFundReceiptsInterestTable[#Headers]))/INDEX(Population[],MATCH($A$5,Population[County]),MATCH(S51,Population[#Headers])))/(INDEX(MCINormalized[],1,MATCH(S51,MCINormalized[#Headers]))/100)</f>
        <v>0</v>
      </c>
      <c r="T56" s="165">
        <f>(INDEX(GeneralRevenueFundReceiptsInterestTable[],MATCH($A$5,GeneralRevenueFundReceiptsInterestTable[County]),MATCH(T51,GeneralRevenueFundReceiptsInterestTable[#Headers]))/INDEX(Population[],MATCH($A$5,Population[County]),MATCH(T51,Population[#Headers])))/(INDEX(MCINormalized[],1,MATCH(T51,MCINormalized[#Headers]))/100)</f>
        <v>0</v>
      </c>
      <c r="U56" s="165">
        <f>(INDEX(GeneralRevenueFundReceiptsInterestTable[],MATCH($A$5,GeneralRevenueFundReceiptsInterestTable[County]),MATCH(U51,GeneralRevenueFundReceiptsInterestTable[#Headers]))/INDEX(Population[],MATCH($A$5,Population[County]),MATCH(U51,Population[#Headers])))/(INDEX(MCINormalized[],1,MATCH(U51,MCINormalized[#Headers]))/100)</f>
        <v>0</v>
      </c>
      <c r="V56" s="165">
        <f>(INDEX(GeneralRevenueFundReceiptsInterestTable[],MATCH($A$5,GeneralRevenueFundReceiptsInterestTable[County]),MATCH(V51,GeneralRevenueFundReceiptsInterestTable[#Headers]))/INDEX(Population[],MATCH($A$5,Population[County]),MATCH(V51,Population[#Headers])))/(INDEX(MCINormalized[],1,MATCH(V51,MCINormalized[#Headers]))/100)</f>
        <v>0</v>
      </c>
      <c r="W56" s="165">
        <f>(INDEX(GeneralRevenueFundReceiptsInterestTable[],MATCH($A$5,GeneralRevenueFundReceiptsInterestTable[County]),MATCH(W51,GeneralRevenueFundReceiptsInterestTable[#Headers]))/INDEX(Population[],MATCH($A$5,Population[County]),MATCH(W51,Population[#Headers])))/(INDEX(MCINormalized[],1,MATCH(W51,MCINormalized[#Headers]))/100)</f>
        <v>0</v>
      </c>
      <c r="X56" s="165"/>
      <c r="Y56" s="165"/>
      <c r="Z56" s="165"/>
      <c r="AA56" s="165"/>
      <c r="AB56" s="539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</row>
    <row r="57" spans="1:74" ht="16">
      <c r="A57" s="158" t="s">
        <v>102</v>
      </c>
      <c r="B57" s="165">
        <f>(INDEX(GeneralRevenueFundReceiptsOtherTable[],MATCH($A$5,GeneralRevenueFundReceiptsOtherTable[County]),MATCH(B51,GeneralRevenueFundReceiptsOtherTable[#Headers],0))/INDEX(Population[],MATCH($A$5,Population[County]),MATCH(B51,Population[#Headers],0)))/(INDEX(MCINormalized[],1,MATCH(B51,MCINormalized[#Headers],0))/100)</f>
        <v>3.5215146136551887</v>
      </c>
      <c r="C57" s="165">
        <f>(INDEX(GeneralRevenueFundReceiptsOtherTable[],MATCH($A$5,GeneralRevenueFundReceiptsOtherTable[County]),MATCH(C51,GeneralRevenueFundReceiptsOtherTable[#Headers]))/INDEX(Population[],MATCH($A$5,Population[County]),MATCH(C51,Population[#Headers])))/(INDEX(MCINormalized[],1,MATCH(C51,MCINormalized[#Headers]))/100)</f>
        <v>8.098455396198494</v>
      </c>
      <c r="D57" s="165">
        <f>(INDEX(GeneralRevenueFundReceiptsOtherTable[],MATCH($A$5,GeneralRevenueFundReceiptsOtherTable[County]),MATCH(D51,GeneralRevenueFundReceiptsOtherTable[#Headers]))/INDEX(Population[],MATCH($A$5,Population[County]),MATCH(D51,Population[#Headers])))/(INDEX(MCINormalized[],1,MATCH(D51,MCINormalized[#Headers]))/100)</f>
        <v>12.634434361596753</v>
      </c>
      <c r="E57" s="165">
        <f>(INDEX(GeneralRevenueFundReceiptsOtherTable[],MATCH($A$5,GeneralRevenueFundReceiptsOtherTable[County]),MATCH(E51,GeneralRevenueFundReceiptsOtherTable[#Headers]))/INDEX(Population[],MATCH($A$5,Population[County]),MATCH(E51,Population[#Headers])))/(INDEX(MCINormalized[],1,MATCH(E51,MCINormalized[#Headers]))/100)</f>
        <v>8.5489112173383681</v>
      </c>
      <c r="F57" s="165">
        <f>(INDEX(GeneralRevenueFundReceiptsOtherTable[],MATCH($A$5,GeneralRevenueFundReceiptsOtherTable[County]),MATCH(F51,GeneralRevenueFundReceiptsOtherTable[#Headers]))/INDEX(Population[],MATCH($A$5,Population[County]),MATCH(F51,Population[#Headers])))/(INDEX(MCINormalized[],1,MATCH(F51,MCINormalized[#Headers]))/100)</f>
        <v>14.665282105153045</v>
      </c>
      <c r="G57" s="165">
        <f>(INDEX(GeneralRevenueFundReceiptsOtherTable[],MATCH($A$5,GeneralRevenueFundReceiptsOtherTable[County]),MATCH(G51,GeneralRevenueFundReceiptsOtherTable[#Headers]))/INDEX(Population[],MATCH($A$5,Population[County]),MATCH(G51,Population[#Headers])))/(INDEX(MCINormalized[],1,MATCH(G51,MCINormalized[#Headers]))/100)</f>
        <v>19.506087179501357</v>
      </c>
      <c r="H57" s="165">
        <f>(INDEX(GeneralRevenueFundReceiptsOtherTable[],MATCH($A$5,GeneralRevenueFundReceiptsOtherTable[County]),MATCH(H51,GeneralRevenueFundReceiptsOtherTable[#Headers]))/INDEX(Population[],MATCH($A$5,Population[County]),MATCH(H51,Population[#Headers])))/(INDEX(MCINormalized[],1,MATCH(H51,MCINormalized[#Headers]))/100)</f>
        <v>25.470213044050119</v>
      </c>
      <c r="I57" s="165">
        <f>(INDEX(GeneralRevenueFundReceiptsOtherTable[],MATCH($A$5,GeneralRevenueFundReceiptsOtherTable[County]),MATCH(I51,GeneralRevenueFundReceiptsOtherTable[#Headers]))/INDEX(Population[],MATCH($A$5,Population[County]),MATCH(I51,Population[#Headers])))/(INDEX(MCINormalized[],1,MATCH(I51,MCINormalized[#Headers]))/100)</f>
        <v>11.303376323646887</v>
      </c>
      <c r="J57" s="165">
        <f>(INDEX(GeneralRevenueFundReceiptsOtherTable[],MATCH($A$5,GeneralRevenueFundReceiptsOtherTable[County]),MATCH(J51,GeneralRevenueFundReceiptsOtherTable[#Headers]))/INDEX(Population[],MATCH($A$5,Population[County]),MATCH(J51,Population[#Headers])))/(INDEX(MCINormalized[],1,MATCH(J51,MCINormalized[#Headers]))/100)</f>
        <v>8.5540834825710039</v>
      </c>
      <c r="K57" s="165">
        <f>(INDEX(GeneralRevenueFundReceiptsOtherTable[],MATCH($A$5,GeneralRevenueFundReceiptsOtherTable[County]),MATCH(K51,GeneralRevenueFundReceiptsOtherTable[#Headers]))/INDEX(Population[],MATCH($A$5,Population[County]),MATCH(K51,Population[#Headers])))/(INDEX(MCINormalized[],1,MATCH(K51,MCINormalized[#Headers]))/100)</f>
        <v>6.4790661287900537</v>
      </c>
      <c r="L57" s="165">
        <f>(INDEX(GeneralRevenueFundReceiptsOtherTable[],MATCH($A$5,GeneralRevenueFundReceiptsOtherTable[County]),MATCH(L51,GeneralRevenueFundReceiptsOtherTable[#Headers]))/INDEX(Population[],MATCH($A$5,Population[County]),MATCH(L51,Population[#Headers])))/(INDEX(MCINormalized[],1,MATCH(L51,MCINormalized[#Headers]))/100)</f>
        <v>3.5583591151674523</v>
      </c>
      <c r="M57" s="165">
        <f>(INDEX(GeneralRevenueFundReceiptsOtherTable[],MATCH($A$5,GeneralRevenueFundReceiptsOtherTable[County]),MATCH(M51,GeneralRevenueFundReceiptsOtherTable[#Headers]))/INDEX(Population[],MATCH($A$5,Population[County]),MATCH(M51,Population[#Headers])))/(INDEX(MCINormalized[],1,MATCH(M51,MCINormalized[#Headers]))/100)</f>
        <v>3.10688995839232</v>
      </c>
      <c r="N57" s="165">
        <f>(INDEX(GeneralRevenueFundReceiptsOtherTable[],MATCH($A$5,GeneralRevenueFundReceiptsOtherTable[County]),MATCH(N51,GeneralRevenueFundReceiptsOtherTable[#Headers]))/INDEX(Population[],MATCH($A$5,Population[County]),MATCH(N51,Population[#Headers])))/(INDEX(MCINormalized[],1,MATCH(N51,MCINormalized[#Headers]))/100)</f>
        <v>2.7695099367886944</v>
      </c>
      <c r="O57" s="165">
        <f>(INDEX(GeneralRevenueFundReceiptsOtherTable[],MATCH($A$5,GeneralRevenueFundReceiptsOtherTable[County]),MATCH(O51,GeneralRevenueFundReceiptsOtherTable[#Headers]))/INDEX(Population[],MATCH($A$5,Population[County]),MATCH(O51,Population[#Headers])))/(INDEX(MCINormalized[],1,MATCH(O51,MCINormalized[#Headers]))/100)</f>
        <v>6.106191321473756</v>
      </c>
      <c r="P57" s="165">
        <f>(INDEX(GeneralRevenueFundReceiptsOtherTable[],MATCH($A$5,GeneralRevenueFundReceiptsOtherTable[County]),MATCH(P51,GeneralRevenueFundReceiptsOtherTable[#Headers]))/INDEX(Population[],MATCH($A$5,Population[County]),MATCH(P51,Population[#Headers])))/(INDEX(MCINormalized[],1,MATCH(P51,MCINormalized[#Headers]))/100)</f>
        <v>0.64991751928430574</v>
      </c>
      <c r="Q57" s="165">
        <f>(INDEX(GeneralRevenueFundReceiptsOtherTable[],MATCH($A$5,GeneralRevenueFundReceiptsOtherTable[County]),MATCH(Q51,GeneralRevenueFundReceiptsOtherTable[#Headers]))/INDEX(Population[],MATCH($A$5,Population[County]),MATCH(Q51,Population[#Headers])))/(INDEX(MCINormalized[],1,MATCH(Q51,MCINormalized[#Headers]))/100)</f>
        <v>1.1840653100743219</v>
      </c>
      <c r="R57" s="165">
        <f>(INDEX(GeneralRevenueFundReceiptsOtherTable[],MATCH($A$5,GeneralRevenueFundReceiptsOtherTable[County]),MATCH(R51,GeneralRevenueFundReceiptsOtherTable[#Headers]))/INDEX(Population[],MATCH($A$5,Population[County]),MATCH(R51,Population[#Headers])))/(INDEX(MCINormalized[],1,MATCH(R51,MCINormalized[#Headers]))/100)</f>
        <v>0</v>
      </c>
      <c r="S57" s="165">
        <f>(INDEX(GeneralRevenueFundReceiptsOtherTable[],MATCH($A$5,GeneralRevenueFundReceiptsOtherTable[County]),MATCH(S51,GeneralRevenueFundReceiptsOtherTable[#Headers]))/INDEX(Population[],MATCH($A$5,Population[County]),MATCH(S51,Population[#Headers])))/(INDEX(MCINormalized[],1,MATCH(S51,MCINormalized[#Headers]))/100)</f>
        <v>0</v>
      </c>
      <c r="T57" s="165">
        <f>(INDEX(GeneralRevenueFundReceiptsOtherTable[],MATCH($A$5,GeneralRevenueFundReceiptsOtherTable[County]),MATCH(T51,GeneralRevenueFundReceiptsOtherTable[#Headers]))/INDEX(Population[],MATCH($A$5,Population[County]),MATCH(T51,Population[#Headers])))/(INDEX(MCINormalized[],1,MATCH(T51,MCINormalized[#Headers]))/100)</f>
        <v>0</v>
      </c>
      <c r="U57" s="165">
        <f>(INDEX(GeneralRevenueFundReceiptsOtherTable[],MATCH($A$5,GeneralRevenueFundReceiptsOtherTable[County]),MATCH(U51,GeneralRevenueFundReceiptsOtherTable[#Headers]))/INDEX(Population[],MATCH($A$5,Population[County]),MATCH(U51,Population[#Headers])))/(INDEX(MCINormalized[],1,MATCH(U51,MCINormalized[#Headers]))/100)</f>
        <v>0</v>
      </c>
      <c r="V57" s="165">
        <f>(INDEX(GeneralRevenueFundReceiptsOtherTable[],MATCH($A$5,GeneralRevenueFundReceiptsOtherTable[County]),MATCH(V51,GeneralRevenueFundReceiptsOtherTable[#Headers]))/INDEX(Population[],MATCH($A$5,Population[County]),MATCH(V51,Population[#Headers])))/(INDEX(MCINormalized[],1,MATCH(V51,MCINormalized[#Headers]))/100)</f>
        <v>0</v>
      </c>
      <c r="W57" s="165">
        <f>(INDEX(GeneralRevenueFundReceiptsOtherTable[],MATCH($A$5,GeneralRevenueFundReceiptsOtherTable[County]),MATCH(W51,GeneralRevenueFundReceiptsOtherTable[#Headers]))/INDEX(Population[],MATCH($A$5,Population[County]),MATCH(W51,Population[#Headers])))/(INDEX(MCINormalized[],1,MATCH(W51,MCINormalized[#Headers]))/100)</f>
        <v>0</v>
      </c>
      <c r="X57" s="165"/>
      <c r="Y57" s="165"/>
      <c r="Z57" s="165"/>
      <c r="AA57" s="165"/>
      <c r="AB57" s="539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</row>
    <row r="58" spans="1:74" ht="16">
      <c r="A58" s="170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53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</row>
    <row r="59" spans="1:74" ht="16">
      <c r="A59" s="169" t="str">
        <f>CONCATENATE($A$3," County Detailed General Revenue Expenditures: Real per Capita")</f>
        <v>Adair County Detailed General Revenue Expenditures: Real per Capita</v>
      </c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53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</row>
    <row r="60" spans="1:74" ht="16">
      <c r="A60" s="306" t="s">
        <v>434</v>
      </c>
      <c r="B60" s="309" t="s">
        <v>409</v>
      </c>
      <c r="C60" s="309" t="s">
        <v>410</v>
      </c>
      <c r="D60" s="309" t="s">
        <v>411</v>
      </c>
      <c r="E60" s="309" t="s">
        <v>412</v>
      </c>
      <c r="F60" s="309" t="s">
        <v>413</v>
      </c>
      <c r="G60" s="309" t="s">
        <v>414</v>
      </c>
      <c r="H60" s="309" t="s">
        <v>415</v>
      </c>
      <c r="I60" s="309" t="s">
        <v>416</v>
      </c>
      <c r="J60" s="309" t="s">
        <v>417</v>
      </c>
      <c r="K60" s="308" t="s">
        <v>418</v>
      </c>
      <c r="L60" s="308" t="s">
        <v>419</v>
      </c>
      <c r="M60" s="308" t="s">
        <v>420</v>
      </c>
      <c r="N60" s="308" t="s">
        <v>421</v>
      </c>
      <c r="O60" s="308" t="s">
        <v>422</v>
      </c>
      <c r="P60" s="302" t="s">
        <v>423</v>
      </c>
      <c r="Q60" s="302" t="s">
        <v>355</v>
      </c>
      <c r="R60" s="302" t="s">
        <v>399</v>
      </c>
      <c r="S60" s="302" t="s">
        <v>424</v>
      </c>
      <c r="T60" s="302" t="s">
        <v>446</v>
      </c>
      <c r="U60" s="302" t="s">
        <v>523</v>
      </c>
      <c r="V60" s="302" t="s">
        <v>524</v>
      </c>
      <c r="W60" s="302" t="s">
        <v>525</v>
      </c>
      <c r="X60" s="302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</row>
    <row r="61" spans="1:74" ht="16">
      <c r="A61" s="153" t="s">
        <v>133</v>
      </c>
      <c r="B61" s="165">
        <f>(INDEX(CountyDisbursementsCentralGovt[],MATCH($A$3,CountyDisbursementsCentralGovt[County]),MATCH(B60,CountyDisbursementsCentralGovt[#Headers],0))/INDEX(Population[],MATCH($A$3,Population[County]),MATCH(B60,Population[#Headers],0)))/(INDEX(MCINormalized[],1,MATCH(B60,MCINormalized[#Headers],0))/100)</f>
        <v>20.064673873729053</v>
      </c>
      <c r="C61" s="165">
        <f>(INDEX(CountyDisbursementsCentralGovt[],MATCH($A$3,CountyDisbursementsCentralGovt[County]),MATCH(C60,CountyDisbursementsCentralGovt[#Headers]))/INDEX(Population[],MATCH($A$3,Population[County]),MATCH(C60,Population[#Headers])))/(INDEX(MCINormalized[],1,MATCH(C60,MCINormalized[#Headers]))/100)</f>
        <v>17.34841353846344</v>
      </c>
      <c r="D61" s="165">
        <f>(INDEX(CountyDisbursementsCentralGovt[],MATCH($A$3,CountyDisbursementsCentralGovt[County]),MATCH(D60,CountyDisbursementsCentralGovt[#Headers]))/INDEX(Population[],MATCH($A$3,Population[County]),MATCH(D60,Population[#Headers])))/(INDEX(MCINormalized[],1,MATCH(D60,MCINormalized[#Headers]))/100)</f>
        <v>20.806744550955258</v>
      </c>
      <c r="E61" s="165">
        <f>(INDEX(CountyDisbursementsCentralGovt[],MATCH($A$3,CountyDisbursementsCentralGovt[County]),MATCH(E60,CountyDisbursementsCentralGovt[#Headers]))/INDEX(Population[],MATCH($A$3,Population[County]),MATCH(E60,Population[#Headers])))/(INDEX(MCINormalized[],1,MATCH(E60,MCINormalized[#Headers]))/100)</f>
        <v>20.470731974633622</v>
      </c>
      <c r="F61" s="165">
        <f>(INDEX(CountyDisbursementsCentralGovt[],MATCH($A$3,CountyDisbursementsCentralGovt[County]),MATCH(F60,CountyDisbursementsCentralGovt[#Headers]))/INDEX(Population[],MATCH($A$3,Population[County]),MATCH(F60,Population[#Headers])))/(INDEX(MCINormalized[],1,MATCH(F60,MCINormalized[#Headers]))/100)</f>
        <v>21.412782565876391</v>
      </c>
      <c r="G61" s="165">
        <f>(INDEX(CountyDisbursementsCentralGovt[],MATCH($A$3,CountyDisbursementsCentralGovt[County]),MATCH(G60,CountyDisbursementsCentralGovt[#Headers]))/INDEX(Population[],MATCH($A$3,Population[County]),MATCH(G60,Population[#Headers])))/(INDEX(MCINormalized[],1,MATCH(G60,MCINormalized[#Headers]))/100)</f>
        <v>18.845073790085838</v>
      </c>
      <c r="H61" s="165">
        <f>(INDEX(CountyDisbursementsCentralGovt[],MATCH($A$3,CountyDisbursementsCentralGovt[County]),MATCH(H60,CountyDisbursementsCentralGovt[#Headers]))/INDEX(Population[],MATCH($A$3,Population[County]),MATCH(H60,Population[#Headers])))/(INDEX(MCINormalized[],1,MATCH(H60,MCINormalized[#Headers]))/100)</f>
        <v>21.407964429270706</v>
      </c>
      <c r="I61" s="165">
        <f>(INDEX(CountyDisbursementsCentralGovt[],MATCH($A$3,CountyDisbursementsCentralGovt[County]),MATCH(I60,CountyDisbursementsCentralGovt[#Headers]))/INDEX(Population[],MATCH($A$3,Population[County]),MATCH(I60,Population[#Headers])))/(INDEX(MCINormalized[],1,MATCH(I60,MCINormalized[#Headers]))/100)</f>
        <v>24.329616607392737</v>
      </c>
      <c r="J61" s="165">
        <f>(INDEX(CountyDisbursementsCentralGovt[],MATCH($A$3,CountyDisbursementsCentralGovt[County]),MATCH(J60,CountyDisbursementsCentralGovt[#Headers]))/INDEX(Population[],MATCH($A$3,Population[County]),MATCH(J60,Population[#Headers])))/(INDEX(MCINormalized[],1,MATCH(J60,MCINormalized[#Headers]))/100)</f>
        <v>20.765997410606666</v>
      </c>
      <c r="K61" s="165">
        <f>(INDEX(CountyDisbursementsCentralGovt[],MATCH($A$3,CountyDisbursementsCentralGovt[County]),MATCH(K60,CountyDisbursementsCentralGovt[#Headers]))/INDEX(Population[],MATCH($A$3,Population[County]),MATCH(K60,Population[#Headers])))/(INDEX(MCINormalized[],1,MATCH(K60,MCINormalized[#Headers]))/100)</f>
        <v>16.864209752201305</v>
      </c>
      <c r="L61" s="165">
        <f>(INDEX(CountyDisbursementsCentralGovt[],MATCH($A$3,CountyDisbursementsCentralGovt[County]),MATCH(L60,CountyDisbursementsCentralGovt[#Headers]))/INDEX(Population[],MATCH($A$3,Population[County]),MATCH(L60,Population[#Headers])))/(INDEX(MCINormalized[],1,MATCH(L60,MCINormalized[#Headers]))/100)</f>
        <v>19.022213271355444</v>
      </c>
      <c r="M61" s="165">
        <f>(INDEX(CountyDisbursementsCentralGovt[],MATCH($A$3,CountyDisbursementsCentralGovt[County]),MATCH(M60,CountyDisbursementsCentralGovt[#Headers]))/INDEX(Population[],MATCH($A$3,Population[County]),MATCH(M60,Population[#Headers])))/(INDEX(MCINormalized[],1,MATCH(M60,MCINormalized[#Headers]))/100)</f>
        <v>17.147185705836961</v>
      </c>
      <c r="N61" s="165">
        <f>(INDEX(CountyDisbursementsCentralGovt[],MATCH($A$3,CountyDisbursementsCentralGovt[County]),MATCH(N60,CountyDisbursementsCentralGovt[#Headers]))/INDEX(Population[],MATCH($A$3,Population[County]),MATCH(N60,Population[#Headers])))/(INDEX(MCINormalized[],1,MATCH(N60,MCINormalized[#Headers]))/100)</f>
        <v>18.949484713997077</v>
      </c>
      <c r="O61" s="165">
        <f>(INDEX(CountyDisbursementsCentralGovt[],MATCH($A$3,CountyDisbursementsCentralGovt[County]),MATCH(O60,CountyDisbursementsCentralGovt[#Headers]))/INDEX(Population[],MATCH($A$3,Population[County]),MATCH(O60,Population[#Headers])))/(INDEX(MCINormalized[],1,MATCH(O60,MCINormalized[#Headers]))/100)</f>
        <v>17.150194699173227</v>
      </c>
      <c r="P61" s="165">
        <f>(INDEX(CountyDisbursementsCentralGovt[],MATCH($A$3,CountyDisbursementsCentralGovt[County]),MATCH(P60,CountyDisbursementsCentralGovt[#Headers]))/INDEX(Population[],MATCH($A$3,Population[County]),MATCH(P60,Population[#Headers])))/(INDEX(MCINormalized[],1,MATCH(P60,MCINormalized[#Headers]))/100)</f>
        <v>19.070265944514624</v>
      </c>
      <c r="Q61" s="165">
        <f>(INDEX(CountyDisbursementsCentralGovt[],MATCH($A$3,CountyDisbursementsCentralGovt[County]),MATCH(Q60,CountyDisbursementsCentralGovt[#Headers]))/INDEX(Population[],MATCH($A$3,Population[County]),MATCH(Q60,Population[#Headers])))/(INDEX(MCINormalized[],1,MATCH(Q60,MCINormalized[#Headers]))/100)</f>
        <v>17.108026440657977</v>
      </c>
      <c r="R61" s="165">
        <f>(INDEX(CountyDisbursementsCentralGovt[],MATCH($A$3,CountyDisbursementsCentralGovt[County]),MATCH(R60,CountyDisbursementsCentralGovt[#Headers]))/INDEX(Population[],MATCH($A$3,Population[County]),MATCH(R60,Population[#Headers])))/(INDEX(MCINormalized[],1,MATCH(R60,MCINormalized[#Headers]))/100)</f>
        <v>21.829117615780724</v>
      </c>
      <c r="S61" s="165">
        <f>(INDEX(CountyDisbursementsCentralGovt[],MATCH($A$3,CountyDisbursementsCentralGovt[County]),MATCH(S60,CountyDisbursementsCentralGovt[#Headers]))/INDEX(Population[],MATCH($A$3,Population[County]),MATCH(S60,Population[#Headers])))/(INDEX(MCINormalized[],1,MATCH(S60,MCINormalized[#Headers]))/100)</f>
        <v>19.486271339848141</v>
      </c>
      <c r="T61" s="165">
        <f>(INDEX(CountyDisbursementsCentralGovt[],MATCH($A$3,CountyDisbursementsCentralGovt[County]),MATCH(T60,CountyDisbursementsCentralGovt[#Headers]))/INDEX(Population[],MATCH($A$3,Population[County]),MATCH(T60,Population[#Headers])))/(INDEX(MCINormalized[],1,MATCH(T60,MCINormalized[#Headers]))/100)</f>
        <v>23.679595566150883</v>
      </c>
      <c r="U61" s="165">
        <f>(INDEX(CountyDisbursementsCentralGovt[],MATCH($A$3,CountyDisbursementsCentralGovt[County]),MATCH(U60,CountyDisbursementsCentralGovt[#Headers]))/INDEX(Population[],MATCH($A$3,Population[County]),MATCH(U60,Population[#Headers])))/(INDEX(MCINormalized[],1,MATCH(U60,MCINormalized[#Headers]))/100)</f>
        <v>24.413745366396167</v>
      </c>
      <c r="V61" s="165">
        <f>(INDEX(CountyDisbursementsCentralGovt[],MATCH($A$3,CountyDisbursementsCentralGovt[County]),MATCH(V60,CountyDisbursementsCentralGovt[#Headers]))/INDEX(Population[],MATCH($A$3,Population[County]),MATCH(V60,Population[#Headers])))/(INDEX(MCINormalized[],1,MATCH(V60,MCINormalized[#Headers]))/100)</f>
        <v>21.32553809340688</v>
      </c>
      <c r="W61" s="165">
        <f>(INDEX(CountyDisbursementsCentralGovt[],MATCH($A$3,CountyDisbursementsCentralGovt[County]),MATCH(W60,CountyDisbursementsCentralGovt[#Headers]))/INDEX(Population[],MATCH($A$3,Population[County]),MATCH(W60,Population[#Headers])))/(INDEX(MCINormalized[],1,MATCH(W60,MCINormalized[#Headers]))/100)</f>
        <v>21.143426690424164</v>
      </c>
      <c r="X61" s="165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</row>
    <row r="62" spans="1:74" ht="16">
      <c r="A62" s="153" t="s">
        <v>135</v>
      </c>
      <c r="B62" s="165">
        <f>(INDEX(CountyDisbursementsLawEnforcement[],MATCH($A$3,CountyDisbursementsLawEnforcement[County]),MATCH(B60,CountyDisbursementsLawEnforcement[#Headers],0))/INDEX(Population[],MATCH($A$3,Population[County]),MATCH(B60,Population[#Headers],0)))/(INDEX(MCINormalized[],1,MATCH(B60,MCINormalized[#Headers],0))/100)</f>
        <v>20.937050998673794</v>
      </c>
      <c r="C62" s="165">
        <f>(INDEX(CountyDisbursementsLawEnforcement[],MATCH($A$3,CountyDisbursementsLawEnforcement[County]),MATCH(C60,CountyDisbursementsLawEnforcement[#Headers]))/INDEX(Population[],MATCH($A$3,Population[County]),MATCH(C60,Population[#Headers])))/(INDEX(MCINormalized[],1,MATCH(C60,MCINormalized[#Headers]))/100)</f>
        <v>21.685516923079298</v>
      </c>
      <c r="D62" s="165">
        <f>(INDEX(CountyDisbursementsLawEnforcement[],MATCH($A$3,CountyDisbursementsLawEnforcement[County]),MATCH(D60,CountyDisbursementsLawEnforcement[#Headers]))/INDEX(Population[],MATCH($A$3,Population[County]),MATCH(D60,Population[#Headers])))/(INDEX(MCINormalized[],1,MATCH(D60,MCINormalized[#Headers]))/100)</f>
        <v>4.1613489101910499</v>
      </c>
      <c r="E62" s="165">
        <f>(INDEX(CountyDisbursementsLawEnforcement[],MATCH($A$3,CountyDisbursementsLawEnforcement[County]),MATCH(E60,CountyDisbursementsLawEnforcement[#Headers]))/INDEX(Population[],MATCH($A$3,Population[County]),MATCH(E60,Population[#Headers])))/(INDEX(MCINormalized[],1,MATCH(E60,MCINormalized[#Headers]))/100)</f>
        <v>5.1176829936584056</v>
      </c>
      <c r="F62" s="165">
        <f>(INDEX(CountyDisbursementsLawEnforcement[],MATCH($A$3,CountyDisbursementsLawEnforcement[County]),MATCH(F60,CountyDisbursementsLawEnforcement[#Headers]))/INDEX(Population[],MATCH($A$3,Population[County]),MATCH(F60,Population[#Headers])))/(INDEX(MCINormalized[],1,MATCH(F60,MCINormalized[#Headers]))/100)</f>
        <v>3.2443609948297563</v>
      </c>
      <c r="G62" s="165">
        <f>(INDEX(CountyDisbursementsLawEnforcement[],MATCH($A$3,CountyDisbursementsLawEnforcement[County]),MATCH(G60,CountyDisbursementsLawEnforcement[#Headers]))/INDEX(Population[],MATCH($A$3,Population[County]),MATCH(G60,Population[#Headers])))/(INDEX(MCINormalized[],1,MATCH(G60,MCINormalized[#Headers]))/100)</f>
        <v>1.2563382526723894</v>
      </c>
      <c r="H62" s="165">
        <f>(INDEX(CountyDisbursementsLawEnforcement[],MATCH($A$3,CountyDisbursementsLawEnforcement[County]),MATCH(H60,CountyDisbursementsLawEnforcement[#Headers]))/INDEX(Population[],MATCH($A$3,Population[County]),MATCH(H60,Population[#Headers])))/(INDEX(MCINormalized[],1,MATCH(H60,MCINormalized[#Headers]))/100)</f>
        <v>0</v>
      </c>
      <c r="I62" s="165">
        <f>(INDEX(CountyDisbursementsLawEnforcement[],MATCH($A$3,CountyDisbursementsLawEnforcement[County]),MATCH(I60,CountyDisbursementsLawEnforcement[#Headers]))/INDEX(Population[],MATCH($A$3,Population[County]),MATCH(I60,Population[#Headers])))/(INDEX(MCINormalized[],1,MATCH(I60,MCINormalized[#Headers]))/100)</f>
        <v>0</v>
      </c>
      <c r="J62" s="165">
        <f>(INDEX(CountyDisbursementsLawEnforcement[],MATCH($A$3,CountyDisbursementsLawEnforcement[County]),MATCH(J60,CountyDisbursementsLawEnforcement[#Headers]))/INDEX(Population[],MATCH($A$3,Population[County]),MATCH(J60,Population[#Headers])))/(INDEX(MCINormalized[],1,MATCH(J60,MCINormalized[#Headers]))/100)</f>
        <v>0</v>
      </c>
      <c r="K62" s="165">
        <f>(INDEX(CountyDisbursementsLawEnforcement[],MATCH($A$3,CountyDisbursementsLawEnforcement[County]),MATCH(K60,CountyDisbursementsLawEnforcement[#Headers]))/INDEX(Population[],MATCH($A$3,Population[County]),MATCH(K60,Population[#Headers])))/(INDEX(MCINormalized[],1,MATCH(K60,MCINormalized[#Headers]))/100)</f>
        <v>0</v>
      </c>
      <c r="L62" s="165">
        <f>(INDEX(CountyDisbursementsLawEnforcement[],MATCH($A$3,CountyDisbursementsLawEnforcement[County]),MATCH(L60,CountyDisbursementsLawEnforcement[#Headers]))/INDEX(Population[],MATCH($A$3,Population[County]),MATCH(L60,Population[#Headers])))/(INDEX(MCINormalized[],1,MATCH(L60,MCINormalized[#Headers]))/100)</f>
        <v>0</v>
      </c>
      <c r="M62" s="165">
        <f>(INDEX(CountyDisbursementsLawEnforcement[],MATCH($A$3,CountyDisbursementsLawEnforcement[County]),MATCH(M60,CountyDisbursementsLawEnforcement[#Headers]))/INDEX(Population[],MATCH($A$3,Population[County]),MATCH(M60,Population[#Headers])))/(INDEX(MCINormalized[],1,MATCH(M60,MCINormalized[#Headers]))/100)</f>
        <v>0</v>
      </c>
      <c r="N62" s="165">
        <f>(INDEX(CountyDisbursementsLawEnforcement[],MATCH($A$3,CountyDisbursementsLawEnforcement[County]),MATCH(N60,CountyDisbursementsLawEnforcement[#Headers]))/INDEX(Population[],MATCH($A$3,Population[County]),MATCH(N60,Population[#Headers])))/(INDEX(MCINormalized[],1,MATCH(N60,MCINormalized[#Headers]))/100)</f>
        <v>0</v>
      </c>
      <c r="O62" s="165">
        <f>(INDEX(CountyDisbursementsLawEnforcement[],MATCH($A$3,CountyDisbursementsLawEnforcement[County]),MATCH(O60,CountyDisbursementsLawEnforcement[#Headers]))/INDEX(Population[],MATCH($A$3,Population[County]),MATCH(O60,Population[#Headers])))/(INDEX(MCINormalized[],1,MATCH(O60,MCINormalized[#Headers]))/100)</f>
        <v>0</v>
      </c>
      <c r="P62" s="165">
        <f>(INDEX(CountyDisbursementsLawEnforcement[],MATCH($A$3,CountyDisbursementsLawEnforcement[County]),MATCH(P60,CountyDisbursementsLawEnforcement[#Headers]))/INDEX(Population[],MATCH($A$3,Population[County]),MATCH(P60,Population[#Headers])))/(INDEX(MCINormalized[],1,MATCH(P60,MCINormalized[#Headers]))/100)</f>
        <v>0</v>
      </c>
      <c r="Q62" s="165">
        <f>(INDEX(CountyDisbursementsLawEnforcement[],MATCH($A$3,CountyDisbursementsLawEnforcement[County]),MATCH(Q60,CountyDisbursementsLawEnforcement[#Headers]))/INDEX(Population[],MATCH($A$3,Population[County]),MATCH(Q60,Population[#Headers])))/(INDEX(MCINormalized[],1,MATCH(Q60,MCINormalized[#Headers]))/100)</f>
        <v>0</v>
      </c>
      <c r="R62" s="165">
        <f>(INDEX(CountyDisbursementsLawEnforcement[],MATCH($A$3,CountyDisbursementsLawEnforcement[County]),MATCH(R60,CountyDisbursementsLawEnforcement[#Headers]))/INDEX(Population[],MATCH($A$3,Population[County]),MATCH(R60,Population[#Headers])))/(INDEX(MCINormalized[],1,MATCH(R60,MCINormalized[#Headers]))/100)</f>
        <v>0</v>
      </c>
      <c r="S62" s="165">
        <f>(INDEX(CountyDisbursementsLawEnforcement[],MATCH($A$3,CountyDisbursementsLawEnforcement[County]),MATCH(S60,CountyDisbursementsLawEnforcement[#Headers]))/INDEX(Population[],MATCH($A$3,Population[County]),MATCH(S60,Population[#Headers])))/(INDEX(MCINormalized[],1,MATCH(S60,MCINormalized[#Headers]))/100)</f>
        <v>0</v>
      </c>
      <c r="T62" s="165">
        <f>(INDEX(CountyDisbursementsLawEnforcement[],MATCH($A$3,CountyDisbursementsLawEnforcement[County]),MATCH(T60,CountyDisbursementsLawEnforcement[#Headers]))/INDEX(Population[],MATCH($A$3,Population[County]),MATCH(T60,Population[#Headers])))/(INDEX(MCINormalized[],1,MATCH(T60,MCINormalized[#Headers]))/100)</f>
        <v>0</v>
      </c>
      <c r="U62" s="165">
        <f>(INDEX(CountyDisbursementsLawEnforcement[],MATCH($A$3,CountyDisbursementsLawEnforcement[County]),MATCH(U60,CountyDisbursementsLawEnforcement[#Headers]))/INDEX(Population[],MATCH($A$3,Population[County]),MATCH(U60,Population[#Headers])))/(INDEX(MCINormalized[],1,MATCH(U60,MCINormalized[#Headers]))/100)</f>
        <v>0</v>
      </c>
      <c r="V62" s="165">
        <f>(INDEX(CountyDisbursementsLawEnforcement[],MATCH($A$3,CountyDisbursementsLawEnforcement[County]),MATCH(V60,CountyDisbursementsLawEnforcement[#Headers]))/INDEX(Population[],MATCH($A$3,Population[County]),MATCH(V60,Population[#Headers])))/(INDEX(MCINormalized[],1,MATCH(V60,MCINormalized[#Headers]))/100)</f>
        <v>0</v>
      </c>
      <c r="W62" s="165">
        <f>(INDEX(CountyDisbursementsLawEnforcement[],MATCH($A$3,CountyDisbursementsLawEnforcement[County]),MATCH(W60,CountyDisbursementsLawEnforcement[#Headers]))/INDEX(Population[],MATCH($A$3,Population[County]),MATCH(W60,Population[#Headers])))/(INDEX(MCINormalized[],1,MATCH(W60,MCINormalized[#Headers]))/100)</f>
        <v>0</v>
      </c>
      <c r="X62" s="165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</row>
    <row r="63" spans="1:74" ht="16">
      <c r="A63" s="153" t="s">
        <v>134</v>
      </c>
      <c r="B63" s="165">
        <f>(INDEX(CountyDisbursementsCourt[],MATCH($A$3,CountyDisbursementsCourt[County]),MATCH(B60,CountyDisbursementsCourt[#Headers],0))/INDEX(Population[],MATCH($A$3,Population[County]),MATCH(B60,Population[#Headers],0)))/(INDEX(MCINormalized[],1,MATCH(B60,MCINormalized[#Headers],0))/100)</f>
        <v>15.702788249005346</v>
      </c>
      <c r="C63" s="165">
        <f>(INDEX(CountyDisbursementsCourt[],MATCH($A$3,CountyDisbursementsCourt[County]),MATCH(C60,CountyDisbursementsCourt[#Headers]))/INDEX(Population[],MATCH($A$3,Population[County]),MATCH(C60,Population[#Headers])))/(INDEX(MCINormalized[],1,MATCH(C60,MCINormalized[#Headers]))/100)</f>
        <v>17.34841353846344</v>
      </c>
      <c r="D63" s="165">
        <f>(INDEX(CountyDisbursementsCourt[],MATCH($A$3,CountyDisbursementsCourt[County]),MATCH(D60,CountyDisbursementsCourt[#Headers]))/INDEX(Population[],MATCH($A$3,Population[County]),MATCH(D60,Population[#Headers])))/(INDEX(MCINormalized[],1,MATCH(D60,MCINormalized[#Headers]))/100)</f>
        <v>14.564721185668677</v>
      </c>
      <c r="E63" s="165">
        <f>(INDEX(CountyDisbursementsCourt[],MATCH($A$3,CountyDisbursementsCourt[County]),MATCH(E60,CountyDisbursementsCourt[#Headers]))/INDEX(Population[],MATCH($A$3,Population[County]),MATCH(E60,Population[#Headers])))/(INDEX(MCINormalized[],1,MATCH(E60,MCINormalized[#Headers]))/100)</f>
        <v>13.159756269407328</v>
      </c>
      <c r="F63" s="165">
        <f>(INDEX(CountyDisbursementsCourt[],MATCH($A$3,CountyDisbursementsCourt[County]),MATCH(F60,CountyDisbursementsCourt[#Headers]))/INDEX(Population[],MATCH($A$3,Population[County]),MATCH(F60,Population[#Headers])))/(INDEX(MCINormalized[],1,MATCH(F60,MCINormalized[#Headers]))/100)</f>
        <v>10.38195518345522</v>
      </c>
      <c r="G63" s="165">
        <f>(INDEX(CountyDisbursementsCourt[],MATCH($A$3,CountyDisbursementsCourt[County]),MATCH(G60,CountyDisbursementsCourt[#Headers]))/INDEX(Population[],MATCH($A$3,Population[County]),MATCH(G60,Population[#Headers])))/(INDEX(MCINormalized[],1,MATCH(G60,MCINormalized[#Headers]))/100)</f>
        <v>8.1661986423705315</v>
      </c>
      <c r="H63" s="165">
        <f>(INDEX(CountyDisbursementsCourt[],MATCH($A$3,CountyDisbursementsCourt[County]),MATCH(H60,CountyDisbursementsCourt[#Headers]))/INDEX(Population[],MATCH($A$3,Population[County]),MATCH(H60,Population[#Headers])))/(INDEX(MCINormalized[],1,MATCH(H60,MCINormalized[#Headers]))/100)</f>
        <v>10.168917589336507</v>
      </c>
      <c r="I63" s="165">
        <f>(INDEX(CountyDisbursementsCourt[],MATCH($A$3,CountyDisbursementsCourt[County]),MATCH(I60,CountyDisbursementsCourt[#Headers]))/INDEX(Population[],MATCH($A$3,Population[County]),MATCH(I60,Population[#Headers])))/(INDEX(MCINormalized[],1,MATCH(I60,MCINormalized[#Headers]))/100)</f>
        <v>2.6067446365063645</v>
      </c>
      <c r="J63" s="165">
        <f>(INDEX(CountyDisbursementsCourt[],MATCH($A$3,CountyDisbursementsCourt[County]),MATCH(J60,CountyDisbursementsCourt[#Headers]))/INDEX(Population[],MATCH($A$3,Population[County]),MATCH(J60,Population[#Headers])))/(INDEX(MCINormalized[],1,MATCH(J60,MCINormalized[#Headers]))/100)</f>
        <v>2.775301069263822</v>
      </c>
      <c r="K63" s="165">
        <f>(INDEX(CountyDisbursementsCourt[],MATCH($A$3,CountyDisbursementsCourt[County]),MATCH(K60,CountyDisbursementsCourt[#Headers]))/INDEX(Population[],MATCH($A$3,Population[County]),MATCH(K60,Population[#Headers])))/(INDEX(MCINormalized[],1,MATCH(K60,MCINormalized[#Headers]))/100)</f>
        <v>2.5338988170164596</v>
      </c>
      <c r="L63" s="165">
        <f>(INDEX(CountyDisbursementsCourt[],MATCH($A$3,CountyDisbursementsCourt[County]),MATCH(L60,CountyDisbursementsCourt[#Headers]))/INDEX(Population[],MATCH($A$3,Population[County]),MATCH(L60,Population[#Headers])))/(INDEX(MCINormalized[],1,MATCH(L60,MCINormalized[#Headers]))/100)</f>
        <v>2.2197991401693233</v>
      </c>
      <c r="M63" s="165">
        <f>(INDEX(CountyDisbursementsCourt[],MATCH($A$3,CountyDisbursementsCourt[County]),MATCH(M60,CountyDisbursementsCourt[#Headers]))/INDEX(Population[],MATCH($A$3,Population[County]),MATCH(M60,Population[#Headers])))/(INDEX(MCINormalized[],1,MATCH(M60,MCINormalized[#Headers]))/100)</f>
        <v>1.8627370199848647</v>
      </c>
      <c r="N63" s="165">
        <f>(INDEX(CountyDisbursementsCourt[],MATCH($A$3,CountyDisbursementsCourt[County]),MATCH(N60,CountyDisbursementsCourt[#Headers]))/INDEX(Population[],MATCH($A$3,Population[County]),MATCH(N60,Population[#Headers])))/(INDEX(MCINormalized[],1,MATCH(N60,MCINormalized[#Headers]))/100)</f>
        <v>2.9061553340322459</v>
      </c>
      <c r="O63" s="165">
        <f>(INDEX(CountyDisbursementsCourt[],MATCH($A$3,CountyDisbursementsCourt[County]),MATCH(O60,CountyDisbursementsCourt[#Headers]))/INDEX(Population[],MATCH($A$3,Population[County]),MATCH(O60,Population[#Headers])))/(INDEX(MCINormalized[],1,MATCH(O60,MCINormalized[#Headers]))/100)</f>
        <v>2.5770129492283829</v>
      </c>
      <c r="P63" s="165">
        <f>(INDEX(CountyDisbursementsCourt[],MATCH($A$3,CountyDisbursementsCourt[County]),MATCH(P60,CountyDisbursementsCourt[#Headers]))/INDEX(Population[],MATCH($A$3,Population[County]),MATCH(P60,Population[#Headers])))/(INDEX(MCINormalized[],1,MATCH(P60,MCINormalized[#Headers]))/100)</f>
        <v>4.0657403447859997</v>
      </c>
      <c r="Q63" s="165">
        <f>(INDEX(CountyDisbursementsCourt[],MATCH($A$3,CountyDisbursementsCourt[County]),MATCH(Q60,CountyDisbursementsCourt[#Headers]))/INDEX(Population[],MATCH($A$3,Population[County]),MATCH(Q60,Population[#Headers])))/(INDEX(MCINormalized[],1,MATCH(Q60,MCINormalized[#Headers]))/100)</f>
        <v>2.4842405264623624</v>
      </c>
      <c r="R63" s="165">
        <f>(INDEX(CountyDisbursementsCourt[],MATCH($A$3,CountyDisbursementsCourt[County]),MATCH(R60,CountyDisbursementsCourt[#Headers]))/INDEX(Population[],MATCH($A$3,Population[County]),MATCH(R60,Population[#Headers])))/(INDEX(MCINormalized[],1,MATCH(R60,MCINormalized[#Headers]))/100)</f>
        <v>2.6436328939201301</v>
      </c>
      <c r="S63" s="165">
        <f>(INDEX(CountyDisbursementsCourt[],MATCH($A$3,CountyDisbursementsCourt[County]),MATCH(S60,CountyDisbursementsCourt[#Headers]))/INDEX(Population[],MATCH($A$3,Population[County]),MATCH(S60,Population[#Headers])))/(INDEX(MCINormalized[],1,MATCH(S60,MCINormalized[#Headers]))/100)</f>
        <v>3.63959813595419</v>
      </c>
      <c r="T63" s="165">
        <f>(INDEX(CountyDisbursementsCourt[],MATCH($A$3,CountyDisbursementsCourt[County]),MATCH(T60,CountyDisbursementsCourt[#Headers]))/INDEX(Population[],MATCH($A$3,Population[County]),MATCH(T60,Population[#Headers])))/(INDEX(MCINormalized[],1,MATCH(T60,MCINormalized[#Headers]))/100)</f>
        <v>0.93916582996224207</v>
      </c>
      <c r="U63" s="165">
        <f>(INDEX(CountyDisbursementsCourt[],MATCH($A$3,CountyDisbursementsCourt[County]),MATCH(U60,CountyDisbursementsCourt[#Headers]))/INDEX(Population[],MATCH($A$3,Population[County]),MATCH(U60,Population[#Headers])))/(INDEX(MCINormalized[],1,MATCH(U60,MCINormalized[#Headers]))/100)</f>
        <v>9.7518836835905596</v>
      </c>
      <c r="V63" s="165">
        <f>(INDEX(CountyDisbursementsCourt[],MATCH($A$3,CountyDisbursementsCourt[County]),MATCH(V60,CountyDisbursementsCourt[#Headers]))/INDEX(Population[],MATCH($A$3,Population[County]),MATCH(V60,Population[#Headers])))/(INDEX(MCINormalized[],1,MATCH(V60,MCINormalized[#Headers]))/100)</f>
        <v>5.1718238828851932</v>
      </c>
      <c r="W63" s="165">
        <f>(INDEX(CountyDisbursementsCourt[],MATCH($A$3,CountyDisbursementsCourt[County]),MATCH(W60,CountyDisbursementsCourt[#Headers]))/INDEX(Population[],MATCH($A$3,Population[County]),MATCH(W60,Population[#Headers])))/(INDEX(MCINormalized[],1,MATCH(W60,MCINormalized[#Headers]))/100)</f>
        <v>7.9328132108081011</v>
      </c>
      <c r="X63" s="165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</row>
    <row r="64" spans="1:74" ht="16">
      <c r="A64" s="153" t="s">
        <v>118</v>
      </c>
      <c r="B64" s="165">
        <f>(INDEX(CountyDisbursementsFringeBenefits[],MATCH($A$3,CountyDisbursementsFringeBenefits[County]),MATCH(B60,CountyDisbursementsFringeBenefits[#Headers],0))/INDEX(Population[],MATCH($A$3,Population[County]),MATCH(B60,Population[#Headers],0)))/(INDEX(MCINormalized[],1,MATCH(B60,MCINormalized[#Headers],0))/100)</f>
        <v>9.5961483743921558</v>
      </c>
      <c r="C64" s="165">
        <f>(INDEX(CountyDisbursementsFringeBenefits[],MATCH($A$3,CountyDisbursementsFringeBenefits[County]),MATCH(C60,CountyDisbursementsFringeBenefits[#Headers]))/INDEX(Population[],MATCH($A$3,Population[County]),MATCH(C60,Population[#Headers])))/(INDEX(MCINormalized[],1,MATCH(C60,MCINormalized[#Headers]))/100)</f>
        <v>10.409048123078064</v>
      </c>
      <c r="D64" s="165">
        <f>(INDEX(CountyDisbursementsFringeBenefits[],MATCH($A$3,CountyDisbursementsFringeBenefits[County]),MATCH(D60,CountyDisbursementsFringeBenefits[#Headers]))/INDEX(Population[],MATCH($A$3,Population[County]),MATCH(D60,Population[#Headers])))/(INDEX(MCINormalized[],1,MATCH(D60,MCINormalized[#Headers]))/100)</f>
        <v>6.9355815169850841</v>
      </c>
      <c r="E64" s="165">
        <f>(INDEX(CountyDisbursementsFringeBenefits[],MATCH($A$3,CountyDisbursementsFringeBenefits[County]),MATCH(E60,CountyDisbursementsFringeBenefits[#Headers]))/INDEX(Population[],MATCH($A$3,Population[County]),MATCH(E60,Population[#Headers])))/(INDEX(MCINormalized[],1,MATCH(E60,MCINormalized[#Headers]))/100)</f>
        <v>8.7731708462715527</v>
      </c>
      <c r="F64" s="165">
        <f>(INDEX(CountyDisbursementsFringeBenefits[],MATCH($A$3,CountyDisbursementsFringeBenefits[County]),MATCH(F60,CountyDisbursementsFringeBenefits[#Headers]))/INDEX(Population[],MATCH($A$3,Population[County]),MATCH(F60,Population[#Headers])))/(INDEX(MCINormalized[],1,MATCH(F60,MCINormalized[#Headers]))/100)</f>
        <v>9.7330829844892683</v>
      </c>
      <c r="G64" s="165">
        <f>(INDEX(CountyDisbursementsFringeBenefits[],MATCH($A$3,CountyDisbursementsFringeBenefits[County]),MATCH(G60,CountyDisbursementsFringeBenefits[#Headers]))/INDEX(Population[],MATCH($A$3,Population[County]),MATCH(G60,Population[#Headers])))/(INDEX(MCINormalized[],1,MATCH(G60,MCINormalized[#Headers]))/100)</f>
        <v>6.9098603896981414</v>
      </c>
      <c r="H64" s="165">
        <f>(INDEX(CountyDisbursementsFringeBenefits[],MATCH($A$3,CountyDisbursementsFringeBenefits[County]),MATCH(H60,CountyDisbursementsFringeBenefits[#Headers]))/INDEX(Population[],MATCH($A$3,Population[County]),MATCH(H60,Population[#Headers])))/(INDEX(MCINormalized[],1,MATCH(H60,MCINormalized[#Headers]))/100)</f>
        <v>4.7454948750237032</v>
      </c>
      <c r="I64" s="165">
        <f>(INDEX(CountyDisbursementsFringeBenefits[],MATCH($A$3,CountyDisbursementsFringeBenefits[County]),MATCH(I60,CountyDisbursementsFringeBenefits[#Headers]))/INDEX(Population[],MATCH($A$3,Population[County]),MATCH(I60,Population[#Headers])))/(INDEX(MCINormalized[],1,MATCH(I60,MCINormalized[#Headers]))/100)</f>
        <v>5.2134892730127289</v>
      </c>
      <c r="J64" s="165">
        <f>(INDEX(CountyDisbursementsFringeBenefits[],MATCH($A$3,CountyDisbursementsFringeBenefits[County]),MATCH(J60,CountyDisbursementsFringeBenefits[#Headers]))/INDEX(Population[],MATCH($A$3,Population[County]),MATCH(J60,Population[#Headers])))/(INDEX(MCINormalized[],1,MATCH(J60,MCINormalized[#Headers]))/100)</f>
        <v>7.3518567755193258</v>
      </c>
      <c r="K64" s="165">
        <f>(INDEX(CountyDisbursementsFringeBenefits[],MATCH($A$3,CountyDisbursementsFringeBenefits[County]),MATCH(K60,CountyDisbursementsFringeBenefits[#Headers]))/INDEX(Population[],MATCH($A$3,Population[County]),MATCH(K60,Population[#Headers])))/(INDEX(MCINormalized[],1,MATCH(K60,MCINormalized[#Headers]))/100)</f>
        <v>7.7083399092565204</v>
      </c>
      <c r="L64" s="165">
        <f>(INDEX(CountyDisbursementsFringeBenefits[],MATCH($A$3,CountyDisbursementsFringeBenefits[County]),MATCH(L60,CountyDisbursementsFringeBenefits[#Headers]))/INDEX(Population[],MATCH($A$3,Population[County]),MATCH(L60,Population[#Headers])))/(INDEX(MCINormalized[],1,MATCH(L60,MCINormalized[#Headers]))/100)</f>
        <v>7.3701895469268583</v>
      </c>
      <c r="M64" s="165">
        <f>(INDEX(CountyDisbursementsFringeBenefits[],MATCH($A$3,CountyDisbursementsFringeBenefits[County]),MATCH(M60,CountyDisbursementsFringeBenefits[#Headers]))/INDEX(Population[],MATCH($A$3,Population[County]),MATCH(M60,Population[#Headers])))/(INDEX(MCINormalized[],1,MATCH(M60,MCINormalized[#Headers]))/100)</f>
        <v>7.3201141485874111</v>
      </c>
      <c r="N64" s="165">
        <f>(INDEX(CountyDisbursementsFringeBenefits[],MATCH($A$3,CountyDisbursementsFringeBenefits[County]),MATCH(N60,CountyDisbursementsFringeBenefits[#Headers]))/INDEX(Population[],MATCH($A$3,Population[County]),MATCH(N60,Population[#Headers])))/(INDEX(MCINormalized[],1,MATCH(N60,MCINormalized[#Headers]))/100)</f>
        <v>7.4784191870193713</v>
      </c>
      <c r="O64" s="165">
        <f>(INDEX(CountyDisbursementsFringeBenefits[],MATCH($A$3,CountyDisbursementsFringeBenefits[County]),MATCH(O60,CountyDisbursementsFringeBenefits[#Headers]))/INDEX(Population[],MATCH($A$3,Population[County]),MATCH(O60,Population[#Headers])))/(INDEX(MCINormalized[],1,MATCH(O60,MCINormalized[#Headers]))/100)</f>
        <v>7.7591197593394003</v>
      </c>
      <c r="P64" s="165">
        <f>(INDEX(CountyDisbursementsFringeBenefits[],MATCH($A$3,CountyDisbursementsFringeBenefits[County]),MATCH(P60,CountyDisbursementsFringeBenefits[#Headers]))/INDEX(Population[],MATCH($A$3,Population[County]),MATCH(P60,Population[#Headers])))/(INDEX(MCINormalized[],1,MATCH(P60,MCINormalized[#Headers]))/100)</f>
        <v>9.4783044486129135</v>
      </c>
      <c r="Q64" s="165">
        <f>(INDEX(CountyDisbursementsFringeBenefits[],MATCH($A$3,CountyDisbursementsFringeBenefits[County]),MATCH(Q60,CountyDisbursementsFringeBenefits[#Headers]))/INDEX(Population[],MATCH($A$3,Population[County]),MATCH(Q60,Population[#Headers])))/(INDEX(MCINormalized[],1,MATCH(Q60,MCINormalized[#Headers]))/100)</f>
        <v>9.1548833492149768</v>
      </c>
      <c r="R64" s="165">
        <f>(INDEX(CountyDisbursementsFringeBenefits[],MATCH($A$3,CountyDisbursementsFringeBenefits[County]),MATCH(R60,CountyDisbursementsFringeBenefits[#Headers]))/INDEX(Population[],MATCH($A$3,Population[County]),MATCH(R60,Population[#Headers])))/(INDEX(MCINormalized[],1,MATCH(R60,MCINormalized[#Headers]))/100)</f>
        <v>10.090971447832395</v>
      </c>
      <c r="S64" s="165">
        <f>(INDEX(CountyDisbursementsFringeBenefits[],MATCH($A$3,CountyDisbursementsFringeBenefits[County]),MATCH(S60,CountyDisbursementsFringeBenefits[#Headers]))/INDEX(Population[],MATCH($A$3,Population[County]),MATCH(S60,Population[#Headers])))/(INDEX(MCINormalized[],1,MATCH(S60,MCINormalized[#Headers]))/100)</f>
        <v>9.7471907175775492</v>
      </c>
      <c r="T64" s="165">
        <f>(INDEX(CountyDisbursementsFringeBenefits[],MATCH($A$3,CountyDisbursementsFringeBenefits[County]),MATCH(T60,CountyDisbursementsFringeBenefits[#Headers]))/INDEX(Population[],MATCH($A$3,Population[County]),MATCH(T60,Population[#Headers])))/(INDEX(MCINormalized[],1,MATCH(T60,MCINormalized[#Headers]))/100)</f>
        <v>9.6322434516838733</v>
      </c>
      <c r="U64" s="165">
        <f>(INDEX(CountyDisbursementsFringeBenefits[],MATCH($A$3,CountyDisbursementsFringeBenefits[County]),MATCH(U60,CountyDisbursementsFringeBenefits[#Headers]))/INDEX(Population[],MATCH($A$3,Population[County]),MATCH(U60,Population[#Headers])))/(INDEX(MCINormalized[],1,MATCH(U60,MCINormalized[#Headers]))/100)</f>
        <v>9.55735212946961</v>
      </c>
      <c r="V64" s="165">
        <f>(INDEX(CountyDisbursementsFringeBenefits[],MATCH($A$3,CountyDisbursementsFringeBenefits[County]),MATCH(V60,CountyDisbursementsFringeBenefits[#Headers]))/INDEX(Population[],MATCH($A$3,Population[County]),MATCH(V60,Population[#Headers])))/(INDEX(MCINormalized[],1,MATCH(V60,MCINormalized[#Headers]))/100)</f>
        <v>8.8073257965575831</v>
      </c>
      <c r="W64" s="165">
        <f>(INDEX(CountyDisbursementsFringeBenefits[],MATCH($A$3,CountyDisbursementsFringeBenefits[County]),MATCH(W60,CountyDisbursementsFringeBenefits[#Headers]))/INDEX(Population[],MATCH($A$3,Population[County]),MATCH(W60,Population[#Headers])))/(INDEX(MCINormalized[],1,MATCH(W60,MCINormalized[#Headers]))/100)</f>
        <v>12.290872074944003</v>
      </c>
      <c r="X64" s="165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</row>
    <row r="65" spans="1:70" ht="16">
      <c r="A65" s="153" t="s">
        <v>128</v>
      </c>
      <c r="B65" s="165">
        <f>(INDEX(CountyDisbursementsProsecutingAttorney[],MATCH($A$3,CountyDisbursementsProsecutingAttorney[County]),MATCH(B60,CountyDisbursementsProsecutingAttorney[#Headers],0))/INDEX(Population[],MATCH($A$3,Population[County]),MATCH(B60,Population[#Headers],0)))/(INDEX(MCINormalized[],1,MATCH(B60,MCINormalized[#Headers],0))/100)</f>
        <v>6.1066398746131894</v>
      </c>
      <c r="C65" s="165">
        <f>(INDEX(CountyDisbursementsProsecutingAttorney[],MATCH($A$3,CountyDisbursementsProsecutingAttorney[County]),MATCH(C60,CountyDisbursementsProsecutingAttorney[#Headers]))/INDEX(Population[],MATCH($A$3,Population[County]),MATCH(C60,Population[#Headers])))/(INDEX(MCINormalized[],1,MATCH(C60,MCINormalized[#Headers]))/100)</f>
        <v>6.0719447384622036</v>
      </c>
      <c r="D65" s="165">
        <f>(INDEX(CountyDisbursementsProsecutingAttorney[],MATCH($A$3,CountyDisbursementsProsecutingAttorney[County]),MATCH(D60,CountyDisbursementsProsecutingAttorney[#Headers]))/INDEX(Population[],MATCH($A$3,Population[County]),MATCH(D60,Population[#Headers])))/(INDEX(MCINormalized[],1,MATCH(D60,MCINormalized[#Headers]))/100)</f>
        <v>5.5484652135880683</v>
      </c>
      <c r="E65" s="165">
        <f>(INDEX(CountyDisbursementsProsecutingAttorney[],MATCH($A$3,CountyDisbursementsProsecutingAttorney[County]),MATCH(E60,CountyDisbursementsProsecutingAttorney[#Headers]))/INDEX(Population[],MATCH($A$3,Population[County]),MATCH(E60,Population[#Headers])))/(INDEX(MCINormalized[],1,MATCH(E60,MCINormalized[#Headers]))/100)</f>
        <v>6.5798781347036641</v>
      </c>
      <c r="F65" s="165">
        <f>(INDEX(CountyDisbursementsProsecutingAttorney[],MATCH($A$3,CountyDisbursementsProsecutingAttorney[County]),MATCH(F60,CountyDisbursementsProsecutingAttorney[#Headers]))/INDEX(Population[],MATCH($A$3,Population[County]),MATCH(F60,Population[#Headers])))/(INDEX(MCINormalized[],1,MATCH(F60,MCINormalized[#Headers]))/100)</f>
        <v>6.4887219896595125</v>
      </c>
      <c r="G65" s="165">
        <f>(INDEX(CountyDisbursementsProsecutingAttorney[],MATCH($A$3,CountyDisbursementsProsecutingAttorney[County]),MATCH(G60,CountyDisbursementsProsecutingAttorney[#Headers]))/INDEX(Population[],MATCH($A$3,Population[County]),MATCH(G60,Population[#Headers])))/(INDEX(MCINormalized[],1,MATCH(G60,MCINormalized[#Headers]))/100)</f>
        <v>6.2816912633619459</v>
      </c>
      <c r="H65" s="165">
        <f>(INDEX(CountyDisbursementsProsecutingAttorney[],MATCH($A$3,CountyDisbursementsProsecutingAttorney[County]),MATCH(H60,CountyDisbursementsProsecutingAttorney[#Headers]))/INDEX(Population[],MATCH($A$3,Population[County]),MATCH(H60,Population[#Headers])))/(INDEX(MCINormalized[],1,MATCH(H60,MCINormalized[#Headers]))/100)</f>
        <v>6.1013505536019039</v>
      </c>
      <c r="I65" s="165">
        <f>(INDEX(CountyDisbursementsProsecutingAttorney[],MATCH($A$3,CountyDisbursementsProsecutingAttorney[County]),MATCH(I60,CountyDisbursementsProsecutingAttorney[#Headers]))/INDEX(Population[],MATCH($A$3,Population[County]),MATCH(I60,Population[#Headers])))/(INDEX(MCINormalized[],1,MATCH(I60,MCINormalized[#Headers]))/100)</f>
        <v>6.9513190306836394</v>
      </c>
      <c r="J65" s="165">
        <f>(INDEX(CountyDisbursementsProsecutingAttorney[],MATCH($A$3,CountyDisbursementsProsecutingAttorney[County]),MATCH(J60,CountyDisbursementsProsecutingAttorney[#Headers]))/INDEX(Population[],MATCH($A$3,Population[County]),MATCH(J60,Population[#Headers])))/(INDEX(MCINormalized[],1,MATCH(J60,MCINormalized[#Headers]))/100)</f>
        <v>6.8900582266441068</v>
      </c>
      <c r="K65" s="165">
        <f>(INDEX(CountyDisbursementsProsecutingAttorney[],MATCH($A$3,CountyDisbursementsProsecutingAttorney[County]),MATCH(K60,CountyDisbursementsProsecutingAttorney[#Headers]))/INDEX(Population[],MATCH($A$3,Population[County]),MATCH(K60,Population[#Headers])))/(INDEX(MCINormalized[],1,MATCH(K60,MCINormalized[#Headers]))/100)</f>
        <v>6.9274008177880351</v>
      </c>
      <c r="L65" s="165">
        <f>(INDEX(CountyDisbursementsProsecutingAttorney[],MATCH($A$3,CountyDisbursementsProsecutingAttorney[County]),MATCH(L60,CountyDisbursementsProsecutingAttorney[#Headers]))/INDEX(Population[],MATCH($A$3,Population[County]),MATCH(L60,Population[#Headers])))/(INDEX(MCINormalized[],1,MATCH(L60,MCINormalized[#Headers]))/100)</f>
        <v>6.5728725224794182</v>
      </c>
      <c r="M65" s="165">
        <f>(INDEX(CountyDisbursementsProsecutingAttorney[],MATCH($A$3,CountyDisbursementsProsecutingAttorney[County]),MATCH(M60,CountyDisbursementsProsecutingAttorney[#Headers]))/INDEX(Population[],MATCH($A$3,Population[County]),MATCH(M60,Population[#Headers])))/(INDEX(MCINormalized[],1,MATCH(M60,MCINormalized[#Headers]))/100)</f>
        <v>6.5232178467897874</v>
      </c>
      <c r="N65" s="165">
        <f>(INDEX(CountyDisbursementsProsecutingAttorney[],MATCH($A$3,CountyDisbursementsProsecutingAttorney[County]),MATCH(N60,CountyDisbursementsProsecutingAttorney[#Headers]))/INDEX(Population[],MATCH($A$3,Population[County]),MATCH(N60,Population[#Headers])))/(INDEX(MCINormalized[],1,MATCH(N60,MCINormalized[#Headers]))/100)</f>
        <v>6.3946324885203696</v>
      </c>
      <c r="O65" s="165">
        <f>(INDEX(CountyDisbursementsProsecutingAttorney[],MATCH($A$3,CountyDisbursementsProsecutingAttorney[County]),MATCH(O60,CountyDisbursementsProsecutingAttorney[#Headers]))/INDEX(Population[],MATCH($A$3,Population[County]),MATCH(O60,Population[#Headers])))/(INDEX(MCINormalized[],1,MATCH(O60,MCINormalized[#Headers]))/100)</f>
        <v>6.3275564775134994</v>
      </c>
      <c r="P65" s="165">
        <f>(INDEX(CountyDisbursementsProsecutingAttorney[],MATCH($A$3,CountyDisbursementsProsecutingAttorney[County]),MATCH(P60,CountyDisbursementsProsecutingAttorney[#Headers]))/INDEX(Population[],MATCH($A$3,Population[County]),MATCH(P60,Population[#Headers])))/(INDEX(MCINormalized[],1,MATCH(P60,MCINormalized[#Headers]))/100)</f>
        <v>6.003333917922693</v>
      </c>
      <c r="Q65" s="165">
        <f>(INDEX(CountyDisbursementsProsecutingAttorney[],MATCH($A$3,CountyDisbursementsProsecutingAttorney[County]),MATCH(Q60,CountyDisbursementsProsecutingAttorney[#Headers]))/INDEX(Population[],MATCH($A$3,Population[County]),MATCH(Q60,Population[#Headers])))/(INDEX(MCINormalized[],1,MATCH(Q60,MCINormalized[#Headers]))/100)</f>
        <v>5.999019748982759</v>
      </c>
      <c r="R65" s="165">
        <f>(INDEX(CountyDisbursementsProsecutingAttorney[],MATCH($A$3,CountyDisbursementsProsecutingAttorney[County]),MATCH(R60,CountyDisbursementsProsecutingAttorney[#Headers]))/INDEX(Population[],MATCH($A$3,Population[County]),MATCH(R60,Population[#Headers])))/(INDEX(MCINormalized[],1,MATCH(R60,MCINormalized[#Headers]))/100)</f>
        <v>6.1601061720822958</v>
      </c>
      <c r="S65" s="165">
        <f>(INDEX(CountyDisbursementsProsecutingAttorney[],MATCH($A$3,CountyDisbursementsProsecutingAttorney[County]),MATCH(S60,CountyDisbursementsProsecutingAttorney[#Headers]))/INDEX(Population[],MATCH($A$3,Population[County]),MATCH(S60,Population[#Headers])))/(INDEX(MCINormalized[],1,MATCH(S60,MCINormalized[#Headers]))/100)</f>
        <v>6.8299825961490512</v>
      </c>
      <c r="T65" s="165">
        <f>(INDEX(CountyDisbursementsProsecutingAttorney[],MATCH($A$3,CountyDisbursementsProsecutingAttorney[County]),MATCH(T60,CountyDisbursementsProsecutingAttorney[#Headers]))/INDEX(Population[],MATCH($A$3,Population[County]),MATCH(T60,Population[#Headers])))/(INDEX(MCINormalized[],1,MATCH(T60,MCINormalized[#Headers]))/100)</f>
        <v>6.7618681837124326</v>
      </c>
      <c r="U65" s="165">
        <f>(INDEX(CountyDisbursementsProsecutingAttorney[],MATCH($A$3,CountyDisbursementsProsecutingAttorney[County]),MATCH(U60,CountyDisbursementsProsecutingAttorney[#Headers]))/INDEX(Population[],MATCH($A$3,Population[County]),MATCH(U60,Population[#Headers])))/(INDEX(MCINormalized[],1,MATCH(U60,MCINormalized[#Headers]))/100)</f>
        <v>7.3728481836068491</v>
      </c>
      <c r="V65" s="165">
        <f>(INDEX(CountyDisbursementsProsecutingAttorney[],MATCH($A$3,CountyDisbursementsProsecutingAttorney[County]),MATCH(V60,CountyDisbursementsProsecutingAttorney[#Headers]))/INDEX(Population[],MATCH($A$3,Population[County]),MATCH(V60,Population[#Headers])))/(INDEX(MCINormalized[],1,MATCH(V60,MCINormalized[#Headers]))/100)</f>
        <v>7.5175872870698166</v>
      </c>
      <c r="W65" s="165">
        <f>(INDEX(CountyDisbursementsProsecutingAttorney[],MATCH($A$3,CountyDisbursementsProsecutingAttorney[County]),MATCH(W60,CountyDisbursementsProsecutingAttorney[#Headers]))/INDEX(Population[],MATCH($A$3,Population[County]),MATCH(W60,Population[#Headers])))/(INDEX(MCINormalized[],1,MATCH(W60,MCINormalized[#Headers]))/100)</f>
        <v>7.9723918577100781</v>
      </c>
      <c r="X65" s="165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</row>
    <row r="66" spans="1:70" ht="16">
      <c r="A66" s="153" t="s">
        <v>298</v>
      </c>
      <c r="B66" s="165">
        <f>(INDEX(CountyDisbursementsPublicAdministrator[],MATCH($A$3,CountyDisbursementsPublicAdministrator[County]),MATCH(B60,CountyDisbursementsPublicAdministrator[#Headers],0))/INDEX(Population[],MATCH($A$3,Population[County]),MATCH(B60,Population[#Headers],0)))/(INDEX(MCINormalized[],1,MATCH(B60,MCINormalized[#Headers],0))/100)</f>
        <v>0.8723771249447414</v>
      </c>
      <c r="C66" s="165">
        <f>(INDEX(CountyDisbursementsPublicAdministrator[],MATCH($A$3,CountyDisbursementsPublicAdministrator[County]),MATCH(C60,CountyDisbursementsPublicAdministrator[#Headers]))/INDEX(Population[],MATCH($A$3,Population[County]),MATCH(C60,Population[#Headers])))/(INDEX(MCINormalized[],1,MATCH(C60,MCINormalized[#Headers]))/100)</f>
        <v>1.7348413538463436</v>
      </c>
      <c r="D66" s="165">
        <f>(INDEX(CountyDisbursementsPublicAdministrator[],MATCH($A$3,CountyDisbursementsPublicAdministrator[County]),MATCH(D60,CountyDisbursementsPublicAdministrator[#Headers]))/INDEX(Population[],MATCH($A$3,Population[County]),MATCH(D60,Population[#Headers])))/(INDEX(MCINormalized[],1,MATCH(D60,MCINormalized[#Headers]))/100)</f>
        <v>2.7742326067940342</v>
      </c>
      <c r="E66" s="165">
        <f>(INDEX(CountyDisbursementsPublicAdministrator[],MATCH($A$3,CountyDisbursementsPublicAdministrator[County]),MATCH(E60,CountyDisbursementsPublicAdministrator[#Headers]))/INDEX(Population[],MATCH($A$3,Population[County]),MATCH(E60,Population[#Headers])))/(INDEX(MCINormalized[],1,MATCH(E60,MCINormalized[#Headers]))/100)</f>
        <v>2.1932927115678877</v>
      </c>
      <c r="F66" s="165">
        <f>(INDEX(CountyDisbursementsPublicAdministrator[],MATCH($A$3,CountyDisbursementsPublicAdministrator[County]),MATCH(F60,CountyDisbursementsPublicAdministrator[#Headers]))/INDEX(Population[],MATCH($A$3,Population[County]),MATCH(F60,Population[#Headers])))/(INDEX(MCINormalized[],1,MATCH(F60,MCINormalized[#Headers]))/100)</f>
        <v>3.2443609948297563</v>
      </c>
      <c r="G66" s="165">
        <f>(INDEX(CountyDisbursementsPublicAdministrator[],MATCH($A$3,CountyDisbursementsPublicAdministrator[County]),MATCH(G60,CountyDisbursementsPublicAdministrator[#Headers]))/INDEX(Population[],MATCH($A$3,Population[County]),MATCH(G60,Population[#Headers])))/(INDEX(MCINormalized[],1,MATCH(G60,MCINormalized[#Headers]))/100)</f>
        <v>2.5126765053447788</v>
      </c>
      <c r="H66" s="165">
        <f>(INDEX(CountyDisbursementsPublicAdministrator[],MATCH($A$3,CountyDisbursementsPublicAdministrator[County]),MATCH(H60,CountyDisbursementsPublicAdministrator[#Headers]))/INDEX(Population[],MATCH($A$3,Population[County]),MATCH(H60,Population[#Headers])))/(INDEX(MCINormalized[],1,MATCH(H60,MCINormalized[#Headers]))/100)</f>
        <v>2.7117113571564015</v>
      </c>
      <c r="I66" s="165">
        <f>(INDEX(CountyDisbursementsPublicAdministrator[],MATCH($A$3,CountyDisbursementsPublicAdministrator[County]),MATCH(I60,CountyDisbursementsPublicAdministrator[#Headers]))/INDEX(Population[],MATCH($A$3,Population[County]),MATCH(I60,Population[#Headers])))/(INDEX(MCINormalized[],1,MATCH(I60,MCINormalized[#Headers]))/100)</f>
        <v>2.6067446365063645</v>
      </c>
      <c r="J66" s="165">
        <f>(INDEX(CountyDisbursementsPublicAdministrator[],MATCH($A$3,CountyDisbursementsPublicAdministrator[County]),MATCH(J60,CountyDisbursementsPublicAdministrator[#Headers]))/INDEX(Population[],MATCH($A$3,Population[County]),MATCH(J60,Population[#Headers])))/(INDEX(MCINormalized[],1,MATCH(J60,MCINormalized[#Headers]))/100)</f>
        <v>2.597909597297416</v>
      </c>
      <c r="K66" s="165">
        <f>(INDEX(CountyDisbursementsPublicAdministrator[],MATCH($A$3,CountyDisbursementsPublicAdministrator[County]),MATCH(K60,CountyDisbursementsPublicAdministrator[#Headers]))/INDEX(Population[],MATCH($A$3,Population[County]),MATCH(K60,Population[#Headers])))/(INDEX(MCINormalized[],1,MATCH(K60,MCINormalized[#Headers]))/100)</f>
        <v>2.6894542962213852</v>
      </c>
      <c r="L66" s="165">
        <f>(INDEX(CountyDisbursementsPublicAdministrator[],MATCH($A$3,CountyDisbursementsPublicAdministrator[County]),MATCH(L60,CountyDisbursementsPublicAdministrator[#Headers]))/INDEX(Population[],MATCH($A$3,Population[County]),MATCH(L60,Population[#Headers])))/(INDEX(MCINormalized[],1,MATCH(L60,MCINormalized[#Headers]))/100)</f>
        <v>2.7431180394489538</v>
      </c>
      <c r="M66" s="165">
        <f>(INDEX(CountyDisbursementsPublicAdministrator[],MATCH($A$3,CountyDisbursementsPublicAdministrator[County]),MATCH(M60,CountyDisbursementsPublicAdministrator[#Headers]))/INDEX(Population[],MATCH($A$3,Population[County]),MATCH(M60,Population[#Headers])))/(INDEX(MCINormalized[],1,MATCH(M60,MCINormalized[#Headers]))/100)</f>
        <v>2.6249302770558951</v>
      </c>
      <c r="N66" s="165">
        <f>(INDEX(CountyDisbursementsPublicAdministrator[],MATCH($A$3,CountyDisbursementsPublicAdministrator[County]),MATCH(N60,CountyDisbursementsPublicAdministrator[#Headers]))/INDEX(Population[],MATCH($A$3,Population[County]),MATCH(N60,Population[#Headers])))/(INDEX(MCINormalized[],1,MATCH(N60,MCINormalized[#Headers]))/100)</f>
        <v>2.7888889803999306</v>
      </c>
      <c r="O66" s="165">
        <f>(INDEX(CountyDisbursementsPublicAdministrator[],MATCH($A$3,CountyDisbursementsPublicAdministrator[County]),MATCH(O60,CountyDisbursementsPublicAdministrator[#Headers]))/INDEX(Population[],MATCH($A$3,Population[County]),MATCH(O60,Population[#Headers])))/(INDEX(MCINormalized[],1,MATCH(O60,MCINormalized[#Headers]))/100)</f>
        <v>2.468865457857929</v>
      </c>
      <c r="P66" s="165">
        <f>(INDEX(CountyDisbursementsPublicAdministrator[],MATCH($A$3,CountyDisbursementsPublicAdministrator[County]),MATCH(P60,CountyDisbursementsPublicAdministrator[#Headers]))/INDEX(Population[],MATCH($A$3,Population[County]),MATCH(P60,Population[#Headers])))/(INDEX(MCINormalized[],1,MATCH(P60,MCINormalized[#Headers]))/100)</f>
        <v>2.9971622386825505</v>
      </c>
      <c r="Q66" s="165">
        <f>(INDEX(CountyDisbursementsPublicAdministrator[],MATCH($A$3,CountyDisbursementsPublicAdministrator[County]),MATCH(Q60,CountyDisbursementsPublicAdministrator[#Headers]))/INDEX(Population[],MATCH($A$3,Population[County]),MATCH(Q60,Population[#Headers])))/(INDEX(MCINormalized[],1,MATCH(Q60,MCINormalized[#Headers]))/100)</f>
        <v>3.0200911958035186</v>
      </c>
      <c r="R66" s="165">
        <f>(INDEX(CountyDisbursementsPublicAdministrator[],MATCH($A$3,CountyDisbursementsPublicAdministrator[County]),MATCH(R60,CountyDisbursementsPublicAdministrator[#Headers]))/INDEX(Population[],MATCH($A$3,Population[County]),MATCH(R60,Population[#Headers])))/(INDEX(MCINormalized[],1,MATCH(R60,MCINormalized[#Headers]))/100)</f>
        <v>3.0390804924394472</v>
      </c>
      <c r="S66" s="165">
        <f>(INDEX(CountyDisbursementsPublicAdministrator[],MATCH($A$3,CountyDisbursementsPublicAdministrator[County]),MATCH(S60,CountyDisbursementsPublicAdministrator[#Headers]))/INDEX(Population[],MATCH($A$3,Population[County]),MATCH(S60,Population[#Headers])))/(INDEX(MCINormalized[],1,MATCH(S60,MCINormalized[#Headers]))/100)</f>
        <v>3.1732268393462615</v>
      </c>
      <c r="T66" s="165">
        <f>(INDEX(CountyDisbursementsPublicAdministrator[],MATCH($A$3,CountyDisbursementsPublicAdministrator[County]),MATCH(T60,CountyDisbursementsPublicAdministrator[#Headers]))/INDEX(Population[],MATCH($A$3,Population[County]),MATCH(T60,Population[#Headers])))/(INDEX(MCINormalized[],1,MATCH(T60,MCINormalized[#Headers]))/100)</f>
        <v>3.4481442377156024</v>
      </c>
      <c r="U66" s="165">
        <f>(INDEX(CountyDisbursementsPublicAdministrator[],MATCH($A$3,CountyDisbursementsPublicAdministrator[County]),MATCH(U60,CountyDisbursementsPublicAdministrator[#Headers]))/INDEX(Population[],MATCH($A$3,Population[County]),MATCH(U60,Population[#Headers])))/(INDEX(MCINormalized[],1,MATCH(U60,MCINormalized[#Headers]))/100)</f>
        <v>3.6559304313503027</v>
      </c>
      <c r="V66" s="165">
        <f>(INDEX(CountyDisbursementsPublicAdministrator[],MATCH($A$3,CountyDisbursementsPublicAdministrator[County]),MATCH(V60,CountyDisbursementsPublicAdministrator[#Headers]))/INDEX(Population[],MATCH($A$3,Population[County]),MATCH(V60,Population[#Headers])))/(INDEX(MCINormalized[],1,MATCH(V60,MCINormalized[#Headers]))/100)</f>
        <v>4.2172421583651936</v>
      </c>
      <c r="W66" s="165">
        <f>(INDEX(CountyDisbursementsPublicAdministrator[],MATCH($A$3,CountyDisbursementsPublicAdministrator[County]),MATCH(W60,CountyDisbursementsPublicAdministrator[#Headers]))/INDEX(Population[],MATCH($A$3,Population[County]),MATCH(W60,Population[#Headers])))/(INDEX(MCINormalized[],1,MATCH(W60,MCINormalized[#Headers]))/100)</f>
        <v>3.9374325374866657</v>
      </c>
      <c r="X66" s="165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</row>
    <row r="67" spans="1:70" ht="16">
      <c r="A67" s="177" t="s">
        <v>179</v>
      </c>
      <c r="B67" s="165">
        <f>(INDEX(CountyDisbursementsHealthWelfare[],MATCH($A$3,CountyDisbursementsHealthWelfare[County]),MATCH(B60,CountyDisbursementsHealthWelfare[#Headers],0))/INDEX(Population[],MATCH($A$3,Population[County]),MATCH(B60,Population[#Headers],0)))/(INDEX(MCINormalized[],1,MATCH(B60,MCINormalized[#Headers],0))/100)</f>
        <v>10.468525499336897</v>
      </c>
      <c r="C67" s="165">
        <f>(INDEX(CountyDisbursementsHealthWelfare[],MATCH($A$3,CountyDisbursementsHealthWelfare[County]),MATCH(C60,CountyDisbursementsHealthWelfare[#Headers]))/INDEX(Population[],MATCH($A$3,Population[County]),MATCH(C60,Population[#Headers])))/(INDEX(MCINormalized[],1,MATCH(C60,MCINormalized[#Headers]))/100)</f>
        <v>12.143889476924407</v>
      </c>
      <c r="D67" s="165">
        <f>(INDEX(CountyDisbursementsHealthWelfare[],MATCH($A$3,CountyDisbursementsHealthWelfare[County]),MATCH(D60,CountyDisbursementsHealthWelfare[#Headers]))/INDEX(Population[],MATCH($A$3,Population[County]),MATCH(D60,Population[#Headers])))/(INDEX(MCINormalized[],1,MATCH(D60,MCINormalized[#Headers]))/100)</f>
        <v>11.096930427176137</v>
      </c>
      <c r="E67" s="165">
        <f>(INDEX(CountyDisbursementsHealthWelfare[],MATCH($A$3,CountyDisbursementsHealthWelfare[County]),MATCH(E60,CountyDisbursementsHealthWelfare[#Headers]))/INDEX(Population[],MATCH($A$3,Population[County]),MATCH(E60,Population[#Headers])))/(INDEX(MCINormalized[],1,MATCH(E60,MCINormalized[#Headers]))/100)</f>
        <v>15.353048980975219</v>
      </c>
      <c r="F67" s="165">
        <f>(INDEX(CountyDisbursementsHealthWelfare[],MATCH($A$3,CountyDisbursementsHealthWelfare[County]),MATCH(F60,CountyDisbursementsHealthWelfare[#Headers]))/INDEX(Population[],MATCH($A$3,Population[County]),MATCH(F60,Population[#Headers])))/(INDEX(MCINormalized[],1,MATCH(F60,MCINormalized[#Headers]))/100)</f>
        <v>10.38195518345522</v>
      </c>
      <c r="G67" s="165">
        <f>(INDEX(CountyDisbursementsHealthWelfare[],MATCH($A$3,CountyDisbursementsHealthWelfare[County]),MATCH(G60,CountyDisbursementsHealthWelfare[#Headers]))/INDEX(Population[],MATCH($A$3,Population[County]),MATCH(G60,Population[#Headers])))/(INDEX(MCINormalized[],1,MATCH(G60,MCINormalized[#Headers]))/100)</f>
        <v>16.332397284741063</v>
      </c>
      <c r="H67" s="165">
        <f>(INDEX(CountyDisbursementsHealthWelfare[],MATCH($A$3,CountyDisbursementsHealthWelfare[County]),MATCH(H60,CountyDisbursementsHealthWelfare[#Headers]))/INDEX(Population[],MATCH($A$3,Population[County]),MATCH(H60,Population[#Headers])))/(INDEX(MCINormalized[],1,MATCH(H60,MCINormalized[#Headers]))/100)</f>
        <v>8.1351340714692064</v>
      </c>
      <c r="I67" s="165">
        <f>(INDEX(CountyDisbursementsHealthWelfare[],MATCH($A$3,CountyDisbursementsHealthWelfare[County]),MATCH(I60,CountyDisbursementsHealthWelfare[#Headers]))/INDEX(Population[],MATCH($A$3,Population[County]),MATCH(I60,Population[#Headers])))/(INDEX(MCINormalized[],1,MATCH(I60,MCINormalized[#Headers]))/100)</f>
        <v>31.280935638076375</v>
      </c>
      <c r="J67" s="165">
        <f>(INDEX(CountyDisbursementsHealthWelfare[],MATCH($A$3,CountyDisbursementsHealthWelfare[County]),MATCH(J60,CountyDisbursementsHealthWelfare[#Headers]))/INDEX(Population[],MATCH($A$3,Population[County]),MATCH(J60,Population[#Headers])))/(INDEX(MCINormalized[],1,MATCH(J60,MCINormalized[#Headers]))/100)</f>
        <v>10.113416743567226</v>
      </c>
      <c r="K67" s="165">
        <f>(INDEX(CountyDisbursementsHealthWelfare[],MATCH($A$3,CountyDisbursementsHealthWelfare[County]),MATCH(K60,CountyDisbursementsHealthWelfare[#Headers]))/INDEX(Population[],MATCH($A$3,Population[County]),MATCH(K60,Population[#Headers])))/(INDEX(MCINormalized[],1,MATCH(K60,MCINormalized[#Headers]))/100)</f>
        <v>8.2313877505816784</v>
      </c>
      <c r="L67" s="165">
        <f>(INDEX(CountyDisbursementsHealthWelfare[],MATCH($A$3,CountyDisbursementsHealthWelfare[County]),MATCH(L60,CountyDisbursementsHealthWelfare[#Headers]))/INDEX(Population[],MATCH($A$3,Population[County]),MATCH(L60,Population[#Headers])))/(INDEX(MCINormalized[],1,MATCH(L60,MCINormalized[#Headers]))/100)</f>
        <v>9.6767187419665319</v>
      </c>
      <c r="M67" s="165">
        <f>(INDEX(CountyDisbursementsHealthWelfare[],MATCH($A$3,CountyDisbursementsHealthWelfare[County]),MATCH(M60,CountyDisbursementsHealthWelfare[#Headers]))/INDEX(Population[],MATCH($A$3,Population[County]),MATCH(M60,Population[#Headers])))/(INDEX(MCINormalized[],1,MATCH(M60,MCINormalized[#Headers]))/100)</f>
        <v>8.1415274933530224</v>
      </c>
      <c r="N67" s="165">
        <f>(INDEX(CountyDisbursementsHealthWelfare[],MATCH($A$3,CountyDisbursementsHealthWelfare[County]),MATCH(N60,CountyDisbursementsHealthWelfare[#Headers]))/INDEX(Population[],MATCH($A$3,Population[County]),MATCH(N60,Population[#Headers])))/(INDEX(MCINormalized[],1,MATCH(N60,MCINormalized[#Headers]))/100)</f>
        <v>15.24804402964706</v>
      </c>
      <c r="O67" s="165">
        <f>(INDEX(CountyDisbursementsHealthWelfare[],MATCH($A$3,CountyDisbursementsHealthWelfare[County]),MATCH(O60,CountyDisbursementsHealthWelfare[#Headers]))/INDEX(Population[],MATCH($A$3,Population[County]),MATCH(O60,Population[#Headers])))/(INDEX(MCINormalized[],1,MATCH(O60,MCINormalized[#Headers]))/100)</f>
        <v>15.670812590705868</v>
      </c>
      <c r="P67" s="165">
        <f>(INDEX(CountyDisbursementsHealthWelfare[],MATCH($A$3,CountyDisbursementsHealthWelfare[County]),MATCH(P60,CountyDisbursementsHealthWelfare[#Headers]))/INDEX(Population[],MATCH($A$3,Population[County]),MATCH(P60,Population[#Headers])))/(INDEX(MCINormalized[],1,MATCH(P60,MCINormalized[#Headers]))/100)</f>
        <v>19.750848237559183</v>
      </c>
      <c r="Q67" s="165">
        <f>(INDEX(CountyDisbursementsHealthWelfare[],MATCH($A$3,CountyDisbursementsHealthWelfare[County]),MATCH(Q60,CountyDisbursementsHealthWelfare[#Headers]))/INDEX(Population[],MATCH($A$3,Population[County]),MATCH(Q60,Population[#Headers])))/(INDEX(MCINormalized[],1,MATCH(Q60,MCINormalized[#Headers]))/100)</f>
        <v>13.56360524909929</v>
      </c>
      <c r="R67" s="165">
        <f>(INDEX(CountyDisbursementsHealthWelfare[],MATCH($A$3,CountyDisbursementsHealthWelfare[County]),MATCH(R60,CountyDisbursementsHealthWelfare[#Headers]))/INDEX(Population[],MATCH($A$3,Population[County]),MATCH(R60,Population[#Headers])))/(INDEX(MCINormalized[],1,MATCH(R60,MCINormalized[#Headers]))/100)</f>
        <v>15.365067069137787</v>
      </c>
      <c r="S67" s="165">
        <f>(INDEX(CountyDisbursementsHealthWelfare[],MATCH($A$3,CountyDisbursementsHealthWelfare[County]),MATCH(S60,CountyDisbursementsHealthWelfare[#Headers]))/INDEX(Population[],MATCH($A$3,Population[County]),MATCH(S60,Population[#Headers])))/(INDEX(MCINormalized[],1,MATCH(S60,MCINormalized[#Headers]))/100)</f>
        <v>13.305631762511357</v>
      </c>
      <c r="T67" s="165">
        <f>(INDEX(CountyDisbursementsHealthWelfare[],MATCH($A$3,CountyDisbursementsHealthWelfare[County]),MATCH(T60,CountyDisbursementsHealthWelfare[#Headers]))/INDEX(Population[],MATCH($A$3,Population[County]),MATCH(T60,Population[#Headers])))/(INDEX(MCINormalized[],1,MATCH(T60,MCINormalized[#Headers]))/100)</f>
        <v>10.266536007418447</v>
      </c>
      <c r="U67" s="165">
        <f>(INDEX(CountyDisbursementsHealthWelfare[],MATCH($A$3,CountyDisbursementsHealthWelfare[County]),MATCH(U60,CountyDisbursementsHealthWelfare[#Headers]))/INDEX(Population[],MATCH($A$3,Population[County]),MATCH(U60,Population[#Headers])))/(INDEX(MCINormalized[],1,MATCH(U60,MCINormalized[#Headers]))/100)</f>
        <v>9.5939548158057271</v>
      </c>
      <c r="V67" s="165">
        <f>(INDEX(CountyDisbursementsHealthWelfare[],MATCH($A$3,CountyDisbursementsHealthWelfare[County]),MATCH(V60,CountyDisbursementsHealthWelfare[#Headers]))/INDEX(Population[],MATCH($A$3,Population[County]),MATCH(V60,Population[#Headers])))/(INDEX(MCINormalized[],1,MATCH(V60,MCINormalized[#Headers]))/100)</f>
        <v>8.5105469745755133</v>
      </c>
      <c r="W67" s="165">
        <f>(INDEX(CountyDisbursementsHealthWelfare[],MATCH($A$3,CountyDisbursementsHealthWelfare[County]),MATCH(W60,CountyDisbursementsHealthWelfare[#Headers]))/INDEX(Population[],MATCH($A$3,Population[County]),MATCH(W60,Population[#Headers])))/(INDEX(MCINormalized[],1,MATCH(W60,MCINormalized[#Headers]))/100)</f>
        <v>10.35553757903657</v>
      </c>
      <c r="X67" s="165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</row>
    <row r="68" spans="1:70" ht="16">
      <c r="A68" s="153" t="s">
        <v>132</v>
      </c>
      <c r="B68" s="165">
        <f>(INDEX(CountyDisbursementsOperatingTransfers[],MATCH($A$3,CountyDisbursementsOperatingTransfers[County]),MATCH(B60,CountyDisbursementsOperatingTransfers[#Headers],0))/INDEX(Population[],MATCH($A$3,Population[County]),MATCH(B60,Population[#Headers],0)))/(INDEX(MCINormalized[],1,MATCH(B60,MCINormalized[#Headers],0))/100)</f>
        <v>3.4895084997789656</v>
      </c>
      <c r="C68" s="165">
        <f>(INDEX(CountyDisbursementsOperatingTransfers[],MATCH($A$3,CountyDisbursementsOperatingTransfers[County]),MATCH(C60,CountyDisbursementsOperatingTransfers[#Headers]))/INDEX(Population[],MATCH($A$3,Population[County]),MATCH(C60,Population[#Headers])))/(INDEX(MCINormalized[],1,MATCH(C60,MCINormalized[#Headers]))/100)</f>
        <v>0</v>
      </c>
      <c r="D68" s="165">
        <f>(INDEX(CountyDisbursementsOperatingTransfers[],MATCH($A$3,CountyDisbursementsOperatingTransfers[County]),MATCH(D60,CountyDisbursementsOperatingTransfers[#Headers]))/INDEX(Population[],MATCH($A$3,Population[County]),MATCH(D60,Population[#Headers])))/(INDEX(MCINormalized[],1,MATCH(D60,MCINormalized[#Headers]))/100)</f>
        <v>3.467790758492542</v>
      </c>
      <c r="E68" s="165">
        <f>(INDEX(CountyDisbursementsOperatingTransfers[],MATCH($A$3,CountyDisbursementsOperatingTransfers[County]),MATCH(E60,CountyDisbursementsOperatingTransfers[#Headers]))/INDEX(Population[],MATCH($A$3,Population[County]),MATCH(E60,Population[#Headers])))/(INDEX(MCINormalized[],1,MATCH(E60,MCINormalized[#Headers]))/100)</f>
        <v>1.4621951410452587</v>
      </c>
      <c r="F68" s="165">
        <f>(INDEX(CountyDisbursementsOperatingTransfers[],MATCH($A$3,CountyDisbursementsOperatingTransfers[County]),MATCH(F60,CountyDisbursementsOperatingTransfers[#Headers]))/INDEX(Population[],MATCH($A$3,Population[County]),MATCH(F60,Population[#Headers])))/(INDEX(MCINormalized[],1,MATCH(F60,MCINormalized[#Headers]))/100)</f>
        <v>0</v>
      </c>
      <c r="G68" s="165">
        <f>(INDEX(CountyDisbursementsOperatingTransfers[],MATCH($A$3,CountyDisbursementsOperatingTransfers[County]),MATCH(G60,CountyDisbursementsOperatingTransfers[#Headers]))/INDEX(Population[],MATCH($A$3,Population[County]),MATCH(G60,Population[#Headers])))/(INDEX(MCINormalized[],1,MATCH(G60,MCINormalized[#Headers]))/100)</f>
        <v>2.5126765053447788</v>
      </c>
      <c r="H68" s="165">
        <f>(INDEX(CountyDisbursementsOperatingTransfers[],MATCH($A$3,CountyDisbursementsOperatingTransfers[County]),MATCH(H60,CountyDisbursementsOperatingTransfers[#Headers]))/INDEX(Population[],MATCH($A$3,Population[County]),MATCH(H60,Population[#Headers])))/(INDEX(MCINormalized[],1,MATCH(H60,MCINormalized[#Headers]))/100)</f>
        <v>14.23648462507111</v>
      </c>
      <c r="I68" s="165">
        <f>(INDEX(CountyDisbursementsOperatingTransfers[],MATCH($A$3,CountyDisbursementsOperatingTransfers[County]),MATCH(I60,CountyDisbursementsOperatingTransfers[#Headers]))/INDEX(Population[],MATCH($A$3,Population[County]),MATCH(I60,Population[#Headers])))/(INDEX(MCINormalized[],1,MATCH(I60,MCINormalized[#Headers]))/100)</f>
        <v>13.902638061367279</v>
      </c>
      <c r="J68" s="165">
        <f>(INDEX(CountyDisbursementsOperatingTransfers[],MATCH($A$3,CountyDisbursementsOperatingTransfers[County]),MATCH(J60,CountyDisbursementsOperatingTransfers[#Headers]))/INDEX(Population[],MATCH($A$3,Population[County]),MATCH(J60,Population[#Headers])))/(INDEX(MCINormalized[],1,MATCH(J60,MCINormalized[#Headers]))/100)</f>
        <v>19.701271357834262</v>
      </c>
      <c r="K68" s="165">
        <f>(INDEX(CountyDisbursementsOperatingTransfers[],MATCH($A$3,CountyDisbursementsOperatingTransfers[County]),MATCH(K60,CountyDisbursementsOperatingTransfers[#Headers]))/INDEX(Population[],MATCH($A$3,Population[County]),MATCH(K60,Population[#Headers])))/(INDEX(MCINormalized[],1,MATCH(K60,MCINormalized[#Headers]))/100)</f>
        <v>13.250669090404006</v>
      </c>
      <c r="L68" s="165">
        <f>(INDEX(CountyDisbursementsOperatingTransfers[],MATCH($A$3,CountyDisbursementsOperatingTransfers[County]),MATCH(L60,CountyDisbursementsOperatingTransfers[#Headers]))/INDEX(Population[],MATCH($A$3,Population[County]),MATCH(L60,Population[#Headers])))/(INDEX(MCINormalized[],1,MATCH(L60,MCINormalized[#Headers]))/100)</f>
        <v>5.7203441714891241</v>
      </c>
      <c r="M68" s="165">
        <f>(INDEX(CountyDisbursementsOperatingTransfers[],MATCH($A$3,CountyDisbursementsOperatingTransfers[County]),MATCH(M60,CountyDisbursementsOperatingTransfers[#Headers]))/INDEX(Population[],MATCH($A$3,Population[County]),MATCH(M60,Population[#Headers])))/(INDEX(MCINormalized[],1,MATCH(M60,MCINormalized[#Headers]))/100)</f>
        <v>4.8098591894322675</v>
      </c>
      <c r="N68" s="165">
        <f>(INDEX(CountyDisbursementsOperatingTransfers[],MATCH($A$3,CountyDisbursementsOperatingTransfers[County]),MATCH(N60,CountyDisbursementsOperatingTransfers[#Headers]))/INDEX(Population[],MATCH($A$3,Population[County]),MATCH(N60,Population[#Headers])))/(INDEX(MCINormalized[],1,MATCH(N60,MCINormalized[#Headers]))/100)</f>
        <v>9.2030212064814325</v>
      </c>
      <c r="O68" s="165">
        <f>(INDEX(CountyDisbursementsOperatingTransfers[],MATCH($A$3,CountyDisbursementsOperatingTransfers[County]),MATCH(O60,CountyDisbursementsOperatingTransfers[#Headers]))/INDEX(Population[],MATCH($A$3,Population[County]),MATCH(O60,Population[#Headers])))/(INDEX(MCINormalized[],1,MATCH(O60,MCINormalized[#Headers]))/100)</f>
        <v>4.6674321779532519</v>
      </c>
      <c r="P68" s="165">
        <f>(INDEX(CountyDisbursementsOperatingTransfers[],MATCH($A$3,CountyDisbursementsOperatingTransfers[County]),MATCH(P60,CountyDisbursementsOperatingTransfers[#Headers]))/INDEX(Population[],MATCH($A$3,Population[County]),MATCH(P60,Population[#Headers])))/(INDEX(MCINormalized[],1,MATCH(P60,MCINormalized[#Headers]))/100)</f>
        <v>2.9536725345023842</v>
      </c>
      <c r="Q68" s="165">
        <f>(INDEX(CountyDisbursementsOperatingTransfers[],MATCH($A$3,CountyDisbursementsOperatingTransfers[County]),MATCH(Q60,CountyDisbursementsOperatingTransfers[#Headers]))/INDEX(Population[],MATCH($A$3,Population[County]),MATCH(Q60,Population[#Headers])))/(INDEX(MCINormalized[],1,MATCH(Q60,MCINormalized[#Headers]))/100)</f>
        <v>4.6627358907602865</v>
      </c>
      <c r="R68" s="165">
        <f>(INDEX(CountyDisbursementsOperatingTransfers[],MATCH($A$3,CountyDisbursementsOperatingTransfers[County]),MATCH(R60,CountyDisbursementsOperatingTransfers[#Headers]))/INDEX(Population[],MATCH($A$3,Population[County]),MATCH(R60,Population[#Headers])))/(INDEX(MCINormalized[],1,MATCH(R60,MCINormalized[#Headers]))/100)</f>
        <v>4.5680329765405716</v>
      </c>
      <c r="S68" s="165">
        <f>(INDEX(CountyDisbursementsOperatingTransfers[],MATCH($A$3,CountyDisbursementsOperatingTransfers[County]),MATCH(S60,CountyDisbursementsOperatingTransfers[#Headers]))/INDEX(Population[],MATCH($A$3,Population[County]),MATCH(S60,Population[#Headers])))/(INDEX(MCINormalized[],1,MATCH(S60,MCINormalized[#Headers]))/100)</f>
        <v>5.3612968703939528</v>
      </c>
      <c r="T68" s="165">
        <f>(INDEX(CountyDisbursementsOperatingTransfers[],MATCH($A$3,CountyDisbursementsOperatingTransfers[County]),MATCH(T60,CountyDisbursementsOperatingTransfers[#Headers]))/INDEX(Population[],MATCH($A$3,Population[County]),MATCH(T60,Population[#Headers])))/(INDEX(MCINormalized[],1,MATCH(T60,MCINormalized[#Headers]))/100)</f>
        <v>5.4443456570323532</v>
      </c>
      <c r="U68" s="165">
        <f>(INDEX(CountyDisbursementsOperatingTransfers[],MATCH($A$3,CountyDisbursementsOperatingTransfers[County]),MATCH(U60,CountyDisbursementsOperatingTransfers[#Headers]))/INDEX(Population[],MATCH($A$3,Population[County]),MATCH(U60,Population[#Headers])))/(INDEX(MCINormalized[],1,MATCH(U60,MCINormalized[#Headers]))/100)</f>
        <v>2.2699754403691341</v>
      </c>
      <c r="V68" s="165">
        <f>(INDEX(CountyDisbursementsOperatingTransfers[],MATCH($A$3,CountyDisbursementsOperatingTransfers[County]),MATCH(V60,CountyDisbursementsOperatingTransfers[#Headers]))/INDEX(Population[],MATCH($A$3,Population[County]),MATCH(V60,Population[#Headers])))/(INDEX(MCINormalized[],1,MATCH(V60,MCINormalized[#Headers]))/100)</f>
        <v>2.0503754604266509</v>
      </c>
      <c r="W68" s="165">
        <f>(INDEX(CountyDisbursementsOperatingTransfers[],MATCH($A$3,CountyDisbursementsOperatingTransfers[County]),MATCH(W60,CountyDisbursementsOperatingTransfers[#Headers]))/INDEX(Population[],MATCH($A$3,Population[County]),MATCH(W60,Population[#Headers])))/(INDEX(MCINormalized[],1,MATCH(W60,MCINormalized[#Headers]))/100)</f>
        <v>0</v>
      </c>
      <c r="X68" s="165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</row>
    <row r="69" spans="1:70" ht="16">
      <c r="A69" s="155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3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</row>
    <row r="70" spans="1:70" ht="16">
      <c r="A70" s="169" t="str">
        <f>CONCATENATE($A$5," County Detailed General Revenue Expenditures: Real per Capita")</f>
        <v>Maries County Detailed General Revenue Expenditures: Real per Capita</v>
      </c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53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</row>
    <row r="71" spans="1:70" ht="16">
      <c r="A71" s="306" t="s">
        <v>434</v>
      </c>
      <c r="B71" s="309" t="s">
        <v>409</v>
      </c>
      <c r="C71" s="309" t="s">
        <v>410</v>
      </c>
      <c r="D71" s="309" t="s">
        <v>411</v>
      </c>
      <c r="E71" s="309" t="s">
        <v>412</v>
      </c>
      <c r="F71" s="309" t="s">
        <v>413</v>
      </c>
      <c r="G71" s="309" t="s">
        <v>414</v>
      </c>
      <c r="H71" s="309" t="s">
        <v>415</v>
      </c>
      <c r="I71" s="309" t="s">
        <v>416</v>
      </c>
      <c r="J71" s="309" t="s">
        <v>417</v>
      </c>
      <c r="K71" s="308" t="s">
        <v>418</v>
      </c>
      <c r="L71" s="308" t="s">
        <v>419</v>
      </c>
      <c r="M71" s="308" t="s">
        <v>420</v>
      </c>
      <c r="N71" s="308" t="s">
        <v>421</v>
      </c>
      <c r="O71" s="308" t="s">
        <v>422</v>
      </c>
      <c r="P71" s="302" t="s">
        <v>423</v>
      </c>
      <c r="Q71" s="302" t="s">
        <v>355</v>
      </c>
      <c r="R71" s="302" t="s">
        <v>399</v>
      </c>
      <c r="S71" s="302" t="s">
        <v>424</v>
      </c>
      <c r="T71" s="302" t="s">
        <v>446</v>
      </c>
      <c r="U71" s="302" t="s">
        <v>523</v>
      </c>
      <c r="V71" s="302" t="s">
        <v>524</v>
      </c>
      <c r="W71" s="302" t="s">
        <v>525</v>
      </c>
      <c r="X71" s="302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</row>
    <row r="72" spans="1:70" ht="16">
      <c r="A72" s="153" t="s">
        <v>133</v>
      </c>
      <c r="B72" s="165">
        <f>(INDEX(CountyDisbursementsCentralGovt[],MATCH($A$5,CountyDisbursementsCentralGovt[County]),MATCH(B71,CountyDisbursementsCentralGovt[#Headers],0))/INDEX(Population[],MATCH($A$5,Population[County]),MATCH(B71,Population[#Headers],0)))/(INDEX(MCINormalized[],1,MATCH(B71,MCINormalized[#Headers],0))/100)</f>
        <v>25.68258785942492</v>
      </c>
      <c r="C72" s="165">
        <f>(INDEX(CountyDisbursementsCentralGovt[],MATCH($A$5,CountyDisbursementsCentralGovt[County]),MATCH(C71,CountyDisbursementsCentralGovt[#Headers]))/INDEX(Population[],MATCH($A$5,Population[County]),MATCH(C71,Population[#Headers])))/(INDEX(MCINormalized[],1,MATCH(C71,MCINormalized[#Headers]))/100)</f>
        <v>23.5284821005902</v>
      </c>
      <c r="D72" s="165">
        <f>(INDEX(CountyDisbursementsCentralGovt[],MATCH($A$5,CountyDisbursementsCentralGovt[County]),MATCH(D71,CountyDisbursementsCentralGovt[#Headers]))/INDEX(Population[],MATCH($A$5,Population[County]),MATCH(D71,Population[#Headers])))/(INDEX(MCINormalized[],1,MATCH(D71,MCINormalized[#Headers]))/100)</f>
        <v>26.971544764983669</v>
      </c>
      <c r="E72" s="165">
        <f>(INDEX(CountyDisbursementsCentralGovt[],MATCH($A$5,CountyDisbursementsCentralGovt[County]),MATCH(E71,CountyDisbursementsCentralGovt[#Headers]))/INDEX(Population[],MATCH($A$5,Population[County]),MATCH(E71,Population[#Headers])))/(INDEX(MCINormalized[],1,MATCH(E71,MCINormalized[#Headers]))/100)</f>
        <v>27.707687153200698</v>
      </c>
      <c r="F72" s="165">
        <f>(INDEX(CountyDisbursementsCentralGovt[],MATCH($A$5,CountyDisbursementsCentralGovt[County]),MATCH(F71,CountyDisbursementsCentralGovt[#Headers]))/INDEX(Population[],MATCH($A$5,Population[County]),MATCH(F71,Population[#Headers])))/(INDEX(MCINormalized[],1,MATCH(F71,MCINormalized[#Headers]))/100)</f>
        <v>29.624584818976722</v>
      </c>
      <c r="G72" s="165">
        <f>(INDEX(CountyDisbursementsCentralGovt[],MATCH($A$5,CountyDisbursementsCentralGovt[County]),MATCH(G71,CountyDisbursementsCentralGovt[#Headers]))/INDEX(Population[],MATCH($A$5,Population[County]),MATCH(G71,Population[#Headers])))/(INDEX(MCINormalized[],1,MATCH(G71,MCINormalized[#Headers]))/100)</f>
        <v>26.402076958380103</v>
      </c>
      <c r="H72" s="165">
        <f>(INDEX(CountyDisbursementsCentralGovt[],MATCH($A$5,CountyDisbursementsCentralGovt[County]),MATCH(H71,CountyDisbursementsCentralGovt[#Headers]))/INDEX(Population[],MATCH($A$5,Population[County]),MATCH(H71,Population[#Headers])))/(INDEX(MCINormalized[],1,MATCH(H71,MCINormalized[#Headers]))/100)</f>
        <v>31.819713653854684</v>
      </c>
      <c r="I72" s="165">
        <f>(INDEX(CountyDisbursementsCentralGovt[],MATCH($A$5,CountyDisbursementsCentralGovt[County]),MATCH(I71,CountyDisbursementsCentralGovt[#Headers]))/INDEX(Population[],MATCH($A$5,Population[County]),MATCH(I71,Population[#Headers])))/(INDEX(MCINormalized[],1,MATCH(I71,MCINormalized[#Headers]))/100)</f>
        <v>26.437376251428617</v>
      </c>
      <c r="J72" s="165">
        <f>(INDEX(CountyDisbursementsCentralGovt[],MATCH($A$5,CountyDisbursementsCentralGovt[County]),MATCH(J71,CountyDisbursementsCentralGovt[#Headers]))/INDEX(Population[],MATCH($A$5,Population[County]),MATCH(J71,Population[#Headers])))/(INDEX(MCINormalized[],1,MATCH(J71,MCINormalized[#Headers]))/100)</f>
        <v>29.411778532282558</v>
      </c>
      <c r="K72" s="165">
        <f>(INDEX(CountyDisbursementsCentralGovt[],MATCH($A$5,CountyDisbursementsCentralGovt[County]),MATCH(K71,CountyDisbursementsCentralGovt[#Headers]))/INDEX(Population[],MATCH($A$5,Population[County]),MATCH(K71,Population[#Headers])))/(INDEX(MCINormalized[],1,MATCH(K71,MCINormalized[#Headers]))/100)</f>
        <v>26.109012096247003</v>
      </c>
      <c r="L72" s="165">
        <f>(INDEX(CountyDisbursementsCentralGovt[],MATCH($A$5,CountyDisbursementsCentralGovt[County]),MATCH(L71,CountyDisbursementsCentralGovt[#Headers]))/INDEX(Population[],MATCH($A$5,Population[County]),MATCH(L71,Population[#Headers])))/(INDEX(MCINormalized[],1,MATCH(L71,MCINormalized[#Headers]))/100)</f>
        <v>30.917023261659828</v>
      </c>
      <c r="M72" s="165">
        <f>(INDEX(CountyDisbursementsCentralGovt[],MATCH($A$5,CountyDisbursementsCentralGovt[County]),MATCH(M71,CountyDisbursementsCentralGovt[#Headers]))/INDEX(Population[],MATCH($A$5,Population[County]),MATCH(M71,Population[#Headers])))/(INDEX(MCINormalized[],1,MATCH(M71,MCINormalized[#Headers]))/100)</f>
        <v>26.214191546002212</v>
      </c>
      <c r="N72" s="165">
        <f>(INDEX(CountyDisbursementsCentralGovt[],MATCH($A$5,CountyDisbursementsCentralGovt[County]),MATCH(N71,CountyDisbursementsCentralGovt[#Headers]))/INDEX(Population[],MATCH($A$5,Population[County]),MATCH(N71,Population[#Headers])))/(INDEX(MCINormalized[],1,MATCH(N71,MCINormalized[#Headers]))/100)</f>
        <v>29.477796622823451</v>
      </c>
      <c r="O72" s="165">
        <f>(INDEX(CountyDisbursementsCentralGovt[],MATCH($A$5,CountyDisbursementsCentralGovt[County]),MATCH(O71,CountyDisbursementsCentralGovt[#Headers]))/INDEX(Population[],MATCH($A$5,Population[County]),MATCH(O71,Population[#Headers])))/(INDEX(MCINormalized[],1,MATCH(O71,MCINormalized[#Headers]))/100)</f>
        <v>25.785349356997635</v>
      </c>
      <c r="P72" s="165">
        <f>(INDEX(CountyDisbursementsCentralGovt[],MATCH($A$5,CountyDisbursementsCentralGovt[County]),MATCH(P71,CountyDisbursementsCentralGovt[#Headers]))/INDEX(Population[],MATCH($A$5,Population[County]),MATCH(P71,Population[#Headers])))/(INDEX(MCINormalized[],1,MATCH(P71,MCINormalized[#Headers]))/100)</f>
        <v>23.169205589053178</v>
      </c>
      <c r="Q72" s="165">
        <f>(INDEX(CountyDisbursementsCentralGovt[],MATCH($A$5,CountyDisbursementsCentralGovt[County]),MATCH(Q71,CountyDisbursementsCentralGovt[#Headers]))/INDEX(Population[],MATCH($A$5,Population[County]),MATCH(Q71,Population[#Headers])))/(INDEX(MCINormalized[],1,MATCH(Q71,MCINormalized[#Headers]))/100)</f>
        <v>19.828646638570191</v>
      </c>
      <c r="R72" s="165">
        <f>(INDEX(CountyDisbursementsCentralGovt[],MATCH($A$5,CountyDisbursementsCentralGovt[County]),MATCH(R71,CountyDisbursementsCentralGovt[#Headers]))/INDEX(Population[],MATCH($A$5,Population[County]),MATCH(R71,Population[#Headers])))/(INDEX(MCINormalized[],1,MATCH(R71,MCINormalized[#Headers]))/100)</f>
        <v>0</v>
      </c>
      <c r="S72" s="165">
        <f>(INDEX(CountyDisbursementsCentralGovt[],MATCH($A$5,CountyDisbursementsCentralGovt[County]),MATCH(S71,CountyDisbursementsCentralGovt[#Headers]))/INDEX(Population[],MATCH($A$5,Population[County]),MATCH(S71,Population[#Headers])))/(INDEX(MCINormalized[],1,MATCH(S71,MCINormalized[#Headers]))/100)</f>
        <v>0</v>
      </c>
      <c r="T72" s="165">
        <f>(INDEX(CountyDisbursementsCentralGovt[],MATCH($A$5,CountyDisbursementsCentralGovt[County]),MATCH(T71,CountyDisbursementsCentralGovt[#Headers]))/INDEX(Population[],MATCH($A$5,Population[County]),MATCH(T71,Population[#Headers])))/(INDEX(MCINormalized[],1,MATCH(T71,MCINormalized[#Headers]))/100)</f>
        <v>0</v>
      </c>
      <c r="U72" s="165">
        <f>(INDEX(CountyDisbursementsCentralGovt[],MATCH($A$5,CountyDisbursementsCentralGovt[County]),MATCH(U71,CountyDisbursementsCentralGovt[#Headers]))/INDEX(Population[],MATCH($A$5,Population[County]),MATCH(U71,Population[#Headers])))/(INDEX(MCINormalized[],1,MATCH(U71,MCINormalized[#Headers]))/100)</f>
        <v>0</v>
      </c>
      <c r="V72" s="165">
        <f>(INDEX(CountyDisbursementsCentralGovt[],MATCH($A$5,CountyDisbursementsCentralGovt[County]),MATCH(V71,CountyDisbursementsCentralGovt[#Headers]))/INDEX(Population[],MATCH($A$5,Population[County]),MATCH(V71,Population[#Headers])))/(INDEX(MCINormalized[],1,MATCH(V71,MCINormalized[#Headers]))/100)</f>
        <v>0</v>
      </c>
      <c r="W72" s="165">
        <f>(INDEX(CountyDisbursementsCentralGovt[],MATCH($A$5,CountyDisbursementsCentralGovt[County]),MATCH(W71,CountyDisbursementsCentralGovt[#Headers]))/INDEX(Population[],MATCH($A$5,Population[County]),MATCH(W71,Population[#Headers])))/(INDEX(MCINormalized[],1,MATCH(W71,MCINormalized[#Headers]))/100)</f>
        <v>0</v>
      </c>
      <c r="X72" s="165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</row>
    <row r="73" spans="1:70" ht="16">
      <c r="A73" s="153" t="s">
        <v>135</v>
      </c>
      <c r="B73" s="165">
        <f>(INDEX(CountyDisbursementsLawEnforcement[],MATCH($A$5,CountyDisbursementsLawEnforcement[County]),MATCH(B71,CountyDisbursementsLawEnforcement[#Headers],0))/INDEX(Population[],MATCH($A$5,Population[County]),MATCH(B71,Population[#Headers],0)))/(INDEX(MCINormalized[],1,MATCH(B71,MCINormalized[#Headers],0))/100)</f>
        <v>26.6337948171814</v>
      </c>
      <c r="C73" s="165">
        <f>(INDEX(CountyDisbursementsLawEnforcement[],MATCH($A$5,CountyDisbursementsLawEnforcement[County]),MATCH(C71,CountyDisbursementsLawEnforcement[#Headers]))/INDEX(Population[],MATCH($A$5,Population[County]),MATCH(C71,Population[#Headers])))/(INDEX(MCINormalized[],1,MATCH(C71,MCINormalized[#Headers]))/100)</f>
        <v>29.863073435364477</v>
      </c>
      <c r="D73" s="165">
        <f>(INDEX(CountyDisbursementsLawEnforcement[],MATCH($A$5,CountyDisbursementsLawEnforcement[County]),MATCH(D71,CountyDisbursementsLawEnforcement[#Headers]))/INDEX(Population[],MATCH($A$5,Population[County]),MATCH(D71,Population[#Headers])))/(INDEX(MCINormalized[],1,MATCH(D71,MCINormalized[#Headers]))/100)</f>
        <v>31.787892044445044</v>
      </c>
      <c r="E73" s="165">
        <f>(INDEX(CountyDisbursementsLawEnforcement[],MATCH($A$5,CountyDisbursementsLawEnforcement[County]),MATCH(E71,CountyDisbursementsLawEnforcement[#Headers]))/INDEX(Population[],MATCH($A$5,Population[County]),MATCH(E71,Population[#Headers])))/(INDEX(MCINormalized[],1,MATCH(E71,MCINormalized[#Headers]))/100)</f>
        <v>28.631276724974054</v>
      </c>
      <c r="F73" s="165">
        <f>(INDEX(CountyDisbursementsLawEnforcement[],MATCH($A$5,CountyDisbursementsLawEnforcement[County]),MATCH(F71,CountyDisbursementsLawEnforcement[#Headers]))/INDEX(Population[],MATCH($A$5,Population[County]),MATCH(F71,Population[#Headers])))/(INDEX(MCINormalized[],1,MATCH(F71,MCINormalized[#Headers]))/100)</f>
        <v>37.030731023720904</v>
      </c>
      <c r="G73" s="165">
        <f>(INDEX(CountyDisbursementsLawEnforcement[],MATCH($A$5,CountyDisbursementsLawEnforcement[County]),MATCH(G71,CountyDisbursementsLawEnforcement[#Headers]))/INDEX(Population[],MATCH($A$5,Population[County]),MATCH(G71,Population[#Headers])))/(INDEX(MCINormalized[],1,MATCH(G71,MCINormalized[#Headers]))/100)</f>
        <v>31.902509658042622</v>
      </c>
      <c r="H73" s="165">
        <f>(INDEX(CountyDisbursementsLawEnforcement[],MATCH($A$5,CountyDisbursementsLawEnforcement[County]),MATCH(H71,CountyDisbursementsLawEnforcement[#Headers]))/INDEX(Population[],MATCH($A$5,Population[County]),MATCH(H71,Population[#Headers])))/(INDEX(MCINormalized[],1,MATCH(H71,MCINormalized[#Headers]))/100)</f>
        <v>32.952921030661152</v>
      </c>
      <c r="I73" s="165">
        <f>(INDEX(CountyDisbursementsLawEnforcement[],MATCH($A$5,CountyDisbursementsLawEnforcement[County]),MATCH(I71,CountyDisbursementsLawEnforcement[#Headers]))/INDEX(Population[],MATCH($A$5,Population[County]),MATCH(I71,Population[#Headers])))/(INDEX(MCINormalized[],1,MATCH(I71,MCINormalized[#Headers]))/100)</f>
        <v>21.716416206530649</v>
      </c>
      <c r="J73" s="165">
        <f>(INDEX(CountyDisbursementsLawEnforcement[],MATCH($A$5,CountyDisbursementsLawEnforcement[County]),MATCH(J71,CountyDisbursementsLawEnforcement[#Headers]))/INDEX(Population[],MATCH($A$5,Population[County]),MATCH(J71,Population[#Headers])))/(INDEX(MCINormalized[],1,MATCH(J71,MCINormalized[#Headers]))/100)</f>
        <v>19.469999824981645</v>
      </c>
      <c r="K73" s="165">
        <f>(INDEX(CountyDisbursementsLawEnforcement[],MATCH($A$5,CountyDisbursementsLawEnforcement[County]),MATCH(K71,CountyDisbursementsLawEnforcement[#Headers]))/INDEX(Population[],MATCH($A$5,Population[County]),MATCH(K71,Population[#Headers])))/(INDEX(MCINormalized[],1,MATCH(K71,MCINormalized[#Headers]))/100)</f>
        <v>23.684513680964191</v>
      </c>
      <c r="L73" s="165">
        <f>(INDEX(CountyDisbursementsLawEnforcement[],MATCH($A$5,CountyDisbursementsLawEnforcement[County]),MATCH(L71,CountyDisbursementsLawEnforcement[#Headers]))/INDEX(Population[],MATCH($A$5,Population[County]),MATCH(L71,Population[#Headers])))/(INDEX(MCINormalized[],1,MATCH(L71,MCINormalized[#Headers]))/100)</f>
        <v>19.219599833707164</v>
      </c>
      <c r="M73" s="165">
        <f>(INDEX(CountyDisbursementsLawEnforcement[],MATCH($A$5,CountyDisbursementsLawEnforcement[County]),MATCH(M71,CountyDisbursementsLawEnforcement[#Headers]))/INDEX(Population[],MATCH($A$5,Population[County]),MATCH(M71,Population[#Headers])))/(INDEX(MCINormalized[],1,MATCH(M71,MCINormalized[#Headers]))/100)</f>
        <v>20.857658989449035</v>
      </c>
      <c r="N73" s="165">
        <f>(INDEX(CountyDisbursementsLawEnforcement[],MATCH($A$5,CountyDisbursementsLawEnforcement[County]),MATCH(N71,CountyDisbursementsLawEnforcement[#Headers]))/INDEX(Population[],MATCH($A$5,Population[County]),MATCH(N71,Population[#Headers])))/(INDEX(MCINormalized[],1,MATCH(N71,MCINormalized[#Headers]))/100)</f>
        <v>17.42188925088081</v>
      </c>
      <c r="O73" s="165">
        <f>(INDEX(CountyDisbursementsLawEnforcement[],MATCH($A$5,CountyDisbursementsLawEnforcement[County]),MATCH(O71,CountyDisbursementsLawEnforcement[#Headers]))/INDEX(Population[],MATCH($A$5,Population[County]),MATCH(O71,Population[#Headers])))/(INDEX(MCINormalized[],1,MATCH(O71,MCINormalized[#Headers]))/100)</f>
        <v>20.891732311830573</v>
      </c>
      <c r="P73" s="165">
        <f>(INDEX(CountyDisbursementsLawEnforcement[],MATCH($A$5,CountyDisbursementsLawEnforcement[County]),MATCH(P71,CountyDisbursementsLawEnforcement[#Headers]))/INDEX(Population[],MATCH($A$5,Population[County]),MATCH(P71,Population[#Headers])))/(INDEX(MCINormalized[],1,MATCH(P71,MCINormalized[#Headers]))/100)</f>
        <v>2.7797784487649433</v>
      </c>
      <c r="Q73" s="165">
        <f>(INDEX(CountyDisbursementsLawEnforcement[],MATCH($A$5,CountyDisbursementsLawEnforcement[County]),MATCH(Q71,CountyDisbursementsLawEnforcement[#Headers]))/INDEX(Population[],MATCH($A$5,Population[County]),MATCH(Q71,Population[#Headers])))/(INDEX(MCINormalized[],1,MATCH(Q71,MCINormalized[#Headers]))/100)</f>
        <v>2.1255743319853204</v>
      </c>
      <c r="R73" s="165">
        <f>(INDEX(CountyDisbursementsLawEnforcement[],MATCH($A$5,CountyDisbursementsLawEnforcement[County]),MATCH(R71,CountyDisbursementsLawEnforcement[#Headers]))/INDEX(Population[],MATCH($A$5,Population[County]),MATCH(R71,Population[#Headers])))/(INDEX(MCINormalized[],1,MATCH(R71,MCINormalized[#Headers]))/100)</f>
        <v>0</v>
      </c>
      <c r="S73" s="165">
        <f>(INDEX(CountyDisbursementsLawEnforcement[],MATCH($A$5,CountyDisbursementsLawEnforcement[County]),MATCH(S71,CountyDisbursementsLawEnforcement[#Headers]))/INDEX(Population[],MATCH($A$5,Population[County]),MATCH(S71,Population[#Headers])))/(INDEX(MCINormalized[],1,MATCH(S71,MCINormalized[#Headers]))/100)</f>
        <v>0</v>
      </c>
      <c r="T73" s="165">
        <f>(INDEX(CountyDisbursementsLawEnforcement[],MATCH($A$5,CountyDisbursementsLawEnforcement[County]),MATCH(T71,CountyDisbursementsLawEnforcement[#Headers]))/INDEX(Population[],MATCH($A$5,Population[County]),MATCH(T71,Population[#Headers])))/(INDEX(MCINormalized[],1,MATCH(T71,MCINormalized[#Headers]))/100)</f>
        <v>0</v>
      </c>
      <c r="U73" s="165">
        <f>(INDEX(CountyDisbursementsLawEnforcement[],MATCH($A$5,CountyDisbursementsLawEnforcement[County]),MATCH(U71,CountyDisbursementsLawEnforcement[#Headers]))/INDEX(Population[],MATCH($A$5,Population[County]),MATCH(U71,Population[#Headers])))/(INDEX(MCINormalized[],1,MATCH(U71,MCINormalized[#Headers]))/100)</f>
        <v>0</v>
      </c>
      <c r="V73" s="165">
        <f>(INDEX(CountyDisbursementsLawEnforcement[],MATCH($A$5,CountyDisbursementsLawEnforcement[County]),MATCH(V71,CountyDisbursementsLawEnforcement[#Headers]))/INDEX(Population[],MATCH($A$5,Population[County]),MATCH(V71,Population[#Headers])))/(INDEX(MCINormalized[],1,MATCH(V71,MCINormalized[#Headers]))/100)</f>
        <v>0</v>
      </c>
      <c r="W73" s="165">
        <f>(INDEX(CountyDisbursementsLawEnforcement[],MATCH($A$5,CountyDisbursementsLawEnforcement[County]),MATCH(W71,CountyDisbursementsLawEnforcement[#Headers]))/INDEX(Population[],MATCH($A$5,Population[County]),MATCH(W71,Population[#Headers])))/(INDEX(MCINormalized[],1,MATCH(W71,MCINormalized[#Headers]))/100)</f>
        <v>0</v>
      </c>
      <c r="X73" s="165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</row>
    <row r="74" spans="1:70" ht="16">
      <c r="A74" s="153" t="s">
        <v>134</v>
      </c>
      <c r="B74" s="165">
        <f>(INDEX(CountyDisbursementsCourt[],MATCH($A$5,CountyDisbursementsCourt[County]),MATCH(B71,CountyDisbursementsCourt[#Headers],0))/INDEX(Population[],MATCH($A$5,Population[County]),MATCH(B71,Population[#Headers],0)))/(INDEX(MCINormalized[],1,MATCH(B71,MCINormalized[#Headers],0))/100)</f>
        <v>5.7072417465388705</v>
      </c>
      <c r="C74" s="165">
        <f>(INDEX(CountyDisbursementsCourt[],MATCH($A$5,CountyDisbursementsCourt[County]),MATCH(C71,CountyDisbursementsCourt[#Headers]))/INDEX(Population[],MATCH($A$5,Population[County]),MATCH(C71,Population[#Headers])))/(INDEX(MCINormalized[],1,MATCH(C71,MCINormalized[#Headers]))/100)</f>
        <v>6.3345913347742835</v>
      </c>
      <c r="D74" s="165">
        <f>(INDEX(CountyDisbursementsCourt[],MATCH($A$5,CountyDisbursementsCourt[County]),MATCH(D71,CountyDisbursementsCourt[#Headers]))/INDEX(Population[],MATCH($A$5,Population[County]),MATCH(D71,Population[#Headers])))/(INDEX(MCINormalized[],1,MATCH(D71,MCINormalized[#Headers]))/100)</f>
        <v>5.7796167353536427</v>
      </c>
      <c r="E74" s="165">
        <f>(INDEX(CountyDisbursementsCourt[],MATCH($A$5,CountyDisbursementsCourt[County]),MATCH(E71,CountyDisbursementsCourt[#Headers]))/INDEX(Population[],MATCH($A$5,Population[County]),MATCH(E71,Population[#Headers])))/(INDEX(MCINormalized[],1,MATCH(E71,MCINormalized[#Headers]))/100)</f>
        <v>5.5415374306401404</v>
      </c>
      <c r="F74" s="165">
        <f>(INDEX(CountyDisbursementsCourt[],MATCH($A$5,CountyDisbursementsCourt[County]),MATCH(F71,CountyDisbursementsCourt[#Headers]))/INDEX(Population[],MATCH($A$5,Population[County]),MATCH(F71,Population[#Headers])))/(INDEX(MCINormalized[],1,MATCH(F71,MCINormalized[#Headers]))/100)</f>
        <v>6.3481253183521549</v>
      </c>
      <c r="G74" s="165">
        <f>(INDEX(CountyDisbursementsCourt[],MATCH($A$5,CountyDisbursementsCourt[County]),MATCH(G71,CountyDisbursementsCourt[#Headers]))/INDEX(Population[],MATCH($A$5,Population[County]),MATCH(G71,Population[#Headers])))/(INDEX(MCINormalized[],1,MATCH(G71,MCINormalized[#Headers]))/100)</f>
        <v>6.6005192395950258</v>
      </c>
      <c r="H74" s="165">
        <f>(INDEX(CountyDisbursementsCourt[],MATCH($A$5,CountyDisbursementsCourt[County]),MATCH(H71,CountyDisbursementsCourt[#Headers]))/INDEX(Population[],MATCH($A$5,Population[County]),MATCH(H71,Population[#Headers])))/(INDEX(MCINormalized[],1,MATCH(H71,MCINormalized[#Headers]))/100)</f>
        <v>5.492153505110192</v>
      </c>
      <c r="I74" s="165">
        <f>(INDEX(CountyDisbursementsCourt[],MATCH($A$5,CountyDisbursementsCourt[County]),MATCH(I71,CountyDisbursementsCourt[#Headers]))/INDEX(Population[],MATCH($A$5,Population[County]),MATCH(I71,Population[#Headers])))/(INDEX(MCINormalized[],1,MATCH(I71,MCINormalized[#Headers]))/100)</f>
        <v>4.7209600448979661</v>
      </c>
      <c r="J74" s="165">
        <f>(INDEX(CountyDisbursementsCourt[],MATCH($A$5,CountyDisbursementsCourt[County]),MATCH(J71,CountyDisbursementsCourt[#Headers]))/INDEX(Population[],MATCH($A$5,Population[County]),MATCH(J71,Population[#Headers])))/(INDEX(MCINormalized[],1,MATCH(J71,MCINormalized[#Headers]))/100)</f>
        <v>5.2948124348595638</v>
      </c>
      <c r="K74" s="165">
        <f>(INDEX(CountyDisbursementsCourt[],MATCH($A$5,CountyDisbursementsCourt[County]),MATCH(K71,CountyDisbursementsCourt[#Headers]))/INDEX(Population[],MATCH($A$5,Population[County]),MATCH(K71,Population[#Headers])))/(INDEX(MCINormalized[],1,MATCH(K71,MCINormalized[#Headers]))/100)</f>
        <v>5.6157801921184749</v>
      </c>
      <c r="L74" s="165">
        <f>(INDEX(CountyDisbursementsCourt[],MATCH($A$5,CountyDisbursementsCourt[County]),MATCH(L71,CountyDisbursementsCourt[#Headers]))/INDEX(Population[],MATCH($A$5,Population[County]),MATCH(L71,Population[#Headers])))/(INDEX(MCINormalized[],1,MATCH(L71,MCINormalized[#Headers]))/100)</f>
        <v>7.4026548843684727</v>
      </c>
      <c r="M74" s="165">
        <f>(INDEX(CountyDisbursementsCourt[],MATCH($A$5,CountyDisbursementsCourt[County]),MATCH(M71,CountyDisbursementsCourt[#Headers]))/INDEX(Population[],MATCH($A$5,Population[County]),MATCH(M71,Population[#Headers])))/(INDEX(MCINormalized[],1,MATCH(M71,MCINormalized[#Headers]))/100)</f>
        <v>5.262405911988334</v>
      </c>
      <c r="N74" s="165">
        <f>(INDEX(CountyDisbursementsCourt[],MATCH($A$5,CountyDisbursementsCourt[County]),MATCH(N71,CountyDisbursementsCourt[#Headers]))/INDEX(Population[],MATCH($A$5,Population[County]),MATCH(N71,Population[#Headers])))/(INDEX(MCINormalized[],1,MATCH(N71,MCINormalized[#Headers]))/100)</f>
        <v>4.8113131724034837</v>
      </c>
      <c r="O74" s="165">
        <f>(INDEX(CountyDisbursementsCourt[],MATCH($A$5,CountyDisbursementsCourt[County]),MATCH(O71,CountyDisbursementsCourt[#Headers]))/INDEX(Population[],MATCH($A$5,Population[County]),MATCH(O71,Population[#Headers])))/(INDEX(MCINormalized[],1,MATCH(O71,MCINormalized[#Headers]))/100)</f>
        <v>6.6493035472142177</v>
      </c>
      <c r="P74" s="165">
        <f>(INDEX(CountyDisbursementsCourt[],MATCH($A$5,CountyDisbursementsCourt[County]),MATCH(P71,CountyDisbursementsCourt[#Headers]))/INDEX(Population[],MATCH($A$5,Population[County]),MATCH(P71,Population[#Headers])))/(INDEX(MCINormalized[],1,MATCH(P71,MCINormalized[#Headers]))/100)</f>
        <v>4.1675215350144317</v>
      </c>
      <c r="Q74" s="165">
        <f>(INDEX(CountyDisbursementsCourt[],MATCH($A$5,CountyDisbursementsCourt[County]),MATCH(Q71,CountyDisbursementsCourt[#Headers]))/INDEX(Population[],MATCH($A$5,Population[County]),MATCH(Q71,Population[#Headers])))/(INDEX(MCINormalized[],1,MATCH(Q71,MCINormalized[#Headers]))/100)</f>
        <v>4.0725702259169898</v>
      </c>
      <c r="R74" s="165">
        <f>(INDEX(CountyDisbursementsCourt[],MATCH($A$5,CountyDisbursementsCourt[County]),MATCH(R71,CountyDisbursementsCourt[#Headers]))/INDEX(Population[],MATCH($A$5,Population[County]),MATCH(R71,Population[#Headers])))/(INDEX(MCINormalized[],1,MATCH(R71,MCINormalized[#Headers]))/100)</f>
        <v>0</v>
      </c>
      <c r="S74" s="165">
        <f>(INDEX(CountyDisbursementsCourt[],MATCH($A$5,CountyDisbursementsCourt[County]),MATCH(S71,CountyDisbursementsCourt[#Headers]))/INDEX(Population[],MATCH($A$5,Population[County]),MATCH(S71,Population[#Headers])))/(INDEX(MCINormalized[],1,MATCH(S71,MCINormalized[#Headers]))/100)</f>
        <v>0</v>
      </c>
      <c r="T74" s="165">
        <f>(INDEX(CountyDisbursementsCourt[],MATCH($A$5,CountyDisbursementsCourt[County]),MATCH(T71,CountyDisbursementsCourt[#Headers]))/INDEX(Population[],MATCH($A$5,Population[County]),MATCH(T71,Population[#Headers])))/(INDEX(MCINormalized[],1,MATCH(T71,MCINormalized[#Headers]))/100)</f>
        <v>0</v>
      </c>
      <c r="U74" s="165">
        <f>(INDEX(CountyDisbursementsCourt[],MATCH($A$5,CountyDisbursementsCourt[County]),MATCH(U71,CountyDisbursementsCourt[#Headers]))/INDEX(Population[],MATCH($A$5,Population[County]),MATCH(U71,Population[#Headers])))/(INDEX(MCINormalized[],1,MATCH(U71,MCINormalized[#Headers]))/100)</f>
        <v>0</v>
      </c>
      <c r="V74" s="165">
        <f>(INDEX(CountyDisbursementsCourt[],MATCH($A$5,CountyDisbursementsCourt[County]),MATCH(V71,CountyDisbursementsCourt[#Headers]))/INDEX(Population[],MATCH($A$5,Population[County]),MATCH(V71,Population[#Headers])))/(INDEX(MCINormalized[],1,MATCH(V71,MCINormalized[#Headers]))/100)</f>
        <v>0</v>
      </c>
      <c r="W74" s="165">
        <f>(INDEX(CountyDisbursementsCourt[],MATCH($A$5,CountyDisbursementsCourt[County]),MATCH(W71,CountyDisbursementsCourt[#Headers]))/INDEX(Population[],MATCH($A$5,Population[County]),MATCH(W71,Population[#Headers])))/(INDEX(MCINormalized[],1,MATCH(W71,MCINormalized[#Headers]))/100)</f>
        <v>0</v>
      </c>
      <c r="X74" s="165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</row>
    <row r="75" spans="1:70" ht="16">
      <c r="A75" s="153" t="s">
        <v>118</v>
      </c>
      <c r="B75" s="165">
        <f>(INDEX(CountyDisbursementsFringeBenefits[],MATCH($A$5,CountyDisbursementsFringeBenefits[County]),MATCH(B71,CountyDisbursementsFringeBenefits[#Headers],0))/INDEX(Population[],MATCH($A$5,Population[County]),MATCH(B71,Population[#Headers],0)))/(INDEX(MCINormalized[],1,MATCH(B71,MCINormalized[#Headers],0))/100)</f>
        <v>0</v>
      </c>
      <c r="C75" s="165">
        <f>(INDEX(CountyDisbursementsFringeBenefits[],MATCH($A$5,CountyDisbursementsFringeBenefits[County]),MATCH(C71,CountyDisbursementsFringeBenefits[#Headers]))/INDEX(Population[],MATCH($A$5,Population[County]),MATCH(C71,Population[#Headers])))/(INDEX(MCINormalized[],1,MATCH(C71,MCINormalized[#Headers]))/100)</f>
        <v>9.049416192534693</v>
      </c>
      <c r="D75" s="165">
        <f>(INDEX(CountyDisbursementsFringeBenefits[],MATCH($A$5,CountyDisbursementsFringeBenefits[County]),MATCH(D71,CountyDisbursementsFringeBenefits[#Headers]))/INDEX(Population[],MATCH($A$5,Population[County]),MATCH(D71,Population[#Headers])))/(INDEX(MCINormalized[],1,MATCH(D71,MCINormalized[#Headers]))/100)</f>
        <v>8.6694251030304663</v>
      </c>
      <c r="E75" s="165">
        <f>(INDEX(CountyDisbursementsFringeBenefits[],MATCH($A$5,CountyDisbursementsFringeBenefits[County]),MATCH(E71,CountyDisbursementsFringeBenefits[#Headers]))/INDEX(Population[],MATCH($A$5,Population[County]),MATCH(E71,Population[#Headers])))/(INDEX(MCINormalized[],1,MATCH(E71,MCINormalized[#Headers]))/100)</f>
        <v>8.3123061459602088</v>
      </c>
      <c r="F75" s="165">
        <f>(INDEX(CountyDisbursementsFringeBenefits[],MATCH($A$5,CountyDisbursementsFringeBenefits[County]),MATCH(F71,CountyDisbursementsFringeBenefits[#Headers]))/INDEX(Population[],MATCH($A$5,Population[County]),MATCH(F71,Population[#Headers])))/(INDEX(MCINormalized[],1,MATCH(F71,MCINormalized[#Headers]))/100)</f>
        <v>9.5221879775282332</v>
      </c>
      <c r="G75" s="165">
        <f>(INDEX(CountyDisbursementsFringeBenefits[],MATCH($A$5,CountyDisbursementsFringeBenefits[County]),MATCH(G71,CountyDisbursementsFringeBenefits[#Headers]))/INDEX(Population[],MATCH($A$5,Population[County]),MATCH(G71,Population[#Headers])))/(INDEX(MCINormalized[],1,MATCH(G71,MCINormalized[#Headers]))/100)</f>
        <v>9.9007788593925383</v>
      </c>
      <c r="H75" s="165">
        <f>(INDEX(CountyDisbursementsFringeBenefits[],MATCH($A$5,CountyDisbursementsFringeBenefits[County]),MATCH(H71,CountyDisbursementsFringeBenefits[#Headers]))/INDEX(Population[],MATCH($A$5,Population[County]),MATCH(H71,Population[#Headers])))/(INDEX(MCINormalized[],1,MATCH(H71,MCINormalized[#Headers]))/100)</f>
        <v>13.18116841226446</v>
      </c>
      <c r="I75" s="165">
        <f>(INDEX(CountyDisbursementsFringeBenefits[],MATCH($A$5,CountyDisbursementsFringeBenefits[County]),MATCH(I71,CountyDisbursementsFringeBenefits[#Headers]))/INDEX(Population[],MATCH($A$5,Population[County]),MATCH(I71,Population[#Headers])))/(INDEX(MCINormalized[],1,MATCH(I71,MCINormalized[#Headers]))/100)</f>
        <v>12.274496116734714</v>
      </c>
      <c r="J75" s="165">
        <f>(INDEX(CountyDisbursementsFringeBenefits[],MATCH($A$5,CountyDisbursementsFringeBenefits[County]),MATCH(J71,CountyDisbursementsFringeBenefits[#Headers]))/INDEX(Population[],MATCH($A$5,Population[County]),MATCH(J71,Population[#Headers])))/(INDEX(MCINormalized[],1,MATCH(J71,MCINormalized[#Headers]))/100)</f>
        <v>12.531432609352017</v>
      </c>
      <c r="K75" s="165">
        <f>(INDEX(CountyDisbursementsFringeBenefits[],MATCH($A$5,CountyDisbursementsFringeBenefits[County]),MATCH(K71,CountyDisbursementsFringeBenefits[#Headers]))/INDEX(Population[],MATCH($A$5,Population[County]),MATCH(K71,Population[#Headers])))/(INDEX(MCINormalized[],1,MATCH(K71,MCINormalized[#Headers]))/100)</f>
        <v>12.781268107451469</v>
      </c>
      <c r="L75" s="165">
        <f>(INDEX(CountyDisbursementsFringeBenefits[],MATCH($A$5,CountyDisbursementsFringeBenefits[County]),MATCH(L71,CountyDisbursementsFringeBenefits[#Headers]))/INDEX(Population[],MATCH($A$5,Population[County]),MATCH(L71,Population[#Headers])))/(INDEX(MCINormalized[],1,MATCH(L71,MCINormalized[#Headers]))/100)</f>
        <v>9.1806089991491966</v>
      </c>
      <c r="M75" s="165">
        <f>(INDEX(CountyDisbursementsFringeBenefits[],MATCH($A$5,CountyDisbursementsFringeBenefits[County]),MATCH(M71,CountyDisbursementsFringeBenefits[#Headers]))/INDEX(Population[],MATCH($A$5,Population[County]),MATCH(M71,Population[#Headers])))/(INDEX(MCINormalized[],1,MATCH(M71,MCINormalized[#Headers]))/100)</f>
        <v>8.1491405976904066</v>
      </c>
      <c r="N75" s="165">
        <f>(INDEX(CountyDisbursementsFringeBenefits[],MATCH($A$5,CountyDisbursementsFringeBenefits[County]),MATCH(N71,CountyDisbursementsFringeBenefits[#Headers]))/INDEX(Population[],MATCH($A$5,Population[County]),MATCH(N71,Population[#Headers])))/(INDEX(MCINormalized[],1,MATCH(N71,MCINormalized[#Headers]))/100)</f>
        <v>6.3058893876127335</v>
      </c>
      <c r="O75" s="165">
        <f>(INDEX(CountyDisbursementsFringeBenefits[],MATCH($A$5,CountyDisbursementsFringeBenefits[County]),MATCH(O71,CountyDisbursementsFringeBenefits[#Headers]))/INDEX(Population[],MATCH($A$5,Population[County]),MATCH(O71,Population[#Headers])))/(INDEX(MCINormalized[],1,MATCH(O71,MCINormalized[#Headers]))/100)</f>
        <v>7.1478668985480232</v>
      </c>
      <c r="P75" s="165">
        <f>(INDEX(CountyDisbursementsFringeBenefits[],MATCH($A$5,CountyDisbursementsFringeBenefits[County]),MATCH(P71,CountyDisbursementsFringeBenefits[#Headers]))/INDEX(Population[],MATCH($A$5,Population[County]),MATCH(P71,Population[#Headers])))/(INDEX(MCINormalized[],1,MATCH(P71,MCINormalized[#Headers]))/100)</f>
        <v>3.5179384788157857</v>
      </c>
      <c r="Q75" s="165">
        <f>(INDEX(CountyDisbursementsFringeBenefits[],MATCH($A$5,CountyDisbursementsFringeBenefits[County]),MATCH(Q71,CountyDisbursementsFringeBenefits[#Headers]))/INDEX(Population[],MATCH($A$5,Population[County]),MATCH(Q71,Population[#Headers])))/(INDEX(MCINormalized[],1,MATCH(Q71,MCINormalized[#Headers]))/100)</f>
        <v>3.0051114099782033</v>
      </c>
      <c r="R75" s="165">
        <f>(INDEX(CountyDisbursementsFringeBenefits[],MATCH($A$5,CountyDisbursementsFringeBenefits[County]),MATCH(R71,CountyDisbursementsFringeBenefits[#Headers]))/INDEX(Population[],MATCH($A$5,Population[County]),MATCH(R71,Population[#Headers])))/(INDEX(MCINormalized[],1,MATCH(R71,MCINormalized[#Headers]))/100)</f>
        <v>0</v>
      </c>
      <c r="S75" s="165">
        <f>(INDEX(CountyDisbursementsFringeBenefits[],MATCH($A$5,CountyDisbursementsFringeBenefits[County]),MATCH(S71,CountyDisbursementsFringeBenefits[#Headers]))/INDEX(Population[],MATCH($A$5,Population[County]),MATCH(S71,Population[#Headers])))/(INDEX(MCINormalized[],1,MATCH(S71,MCINormalized[#Headers]))/100)</f>
        <v>0</v>
      </c>
      <c r="T75" s="165">
        <f>(INDEX(CountyDisbursementsFringeBenefits[],MATCH($A$5,CountyDisbursementsFringeBenefits[County]),MATCH(T71,CountyDisbursementsFringeBenefits[#Headers]))/INDEX(Population[],MATCH($A$5,Population[County]),MATCH(T71,Population[#Headers])))/(INDEX(MCINormalized[],1,MATCH(T71,MCINormalized[#Headers]))/100)</f>
        <v>0</v>
      </c>
      <c r="U75" s="165">
        <f>(INDEX(CountyDisbursementsFringeBenefits[],MATCH($A$5,CountyDisbursementsFringeBenefits[County]),MATCH(U71,CountyDisbursementsFringeBenefits[#Headers]))/INDEX(Population[],MATCH($A$5,Population[County]),MATCH(U71,Population[#Headers])))/(INDEX(MCINormalized[],1,MATCH(U71,MCINormalized[#Headers]))/100)</f>
        <v>0</v>
      </c>
      <c r="V75" s="165">
        <f>(INDEX(CountyDisbursementsFringeBenefits[],MATCH($A$5,CountyDisbursementsFringeBenefits[County]),MATCH(V71,CountyDisbursementsFringeBenefits[#Headers]))/INDEX(Population[],MATCH($A$5,Population[County]),MATCH(V71,Population[#Headers])))/(INDEX(MCINormalized[],1,MATCH(V71,MCINormalized[#Headers]))/100)</f>
        <v>0</v>
      </c>
      <c r="W75" s="165">
        <f>(INDEX(CountyDisbursementsFringeBenefits[],MATCH($A$5,CountyDisbursementsFringeBenefits[County]),MATCH(W71,CountyDisbursementsFringeBenefits[#Headers]))/INDEX(Population[],MATCH($A$5,Population[County]),MATCH(W71,Population[#Headers])))/(INDEX(MCINormalized[],1,MATCH(W71,MCINormalized[#Headers]))/100)</f>
        <v>0</v>
      </c>
      <c r="X75" s="165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</row>
    <row r="76" spans="1:70" ht="16">
      <c r="A76" s="153" t="s">
        <v>128</v>
      </c>
      <c r="B76" s="165">
        <f>(INDEX(CountyDisbursementsProsecutingAttorney[],MATCH($A$5,CountyDisbursementsProsecutingAttorney[County]),MATCH(B71,CountyDisbursementsProsecutingAttorney[#Headers],0))/INDEX(Population[],MATCH($A$5,Population[County]),MATCH(B71,Population[#Headers],0)))/(INDEX(MCINormalized[],1,MATCH(B71,MCINormalized[#Headers],0))/100)</f>
        <v>4.7560347887823928</v>
      </c>
      <c r="C76" s="165">
        <f>(INDEX(CountyDisbursementsProsecutingAttorney[],MATCH($A$5,CountyDisbursementsProsecutingAttorney[County]),MATCH(C71,CountyDisbursementsProsecutingAttorney[#Headers]))/INDEX(Population[],MATCH($A$5,Population[County]),MATCH(C71,Population[#Headers])))/(INDEX(MCINormalized[],1,MATCH(C71,MCINormalized[#Headers]))/100)</f>
        <v>4.5247080962673465</v>
      </c>
      <c r="D76" s="165">
        <f>(INDEX(CountyDisbursementsProsecutingAttorney[],MATCH($A$5,CountyDisbursementsProsecutingAttorney[County]),MATCH(D71,CountyDisbursementsProsecutingAttorney[#Headers]))/INDEX(Population[],MATCH($A$5,Population[County]),MATCH(D71,Population[#Headers])))/(INDEX(MCINormalized[],1,MATCH(D71,MCINormalized[#Headers]))/100)</f>
        <v>4.81634727946137</v>
      </c>
      <c r="E76" s="165">
        <f>(INDEX(CountyDisbursementsProsecutingAttorney[],MATCH($A$5,CountyDisbursementsProsecutingAttorney[County]),MATCH(E71,CountyDisbursementsProsecutingAttorney[#Headers]))/INDEX(Population[],MATCH($A$5,Population[County]),MATCH(E71,Population[#Headers])))/(INDEX(MCINormalized[],1,MATCH(E71,MCINormalized[#Headers]))/100)</f>
        <v>5.5415374306401404</v>
      </c>
      <c r="F76" s="165">
        <f>(INDEX(CountyDisbursementsProsecutingAttorney[],MATCH($A$5,CountyDisbursementsProsecutingAttorney[County]),MATCH(F71,CountyDisbursementsProsecutingAttorney[#Headers]))/INDEX(Population[],MATCH($A$5,Population[County]),MATCH(F71,Population[#Headers])))/(INDEX(MCINormalized[],1,MATCH(F71,MCINormalized[#Headers]))/100)</f>
        <v>5.2901044319601294</v>
      </c>
      <c r="G76" s="165">
        <f>(INDEX(CountyDisbursementsProsecutingAttorney[],MATCH($A$5,CountyDisbursementsProsecutingAttorney[County]),MATCH(G71,CountyDisbursementsProsecutingAttorney[#Headers]))/INDEX(Population[],MATCH($A$5,Population[County]),MATCH(G71,Population[#Headers])))/(INDEX(MCINormalized[],1,MATCH(G71,MCINormalized[#Headers]))/100)</f>
        <v>5.5004326996625208</v>
      </c>
      <c r="H76" s="165">
        <f>(INDEX(CountyDisbursementsProsecutingAttorney[],MATCH($A$5,CountyDisbursementsProsecutingAttorney[County]),MATCH(H71,CountyDisbursementsProsecutingAttorney[#Headers]))/INDEX(Population[],MATCH($A$5,Population[County]),MATCH(H71,Population[#Headers])))/(INDEX(MCINormalized[],1,MATCH(H71,MCINormalized[#Headers]))/100)</f>
        <v>5.492153505110192</v>
      </c>
      <c r="I76" s="165">
        <f>(INDEX(CountyDisbursementsProsecutingAttorney[],MATCH($A$5,CountyDisbursementsProsecutingAttorney[County]),MATCH(I71,CountyDisbursementsProsecutingAttorney[#Headers]))/INDEX(Population[],MATCH($A$5,Population[County]),MATCH(I71,Population[#Headers])))/(INDEX(MCINormalized[],1,MATCH(I71,MCINormalized[#Headers]))/100)</f>
        <v>6.6093440628571534</v>
      </c>
      <c r="J76" s="165">
        <f>(INDEX(CountyDisbursementsProsecutingAttorney[],MATCH($A$5,CountyDisbursementsProsecutingAttorney[County]),MATCH(J71,CountyDisbursementsProsecutingAttorney[#Headers]))/INDEX(Population[],MATCH($A$5,Population[County]),MATCH(J71,Population[#Headers])))/(INDEX(MCINormalized[],1,MATCH(J71,MCINormalized[#Headers]))/100)</f>
        <v>5.6362251762464419</v>
      </c>
      <c r="K76" s="165">
        <f>(INDEX(CountyDisbursementsProsecutingAttorney[],MATCH($A$5,CountyDisbursementsProsecutingAttorney[County]),MATCH(K71,CountyDisbursementsProsecutingAttorney[#Headers]))/INDEX(Population[],MATCH($A$5,Population[County]),MATCH(K71,Population[#Headers])))/(INDEX(MCINormalized[],1,MATCH(K71,MCINormalized[#Headers]))/100)</f>
        <v>5.8547185075592507</v>
      </c>
      <c r="L76" s="165">
        <f>(INDEX(CountyDisbursementsProsecutingAttorney[],MATCH($A$5,CountyDisbursementsProsecutingAttorney[County]),MATCH(L71,CountyDisbursementsProsecutingAttorney[#Headers]))/INDEX(Population[],MATCH($A$5,Population[County]),MATCH(L71,Population[#Headers])))/(INDEX(MCINormalized[],1,MATCH(L71,MCINormalized[#Headers]))/100)</f>
        <v>6.5642886147420505</v>
      </c>
      <c r="M76" s="165">
        <f>(INDEX(CountyDisbursementsProsecutingAttorney[],MATCH($A$5,CountyDisbursementsProsecutingAttorney[County]),MATCH(M71,CountyDisbursementsProsecutingAttorney[#Headers]))/INDEX(Population[],MATCH($A$5,Population[County]),MATCH(M71,Population[#Headers])))/(INDEX(MCINormalized[],1,MATCH(M71,MCINormalized[#Headers]))/100)</f>
        <v>6.1485545741583332</v>
      </c>
      <c r="N76" s="165">
        <f>(INDEX(CountyDisbursementsProsecutingAttorney[],MATCH($A$5,CountyDisbursementsProsecutingAttorney[County]),MATCH(N71,CountyDisbursementsProsecutingAttorney[#Headers]))/INDEX(Population[],MATCH($A$5,Population[County]),MATCH(N71,Population[#Headers])))/(INDEX(MCINormalized[],1,MATCH(N71,MCINormalized[#Headers]))/100)</f>
        <v>6.2381625269828724</v>
      </c>
      <c r="O76" s="165">
        <f>(INDEX(CountyDisbursementsProsecutingAttorney[],MATCH($A$5,CountyDisbursementsProsecutingAttorney[County]),MATCH(O71,CountyDisbursementsProsecutingAttorney[#Headers]))/INDEX(Population[],MATCH($A$5,Population[County]),MATCH(O71,Population[#Headers])))/(INDEX(MCINormalized[],1,MATCH(O71,MCINormalized[#Headers]))/100)</f>
        <v>6.7863297402167611</v>
      </c>
      <c r="P76" s="165">
        <f>(INDEX(CountyDisbursementsProsecutingAttorney[],MATCH($A$5,CountyDisbursementsProsecutingAttorney[County]),MATCH(P71,CountyDisbursementsProsecutingAttorney[#Headers]))/INDEX(Population[],MATCH($A$5,Population[County]),MATCH(P71,Population[#Headers])))/(INDEX(MCINormalized[],1,MATCH(P71,MCINormalized[#Headers]))/100)</f>
        <v>4.7457524662723536</v>
      </c>
      <c r="Q76" s="165">
        <f>(INDEX(CountyDisbursementsProsecutingAttorney[],MATCH($A$5,CountyDisbursementsProsecutingAttorney[County]),MATCH(Q71,CountyDisbursementsProsecutingAttorney[#Headers]))/INDEX(Population[],MATCH($A$5,Population[County]),MATCH(Q71,Population[#Headers])))/(INDEX(MCINormalized[],1,MATCH(Q71,MCINormalized[#Headers]))/100)</f>
        <v>4.5227378049065061</v>
      </c>
      <c r="R76" s="165">
        <f>(INDEX(CountyDisbursementsProsecutingAttorney[],MATCH($A$5,CountyDisbursementsProsecutingAttorney[County]),MATCH(R71,CountyDisbursementsProsecutingAttorney[#Headers]))/INDEX(Population[],MATCH($A$5,Population[County]),MATCH(R71,Population[#Headers])))/(INDEX(MCINormalized[],1,MATCH(R71,MCINormalized[#Headers]))/100)</f>
        <v>0</v>
      </c>
      <c r="S76" s="165">
        <f>(INDEX(CountyDisbursementsProsecutingAttorney[],MATCH($A$5,CountyDisbursementsProsecutingAttorney[County]),MATCH(S71,CountyDisbursementsProsecutingAttorney[#Headers]))/INDEX(Population[],MATCH($A$5,Population[County]),MATCH(S71,Population[#Headers])))/(INDEX(MCINormalized[],1,MATCH(S71,MCINormalized[#Headers]))/100)</f>
        <v>0</v>
      </c>
      <c r="T76" s="165">
        <f>(INDEX(CountyDisbursementsProsecutingAttorney[],MATCH($A$5,CountyDisbursementsProsecutingAttorney[County]),MATCH(T71,CountyDisbursementsProsecutingAttorney[#Headers]))/INDEX(Population[],MATCH($A$5,Population[County]),MATCH(T71,Population[#Headers])))/(INDEX(MCINormalized[],1,MATCH(T71,MCINormalized[#Headers]))/100)</f>
        <v>0</v>
      </c>
      <c r="U76" s="165">
        <f>(INDEX(CountyDisbursementsProsecutingAttorney[],MATCH($A$5,CountyDisbursementsProsecutingAttorney[County]),MATCH(U71,CountyDisbursementsProsecutingAttorney[#Headers]))/INDEX(Population[],MATCH($A$5,Population[County]),MATCH(U71,Population[#Headers])))/(INDEX(MCINormalized[],1,MATCH(U71,MCINormalized[#Headers]))/100)</f>
        <v>0</v>
      </c>
      <c r="V76" s="165">
        <f>(INDEX(CountyDisbursementsProsecutingAttorney[],MATCH($A$5,CountyDisbursementsProsecutingAttorney[County]),MATCH(V71,CountyDisbursementsProsecutingAttorney[#Headers]))/INDEX(Population[],MATCH($A$5,Population[County]),MATCH(V71,Population[#Headers])))/(INDEX(MCINormalized[],1,MATCH(V71,MCINormalized[#Headers]))/100)</f>
        <v>0</v>
      </c>
      <c r="W76" s="165">
        <f>(INDEX(CountyDisbursementsProsecutingAttorney[],MATCH($A$5,CountyDisbursementsProsecutingAttorney[County]),MATCH(W71,CountyDisbursementsProsecutingAttorney[#Headers]))/INDEX(Population[],MATCH($A$5,Population[County]),MATCH(W71,Population[#Headers])))/(INDEX(MCINormalized[],1,MATCH(W71,MCINormalized[#Headers]))/100)</f>
        <v>0</v>
      </c>
      <c r="X76" s="165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</row>
    <row r="77" spans="1:70" ht="16">
      <c r="A77" s="153" t="s">
        <v>298</v>
      </c>
      <c r="B77" s="165">
        <f>(INDEX(CountyDisbursementsPublicAdministrator[],MATCH($A$5,CountyDisbursementsPublicAdministrator[County]),MATCH(B71,CountyDisbursementsPublicAdministrator[#Headers],0))/INDEX(Population[],MATCH($A$5,Population[County]),MATCH(B71,Population[#Headers],0)))/(INDEX(MCINormalized[],1,MATCH(B71,MCINormalized[#Headers],0))/100)</f>
        <v>1.9024139155129569</v>
      </c>
      <c r="C77" s="165">
        <f>(INDEX(CountyDisbursementsPublicAdministrator[],MATCH($A$5,CountyDisbursementsPublicAdministrator[County]),MATCH(C71,CountyDisbursementsPublicAdministrator[#Headers]))/INDEX(Population[],MATCH($A$5,Population[County]),MATCH(C71,Population[#Headers])))/(INDEX(MCINormalized[],1,MATCH(C71,MCINormalized[#Headers]))/100)</f>
        <v>1.8098832385069381</v>
      </c>
      <c r="D77" s="165">
        <f>(INDEX(CountyDisbursementsPublicAdministrator[],MATCH($A$5,CountyDisbursementsPublicAdministrator[County]),MATCH(D71,CountyDisbursementsPublicAdministrator[#Headers]))/INDEX(Population[],MATCH($A$5,Population[County]),MATCH(D71,Population[#Headers])))/(INDEX(MCINormalized[],1,MATCH(D71,MCINormalized[#Headers]))/100)</f>
        <v>1.9265389117845479</v>
      </c>
      <c r="E77" s="165">
        <f>(INDEX(CountyDisbursementsPublicAdministrator[],MATCH($A$5,CountyDisbursementsPublicAdministrator[County]),MATCH(E71,CountyDisbursementsPublicAdministrator[#Headers]))/INDEX(Population[],MATCH($A$5,Population[County]),MATCH(E71,Population[#Headers])))/(INDEX(MCINormalized[],1,MATCH(E71,MCINormalized[#Headers]))/100)</f>
        <v>1.8471791435467133</v>
      </c>
      <c r="F77" s="165">
        <f>(INDEX(CountyDisbursementsPublicAdministrator[],MATCH($A$5,CountyDisbursementsPublicAdministrator[County]),MATCH(F71,CountyDisbursementsPublicAdministrator[#Headers]))/INDEX(Population[],MATCH($A$5,Population[County]),MATCH(F71,Population[#Headers])))/(INDEX(MCINormalized[],1,MATCH(F71,MCINormalized[#Headers]))/100)</f>
        <v>2.1160417727840515</v>
      </c>
      <c r="G77" s="165">
        <f>(INDEX(CountyDisbursementsPublicAdministrator[],MATCH($A$5,CountyDisbursementsPublicAdministrator[County]),MATCH(G71,CountyDisbursementsPublicAdministrator[#Headers]))/INDEX(Population[],MATCH($A$5,Population[County]),MATCH(G71,Population[#Headers])))/(INDEX(MCINormalized[],1,MATCH(G71,MCINormalized[#Headers]))/100)</f>
        <v>3.3002596197975129</v>
      </c>
      <c r="H77" s="165">
        <f>(INDEX(CountyDisbursementsPublicAdministrator[],MATCH($A$5,CountyDisbursementsPublicAdministrator[County]),MATCH(H71,CountyDisbursementsPublicAdministrator[#Headers]))/INDEX(Population[],MATCH($A$5,Population[County]),MATCH(H71,Population[#Headers])))/(INDEX(MCINormalized[],1,MATCH(H71,MCINormalized[#Headers]))/100)</f>
        <v>2.1968614020440769</v>
      </c>
      <c r="I77" s="165">
        <f>(INDEX(CountyDisbursementsPublicAdministrator[],MATCH($A$5,CountyDisbursementsPublicAdministrator[County]),MATCH(I71,CountyDisbursementsPublicAdministrator[#Headers]))/INDEX(Population[],MATCH($A$5,Population[County]),MATCH(I71,Population[#Headers])))/(INDEX(MCINormalized[],1,MATCH(I71,MCINormalized[#Headers]))/100)</f>
        <v>2.8325760269387801</v>
      </c>
      <c r="J77" s="165">
        <f>(INDEX(CountyDisbursementsPublicAdministrator[],MATCH($A$5,CountyDisbursementsPublicAdministrator[County]),MATCH(J71,CountyDisbursementsPublicAdministrator[#Headers]))/INDEX(Population[],MATCH($A$5,Population[County]),MATCH(J71,Population[#Headers])))/(INDEX(MCINormalized[],1,MATCH(J71,MCINormalized[#Headers]))/100)</f>
        <v>2.3912555694095312</v>
      </c>
      <c r="K77" s="165">
        <f>(INDEX(CountyDisbursementsPublicAdministrator[],MATCH($A$5,CountyDisbursementsPublicAdministrator[County]),MATCH(K71,CountyDisbursementsPublicAdministrator[#Headers]))/INDEX(Population[],MATCH($A$5,Population[County]),MATCH(K71,Population[#Headers])))/(INDEX(MCINormalized[],1,MATCH(K71,MCINormalized[#Headers]))/100)</f>
        <v>3.2743907561194088</v>
      </c>
      <c r="L77" s="165">
        <f>(INDEX(CountyDisbursementsPublicAdministrator[],MATCH($A$5,CountyDisbursementsPublicAdministrator[County]),MATCH(L71,CountyDisbursementsPublicAdministrator[#Headers]))/INDEX(Population[],MATCH($A$5,Population[County]),MATCH(L71,Population[#Headers])))/(INDEX(MCINormalized[],1,MATCH(L71,MCINormalized[#Headers]))/100)</f>
        <v>3.2091079163121656</v>
      </c>
      <c r="M77" s="165">
        <f>(INDEX(CountyDisbursementsPublicAdministrator[],MATCH($A$5,CountyDisbursementsPublicAdministrator[County]),MATCH(M71,CountyDisbursementsPublicAdministrator[#Headers]))/INDEX(Population[],MATCH($A$5,Population[County]),MATCH(M71,Population[#Headers])))/(INDEX(MCINormalized[],1,MATCH(M71,MCINormalized[#Headers]))/100)</f>
        <v>3.0346367035459876</v>
      </c>
      <c r="N77" s="165">
        <f>(INDEX(CountyDisbursementsPublicAdministrator[],MATCH($A$5,CountyDisbursementsPublicAdministrator[County]),MATCH(N71,CountyDisbursementsPublicAdministrator[#Headers]))/INDEX(Population[],MATCH($A$5,Population[County]),MATCH(N71,Population[#Headers])))/(INDEX(MCINormalized[],1,MATCH(N71,MCINormalized[#Headers]))/100)</f>
        <v>2.8851943302507994</v>
      </c>
      <c r="O77" s="165">
        <f>(INDEX(CountyDisbursementsPublicAdministrator[],MATCH($A$5,CountyDisbursementsPublicAdministrator[County]),MATCH(O71,CountyDisbursementsPublicAdministrator[#Headers]))/INDEX(Population[],MATCH($A$5,Population[County]),MATCH(O71,Population[#Headers])))/(INDEX(MCINormalized[],1,MATCH(O71,MCINormalized[#Headers]))/100)</f>
        <v>3.3011484019373905</v>
      </c>
      <c r="P77" s="165">
        <f>(INDEX(CountyDisbursementsPublicAdministrator[],MATCH($A$5,CountyDisbursementsPublicAdministrator[County]),MATCH(P71,CountyDisbursementsPublicAdministrator[#Headers]))/INDEX(Population[],MATCH($A$5,Population[County]),MATCH(P71,Population[#Headers])))/(INDEX(MCINormalized[],1,MATCH(P71,MCINormalized[#Headers]))/100)</f>
        <v>2.6466063968247937</v>
      </c>
      <c r="Q77" s="165">
        <f>(INDEX(CountyDisbursementsPublicAdministrator[],MATCH($A$5,CountyDisbursementsPublicAdministrator[County]),MATCH(Q71,CountyDisbursementsPublicAdministrator[#Headers]))/INDEX(Population[],MATCH($A$5,Population[County]),MATCH(Q71,Population[#Headers])))/(INDEX(MCINormalized[],1,MATCH(Q71,MCINormalized[#Headers]))/100)</f>
        <v>2.5547326829685235</v>
      </c>
      <c r="R77" s="165">
        <f>(INDEX(CountyDisbursementsPublicAdministrator[],MATCH($A$5,CountyDisbursementsPublicAdministrator[County]),MATCH(R71,CountyDisbursementsPublicAdministrator[#Headers]))/INDEX(Population[],MATCH($A$5,Population[County]),MATCH(R71,Population[#Headers])))/(INDEX(MCINormalized[],1,MATCH(R71,MCINormalized[#Headers]))/100)</f>
        <v>0</v>
      </c>
      <c r="S77" s="165">
        <f>(INDEX(CountyDisbursementsPublicAdministrator[],MATCH($A$5,CountyDisbursementsPublicAdministrator[County]),MATCH(S71,CountyDisbursementsPublicAdministrator[#Headers]))/INDEX(Population[],MATCH($A$5,Population[County]),MATCH(S71,Population[#Headers])))/(INDEX(MCINormalized[],1,MATCH(S71,MCINormalized[#Headers]))/100)</f>
        <v>0</v>
      </c>
      <c r="T77" s="165">
        <f>(INDEX(CountyDisbursementsPublicAdministrator[],MATCH($A$5,CountyDisbursementsPublicAdministrator[County]),MATCH(T71,CountyDisbursementsPublicAdministrator[#Headers]))/INDEX(Population[],MATCH($A$5,Population[County]),MATCH(T71,Population[#Headers])))/(INDEX(MCINormalized[],1,MATCH(T71,MCINormalized[#Headers]))/100)</f>
        <v>0</v>
      </c>
      <c r="U77" s="165">
        <f>(INDEX(CountyDisbursementsPublicAdministrator[],MATCH($A$5,CountyDisbursementsPublicAdministrator[County]),MATCH(U71,CountyDisbursementsPublicAdministrator[#Headers]))/INDEX(Population[],MATCH($A$5,Population[County]),MATCH(U71,Population[#Headers])))/(INDEX(MCINormalized[],1,MATCH(U71,MCINormalized[#Headers]))/100)</f>
        <v>0</v>
      </c>
      <c r="V77" s="165">
        <f>(INDEX(CountyDisbursementsPublicAdministrator[],MATCH($A$5,CountyDisbursementsPublicAdministrator[County]),MATCH(V71,CountyDisbursementsPublicAdministrator[#Headers]))/INDEX(Population[],MATCH($A$5,Population[County]),MATCH(V71,Population[#Headers])))/(INDEX(MCINormalized[],1,MATCH(V71,MCINormalized[#Headers]))/100)</f>
        <v>0</v>
      </c>
      <c r="W77" s="165">
        <f>(INDEX(CountyDisbursementsPublicAdministrator[],MATCH($A$5,CountyDisbursementsPublicAdministrator[County]),MATCH(W71,CountyDisbursementsPublicAdministrator[#Headers]))/INDEX(Population[],MATCH($A$5,Population[County]),MATCH(W71,Population[#Headers])))/(INDEX(MCINormalized[],1,MATCH(W71,MCINormalized[#Headers]))/100)</f>
        <v>0</v>
      </c>
      <c r="X77" s="165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</row>
    <row r="78" spans="1:70" ht="16">
      <c r="A78" s="177" t="s">
        <v>179</v>
      </c>
      <c r="B78" s="165">
        <f>(INDEX(CountyDisbursementsHealthWelfare[],MATCH($A$5,CountyDisbursementsHealthWelfare[County]),MATCH(B71,CountyDisbursementsHealthWelfare[#Headers],0))/INDEX(Population[],MATCH($A$5,Population[County]),MATCH(B71,Population[#Headers],0)))/(INDEX(MCINormalized[],1,MATCH(B71,MCINormalized[#Headers],0))/100)</f>
        <v>24.731380901668441</v>
      </c>
      <c r="C78" s="165">
        <f>(INDEX(CountyDisbursementsHealthWelfare[],MATCH($A$5,CountyDisbursementsHealthWelfare[County]),MATCH(C71,CountyDisbursementsHealthWelfare[#Headers]))/INDEX(Population[],MATCH($A$5,Population[County]),MATCH(C71,Population[#Headers])))/(INDEX(MCINormalized[],1,MATCH(C71,MCINormalized[#Headers]))/100)</f>
        <v>12.669182669548569</v>
      </c>
      <c r="D78" s="165">
        <f>(INDEX(CountyDisbursementsHealthWelfare[],MATCH($A$5,CountyDisbursementsHealthWelfare[County]),MATCH(D71,CountyDisbursementsHealthWelfare[#Headers]))/INDEX(Population[],MATCH($A$5,Population[County]),MATCH(D71,Population[#Headers])))/(INDEX(MCINormalized[],1,MATCH(D71,MCINormalized[#Headers]))/100)</f>
        <v>14.44904183838411</v>
      </c>
      <c r="E78" s="165">
        <f>(INDEX(CountyDisbursementsHealthWelfare[],MATCH($A$5,CountyDisbursementsHealthWelfare[County]),MATCH(E71,CountyDisbursementsHealthWelfare[#Headers]))/INDEX(Population[],MATCH($A$5,Population[County]),MATCH(E71,Population[#Headers])))/(INDEX(MCINormalized[],1,MATCH(E71,MCINormalized[#Headers]))/100)</f>
        <v>14.777433148373706</v>
      </c>
      <c r="F78" s="165">
        <f>(INDEX(CountyDisbursementsHealthWelfare[],MATCH($A$5,CountyDisbursementsHealthWelfare[County]),MATCH(F71,CountyDisbursementsHealthWelfare[#Headers]))/INDEX(Population[],MATCH($A$5,Population[County]),MATCH(F71,Population[#Headers])))/(INDEX(MCINormalized[],1,MATCH(F71,MCINormalized[#Headers]))/100)</f>
        <v>15.870313295880388</v>
      </c>
      <c r="G78" s="165">
        <f>(INDEX(CountyDisbursementsHealthWelfare[],MATCH($A$5,CountyDisbursementsHealthWelfare[County]),MATCH(G71,CountyDisbursementsHealthWelfare[#Headers]))/INDEX(Population[],MATCH($A$5,Population[County]),MATCH(G71,Population[#Headers])))/(INDEX(MCINormalized[],1,MATCH(G71,MCINormalized[#Headers]))/100)</f>
        <v>24.201903878515093</v>
      </c>
      <c r="H78" s="165">
        <f>(INDEX(CountyDisbursementsHealthWelfare[],MATCH($A$5,CountyDisbursementsHealthWelfare[County]),MATCH(H71,CountyDisbursementsHealthWelfare[#Headers]))/INDEX(Population[],MATCH($A$5,Population[County]),MATCH(H71,Population[#Headers])))/(INDEX(MCINormalized[],1,MATCH(H71,MCINormalized[#Headers]))/100)</f>
        <v>16.476460515330576</v>
      </c>
      <c r="I78" s="165">
        <f>(INDEX(CountyDisbursementsHealthWelfare[],MATCH($A$5,CountyDisbursementsHealthWelfare[County]),MATCH(I71,CountyDisbursementsHealthWelfare[#Headers]))/INDEX(Population[],MATCH($A$5,Population[County]),MATCH(I71,Population[#Headers])))/(INDEX(MCINormalized[],1,MATCH(I71,MCINormalized[#Headers]))/100)</f>
        <v>19.828032188571459</v>
      </c>
      <c r="J78" s="165">
        <f>(INDEX(CountyDisbursementsHealthWelfare[],MATCH($A$5,CountyDisbursementsHealthWelfare[County]),MATCH(J71,CountyDisbursementsHealthWelfare[#Headers]))/INDEX(Population[],MATCH($A$5,Population[County]),MATCH(J71,Population[#Headers])))/(INDEX(MCINormalized[],1,MATCH(J71,MCINormalized[#Headers]))/100)</f>
        <v>40.898386129973026</v>
      </c>
      <c r="K78" s="165">
        <f>(INDEX(CountyDisbursementsHealthWelfare[],MATCH($A$5,CountyDisbursementsHealthWelfare[County]),MATCH(K71,CountyDisbursementsHealthWelfare[#Headers]))/INDEX(Population[],MATCH($A$5,Population[County]),MATCH(K71,Population[#Headers])))/(INDEX(MCINormalized[],1,MATCH(K71,MCINormalized[#Headers]))/100)</f>
        <v>18.799457169304372</v>
      </c>
      <c r="L78" s="165">
        <f>(INDEX(CountyDisbursementsHealthWelfare[],MATCH($A$5,CountyDisbursementsHealthWelfare[County]),MATCH(L71,CountyDisbursementsHealthWelfare[#Headers]))/INDEX(Population[],MATCH($A$5,Population[County]),MATCH(L71,Population[#Headers])))/(INDEX(MCINormalized[],1,MATCH(L71,MCINormalized[#Headers]))/100)</f>
        <v>15.132829781885679</v>
      </c>
      <c r="M78" s="165">
        <f>(INDEX(CountyDisbursementsHealthWelfare[],MATCH($A$5,CountyDisbursementsHealthWelfare[County]),MATCH(M71,CountyDisbursementsHealthWelfare[#Headers]))/INDEX(Population[],MATCH($A$5,Population[County]),MATCH(M71,Population[#Headers])))/(INDEX(MCINormalized[],1,MATCH(M71,MCINormalized[#Headers]))/100)</f>
        <v>15.895716066193266</v>
      </c>
      <c r="N78" s="165">
        <f>(INDEX(CountyDisbursementsHealthWelfare[],MATCH($A$5,CountyDisbursementsHealthWelfare[County]),MATCH(N71,CountyDisbursementsHealthWelfare[#Headers]))/INDEX(Population[],MATCH($A$5,Population[County]),MATCH(N71,Population[#Headers])))/(INDEX(MCINormalized[],1,MATCH(N71,MCINormalized[#Headers]))/100)</f>
        <v>15.645205479685021</v>
      </c>
      <c r="O78" s="165">
        <f>(INDEX(CountyDisbursementsHealthWelfare[],MATCH($A$5,CountyDisbursementsHealthWelfare[County]),MATCH(O71,CountyDisbursementsHealthWelfare[#Headers]))/INDEX(Population[],MATCH($A$5,Population[County]),MATCH(O71,Population[#Headers])))/(INDEX(MCINormalized[],1,MATCH(O71,MCINormalized[#Headers]))/100)</f>
        <v>13.259434808312239</v>
      </c>
      <c r="P78" s="165">
        <f>(INDEX(CountyDisbursementsHealthWelfare[],MATCH($A$5,CountyDisbursementsHealthWelfare[County]),MATCH(P71,CountyDisbursementsHealthWelfare[#Headers]))/INDEX(Population[],MATCH($A$5,Population[County]),MATCH(P71,Population[#Headers])))/(INDEX(MCINormalized[],1,MATCH(P71,MCINormalized[#Headers]))/100)</f>
        <v>8.816558425683537</v>
      </c>
      <c r="Q78" s="165">
        <f>(INDEX(CountyDisbursementsHealthWelfare[],MATCH($A$5,CountyDisbursementsHealthWelfare[County]),MATCH(Q71,CountyDisbursementsHealthWelfare[#Headers]))/INDEX(Population[],MATCH($A$5,Population[County]),MATCH(Q71,Population[#Headers])))/(INDEX(MCINormalized[],1,MATCH(Q71,MCINormalized[#Headers]))/100)</f>
        <v>7.5947303502716359</v>
      </c>
      <c r="R78" s="165">
        <f>(INDEX(CountyDisbursementsHealthWelfare[],MATCH($A$5,CountyDisbursementsHealthWelfare[County]),MATCH(R71,CountyDisbursementsHealthWelfare[#Headers]))/INDEX(Population[],MATCH($A$5,Population[County]),MATCH(R71,Population[#Headers])))/(INDEX(MCINormalized[],1,MATCH(R71,MCINormalized[#Headers]))/100)</f>
        <v>0</v>
      </c>
      <c r="S78" s="165">
        <f>(INDEX(CountyDisbursementsHealthWelfare[],MATCH($A$5,CountyDisbursementsHealthWelfare[County]),MATCH(S71,CountyDisbursementsHealthWelfare[#Headers]))/INDEX(Population[],MATCH($A$5,Population[County]),MATCH(S71,Population[#Headers])))/(INDEX(MCINormalized[],1,MATCH(S71,MCINormalized[#Headers]))/100)</f>
        <v>0</v>
      </c>
      <c r="T78" s="165">
        <f>(INDEX(CountyDisbursementsHealthWelfare[],MATCH($A$5,CountyDisbursementsHealthWelfare[County]),MATCH(T71,CountyDisbursementsHealthWelfare[#Headers]))/INDEX(Population[],MATCH($A$5,Population[County]),MATCH(T71,Population[#Headers])))/(INDEX(MCINormalized[],1,MATCH(T71,MCINormalized[#Headers]))/100)</f>
        <v>0</v>
      </c>
      <c r="U78" s="165">
        <f>(INDEX(CountyDisbursementsHealthWelfare[],MATCH($A$5,CountyDisbursementsHealthWelfare[County]),MATCH(U71,CountyDisbursementsHealthWelfare[#Headers]))/INDEX(Population[],MATCH($A$5,Population[County]),MATCH(U71,Population[#Headers])))/(INDEX(MCINormalized[],1,MATCH(U71,MCINormalized[#Headers]))/100)</f>
        <v>0</v>
      </c>
      <c r="V78" s="165">
        <f>(INDEX(CountyDisbursementsHealthWelfare[],MATCH($A$5,CountyDisbursementsHealthWelfare[County]),MATCH(V71,CountyDisbursementsHealthWelfare[#Headers]))/INDEX(Population[],MATCH($A$5,Population[County]),MATCH(V71,Population[#Headers])))/(INDEX(MCINormalized[],1,MATCH(V71,MCINormalized[#Headers]))/100)</f>
        <v>0</v>
      </c>
      <c r="W78" s="165">
        <f>(INDEX(CountyDisbursementsHealthWelfare[],MATCH($A$5,CountyDisbursementsHealthWelfare[County]),MATCH(W71,CountyDisbursementsHealthWelfare[#Headers]))/INDEX(Population[],MATCH($A$5,Population[County]),MATCH(W71,Population[#Headers])))/(INDEX(MCINormalized[],1,MATCH(W71,MCINormalized[#Headers]))/100)</f>
        <v>0</v>
      </c>
      <c r="X78" s="165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</row>
    <row r="79" spans="1:70" ht="16">
      <c r="A79" s="153" t="s">
        <v>132</v>
      </c>
      <c r="B79" s="165">
        <f>(INDEX(CountyDisbursementsOperatingTransfers[],MATCH($A$5,CountyDisbursementsOperatingTransfers[County]),MATCH(B71,CountyDisbursementsOperatingTransfers[#Headers],0))/INDEX(Population[],MATCH($A$5,Population[County]),MATCH(B71,Population[#Headers],0)))/(INDEX(MCINormalized[],1,MATCH(B71,MCINormalized[#Headers],0))/100)</f>
        <v>5.7072417465388714</v>
      </c>
      <c r="C79" s="165">
        <f>(INDEX(CountyDisbursementsOperatingTransfers[],MATCH($A$5,CountyDisbursementsOperatingTransfers[County]),MATCH(C71,CountyDisbursementsOperatingTransfers[#Headers]))/INDEX(Population[],MATCH($A$5,Population[County]),MATCH(C71,Population[#Headers])))/(INDEX(MCINormalized[],1,MATCH(C71,MCINormalized[#Headers]))/100)</f>
        <v>2.7148248577604073</v>
      </c>
      <c r="D79" s="165">
        <f>(INDEX(CountyDisbursementsOperatingTransfers[],MATCH($A$5,CountyDisbursementsOperatingTransfers[County]),MATCH(D71,CountyDisbursementsOperatingTransfers[#Headers]))/INDEX(Population[],MATCH($A$5,Population[County]),MATCH(D71,Population[#Headers])))/(INDEX(MCINormalized[],1,MATCH(D71,MCINormalized[#Headers]))/100)</f>
        <v>1.9265389117845479</v>
      </c>
      <c r="E79" s="165">
        <f>(INDEX(CountyDisbursementsOperatingTransfers[],MATCH($A$5,CountyDisbursementsOperatingTransfers[County]),MATCH(E71,CountyDisbursementsOperatingTransfers[#Headers]))/INDEX(Population[],MATCH($A$5,Population[County]),MATCH(E71,Population[#Headers])))/(INDEX(MCINormalized[],1,MATCH(E71,MCINormalized[#Headers]))/100)</f>
        <v>0</v>
      </c>
      <c r="F79" s="165">
        <f>(INDEX(CountyDisbursementsOperatingTransfers[],MATCH($A$5,CountyDisbursementsOperatingTransfers[County]),MATCH(F71,CountyDisbursementsOperatingTransfers[#Headers]))/INDEX(Population[],MATCH($A$5,Population[County]),MATCH(F71,Population[#Headers])))/(INDEX(MCINormalized[],1,MATCH(F71,MCINormalized[#Headers]))/100)</f>
        <v>0</v>
      </c>
      <c r="G79" s="165">
        <f>(INDEX(CountyDisbursementsOperatingTransfers[],MATCH($A$5,CountyDisbursementsOperatingTransfers[County]),MATCH(G71,CountyDisbursementsOperatingTransfers[#Headers]))/INDEX(Population[],MATCH($A$5,Population[County]),MATCH(G71,Population[#Headers])))/(INDEX(MCINormalized[],1,MATCH(G71,MCINormalized[#Headers]))/100)</f>
        <v>2.2001730798650083</v>
      </c>
      <c r="H79" s="165">
        <f>(INDEX(CountyDisbursementsOperatingTransfers[],MATCH($A$5,CountyDisbursementsOperatingTransfers[County]),MATCH(H71,CountyDisbursementsOperatingTransfers[#Headers]))/INDEX(Population[],MATCH($A$5,Population[County]),MATCH(H71,Population[#Headers])))/(INDEX(MCINormalized[],1,MATCH(H71,MCINormalized[#Headers]))/100)</f>
        <v>2.1968614020440769</v>
      </c>
      <c r="I79" s="165">
        <f>(INDEX(CountyDisbursementsOperatingTransfers[],MATCH($A$5,CountyDisbursementsOperatingTransfers[County]),MATCH(I71,CountyDisbursementsOperatingTransfers[#Headers]))/INDEX(Population[],MATCH($A$5,Population[County]),MATCH(I71,Population[#Headers])))/(INDEX(MCINormalized[],1,MATCH(I71,MCINormalized[#Headers]))/100)</f>
        <v>0</v>
      </c>
      <c r="J79" s="165">
        <f>(INDEX(CountyDisbursementsOperatingTransfers[],MATCH($A$5,CountyDisbursementsOperatingTransfers[County]),MATCH(J71,CountyDisbursementsOperatingTransfers[#Headers]))/INDEX(Population[],MATCH($A$5,Population[County]),MATCH(J71,Population[#Headers])))/(INDEX(MCINormalized[],1,MATCH(J71,MCINormalized[#Headers]))/100)</f>
        <v>0</v>
      </c>
      <c r="K79" s="165">
        <f>(INDEX(CountyDisbursementsOperatingTransfers[],MATCH($A$5,CountyDisbursementsOperatingTransfers[County]),MATCH(K71,CountyDisbursementsOperatingTransfers[#Headers]))/INDEX(Population[],MATCH($A$5,Population[County]),MATCH(K71,Population[#Headers])))/(INDEX(MCINormalized[],1,MATCH(K71,MCINormalized[#Headers]))/100)</f>
        <v>13.156632216365256</v>
      </c>
      <c r="L79" s="165">
        <f>(INDEX(CountyDisbursementsOperatingTransfers[],MATCH($A$5,CountyDisbursementsOperatingTransfers[County]),MATCH(L71,CountyDisbursementsOperatingTransfers[#Headers]))/INDEX(Population[],MATCH($A$5,Population[County]),MATCH(L71,Population[#Headers])))/(INDEX(MCINormalized[],1,MATCH(L71,MCINormalized[#Headers]))/100)</f>
        <v>8.1696186866733687</v>
      </c>
      <c r="M79" s="165">
        <f>(INDEX(CountyDisbursementsOperatingTransfers[],MATCH($A$5,CountyDisbursementsOperatingTransfers[County]),MATCH(M71,CountyDisbursementsOperatingTransfers[#Headers]))/INDEX(Population[],MATCH($A$5,Population[County]),MATCH(M71,Population[#Headers])))/(INDEX(MCINormalized[],1,MATCH(M71,MCINormalized[#Headers]))/100)</f>
        <v>10.219689882199367</v>
      </c>
      <c r="N79" s="165">
        <f>(INDEX(CountyDisbursementsOperatingTransfers[],MATCH($A$5,CountyDisbursementsOperatingTransfers[County]),MATCH(N71,CountyDisbursementsOperatingTransfers[#Headers]))/INDEX(Population[],MATCH($A$5,Population[County]),MATCH(N71,Population[#Headers])))/(INDEX(MCINormalized[],1,MATCH(N71,MCINormalized[#Headers]))/100)</f>
        <v>3.7329452005988317</v>
      </c>
      <c r="O79" s="165">
        <f>(INDEX(CountyDisbursementsOperatingTransfers[],MATCH($A$5,CountyDisbursementsOperatingTransfers[County]),MATCH(O71,CountyDisbursementsOperatingTransfers[#Headers]))/INDEX(Population[],MATCH($A$5,Population[County]),MATCH(O71,Population[#Headers])))/(INDEX(MCINormalized[],1,MATCH(O71,MCINormalized[#Headers]))/100)</f>
        <v>5.3693683004684898</v>
      </c>
      <c r="P79" s="165">
        <f>(INDEX(CountyDisbursementsOperatingTransfers[],MATCH($A$5,CountyDisbursementsOperatingTransfers[County]),MATCH(P71,CountyDisbursementsOperatingTransfers[#Headers]))/INDEX(Population[],MATCH($A$5,Population[County]),MATCH(P71,Population[#Headers])))/(INDEX(MCINormalized[],1,MATCH(P71,MCINormalized[#Headers]))/100)</f>
        <v>10.790671044942</v>
      </c>
      <c r="Q79" s="165">
        <f>(INDEX(CountyDisbursementsOperatingTransfers[],MATCH($A$5,CountyDisbursementsOperatingTransfers[County]),MATCH(Q71,CountyDisbursementsOperatingTransfers[#Headers]))/INDEX(Population[],MATCH($A$5,Population[County]),MATCH(Q71,Population[#Headers])))/(INDEX(MCINormalized[],1,MATCH(Q71,MCINormalized[#Headers]))/100)</f>
        <v>8.7055800843541125</v>
      </c>
      <c r="R79" s="165">
        <f>(INDEX(CountyDisbursementsOperatingTransfers[],MATCH($A$5,CountyDisbursementsOperatingTransfers[County]),MATCH(R71,CountyDisbursementsOperatingTransfers[#Headers]))/INDEX(Population[],MATCH($A$5,Population[County]),MATCH(R71,Population[#Headers])))/(INDEX(MCINormalized[],1,MATCH(R71,MCINormalized[#Headers]))/100)</f>
        <v>0</v>
      </c>
      <c r="S79" s="165">
        <f>(INDEX(CountyDisbursementsOperatingTransfers[],MATCH($A$5,CountyDisbursementsOperatingTransfers[County]),MATCH(S71,CountyDisbursementsOperatingTransfers[#Headers]))/INDEX(Population[],MATCH($A$5,Population[County]),MATCH(S71,Population[#Headers])))/(INDEX(MCINormalized[],1,MATCH(S71,MCINormalized[#Headers]))/100)</f>
        <v>0</v>
      </c>
      <c r="T79" s="165">
        <f>(INDEX(CountyDisbursementsOperatingTransfers[],MATCH($A$5,CountyDisbursementsOperatingTransfers[County]),MATCH(T71,CountyDisbursementsOperatingTransfers[#Headers]))/INDEX(Population[],MATCH($A$5,Population[County]),MATCH(T71,Population[#Headers])))/(INDEX(MCINormalized[],1,MATCH(T71,MCINormalized[#Headers]))/100)</f>
        <v>0</v>
      </c>
      <c r="U79" s="165">
        <f>(INDEX(CountyDisbursementsOperatingTransfers[],MATCH($A$5,CountyDisbursementsOperatingTransfers[County]),MATCH(U71,CountyDisbursementsOperatingTransfers[#Headers]))/INDEX(Population[],MATCH($A$5,Population[County]),MATCH(U71,Population[#Headers])))/(INDEX(MCINormalized[],1,MATCH(U71,MCINormalized[#Headers]))/100)</f>
        <v>0</v>
      </c>
      <c r="V79" s="165">
        <f>(INDEX(CountyDisbursementsOperatingTransfers[],MATCH($A$5,CountyDisbursementsOperatingTransfers[County]),MATCH(V71,CountyDisbursementsOperatingTransfers[#Headers]))/INDEX(Population[],MATCH($A$5,Population[County]),MATCH(V71,Population[#Headers])))/(INDEX(MCINormalized[],1,MATCH(V71,MCINormalized[#Headers]))/100)</f>
        <v>0</v>
      </c>
      <c r="W79" s="165">
        <f>(INDEX(CountyDisbursementsOperatingTransfers[],MATCH($A$5,CountyDisbursementsOperatingTransfers[County]),MATCH(W71,CountyDisbursementsOperatingTransfers[#Headers]))/INDEX(Population[],MATCH($A$5,Population[County]),MATCH(W71,Population[#Headers])))/(INDEX(MCINormalized[],1,MATCH(W71,MCINormalized[#Headers]))/100)</f>
        <v>0</v>
      </c>
      <c r="X79" s="165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</row>
    <row r="80" spans="1:70" ht="16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</row>
    <row r="81" spans="1:70" ht="16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</row>
    <row r="82" spans="1:70"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</row>
    <row r="83" spans="1:70"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</row>
    <row r="84" spans="1:70"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</row>
    <row r="85" spans="1:70"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</row>
    <row r="86" spans="1:70"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</row>
    <row r="87" spans="1:70"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</row>
    <row r="88" spans="1:70"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</row>
    <row r="89" spans="1:70"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</row>
    <row r="90" spans="1:70"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</row>
    <row r="91" spans="1:70"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</row>
    <row r="92" spans="1:70"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</row>
    <row r="93" spans="1:70"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</row>
    <row r="94" spans="1:70"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</row>
    <row r="95" spans="1:70"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</row>
    <row r="96" spans="1:70"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</row>
    <row r="97" spans="25:70"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</row>
    <row r="98" spans="25:70"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</row>
    <row r="99" spans="25:70"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</row>
    <row r="100" spans="25:70"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</row>
    <row r="101" spans="25:70"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</row>
    <row r="102" spans="25:70"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</row>
    <row r="103" spans="25:70"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</row>
    <row r="104" spans="25:70"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</row>
    <row r="105" spans="25:70"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</row>
    <row r="106" spans="25:70"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</row>
    <row r="107" spans="25:70"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</row>
    <row r="108" spans="25:70"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</row>
    <row r="109" spans="25:70"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</row>
    <row r="110" spans="25:70"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</row>
  </sheetData>
  <mergeCells count="2">
    <mergeCell ref="D14:H14"/>
    <mergeCell ref="D15:H15"/>
  </mergeCells>
  <dataValidations count="1">
    <dataValidation type="list" allowBlank="1" showInputMessage="1" showErrorMessage="1" sqref="A3 A5" xr:uid="{00000000-0002-0000-0800-000000000000}">
      <formula1>List</formula1>
    </dataValidation>
  </dataValidations>
  <pageMargins left="0.7" right="0.7" top="0.75" bottom="0.75" header="0.3" footer="0.3"/>
  <pageSetup paperSize="5" scale="45" fitToWidth="2" fitToHeight="2" orientation="landscape" horizontalDpi="300" verticalDpi="300" r:id="rId1"/>
  <drawing r:id="rId2"/>
  <tableParts count="9"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41</vt:i4>
      </vt:variant>
    </vt:vector>
  </HeadingPairs>
  <TitlesOfParts>
    <vt:vector size="60" baseType="lpstr">
      <vt:lpstr>TitlePage</vt:lpstr>
      <vt:lpstr>How to Use</vt:lpstr>
      <vt:lpstr>Your Notes</vt:lpstr>
      <vt:lpstr>County Budget Trends</vt:lpstr>
      <vt:lpstr>County Base Trends</vt:lpstr>
      <vt:lpstr>County Real per Capita</vt:lpstr>
      <vt:lpstr>County-to-County Budget Trends </vt:lpstr>
      <vt:lpstr>County-to-County Base Trends</vt:lpstr>
      <vt:lpstr>County-to-County Real per Capit</vt:lpstr>
      <vt:lpstr>Data Sources</vt:lpstr>
      <vt:lpstr>CountyBudgetNotes</vt:lpstr>
      <vt:lpstr>Property Base</vt:lpstr>
      <vt:lpstr>Sales Base</vt:lpstr>
      <vt:lpstr>3-AGF Receipts &amp; Balances</vt:lpstr>
      <vt:lpstr>4GF Expenditures</vt:lpstr>
      <vt:lpstr>Special Sales Tax</vt:lpstr>
      <vt:lpstr>3-B Road Fund</vt:lpstr>
      <vt:lpstr>Population &amp; Income</vt:lpstr>
      <vt:lpstr>Price Indices</vt:lpstr>
      <vt:lpstr>CountyDisbursementsbyFunctionAssociateCircuit</vt:lpstr>
      <vt:lpstr>CountyDisbursementsbyFunctionBuildingsandGrounds</vt:lpstr>
      <vt:lpstr>CountyDisbursementsbyFunctionCircuitClerk</vt:lpstr>
      <vt:lpstr>CountyDisbursementsbyFunctionCollector</vt:lpstr>
      <vt:lpstr>CountyDisbursementsbyFunctionCoroner</vt:lpstr>
      <vt:lpstr>CountyDisbursementsbyFunctionCountyClerk</vt:lpstr>
      <vt:lpstr>CountyDisbursementsbyFunctionCountyCommission</vt:lpstr>
      <vt:lpstr>CountyDisbursementsbyFunctionCourtAdministration</vt:lpstr>
      <vt:lpstr>CountyDisbursementsbyFunctionElections</vt:lpstr>
      <vt:lpstr>CountyDisbursementsbyFunctionFringeBenefits</vt:lpstr>
      <vt:lpstr>CountyDisbursementsbyFunctionHealthandWelfare</vt:lpstr>
      <vt:lpstr>CountyDisbursementsbyFunctionJail</vt:lpstr>
      <vt:lpstr>CountyDisbursementsbyFunctionJuvenileOfficer</vt:lpstr>
      <vt:lpstr>CountyDisbursementsbyFunctionOperatingTransfers</vt:lpstr>
      <vt:lpstr>CountyDisbursementsbyFunctionOther</vt:lpstr>
      <vt:lpstr>CountyDisbursementsbyFunctionProsecutingAttorney</vt:lpstr>
      <vt:lpstr>CountyDisbursementsbyFunctionPublicAdministrator</vt:lpstr>
      <vt:lpstr>CountyDisbursementsbyFunctionRecorder</vt:lpstr>
      <vt:lpstr>CountyDisbursementsbyFunctionSheriff</vt:lpstr>
      <vt:lpstr>CountyDisbursementsbyFunctionTreasurer</vt:lpstr>
      <vt:lpstr>GeneralRevenueFundCashBalances</vt:lpstr>
      <vt:lpstr>GeneralRevenueFundReceiptsChargesforServices</vt:lpstr>
      <vt:lpstr>GeneralRevenueFundReceiptsInterest</vt:lpstr>
      <vt:lpstr>GeneralRevenueFundReceiptsIntergovernmental</vt:lpstr>
      <vt:lpstr>GeneralRevenueFundReceiptsOther</vt:lpstr>
      <vt:lpstr>GeneralRevenueFundReceiptsPropertyTaxes</vt:lpstr>
      <vt:lpstr>GeneralRevenueFundReceiptsSalesTaxes</vt:lpstr>
      <vt:lpstr>GeneralRevenueFundReceiptsTotalReceipts</vt:lpstr>
      <vt:lpstr>GeneralRevenueFundTotalExpenditures</vt:lpstr>
      <vt:lpstr>List</vt:lpstr>
      <vt:lpstr>'How to Use'!OLE_LINK10</vt:lpstr>
      <vt:lpstr>'How to Use'!OLE_LINK11</vt:lpstr>
      <vt:lpstr>'How to Use'!OLE_LINK9</vt:lpstr>
      <vt:lpstr>SpecialRoadandBridgeFundsInterest</vt:lpstr>
      <vt:lpstr>SpecialRoadandBridgeFundsIntergovernmental</vt:lpstr>
      <vt:lpstr>SpecialRoadandBridgeFundsOtherRevenues</vt:lpstr>
      <vt:lpstr>SpecialRoadandBridgeFundsPropertyTaxes</vt:lpstr>
      <vt:lpstr>SpecialRoadandBridgeFundsSalesTaxes</vt:lpstr>
      <vt:lpstr>SpecialRoadandBridgeFundsTotalReceipts</vt:lpstr>
      <vt:lpstr>SpecialRoadandBridgeFundTotalExpenditures</vt:lpstr>
      <vt:lpstr>SpecialSalesTaxReceipts</vt:lpstr>
    </vt:vector>
  </TitlesOfParts>
  <Company>University of Missouri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Stallmann, Judith I.</dc:creator>
  <cp:lastModifiedBy>Victoria</cp:lastModifiedBy>
  <cp:lastPrinted>2019-01-26T20:04:30Z</cp:lastPrinted>
  <dcterms:created xsi:type="dcterms:W3CDTF">2008-07-07T16:03:25Z</dcterms:created>
  <dcterms:modified xsi:type="dcterms:W3CDTF">2019-02-06T00:17:17Z</dcterms:modified>
</cp:coreProperties>
</file>